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35" windowWidth="17235" windowHeight="11820" tabRatio="905"/>
  </bookViews>
  <sheets>
    <sheet name="CONTROL" sheetId="1" r:id="rId1"/>
    <sheet name="RAP-SOLID FUEL PRICES" sheetId="2" r:id="rId2"/>
    <sheet name="RAP-LIGHT OIL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AVAILABILITY'!$A$12:$T$1157</definedName>
    <definedName name="_xlnm.Print_Area" localSheetId="3">'RAP-HEAVY OIL&amp;WTI'!$A$12:$J$1157</definedName>
    <definedName name="_xlnm.Print_Area" localSheetId="2">'RAP-LIGHT OIL'!$A$12:$K$1157</definedName>
    <definedName name="_xlnm.Print_Area" localSheetId="4">'RAP-NATURAL GAS PRICES'!$A$13:$AC$1158</definedName>
    <definedName name="_xlnm.Print_Area" localSheetId="1">'RAP-SOLID FUEL PRICES'!$A$14:$O$1160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2">'RAP-LIGHT OIL'!$1:$11</definedName>
    <definedName name="_xlnm.Print_Titles" localSheetId="4">'RAP-NATURAL GAS PRICES'!$1:$12</definedName>
    <definedName name="_xlnm.Print_Titles" localSheetId="1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19" i="6" l="1"/>
  <c r="D19" i="6"/>
  <c r="E19" i="6"/>
  <c r="F19" i="6"/>
  <c r="N19" i="6"/>
  <c r="P19" i="6"/>
  <c r="Q19" i="6"/>
  <c r="R19" i="6"/>
  <c r="S19" i="6"/>
  <c r="T19" i="6"/>
  <c r="C20" i="6"/>
  <c r="D20" i="6"/>
  <c r="E20" i="6"/>
  <c r="F20" i="6"/>
  <c r="L20" i="6"/>
  <c r="N20" i="6"/>
  <c r="P20" i="6"/>
  <c r="R20" i="6"/>
  <c r="T20" i="6"/>
  <c r="C21" i="6"/>
  <c r="D21" i="6"/>
  <c r="E21" i="6"/>
  <c r="F21" i="6"/>
  <c r="N21" i="6"/>
  <c r="P21" i="6"/>
  <c r="Q21" i="6"/>
  <c r="R21" i="6"/>
  <c r="S21" i="6"/>
  <c r="T21" i="6"/>
  <c r="C22" i="6"/>
  <c r="D22" i="6"/>
  <c r="E22" i="6"/>
  <c r="F22" i="6"/>
  <c r="L22" i="6"/>
  <c r="N22" i="6"/>
  <c r="Q22" i="6"/>
  <c r="R22" i="6"/>
  <c r="S22" i="6"/>
  <c r="T22" i="6"/>
  <c r="C23" i="6"/>
  <c r="D23" i="6"/>
  <c r="E23" i="6"/>
  <c r="F23" i="6"/>
  <c r="L23" i="6"/>
  <c r="N23" i="6"/>
  <c r="Q23" i="6"/>
  <c r="R23" i="6"/>
  <c r="S23" i="6"/>
  <c r="T23" i="6"/>
  <c r="C24" i="6"/>
  <c r="D24" i="6"/>
  <c r="E24" i="6"/>
  <c r="F24" i="6"/>
  <c r="L24" i="6"/>
  <c r="N24" i="6"/>
  <c r="Q24" i="6"/>
  <c r="R24" i="6"/>
  <c r="S24" i="6"/>
  <c r="T24" i="6"/>
  <c r="C25" i="6"/>
  <c r="D25" i="6"/>
  <c r="E25" i="6"/>
  <c r="F25" i="6"/>
  <c r="L25" i="6"/>
  <c r="N25" i="6"/>
  <c r="Q25" i="6"/>
  <c r="R25" i="6"/>
  <c r="S25" i="6"/>
  <c r="T25" i="6"/>
  <c r="C26" i="6"/>
  <c r="D26" i="6"/>
  <c r="E26" i="6"/>
  <c r="F26" i="6"/>
  <c r="L26" i="6"/>
  <c r="N26" i="6"/>
  <c r="Q26" i="6"/>
  <c r="R26" i="6"/>
  <c r="S26" i="6"/>
  <c r="T26" i="6"/>
  <c r="C27" i="6"/>
  <c r="D27" i="6"/>
  <c r="E27" i="6"/>
  <c r="F27" i="6"/>
  <c r="L27" i="6"/>
  <c r="N27" i="6"/>
  <c r="P27" i="6"/>
  <c r="R27" i="6"/>
  <c r="T27" i="6"/>
  <c r="C28" i="6"/>
  <c r="D28" i="6"/>
  <c r="E28" i="6"/>
  <c r="F28" i="6"/>
  <c r="N28" i="6"/>
  <c r="P28" i="6"/>
  <c r="Q28" i="6"/>
  <c r="R28" i="6"/>
  <c r="S28" i="6"/>
  <c r="T28" i="6"/>
  <c r="C29" i="6"/>
  <c r="D29" i="6"/>
  <c r="E29" i="6"/>
  <c r="F29" i="6"/>
  <c r="L29" i="6"/>
  <c r="N29" i="6"/>
  <c r="P29" i="6"/>
  <c r="R29" i="6"/>
  <c r="Q29" i="6" s="1"/>
  <c r="T29" i="6"/>
  <c r="C30" i="6"/>
  <c r="D30" i="6"/>
  <c r="E30" i="6"/>
  <c r="F30" i="6"/>
  <c r="N30" i="6"/>
  <c r="P30" i="6"/>
  <c r="Q30" i="6"/>
  <c r="R30" i="6"/>
  <c r="S30" i="6"/>
  <c r="T30" i="6"/>
  <c r="C31" i="6"/>
  <c r="D31" i="6"/>
  <c r="E31" i="6"/>
  <c r="F31" i="6"/>
  <c r="L31" i="6"/>
  <c r="N31" i="6"/>
  <c r="P31" i="6"/>
  <c r="R31" i="6"/>
  <c r="T31" i="6"/>
  <c r="C32" i="6"/>
  <c r="D32" i="6"/>
  <c r="E32" i="6"/>
  <c r="F32" i="6"/>
  <c r="N32" i="6"/>
  <c r="P32" i="6"/>
  <c r="Q32" i="6"/>
  <c r="R32" i="6"/>
  <c r="S32" i="6"/>
  <c r="T32" i="6"/>
  <c r="C33" i="6"/>
  <c r="D33" i="6"/>
  <c r="E33" i="6"/>
  <c r="F33" i="6"/>
  <c r="L33" i="6"/>
  <c r="N33" i="6"/>
  <c r="P33" i="6"/>
  <c r="R33" i="6"/>
  <c r="Q33" i="6" s="1"/>
  <c r="T33" i="6"/>
  <c r="C34" i="6"/>
  <c r="D34" i="6"/>
  <c r="E34" i="6"/>
  <c r="F34" i="6"/>
  <c r="N34" i="6"/>
  <c r="R34" i="6"/>
  <c r="Q34" i="6" s="1"/>
  <c r="S34" i="6" s="1"/>
  <c r="T34" i="6"/>
  <c r="C35" i="6"/>
  <c r="D35" i="6"/>
  <c r="E35" i="6"/>
  <c r="F35" i="6"/>
  <c r="N35" i="6"/>
  <c r="R35" i="6"/>
  <c r="Q35" i="6" s="1"/>
  <c r="S35" i="6" s="1"/>
  <c r="T35" i="6"/>
  <c r="C36" i="6"/>
  <c r="D36" i="6"/>
  <c r="E36" i="6"/>
  <c r="F36" i="6"/>
  <c r="N36" i="6"/>
  <c r="R36" i="6"/>
  <c r="Q36" i="6" s="1"/>
  <c r="S36" i="6" s="1"/>
  <c r="T36" i="6"/>
  <c r="C37" i="6"/>
  <c r="D37" i="6"/>
  <c r="E37" i="6"/>
  <c r="F37" i="6"/>
  <c r="N37" i="6"/>
  <c r="R37" i="6"/>
  <c r="Q37" i="6" s="1"/>
  <c r="S37" i="6" s="1"/>
  <c r="T37" i="6"/>
  <c r="C38" i="6"/>
  <c r="D38" i="6"/>
  <c r="E38" i="6"/>
  <c r="F38" i="6"/>
  <c r="N38" i="6"/>
  <c r="R38" i="6"/>
  <c r="Q38" i="6" s="1"/>
  <c r="S38" i="6" s="1"/>
  <c r="T38" i="6"/>
  <c r="C39" i="6"/>
  <c r="D39" i="6"/>
  <c r="E39" i="6"/>
  <c r="F39" i="6"/>
  <c r="H39" i="6"/>
  <c r="L39" i="6"/>
  <c r="N39" i="6"/>
  <c r="P39" i="6"/>
  <c r="R39" i="6"/>
  <c r="T39" i="6"/>
  <c r="C40" i="6"/>
  <c r="D40" i="6"/>
  <c r="E40" i="6"/>
  <c r="F40" i="6"/>
  <c r="H40" i="6"/>
  <c r="L40" i="6"/>
  <c r="N40" i="6"/>
  <c r="P40" i="6"/>
  <c r="R40" i="6"/>
  <c r="T40" i="6"/>
  <c r="C41" i="6"/>
  <c r="D41" i="6"/>
  <c r="E41" i="6"/>
  <c r="F41" i="6"/>
  <c r="H41" i="6"/>
  <c r="L41" i="6"/>
  <c r="N41" i="6"/>
  <c r="P41" i="6"/>
  <c r="R41" i="6"/>
  <c r="T41" i="6"/>
  <c r="C42" i="6"/>
  <c r="D42" i="6"/>
  <c r="E42" i="6"/>
  <c r="F42" i="6"/>
  <c r="H42" i="6"/>
  <c r="L42" i="6"/>
  <c r="N42" i="6"/>
  <c r="P42" i="6"/>
  <c r="R42" i="6"/>
  <c r="T42" i="6"/>
  <c r="C43" i="6"/>
  <c r="D43" i="6"/>
  <c r="E43" i="6"/>
  <c r="F43" i="6"/>
  <c r="H43" i="6"/>
  <c r="L43" i="6"/>
  <c r="N43" i="6"/>
  <c r="P43" i="6"/>
  <c r="R43" i="6"/>
  <c r="T43" i="6"/>
  <c r="C44" i="6"/>
  <c r="D44" i="6"/>
  <c r="E44" i="6"/>
  <c r="F44" i="6"/>
  <c r="H44" i="6"/>
  <c r="L44" i="6"/>
  <c r="N44" i="6"/>
  <c r="P44" i="6"/>
  <c r="R44" i="6"/>
  <c r="T44" i="6"/>
  <c r="C45" i="6"/>
  <c r="D45" i="6"/>
  <c r="E45" i="6"/>
  <c r="F45" i="6"/>
  <c r="H45" i="6"/>
  <c r="L45" i="6"/>
  <c r="N45" i="6"/>
  <c r="P45" i="6"/>
  <c r="R45" i="6"/>
  <c r="T45" i="6"/>
  <c r="C46" i="6"/>
  <c r="D46" i="6"/>
  <c r="E46" i="6"/>
  <c r="F46" i="6"/>
  <c r="H46" i="6"/>
  <c r="L46" i="6"/>
  <c r="N46" i="6"/>
  <c r="Q46" i="6"/>
  <c r="R46" i="6"/>
  <c r="S46" i="6"/>
  <c r="T46" i="6"/>
  <c r="C47" i="6"/>
  <c r="D47" i="6"/>
  <c r="E47" i="6"/>
  <c r="F47" i="6"/>
  <c r="H47" i="6"/>
  <c r="N47" i="6"/>
  <c r="R47" i="6"/>
  <c r="Q47" i="6" s="1"/>
  <c r="S47" i="6" s="1"/>
  <c r="T47" i="6"/>
  <c r="C48" i="6"/>
  <c r="D48" i="6"/>
  <c r="E48" i="6"/>
  <c r="F48" i="6"/>
  <c r="H48" i="6"/>
  <c r="L48" i="6"/>
  <c r="N48" i="6"/>
  <c r="Q48" i="6"/>
  <c r="R48" i="6"/>
  <c r="S48" i="6"/>
  <c r="T48" i="6"/>
  <c r="C49" i="6"/>
  <c r="D49" i="6"/>
  <c r="E49" i="6"/>
  <c r="F49" i="6"/>
  <c r="H49" i="6"/>
  <c r="N49" i="6"/>
  <c r="R49" i="6"/>
  <c r="Q49" i="6" s="1"/>
  <c r="S49" i="6" s="1"/>
  <c r="T49" i="6"/>
  <c r="C50" i="6"/>
  <c r="D50" i="6"/>
  <c r="E50" i="6"/>
  <c r="F50" i="6"/>
  <c r="H50" i="6"/>
  <c r="L50" i="6"/>
  <c r="N50" i="6"/>
  <c r="Q50" i="6"/>
  <c r="R50" i="6"/>
  <c r="S50" i="6"/>
  <c r="T50" i="6"/>
  <c r="C51" i="6"/>
  <c r="D51" i="6"/>
  <c r="E51" i="6"/>
  <c r="F51" i="6"/>
  <c r="H51" i="6"/>
  <c r="N51" i="6"/>
  <c r="R51" i="6"/>
  <c r="Q51" i="6" s="1"/>
  <c r="S51" i="6" s="1"/>
  <c r="T51" i="6"/>
  <c r="C52" i="6"/>
  <c r="D52" i="6"/>
  <c r="E52" i="6"/>
  <c r="F52" i="6"/>
  <c r="H52" i="6"/>
  <c r="I52" i="6"/>
  <c r="N52" i="6"/>
  <c r="R52" i="6"/>
  <c r="Q52" i="6" s="1"/>
  <c r="S52" i="6" s="1"/>
  <c r="T52" i="6"/>
  <c r="C53" i="6"/>
  <c r="D53" i="6"/>
  <c r="E53" i="6"/>
  <c r="F53" i="6"/>
  <c r="H53" i="6"/>
  <c r="I53" i="6"/>
  <c r="N53" i="6"/>
  <c r="R53" i="6"/>
  <c r="Q53" i="6" s="1"/>
  <c r="S53" i="6" s="1"/>
  <c r="T53" i="6"/>
  <c r="C54" i="6"/>
  <c r="D54" i="6"/>
  <c r="E54" i="6"/>
  <c r="F54" i="6"/>
  <c r="H54" i="6"/>
  <c r="I54" i="6"/>
  <c r="N54" i="6"/>
  <c r="R54" i="6"/>
  <c r="Q54" i="6" s="1"/>
  <c r="S54" i="6" s="1"/>
  <c r="T54" i="6"/>
  <c r="C55" i="6"/>
  <c r="D55" i="6"/>
  <c r="E55" i="6"/>
  <c r="F55" i="6"/>
  <c r="H55" i="6"/>
  <c r="I55" i="6"/>
  <c r="N55" i="6"/>
  <c r="R55" i="6"/>
  <c r="Q55" i="6" s="1"/>
  <c r="S55" i="6" s="1"/>
  <c r="T55" i="6"/>
  <c r="C56" i="6"/>
  <c r="D56" i="6"/>
  <c r="E56" i="6"/>
  <c r="F56" i="6"/>
  <c r="H56" i="6"/>
  <c r="I56" i="6"/>
  <c r="N56" i="6"/>
  <c r="R56" i="6"/>
  <c r="Q56" i="6" s="1"/>
  <c r="S56" i="6" s="1"/>
  <c r="T56" i="6"/>
  <c r="C57" i="6"/>
  <c r="D57" i="6"/>
  <c r="E57" i="6"/>
  <c r="F57" i="6"/>
  <c r="H57" i="6"/>
  <c r="I57" i="6"/>
  <c r="N57" i="6"/>
  <c r="R57" i="6"/>
  <c r="Q57" i="6" s="1"/>
  <c r="S57" i="6" s="1"/>
  <c r="T57" i="6"/>
  <c r="C58" i="6"/>
  <c r="D58" i="6"/>
  <c r="E58" i="6"/>
  <c r="F58" i="6"/>
  <c r="H58" i="6"/>
  <c r="I58" i="6"/>
  <c r="N58" i="6"/>
  <c r="R58" i="6"/>
  <c r="Q58" i="6" s="1"/>
  <c r="S58" i="6" s="1"/>
  <c r="T58" i="6"/>
  <c r="C59" i="6"/>
  <c r="D59" i="6"/>
  <c r="E59" i="6"/>
  <c r="F59" i="6"/>
  <c r="H59" i="6"/>
  <c r="I59" i="6"/>
  <c r="N59" i="6"/>
  <c r="R59" i="6"/>
  <c r="Q59" i="6" s="1"/>
  <c r="S59" i="6" s="1"/>
  <c r="T59" i="6"/>
  <c r="C60" i="6"/>
  <c r="D60" i="6"/>
  <c r="E60" i="6"/>
  <c r="F60" i="6"/>
  <c r="H60" i="6"/>
  <c r="I60" i="6"/>
  <c r="N60" i="6"/>
  <c r="R60" i="6"/>
  <c r="Q60" i="6" s="1"/>
  <c r="S60" i="6" s="1"/>
  <c r="T60" i="6"/>
  <c r="C61" i="6"/>
  <c r="D61" i="6"/>
  <c r="E61" i="6"/>
  <c r="F61" i="6"/>
  <c r="H61" i="6"/>
  <c r="I61" i="6"/>
  <c r="N61" i="6"/>
  <c r="R61" i="6"/>
  <c r="Q61" i="6" s="1"/>
  <c r="S61" i="6" s="1"/>
  <c r="T61" i="6"/>
  <c r="C62" i="6"/>
  <c r="D62" i="6"/>
  <c r="E62" i="6"/>
  <c r="F62" i="6"/>
  <c r="H62" i="6"/>
  <c r="I62" i="6"/>
  <c r="N62" i="6"/>
  <c r="R62" i="6"/>
  <c r="Q62" i="6" s="1"/>
  <c r="S62" i="6"/>
  <c r="T62" i="6"/>
  <c r="C63" i="6"/>
  <c r="D63" i="6"/>
  <c r="E63" i="6"/>
  <c r="F63" i="6"/>
  <c r="H63" i="6"/>
  <c r="I63" i="6"/>
  <c r="L63" i="6"/>
  <c r="N63" i="6"/>
  <c r="Q63" i="6"/>
  <c r="R63" i="6"/>
  <c r="S63" i="6"/>
  <c r="T63" i="6"/>
  <c r="C64" i="6"/>
  <c r="D64" i="6"/>
  <c r="E64" i="6"/>
  <c r="F64" i="6"/>
  <c r="H64" i="6"/>
  <c r="I64" i="6"/>
  <c r="L64" i="6"/>
  <c r="N64" i="6"/>
  <c r="Q64" i="6"/>
  <c r="R64" i="6"/>
  <c r="S64" i="6"/>
  <c r="T64" i="6"/>
  <c r="C65" i="6"/>
  <c r="D65" i="6"/>
  <c r="E65" i="6"/>
  <c r="F65" i="6"/>
  <c r="H65" i="6"/>
  <c r="I65" i="6"/>
  <c r="L65" i="6"/>
  <c r="N65" i="6"/>
  <c r="Q65" i="6"/>
  <c r="R65" i="6"/>
  <c r="S65" i="6"/>
  <c r="T65" i="6"/>
  <c r="C66" i="6"/>
  <c r="D66" i="6"/>
  <c r="E66" i="6"/>
  <c r="F66" i="6"/>
  <c r="H66" i="6"/>
  <c r="I66" i="6"/>
  <c r="L66" i="6"/>
  <c r="N66" i="6"/>
  <c r="Q66" i="6"/>
  <c r="R66" i="6"/>
  <c r="S66" i="6"/>
  <c r="T66" i="6"/>
  <c r="C67" i="6"/>
  <c r="D67" i="6"/>
  <c r="E67" i="6"/>
  <c r="F67" i="6"/>
  <c r="H67" i="6"/>
  <c r="I67" i="6"/>
  <c r="L67" i="6"/>
  <c r="N67" i="6"/>
  <c r="Q67" i="6"/>
  <c r="R67" i="6"/>
  <c r="S67" i="6"/>
  <c r="T67" i="6"/>
  <c r="C68" i="6"/>
  <c r="D68" i="6"/>
  <c r="E68" i="6"/>
  <c r="F68" i="6"/>
  <c r="H68" i="6"/>
  <c r="I68" i="6"/>
  <c r="L68" i="6"/>
  <c r="N68" i="6"/>
  <c r="Q68" i="6"/>
  <c r="R68" i="6"/>
  <c r="S68" i="6"/>
  <c r="T68" i="6"/>
  <c r="C69" i="6"/>
  <c r="D69" i="6"/>
  <c r="E69" i="6"/>
  <c r="F69" i="6"/>
  <c r="H69" i="6"/>
  <c r="I69" i="6"/>
  <c r="L69" i="6"/>
  <c r="N69" i="6"/>
  <c r="Q69" i="6"/>
  <c r="R69" i="6"/>
  <c r="S69" i="6"/>
  <c r="T69" i="6"/>
  <c r="C70" i="6"/>
  <c r="D70" i="6"/>
  <c r="E70" i="6"/>
  <c r="F70" i="6"/>
  <c r="H70" i="6"/>
  <c r="I70" i="6"/>
  <c r="L70" i="6"/>
  <c r="N70" i="6"/>
  <c r="Q70" i="6"/>
  <c r="R70" i="6"/>
  <c r="S70" i="6"/>
  <c r="T70" i="6"/>
  <c r="C71" i="6"/>
  <c r="D71" i="6"/>
  <c r="E71" i="6"/>
  <c r="F71" i="6"/>
  <c r="H71" i="6"/>
  <c r="I71" i="6"/>
  <c r="L71" i="6"/>
  <c r="N71" i="6"/>
  <c r="Q71" i="6"/>
  <c r="R71" i="6"/>
  <c r="S71" i="6"/>
  <c r="T71" i="6"/>
  <c r="C72" i="6"/>
  <c r="D72" i="6"/>
  <c r="E72" i="6"/>
  <c r="F72" i="6"/>
  <c r="H72" i="6"/>
  <c r="I72" i="6"/>
  <c r="L72" i="6"/>
  <c r="N72" i="6"/>
  <c r="Q72" i="6"/>
  <c r="R72" i="6"/>
  <c r="S72" i="6"/>
  <c r="T72" i="6"/>
  <c r="C73" i="6"/>
  <c r="D73" i="6"/>
  <c r="E73" i="6"/>
  <c r="F73" i="6"/>
  <c r="H73" i="6"/>
  <c r="I73" i="6"/>
  <c r="L73" i="6"/>
  <c r="N73" i="6"/>
  <c r="Q73" i="6"/>
  <c r="R73" i="6"/>
  <c r="S73" i="6"/>
  <c r="T73" i="6"/>
  <c r="C74" i="6"/>
  <c r="D74" i="6"/>
  <c r="E74" i="6"/>
  <c r="F74" i="6"/>
  <c r="H74" i="6"/>
  <c r="I74" i="6"/>
  <c r="L74" i="6"/>
  <c r="N74" i="6"/>
  <c r="Q74" i="6"/>
  <c r="R74" i="6"/>
  <c r="S74" i="6"/>
  <c r="T74" i="6"/>
  <c r="C75" i="6"/>
  <c r="D75" i="6"/>
  <c r="E75" i="6"/>
  <c r="F75" i="6"/>
  <c r="H75" i="6"/>
  <c r="I75" i="6"/>
  <c r="L75" i="6"/>
  <c r="N75" i="6"/>
  <c r="Q75" i="6"/>
  <c r="R75" i="6"/>
  <c r="S75" i="6"/>
  <c r="T75" i="6"/>
  <c r="C76" i="6"/>
  <c r="D76" i="6"/>
  <c r="E76" i="6"/>
  <c r="F76" i="6"/>
  <c r="H76" i="6"/>
  <c r="I76" i="6"/>
  <c r="L76" i="6"/>
  <c r="N76" i="6"/>
  <c r="Q76" i="6"/>
  <c r="R76" i="6"/>
  <c r="S76" i="6"/>
  <c r="T76" i="6"/>
  <c r="C77" i="6"/>
  <c r="D77" i="6"/>
  <c r="E77" i="6"/>
  <c r="F77" i="6"/>
  <c r="H77" i="6"/>
  <c r="I77" i="6"/>
  <c r="L77" i="6"/>
  <c r="N77" i="6"/>
  <c r="Q77" i="6"/>
  <c r="R77" i="6"/>
  <c r="S77" i="6"/>
  <c r="T77" i="6"/>
  <c r="C78" i="6"/>
  <c r="D78" i="6"/>
  <c r="E78" i="6"/>
  <c r="F78" i="6"/>
  <c r="H78" i="6"/>
  <c r="I78" i="6"/>
  <c r="L78" i="6"/>
  <c r="N78" i="6"/>
  <c r="Q78" i="6"/>
  <c r="R78" i="6"/>
  <c r="S78" i="6"/>
  <c r="T78" i="6"/>
  <c r="C79" i="6"/>
  <c r="D79" i="6"/>
  <c r="E79" i="6"/>
  <c r="F79" i="6"/>
  <c r="H79" i="6"/>
  <c r="I79" i="6"/>
  <c r="L79" i="6"/>
  <c r="N79" i="6"/>
  <c r="Q79" i="6"/>
  <c r="R79" i="6"/>
  <c r="S79" i="6"/>
  <c r="T79" i="6"/>
  <c r="C80" i="6"/>
  <c r="D80" i="6"/>
  <c r="E80" i="6"/>
  <c r="F80" i="6"/>
  <c r="H80" i="6"/>
  <c r="I80" i="6"/>
  <c r="L80" i="6"/>
  <c r="N80" i="6"/>
  <c r="Q80" i="6"/>
  <c r="R80" i="6"/>
  <c r="S80" i="6"/>
  <c r="T80" i="6"/>
  <c r="C81" i="6"/>
  <c r="D81" i="6"/>
  <c r="E81" i="6"/>
  <c r="F81" i="6"/>
  <c r="H81" i="6"/>
  <c r="I81" i="6"/>
  <c r="L81" i="6"/>
  <c r="N81" i="6"/>
  <c r="Q81" i="6"/>
  <c r="R81" i="6"/>
  <c r="S81" i="6"/>
  <c r="T81" i="6"/>
  <c r="C82" i="6"/>
  <c r="D82" i="6"/>
  <c r="E82" i="6"/>
  <c r="F82" i="6"/>
  <c r="H82" i="6"/>
  <c r="I82" i="6"/>
  <c r="L82" i="6"/>
  <c r="N82" i="6"/>
  <c r="Q82" i="6"/>
  <c r="R82" i="6"/>
  <c r="S82" i="6"/>
  <c r="T82" i="6"/>
  <c r="C83" i="6"/>
  <c r="D83" i="6"/>
  <c r="E83" i="6"/>
  <c r="F83" i="6"/>
  <c r="H83" i="6"/>
  <c r="I83" i="6"/>
  <c r="L83" i="6"/>
  <c r="N83" i="6"/>
  <c r="Q83" i="6"/>
  <c r="R83" i="6"/>
  <c r="S83" i="6"/>
  <c r="T83" i="6"/>
  <c r="C84" i="6"/>
  <c r="D84" i="6"/>
  <c r="E84" i="6"/>
  <c r="F84" i="6"/>
  <c r="H84" i="6"/>
  <c r="I84" i="6"/>
  <c r="L84" i="6"/>
  <c r="N84" i="6"/>
  <c r="Q84" i="6"/>
  <c r="R84" i="6"/>
  <c r="S84" i="6"/>
  <c r="T84" i="6"/>
  <c r="C85" i="6"/>
  <c r="D85" i="6"/>
  <c r="E85" i="6"/>
  <c r="F85" i="6"/>
  <c r="H85" i="6"/>
  <c r="I85" i="6"/>
  <c r="L85" i="6"/>
  <c r="N85" i="6"/>
  <c r="Q85" i="6"/>
  <c r="R85" i="6"/>
  <c r="S85" i="6"/>
  <c r="T85" i="6"/>
  <c r="C86" i="6"/>
  <c r="D86" i="6"/>
  <c r="E86" i="6"/>
  <c r="F86" i="6"/>
  <c r="H86" i="6"/>
  <c r="I86" i="6"/>
  <c r="L86" i="6"/>
  <c r="N86" i="6"/>
  <c r="Q86" i="6"/>
  <c r="R86" i="6"/>
  <c r="S86" i="6"/>
  <c r="T86" i="6"/>
  <c r="C87" i="6"/>
  <c r="D87" i="6"/>
  <c r="E87" i="6"/>
  <c r="F87" i="6"/>
  <c r="H87" i="6"/>
  <c r="I87" i="6"/>
  <c r="L87" i="6"/>
  <c r="N87" i="6"/>
  <c r="Q87" i="6"/>
  <c r="R87" i="6"/>
  <c r="S87" i="6"/>
  <c r="T87" i="6"/>
  <c r="C88" i="6"/>
  <c r="D88" i="6"/>
  <c r="E88" i="6"/>
  <c r="F88" i="6"/>
  <c r="H88" i="6"/>
  <c r="I88" i="6"/>
  <c r="L88" i="6"/>
  <c r="N88" i="6"/>
  <c r="Q88" i="6"/>
  <c r="R88" i="6"/>
  <c r="S88" i="6"/>
  <c r="T88" i="6"/>
  <c r="C89" i="6"/>
  <c r="D89" i="6"/>
  <c r="E89" i="6"/>
  <c r="F89" i="6"/>
  <c r="H89" i="6"/>
  <c r="I89" i="6"/>
  <c r="L89" i="6"/>
  <c r="N89" i="6"/>
  <c r="Q89" i="6"/>
  <c r="R89" i="6"/>
  <c r="S89" i="6"/>
  <c r="T89" i="6"/>
  <c r="C90" i="6"/>
  <c r="D90" i="6"/>
  <c r="E90" i="6"/>
  <c r="F90" i="6"/>
  <c r="H90" i="6"/>
  <c r="I90" i="6"/>
  <c r="L90" i="6"/>
  <c r="N90" i="6"/>
  <c r="Q90" i="6"/>
  <c r="R90" i="6"/>
  <c r="S90" i="6"/>
  <c r="T90" i="6"/>
  <c r="C91" i="6"/>
  <c r="D91" i="6"/>
  <c r="E91" i="6"/>
  <c r="F91" i="6"/>
  <c r="H91" i="6"/>
  <c r="I91" i="6"/>
  <c r="L91" i="6"/>
  <c r="N91" i="6"/>
  <c r="Q91" i="6"/>
  <c r="R91" i="6"/>
  <c r="S91" i="6"/>
  <c r="T91" i="6"/>
  <c r="C92" i="6"/>
  <c r="D92" i="6"/>
  <c r="E92" i="6"/>
  <c r="F92" i="6"/>
  <c r="H92" i="6"/>
  <c r="I92" i="6"/>
  <c r="L92" i="6"/>
  <c r="N92" i="6"/>
  <c r="Q92" i="6"/>
  <c r="R92" i="6"/>
  <c r="S92" i="6"/>
  <c r="T92" i="6"/>
  <c r="C93" i="6"/>
  <c r="D93" i="6"/>
  <c r="E93" i="6"/>
  <c r="F93" i="6"/>
  <c r="H93" i="6"/>
  <c r="I93" i="6"/>
  <c r="L93" i="6"/>
  <c r="N93" i="6"/>
  <c r="Q93" i="6"/>
  <c r="R93" i="6"/>
  <c r="S93" i="6"/>
  <c r="T93" i="6"/>
  <c r="C94" i="6"/>
  <c r="D94" i="6"/>
  <c r="E94" i="6"/>
  <c r="F94" i="6"/>
  <c r="H94" i="6"/>
  <c r="I94" i="6"/>
  <c r="L94" i="6"/>
  <c r="N94" i="6"/>
  <c r="Q94" i="6"/>
  <c r="R94" i="6"/>
  <c r="S94" i="6"/>
  <c r="T94" i="6"/>
  <c r="C95" i="6"/>
  <c r="D95" i="6"/>
  <c r="E95" i="6"/>
  <c r="F95" i="6"/>
  <c r="H95" i="6"/>
  <c r="I95" i="6"/>
  <c r="L95" i="6"/>
  <c r="N95" i="6"/>
  <c r="Q95" i="6"/>
  <c r="R95" i="6"/>
  <c r="S95" i="6"/>
  <c r="T95" i="6"/>
  <c r="C96" i="6"/>
  <c r="D96" i="6"/>
  <c r="E96" i="6"/>
  <c r="F96" i="6"/>
  <c r="H96" i="6"/>
  <c r="I96" i="6"/>
  <c r="L96" i="6"/>
  <c r="N96" i="6"/>
  <c r="Q96" i="6"/>
  <c r="R96" i="6"/>
  <c r="S96" i="6"/>
  <c r="T96" i="6"/>
  <c r="C97" i="6"/>
  <c r="D97" i="6"/>
  <c r="E97" i="6"/>
  <c r="F97" i="6"/>
  <c r="H97" i="6"/>
  <c r="I97" i="6"/>
  <c r="L97" i="6"/>
  <c r="N97" i="6"/>
  <c r="Q97" i="6"/>
  <c r="R97" i="6"/>
  <c r="S97" i="6"/>
  <c r="T97" i="6"/>
  <c r="C98" i="6"/>
  <c r="D98" i="6"/>
  <c r="E98" i="6"/>
  <c r="F98" i="6"/>
  <c r="H98" i="6"/>
  <c r="I98" i="6"/>
  <c r="L98" i="6"/>
  <c r="N98" i="6"/>
  <c r="Q98" i="6"/>
  <c r="R98" i="6"/>
  <c r="S98" i="6"/>
  <c r="T98" i="6"/>
  <c r="C99" i="6"/>
  <c r="D99" i="6"/>
  <c r="E99" i="6"/>
  <c r="F99" i="6"/>
  <c r="H99" i="6"/>
  <c r="I99" i="6"/>
  <c r="L99" i="6"/>
  <c r="N99" i="6"/>
  <c r="Q99" i="6"/>
  <c r="R99" i="6"/>
  <c r="S99" i="6"/>
  <c r="T99" i="6"/>
  <c r="C100" i="6"/>
  <c r="D100" i="6"/>
  <c r="E100" i="6"/>
  <c r="F100" i="6"/>
  <c r="H100" i="6"/>
  <c r="I100" i="6"/>
  <c r="L100" i="6"/>
  <c r="N100" i="6"/>
  <c r="Q100" i="6"/>
  <c r="R100" i="6"/>
  <c r="S100" i="6"/>
  <c r="T100" i="6"/>
  <c r="C101" i="6"/>
  <c r="D101" i="6"/>
  <c r="E101" i="6"/>
  <c r="F101" i="6"/>
  <c r="H101" i="6"/>
  <c r="I101" i="6"/>
  <c r="L101" i="6"/>
  <c r="N101" i="6"/>
  <c r="Q101" i="6"/>
  <c r="R101" i="6"/>
  <c r="S101" i="6"/>
  <c r="T101" i="6"/>
  <c r="C102" i="6"/>
  <c r="D102" i="6"/>
  <c r="E102" i="6"/>
  <c r="F102" i="6"/>
  <c r="H102" i="6"/>
  <c r="I102" i="6"/>
  <c r="L102" i="6"/>
  <c r="N102" i="6"/>
  <c r="Q102" i="6"/>
  <c r="R102" i="6"/>
  <c r="S102" i="6"/>
  <c r="T102" i="6"/>
  <c r="C103" i="6"/>
  <c r="D103" i="6"/>
  <c r="E103" i="6"/>
  <c r="F103" i="6"/>
  <c r="H103" i="6"/>
  <c r="I103" i="6"/>
  <c r="L103" i="6"/>
  <c r="N103" i="6"/>
  <c r="Q103" i="6"/>
  <c r="R103" i="6"/>
  <c r="S103" i="6"/>
  <c r="T103" i="6"/>
  <c r="C104" i="6"/>
  <c r="D104" i="6"/>
  <c r="E104" i="6"/>
  <c r="F104" i="6"/>
  <c r="H104" i="6"/>
  <c r="I104" i="6"/>
  <c r="L104" i="6"/>
  <c r="N104" i="6"/>
  <c r="Q104" i="6"/>
  <c r="R104" i="6"/>
  <c r="S104" i="6"/>
  <c r="T104" i="6"/>
  <c r="C105" i="6"/>
  <c r="D105" i="6"/>
  <c r="E105" i="6"/>
  <c r="F105" i="6"/>
  <c r="H105" i="6"/>
  <c r="I105" i="6"/>
  <c r="L105" i="6"/>
  <c r="N105" i="6"/>
  <c r="Q105" i="6"/>
  <c r="R105" i="6"/>
  <c r="S105" i="6"/>
  <c r="T105" i="6"/>
  <c r="C106" i="6"/>
  <c r="D106" i="6"/>
  <c r="E106" i="6"/>
  <c r="F106" i="6"/>
  <c r="H106" i="6"/>
  <c r="I106" i="6"/>
  <c r="L106" i="6"/>
  <c r="N106" i="6"/>
  <c r="Q106" i="6"/>
  <c r="R106" i="6"/>
  <c r="S106" i="6"/>
  <c r="T106" i="6"/>
  <c r="C107" i="6"/>
  <c r="D107" i="6"/>
  <c r="E107" i="6"/>
  <c r="F107" i="6"/>
  <c r="H107" i="6"/>
  <c r="I107" i="6"/>
  <c r="L107" i="6"/>
  <c r="N107" i="6"/>
  <c r="Q107" i="6"/>
  <c r="R107" i="6"/>
  <c r="S107" i="6"/>
  <c r="T107" i="6"/>
  <c r="C108" i="6"/>
  <c r="D108" i="6"/>
  <c r="E108" i="6"/>
  <c r="F108" i="6"/>
  <c r="H108" i="6"/>
  <c r="I108" i="6"/>
  <c r="L108" i="6"/>
  <c r="N108" i="6"/>
  <c r="Q108" i="6"/>
  <c r="R108" i="6"/>
  <c r="S108" i="6"/>
  <c r="T108" i="6"/>
  <c r="C109" i="6"/>
  <c r="D109" i="6"/>
  <c r="E109" i="6"/>
  <c r="F109" i="6"/>
  <c r="H109" i="6"/>
  <c r="I109" i="6"/>
  <c r="L109" i="6"/>
  <c r="N109" i="6"/>
  <c r="Q109" i="6"/>
  <c r="R109" i="6"/>
  <c r="S109" i="6"/>
  <c r="T109" i="6"/>
  <c r="C110" i="6"/>
  <c r="D110" i="6"/>
  <c r="E110" i="6"/>
  <c r="F110" i="6"/>
  <c r="H110" i="6"/>
  <c r="I110" i="6"/>
  <c r="L110" i="6"/>
  <c r="N110" i="6"/>
  <c r="Q110" i="6"/>
  <c r="R110" i="6"/>
  <c r="S110" i="6"/>
  <c r="T110" i="6"/>
  <c r="C111" i="6"/>
  <c r="D111" i="6"/>
  <c r="E111" i="6"/>
  <c r="F111" i="6"/>
  <c r="H111" i="6"/>
  <c r="I111" i="6"/>
  <c r="L111" i="6"/>
  <c r="N111" i="6"/>
  <c r="Q111" i="6"/>
  <c r="R111" i="6"/>
  <c r="S111" i="6"/>
  <c r="T111" i="6"/>
  <c r="C112" i="6"/>
  <c r="D112" i="6"/>
  <c r="E112" i="6"/>
  <c r="F112" i="6"/>
  <c r="H112" i="6"/>
  <c r="I112" i="6"/>
  <c r="L112" i="6"/>
  <c r="N112" i="6"/>
  <c r="Q112" i="6"/>
  <c r="R112" i="6"/>
  <c r="S112" i="6"/>
  <c r="T112" i="6"/>
  <c r="C113" i="6"/>
  <c r="D113" i="6"/>
  <c r="E113" i="6"/>
  <c r="F113" i="6"/>
  <c r="H113" i="6"/>
  <c r="I113" i="6"/>
  <c r="L113" i="6"/>
  <c r="N113" i="6"/>
  <c r="Q113" i="6"/>
  <c r="R113" i="6"/>
  <c r="S113" i="6"/>
  <c r="T113" i="6"/>
  <c r="C114" i="6"/>
  <c r="D114" i="6"/>
  <c r="E114" i="6"/>
  <c r="F114" i="6"/>
  <c r="H114" i="6"/>
  <c r="I114" i="6"/>
  <c r="L114" i="6"/>
  <c r="N114" i="6"/>
  <c r="Q114" i="6"/>
  <c r="R114" i="6"/>
  <c r="S114" i="6"/>
  <c r="T114" i="6"/>
  <c r="C115" i="6"/>
  <c r="D115" i="6"/>
  <c r="E115" i="6"/>
  <c r="F115" i="6"/>
  <c r="H115" i="6"/>
  <c r="I115" i="6"/>
  <c r="L115" i="6"/>
  <c r="N115" i="6"/>
  <c r="Q115" i="6"/>
  <c r="R115" i="6"/>
  <c r="S115" i="6"/>
  <c r="T115" i="6"/>
  <c r="C116" i="6"/>
  <c r="D116" i="6"/>
  <c r="E116" i="6"/>
  <c r="F116" i="6"/>
  <c r="H116" i="6"/>
  <c r="I116" i="6"/>
  <c r="L116" i="6"/>
  <c r="N116" i="6"/>
  <c r="Q116" i="6"/>
  <c r="R116" i="6"/>
  <c r="S116" i="6"/>
  <c r="T116" i="6"/>
  <c r="C117" i="6"/>
  <c r="D117" i="6"/>
  <c r="E117" i="6"/>
  <c r="F117" i="6"/>
  <c r="H117" i="6"/>
  <c r="I117" i="6"/>
  <c r="L117" i="6"/>
  <c r="N117" i="6"/>
  <c r="Q117" i="6"/>
  <c r="R117" i="6"/>
  <c r="S117" i="6"/>
  <c r="T117" i="6"/>
  <c r="C118" i="6"/>
  <c r="D118" i="6"/>
  <c r="E118" i="6"/>
  <c r="F118" i="6"/>
  <c r="H118" i="6"/>
  <c r="I118" i="6"/>
  <c r="L118" i="6"/>
  <c r="N118" i="6"/>
  <c r="Q118" i="6"/>
  <c r="R118" i="6"/>
  <c r="S118" i="6"/>
  <c r="T118" i="6"/>
  <c r="C119" i="6"/>
  <c r="D119" i="6"/>
  <c r="E119" i="6"/>
  <c r="F119" i="6"/>
  <c r="H119" i="6"/>
  <c r="I119" i="6"/>
  <c r="L119" i="6"/>
  <c r="N119" i="6"/>
  <c r="Q119" i="6"/>
  <c r="R119" i="6"/>
  <c r="S119" i="6"/>
  <c r="T119" i="6"/>
  <c r="C120" i="6"/>
  <c r="D120" i="6"/>
  <c r="E120" i="6"/>
  <c r="F120" i="6"/>
  <c r="H120" i="6"/>
  <c r="I120" i="6"/>
  <c r="L120" i="6"/>
  <c r="N120" i="6"/>
  <c r="Q120" i="6"/>
  <c r="R120" i="6"/>
  <c r="S120" i="6"/>
  <c r="T120" i="6"/>
  <c r="C121" i="6"/>
  <c r="D121" i="6"/>
  <c r="E121" i="6"/>
  <c r="F121" i="6"/>
  <c r="H121" i="6"/>
  <c r="I121" i="6"/>
  <c r="L121" i="6"/>
  <c r="N121" i="6"/>
  <c r="Q121" i="6"/>
  <c r="R121" i="6"/>
  <c r="S121" i="6"/>
  <c r="T121" i="6"/>
  <c r="C122" i="6"/>
  <c r="D122" i="6"/>
  <c r="E122" i="6"/>
  <c r="F122" i="6"/>
  <c r="H122" i="6"/>
  <c r="I122" i="6"/>
  <c r="L122" i="6"/>
  <c r="N122" i="6"/>
  <c r="Q122" i="6"/>
  <c r="R122" i="6"/>
  <c r="S122" i="6"/>
  <c r="T122" i="6"/>
  <c r="C123" i="6"/>
  <c r="D123" i="6"/>
  <c r="E123" i="6"/>
  <c r="F123" i="6"/>
  <c r="H123" i="6"/>
  <c r="I123" i="6"/>
  <c r="L123" i="6"/>
  <c r="N123" i="6"/>
  <c r="Q123" i="6"/>
  <c r="R123" i="6"/>
  <c r="S123" i="6"/>
  <c r="T123" i="6"/>
  <c r="C124" i="6"/>
  <c r="D124" i="6"/>
  <c r="E124" i="6"/>
  <c r="F124" i="6"/>
  <c r="H124" i="6"/>
  <c r="I124" i="6"/>
  <c r="L124" i="6"/>
  <c r="N124" i="6"/>
  <c r="Q124" i="6"/>
  <c r="R124" i="6"/>
  <c r="S124" i="6"/>
  <c r="T124" i="6"/>
  <c r="C125" i="6"/>
  <c r="D125" i="6"/>
  <c r="E125" i="6"/>
  <c r="F125" i="6"/>
  <c r="H125" i="6"/>
  <c r="I125" i="6"/>
  <c r="L125" i="6"/>
  <c r="N125" i="6"/>
  <c r="Q125" i="6"/>
  <c r="R125" i="6"/>
  <c r="S125" i="6"/>
  <c r="T125" i="6"/>
  <c r="C126" i="6"/>
  <c r="D126" i="6"/>
  <c r="E126" i="6"/>
  <c r="F126" i="6"/>
  <c r="H126" i="6"/>
  <c r="I126" i="6"/>
  <c r="L126" i="6"/>
  <c r="N126" i="6"/>
  <c r="Q126" i="6"/>
  <c r="R126" i="6"/>
  <c r="S126" i="6"/>
  <c r="T126" i="6"/>
  <c r="C127" i="6"/>
  <c r="D127" i="6"/>
  <c r="E127" i="6"/>
  <c r="F127" i="6"/>
  <c r="H127" i="6"/>
  <c r="I127" i="6"/>
  <c r="L127" i="6"/>
  <c r="N127" i="6"/>
  <c r="Q127" i="6"/>
  <c r="R127" i="6"/>
  <c r="S127" i="6"/>
  <c r="T127" i="6"/>
  <c r="C128" i="6"/>
  <c r="D128" i="6"/>
  <c r="E128" i="6"/>
  <c r="F128" i="6"/>
  <c r="H128" i="6"/>
  <c r="I128" i="6"/>
  <c r="L128" i="6"/>
  <c r="N128" i="6"/>
  <c r="Q128" i="6"/>
  <c r="R128" i="6"/>
  <c r="S128" i="6"/>
  <c r="T128" i="6"/>
  <c r="C129" i="6"/>
  <c r="D129" i="6"/>
  <c r="E129" i="6"/>
  <c r="F129" i="6"/>
  <c r="H129" i="6"/>
  <c r="I129" i="6"/>
  <c r="L129" i="6"/>
  <c r="N129" i="6"/>
  <c r="Q129" i="6"/>
  <c r="R129" i="6"/>
  <c r="S129" i="6"/>
  <c r="T129" i="6"/>
  <c r="C130" i="6"/>
  <c r="D130" i="6"/>
  <c r="E130" i="6"/>
  <c r="F130" i="6"/>
  <c r="H130" i="6"/>
  <c r="I130" i="6"/>
  <c r="L130" i="6"/>
  <c r="N130" i="6"/>
  <c r="Q130" i="6"/>
  <c r="R130" i="6"/>
  <c r="S130" i="6"/>
  <c r="T130" i="6"/>
  <c r="C131" i="6"/>
  <c r="D131" i="6"/>
  <c r="E131" i="6"/>
  <c r="F131" i="6"/>
  <c r="H131" i="6"/>
  <c r="I131" i="6"/>
  <c r="L131" i="6"/>
  <c r="N131" i="6"/>
  <c r="Q131" i="6"/>
  <c r="R131" i="6"/>
  <c r="S131" i="6"/>
  <c r="T131" i="6"/>
  <c r="C132" i="6"/>
  <c r="D132" i="6"/>
  <c r="E132" i="6"/>
  <c r="F132" i="6"/>
  <c r="H132" i="6"/>
  <c r="I132" i="6"/>
  <c r="L132" i="6"/>
  <c r="N132" i="6"/>
  <c r="Q132" i="6"/>
  <c r="R132" i="6"/>
  <c r="S132" i="6"/>
  <c r="T132" i="6"/>
  <c r="C133" i="6"/>
  <c r="D133" i="6"/>
  <c r="E133" i="6"/>
  <c r="F133" i="6"/>
  <c r="H133" i="6"/>
  <c r="I133" i="6"/>
  <c r="L133" i="6"/>
  <c r="N133" i="6"/>
  <c r="Q133" i="6"/>
  <c r="R133" i="6"/>
  <c r="S133" i="6"/>
  <c r="T133" i="6"/>
  <c r="C134" i="6"/>
  <c r="D134" i="6"/>
  <c r="E134" i="6"/>
  <c r="F134" i="6"/>
  <c r="H134" i="6"/>
  <c r="I134" i="6"/>
  <c r="L134" i="6"/>
  <c r="N134" i="6"/>
  <c r="Q134" i="6"/>
  <c r="R134" i="6"/>
  <c r="S134" i="6"/>
  <c r="T134" i="6"/>
  <c r="C135" i="6"/>
  <c r="D135" i="6"/>
  <c r="E135" i="6"/>
  <c r="F135" i="6"/>
  <c r="H135" i="6"/>
  <c r="I135" i="6"/>
  <c r="L135" i="6"/>
  <c r="N135" i="6"/>
  <c r="Q135" i="6"/>
  <c r="R135" i="6"/>
  <c r="S135" i="6"/>
  <c r="T135" i="6"/>
  <c r="C136" i="6"/>
  <c r="D136" i="6"/>
  <c r="E136" i="6"/>
  <c r="F136" i="6"/>
  <c r="H136" i="6"/>
  <c r="I136" i="6"/>
  <c r="L136" i="6"/>
  <c r="N136" i="6"/>
  <c r="Q136" i="6"/>
  <c r="R136" i="6"/>
  <c r="S136" i="6"/>
  <c r="T136" i="6"/>
  <c r="C137" i="6"/>
  <c r="D137" i="6"/>
  <c r="E137" i="6"/>
  <c r="F137" i="6"/>
  <c r="H137" i="6"/>
  <c r="I137" i="6"/>
  <c r="L137" i="6"/>
  <c r="N137" i="6"/>
  <c r="Q137" i="6"/>
  <c r="R137" i="6"/>
  <c r="S137" i="6"/>
  <c r="T137" i="6"/>
  <c r="C138" i="6"/>
  <c r="D138" i="6"/>
  <c r="E138" i="6"/>
  <c r="F138" i="6"/>
  <c r="H138" i="6"/>
  <c r="I138" i="6"/>
  <c r="L138" i="6"/>
  <c r="N138" i="6"/>
  <c r="Q138" i="6"/>
  <c r="R138" i="6"/>
  <c r="S138" i="6"/>
  <c r="T138" i="6"/>
  <c r="C139" i="6"/>
  <c r="D139" i="6"/>
  <c r="E139" i="6"/>
  <c r="F139" i="6"/>
  <c r="H139" i="6"/>
  <c r="I139" i="6"/>
  <c r="L139" i="6"/>
  <c r="N139" i="6"/>
  <c r="Q139" i="6"/>
  <c r="R139" i="6"/>
  <c r="S139" i="6"/>
  <c r="T139" i="6"/>
  <c r="C140" i="6"/>
  <c r="D140" i="6"/>
  <c r="E140" i="6"/>
  <c r="F140" i="6"/>
  <c r="H140" i="6"/>
  <c r="I140" i="6"/>
  <c r="L140" i="6"/>
  <c r="N140" i="6"/>
  <c r="Q140" i="6"/>
  <c r="R140" i="6"/>
  <c r="S140" i="6"/>
  <c r="T140" i="6"/>
  <c r="C141" i="6"/>
  <c r="D141" i="6"/>
  <c r="E141" i="6"/>
  <c r="F141" i="6"/>
  <c r="H141" i="6"/>
  <c r="I141" i="6"/>
  <c r="L141" i="6"/>
  <c r="N141" i="6"/>
  <c r="Q141" i="6"/>
  <c r="R141" i="6"/>
  <c r="S141" i="6"/>
  <c r="T141" i="6"/>
  <c r="C142" i="6"/>
  <c r="D142" i="6"/>
  <c r="E142" i="6"/>
  <c r="F142" i="6"/>
  <c r="H142" i="6"/>
  <c r="I142" i="6"/>
  <c r="L142" i="6"/>
  <c r="N142" i="6"/>
  <c r="Q142" i="6"/>
  <c r="R142" i="6"/>
  <c r="S142" i="6"/>
  <c r="T142" i="6"/>
  <c r="C143" i="6"/>
  <c r="D143" i="6"/>
  <c r="E143" i="6"/>
  <c r="F143" i="6"/>
  <c r="H143" i="6"/>
  <c r="I143" i="6"/>
  <c r="L143" i="6"/>
  <c r="N143" i="6"/>
  <c r="Q143" i="6"/>
  <c r="R143" i="6"/>
  <c r="S143" i="6"/>
  <c r="T143" i="6"/>
  <c r="C144" i="6"/>
  <c r="D144" i="6"/>
  <c r="E144" i="6"/>
  <c r="F144" i="6"/>
  <c r="H144" i="6"/>
  <c r="I144" i="6"/>
  <c r="L144" i="6"/>
  <c r="N144" i="6"/>
  <c r="Q144" i="6"/>
  <c r="R144" i="6"/>
  <c r="S144" i="6"/>
  <c r="T144" i="6"/>
  <c r="C145" i="6"/>
  <c r="D145" i="6"/>
  <c r="E145" i="6"/>
  <c r="F145" i="6"/>
  <c r="H145" i="6"/>
  <c r="I145" i="6"/>
  <c r="L145" i="6"/>
  <c r="N145" i="6"/>
  <c r="Q145" i="6"/>
  <c r="R145" i="6"/>
  <c r="S145" i="6"/>
  <c r="T145" i="6"/>
  <c r="C146" i="6"/>
  <c r="D146" i="6"/>
  <c r="E146" i="6"/>
  <c r="F146" i="6"/>
  <c r="H146" i="6"/>
  <c r="I146" i="6"/>
  <c r="L146" i="6"/>
  <c r="N146" i="6"/>
  <c r="Q146" i="6"/>
  <c r="R146" i="6"/>
  <c r="S146" i="6"/>
  <c r="T146" i="6"/>
  <c r="C147" i="6"/>
  <c r="D147" i="6"/>
  <c r="E147" i="6"/>
  <c r="F147" i="6"/>
  <c r="H147" i="6"/>
  <c r="I147" i="6"/>
  <c r="L147" i="6"/>
  <c r="N147" i="6"/>
  <c r="Q147" i="6"/>
  <c r="R147" i="6"/>
  <c r="S147" i="6"/>
  <c r="T147" i="6"/>
  <c r="C148" i="6"/>
  <c r="D148" i="6"/>
  <c r="E148" i="6"/>
  <c r="F148" i="6"/>
  <c r="H148" i="6"/>
  <c r="I148" i="6"/>
  <c r="L148" i="6"/>
  <c r="N148" i="6"/>
  <c r="Q148" i="6"/>
  <c r="R148" i="6"/>
  <c r="S148" i="6"/>
  <c r="T148" i="6"/>
  <c r="C149" i="6"/>
  <c r="D149" i="6"/>
  <c r="E149" i="6"/>
  <c r="F149" i="6"/>
  <c r="H149" i="6"/>
  <c r="I149" i="6"/>
  <c r="L149" i="6"/>
  <c r="N149" i="6"/>
  <c r="Q149" i="6"/>
  <c r="R149" i="6"/>
  <c r="S149" i="6"/>
  <c r="T149" i="6"/>
  <c r="C150" i="6"/>
  <c r="D150" i="6"/>
  <c r="E150" i="6"/>
  <c r="F150" i="6"/>
  <c r="H150" i="6"/>
  <c r="I150" i="6"/>
  <c r="L150" i="6"/>
  <c r="N150" i="6"/>
  <c r="Q150" i="6"/>
  <c r="R150" i="6"/>
  <c r="S150" i="6"/>
  <c r="T150" i="6"/>
  <c r="C151" i="6"/>
  <c r="D151" i="6"/>
  <c r="E151" i="6"/>
  <c r="F151" i="6"/>
  <c r="H151" i="6"/>
  <c r="I151" i="6"/>
  <c r="L151" i="6"/>
  <c r="N151" i="6"/>
  <c r="Q151" i="6"/>
  <c r="R151" i="6"/>
  <c r="S151" i="6"/>
  <c r="T151" i="6"/>
  <c r="C152" i="6"/>
  <c r="D152" i="6"/>
  <c r="E152" i="6"/>
  <c r="F152" i="6"/>
  <c r="H152" i="6"/>
  <c r="I152" i="6"/>
  <c r="L152" i="6"/>
  <c r="N152" i="6"/>
  <c r="Q152" i="6"/>
  <c r="R152" i="6"/>
  <c r="S152" i="6"/>
  <c r="T152" i="6"/>
  <c r="C153" i="6"/>
  <c r="D153" i="6"/>
  <c r="E153" i="6"/>
  <c r="F153" i="6"/>
  <c r="H153" i="6"/>
  <c r="I153" i="6"/>
  <c r="L153" i="6"/>
  <c r="N153" i="6"/>
  <c r="Q153" i="6"/>
  <c r="R153" i="6"/>
  <c r="S153" i="6"/>
  <c r="T153" i="6"/>
  <c r="C154" i="6"/>
  <c r="D154" i="6"/>
  <c r="E154" i="6"/>
  <c r="F154" i="6"/>
  <c r="H154" i="6"/>
  <c r="I154" i="6"/>
  <c r="L154" i="6"/>
  <c r="N154" i="6"/>
  <c r="Q154" i="6"/>
  <c r="R154" i="6"/>
  <c r="S154" i="6"/>
  <c r="T154" i="6"/>
  <c r="C155" i="6"/>
  <c r="D155" i="6"/>
  <c r="E155" i="6"/>
  <c r="F155" i="6"/>
  <c r="H155" i="6"/>
  <c r="I155" i="6"/>
  <c r="L155" i="6"/>
  <c r="N155" i="6"/>
  <c r="Q155" i="6"/>
  <c r="R155" i="6"/>
  <c r="S155" i="6"/>
  <c r="T155" i="6"/>
  <c r="C156" i="6"/>
  <c r="D156" i="6"/>
  <c r="E156" i="6"/>
  <c r="F156" i="6"/>
  <c r="H156" i="6"/>
  <c r="I156" i="6"/>
  <c r="L156" i="6"/>
  <c r="N156" i="6"/>
  <c r="Q156" i="6"/>
  <c r="R156" i="6"/>
  <c r="S156" i="6"/>
  <c r="T156" i="6"/>
  <c r="C157" i="6"/>
  <c r="D157" i="6"/>
  <c r="E157" i="6"/>
  <c r="F157" i="6"/>
  <c r="H157" i="6"/>
  <c r="I157" i="6"/>
  <c r="L157" i="6"/>
  <c r="N157" i="6"/>
  <c r="Q157" i="6"/>
  <c r="R157" i="6"/>
  <c r="S157" i="6"/>
  <c r="T157" i="6"/>
  <c r="C158" i="6"/>
  <c r="D158" i="6"/>
  <c r="E158" i="6"/>
  <c r="F158" i="6"/>
  <c r="H158" i="6"/>
  <c r="I158" i="6"/>
  <c r="L158" i="6"/>
  <c r="N158" i="6"/>
  <c r="Q158" i="6"/>
  <c r="R158" i="6"/>
  <c r="S158" i="6"/>
  <c r="T158" i="6"/>
  <c r="C159" i="6"/>
  <c r="D159" i="6"/>
  <c r="E159" i="6"/>
  <c r="F159" i="6"/>
  <c r="H159" i="6"/>
  <c r="I159" i="6"/>
  <c r="L159" i="6"/>
  <c r="N159" i="6"/>
  <c r="Q159" i="6"/>
  <c r="R159" i="6"/>
  <c r="S159" i="6"/>
  <c r="T159" i="6"/>
  <c r="C160" i="6"/>
  <c r="D160" i="6"/>
  <c r="E160" i="6"/>
  <c r="F160" i="6"/>
  <c r="H160" i="6"/>
  <c r="I160" i="6"/>
  <c r="L160" i="6"/>
  <c r="N160" i="6"/>
  <c r="Q160" i="6"/>
  <c r="R160" i="6"/>
  <c r="S160" i="6"/>
  <c r="T160" i="6"/>
  <c r="C161" i="6"/>
  <c r="D161" i="6"/>
  <c r="E161" i="6"/>
  <c r="F161" i="6"/>
  <c r="H161" i="6"/>
  <c r="I161" i="6"/>
  <c r="L161" i="6"/>
  <c r="N161" i="6"/>
  <c r="Q161" i="6"/>
  <c r="R161" i="6"/>
  <c r="S161" i="6"/>
  <c r="T161" i="6"/>
  <c r="C162" i="6"/>
  <c r="D162" i="6"/>
  <c r="E162" i="6"/>
  <c r="F162" i="6"/>
  <c r="H162" i="6"/>
  <c r="I162" i="6"/>
  <c r="L162" i="6"/>
  <c r="N162" i="6"/>
  <c r="Q162" i="6"/>
  <c r="R162" i="6"/>
  <c r="S162" i="6"/>
  <c r="T162" i="6"/>
  <c r="C163" i="6"/>
  <c r="D163" i="6"/>
  <c r="E163" i="6"/>
  <c r="F163" i="6"/>
  <c r="H163" i="6"/>
  <c r="I163" i="6"/>
  <c r="L163" i="6"/>
  <c r="N163" i="6"/>
  <c r="Q163" i="6"/>
  <c r="R163" i="6"/>
  <c r="S163" i="6"/>
  <c r="T163" i="6"/>
  <c r="C164" i="6"/>
  <c r="D164" i="6"/>
  <c r="E164" i="6"/>
  <c r="F164" i="6"/>
  <c r="H164" i="6"/>
  <c r="I164" i="6"/>
  <c r="L164" i="6"/>
  <c r="N164" i="6"/>
  <c r="Q164" i="6"/>
  <c r="R164" i="6"/>
  <c r="S164" i="6"/>
  <c r="T164" i="6"/>
  <c r="C165" i="6"/>
  <c r="D165" i="6"/>
  <c r="E165" i="6"/>
  <c r="F165" i="6"/>
  <c r="H165" i="6"/>
  <c r="I165" i="6"/>
  <c r="L165" i="6"/>
  <c r="N165" i="6"/>
  <c r="Q165" i="6"/>
  <c r="R165" i="6"/>
  <c r="S165" i="6"/>
  <c r="T165" i="6"/>
  <c r="C166" i="6"/>
  <c r="D166" i="6"/>
  <c r="E166" i="6"/>
  <c r="F166" i="6"/>
  <c r="H166" i="6"/>
  <c r="I166" i="6"/>
  <c r="L166" i="6"/>
  <c r="N166" i="6"/>
  <c r="Q166" i="6"/>
  <c r="R166" i="6"/>
  <c r="S166" i="6"/>
  <c r="T166" i="6"/>
  <c r="C167" i="6"/>
  <c r="D167" i="6"/>
  <c r="E167" i="6"/>
  <c r="F167" i="6"/>
  <c r="H167" i="6"/>
  <c r="I167" i="6"/>
  <c r="L167" i="6"/>
  <c r="N167" i="6"/>
  <c r="Q167" i="6"/>
  <c r="R167" i="6"/>
  <c r="S167" i="6"/>
  <c r="T167" i="6"/>
  <c r="C168" i="6"/>
  <c r="D168" i="6"/>
  <c r="E168" i="6"/>
  <c r="F168" i="6"/>
  <c r="H168" i="6"/>
  <c r="I168" i="6"/>
  <c r="L168" i="6"/>
  <c r="N168" i="6"/>
  <c r="Q168" i="6"/>
  <c r="R168" i="6"/>
  <c r="S168" i="6"/>
  <c r="T168" i="6"/>
  <c r="C169" i="6"/>
  <c r="D169" i="6"/>
  <c r="E169" i="6"/>
  <c r="F169" i="6"/>
  <c r="H169" i="6"/>
  <c r="I169" i="6"/>
  <c r="L169" i="6"/>
  <c r="N169" i="6"/>
  <c r="Q169" i="6"/>
  <c r="R169" i="6"/>
  <c r="S169" i="6"/>
  <c r="T169" i="6"/>
  <c r="C170" i="6"/>
  <c r="D170" i="6"/>
  <c r="E170" i="6"/>
  <c r="F170" i="6"/>
  <c r="H170" i="6"/>
  <c r="I170" i="6"/>
  <c r="L170" i="6"/>
  <c r="N170" i="6"/>
  <c r="Q170" i="6"/>
  <c r="R170" i="6"/>
  <c r="S170" i="6"/>
  <c r="T170" i="6"/>
  <c r="C171" i="6"/>
  <c r="D171" i="6"/>
  <c r="E171" i="6"/>
  <c r="F171" i="6"/>
  <c r="H171" i="6"/>
  <c r="I171" i="6"/>
  <c r="L171" i="6"/>
  <c r="N171" i="6"/>
  <c r="Q171" i="6"/>
  <c r="R171" i="6"/>
  <c r="S171" i="6"/>
  <c r="T171" i="6"/>
  <c r="C172" i="6"/>
  <c r="D172" i="6"/>
  <c r="E172" i="6"/>
  <c r="F172" i="6"/>
  <c r="H172" i="6"/>
  <c r="I172" i="6"/>
  <c r="L172" i="6"/>
  <c r="N172" i="6"/>
  <c r="Q172" i="6"/>
  <c r="R172" i="6"/>
  <c r="S172" i="6"/>
  <c r="T172" i="6"/>
  <c r="C173" i="6"/>
  <c r="D173" i="6"/>
  <c r="E173" i="6"/>
  <c r="F173" i="6"/>
  <c r="H173" i="6"/>
  <c r="I173" i="6"/>
  <c r="L173" i="6"/>
  <c r="N173" i="6"/>
  <c r="Q173" i="6"/>
  <c r="R173" i="6"/>
  <c r="S173" i="6"/>
  <c r="T173" i="6"/>
  <c r="C174" i="6"/>
  <c r="D174" i="6"/>
  <c r="E174" i="6"/>
  <c r="F174" i="6"/>
  <c r="H174" i="6"/>
  <c r="I174" i="6"/>
  <c r="L174" i="6"/>
  <c r="N174" i="6"/>
  <c r="Q174" i="6"/>
  <c r="R174" i="6"/>
  <c r="S174" i="6"/>
  <c r="T174" i="6"/>
  <c r="C175" i="6"/>
  <c r="D175" i="6"/>
  <c r="E175" i="6"/>
  <c r="F175" i="6"/>
  <c r="H175" i="6"/>
  <c r="I175" i="6"/>
  <c r="L175" i="6"/>
  <c r="N175" i="6"/>
  <c r="Q175" i="6"/>
  <c r="R175" i="6"/>
  <c r="S175" i="6"/>
  <c r="T175" i="6"/>
  <c r="C176" i="6"/>
  <c r="D176" i="6"/>
  <c r="E176" i="6"/>
  <c r="F176" i="6"/>
  <c r="H176" i="6"/>
  <c r="I176" i="6"/>
  <c r="L176" i="6"/>
  <c r="N176" i="6"/>
  <c r="Q176" i="6"/>
  <c r="R176" i="6"/>
  <c r="S176" i="6"/>
  <c r="T176" i="6"/>
  <c r="C177" i="6"/>
  <c r="D177" i="6"/>
  <c r="E177" i="6"/>
  <c r="F177" i="6"/>
  <c r="H177" i="6"/>
  <c r="I177" i="6"/>
  <c r="L177" i="6"/>
  <c r="N177" i="6"/>
  <c r="Q177" i="6"/>
  <c r="R177" i="6"/>
  <c r="S177" i="6"/>
  <c r="T177" i="6"/>
  <c r="C178" i="6"/>
  <c r="D178" i="6"/>
  <c r="E178" i="6"/>
  <c r="F178" i="6"/>
  <c r="H178" i="6"/>
  <c r="I178" i="6"/>
  <c r="L178" i="6"/>
  <c r="N178" i="6"/>
  <c r="Q178" i="6"/>
  <c r="R178" i="6"/>
  <c r="S178" i="6"/>
  <c r="T178" i="6"/>
  <c r="C179" i="6"/>
  <c r="D179" i="6"/>
  <c r="E179" i="6"/>
  <c r="F179" i="6"/>
  <c r="H179" i="6"/>
  <c r="I179" i="6"/>
  <c r="L179" i="6"/>
  <c r="N179" i="6"/>
  <c r="Q179" i="6"/>
  <c r="R179" i="6"/>
  <c r="S179" i="6"/>
  <c r="T179" i="6"/>
  <c r="C180" i="6"/>
  <c r="D180" i="6"/>
  <c r="E180" i="6"/>
  <c r="F180" i="6"/>
  <c r="H180" i="6"/>
  <c r="I180" i="6"/>
  <c r="L180" i="6"/>
  <c r="N180" i="6"/>
  <c r="Q180" i="6"/>
  <c r="R180" i="6"/>
  <c r="S180" i="6"/>
  <c r="T180" i="6"/>
  <c r="C181" i="6"/>
  <c r="D181" i="6"/>
  <c r="E181" i="6"/>
  <c r="F181" i="6"/>
  <c r="H181" i="6"/>
  <c r="I181" i="6"/>
  <c r="L181" i="6"/>
  <c r="N181" i="6"/>
  <c r="Q181" i="6"/>
  <c r="R181" i="6"/>
  <c r="S181" i="6"/>
  <c r="T181" i="6"/>
  <c r="C182" i="6"/>
  <c r="D182" i="6"/>
  <c r="E182" i="6"/>
  <c r="F182" i="6"/>
  <c r="H182" i="6"/>
  <c r="I182" i="6"/>
  <c r="L182" i="6"/>
  <c r="N182" i="6"/>
  <c r="Q182" i="6"/>
  <c r="R182" i="6"/>
  <c r="S182" i="6"/>
  <c r="T182" i="6"/>
  <c r="C183" i="6"/>
  <c r="D183" i="6"/>
  <c r="E183" i="6"/>
  <c r="F183" i="6"/>
  <c r="H183" i="6"/>
  <c r="I183" i="6"/>
  <c r="L183" i="6"/>
  <c r="N183" i="6"/>
  <c r="Q183" i="6"/>
  <c r="R183" i="6"/>
  <c r="S183" i="6"/>
  <c r="T183" i="6"/>
  <c r="C184" i="6"/>
  <c r="D184" i="6"/>
  <c r="E184" i="6"/>
  <c r="F184" i="6"/>
  <c r="H184" i="6"/>
  <c r="I184" i="6"/>
  <c r="L184" i="6"/>
  <c r="N184" i="6"/>
  <c r="Q184" i="6"/>
  <c r="R184" i="6"/>
  <c r="S184" i="6"/>
  <c r="T184" i="6"/>
  <c r="C185" i="6"/>
  <c r="D185" i="6"/>
  <c r="E185" i="6"/>
  <c r="F185" i="6"/>
  <c r="H185" i="6"/>
  <c r="I185" i="6"/>
  <c r="L185" i="6"/>
  <c r="N185" i="6"/>
  <c r="Q185" i="6"/>
  <c r="R185" i="6"/>
  <c r="S185" i="6"/>
  <c r="T185" i="6"/>
  <c r="C186" i="6"/>
  <c r="D186" i="6"/>
  <c r="E186" i="6"/>
  <c r="F186" i="6"/>
  <c r="H186" i="6"/>
  <c r="I186" i="6"/>
  <c r="L186" i="6"/>
  <c r="N186" i="6"/>
  <c r="Q186" i="6"/>
  <c r="R186" i="6"/>
  <c r="S186" i="6"/>
  <c r="T186" i="6"/>
  <c r="C187" i="6"/>
  <c r="D187" i="6"/>
  <c r="E187" i="6"/>
  <c r="F187" i="6"/>
  <c r="H187" i="6"/>
  <c r="I187" i="6"/>
  <c r="L187" i="6"/>
  <c r="N187" i="6"/>
  <c r="Q187" i="6"/>
  <c r="R187" i="6"/>
  <c r="S187" i="6"/>
  <c r="T187" i="6"/>
  <c r="C188" i="6"/>
  <c r="D188" i="6"/>
  <c r="E188" i="6"/>
  <c r="F188" i="6"/>
  <c r="H188" i="6"/>
  <c r="I188" i="6"/>
  <c r="L188" i="6"/>
  <c r="N188" i="6"/>
  <c r="Q188" i="6"/>
  <c r="R188" i="6"/>
  <c r="S188" i="6"/>
  <c r="T188" i="6"/>
  <c r="C189" i="6"/>
  <c r="D189" i="6"/>
  <c r="E189" i="6"/>
  <c r="F189" i="6"/>
  <c r="H189" i="6"/>
  <c r="I189" i="6"/>
  <c r="L189" i="6"/>
  <c r="N189" i="6"/>
  <c r="Q189" i="6"/>
  <c r="R189" i="6"/>
  <c r="S189" i="6"/>
  <c r="T189" i="6"/>
  <c r="C190" i="6"/>
  <c r="D190" i="6"/>
  <c r="E190" i="6"/>
  <c r="F190" i="6"/>
  <c r="H190" i="6"/>
  <c r="I190" i="6"/>
  <c r="L190" i="6"/>
  <c r="N190" i="6"/>
  <c r="Q190" i="6"/>
  <c r="R190" i="6"/>
  <c r="S190" i="6"/>
  <c r="T190" i="6"/>
  <c r="C191" i="6"/>
  <c r="D191" i="6"/>
  <c r="E191" i="6"/>
  <c r="F191" i="6"/>
  <c r="H191" i="6"/>
  <c r="I191" i="6"/>
  <c r="L191" i="6"/>
  <c r="N191" i="6"/>
  <c r="Q191" i="6"/>
  <c r="R191" i="6"/>
  <c r="S191" i="6"/>
  <c r="T191" i="6"/>
  <c r="C192" i="6"/>
  <c r="D192" i="6"/>
  <c r="E192" i="6"/>
  <c r="F192" i="6"/>
  <c r="H192" i="6"/>
  <c r="I192" i="6"/>
  <c r="L192" i="6"/>
  <c r="N192" i="6"/>
  <c r="Q192" i="6"/>
  <c r="R192" i="6"/>
  <c r="S192" i="6"/>
  <c r="T192" i="6"/>
  <c r="C193" i="6"/>
  <c r="D193" i="6"/>
  <c r="E193" i="6"/>
  <c r="F193" i="6"/>
  <c r="H193" i="6"/>
  <c r="I193" i="6"/>
  <c r="L193" i="6"/>
  <c r="N193" i="6"/>
  <c r="Q193" i="6"/>
  <c r="R193" i="6"/>
  <c r="S193" i="6"/>
  <c r="T193" i="6"/>
  <c r="C194" i="6"/>
  <c r="D194" i="6"/>
  <c r="E194" i="6"/>
  <c r="F194" i="6"/>
  <c r="H194" i="6"/>
  <c r="I194" i="6"/>
  <c r="L194" i="6"/>
  <c r="N194" i="6"/>
  <c r="Q194" i="6"/>
  <c r="R194" i="6"/>
  <c r="S194" i="6"/>
  <c r="T194" i="6"/>
  <c r="C195" i="6"/>
  <c r="D195" i="6"/>
  <c r="E195" i="6"/>
  <c r="F195" i="6"/>
  <c r="H195" i="6"/>
  <c r="I195" i="6"/>
  <c r="L195" i="6"/>
  <c r="N195" i="6"/>
  <c r="Q195" i="6"/>
  <c r="R195" i="6"/>
  <c r="S195" i="6"/>
  <c r="T195" i="6"/>
  <c r="C196" i="6"/>
  <c r="D196" i="6"/>
  <c r="E196" i="6"/>
  <c r="F196" i="6"/>
  <c r="H196" i="6"/>
  <c r="I196" i="6"/>
  <c r="L196" i="6"/>
  <c r="N196" i="6"/>
  <c r="Q196" i="6"/>
  <c r="R196" i="6"/>
  <c r="S196" i="6"/>
  <c r="T196" i="6"/>
  <c r="C197" i="6"/>
  <c r="D197" i="6"/>
  <c r="E197" i="6"/>
  <c r="F197" i="6"/>
  <c r="H197" i="6"/>
  <c r="I197" i="6"/>
  <c r="L197" i="6"/>
  <c r="N197" i="6"/>
  <c r="Q197" i="6"/>
  <c r="R197" i="6"/>
  <c r="S197" i="6"/>
  <c r="T197" i="6"/>
  <c r="C198" i="6"/>
  <c r="D198" i="6"/>
  <c r="E198" i="6"/>
  <c r="F198" i="6"/>
  <c r="H198" i="6"/>
  <c r="I198" i="6"/>
  <c r="L198" i="6"/>
  <c r="N198" i="6"/>
  <c r="Q198" i="6"/>
  <c r="R198" i="6"/>
  <c r="S198" i="6"/>
  <c r="T198" i="6"/>
  <c r="C199" i="6"/>
  <c r="D199" i="6"/>
  <c r="E199" i="6"/>
  <c r="F199" i="6"/>
  <c r="H199" i="6"/>
  <c r="I199" i="6"/>
  <c r="L199" i="6"/>
  <c r="N199" i="6"/>
  <c r="Q199" i="6"/>
  <c r="R199" i="6"/>
  <c r="S199" i="6"/>
  <c r="T199" i="6"/>
  <c r="C200" i="6"/>
  <c r="D200" i="6"/>
  <c r="E200" i="6"/>
  <c r="F200" i="6"/>
  <c r="H200" i="6"/>
  <c r="I200" i="6"/>
  <c r="L200" i="6"/>
  <c r="N200" i="6"/>
  <c r="Q200" i="6"/>
  <c r="R200" i="6"/>
  <c r="S200" i="6"/>
  <c r="T200" i="6"/>
  <c r="C201" i="6"/>
  <c r="D201" i="6"/>
  <c r="E201" i="6"/>
  <c r="F201" i="6"/>
  <c r="H201" i="6"/>
  <c r="I201" i="6"/>
  <c r="L201" i="6"/>
  <c r="N201" i="6"/>
  <c r="Q201" i="6"/>
  <c r="R201" i="6"/>
  <c r="S201" i="6"/>
  <c r="T201" i="6"/>
  <c r="C202" i="6"/>
  <c r="D202" i="6"/>
  <c r="E202" i="6"/>
  <c r="F202" i="6"/>
  <c r="H202" i="6"/>
  <c r="I202" i="6"/>
  <c r="L202" i="6"/>
  <c r="N202" i="6"/>
  <c r="Q202" i="6"/>
  <c r="R202" i="6"/>
  <c r="S202" i="6"/>
  <c r="T202" i="6"/>
  <c r="C203" i="6"/>
  <c r="D203" i="6"/>
  <c r="E203" i="6"/>
  <c r="F203" i="6"/>
  <c r="H203" i="6"/>
  <c r="I203" i="6"/>
  <c r="L203" i="6"/>
  <c r="N203" i="6"/>
  <c r="Q203" i="6"/>
  <c r="R203" i="6"/>
  <c r="S203" i="6"/>
  <c r="T203" i="6"/>
  <c r="C204" i="6"/>
  <c r="D204" i="6"/>
  <c r="E204" i="6"/>
  <c r="F204" i="6"/>
  <c r="H204" i="6"/>
  <c r="I204" i="6"/>
  <c r="L204" i="6"/>
  <c r="N204" i="6"/>
  <c r="Q204" i="6"/>
  <c r="R204" i="6"/>
  <c r="S204" i="6"/>
  <c r="T204" i="6"/>
  <c r="C205" i="6"/>
  <c r="D205" i="6"/>
  <c r="E205" i="6"/>
  <c r="F205" i="6"/>
  <c r="H205" i="6"/>
  <c r="I205" i="6"/>
  <c r="L205" i="6"/>
  <c r="N205" i="6"/>
  <c r="Q205" i="6"/>
  <c r="R205" i="6"/>
  <c r="S205" i="6"/>
  <c r="T205" i="6"/>
  <c r="C206" i="6"/>
  <c r="D206" i="6"/>
  <c r="E206" i="6"/>
  <c r="F206" i="6"/>
  <c r="H206" i="6"/>
  <c r="I206" i="6"/>
  <c r="L206" i="6"/>
  <c r="N206" i="6"/>
  <c r="Q206" i="6"/>
  <c r="R206" i="6"/>
  <c r="S206" i="6"/>
  <c r="T206" i="6"/>
  <c r="C207" i="6"/>
  <c r="D207" i="6"/>
  <c r="E207" i="6"/>
  <c r="F207" i="6"/>
  <c r="H207" i="6"/>
  <c r="I207" i="6"/>
  <c r="L207" i="6"/>
  <c r="N207" i="6"/>
  <c r="Q207" i="6"/>
  <c r="R207" i="6"/>
  <c r="S207" i="6"/>
  <c r="T207" i="6"/>
  <c r="C208" i="6"/>
  <c r="D208" i="6"/>
  <c r="E208" i="6"/>
  <c r="F208" i="6"/>
  <c r="H208" i="6"/>
  <c r="I208" i="6"/>
  <c r="L208" i="6"/>
  <c r="N208" i="6"/>
  <c r="Q208" i="6"/>
  <c r="R208" i="6"/>
  <c r="S208" i="6"/>
  <c r="T208" i="6"/>
  <c r="C209" i="6"/>
  <c r="D209" i="6"/>
  <c r="E209" i="6"/>
  <c r="F209" i="6"/>
  <c r="H209" i="6"/>
  <c r="I209" i="6"/>
  <c r="L209" i="6"/>
  <c r="N209" i="6"/>
  <c r="Q209" i="6"/>
  <c r="R209" i="6"/>
  <c r="S209" i="6"/>
  <c r="T209" i="6"/>
  <c r="C210" i="6"/>
  <c r="D210" i="6"/>
  <c r="E210" i="6"/>
  <c r="F210" i="6"/>
  <c r="H210" i="6"/>
  <c r="I210" i="6"/>
  <c r="L210" i="6"/>
  <c r="N210" i="6"/>
  <c r="Q210" i="6"/>
  <c r="R210" i="6"/>
  <c r="S210" i="6"/>
  <c r="T210" i="6"/>
  <c r="C211" i="6"/>
  <c r="D211" i="6"/>
  <c r="E211" i="6"/>
  <c r="F211" i="6"/>
  <c r="H211" i="6"/>
  <c r="I211" i="6"/>
  <c r="L211" i="6"/>
  <c r="N211" i="6"/>
  <c r="Q211" i="6"/>
  <c r="R211" i="6"/>
  <c r="S211" i="6"/>
  <c r="T211" i="6"/>
  <c r="C212" i="6"/>
  <c r="D212" i="6"/>
  <c r="E212" i="6"/>
  <c r="F212" i="6"/>
  <c r="H212" i="6"/>
  <c r="I212" i="6"/>
  <c r="L212" i="6"/>
  <c r="N212" i="6"/>
  <c r="Q212" i="6"/>
  <c r="R212" i="6"/>
  <c r="S212" i="6"/>
  <c r="T212" i="6"/>
  <c r="C213" i="6"/>
  <c r="D213" i="6"/>
  <c r="E213" i="6"/>
  <c r="F213" i="6"/>
  <c r="H213" i="6"/>
  <c r="I213" i="6"/>
  <c r="L213" i="6"/>
  <c r="N213" i="6"/>
  <c r="Q213" i="6"/>
  <c r="R213" i="6"/>
  <c r="S213" i="6"/>
  <c r="T213" i="6"/>
  <c r="C214" i="6"/>
  <c r="D214" i="6"/>
  <c r="E214" i="6"/>
  <c r="F214" i="6"/>
  <c r="H214" i="6"/>
  <c r="I214" i="6"/>
  <c r="L214" i="6"/>
  <c r="N214" i="6"/>
  <c r="Q214" i="6"/>
  <c r="R214" i="6"/>
  <c r="S214" i="6"/>
  <c r="T214" i="6"/>
  <c r="C215" i="6"/>
  <c r="D215" i="6"/>
  <c r="E215" i="6"/>
  <c r="F215" i="6"/>
  <c r="H215" i="6"/>
  <c r="I215" i="6"/>
  <c r="L215" i="6"/>
  <c r="N215" i="6"/>
  <c r="Q215" i="6"/>
  <c r="R215" i="6"/>
  <c r="S215" i="6"/>
  <c r="T215" i="6"/>
  <c r="C216" i="6"/>
  <c r="D216" i="6"/>
  <c r="E216" i="6"/>
  <c r="F216" i="6"/>
  <c r="H216" i="6"/>
  <c r="I216" i="6"/>
  <c r="L216" i="6"/>
  <c r="N216" i="6"/>
  <c r="Q216" i="6"/>
  <c r="R216" i="6"/>
  <c r="S216" i="6"/>
  <c r="T216" i="6"/>
  <c r="C217" i="6"/>
  <c r="D217" i="6"/>
  <c r="E217" i="6"/>
  <c r="F217" i="6"/>
  <c r="H217" i="6"/>
  <c r="I217" i="6"/>
  <c r="L217" i="6"/>
  <c r="N217" i="6"/>
  <c r="Q217" i="6"/>
  <c r="R217" i="6"/>
  <c r="S217" i="6"/>
  <c r="T217" i="6"/>
  <c r="C218" i="6"/>
  <c r="D218" i="6"/>
  <c r="E218" i="6"/>
  <c r="F218" i="6"/>
  <c r="H218" i="6"/>
  <c r="I218" i="6"/>
  <c r="L218" i="6"/>
  <c r="N218" i="6"/>
  <c r="Q218" i="6"/>
  <c r="R218" i="6"/>
  <c r="S218" i="6"/>
  <c r="T218" i="6"/>
  <c r="C219" i="6"/>
  <c r="D219" i="6"/>
  <c r="E219" i="6"/>
  <c r="F219" i="6"/>
  <c r="H219" i="6"/>
  <c r="I219" i="6"/>
  <c r="L219" i="6"/>
  <c r="N219" i="6"/>
  <c r="Q219" i="6"/>
  <c r="R219" i="6"/>
  <c r="S219" i="6"/>
  <c r="T219" i="6"/>
  <c r="C220" i="6"/>
  <c r="D220" i="6"/>
  <c r="E220" i="6"/>
  <c r="F220" i="6"/>
  <c r="H220" i="6"/>
  <c r="I220" i="6"/>
  <c r="L220" i="6"/>
  <c r="N220" i="6"/>
  <c r="Q220" i="6"/>
  <c r="R220" i="6"/>
  <c r="S220" i="6"/>
  <c r="T220" i="6"/>
  <c r="C221" i="6"/>
  <c r="D221" i="6"/>
  <c r="E221" i="6"/>
  <c r="F221" i="6"/>
  <c r="H221" i="6"/>
  <c r="I221" i="6"/>
  <c r="L221" i="6"/>
  <c r="N221" i="6"/>
  <c r="Q221" i="6"/>
  <c r="R221" i="6"/>
  <c r="S221" i="6"/>
  <c r="T221" i="6"/>
  <c r="C222" i="6"/>
  <c r="D222" i="6"/>
  <c r="E222" i="6"/>
  <c r="F222" i="6"/>
  <c r="H222" i="6"/>
  <c r="I222" i="6"/>
  <c r="L222" i="6"/>
  <c r="N222" i="6"/>
  <c r="Q222" i="6"/>
  <c r="R222" i="6"/>
  <c r="S222" i="6"/>
  <c r="T222" i="6"/>
  <c r="C223" i="6"/>
  <c r="D223" i="6"/>
  <c r="E223" i="6"/>
  <c r="F223" i="6"/>
  <c r="H223" i="6"/>
  <c r="I223" i="6"/>
  <c r="L223" i="6"/>
  <c r="N223" i="6"/>
  <c r="Q223" i="6"/>
  <c r="R223" i="6"/>
  <c r="S223" i="6"/>
  <c r="T223" i="6"/>
  <c r="C224" i="6"/>
  <c r="D224" i="6"/>
  <c r="E224" i="6"/>
  <c r="F224" i="6"/>
  <c r="H224" i="6"/>
  <c r="I224" i="6"/>
  <c r="L224" i="6"/>
  <c r="N224" i="6"/>
  <c r="Q224" i="6"/>
  <c r="R224" i="6"/>
  <c r="S224" i="6"/>
  <c r="T224" i="6"/>
  <c r="C225" i="6"/>
  <c r="D225" i="6"/>
  <c r="E225" i="6"/>
  <c r="F225" i="6"/>
  <c r="H225" i="6"/>
  <c r="I225" i="6"/>
  <c r="L225" i="6"/>
  <c r="N225" i="6"/>
  <c r="Q225" i="6"/>
  <c r="R225" i="6"/>
  <c r="S225" i="6"/>
  <c r="T225" i="6"/>
  <c r="C226" i="6"/>
  <c r="D226" i="6"/>
  <c r="E226" i="6"/>
  <c r="F226" i="6"/>
  <c r="H226" i="6"/>
  <c r="I226" i="6"/>
  <c r="L226" i="6"/>
  <c r="N226" i="6"/>
  <c r="Q226" i="6"/>
  <c r="R226" i="6"/>
  <c r="S226" i="6"/>
  <c r="T226" i="6"/>
  <c r="C227" i="6"/>
  <c r="D227" i="6"/>
  <c r="E227" i="6"/>
  <c r="F227" i="6"/>
  <c r="H227" i="6"/>
  <c r="I227" i="6"/>
  <c r="L227" i="6"/>
  <c r="N227" i="6"/>
  <c r="Q227" i="6"/>
  <c r="R227" i="6"/>
  <c r="S227" i="6"/>
  <c r="T227" i="6"/>
  <c r="C228" i="6"/>
  <c r="D228" i="6"/>
  <c r="E228" i="6"/>
  <c r="F228" i="6"/>
  <c r="H228" i="6"/>
  <c r="I228" i="6"/>
  <c r="L228" i="6"/>
  <c r="N228" i="6"/>
  <c r="Q228" i="6"/>
  <c r="R228" i="6"/>
  <c r="S228" i="6"/>
  <c r="T228" i="6"/>
  <c r="C229" i="6"/>
  <c r="D229" i="6"/>
  <c r="E229" i="6"/>
  <c r="F229" i="6"/>
  <c r="H229" i="6"/>
  <c r="I229" i="6"/>
  <c r="L229" i="6"/>
  <c r="N229" i="6"/>
  <c r="Q229" i="6"/>
  <c r="R229" i="6"/>
  <c r="S229" i="6"/>
  <c r="T229" i="6"/>
  <c r="C230" i="6"/>
  <c r="D230" i="6"/>
  <c r="E230" i="6"/>
  <c r="F230" i="6"/>
  <c r="H230" i="6"/>
  <c r="I230" i="6"/>
  <c r="L230" i="6"/>
  <c r="N230" i="6"/>
  <c r="Q230" i="6"/>
  <c r="R230" i="6"/>
  <c r="S230" i="6"/>
  <c r="T230" i="6"/>
  <c r="C231" i="6"/>
  <c r="D231" i="6"/>
  <c r="E231" i="6"/>
  <c r="F231" i="6"/>
  <c r="H231" i="6"/>
  <c r="I231" i="6"/>
  <c r="L231" i="6"/>
  <c r="N231" i="6"/>
  <c r="Q231" i="6"/>
  <c r="R231" i="6"/>
  <c r="S231" i="6"/>
  <c r="T231" i="6"/>
  <c r="C232" i="6"/>
  <c r="D232" i="6"/>
  <c r="E232" i="6"/>
  <c r="F232" i="6"/>
  <c r="H232" i="6"/>
  <c r="I232" i="6"/>
  <c r="L232" i="6"/>
  <c r="N232" i="6"/>
  <c r="Q232" i="6"/>
  <c r="R232" i="6"/>
  <c r="S232" i="6"/>
  <c r="T232" i="6"/>
  <c r="C233" i="6"/>
  <c r="D233" i="6"/>
  <c r="E233" i="6"/>
  <c r="F233" i="6"/>
  <c r="H233" i="6"/>
  <c r="I233" i="6"/>
  <c r="L233" i="6"/>
  <c r="N233" i="6"/>
  <c r="Q233" i="6"/>
  <c r="R233" i="6"/>
  <c r="S233" i="6"/>
  <c r="T233" i="6"/>
  <c r="C234" i="6"/>
  <c r="D234" i="6"/>
  <c r="E234" i="6"/>
  <c r="F234" i="6"/>
  <c r="H234" i="6"/>
  <c r="I234" i="6"/>
  <c r="L234" i="6"/>
  <c r="N234" i="6"/>
  <c r="Q234" i="6"/>
  <c r="R234" i="6"/>
  <c r="S234" i="6"/>
  <c r="T234" i="6"/>
  <c r="C235" i="6"/>
  <c r="D235" i="6"/>
  <c r="E235" i="6"/>
  <c r="F235" i="6"/>
  <c r="H235" i="6"/>
  <c r="I235" i="6"/>
  <c r="L235" i="6"/>
  <c r="N235" i="6"/>
  <c r="Q235" i="6"/>
  <c r="R235" i="6"/>
  <c r="S235" i="6"/>
  <c r="T235" i="6"/>
  <c r="C236" i="6"/>
  <c r="D236" i="6"/>
  <c r="E236" i="6"/>
  <c r="F236" i="6"/>
  <c r="H236" i="6"/>
  <c r="I236" i="6"/>
  <c r="L236" i="6"/>
  <c r="N236" i="6"/>
  <c r="Q236" i="6"/>
  <c r="R236" i="6"/>
  <c r="S236" i="6"/>
  <c r="T236" i="6"/>
  <c r="C237" i="6"/>
  <c r="D237" i="6"/>
  <c r="E237" i="6"/>
  <c r="F237" i="6"/>
  <c r="H237" i="6"/>
  <c r="I237" i="6"/>
  <c r="L237" i="6"/>
  <c r="N237" i="6"/>
  <c r="Q237" i="6"/>
  <c r="R237" i="6"/>
  <c r="S237" i="6"/>
  <c r="T237" i="6"/>
  <c r="C238" i="6"/>
  <c r="D238" i="6"/>
  <c r="E238" i="6"/>
  <c r="F238" i="6"/>
  <c r="H238" i="6"/>
  <c r="I238" i="6"/>
  <c r="L238" i="6"/>
  <c r="N238" i="6"/>
  <c r="Q238" i="6"/>
  <c r="R238" i="6"/>
  <c r="S238" i="6"/>
  <c r="T238" i="6"/>
  <c r="C239" i="6"/>
  <c r="D239" i="6"/>
  <c r="E239" i="6"/>
  <c r="F239" i="6"/>
  <c r="H239" i="6"/>
  <c r="I239" i="6"/>
  <c r="L239" i="6"/>
  <c r="N239" i="6"/>
  <c r="Q239" i="6"/>
  <c r="R239" i="6"/>
  <c r="S239" i="6"/>
  <c r="T239" i="6"/>
  <c r="C240" i="6"/>
  <c r="D240" i="6"/>
  <c r="E240" i="6"/>
  <c r="F240" i="6"/>
  <c r="H240" i="6"/>
  <c r="I240" i="6"/>
  <c r="L240" i="6"/>
  <c r="N240" i="6"/>
  <c r="Q240" i="6"/>
  <c r="R240" i="6"/>
  <c r="S240" i="6"/>
  <c r="T240" i="6"/>
  <c r="C241" i="6"/>
  <c r="D241" i="6"/>
  <c r="E241" i="6"/>
  <c r="F241" i="6"/>
  <c r="H241" i="6"/>
  <c r="I241" i="6"/>
  <c r="L241" i="6"/>
  <c r="N241" i="6"/>
  <c r="Q241" i="6"/>
  <c r="R241" i="6"/>
  <c r="S241" i="6"/>
  <c r="T241" i="6"/>
  <c r="C242" i="6"/>
  <c r="D242" i="6"/>
  <c r="E242" i="6"/>
  <c r="F242" i="6"/>
  <c r="H242" i="6"/>
  <c r="I242" i="6"/>
  <c r="L242" i="6"/>
  <c r="N242" i="6"/>
  <c r="Q242" i="6"/>
  <c r="R242" i="6"/>
  <c r="S242" i="6"/>
  <c r="T242" i="6"/>
  <c r="C243" i="6"/>
  <c r="D243" i="6"/>
  <c r="E243" i="6"/>
  <c r="F243" i="6"/>
  <c r="H243" i="6"/>
  <c r="I243" i="6"/>
  <c r="L243" i="6"/>
  <c r="N243" i="6"/>
  <c r="Q243" i="6"/>
  <c r="R243" i="6"/>
  <c r="S243" i="6"/>
  <c r="T243" i="6"/>
  <c r="C244" i="6"/>
  <c r="D244" i="6"/>
  <c r="E244" i="6"/>
  <c r="F244" i="6"/>
  <c r="H244" i="6"/>
  <c r="I244" i="6"/>
  <c r="L244" i="6"/>
  <c r="N244" i="6"/>
  <c r="Q244" i="6"/>
  <c r="R244" i="6"/>
  <c r="S244" i="6"/>
  <c r="T244" i="6"/>
  <c r="C245" i="6"/>
  <c r="D245" i="6"/>
  <c r="E245" i="6"/>
  <c r="F245" i="6"/>
  <c r="H245" i="6"/>
  <c r="I245" i="6"/>
  <c r="L245" i="6"/>
  <c r="N245" i="6"/>
  <c r="Q245" i="6"/>
  <c r="R245" i="6"/>
  <c r="S245" i="6"/>
  <c r="T245" i="6"/>
  <c r="C246" i="6"/>
  <c r="D246" i="6"/>
  <c r="E246" i="6"/>
  <c r="F246" i="6"/>
  <c r="H246" i="6"/>
  <c r="I246" i="6"/>
  <c r="L246" i="6"/>
  <c r="N246" i="6"/>
  <c r="Q246" i="6"/>
  <c r="R246" i="6"/>
  <c r="S246" i="6"/>
  <c r="T246" i="6"/>
  <c r="C247" i="6"/>
  <c r="D247" i="6"/>
  <c r="E247" i="6"/>
  <c r="F247" i="6"/>
  <c r="H247" i="6"/>
  <c r="I247" i="6"/>
  <c r="L247" i="6"/>
  <c r="N247" i="6"/>
  <c r="Q247" i="6"/>
  <c r="R247" i="6"/>
  <c r="S247" i="6"/>
  <c r="T247" i="6"/>
  <c r="C248" i="6"/>
  <c r="D248" i="6"/>
  <c r="E248" i="6"/>
  <c r="F248" i="6"/>
  <c r="H248" i="6"/>
  <c r="I248" i="6"/>
  <c r="L248" i="6"/>
  <c r="N248" i="6"/>
  <c r="Q248" i="6"/>
  <c r="R248" i="6"/>
  <c r="S248" i="6"/>
  <c r="T248" i="6"/>
  <c r="C249" i="6"/>
  <c r="D249" i="6"/>
  <c r="E249" i="6"/>
  <c r="F249" i="6"/>
  <c r="H249" i="6"/>
  <c r="I249" i="6"/>
  <c r="L249" i="6"/>
  <c r="N249" i="6"/>
  <c r="Q249" i="6"/>
  <c r="R249" i="6"/>
  <c r="S249" i="6"/>
  <c r="T249" i="6"/>
  <c r="C250" i="6"/>
  <c r="D250" i="6"/>
  <c r="E250" i="6"/>
  <c r="F250" i="6"/>
  <c r="H250" i="6"/>
  <c r="I250" i="6"/>
  <c r="L250" i="6"/>
  <c r="N250" i="6"/>
  <c r="Q250" i="6"/>
  <c r="R250" i="6"/>
  <c r="S250" i="6"/>
  <c r="T250" i="6"/>
  <c r="C251" i="6"/>
  <c r="D251" i="6"/>
  <c r="E251" i="6"/>
  <c r="F251" i="6"/>
  <c r="H251" i="6"/>
  <c r="I251" i="6"/>
  <c r="L251" i="6"/>
  <c r="N251" i="6"/>
  <c r="Q251" i="6"/>
  <c r="R251" i="6"/>
  <c r="S251" i="6"/>
  <c r="T251" i="6"/>
  <c r="C252" i="6"/>
  <c r="D252" i="6"/>
  <c r="E252" i="6"/>
  <c r="F252" i="6"/>
  <c r="H252" i="6"/>
  <c r="I252" i="6"/>
  <c r="L252" i="6"/>
  <c r="N252" i="6"/>
  <c r="Q252" i="6"/>
  <c r="R252" i="6"/>
  <c r="S252" i="6"/>
  <c r="T252" i="6"/>
  <c r="C253" i="6"/>
  <c r="D253" i="6"/>
  <c r="E253" i="6"/>
  <c r="F253" i="6"/>
  <c r="H253" i="6"/>
  <c r="I253" i="6"/>
  <c r="L253" i="6"/>
  <c r="N253" i="6"/>
  <c r="Q253" i="6"/>
  <c r="R253" i="6"/>
  <c r="S253" i="6"/>
  <c r="T253" i="6"/>
  <c r="C254" i="6"/>
  <c r="D254" i="6"/>
  <c r="E254" i="6"/>
  <c r="F254" i="6"/>
  <c r="H254" i="6"/>
  <c r="I254" i="6"/>
  <c r="L254" i="6"/>
  <c r="N254" i="6"/>
  <c r="Q254" i="6"/>
  <c r="R254" i="6"/>
  <c r="S254" i="6"/>
  <c r="T254" i="6"/>
  <c r="C255" i="6"/>
  <c r="D255" i="6"/>
  <c r="E255" i="6"/>
  <c r="F255" i="6"/>
  <c r="H255" i="6"/>
  <c r="I255" i="6"/>
  <c r="L255" i="6"/>
  <c r="N255" i="6"/>
  <c r="Q255" i="6"/>
  <c r="R255" i="6"/>
  <c r="S255" i="6"/>
  <c r="T255" i="6"/>
  <c r="C256" i="6"/>
  <c r="D256" i="6"/>
  <c r="E256" i="6"/>
  <c r="F256" i="6"/>
  <c r="H256" i="6"/>
  <c r="I256" i="6"/>
  <c r="L256" i="6"/>
  <c r="N256" i="6"/>
  <c r="Q256" i="6"/>
  <c r="R256" i="6"/>
  <c r="S256" i="6"/>
  <c r="T256" i="6"/>
  <c r="C257" i="6"/>
  <c r="D257" i="6"/>
  <c r="E257" i="6"/>
  <c r="F257" i="6"/>
  <c r="H257" i="6"/>
  <c r="I257" i="6"/>
  <c r="L257" i="6"/>
  <c r="N257" i="6"/>
  <c r="Q257" i="6"/>
  <c r="R257" i="6"/>
  <c r="S257" i="6"/>
  <c r="T257" i="6"/>
  <c r="C258" i="6"/>
  <c r="D258" i="6"/>
  <c r="E258" i="6"/>
  <c r="F258" i="6"/>
  <c r="H258" i="6"/>
  <c r="I258" i="6"/>
  <c r="L258" i="6"/>
  <c r="N258" i="6"/>
  <c r="Q258" i="6"/>
  <c r="R258" i="6"/>
  <c r="S258" i="6"/>
  <c r="T258" i="6"/>
  <c r="C259" i="6"/>
  <c r="D259" i="6"/>
  <c r="E259" i="6"/>
  <c r="F259" i="6"/>
  <c r="H259" i="6"/>
  <c r="I259" i="6"/>
  <c r="L259" i="6"/>
  <c r="N259" i="6"/>
  <c r="Q259" i="6"/>
  <c r="R259" i="6"/>
  <c r="S259" i="6"/>
  <c r="T259" i="6"/>
  <c r="C260" i="6"/>
  <c r="D260" i="6"/>
  <c r="E260" i="6"/>
  <c r="F260" i="6"/>
  <c r="H260" i="6"/>
  <c r="I260" i="6"/>
  <c r="L260" i="6"/>
  <c r="N260" i="6"/>
  <c r="Q260" i="6"/>
  <c r="R260" i="6"/>
  <c r="S260" i="6"/>
  <c r="T260" i="6"/>
  <c r="C261" i="6"/>
  <c r="D261" i="6"/>
  <c r="E261" i="6"/>
  <c r="F261" i="6"/>
  <c r="H261" i="6"/>
  <c r="I261" i="6"/>
  <c r="L261" i="6"/>
  <c r="N261" i="6"/>
  <c r="Q261" i="6"/>
  <c r="R261" i="6"/>
  <c r="S261" i="6"/>
  <c r="T261" i="6"/>
  <c r="C262" i="6"/>
  <c r="D262" i="6"/>
  <c r="E262" i="6"/>
  <c r="F262" i="6"/>
  <c r="H262" i="6"/>
  <c r="I262" i="6"/>
  <c r="L262" i="6"/>
  <c r="N262" i="6"/>
  <c r="Q262" i="6"/>
  <c r="R262" i="6"/>
  <c r="S262" i="6"/>
  <c r="T262" i="6"/>
  <c r="C263" i="6"/>
  <c r="D263" i="6"/>
  <c r="E263" i="6"/>
  <c r="F263" i="6"/>
  <c r="H263" i="6"/>
  <c r="I263" i="6"/>
  <c r="L263" i="6"/>
  <c r="N263" i="6"/>
  <c r="Q263" i="6"/>
  <c r="R263" i="6"/>
  <c r="S263" i="6"/>
  <c r="T263" i="6"/>
  <c r="C264" i="6"/>
  <c r="D264" i="6"/>
  <c r="E264" i="6"/>
  <c r="F264" i="6"/>
  <c r="H264" i="6"/>
  <c r="I264" i="6"/>
  <c r="L264" i="6"/>
  <c r="N264" i="6"/>
  <c r="Q264" i="6"/>
  <c r="R264" i="6"/>
  <c r="S264" i="6"/>
  <c r="T264" i="6"/>
  <c r="C265" i="6"/>
  <c r="D265" i="6"/>
  <c r="E265" i="6"/>
  <c r="F265" i="6"/>
  <c r="H265" i="6"/>
  <c r="I265" i="6"/>
  <c r="L265" i="6"/>
  <c r="N265" i="6"/>
  <c r="Q265" i="6"/>
  <c r="R265" i="6"/>
  <c r="S265" i="6"/>
  <c r="T265" i="6"/>
  <c r="C266" i="6"/>
  <c r="D266" i="6"/>
  <c r="E266" i="6"/>
  <c r="F266" i="6"/>
  <c r="H266" i="6"/>
  <c r="I266" i="6"/>
  <c r="L266" i="6"/>
  <c r="N266" i="6"/>
  <c r="Q266" i="6"/>
  <c r="R266" i="6"/>
  <c r="S266" i="6"/>
  <c r="T266" i="6"/>
  <c r="C267" i="6"/>
  <c r="D267" i="6"/>
  <c r="E267" i="6"/>
  <c r="F267" i="6"/>
  <c r="H267" i="6"/>
  <c r="I267" i="6"/>
  <c r="L267" i="6"/>
  <c r="N267" i="6"/>
  <c r="Q267" i="6"/>
  <c r="R267" i="6"/>
  <c r="S267" i="6"/>
  <c r="T267" i="6"/>
  <c r="C268" i="6"/>
  <c r="D268" i="6"/>
  <c r="E268" i="6"/>
  <c r="F268" i="6"/>
  <c r="H268" i="6"/>
  <c r="I268" i="6"/>
  <c r="L268" i="6"/>
  <c r="N268" i="6"/>
  <c r="Q268" i="6"/>
  <c r="R268" i="6"/>
  <c r="S268" i="6"/>
  <c r="T268" i="6"/>
  <c r="C269" i="6"/>
  <c r="D269" i="6"/>
  <c r="E269" i="6"/>
  <c r="F269" i="6"/>
  <c r="H269" i="6"/>
  <c r="I269" i="6"/>
  <c r="L269" i="6"/>
  <c r="N269" i="6"/>
  <c r="Q269" i="6"/>
  <c r="R269" i="6"/>
  <c r="S269" i="6"/>
  <c r="T269" i="6"/>
  <c r="C270" i="6"/>
  <c r="D270" i="6"/>
  <c r="E270" i="6"/>
  <c r="F270" i="6"/>
  <c r="H270" i="6"/>
  <c r="I270" i="6"/>
  <c r="L270" i="6"/>
  <c r="N270" i="6"/>
  <c r="Q270" i="6"/>
  <c r="R270" i="6"/>
  <c r="S270" i="6"/>
  <c r="T270" i="6"/>
  <c r="C271" i="6"/>
  <c r="D271" i="6"/>
  <c r="E271" i="6"/>
  <c r="F271" i="6"/>
  <c r="H271" i="6"/>
  <c r="I271" i="6"/>
  <c r="L271" i="6"/>
  <c r="N271" i="6"/>
  <c r="Q271" i="6"/>
  <c r="R271" i="6"/>
  <c r="S271" i="6"/>
  <c r="T271" i="6"/>
  <c r="C272" i="6"/>
  <c r="D272" i="6"/>
  <c r="E272" i="6"/>
  <c r="F272" i="6"/>
  <c r="H272" i="6"/>
  <c r="I272" i="6"/>
  <c r="L272" i="6"/>
  <c r="N272" i="6"/>
  <c r="Q272" i="6"/>
  <c r="R272" i="6"/>
  <c r="S272" i="6"/>
  <c r="T272" i="6"/>
  <c r="C273" i="6"/>
  <c r="D273" i="6"/>
  <c r="E273" i="6"/>
  <c r="F273" i="6"/>
  <c r="H273" i="6"/>
  <c r="I273" i="6"/>
  <c r="L273" i="6"/>
  <c r="N273" i="6"/>
  <c r="Q273" i="6"/>
  <c r="R273" i="6"/>
  <c r="S273" i="6"/>
  <c r="T273" i="6"/>
  <c r="C274" i="6"/>
  <c r="D274" i="6"/>
  <c r="E274" i="6"/>
  <c r="F274" i="6"/>
  <c r="H274" i="6"/>
  <c r="I274" i="6"/>
  <c r="L274" i="6"/>
  <c r="N274" i="6"/>
  <c r="Q274" i="6"/>
  <c r="R274" i="6"/>
  <c r="S274" i="6"/>
  <c r="T274" i="6"/>
  <c r="C275" i="6"/>
  <c r="D275" i="6"/>
  <c r="E275" i="6"/>
  <c r="F275" i="6"/>
  <c r="H275" i="6"/>
  <c r="I275" i="6"/>
  <c r="L275" i="6"/>
  <c r="N275" i="6"/>
  <c r="Q275" i="6"/>
  <c r="R275" i="6"/>
  <c r="S275" i="6"/>
  <c r="T275" i="6"/>
  <c r="C276" i="6"/>
  <c r="D276" i="6"/>
  <c r="E276" i="6"/>
  <c r="F276" i="6"/>
  <c r="H276" i="6"/>
  <c r="I276" i="6"/>
  <c r="L276" i="6"/>
  <c r="N276" i="6"/>
  <c r="Q276" i="6"/>
  <c r="R276" i="6"/>
  <c r="S276" i="6"/>
  <c r="T276" i="6"/>
  <c r="C277" i="6"/>
  <c r="D277" i="6"/>
  <c r="E277" i="6"/>
  <c r="F277" i="6"/>
  <c r="H277" i="6"/>
  <c r="I277" i="6"/>
  <c r="L277" i="6"/>
  <c r="N277" i="6"/>
  <c r="Q277" i="6"/>
  <c r="R277" i="6"/>
  <c r="S277" i="6"/>
  <c r="T277" i="6"/>
  <c r="C278" i="6"/>
  <c r="D278" i="6"/>
  <c r="E278" i="6"/>
  <c r="F278" i="6"/>
  <c r="H278" i="6"/>
  <c r="I278" i="6"/>
  <c r="L278" i="6"/>
  <c r="N278" i="6"/>
  <c r="Q278" i="6"/>
  <c r="R278" i="6"/>
  <c r="S278" i="6"/>
  <c r="T278" i="6"/>
  <c r="C279" i="6"/>
  <c r="D279" i="6"/>
  <c r="E279" i="6"/>
  <c r="F279" i="6"/>
  <c r="H279" i="6"/>
  <c r="I279" i="6"/>
  <c r="L279" i="6"/>
  <c r="N279" i="6"/>
  <c r="Q279" i="6"/>
  <c r="R279" i="6"/>
  <c r="S279" i="6"/>
  <c r="T279" i="6"/>
  <c r="C280" i="6"/>
  <c r="D280" i="6"/>
  <c r="E280" i="6"/>
  <c r="F280" i="6"/>
  <c r="H280" i="6"/>
  <c r="I280" i="6"/>
  <c r="L280" i="6"/>
  <c r="N280" i="6"/>
  <c r="Q280" i="6"/>
  <c r="R280" i="6"/>
  <c r="S280" i="6"/>
  <c r="T280" i="6"/>
  <c r="C281" i="6"/>
  <c r="D281" i="6"/>
  <c r="E281" i="6"/>
  <c r="F281" i="6"/>
  <c r="H281" i="6"/>
  <c r="I281" i="6"/>
  <c r="L281" i="6"/>
  <c r="N281" i="6"/>
  <c r="Q281" i="6"/>
  <c r="R281" i="6"/>
  <c r="S281" i="6"/>
  <c r="T281" i="6"/>
  <c r="C282" i="6"/>
  <c r="D282" i="6"/>
  <c r="E282" i="6"/>
  <c r="F282" i="6"/>
  <c r="H282" i="6"/>
  <c r="I282" i="6"/>
  <c r="L282" i="6"/>
  <c r="N282" i="6"/>
  <c r="Q282" i="6"/>
  <c r="R282" i="6"/>
  <c r="S282" i="6"/>
  <c r="T282" i="6"/>
  <c r="C283" i="6"/>
  <c r="D283" i="6"/>
  <c r="E283" i="6"/>
  <c r="F283" i="6"/>
  <c r="H283" i="6"/>
  <c r="I283" i="6"/>
  <c r="L283" i="6"/>
  <c r="N283" i="6"/>
  <c r="Q283" i="6"/>
  <c r="R283" i="6"/>
  <c r="S283" i="6"/>
  <c r="T283" i="6"/>
  <c r="C284" i="6"/>
  <c r="D284" i="6"/>
  <c r="E284" i="6"/>
  <c r="F284" i="6"/>
  <c r="H284" i="6"/>
  <c r="I284" i="6"/>
  <c r="L284" i="6"/>
  <c r="N284" i="6"/>
  <c r="Q284" i="6"/>
  <c r="R284" i="6"/>
  <c r="S284" i="6"/>
  <c r="T284" i="6"/>
  <c r="C285" i="6"/>
  <c r="D285" i="6"/>
  <c r="E285" i="6"/>
  <c r="F285" i="6"/>
  <c r="H285" i="6"/>
  <c r="I285" i="6"/>
  <c r="L285" i="6"/>
  <c r="N285" i="6"/>
  <c r="Q285" i="6"/>
  <c r="R285" i="6"/>
  <c r="S285" i="6"/>
  <c r="T285" i="6"/>
  <c r="C286" i="6"/>
  <c r="D286" i="6"/>
  <c r="E286" i="6"/>
  <c r="F286" i="6"/>
  <c r="H286" i="6"/>
  <c r="I286" i="6"/>
  <c r="L286" i="6"/>
  <c r="N286" i="6"/>
  <c r="Q286" i="6"/>
  <c r="R286" i="6"/>
  <c r="S286" i="6"/>
  <c r="T286" i="6"/>
  <c r="C287" i="6"/>
  <c r="D287" i="6"/>
  <c r="E287" i="6"/>
  <c r="F287" i="6"/>
  <c r="H287" i="6"/>
  <c r="I287" i="6"/>
  <c r="L287" i="6"/>
  <c r="N287" i="6"/>
  <c r="Q287" i="6"/>
  <c r="R287" i="6"/>
  <c r="S287" i="6"/>
  <c r="T287" i="6"/>
  <c r="C288" i="6"/>
  <c r="D288" i="6"/>
  <c r="E288" i="6"/>
  <c r="F288" i="6"/>
  <c r="H288" i="6"/>
  <c r="I288" i="6"/>
  <c r="L288" i="6"/>
  <c r="N288" i="6"/>
  <c r="Q288" i="6"/>
  <c r="R288" i="6"/>
  <c r="S288" i="6"/>
  <c r="T288" i="6"/>
  <c r="C289" i="6"/>
  <c r="D289" i="6"/>
  <c r="E289" i="6"/>
  <c r="F289" i="6"/>
  <c r="H289" i="6"/>
  <c r="I289" i="6"/>
  <c r="L289" i="6"/>
  <c r="N289" i="6"/>
  <c r="Q289" i="6"/>
  <c r="R289" i="6"/>
  <c r="S289" i="6"/>
  <c r="T289" i="6"/>
  <c r="C290" i="6"/>
  <c r="D290" i="6"/>
  <c r="E290" i="6"/>
  <c r="F290" i="6"/>
  <c r="H290" i="6"/>
  <c r="I290" i="6"/>
  <c r="L290" i="6"/>
  <c r="N290" i="6"/>
  <c r="Q290" i="6"/>
  <c r="R290" i="6"/>
  <c r="S290" i="6"/>
  <c r="T290" i="6"/>
  <c r="C291" i="6"/>
  <c r="D291" i="6"/>
  <c r="E291" i="6"/>
  <c r="F291" i="6"/>
  <c r="H291" i="6"/>
  <c r="I291" i="6"/>
  <c r="L291" i="6"/>
  <c r="N291" i="6"/>
  <c r="Q291" i="6"/>
  <c r="R291" i="6"/>
  <c r="S291" i="6"/>
  <c r="T291" i="6"/>
  <c r="C292" i="6"/>
  <c r="D292" i="6"/>
  <c r="E292" i="6"/>
  <c r="F292" i="6"/>
  <c r="H292" i="6"/>
  <c r="I292" i="6"/>
  <c r="L292" i="6"/>
  <c r="N292" i="6"/>
  <c r="Q292" i="6"/>
  <c r="R292" i="6"/>
  <c r="S292" i="6"/>
  <c r="T292" i="6"/>
  <c r="C293" i="6"/>
  <c r="D293" i="6"/>
  <c r="E293" i="6"/>
  <c r="F293" i="6"/>
  <c r="H293" i="6"/>
  <c r="I293" i="6"/>
  <c r="L293" i="6"/>
  <c r="N293" i="6"/>
  <c r="Q293" i="6"/>
  <c r="R293" i="6"/>
  <c r="S293" i="6"/>
  <c r="T293" i="6"/>
  <c r="C294" i="6"/>
  <c r="D294" i="6"/>
  <c r="E294" i="6"/>
  <c r="F294" i="6"/>
  <c r="H294" i="6"/>
  <c r="I294" i="6"/>
  <c r="L294" i="6"/>
  <c r="N294" i="6"/>
  <c r="Q294" i="6"/>
  <c r="R294" i="6"/>
  <c r="S294" i="6"/>
  <c r="T294" i="6"/>
  <c r="C295" i="6"/>
  <c r="D295" i="6"/>
  <c r="E295" i="6"/>
  <c r="F295" i="6"/>
  <c r="H295" i="6"/>
  <c r="I295" i="6"/>
  <c r="L295" i="6"/>
  <c r="N295" i="6"/>
  <c r="Q295" i="6"/>
  <c r="R295" i="6"/>
  <c r="S295" i="6"/>
  <c r="T295" i="6"/>
  <c r="C296" i="6"/>
  <c r="D296" i="6"/>
  <c r="E296" i="6"/>
  <c r="F296" i="6"/>
  <c r="H296" i="6"/>
  <c r="I296" i="6"/>
  <c r="L296" i="6"/>
  <c r="N296" i="6"/>
  <c r="Q296" i="6"/>
  <c r="R296" i="6"/>
  <c r="S296" i="6"/>
  <c r="T296" i="6"/>
  <c r="C297" i="6"/>
  <c r="D297" i="6"/>
  <c r="E297" i="6"/>
  <c r="F297" i="6"/>
  <c r="H297" i="6"/>
  <c r="I297" i="6"/>
  <c r="L297" i="6"/>
  <c r="N297" i="6"/>
  <c r="Q297" i="6"/>
  <c r="R297" i="6"/>
  <c r="S297" i="6"/>
  <c r="T297" i="6"/>
  <c r="C298" i="6"/>
  <c r="D298" i="6"/>
  <c r="E298" i="6"/>
  <c r="F298" i="6"/>
  <c r="H298" i="6"/>
  <c r="I298" i="6"/>
  <c r="L298" i="6"/>
  <c r="N298" i="6"/>
  <c r="Q298" i="6"/>
  <c r="R298" i="6"/>
  <c r="S298" i="6"/>
  <c r="T298" i="6"/>
  <c r="C299" i="6"/>
  <c r="D299" i="6"/>
  <c r="E299" i="6"/>
  <c r="F299" i="6"/>
  <c r="H299" i="6"/>
  <c r="I299" i="6"/>
  <c r="L299" i="6"/>
  <c r="N299" i="6"/>
  <c r="Q299" i="6"/>
  <c r="R299" i="6"/>
  <c r="S299" i="6"/>
  <c r="T299" i="6"/>
  <c r="C300" i="6"/>
  <c r="D300" i="6"/>
  <c r="E300" i="6"/>
  <c r="F300" i="6"/>
  <c r="H300" i="6"/>
  <c r="I300" i="6"/>
  <c r="L300" i="6"/>
  <c r="N300" i="6"/>
  <c r="Q300" i="6"/>
  <c r="R300" i="6"/>
  <c r="S300" i="6"/>
  <c r="T300" i="6"/>
  <c r="C301" i="6"/>
  <c r="D301" i="6"/>
  <c r="E301" i="6"/>
  <c r="F301" i="6"/>
  <c r="H301" i="6"/>
  <c r="I301" i="6"/>
  <c r="L301" i="6"/>
  <c r="N301" i="6"/>
  <c r="Q301" i="6"/>
  <c r="R301" i="6"/>
  <c r="S301" i="6"/>
  <c r="T301" i="6"/>
  <c r="C302" i="6"/>
  <c r="D302" i="6"/>
  <c r="E302" i="6"/>
  <c r="F302" i="6"/>
  <c r="H302" i="6"/>
  <c r="I302" i="6"/>
  <c r="L302" i="6"/>
  <c r="N302" i="6"/>
  <c r="Q302" i="6"/>
  <c r="R302" i="6"/>
  <c r="S302" i="6"/>
  <c r="T302" i="6"/>
  <c r="C303" i="6"/>
  <c r="D303" i="6"/>
  <c r="E303" i="6"/>
  <c r="F303" i="6"/>
  <c r="H303" i="6"/>
  <c r="I303" i="6"/>
  <c r="L303" i="6"/>
  <c r="N303" i="6"/>
  <c r="Q303" i="6"/>
  <c r="R303" i="6"/>
  <c r="S303" i="6"/>
  <c r="T303" i="6"/>
  <c r="C304" i="6"/>
  <c r="D304" i="6"/>
  <c r="E304" i="6"/>
  <c r="F304" i="6"/>
  <c r="H304" i="6"/>
  <c r="I304" i="6"/>
  <c r="L304" i="6"/>
  <c r="N304" i="6"/>
  <c r="Q304" i="6"/>
  <c r="R304" i="6"/>
  <c r="S304" i="6"/>
  <c r="T304" i="6"/>
  <c r="C305" i="6"/>
  <c r="D305" i="6"/>
  <c r="E305" i="6"/>
  <c r="F305" i="6"/>
  <c r="H305" i="6"/>
  <c r="I305" i="6"/>
  <c r="L305" i="6"/>
  <c r="N305" i="6"/>
  <c r="Q305" i="6"/>
  <c r="R305" i="6"/>
  <c r="S305" i="6"/>
  <c r="T305" i="6"/>
  <c r="C306" i="6"/>
  <c r="D306" i="6"/>
  <c r="E306" i="6"/>
  <c r="F306" i="6"/>
  <c r="H306" i="6"/>
  <c r="I306" i="6"/>
  <c r="L306" i="6"/>
  <c r="N306" i="6"/>
  <c r="Q306" i="6"/>
  <c r="R306" i="6"/>
  <c r="S306" i="6"/>
  <c r="T306" i="6"/>
  <c r="C307" i="6"/>
  <c r="D307" i="6"/>
  <c r="E307" i="6"/>
  <c r="F307" i="6"/>
  <c r="H307" i="6"/>
  <c r="I307" i="6"/>
  <c r="L307" i="6"/>
  <c r="N307" i="6"/>
  <c r="Q307" i="6"/>
  <c r="R307" i="6"/>
  <c r="S307" i="6"/>
  <c r="T307" i="6"/>
  <c r="C308" i="6"/>
  <c r="D308" i="6"/>
  <c r="E308" i="6"/>
  <c r="F308" i="6"/>
  <c r="H308" i="6"/>
  <c r="I308" i="6"/>
  <c r="L308" i="6"/>
  <c r="N308" i="6"/>
  <c r="Q308" i="6"/>
  <c r="R308" i="6"/>
  <c r="S308" i="6"/>
  <c r="T308" i="6"/>
  <c r="C309" i="6"/>
  <c r="D309" i="6"/>
  <c r="E309" i="6"/>
  <c r="F309" i="6"/>
  <c r="H309" i="6"/>
  <c r="I309" i="6"/>
  <c r="L309" i="6"/>
  <c r="N309" i="6"/>
  <c r="Q309" i="6"/>
  <c r="R309" i="6"/>
  <c r="S309" i="6"/>
  <c r="T309" i="6"/>
  <c r="C310" i="6"/>
  <c r="D310" i="6"/>
  <c r="E310" i="6"/>
  <c r="F310" i="6"/>
  <c r="H310" i="6"/>
  <c r="I310" i="6"/>
  <c r="L310" i="6"/>
  <c r="N310" i="6"/>
  <c r="Q310" i="6"/>
  <c r="R310" i="6"/>
  <c r="S310" i="6"/>
  <c r="T310" i="6"/>
  <c r="C311" i="6"/>
  <c r="D311" i="6"/>
  <c r="E311" i="6"/>
  <c r="F311" i="6"/>
  <c r="H311" i="6"/>
  <c r="I311" i="6"/>
  <c r="L311" i="6"/>
  <c r="N311" i="6"/>
  <c r="Q311" i="6"/>
  <c r="R311" i="6"/>
  <c r="S311" i="6"/>
  <c r="T311" i="6"/>
  <c r="C312" i="6"/>
  <c r="D312" i="6"/>
  <c r="E312" i="6"/>
  <c r="F312" i="6"/>
  <c r="H312" i="6"/>
  <c r="I312" i="6"/>
  <c r="L312" i="6"/>
  <c r="N312" i="6"/>
  <c r="Q312" i="6"/>
  <c r="R312" i="6"/>
  <c r="S312" i="6"/>
  <c r="T312" i="6"/>
  <c r="C313" i="6"/>
  <c r="D313" i="6"/>
  <c r="E313" i="6"/>
  <c r="F313" i="6"/>
  <c r="H313" i="6"/>
  <c r="I313" i="6"/>
  <c r="L313" i="6"/>
  <c r="N313" i="6"/>
  <c r="Q313" i="6"/>
  <c r="R313" i="6"/>
  <c r="S313" i="6"/>
  <c r="T313" i="6"/>
  <c r="C314" i="6"/>
  <c r="D314" i="6"/>
  <c r="E314" i="6"/>
  <c r="F314" i="6"/>
  <c r="H314" i="6"/>
  <c r="I314" i="6"/>
  <c r="L314" i="6"/>
  <c r="N314" i="6"/>
  <c r="Q314" i="6"/>
  <c r="R314" i="6"/>
  <c r="S314" i="6"/>
  <c r="T314" i="6"/>
  <c r="C315" i="6"/>
  <c r="D315" i="6"/>
  <c r="E315" i="6"/>
  <c r="F315" i="6"/>
  <c r="H315" i="6"/>
  <c r="I315" i="6"/>
  <c r="L315" i="6"/>
  <c r="N315" i="6"/>
  <c r="Q315" i="6"/>
  <c r="R315" i="6"/>
  <c r="S315" i="6"/>
  <c r="T315" i="6"/>
  <c r="C316" i="6"/>
  <c r="D316" i="6"/>
  <c r="E316" i="6"/>
  <c r="F316" i="6"/>
  <c r="H316" i="6"/>
  <c r="I316" i="6"/>
  <c r="L316" i="6"/>
  <c r="N316" i="6"/>
  <c r="Q316" i="6"/>
  <c r="R316" i="6"/>
  <c r="S316" i="6"/>
  <c r="T316" i="6"/>
  <c r="C317" i="6"/>
  <c r="D317" i="6"/>
  <c r="E317" i="6"/>
  <c r="F317" i="6"/>
  <c r="H317" i="6"/>
  <c r="I317" i="6"/>
  <c r="L317" i="6"/>
  <c r="N317" i="6"/>
  <c r="Q317" i="6"/>
  <c r="R317" i="6"/>
  <c r="S317" i="6"/>
  <c r="T317" i="6"/>
  <c r="C318" i="6"/>
  <c r="D318" i="6"/>
  <c r="E318" i="6"/>
  <c r="F318" i="6"/>
  <c r="H318" i="6"/>
  <c r="I318" i="6"/>
  <c r="L318" i="6"/>
  <c r="N318" i="6"/>
  <c r="Q318" i="6"/>
  <c r="R318" i="6"/>
  <c r="S318" i="6"/>
  <c r="T318" i="6"/>
  <c r="C319" i="6"/>
  <c r="D319" i="6"/>
  <c r="E319" i="6"/>
  <c r="F319" i="6"/>
  <c r="H319" i="6"/>
  <c r="I319" i="6"/>
  <c r="L319" i="6"/>
  <c r="N319" i="6"/>
  <c r="Q319" i="6"/>
  <c r="R319" i="6"/>
  <c r="S319" i="6"/>
  <c r="T319" i="6"/>
  <c r="C320" i="6"/>
  <c r="D320" i="6"/>
  <c r="E320" i="6"/>
  <c r="F320" i="6"/>
  <c r="H320" i="6"/>
  <c r="I320" i="6"/>
  <c r="L320" i="6"/>
  <c r="N320" i="6"/>
  <c r="Q320" i="6"/>
  <c r="R320" i="6"/>
  <c r="S320" i="6"/>
  <c r="T320" i="6"/>
  <c r="C321" i="6"/>
  <c r="D321" i="6"/>
  <c r="E321" i="6"/>
  <c r="F321" i="6"/>
  <c r="H321" i="6"/>
  <c r="I321" i="6"/>
  <c r="L321" i="6"/>
  <c r="N321" i="6"/>
  <c r="Q321" i="6"/>
  <c r="R321" i="6"/>
  <c r="S321" i="6"/>
  <c r="T321" i="6"/>
  <c r="C322" i="6"/>
  <c r="D322" i="6"/>
  <c r="E322" i="6"/>
  <c r="F322" i="6"/>
  <c r="H322" i="6"/>
  <c r="I322" i="6"/>
  <c r="L322" i="6"/>
  <c r="N322" i="6"/>
  <c r="Q322" i="6"/>
  <c r="R322" i="6"/>
  <c r="S322" i="6"/>
  <c r="T322" i="6"/>
  <c r="C323" i="6"/>
  <c r="D323" i="6"/>
  <c r="E323" i="6"/>
  <c r="F323" i="6"/>
  <c r="H323" i="6"/>
  <c r="I323" i="6"/>
  <c r="L323" i="6"/>
  <c r="N323" i="6"/>
  <c r="Q323" i="6"/>
  <c r="R323" i="6"/>
  <c r="S323" i="6"/>
  <c r="T323" i="6"/>
  <c r="C324" i="6"/>
  <c r="D324" i="6"/>
  <c r="E324" i="6"/>
  <c r="F324" i="6"/>
  <c r="H324" i="6"/>
  <c r="I324" i="6"/>
  <c r="L324" i="6"/>
  <c r="N324" i="6"/>
  <c r="Q324" i="6"/>
  <c r="R324" i="6"/>
  <c r="S324" i="6"/>
  <c r="T324" i="6"/>
  <c r="C325" i="6"/>
  <c r="D325" i="6"/>
  <c r="E325" i="6"/>
  <c r="F325" i="6"/>
  <c r="H325" i="6"/>
  <c r="I325" i="6"/>
  <c r="L325" i="6"/>
  <c r="N325" i="6"/>
  <c r="Q325" i="6"/>
  <c r="R325" i="6"/>
  <c r="S325" i="6"/>
  <c r="T325" i="6"/>
  <c r="C326" i="6"/>
  <c r="D326" i="6"/>
  <c r="E326" i="6"/>
  <c r="F326" i="6"/>
  <c r="H326" i="6"/>
  <c r="I326" i="6"/>
  <c r="L326" i="6"/>
  <c r="N326" i="6"/>
  <c r="Q326" i="6"/>
  <c r="R326" i="6"/>
  <c r="S326" i="6"/>
  <c r="T326" i="6"/>
  <c r="C327" i="6"/>
  <c r="D327" i="6"/>
  <c r="E327" i="6"/>
  <c r="F327" i="6"/>
  <c r="H327" i="6"/>
  <c r="I327" i="6"/>
  <c r="L327" i="6"/>
  <c r="N327" i="6"/>
  <c r="Q327" i="6"/>
  <c r="R327" i="6"/>
  <c r="S327" i="6"/>
  <c r="T327" i="6"/>
  <c r="C328" i="6"/>
  <c r="D328" i="6"/>
  <c r="E328" i="6"/>
  <c r="F328" i="6"/>
  <c r="H328" i="6"/>
  <c r="I328" i="6"/>
  <c r="L328" i="6"/>
  <c r="N328" i="6"/>
  <c r="Q328" i="6"/>
  <c r="R328" i="6"/>
  <c r="S328" i="6"/>
  <c r="T328" i="6"/>
  <c r="C329" i="6"/>
  <c r="D329" i="6"/>
  <c r="E329" i="6"/>
  <c r="F329" i="6"/>
  <c r="H329" i="6"/>
  <c r="I329" i="6"/>
  <c r="L329" i="6"/>
  <c r="N329" i="6"/>
  <c r="Q329" i="6"/>
  <c r="R329" i="6"/>
  <c r="S329" i="6"/>
  <c r="T329" i="6"/>
  <c r="C330" i="6"/>
  <c r="D330" i="6"/>
  <c r="E330" i="6"/>
  <c r="F330" i="6"/>
  <c r="H330" i="6"/>
  <c r="I330" i="6"/>
  <c r="L330" i="6"/>
  <c r="N330" i="6"/>
  <c r="Q330" i="6"/>
  <c r="R330" i="6"/>
  <c r="S330" i="6"/>
  <c r="T330" i="6"/>
  <c r="C331" i="6"/>
  <c r="D331" i="6"/>
  <c r="E331" i="6"/>
  <c r="F331" i="6"/>
  <c r="H331" i="6"/>
  <c r="I331" i="6"/>
  <c r="L331" i="6"/>
  <c r="N331" i="6"/>
  <c r="Q331" i="6"/>
  <c r="R331" i="6"/>
  <c r="S331" i="6"/>
  <c r="T331" i="6"/>
  <c r="C332" i="6"/>
  <c r="D332" i="6"/>
  <c r="E332" i="6"/>
  <c r="F332" i="6"/>
  <c r="H332" i="6"/>
  <c r="I332" i="6"/>
  <c r="L332" i="6"/>
  <c r="N332" i="6"/>
  <c r="Q332" i="6"/>
  <c r="R332" i="6"/>
  <c r="S332" i="6"/>
  <c r="T332" i="6"/>
  <c r="C333" i="6"/>
  <c r="D333" i="6"/>
  <c r="E333" i="6"/>
  <c r="F333" i="6"/>
  <c r="H333" i="6"/>
  <c r="I333" i="6"/>
  <c r="L333" i="6"/>
  <c r="N333" i="6"/>
  <c r="Q333" i="6"/>
  <c r="R333" i="6"/>
  <c r="S333" i="6"/>
  <c r="T333" i="6"/>
  <c r="C334" i="6"/>
  <c r="D334" i="6"/>
  <c r="E334" i="6"/>
  <c r="F334" i="6"/>
  <c r="H334" i="6"/>
  <c r="I334" i="6"/>
  <c r="L334" i="6"/>
  <c r="N334" i="6"/>
  <c r="Q334" i="6"/>
  <c r="R334" i="6"/>
  <c r="S334" i="6"/>
  <c r="T334" i="6"/>
  <c r="C335" i="6"/>
  <c r="D335" i="6"/>
  <c r="E335" i="6"/>
  <c r="F335" i="6"/>
  <c r="H335" i="6"/>
  <c r="I335" i="6"/>
  <c r="L335" i="6"/>
  <c r="N335" i="6"/>
  <c r="Q335" i="6"/>
  <c r="R335" i="6"/>
  <c r="S335" i="6"/>
  <c r="T335" i="6"/>
  <c r="C336" i="6"/>
  <c r="D336" i="6"/>
  <c r="E336" i="6"/>
  <c r="F336" i="6"/>
  <c r="H336" i="6"/>
  <c r="I336" i="6"/>
  <c r="L336" i="6"/>
  <c r="N336" i="6"/>
  <c r="Q336" i="6"/>
  <c r="R336" i="6"/>
  <c r="S336" i="6"/>
  <c r="T336" i="6"/>
  <c r="C337" i="6"/>
  <c r="D337" i="6"/>
  <c r="E337" i="6"/>
  <c r="F337" i="6"/>
  <c r="H337" i="6"/>
  <c r="I337" i="6"/>
  <c r="L337" i="6"/>
  <c r="N337" i="6"/>
  <c r="Q337" i="6"/>
  <c r="R337" i="6"/>
  <c r="S337" i="6"/>
  <c r="T337" i="6"/>
  <c r="C338" i="6"/>
  <c r="D338" i="6"/>
  <c r="E338" i="6"/>
  <c r="F338" i="6"/>
  <c r="H338" i="6"/>
  <c r="I338" i="6"/>
  <c r="L338" i="6"/>
  <c r="N338" i="6"/>
  <c r="Q338" i="6"/>
  <c r="R338" i="6"/>
  <c r="S338" i="6"/>
  <c r="T338" i="6"/>
  <c r="C339" i="6"/>
  <c r="D339" i="6"/>
  <c r="E339" i="6"/>
  <c r="F339" i="6"/>
  <c r="H339" i="6"/>
  <c r="I339" i="6"/>
  <c r="L339" i="6"/>
  <c r="N339" i="6"/>
  <c r="Q339" i="6"/>
  <c r="R339" i="6"/>
  <c r="S339" i="6"/>
  <c r="T339" i="6"/>
  <c r="C340" i="6"/>
  <c r="D340" i="6"/>
  <c r="E340" i="6"/>
  <c r="F340" i="6"/>
  <c r="H340" i="6"/>
  <c r="I340" i="6"/>
  <c r="L340" i="6"/>
  <c r="N340" i="6"/>
  <c r="Q340" i="6"/>
  <c r="R340" i="6"/>
  <c r="S340" i="6"/>
  <c r="T340" i="6"/>
  <c r="C341" i="6"/>
  <c r="D341" i="6"/>
  <c r="E341" i="6"/>
  <c r="F341" i="6"/>
  <c r="H341" i="6"/>
  <c r="I341" i="6"/>
  <c r="L341" i="6"/>
  <c r="N341" i="6"/>
  <c r="Q341" i="6"/>
  <c r="R341" i="6"/>
  <c r="S341" i="6"/>
  <c r="T341" i="6"/>
  <c r="C342" i="6"/>
  <c r="D342" i="6"/>
  <c r="E342" i="6"/>
  <c r="F342" i="6"/>
  <c r="H342" i="6"/>
  <c r="I342" i="6"/>
  <c r="L342" i="6"/>
  <c r="N342" i="6"/>
  <c r="Q342" i="6"/>
  <c r="R342" i="6"/>
  <c r="S342" i="6"/>
  <c r="T342" i="6"/>
  <c r="C343" i="6"/>
  <c r="D343" i="6"/>
  <c r="E343" i="6"/>
  <c r="F343" i="6"/>
  <c r="H343" i="6"/>
  <c r="I343" i="6"/>
  <c r="L343" i="6"/>
  <c r="N343" i="6"/>
  <c r="Q343" i="6"/>
  <c r="R343" i="6"/>
  <c r="S343" i="6"/>
  <c r="T343" i="6"/>
  <c r="C344" i="6"/>
  <c r="D344" i="6"/>
  <c r="E344" i="6"/>
  <c r="F344" i="6"/>
  <c r="H344" i="6"/>
  <c r="I344" i="6"/>
  <c r="L344" i="6"/>
  <c r="N344" i="6"/>
  <c r="Q344" i="6"/>
  <c r="R344" i="6"/>
  <c r="S344" i="6"/>
  <c r="T344" i="6"/>
  <c r="C345" i="6"/>
  <c r="D345" i="6"/>
  <c r="E345" i="6"/>
  <c r="F345" i="6"/>
  <c r="H345" i="6"/>
  <c r="I345" i="6"/>
  <c r="L345" i="6"/>
  <c r="N345" i="6"/>
  <c r="Q345" i="6"/>
  <c r="R345" i="6"/>
  <c r="S345" i="6"/>
  <c r="T345" i="6"/>
  <c r="C346" i="6"/>
  <c r="D346" i="6"/>
  <c r="E346" i="6"/>
  <c r="F346" i="6"/>
  <c r="H346" i="6"/>
  <c r="I346" i="6"/>
  <c r="L346" i="6"/>
  <c r="N346" i="6"/>
  <c r="Q346" i="6"/>
  <c r="R346" i="6"/>
  <c r="S346" i="6"/>
  <c r="T346" i="6"/>
  <c r="C347" i="6"/>
  <c r="D347" i="6"/>
  <c r="E347" i="6"/>
  <c r="F347" i="6"/>
  <c r="H347" i="6"/>
  <c r="I347" i="6"/>
  <c r="L347" i="6"/>
  <c r="N347" i="6"/>
  <c r="Q347" i="6"/>
  <c r="R347" i="6"/>
  <c r="S347" i="6"/>
  <c r="T347" i="6"/>
  <c r="C348" i="6"/>
  <c r="D348" i="6"/>
  <c r="E348" i="6"/>
  <c r="F348" i="6"/>
  <c r="H348" i="6"/>
  <c r="I348" i="6"/>
  <c r="L348" i="6"/>
  <c r="N348" i="6"/>
  <c r="Q348" i="6"/>
  <c r="R348" i="6"/>
  <c r="S348" i="6"/>
  <c r="T348" i="6"/>
  <c r="C349" i="6"/>
  <c r="D349" i="6"/>
  <c r="E349" i="6"/>
  <c r="F349" i="6"/>
  <c r="H349" i="6"/>
  <c r="I349" i="6"/>
  <c r="L349" i="6"/>
  <c r="N349" i="6"/>
  <c r="Q349" i="6"/>
  <c r="R349" i="6"/>
  <c r="S349" i="6"/>
  <c r="T349" i="6"/>
  <c r="C350" i="6"/>
  <c r="D350" i="6"/>
  <c r="E350" i="6"/>
  <c r="F350" i="6"/>
  <c r="H350" i="6"/>
  <c r="I350" i="6"/>
  <c r="L350" i="6"/>
  <c r="N350" i="6"/>
  <c r="Q350" i="6"/>
  <c r="R350" i="6"/>
  <c r="S350" i="6"/>
  <c r="T350" i="6"/>
  <c r="C351" i="6"/>
  <c r="D351" i="6"/>
  <c r="E351" i="6"/>
  <c r="F351" i="6"/>
  <c r="H351" i="6"/>
  <c r="I351" i="6"/>
  <c r="L351" i="6"/>
  <c r="N351" i="6"/>
  <c r="Q351" i="6"/>
  <c r="R351" i="6"/>
  <c r="S351" i="6"/>
  <c r="T351" i="6"/>
  <c r="C352" i="6"/>
  <c r="D352" i="6"/>
  <c r="E352" i="6"/>
  <c r="F352" i="6"/>
  <c r="H352" i="6"/>
  <c r="I352" i="6"/>
  <c r="L352" i="6"/>
  <c r="N352" i="6"/>
  <c r="Q352" i="6"/>
  <c r="R352" i="6"/>
  <c r="S352" i="6"/>
  <c r="T352" i="6"/>
  <c r="C353" i="6"/>
  <c r="D353" i="6"/>
  <c r="E353" i="6"/>
  <c r="F353" i="6"/>
  <c r="H353" i="6"/>
  <c r="I353" i="6"/>
  <c r="L353" i="6"/>
  <c r="N353" i="6"/>
  <c r="Q353" i="6"/>
  <c r="R353" i="6"/>
  <c r="S353" i="6"/>
  <c r="T353" i="6"/>
  <c r="C354" i="6"/>
  <c r="D354" i="6"/>
  <c r="E354" i="6"/>
  <c r="F354" i="6"/>
  <c r="H354" i="6"/>
  <c r="I354" i="6"/>
  <c r="L354" i="6"/>
  <c r="N354" i="6"/>
  <c r="Q354" i="6"/>
  <c r="R354" i="6"/>
  <c r="S354" i="6"/>
  <c r="T354" i="6"/>
  <c r="C355" i="6"/>
  <c r="D355" i="6"/>
  <c r="E355" i="6"/>
  <c r="F355" i="6"/>
  <c r="H355" i="6"/>
  <c r="I355" i="6"/>
  <c r="L355" i="6"/>
  <c r="N355" i="6"/>
  <c r="Q355" i="6"/>
  <c r="R355" i="6"/>
  <c r="S355" i="6"/>
  <c r="T355" i="6"/>
  <c r="C356" i="6"/>
  <c r="D356" i="6"/>
  <c r="E356" i="6"/>
  <c r="F356" i="6"/>
  <c r="H356" i="6"/>
  <c r="I356" i="6"/>
  <c r="L356" i="6"/>
  <c r="N356" i="6"/>
  <c r="Q356" i="6"/>
  <c r="R356" i="6"/>
  <c r="S356" i="6"/>
  <c r="T356" i="6"/>
  <c r="C357" i="6"/>
  <c r="D357" i="6"/>
  <c r="E357" i="6"/>
  <c r="F357" i="6"/>
  <c r="H357" i="6"/>
  <c r="I357" i="6"/>
  <c r="L357" i="6"/>
  <c r="N357" i="6"/>
  <c r="Q357" i="6"/>
  <c r="R357" i="6"/>
  <c r="S357" i="6"/>
  <c r="T357" i="6"/>
  <c r="C358" i="6"/>
  <c r="D358" i="6"/>
  <c r="E358" i="6"/>
  <c r="F358" i="6"/>
  <c r="H358" i="6"/>
  <c r="I358" i="6"/>
  <c r="L358" i="6"/>
  <c r="N358" i="6"/>
  <c r="Q358" i="6"/>
  <c r="R358" i="6"/>
  <c r="S358" i="6"/>
  <c r="T358" i="6"/>
  <c r="C359" i="6"/>
  <c r="D359" i="6"/>
  <c r="E359" i="6"/>
  <c r="F359" i="6"/>
  <c r="H359" i="6"/>
  <c r="I359" i="6"/>
  <c r="L359" i="6"/>
  <c r="N359" i="6"/>
  <c r="Q359" i="6"/>
  <c r="R359" i="6"/>
  <c r="S359" i="6"/>
  <c r="T359" i="6"/>
  <c r="C360" i="6"/>
  <c r="D360" i="6"/>
  <c r="E360" i="6"/>
  <c r="F360" i="6"/>
  <c r="H360" i="6"/>
  <c r="I360" i="6"/>
  <c r="L360" i="6"/>
  <c r="N360" i="6"/>
  <c r="Q360" i="6"/>
  <c r="R360" i="6"/>
  <c r="S360" i="6"/>
  <c r="T360" i="6"/>
  <c r="C361" i="6"/>
  <c r="D361" i="6"/>
  <c r="E361" i="6"/>
  <c r="F361" i="6"/>
  <c r="H361" i="6"/>
  <c r="I361" i="6"/>
  <c r="L361" i="6"/>
  <c r="N361" i="6"/>
  <c r="Q361" i="6"/>
  <c r="R361" i="6"/>
  <c r="S361" i="6"/>
  <c r="T361" i="6"/>
  <c r="C362" i="6"/>
  <c r="D362" i="6"/>
  <c r="E362" i="6"/>
  <c r="F362" i="6"/>
  <c r="H362" i="6"/>
  <c r="I362" i="6"/>
  <c r="L362" i="6"/>
  <c r="N362" i="6"/>
  <c r="Q362" i="6"/>
  <c r="R362" i="6"/>
  <c r="S362" i="6"/>
  <c r="T362" i="6"/>
  <c r="C363" i="6"/>
  <c r="D363" i="6"/>
  <c r="E363" i="6"/>
  <c r="F363" i="6"/>
  <c r="H363" i="6"/>
  <c r="I363" i="6"/>
  <c r="L363" i="6"/>
  <c r="N363" i="6"/>
  <c r="Q363" i="6"/>
  <c r="R363" i="6"/>
  <c r="S363" i="6"/>
  <c r="T363" i="6"/>
  <c r="C364" i="6"/>
  <c r="D364" i="6"/>
  <c r="E364" i="6"/>
  <c r="F364" i="6"/>
  <c r="H364" i="6"/>
  <c r="I364" i="6"/>
  <c r="L364" i="6"/>
  <c r="N364" i="6"/>
  <c r="Q364" i="6"/>
  <c r="R364" i="6"/>
  <c r="S364" i="6"/>
  <c r="T364" i="6"/>
  <c r="C365" i="6"/>
  <c r="D365" i="6"/>
  <c r="E365" i="6"/>
  <c r="F365" i="6"/>
  <c r="H365" i="6"/>
  <c r="I365" i="6"/>
  <c r="L365" i="6"/>
  <c r="N365" i="6"/>
  <c r="Q365" i="6"/>
  <c r="R365" i="6"/>
  <c r="S365" i="6"/>
  <c r="T365" i="6"/>
  <c r="C366" i="6"/>
  <c r="D366" i="6"/>
  <c r="E366" i="6"/>
  <c r="F366" i="6"/>
  <c r="H366" i="6"/>
  <c r="I366" i="6"/>
  <c r="L366" i="6"/>
  <c r="N366" i="6"/>
  <c r="Q366" i="6"/>
  <c r="R366" i="6"/>
  <c r="S366" i="6"/>
  <c r="T366" i="6"/>
  <c r="C367" i="6"/>
  <c r="D367" i="6"/>
  <c r="E367" i="6"/>
  <c r="F367" i="6"/>
  <c r="H367" i="6"/>
  <c r="I367" i="6"/>
  <c r="L367" i="6"/>
  <c r="N367" i="6"/>
  <c r="Q367" i="6"/>
  <c r="R367" i="6"/>
  <c r="S367" i="6"/>
  <c r="T367" i="6"/>
  <c r="C368" i="6"/>
  <c r="D368" i="6"/>
  <c r="E368" i="6"/>
  <c r="F368" i="6"/>
  <c r="H368" i="6"/>
  <c r="I368" i="6"/>
  <c r="L368" i="6"/>
  <c r="N368" i="6"/>
  <c r="Q368" i="6"/>
  <c r="R368" i="6"/>
  <c r="S368" i="6"/>
  <c r="T368" i="6"/>
  <c r="C369" i="6"/>
  <c r="D369" i="6"/>
  <c r="E369" i="6"/>
  <c r="F369" i="6"/>
  <c r="H369" i="6"/>
  <c r="I369" i="6"/>
  <c r="L369" i="6"/>
  <c r="N369" i="6"/>
  <c r="Q369" i="6"/>
  <c r="R369" i="6"/>
  <c r="S369" i="6"/>
  <c r="T369" i="6"/>
  <c r="C370" i="6"/>
  <c r="D370" i="6"/>
  <c r="E370" i="6"/>
  <c r="F370" i="6"/>
  <c r="H370" i="6"/>
  <c r="I370" i="6"/>
  <c r="L370" i="6"/>
  <c r="N370" i="6"/>
  <c r="Q370" i="6"/>
  <c r="R370" i="6"/>
  <c r="S370" i="6"/>
  <c r="T370" i="6"/>
  <c r="C371" i="6"/>
  <c r="D371" i="6"/>
  <c r="E371" i="6"/>
  <c r="F371" i="6"/>
  <c r="H371" i="6"/>
  <c r="I371" i="6"/>
  <c r="L371" i="6"/>
  <c r="N371" i="6"/>
  <c r="Q371" i="6"/>
  <c r="R371" i="6"/>
  <c r="S371" i="6"/>
  <c r="T371" i="6"/>
  <c r="C372" i="6"/>
  <c r="D372" i="6"/>
  <c r="E372" i="6"/>
  <c r="F372" i="6"/>
  <c r="H372" i="6"/>
  <c r="I372" i="6"/>
  <c r="L372" i="6"/>
  <c r="N372" i="6"/>
  <c r="Q372" i="6"/>
  <c r="R372" i="6"/>
  <c r="S372" i="6"/>
  <c r="T372" i="6"/>
  <c r="C373" i="6"/>
  <c r="D373" i="6"/>
  <c r="E373" i="6"/>
  <c r="F373" i="6"/>
  <c r="H373" i="6"/>
  <c r="I373" i="6"/>
  <c r="L373" i="6"/>
  <c r="N373" i="6"/>
  <c r="Q373" i="6"/>
  <c r="R373" i="6"/>
  <c r="S373" i="6"/>
  <c r="T373" i="6"/>
  <c r="C374" i="6"/>
  <c r="D374" i="6"/>
  <c r="E374" i="6"/>
  <c r="F374" i="6"/>
  <c r="H374" i="6"/>
  <c r="I374" i="6"/>
  <c r="L374" i="6"/>
  <c r="N374" i="6"/>
  <c r="Q374" i="6"/>
  <c r="R374" i="6"/>
  <c r="S374" i="6"/>
  <c r="T374" i="6"/>
  <c r="C375" i="6"/>
  <c r="D375" i="6"/>
  <c r="E375" i="6"/>
  <c r="F375" i="6"/>
  <c r="H375" i="6"/>
  <c r="I375" i="6"/>
  <c r="L375" i="6"/>
  <c r="N375" i="6"/>
  <c r="Q375" i="6"/>
  <c r="R375" i="6"/>
  <c r="S375" i="6"/>
  <c r="T375" i="6"/>
  <c r="C376" i="6"/>
  <c r="D376" i="6"/>
  <c r="E376" i="6"/>
  <c r="F376" i="6"/>
  <c r="H376" i="6"/>
  <c r="I376" i="6"/>
  <c r="L376" i="6"/>
  <c r="N376" i="6"/>
  <c r="Q376" i="6"/>
  <c r="R376" i="6"/>
  <c r="S376" i="6"/>
  <c r="T376" i="6"/>
  <c r="C377" i="6"/>
  <c r="D377" i="6"/>
  <c r="E377" i="6"/>
  <c r="F377" i="6"/>
  <c r="H377" i="6"/>
  <c r="I377" i="6"/>
  <c r="L377" i="6"/>
  <c r="N377" i="6"/>
  <c r="Q377" i="6"/>
  <c r="R377" i="6"/>
  <c r="S377" i="6"/>
  <c r="T377" i="6"/>
  <c r="C378" i="6"/>
  <c r="D378" i="6"/>
  <c r="E378" i="6"/>
  <c r="F378" i="6"/>
  <c r="H378" i="6"/>
  <c r="I378" i="6"/>
  <c r="L378" i="6"/>
  <c r="N378" i="6"/>
  <c r="Q378" i="6"/>
  <c r="R378" i="6"/>
  <c r="S378" i="6"/>
  <c r="T378" i="6"/>
  <c r="C379" i="6"/>
  <c r="D379" i="6"/>
  <c r="E379" i="6"/>
  <c r="F379" i="6"/>
  <c r="H379" i="6"/>
  <c r="I379" i="6"/>
  <c r="L379" i="6"/>
  <c r="N379" i="6"/>
  <c r="Q379" i="6"/>
  <c r="R379" i="6"/>
  <c r="S379" i="6"/>
  <c r="T379" i="6"/>
  <c r="C380" i="6"/>
  <c r="D380" i="6"/>
  <c r="E380" i="6"/>
  <c r="F380" i="6"/>
  <c r="H380" i="6"/>
  <c r="I380" i="6"/>
  <c r="L380" i="6"/>
  <c r="N380" i="6"/>
  <c r="Q380" i="6"/>
  <c r="R380" i="6"/>
  <c r="S380" i="6"/>
  <c r="T380" i="6"/>
  <c r="C381" i="6"/>
  <c r="D381" i="6"/>
  <c r="E381" i="6"/>
  <c r="F381" i="6"/>
  <c r="H381" i="6"/>
  <c r="I381" i="6"/>
  <c r="L381" i="6"/>
  <c r="N381" i="6"/>
  <c r="Q381" i="6"/>
  <c r="R381" i="6"/>
  <c r="S381" i="6"/>
  <c r="T381" i="6"/>
  <c r="C382" i="6"/>
  <c r="D382" i="6"/>
  <c r="E382" i="6"/>
  <c r="F382" i="6"/>
  <c r="H382" i="6"/>
  <c r="I382" i="6"/>
  <c r="L382" i="6"/>
  <c r="N382" i="6"/>
  <c r="Q382" i="6"/>
  <c r="R382" i="6"/>
  <c r="S382" i="6"/>
  <c r="T382" i="6"/>
  <c r="C383" i="6"/>
  <c r="D383" i="6"/>
  <c r="E383" i="6"/>
  <c r="F383" i="6"/>
  <c r="H383" i="6"/>
  <c r="I383" i="6"/>
  <c r="L383" i="6"/>
  <c r="N383" i="6"/>
  <c r="Q383" i="6"/>
  <c r="R383" i="6"/>
  <c r="S383" i="6"/>
  <c r="T383" i="6"/>
  <c r="C384" i="6"/>
  <c r="D384" i="6"/>
  <c r="E384" i="6"/>
  <c r="F384" i="6"/>
  <c r="H384" i="6"/>
  <c r="I384" i="6"/>
  <c r="L384" i="6"/>
  <c r="N384" i="6"/>
  <c r="Q384" i="6"/>
  <c r="R384" i="6"/>
  <c r="S384" i="6"/>
  <c r="T384" i="6"/>
  <c r="C385" i="6"/>
  <c r="D385" i="6"/>
  <c r="E385" i="6"/>
  <c r="F385" i="6"/>
  <c r="H385" i="6"/>
  <c r="I385" i="6"/>
  <c r="L385" i="6"/>
  <c r="N385" i="6"/>
  <c r="Q385" i="6"/>
  <c r="R385" i="6"/>
  <c r="S385" i="6"/>
  <c r="T385" i="6"/>
  <c r="C386" i="6"/>
  <c r="D386" i="6"/>
  <c r="E386" i="6"/>
  <c r="F386" i="6"/>
  <c r="H386" i="6"/>
  <c r="I386" i="6"/>
  <c r="L386" i="6"/>
  <c r="N386" i="6"/>
  <c r="Q386" i="6"/>
  <c r="R386" i="6"/>
  <c r="S386" i="6"/>
  <c r="T386" i="6"/>
  <c r="C387" i="6"/>
  <c r="D387" i="6"/>
  <c r="E387" i="6"/>
  <c r="F387" i="6"/>
  <c r="H387" i="6"/>
  <c r="I387" i="6"/>
  <c r="L387" i="6"/>
  <c r="N387" i="6"/>
  <c r="Q387" i="6"/>
  <c r="R387" i="6"/>
  <c r="S387" i="6"/>
  <c r="T387" i="6"/>
  <c r="C388" i="6"/>
  <c r="D388" i="6"/>
  <c r="E388" i="6"/>
  <c r="F388" i="6"/>
  <c r="H388" i="6"/>
  <c r="I388" i="6"/>
  <c r="L388" i="6"/>
  <c r="N388" i="6"/>
  <c r="Q388" i="6"/>
  <c r="R388" i="6"/>
  <c r="S388" i="6"/>
  <c r="T388" i="6"/>
  <c r="C389" i="6"/>
  <c r="D389" i="6"/>
  <c r="E389" i="6"/>
  <c r="F389" i="6"/>
  <c r="H389" i="6"/>
  <c r="I389" i="6"/>
  <c r="L389" i="6"/>
  <c r="N389" i="6"/>
  <c r="Q389" i="6"/>
  <c r="R389" i="6"/>
  <c r="S389" i="6"/>
  <c r="T389" i="6"/>
  <c r="C390" i="6"/>
  <c r="D390" i="6"/>
  <c r="E390" i="6"/>
  <c r="F390" i="6"/>
  <c r="H390" i="6"/>
  <c r="I390" i="6"/>
  <c r="L390" i="6"/>
  <c r="N390" i="6"/>
  <c r="Q390" i="6"/>
  <c r="R390" i="6"/>
  <c r="S390" i="6"/>
  <c r="T390" i="6"/>
  <c r="C391" i="6"/>
  <c r="D391" i="6"/>
  <c r="E391" i="6"/>
  <c r="F391" i="6"/>
  <c r="H391" i="6"/>
  <c r="I391" i="6"/>
  <c r="L391" i="6"/>
  <c r="N391" i="6"/>
  <c r="Q391" i="6"/>
  <c r="R391" i="6"/>
  <c r="S391" i="6"/>
  <c r="T391" i="6"/>
  <c r="C392" i="6"/>
  <c r="D392" i="6"/>
  <c r="E392" i="6"/>
  <c r="F392" i="6"/>
  <c r="H392" i="6"/>
  <c r="I392" i="6"/>
  <c r="L392" i="6"/>
  <c r="N392" i="6"/>
  <c r="Q392" i="6"/>
  <c r="R392" i="6"/>
  <c r="S392" i="6"/>
  <c r="T392" i="6"/>
  <c r="C393" i="6"/>
  <c r="D393" i="6"/>
  <c r="E393" i="6"/>
  <c r="F393" i="6"/>
  <c r="H393" i="6"/>
  <c r="I393" i="6"/>
  <c r="L393" i="6"/>
  <c r="N393" i="6"/>
  <c r="Q393" i="6"/>
  <c r="R393" i="6"/>
  <c r="S393" i="6"/>
  <c r="T393" i="6"/>
  <c r="C394" i="6"/>
  <c r="D394" i="6"/>
  <c r="E394" i="6"/>
  <c r="F394" i="6"/>
  <c r="H394" i="6"/>
  <c r="I394" i="6"/>
  <c r="L394" i="6"/>
  <c r="N394" i="6"/>
  <c r="Q394" i="6"/>
  <c r="R394" i="6"/>
  <c r="S394" i="6"/>
  <c r="T394" i="6"/>
  <c r="C395" i="6"/>
  <c r="D395" i="6"/>
  <c r="E395" i="6"/>
  <c r="F395" i="6"/>
  <c r="H395" i="6"/>
  <c r="I395" i="6"/>
  <c r="L395" i="6"/>
  <c r="N395" i="6"/>
  <c r="Q395" i="6"/>
  <c r="R395" i="6"/>
  <c r="S395" i="6"/>
  <c r="T395" i="6"/>
  <c r="C396" i="6"/>
  <c r="D396" i="6"/>
  <c r="E396" i="6"/>
  <c r="F396" i="6"/>
  <c r="H396" i="6"/>
  <c r="I396" i="6"/>
  <c r="L396" i="6"/>
  <c r="N396" i="6"/>
  <c r="Q396" i="6"/>
  <c r="R396" i="6"/>
  <c r="S396" i="6"/>
  <c r="T396" i="6"/>
  <c r="C397" i="6"/>
  <c r="D397" i="6"/>
  <c r="E397" i="6"/>
  <c r="F397" i="6"/>
  <c r="H397" i="6"/>
  <c r="I397" i="6"/>
  <c r="L397" i="6"/>
  <c r="N397" i="6"/>
  <c r="Q397" i="6"/>
  <c r="R397" i="6"/>
  <c r="S397" i="6"/>
  <c r="T397" i="6"/>
  <c r="C398" i="6"/>
  <c r="D398" i="6"/>
  <c r="E398" i="6"/>
  <c r="F398" i="6"/>
  <c r="H398" i="6"/>
  <c r="I398" i="6"/>
  <c r="L398" i="6"/>
  <c r="N398" i="6"/>
  <c r="Q398" i="6"/>
  <c r="R398" i="6"/>
  <c r="S398" i="6"/>
  <c r="T398" i="6"/>
  <c r="C399" i="6"/>
  <c r="D399" i="6"/>
  <c r="E399" i="6"/>
  <c r="F399" i="6"/>
  <c r="H399" i="6"/>
  <c r="I399" i="6"/>
  <c r="L399" i="6"/>
  <c r="N399" i="6"/>
  <c r="Q399" i="6"/>
  <c r="R399" i="6"/>
  <c r="S399" i="6"/>
  <c r="T399" i="6"/>
  <c r="C400" i="6"/>
  <c r="D400" i="6"/>
  <c r="E400" i="6"/>
  <c r="F400" i="6"/>
  <c r="H400" i="6"/>
  <c r="I400" i="6"/>
  <c r="L400" i="6"/>
  <c r="N400" i="6"/>
  <c r="Q400" i="6"/>
  <c r="R400" i="6"/>
  <c r="S400" i="6"/>
  <c r="T400" i="6"/>
  <c r="C401" i="6"/>
  <c r="D401" i="6"/>
  <c r="E401" i="6"/>
  <c r="F401" i="6"/>
  <c r="H401" i="6"/>
  <c r="I401" i="6"/>
  <c r="L401" i="6"/>
  <c r="N401" i="6"/>
  <c r="Q401" i="6"/>
  <c r="R401" i="6"/>
  <c r="S401" i="6"/>
  <c r="T401" i="6"/>
  <c r="C402" i="6"/>
  <c r="D402" i="6"/>
  <c r="E402" i="6"/>
  <c r="F402" i="6"/>
  <c r="H402" i="6"/>
  <c r="I402" i="6"/>
  <c r="L402" i="6"/>
  <c r="N402" i="6"/>
  <c r="Q402" i="6"/>
  <c r="R402" i="6"/>
  <c r="S402" i="6"/>
  <c r="T402" i="6"/>
  <c r="C403" i="6"/>
  <c r="D403" i="6"/>
  <c r="E403" i="6"/>
  <c r="F403" i="6"/>
  <c r="H403" i="6"/>
  <c r="I403" i="6"/>
  <c r="L403" i="6"/>
  <c r="N403" i="6"/>
  <c r="Q403" i="6"/>
  <c r="R403" i="6"/>
  <c r="S403" i="6"/>
  <c r="T403" i="6"/>
  <c r="C404" i="6"/>
  <c r="D404" i="6"/>
  <c r="E404" i="6"/>
  <c r="F404" i="6"/>
  <c r="H404" i="6"/>
  <c r="I404" i="6"/>
  <c r="L404" i="6"/>
  <c r="N404" i="6"/>
  <c r="Q404" i="6"/>
  <c r="R404" i="6"/>
  <c r="S404" i="6"/>
  <c r="T404" i="6"/>
  <c r="C405" i="6"/>
  <c r="D405" i="6"/>
  <c r="E405" i="6"/>
  <c r="F405" i="6"/>
  <c r="H405" i="6"/>
  <c r="I405" i="6"/>
  <c r="L405" i="6"/>
  <c r="N405" i="6"/>
  <c r="Q405" i="6"/>
  <c r="R405" i="6"/>
  <c r="S405" i="6"/>
  <c r="T405" i="6"/>
  <c r="C406" i="6"/>
  <c r="D406" i="6"/>
  <c r="E406" i="6"/>
  <c r="F406" i="6"/>
  <c r="H406" i="6"/>
  <c r="I406" i="6"/>
  <c r="L406" i="6"/>
  <c r="N406" i="6"/>
  <c r="Q406" i="6"/>
  <c r="R406" i="6"/>
  <c r="S406" i="6"/>
  <c r="T406" i="6"/>
  <c r="C407" i="6"/>
  <c r="D407" i="6"/>
  <c r="E407" i="6"/>
  <c r="F407" i="6"/>
  <c r="H407" i="6"/>
  <c r="I407" i="6"/>
  <c r="L407" i="6"/>
  <c r="N407" i="6"/>
  <c r="Q407" i="6"/>
  <c r="R407" i="6"/>
  <c r="S407" i="6"/>
  <c r="T407" i="6"/>
  <c r="C408" i="6"/>
  <c r="D408" i="6"/>
  <c r="E408" i="6"/>
  <c r="F408" i="6"/>
  <c r="H408" i="6"/>
  <c r="I408" i="6"/>
  <c r="L408" i="6"/>
  <c r="N408" i="6"/>
  <c r="Q408" i="6"/>
  <c r="R408" i="6"/>
  <c r="S408" i="6"/>
  <c r="T408" i="6"/>
  <c r="C409" i="6"/>
  <c r="D409" i="6"/>
  <c r="E409" i="6"/>
  <c r="F409" i="6"/>
  <c r="H409" i="6"/>
  <c r="I409" i="6"/>
  <c r="L409" i="6"/>
  <c r="N409" i="6"/>
  <c r="Q409" i="6"/>
  <c r="R409" i="6"/>
  <c r="S409" i="6"/>
  <c r="T409" i="6"/>
  <c r="C410" i="6"/>
  <c r="D410" i="6"/>
  <c r="E410" i="6"/>
  <c r="F410" i="6"/>
  <c r="H410" i="6"/>
  <c r="I410" i="6"/>
  <c r="L410" i="6"/>
  <c r="N410" i="6"/>
  <c r="Q410" i="6"/>
  <c r="R410" i="6"/>
  <c r="S410" i="6"/>
  <c r="T410" i="6"/>
  <c r="C411" i="6"/>
  <c r="D411" i="6"/>
  <c r="E411" i="6"/>
  <c r="F411" i="6"/>
  <c r="H411" i="6"/>
  <c r="I411" i="6"/>
  <c r="L411" i="6"/>
  <c r="N411" i="6"/>
  <c r="Q411" i="6"/>
  <c r="R411" i="6"/>
  <c r="S411" i="6"/>
  <c r="T411" i="6"/>
  <c r="C412" i="6"/>
  <c r="D412" i="6"/>
  <c r="E412" i="6"/>
  <c r="F412" i="6"/>
  <c r="H412" i="6"/>
  <c r="I412" i="6"/>
  <c r="L412" i="6"/>
  <c r="N412" i="6"/>
  <c r="Q412" i="6"/>
  <c r="R412" i="6"/>
  <c r="S412" i="6"/>
  <c r="T412" i="6"/>
  <c r="C413" i="6"/>
  <c r="D413" i="6"/>
  <c r="E413" i="6"/>
  <c r="F413" i="6"/>
  <c r="H413" i="6"/>
  <c r="I413" i="6"/>
  <c r="L413" i="6"/>
  <c r="N413" i="6"/>
  <c r="Q413" i="6"/>
  <c r="R413" i="6"/>
  <c r="S413" i="6"/>
  <c r="T413" i="6"/>
  <c r="C414" i="6"/>
  <c r="D414" i="6"/>
  <c r="E414" i="6"/>
  <c r="F414" i="6"/>
  <c r="H414" i="6"/>
  <c r="I414" i="6"/>
  <c r="L414" i="6"/>
  <c r="N414" i="6"/>
  <c r="Q414" i="6"/>
  <c r="R414" i="6"/>
  <c r="S414" i="6"/>
  <c r="T414" i="6"/>
  <c r="C415" i="6"/>
  <c r="D415" i="6"/>
  <c r="E415" i="6"/>
  <c r="F415" i="6"/>
  <c r="H415" i="6"/>
  <c r="I415" i="6"/>
  <c r="L415" i="6"/>
  <c r="N415" i="6"/>
  <c r="Q415" i="6"/>
  <c r="R415" i="6"/>
  <c r="S415" i="6"/>
  <c r="T415" i="6"/>
  <c r="C416" i="6"/>
  <c r="D416" i="6"/>
  <c r="E416" i="6"/>
  <c r="F416" i="6"/>
  <c r="H416" i="6"/>
  <c r="I416" i="6"/>
  <c r="L416" i="6"/>
  <c r="N416" i="6"/>
  <c r="Q416" i="6"/>
  <c r="R416" i="6"/>
  <c r="S416" i="6"/>
  <c r="T416" i="6"/>
  <c r="C417" i="6"/>
  <c r="D417" i="6"/>
  <c r="E417" i="6"/>
  <c r="F417" i="6"/>
  <c r="H417" i="6"/>
  <c r="I417" i="6"/>
  <c r="L417" i="6"/>
  <c r="N417" i="6"/>
  <c r="Q417" i="6"/>
  <c r="R417" i="6"/>
  <c r="S417" i="6"/>
  <c r="T417" i="6"/>
  <c r="C418" i="6"/>
  <c r="D418" i="6"/>
  <c r="E418" i="6"/>
  <c r="F418" i="6"/>
  <c r="H418" i="6"/>
  <c r="I418" i="6"/>
  <c r="L418" i="6"/>
  <c r="N418" i="6"/>
  <c r="Q418" i="6"/>
  <c r="R418" i="6"/>
  <c r="S418" i="6"/>
  <c r="T418" i="6"/>
  <c r="C419" i="6"/>
  <c r="D419" i="6"/>
  <c r="E419" i="6"/>
  <c r="F419" i="6"/>
  <c r="H419" i="6"/>
  <c r="I419" i="6"/>
  <c r="L419" i="6"/>
  <c r="N419" i="6"/>
  <c r="Q419" i="6"/>
  <c r="R419" i="6"/>
  <c r="S419" i="6"/>
  <c r="T419" i="6"/>
  <c r="C420" i="6"/>
  <c r="D420" i="6"/>
  <c r="E420" i="6"/>
  <c r="F420" i="6"/>
  <c r="H420" i="6"/>
  <c r="I420" i="6"/>
  <c r="L420" i="6"/>
  <c r="N420" i="6"/>
  <c r="Q420" i="6"/>
  <c r="R420" i="6"/>
  <c r="S420" i="6"/>
  <c r="T420" i="6"/>
  <c r="C421" i="6"/>
  <c r="D421" i="6"/>
  <c r="E421" i="6"/>
  <c r="F421" i="6"/>
  <c r="H421" i="6"/>
  <c r="I421" i="6"/>
  <c r="L421" i="6"/>
  <c r="N421" i="6"/>
  <c r="Q421" i="6"/>
  <c r="R421" i="6"/>
  <c r="S421" i="6"/>
  <c r="T421" i="6"/>
  <c r="C422" i="6"/>
  <c r="D422" i="6"/>
  <c r="E422" i="6"/>
  <c r="F422" i="6"/>
  <c r="H422" i="6"/>
  <c r="I422" i="6"/>
  <c r="L422" i="6"/>
  <c r="N422" i="6"/>
  <c r="Q422" i="6"/>
  <c r="R422" i="6"/>
  <c r="S422" i="6"/>
  <c r="T422" i="6"/>
  <c r="C423" i="6"/>
  <c r="D423" i="6"/>
  <c r="E423" i="6"/>
  <c r="F423" i="6"/>
  <c r="H423" i="6"/>
  <c r="I423" i="6"/>
  <c r="L423" i="6"/>
  <c r="N423" i="6"/>
  <c r="Q423" i="6"/>
  <c r="R423" i="6"/>
  <c r="S423" i="6"/>
  <c r="T423" i="6"/>
  <c r="C424" i="6"/>
  <c r="D424" i="6"/>
  <c r="E424" i="6"/>
  <c r="F424" i="6"/>
  <c r="H424" i="6"/>
  <c r="I424" i="6"/>
  <c r="L424" i="6"/>
  <c r="N424" i="6"/>
  <c r="Q424" i="6"/>
  <c r="R424" i="6"/>
  <c r="S424" i="6"/>
  <c r="T424" i="6"/>
  <c r="C425" i="6"/>
  <c r="D425" i="6"/>
  <c r="E425" i="6"/>
  <c r="F425" i="6"/>
  <c r="H425" i="6"/>
  <c r="I425" i="6"/>
  <c r="L425" i="6"/>
  <c r="N425" i="6"/>
  <c r="Q425" i="6"/>
  <c r="R425" i="6"/>
  <c r="S425" i="6"/>
  <c r="T425" i="6"/>
  <c r="C426" i="6"/>
  <c r="D426" i="6"/>
  <c r="E426" i="6"/>
  <c r="F426" i="6"/>
  <c r="H426" i="6"/>
  <c r="I426" i="6"/>
  <c r="L426" i="6"/>
  <c r="N426" i="6"/>
  <c r="Q426" i="6"/>
  <c r="R426" i="6"/>
  <c r="S426" i="6"/>
  <c r="T426" i="6"/>
  <c r="C427" i="6"/>
  <c r="D427" i="6"/>
  <c r="E427" i="6"/>
  <c r="F427" i="6"/>
  <c r="H427" i="6"/>
  <c r="I427" i="6"/>
  <c r="L427" i="6"/>
  <c r="N427" i="6"/>
  <c r="Q427" i="6"/>
  <c r="R427" i="6"/>
  <c r="S427" i="6"/>
  <c r="T427" i="6"/>
  <c r="C428" i="6"/>
  <c r="D428" i="6"/>
  <c r="E428" i="6"/>
  <c r="F428" i="6"/>
  <c r="H428" i="6"/>
  <c r="I428" i="6"/>
  <c r="L428" i="6"/>
  <c r="N428" i="6"/>
  <c r="Q428" i="6"/>
  <c r="R428" i="6"/>
  <c r="S428" i="6"/>
  <c r="T428" i="6"/>
  <c r="C429" i="6"/>
  <c r="D429" i="6"/>
  <c r="E429" i="6"/>
  <c r="F429" i="6"/>
  <c r="H429" i="6"/>
  <c r="I429" i="6"/>
  <c r="L429" i="6"/>
  <c r="N429" i="6"/>
  <c r="Q429" i="6"/>
  <c r="R429" i="6"/>
  <c r="S429" i="6"/>
  <c r="T429" i="6"/>
  <c r="C430" i="6"/>
  <c r="D430" i="6"/>
  <c r="E430" i="6"/>
  <c r="F430" i="6"/>
  <c r="H430" i="6"/>
  <c r="I430" i="6"/>
  <c r="L430" i="6"/>
  <c r="N430" i="6"/>
  <c r="Q430" i="6"/>
  <c r="R430" i="6"/>
  <c r="S430" i="6"/>
  <c r="T430" i="6"/>
  <c r="C431" i="6"/>
  <c r="D431" i="6"/>
  <c r="E431" i="6"/>
  <c r="F431" i="6"/>
  <c r="H431" i="6"/>
  <c r="I431" i="6"/>
  <c r="L431" i="6"/>
  <c r="N431" i="6"/>
  <c r="Q431" i="6"/>
  <c r="R431" i="6"/>
  <c r="S431" i="6"/>
  <c r="T431" i="6"/>
  <c r="C432" i="6"/>
  <c r="D432" i="6"/>
  <c r="E432" i="6"/>
  <c r="F432" i="6"/>
  <c r="H432" i="6"/>
  <c r="I432" i="6"/>
  <c r="L432" i="6"/>
  <c r="N432" i="6"/>
  <c r="Q432" i="6"/>
  <c r="R432" i="6"/>
  <c r="S432" i="6"/>
  <c r="T432" i="6"/>
  <c r="C433" i="6"/>
  <c r="D433" i="6"/>
  <c r="E433" i="6"/>
  <c r="F433" i="6"/>
  <c r="H433" i="6"/>
  <c r="I433" i="6"/>
  <c r="L433" i="6"/>
  <c r="N433" i="6"/>
  <c r="Q433" i="6"/>
  <c r="R433" i="6"/>
  <c r="S433" i="6"/>
  <c r="T433" i="6"/>
  <c r="C434" i="6"/>
  <c r="D434" i="6"/>
  <c r="E434" i="6"/>
  <c r="F434" i="6"/>
  <c r="H434" i="6"/>
  <c r="I434" i="6"/>
  <c r="L434" i="6"/>
  <c r="N434" i="6"/>
  <c r="Q434" i="6"/>
  <c r="R434" i="6"/>
  <c r="S434" i="6"/>
  <c r="T434" i="6"/>
  <c r="C435" i="6"/>
  <c r="D435" i="6"/>
  <c r="E435" i="6"/>
  <c r="F435" i="6"/>
  <c r="H435" i="6"/>
  <c r="I435" i="6"/>
  <c r="L435" i="6"/>
  <c r="N435" i="6"/>
  <c r="Q435" i="6"/>
  <c r="R435" i="6"/>
  <c r="S435" i="6"/>
  <c r="T435" i="6"/>
  <c r="C436" i="6"/>
  <c r="D436" i="6"/>
  <c r="E436" i="6"/>
  <c r="F436" i="6"/>
  <c r="H436" i="6"/>
  <c r="I436" i="6"/>
  <c r="L436" i="6"/>
  <c r="N436" i="6"/>
  <c r="Q436" i="6"/>
  <c r="R436" i="6"/>
  <c r="S436" i="6"/>
  <c r="T436" i="6"/>
  <c r="C437" i="6"/>
  <c r="D437" i="6"/>
  <c r="E437" i="6"/>
  <c r="F437" i="6"/>
  <c r="H437" i="6"/>
  <c r="I437" i="6"/>
  <c r="L437" i="6"/>
  <c r="N437" i="6"/>
  <c r="Q437" i="6"/>
  <c r="R437" i="6"/>
  <c r="S437" i="6"/>
  <c r="T437" i="6"/>
  <c r="C438" i="6"/>
  <c r="D438" i="6"/>
  <c r="E438" i="6"/>
  <c r="F438" i="6"/>
  <c r="H438" i="6"/>
  <c r="I438" i="6"/>
  <c r="L438" i="6"/>
  <c r="N438" i="6"/>
  <c r="Q438" i="6"/>
  <c r="R438" i="6"/>
  <c r="S438" i="6"/>
  <c r="T438" i="6"/>
  <c r="C439" i="6"/>
  <c r="D439" i="6"/>
  <c r="E439" i="6"/>
  <c r="F439" i="6"/>
  <c r="H439" i="6"/>
  <c r="I439" i="6"/>
  <c r="L439" i="6"/>
  <c r="N439" i="6"/>
  <c r="Q439" i="6"/>
  <c r="R439" i="6"/>
  <c r="S439" i="6"/>
  <c r="T439" i="6"/>
  <c r="C440" i="6"/>
  <c r="D440" i="6"/>
  <c r="E440" i="6"/>
  <c r="F440" i="6"/>
  <c r="H440" i="6"/>
  <c r="I440" i="6"/>
  <c r="L440" i="6"/>
  <c r="N440" i="6"/>
  <c r="Q440" i="6"/>
  <c r="R440" i="6"/>
  <c r="S440" i="6"/>
  <c r="T440" i="6"/>
  <c r="C441" i="6"/>
  <c r="D441" i="6"/>
  <c r="E441" i="6"/>
  <c r="F441" i="6"/>
  <c r="H441" i="6"/>
  <c r="I441" i="6"/>
  <c r="L441" i="6"/>
  <c r="N441" i="6"/>
  <c r="Q441" i="6"/>
  <c r="R441" i="6"/>
  <c r="S441" i="6"/>
  <c r="T441" i="6"/>
  <c r="C442" i="6"/>
  <c r="D442" i="6"/>
  <c r="E442" i="6"/>
  <c r="F442" i="6"/>
  <c r="H442" i="6"/>
  <c r="I442" i="6"/>
  <c r="L442" i="6"/>
  <c r="N442" i="6"/>
  <c r="Q442" i="6"/>
  <c r="R442" i="6"/>
  <c r="S442" i="6"/>
  <c r="T442" i="6"/>
  <c r="C443" i="6"/>
  <c r="D443" i="6"/>
  <c r="E443" i="6"/>
  <c r="F443" i="6"/>
  <c r="H443" i="6"/>
  <c r="I443" i="6"/>
  <c r="L443" i="6"/>
  <c r="N443" i="6"/>
  <c r="Q443" i="6"/>
  <c r="R443" i="6"/>
  <c r="S443" i="6"/>
  <c r="T443" i="6"/>
  <c r="C444" i="6"/>
  <c r="D444" i="6"/>
  <c r="E444" i="6"/>
  <c r="F444" i="6"/>
  <c r="H444" i="6"/>
  <c r="I444" i="6"/>
  <c r="L444" i="6"/>
  <c r="N444" i="6"/>
  <c r="Q444" i="6"/>
  <c r="R444" i="6"/>
  <c r="S444" i="6"/>
  <c r="T444" i="6"/>
  <c r="C445" i="6"/>
  <c r="D445" i="6"/>
  <c r="E445" i="6"/>
  <c r="F445" i="6"/>
  <c r="H445" i="6"/>
  <c r="I445" i="6"/>
  <c r="L445" i="6"/>
  <c r="N445" i="6"/>
  <c r="Q445" i="6"/>
  <c r="R445" i="6"/>
  <c r="S445" i="6"/>
  <c r="T445" i="6"/>
  <c r="C446" i="6"/>
  <c r="D446" i="6"/>
  <c r="E446" i="6"/>
  <c r="F446" i="6"/>
  <c r="H446" i="6"/>
  <c r="I446" i="6"/>
  <c r="L446" i="6"/>
  <c r="N446" i="6"/>
  <c r="Q446" i="6"/>
  <c r="R446" i="6"/>
  <c r="S446" i="6"/>
  <c r="T446" i="6"/>
  <c r="C447" i="6"/>
  <c r="D447" i="6"/>
  <c r="E447" i="6"/>
  <c r="F447" i="6"/>
  <c r="H447" i="6"/>
  <c r="I447" i="6"/>
  <c r="L447" i="6"/>
  <c r="N447" i="6"/>
  <c r="Q447" i="6"/>
  <c r="R447" i="6"/>
  <c r="S447" i="6"/>
  <c r="T447" i="6"/>
  <c r="C448" i="6"/>
  <c r="D448" i="6"/>
  <c r="E448" i="6"/>
  <c r="F448" i="6"/>
  <c r="H448" i="6"/>
  <c r="I448" i="6"/>
  <c r="L448" i="6"/>
  <c r="N448" i="6"/>
  <c r="Q448" i="6"/>
  <c r="R448" i="6"/>
  <c r="S448" i="6"/>
  <c r="T448" i="6"/>
  <c r="C449" i="6"/>
  <c r="D449" i="6"/>
  <c r="E449" i="6"/>
  <c r="F449" i="6"/>
  <c r="H449" i="6"/>
  <c r="I449" i="6"/>
  <c r="L449" i="6"/>
  <c r="N449" i="6"/>
  <c r="Q449" i="6"/>
  <c r="R449" i="6"/>
  <c r="S449" i="6"/>
  <c r="T449" i="6"/>
  <c r="C450" i="6"/>
  <c r="D450" i="6"/>
  <c r="E450" i="6"/>
  <c r="F450" i="6"/>
  <c r="H450" i="6"/>
  <c r="I450" i="6"/>
  <c r="L450" i="6"/>
  <c r="N450" i="6"/>
  <c r="Q450" i="6"/>
  <c r="R450" i="6"/>
  <c r="S450" i="6"/>
  <c r="T450" i="6"/>
  <c r="C451" i="6"/>
  <c r="D451" i="6"/>
  <c r="E451" i="6"/>
  <c r="F451" i="6"/>
  <c r="H451" i="6"/>
  <c r="I451" i="6"/>
  <c r="L451" i="6"/>
  <c r="N451" i="6"/>
  <c r="Q451" i="6"/>
  <c r="R451" i="6"/>
  <c r="S451" i="6"/>
  <c r="T451" i="6"/>
  <c r="C452" i="6"/>
  <c r="D452" i="6"/>
  <c r="E452" i="6"/>
  <c r="F452" i="6"/>
  <c r="H452" i="6"/>
  <c r="I452" i="6"/>
  <c r="L452" i="6"/>
  <c r="N452" i="6"/>
  <c r="Q452" i="6"/>
  <c r="R452" i="6"/>
  <c r="S452" i="6"/>
  <c r="T452" i="6"/>
  <c r="C453" i="6"/>
  <c r="D453" i="6"/>
  <c r="E453" i="6"/>
  <c r="F453" i="6"/>
  <c r="H453" i="6"/>
  <c r="I453" i="6"/>
  <c r="L453" i="6"/>
  <c r="N453" i="6"/>
  <c r="Q453" i="6"/>
  <c r="R453" i="6"/>
  <c r="S453" i="6"/>
  <c r="T453" i="6"/>
  <c r="C454" i="6"/>
  <c r="D454" i="6"/>
  <c r="E454" i="6"/>
  <c r="F454" i="6"/>
  <c r="H454" i="6"/>
  <c r="I454" i="6"/>
  <c r="L454" i="6"/>
  <c r="N454" i="6"/>
  <c r="Q454" i="6"/>
  <c r="R454" i="6"/>
  <c r="S454" i="6"/>
  <c r="T454" i="6"/>
  <c r="C455" i="6"/>
  <c r="D455" i="6"/>
  <c r="E455" i="6"/>
  <c r="F455" i="6"/>
  <c r="H455" i="6"/>
  <c r="I455" i="6"/>
  <c r="L455" i="6"/>
  <c r="N455" i="6"/>
  <c r="Q455" i="6"/>
  <c r="R455" i="6"/>
  <c r="S455" i="6"/>
  <c r="T455" i="6"/>
  <c r="C456" i="6"/>
  <c r="D456" i="6"/>
  <c r="E456" i="6"/>
  <c r="F456" i="6"/>
  <c r="H456" i="6"/>
  <c r="I456" i="6"/>
  <c r="L456" i="6"/>
  <c r="N456" i="6"/>
  <c r="Q456" i="6"/>
  <c r="R456" i="6"/>
  <c r="S456" i="6"/>
  <c r="T456" i="6"/>
  <c r="C457" i="6"/>
  <c r="D457" i="6"/>
  <c r="E457" i="6"/>
  <c r="F457" i="6"/>
  <c r="H457" i="6"/>
  <c r="I457" i="6"/>
  <c r="L457" i="6"/>
  <c r="N457" i="6"/>
  <c r="Q457" i="6"/>
  <c r="R457" i="6"/>
  <c r="S457" i="6"/>
  <c r="T457" i="6"/>
  <c r="C458" i="6"/>
  <c r="D458" i="6"/>
  <c r="E458" i="6"/>
  <c r="F458" i="6"/>
  <c r="H458" i="6"/>
  <c r="I458" i="6"/>
  <c r="L458" i="6"/>
  <c r="N458" i="6"/>
  <c r="Q458" i="6"/>
  <c r="R458" i="6"/>
  <c r="S458" i="6"/>
  <c r="T458" i="6"/>
  <c r="C459" i="6"/>
  <c r="D459" i="6"/>
  <c r="E459" i="6"/>
  <c r="F459" i="6"/>
  <c r="H459" i="6"/>
  <c r="I459" i="6"/>
  <c r="L459" i="6"/>
  <c r="N459" i="6"/>
  <c r="Q459" i="6"/>
  <c r="R459" i="6"/>
  <c r="S459" i="6"/>
  <c r="T459" i="6"/>
  <c r="C460" i="6"/>
  <c r="D460" i="6"/>
  <c r="E460" i="6"/>
  <c r="F460" i="6"/>
  <c r="H460" i="6"/>
  <c r="I460" i="6"/>
  <c r="L460" i="6"/>
  <c r="N460" i="6"/>
  <c r="Q460" i="6"/>
  <c r="R460" i="6"/>
  <c r="S460" i="6"/>
  <c r="T460" i="6"/>
  <c r="C461" i="6"/>
  <c r="D461" i="6"/>
  <c r="E461" i="6"/>
  <c r="F461" i="6"/>
  <c r="H461" i="6"/>
  <c r="I461" i="6"/>
  <c r="L461" i="6"/>
  <c r="N461" i="6"/>
  <c r="Q461" i="6"/>
  <c r="R461" i="6"/>
  <c r="S461" i="6"/>
  <c r="T461" i="6"/>
  <c r="C462" i="6"/>
  <c r="D462" i="6"/>
  <c r="E462" i="6"/>
  <c r="F462" i="6"/>
  <c r="H462" i="6"/>
  <c r="I462" i="6"/>
  <c r="L462" i="6"/>
  <c r="N462" i="6"/>
  <c r="Q462" i="6"/>
  <c r="R462" i="6"/>
  <c r="S462" i="6"/>
  <c r="T462" i="6"/>
  <c r="C463" i="6"/>
  <c r="D463" i="6"/>
  <c r="E463" i="6"/>
  <c r="F463" i="6"/>
  <c r="H463" i="6"/>
  <c r="I463" i="6"/>
  <c r="L463" i="6"/>
  <c r="N463" i="6"/>
  <c r="Q463" i="6"/>
  <c r="R463" i="6"/>
  <c r="S463" i="6"/>
  <c r="T463" i="6"/>
  <c r="C464" i="6"/>
  <c r="D464" i="6"/>
  <c r="E464" i="6"/>
  <c r="F464" i="6"/>
  <c r="H464" i="6"/>
  <c r="I464" i="6"/>
  <c r="L464" i="6"/>
  <c r="N464" i="6"/>
  <c r="Q464" i="6"/>
  <c r="R464" i="6"/>
  <c r="S464" i="6"/>
  <c r="T464" i="6"/>
  <c r="C465" i="6"/>
  <c r="D465" i="6"/>
  <c r="E465" i="6"/>
  <c r="F465" i="6"/>
  <c r="H465" i="6"/>
  <c r="I465" i="6"/>
  <c r="L465" i="6"/>
  <c r="N465" i="6"/>
  <c r="Q465" i="6"/>
  <c r="R465" i="6"/>
  <c r="S465" i="6"/>
  <c r="T465" i="6"/>
  <c r="C466" i="6"/>
  <c r="D466" i="6"/>
  <c r="E466" i="6"/>
  <c r="F466" i="6"/>
  <c r="H466" i="6"/>
  <c r="I466" i="6"/>
  <c r="L466" i="6"/>
  <c r="N466" i="6"/>
  <c r="Q466" i="6"/>
  <c r="R466" i="6"/>
  <c r="S466" i="6"/>
  <c r="T466" i="6"/>
  <c r="C467" i="6"/>
  <c r="D467" i="6"/>
  <c r="E467" i="6"/>
  <c r="F467" i="6"/>
  <c r="H467" i="6"/>
  <c r="I467" i="6"/>
  <c r="L467" i="6"/>
  <c r="N467" i="6"/>
  <c r="Q467" i="6"/>
  <c r="R467" i="6"/>
  <c r="S467" i="6"/>
  <c r="T467" i="6"/>
  <c r="C468" i="6"/>
  <c r="D468" i="6"/>
  <c r="E468" i="6"/>
  <c r="F468" i="6"/>
  <c r="H468" i="6"/>
  <c r="I468" i="6"/>
  <c r="L468" i="6"/>
  <c r="N468" i="6"/>
  <c r="Q468" i="6"/>
  <c r="R468" i="6"/>
  <c r="S468" i="6"/>
  <c r="T468" i="6"/>
  <c r="C469" i="6"/>
  <c r="D469" i="6"/>
  <c r="E469" i="6"/>
  <c r="F469" i="6"/>
  <c r="H469" i="6"/>
  <c r="I469" i="6"/>
  <c r="L469" i="6"/>
  <c r="N469" i="6"/>
  <c r="Q469" i="6"/>
  <c r="R469" i="6"/>
  <c r="S469" i="6"/>
  <c r="T469" i="6"/>
  <c r="C470" i="6"/>
  <c r="D470" i="6"/>
  <c r="E470" i="6"/>
  <c r="F470" i="6"/>
  <c r="H470" i="6"/>
  <c r="I470" i="6"/>
  <c r="L470" i="6"/>
  <c r="N470" i="6"/>
  <c r="Q470" i="6"/>
  <c r="R470" i="6"/>
  <c r="S470" i="6"/>
  <c r="T470" i="6"/>
  <c r="C471" i="6"/>
  <c r="D471" i="6"/>
  <c r="E471" i="6"/>
  <c r="F471" i="6"/>
  <c r="H471" i="6"/>
  <c r="I471" i="6"/>
  <c r="L471" i="6"/>
  <c r="N471" i="6"/>
  <c r="Q471" i="6"/>
  <c r="R471" i="6"/>
  <c r="S471" i="6"/>
  <c r="T471" i="6"/>
  <c r="C472" i="6"/>
  <c r="D472" i="6"/>
  <c r="E472" i="6"/>
  <c r="F472" i="6"/>
  <c r="H472" i="6"/>
  <c r="I472" i="6"/>
  <c r="L472" i="6"/>
  <c r="N472" i="6"/>
  <c r="Q472" i="6"/>
  <c r="R472" i="6"/>
  <c r="S472" i="6"/>
  <c r="T472" i="6"/>
  <c r="C473" i="6"/>
  <c r="D473" i="6"/>
  <c r="E473" i="6"/>
  <c r="F473" i="6"/>
  <c r="H473" i="6"/>
  <c r="I473" i="6"/>
  <c r="L473" i="6"/>
  <c r="N473" i="6"/>
  <c r="Q473" i="6"/>
  <c r="R473" i="6"/>
  <c r="S473" i="6"/>
  <c r="T473" i="6"/>
  <c r="C474" i="6"/>
  <c r="D474" i="6"/>
  <c r="E474" i="6"/>
  <c r="F474" i="6"/>
  <c r="H474" i="6"/>
  <c r="I474" i="6"/>
  <c r="L474" i="6"/>
  <c r="N474" i="6"/>
  <c r="Q474" i="6"/>
  <c r="R474" i="6"/>
  <c r="S474" i="6"/>
  <c r="T474" i="6"/>
  <c r="C475" i="6"/>
  <c r="D475" i="6"/>
  <c r="E475" i="6"/>
  <c r="F475" i="6"/>
  <c r="H475" i="6"/>
  <c r="I475" i="6"/>
  <c r="L475" i="6"/>
  <c r="N475" i="6"/>
  <c r="Q475" i="6"/>
  <c r="R475" i="6"/>
  <c r="S475" i="6"/>
  <c r="T475" i="6"/>
  <c r="C476" i="6"/>
  <c r="D476" i="6"/>
  <c r="E476" i="6"/>
  <c r="F476" i="6"/>
  <c r="H476" i="6"/>
  <c r="I476" i="6"/>
  <c r="L476" i="6"/>
  <c r="N476" i="6"/>
  <c r="Q476" i="6"/>
  <c r="R476" i="6"/>
  <c r="S476" i="6"/>
  <c r="T476" i="6"/>
  <c r="C477" i="6"/>
  <c r="D477" i="6"/>
  <c r="E477" i="6"/>
  <c r="F477" i="6"/>
  <c r="H477" i="6"/>
  <c r="I477" i="6"/>
  <c r="L477" i="6"/>
  <c r="N477" i="6"/>
  <c r="Q477" i="6"/>
  <c r="R477" i="6"/>
  <c r="S477" i="6"/>
  <c r="T477" i="6"/>
  <c r="C478" i="6"/>
  <c r="D478" i="6"/>
  <c r="E478" i="6"/>
  <c r="F478" i="6"/>
  <c r="H478" i="6"/>
  <c r="I478" i="6"/>
  <c r="L478" i="6"/>
  <c r="N478" i="6"/>
  <c r="Q478" i="6"/>
  <c r="R478" i="6"/>
  <c r="S478" i="6"/>
  <c r="T478" i="6"/>
  <c r="C479" i="6"/>
  <c r="D479" i="6"/>
  <c r="E479" i="6"/>
  <c r="F479" i="6"/>
  <c r="H479" i="6"/>
  <c r="I479" i="6"/>
  <c r="L479" i="6"/>
  <c r="N479" i="6"/>
  <c r="Q479" i="6"/>
  <c r="R479" i="6"/>
  <c r="S479" i="6"/>
  <c r="T479" i="6"/>
  <c r="C480" i="6"/>
  <c r="D480" i="6"/>
  <c r="E480" i="6"/>
  <c r="F480" i="6"/>
  <c r="H480" i="6"/>
  <c r="I480" i="6"/>
  <c r="L480" i="6"/>
  <c r="N480" i="6"/>
  <c r="Q480" i="6"/>
  <c r="R480" i="6"/>
  <c r="S480" i="6"/>
  <c r="T480" i="6"/>
  <c r="C481" i="6"/>
  <c r="D481" i="6"/>
  <c r="E481" i="6"/>
  <c r="F481" i="6"/>
  <c r="H481" i="6"/>
  <c r="I481" i="6"/>
  <c r="L481" i="6"/>
  <c r="N481" i="6"/>
  <c r="Q481" i="6"/>
  <c r="R481" i="6"/>
  <c r="S481" i="6"/>
  <c r="T481" i="6"/>
  <c r="C482" i="6"/>
  <c r="D482" i="6"/>
  <c r="E482" i="6"/>
  <c r="F482" i="6"/>
  <c r="H482" i="6"/>
  <c r="I482" i="6"/>
  <c r="L482" i="6"/>
  <c r="N482" i="6"/>
  <c r="Q482" i="6"/>
  <c r="R482" i="6"/>
  <c r="S482" i="6"/>
  <c r="T482" i="6"/>
  <c r="C483" i="6"/>
  <c r="D483" i="6"/>
  <c r="E483" i="6"/>
  <c r="F483" i="6"/>
  <c r="H483" i="6"/>
  <c r="I483" i="6"/>
  <c r="L483" i="6"/>
  <c r="N483" i="6"/>
  <c r="Q483" i="6"/>
  <c r="R483" i="6"/>
  <c r="S483" i="6"/>
  <c r="T483" i="6"/>
  <c r="C484" i="6"/>
  <c r="D484" i="6"/>
  <c r="E484" i="6"/>
  <c r="F484" i="6"/>
  <c r="H484" i="6"/>
  <c r="I484" i="6"/>
  <c r="L484" i="6"/>
  <c r="N484" i="6"/>
  <c r="Q484" i="6"/>
  <c r="R484" i="6"/>
  <c r="S484" i="6"/>
  <c r="T484" i="6"/>
  <c r="C485" i="6"/>
  <c r="D485" i="6"/>
  <c r="E485" i="6"/>
  <c r="F485" i="6"/>
  <c r="H485" i="6"/>
  <c r="I485" i="6"/>
  <c r="L485" i="6"/>
  <c r="N485" i="6"/>
  <c r="Q485" i="6"/>
  <c r="R485" i="6"/>
  <c r="S485" i="6"/>
  <c r="T485" i="6"/>
  <c r="C486" i="6"/>
  <c r="D486" i="6"/>
  <c r="E486" i="6"/>
  <c r="F486" i="6"/>
  <c r="H486" i="6"/>
  <c r="I486" i="6"/>
  <c r="L486" i="6"/>
  <c r="N486" i="6"/>
  <c r="Q486" i="6"/>
  <c r="R486" i="6"/>
  <c r="S486" i="6"/>
  <c r="T486" i="6"/>
  <c r="C487" i="6"/>
  <c r="D487" i="6"/>
  <c r="E487" i="6"/>
  <c r="F487" i="6"/>
  <c r="H487" i="6"/>
  <c r="I487" i="6"/>
  <c r="L487" i="6"/>
  <c r="N487" i="6"/>
  <c r="Q487" i="6"/>
  <c r="R487" i="6"/>
  <c r="S487" i="6"/>
  <c r="T487" i="6"/>
  <c r="C488" i="6"/>
  <c r="D488" i="6"/>
  <c r="E488" i="6"/>
  <c r="F488" i="6"/>
  <c r="H488" i="6"/>
  <c r="I488" i="6"/>
  <c r="L488" i="6"/>
  <c r="N488" i="6"/>
  <c r="Q488" i="6"/>
  <c r="R488" i="6"/>
  <c r="S488" i="6"/>
  <c r="T488" i="6"/>
  <c r="C489" i="6"/>
  <c r="D489" i="6"/>
  <c r="E489" i="6"/>
  <c r="F489" i="6"/>
  <c r="H489" i="6"/>
  <c r="I489" i="6"/>
  <c r="L489" i="6"/>
  <c r="N489" i="6"/>
  <c r="Q489" i="6"/>
  <c r="R489" i="6"/>
  <c r="S489" i="6"/>
  <c r="T489" i="6"/>
  <c r="C490" i="6"/>
  <c r="D490" i="6"/>
  <c r="E490" i="6"/>
  <c r="F490" i="6"/>
  <c r="H490" i="6"/>
  <c r="I490" i="6"/>
  <c r="L490" i="6"/>
  <c r="N490" i="6"/>
  <c r="Q490" i="6"/>
  <c r="R490" i="6"/>
  <c r="S490" i="6"/>
  <c r="T490" i="6"/>
  <c r="C491" i="6"/>
  <c r="D491" i="6"/>
  <c r="E491" i="6"/>
  <c r="F491" i="6"/>
  <c r="H491" i="6"/>
  <c r="I491" i="6"/>
  <c r="L491" i="6"/>
  <c r="N491" i="6"/>
  <c r="Q491" i="6"/>
  <c r="R491" i="6"/>
  <c r="S491" i="6"/>
  <c r="T491" i="6"/>
  <c r="C492" i="6"/>
  <c r="D492" i="6"/>
  <c r="E492" i="6"/>
  <c r="F492" i="6"/>
  <c r="H492" i="6"/>
  <c r="I492" i="6"/>
  <c r="L492" i="6"/>
  <c r="N492" i="6"/>
  <c r="Q492" i="6"/>
  <c r="R492" i="6"/>
  <c r="S492" i="6"/>
  <c r="T492" i="6"/>
  <c r="C493" i="6"/>
  <c r="D493" i="6"/>
  <c r="E493" i="6"/>
  <c r="F493" i="6"/>
  <c r="H493" i="6"/>
  <c r="I493" i="6"/>
  <c r="L493" i="6"/>
  <c r="N493" i="6"/>
  <c r="Q493" i="6"/>
  <c r="R493" i="6"/>
  <c r="S493" i="6"/>
  <c r="T493" i="6"/>
  <c r="C494" i="6"/>
  <c r="D494" i="6"/>
  <c r="E494" i="6"/>
  <c r="F494" i="6"/>
  <c r="H494" i="6"/>
  <c r="I494" i="6"/>
  <c r="L494" i="6"/>
  <c r="N494" i="6"/>
  <c r="Q494" i="6"/>
  <c r="R494" i="6"/>
  <c r="S494" i="6"/>
  <c r="T494" i="6"/>
  <c r="C495" i="6"/>
  <c r="D495" i="6"/>
  <c r="E495" i="6"/>
  <c r="F495" i="6"/>
  <c r="H495" i="6"/>
  <c r="I495" i="6"/>
  <c r="L495" i="6"/>
  <c r="N495" i="6"/>
  <c r="Q495" i="6"/>
  <c r="R495" i="6"/>
  <c r="S495" i="6"/>
  <c r="T495" i="6"/>
  <c r="C496" i="6"/>
  <c r="D496" i="6"/>
  <c r="E496" i="6"/>
  <c r="F496" i="6"/>
  <c r="H496" i="6"/>
  <c r="I496" i="6"/>
  <c r="L496" i="6"/>
  <c r="N496" i="6"/>
  <c r="Q496" i="6"/>
  <c r="R496" i="6"/>
  <c r="S496" i="6"/>
  <c r="T496" i="6"/>
  <c r="C497" i="6"/>
  <c r="D497" i="6"/>
  <c r="E497" i="6"/>
  <c r="F497" i="6"/>
  <c r="H497" i="6"/>
  <c r="I497" i="6"/>
  <c r="L497" i="6"/>
  <c r="N497" i="6"/>
  <c r="Q497" i="6"/>
  <c r="R497" i="6"/>
  <c r="S497" i="6"/>
  <c r="T497" i="6"/>
  <c r="C498" i="6"/>
  <c r="D498" i="6"/>
  <c r="E498" i="6"/>
  <c r="F498" i="6"/>
  <c r="H498" i="6"/>
  <c r="I498" i="6"/>
  <c r="L498" i="6"/>
  <c r="N498" i="6"/>
  <c r="Q498" i="6"/>
  <c r="R498" i="6"/>
  <c r="S498" i="6"/>
  <c r="T498" i="6"/>
  <c r="C499" i="6"/>
  <c r="D499" i="6"/>
  <c r="E499" i="6"/>
  <c r="F499" i="6"/>
  <c r="H499" i="6"/>
  <c r="I499" i="6"/>
  <c r="L499" i="6"/>
  <c r="N499" i="6"/>
  <c r="Q499" i="6"/>
  <c r="R499" i="6"/>
  <c r="S499" i="6"/>
  <c r="T499" i="6"/>
  <c r="C500" i="6"/>
  <c r="D500" i="6"/>
  <c r="E500" i="6"/>
  <c r="F500" i="6"/>
  <c r="H500" i="6"/>
  <c r="I500" i="6"/>
  <c r="L500" i="6"/>
  <c r="N500" i="6"/>
  <c r="Q500" i="6"/>
  <c r="R500" i="6"/>
  <c r="S500" i="6"/>
  <c r="T500" i="6"/>
  <c r="C501" i="6"/>
  <c r="D501" i="6"/>
  <c r="E501" i="6"/>
  <c r="F501" i="6"/>
  <c r="H501" i="6"/>
  <c r="I501" i="6"/>
  <c r="L501" i="6"/>
  <c r="N501" i="6"/>
  <c r="Q501" i="6"/>
  <c r="R501" i="6"/>
  <c r="S501" i="6"/>
  <c r="T501" i="6"/>
  <c r="C502" i="6"/>
  <c r="D502" i="6"/>
  <c r="E502" i="6"/>
  <c r="F502" i="6"/>
  <c r="H502" i="6"/>
  <c r="I502" i="6"/>
  <c r="L502" i="6"/>
  <c r="N502" i="6"/>
  <c r="Q502" i="6"/>
  <c r="R502" i="6"/>
  <c r="S502" i="6"/>
  <c r="T502" i="6"/>
  <c r="C503" i="6"/>
  <c r="D503" i="6"/>
  <c r="E503" i="6"/>
  <c r="F503" i="6"/>
  <c r="H503" i="6"/>
  <c r="I503" i="6"/>
  <c r="L503" i="6"/>
  <c r="N503" i="6"/>
  <c r="Q503" i="6"/>
  <c r="R503" i="6"/>
  <c r="S503" i="6"/>
  <c r="T503" i="6"/>
  <c r="C504" i="6"/>
  <c r="D504" i="6"/>
  <c r="E504" i="6"/>
  <c r="F504" i="6"/>
  <c r="H504" i="6"/>
  <c r="I504" i="6"/>
  <c r="L504" i="6"/>
  <c r="N504" i="6"/>
  <c r="Q504" i="6"/>
  <c r="R504" i="6"/>
  <c r="S504" i="6"/>
  <c r="T504" i="6"/>
  <c r="C505" i="6"/>
  <c r="D505" i="6"/>
  <c r="E505" i="6"/>
  <c r="F505" i="6"/>
  <c r="H505" i="6"/>
  <c r="I505" i="6"/>
  <c r="L505" i="6"/>
  <c r="N505" i="6"/>
  <c r="Q505" i="6"/>
  <c r="R505" i="6"/>
  <c r="S505" i="6"/>
  <c r="T505" i="6"/>
  <c r="C506" i="6"/>
  <c r="D506" i="6"/>
  <c r="E506" i="6"/>
  <c r="F506" i="6"/>
  <c r="H506" i="6"/>
  <c r="I506" i="6"/>
  <c r="L506" i="6"/>
  <c r="N506" i="6"/>
  <c r="Q506" i="6"/>
  <c r="R506" i="6"/>
  <c r="S506" i="6"/>
  <c r="T506" i="6"/>
  <c r="C507" i="6"/>
  <c r="D507" i="6"/>
  <c r="E507" i="6"/>
  <c r="F507" i="6"/>
  <c r="H507" i="6"/>
  <c r="I507" i="6"/>
  <c r="L507" i="6"/>
  <c r="N507" i="6"/>
  <c r="Q507" i="6"/>
  <c r="R507" i="6"/>
  <c r="S507" i="6"/>
  <c r="T507" i="6"/>
  <c r="C508" i="6"/>
  <c r="D508" i="6"/>
  <c r="E508" i="6"/>
  <c r="F508" i="6"/>
  <c r="H508" i="6"/>
  <c r="I508" i="6"/>
  <c r="L508" i="6"/>
  <c r="N508" i="6"/>
  <c r="Q508" i="6"/>
  <c r="R508" i="6"/>
  <c r="S508" i="6"/>
  <c r="T508" i="6"/>
  <c r="C509" i="6"/>
  <c r="D509" i="6"/>
  <c r="E509" i="6"/>
  <c r="F509" i="6"/>
  <c r="H509" i="6"/>
  <c r="I509" i="6"/>
  <c r="L509" i="6"/>
  <c r="N509" i="6"/>
  <c r="Q509" i="6"/>
  <c r="R509" i="6"/>
  <c r="S509" i="6"/>
  <c r="T509" i="6"/>
  <c r="C510" i="6"/>
  <c r="D510" i="6"/>
  <c r="E510" i="6"/>
  <c r="F510" i="6"/>
  <c r="H510" i="6"/>
  <c r="I510" i="6"/>
  <c r="L510" i="6"/>
  <c r="N510" i="6"/>
  <c r="Q510" i="6"/>
  <c r="R510" i="6"/>
  <c r="S510" i="6"/>
  <c r="T510" i="6"/>
  <c r="C511" i="6"/>
  <c r="D511" i="6"/>
  <c r="E511" i="6"/>
  <c r="F511" i="6"/>
  <c r="H511" i="6"/>
  <c r="I511" i="6"/>
  <c r="L511" i="6"/>
  <c r="N511" i="6"/>
  <c r="Q511" i="6"/>
  <c r="R511" i="6"/>
  <c r="S511" i="6"/>
  <c r="T511" i="6"/>
  <c r="C512" i="6"/>
  <c r="D512" i="6"/>
  <c r="E512" i="6"/>
  <c r="F512" i="6"/>
  <c r="H512" i="6"/>
  <c r="I512" i="6"/>
  <c r="L512" i="6"/>
  <c r="N512" i="6"/>
  <c r="Q512" i="6"/>
  <c r="R512" i="6"/>
  <c r="S512" i="6"/>
  <c r="T512" i="6"/>
  <c r="C513" i="6"/>
  <c r="D513" i="6"/>
  <c r="E513" i="6"/>
  <c r="F513" i="6"/>
  <c r="H513" i="6"/>
  <c r="I513" i="6"/>
  <c r="L513" i="6"/>
  <c r="N513" i="6"/>
  <c r="Q513" i="6"/>
  <c r="R513" i="6"/>
  <c r="S513" i="6"/>
  <c r="T513" i="6"/>
  <c r="C514" i="6"/>
  <c r="D514" i="6"/>
  <c r="E514" i="6"/>
  <c r="F514" i="6"/>
  <c r="H514" i="6"/>
  <c r="I514" i="6"/>
  <c r="L514" i="6"/>
  <c r="N514" i="6"/>
  <c r="Q514" i="6"/>
  <c r="R514" i="6"/>
  <c r="S514" i="6"/>
  <c r="T514" i="6"/>
  <c r="C515" i="6"/>
  <c r="D515" i="6"/>
  <c r="E515" i="6"/>
  <c r="F515" i="6"/>
  <c r="H515" i="6"/>
  <c r="I515" i="6"/>
  <c r="L515" i="6"/>
  <c r="N515" i="6"/>
  <c r="Q515" i="6"/>
  <c r="R515" i="6"/>
  <c r="S515" i="6"/>
  <c r="T515" i="6"/>
  <c r="C516" i="6"/>
  <c r="D516" i="6"/>
  <c r="E516" i="6"/>
  <c r="F516" i="6"/>
  <c r="H516" i="6"/>
  <c r="I516" i="6"/>
  <c r="L516" i="6"/>
  <c r="N516" i="6"/>
  <c r="Q516" i="6"/>
  <c r="R516" i="6"/>
  <c r="S516" i="6"/>
  <c r="T516" i="6"/>
  <c r="C517" i="6"/>
  <c r="D517" i="6"/>
  <c r="E517" i="6"/>
  <c r="F517" i="6"/>
  <c r="H517" i="6"/>
  <c r="I517" i="6"/>
  <c r="L517" i="6"/>
  <c r="N517" i="6"/>
  <c r="Q517" i="6"/>
  <c r="R517" i="6"/>
  <c r="S517" i="6"/>
  <c r="T517" i="6"/>
  <c r="C518" i="6"/>
  <c r="D518" i="6"/>
  <c r="E518" i="6"/>
  <c r="F518" i="6"/>
  <c r="H518" i="6"/>
  <c r="I518" i="6"/>
  <c r="L518" i="6"/>
  <c r="N518" i="6"/>
  <c r="Q518" i="6"/>
  <c r="R518" i="6"/>
  <c r="S518" i="6"/>
  <c r="T518" i="6"/>
  <c r="C519" i="6"/>
  <c r="D519" i="6"/>
  <c r="E519" i="6"/>
  <c r="F519" i="6"/>
  <c r="H519" i="6"/>
  <c r="I519" i="6"/>
  <c r="L519" i="6"/>
  <c r="N519" i="6"/>
  <c r="Q519" i="6"/>
  <c r="R519" i="6"/>
  <c r="S519" i="6"/>
  <c r="T519" i="6"/>
  <c r="C520" i="6"/>
  <c r="D520" i="6"/>
  <c r="E520" i="6"/>
  <c r="F520" i="6"/>
  <c r="H520" i="6"/>
  <c r="I520" i="6"/>
  <c r="L520" i="6"/>
  <c r="N520" i="6"/>
  <c r="Q520" i="6"/>
  <c r="R520" i="6"/>
  <c r="S520" i="6"/>
  <c r="T520" i="6"/>
  <c r="C521" i="6"/>
  <c r="D521" i="6"/>
  <c r="E521" i="6"/>
  <c r="F521" i="6"/>
  <c r="H521" i="6"/>
  <c r="I521" i="6"/>
  <c r="L521" i="6"/>
  <c r="N521" i="6"/>
  <c r="Q521" i="6"/>
  <c r="R521" i="6"/>
  <c r="S521" i="6"/>
  <c r="T521" i="6"/>
  <c r="C522" i="6"/>
  <c r="D522" i="6"/>
  <c r="E522" i="6"/>
  <c r="F522" i="6"/>
  <c r="H522" i="6"/>
  <c r="I522" i="6"/>
  <c r="L522" i="6"/>
  <c r="N522" i="6"/>
  <c r="Q522" i="6"/>
  <c r="R522" i="6"/>
  <c r="S522" i="6"/>
  <c r="T522" i="6"/>
  <c r="C523" i="6"/>
  <c r="D523" i="6"/>
  <c r="E523" i="6"/>
  <c r="F523" i="6"/>
  <c r="H523" i="6"/>
  <c r="I523" i="6"/>
  <c r="L523" i="6"/>
  <c r="N523" i="6"/>
  <c r="Q523" i="6"/>
  <c r="R523" i="6"/>
  <c r="S523" i="6"/>
  <c r="T523" i="6"/>
  <c r="C524" i="6"/>
  <c r="D524" i="6"/>
  <c r="E524" i="6"/>
  <c r="F524" i="6"/>
  <c r="H524" i="6"/>
  <c r="I524" i="6"/>
  <c r="L524" i="6"/>
  <c r="N524" i="6"/>
  <c r="Q524" i="6"/>
  <c r="R524" i="6"/>
  <c r="S524" i="6"/>
  <c r="T524" i="6"/>
  <c r="C525" i="6"/>
  <c r="D525" i="6"/>
  <c r="E525" i="6"/>
  <c r="F525" i="6"/>
  <c r="H525" i="6"/>
  <c r="I525" i="6"/>
  <c r="L525" i="6"/>
  <c r="N525" i="6"/>
  <c r="Q525" i="6"/>
  <c r="R525" i="6"/>
  <c r="S525" i="6"/>
  <c r="T525" i="6"/>
  <c r="C526" i="6"/>
  <c r="D526" i="6"/>
  <c r="E526" i="6"/>
  <c r="F526" i="6"/>
  <c r="H526" i="6"/>
  <c r="I526" i="6"/>
  <c r="L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R527" i="6"/>
  <c r="S527" i="6"/>
  <c r="T527" i="6"/>
  <c r="C528" i="6"/>
  <c r="D528" i="6"/>
  <c r="E528" i="6"/>
  <c r="F528" i="6"/>
  <c r="H528" i="6"/>
  <c r="I528" i="6"/>
  <c r="L528" i="6"/>
  <c r="N528" i="6"/>
  <c r="Q528" i="6"/>
  <c r="R528" i="6"/>
  <c r="S528" i="6"/>
  <c r="T528" i="6"/>
  <c r="C529" i="6"/>
  <c r="D529" i="6"/>
  <c r="E529" i="6"/>
  <c r="F529" i="6"/>
  <c r="H529" i="6"/>
  <c r="I529" i="6"/>
  <c r="L529" i="6"/>
  <c r="N529" i="6"/>
  <c r="Q529" i="6"/>
  <c r="R529" i="6"/>
  <c r="S529" i="6"/>
  <c r="T529" i="6"/>
  <c r="C530" i="6"/>
  <c r="D530" i="6"/>
  <c r="E530" i="6"/>
  <c r="F530" i="6"/>
  <c r="H530" i="6"/>
  <c r="I530" i="6"/>
  <c r="L530" i="6"/>
  <c r="N530" i="6"/>
  <c r="Q530" i="6"/>
  <c r="R530" i="6"/>
  <c r="S530" i="6"/>
  <c r="T530" i="6"/>
  <c r="C531" i="6"/>
  <c r="D531" i="6"/>
  <c r="E531" i="6"/>
  <c r="F531" i="6"/>
  <c r="H531" i="6"/>
  <c r="I531" i="6"/>
  <c r="L531" i="6"/>
  <c r="N531" i="6"/>
  <c r="Q531" i="6"/>
  <c r="R531" i="6"/>
  <c r="S531" i="6"/>
  <c r="T531" i="6"/>
  <c r="C532" i="6"/>
  <c r="D532" i="6"/>
  <c r="E532" i="6"/>
  <c r="F532" i="6"/>
  <c r="H532" i="6"/>
  <c r="I532" i="6"/>
  <c r="L532" i="6"/>
  <c r="N532" i="6"/>
  <c r="Q532" i="6"/>
  <c r="R532" i="6"/>
  <c r="S532" i="6"/>
  <c r="T532" i="6"/>
  <c r="C533" i="6"/>
  <c r="D533" i="6"/>
  <c r="E533" i="6"/>
  <c r="F533" i="6"/>
  <c r="H533" i="6"/>
  <c r="I533" i="6"/>
  <c r="L533" i="6"/>
  <c r="N533" i="6"/>
  <c r="Q533" i="6"/>
  <c r="R533" i="6"/>
  <c r="S533" i="6"/>
  <c r="T533" i="6"/>
  <c r="C534" i="6"/>
  <c r="D534" i="6"/>
  <c r="E534" i="6"/>
  <c r="F534" i="6"/>
  <c r="H534" i="6"/>
  <c r="I534" i="6"/>
  <c r="L534" i="6"/>
  <c r="N534" i="6"/>
  <c r="Q534" i="6"/>
  <c r="R534" i="6"/>
  <c r="S534" i="6"/>
  <c r="T534" i="6"/>
  <c r="C535" i="6"/>
  <c r="D535" i="6"/>
  <c r="E535" i="6"/>
  <c r="F535" i="6"/>
  <c r="H535" i="6"/>
  <c r="I535" i="6"/>
  <c r="L535" i="6"/>
  <c r="N535" i="6"/>
  <c r="Q535" i="6"/>
  <c r="R535" i="6"/>
  <c r="S535" i="6"/>
  <c r="T535" i="6"/>
  <c r="C536" i="6"/>
  <c r="D536" i="6"/>
  <c r="E536" i="6"/>
  <c r="F536" i="6"/>
  <c r="H536" i="6"/>
  <c r="I536" i="6"/>
  <c r="L536" i="6"/>
  <c r="N536" i="6"/>
  <c r="Q536" i="6"/>
  <c r="R536" i="6"/>
  <c r="S536" i="6"/>
  <c r="T536" i="6"/>
  <c r="C537" i="6"/>
  <c r="D537" i="6"/>
  <c r="E537" i="6"/>
  <c r="F537" i="6"/>
  <c r="H537" i="6"/>
  <c r="I537" i="6"/>
  <c r="L537" i="6"/>
  <c r="N537" i="6"/>
  <c r="Q537" i="6"/>
  <c r="R537" i="6"/>
  <c r="S537" i="6"/>
  <c r="T537" i="6"/>
  <c r="C538" i="6"/>
  <c r="D538" i="6"/>
  <c r="E538" i="6"/>
  <c r="F538" i="6"/>
  <c r="H538" i="6"/>
  <c r="I538" i="6"/>
  <c r="L538" i="6"/>
  <c r="N538" i="6"/>
  <c r="Q538" i="6"/>
  <c r="R538" i="6"/>
  <c r="S538" i="6"/>
  <c r="T538" i="6"/>
  <c r="C539" i="6"/>
  <c r="D539" i="6"/>
  <c r="E539" i="6"/>
  <c r="F539" i="6"/>
  <c r="H539" i="6"/>
  <c r="I539" i="6"/>
  <c r="L539" i="6"/>
  <c r="N539" i="6"/>
  <c r="Q539" i="6"/>
  <c r="R539" i="6"/>
  <c r="S539" i="6"/>
  <c r="T539" i="6"/>
  <c r="C540" i="6"/>
  <c r="D540" i="6"/>
  <c r="E540" i="6"/>
  <c r="F540" i="6"/>
  <c r="H540" i="6"/>
  <c r="I540" i="6"/>
  <c r="L540" i="6"/>
  <c r="N540" i="6"/>
  <c r="Q540" i="6"/>
  <c r="R540" i="6"/>
  <c r="S540" i="6"/>
  <c r="T540" i="6"/>
  <c r="C541" i="6"/>
  <c r="D541" i="6"/>
  <c r="E541" i="6"/>
  <c r="F541" i="6"/>
  <c r="H541" i="6"/>
  <c r="I541" i="6"/>
  <c r="L541" i="6"/>
  <c r="N541" i="6"/>
  <c r="Q541" i="6"/>
  <c r="R541" i="6"/>
  <c r="S541" i="6"/>
  <c r="T541" i="6"/>
  <c r="C542" i="6"/>
  <c r="D542" i="6"/>
  <c r="E542" i="6"/>
  <c r="F542" i="6"/>
  <c r="H542" i="6"/>
  <c r="I542" i="6"/>
  <c r="L542" i="6"/>
  <c r="N542" i="6"/>
  <c r="Q542" i="6"/>
  <c r="R542" i="6"/>
  <c r="S542" i="6"/>
  <c r="T542" i="6"/>
  <c r="C543" i="6"/>
  <c r="D543" i="6"/>
  <c r="E543" i="6"/>
  <c r="F543" i="6"/>
  <c r="H543" i="6"/>
  <c r="I543" i="6"/>
  <c r="L543" i="6"/>
  <c r="N543" i="6"/>
  <c r="Q543" i="6"/>
  <c r="R543" i="6"/>
  <c r="S543" i="6"/>
  <c r="T543" i="6"/>
  <c r="C544" i="6"/>
  <c r="D544" i="6"/>
  <c r="E544" i="6"/>
  <c r="F544" i="6"/>
  <c r="H544" i="6"/>
  <c r="I544" i="6"/>
  <c r="L544" i="6"/>
  <c r="N544" i="6"/>
  <c r="Q544" i="6"/>
  <c r="R544" i="6"/>
  <c r="S544" i="6"/>
  <c r="T544" i="6"/>
  <c r="C545" i="6"/>
  <c r="D545" i="6"/>
  <c r="E545" i="6"/>
  <c r="F545" i="6"/>
  <c r="H545" i="6"/>
  <c r="I545" i="6"/>
  <c r="L545" i="6"/>
  <c r="N545" i="6"/>
  <c r="Q545" i="6"/>
  <c r="R545" i="6"/>
  <c r="S545" i="6"/>
  <c r="T545" i="6"/>
  <c r="C546" i="6"/>
  <c r="D546" i="6"/>
  <c r="E546" i="6"/>
  <c r="F546" i="6"/>
  <c r="H546" i="6"/>
  <c r="I546" i="6"/>
  <c r="L546" i="6"/>
  <c r="N546" i="6"/>
  <c r="Q546" i="6"/>
  <c r="R546" i="6"/>
  <c r="S546" i="6"/>
  <c r="T546" i="6"/>
  <c r="C547" i="6"/>
  <c r="D547" i="6"/>
  <c r="E547" i="6"/>
  <c r="F547" i="6"/>
  <c r="H547" i="6"/>
  <c r="I547" i="6"/>
  <c r="L547" i="6"/>
  <c r="N547" i="6"/>
  <c r="Q547" i="6"/>
  <c r="R547" i="6"/>
  <c r="S547" i="6"/>
  <c r="T547" i="6"/>
  <c r="C548" i="6"/>
  <c r="D548" i="6"/>
  <c r="E548" i="6"/>
  <c r="F548" i="6"/>
  <c r="H548" i="6"/>
  <c r="I548" i="6"/>
  <c r="L548" i="6"/>
  <c r="N548" i="6"/>
  <c r="Q548" i="6"/>
  <c r="R548" i="6"/>
  <c r="S548" i="6"/>
  <c r="T548" i="6"/>
  <c r="C549" i="6"/>
  <c r="D549" i="6"/>
  <c r="E549" i="6"/>
  <c r="F549" i="6"/>
  <c r="H549" i="6"/>
  <c r="I549" i="6"/>
  <c r="L549" i="6"/>
  <c r="N549" i="6"/>
  <c r="Q549" i="6"/>
  <c r="R549" i="6"/>
  <c r="S549" i="6"/>
  <c r="T549" i="6"/>
  <c r="C550" i="6"/>
  <c r="D550" i="6"/>
  <c r="E550" i="6"/>
  <c r="F550" i="6"/>
  <c r="H550" i="6"/>
  <c r="I550" i="6"/>
  <c r="L550" i="6"/>
  <c r="N550" i="6"/>
  <c r="Q550" i="6"/>
  <c r="R550" i="6"/>
  <c r="S550" i="6"/>
  <c r="T550" i="6"/>
  <c r="C551" i="6"/>
  <c r="D551" i="6"/>
  <c r="E551" i="6"/>
  <c r="F551" i="6"/>
  <c r="H551" i="6"/>
  <c r="I551" i="6"/>
  <c r="L551" i="6"/>
  <c r="N551" i="6"/>
  <c r="Q551" i="6"/>
  <c r="R551" i="6"/>
  <c r="S551" i="6"/>
  <c r="T551" i="6"/>
  <c r="C552" i="6"/>
  <c r="D552" i="6"/>
  <c r="E552" i="6"/>
  <c r="F552" i="6"/>
  <c r="H552" i="6"/>
  <c r="I552" i="6"/>
  <c r="L552" i="6"/>
  <c r="N552" i="6"/>
  <c r="Q552" i="6"/>
  <c r="R552" i="6"/>
  <c r="S552" i="6"/>
  <c r="T552" i="6"/>
  <c r="C553" i="6"/>
  <c r="D553" i="6"/>
  <c r="E553" i="6"/>
  <c r="F553" i="6"/>
  <c r="H553" i="6"/>
  <c r="I553" i="6"/>
  <c r="L553" i="6"/>
  <c r="N553" i="6"/>
  <c r="Q553" i="6"/>
  <c r="R553" i="6"/>
  <c r="S553" i="6"/>
  <c r="T553" i="6"/>
  <c r="C554" i="6"/>
  <c r="D554" i="6"/>
  <c r="E554" i="6"/>
  <c r="F554" i="6"/>
  <c r="H554" i="6"/>
  <c r="I554" i="6"/>
  <c r="L554" i="6"/>
  <c r="N554" i="6"/>
  <c r="Q554" i="6"/>
  <c r="R554" i="6"/>
  <c r="S554" i="6"/>
  <c r="T554" i="6"/>
  <c r="C555" i="6"/>
  <c r="D555" i="6"/>
  <c r="E555" i="6"/>
  <c r="F555" i="6"/>
  <c r="H555" i="6"/>
  <c r="I555" i="6"/>
  <c r="L555" i="6"/>
  <c r="N555" i="6"/>
  <c r="Q555" i="6"/>
  <c r="R555" i="6"/>
  <c r="S555" i="6"/>
  <c r="T555" i="6"/>
  <c r="C556" i="6"/>
  <c r="D556" i="6"/>
  <c r="E556" i="6"/>
  <c r="F556" i="6"/>
  <c r="H556" i="6"/>
  <c r="I556" i="6"/>
  <c r="L556" i="6"/>
  <c r="N556" i="6"/>
  <c r="Q556" i="6"/>
  <c r="R556" i="6"/>
  <c r="S556" i="6"/>
  <c r="T556" i="6"/>
  <c r="C557" i="6"/>
  <c r="D557" i="6"/>
  <c r="E557" i="6"/>
  <c r="F557" i="6"/>
  <c r="H557" i="6"/>
  <c r="I557" i="6"/>
  <c r="L557" i="6"/>
  <c r="N557" i="6"/>
  <c r="Q557" i="6"/>
  <c r="R557" i="6"/>
  <c r="S557" i="6"/>
  <c r="T557" i="6"/>
  <c r="C558" i="6"/>
  <c r="D558" i="6"/>
  <c r="E558" i="6"/>
  <c r="F558" i="6"/>
  <c r="H558" i="6"/>
  <c r="I558" i="6"/>
  <c r="L558" i="6"/>
  <c r="N558" i="6"/>
  <c r="Q558" i="6"/>
  <c r="R558" i="6"/>
  <c r="S558" i="6"/>
  <c r="T558" i="6"/>
  <c r="C559" i="6"/>
  <c r="D559" i="6"/>
  <c r="E559" i="6"/>
  <c r="F559" i="6"/>
  <c r="H559" i="6"/>
  <c r="I559" i="6"/>
  <c r="L559" i="6"/>
  <c r="N559" i="6"/>
  <c r="Q559" i="6"/>
  <c r="R559" i="6"/>
  <c r="S559" i="6"/>
  <c r="T559" i="6"/>
  <c r="C560" i="6"/>
  <c r="D560" i="6"/>
  <c r="E560" i="6"/>
  <c r="F560" i="6"/>
  <c r="H560" i="6"/>
  <c r="I560" i="6"/>
  <c r="L560" i="6"/>
  <c r="N560" i="6"/>
  <c r="Q560" i="6"/>
  <c r="R560" i="6"/>
  <c r="S560" i="6"/>
  <c r="T560" i="6"/>
  <c r="C561" i="6"/>
  <c r="D561" i="6"/>
  <c r="E561" i="6"/>
  <c r="F561" i="6"/>
  <c r="H561" i="6"/>
  <c r="I561" i="6"/>
  <c r="L561" i="6"/>
  <c r="N561" i="6"/>
  <c r="Q561" i="6"/>
  <c r="R561" i="6"/>
  <c r="S561" i="6"/>
  <c r="T561" i="6"/>
  <c r="C562" i="6"/>
  <c r="D562" i="6"/>
  <c r="E562" i="6"/>
  <c r="F562" i="6"/>
  <c r="H562" i="6"/>
  <c r="I562" i="6"/>
  <c r="L562" i="6"/>
  <c r="N562" i="6"/>
  <c r="Q562" i="6"/>
  <c r="R562" i="6"/>
  <c r="S562" i="6"/>
  <c r="T562" i="6"/>
  <c r="C563" i="6"/>
  <c r="D563" i="6"/>
  <c r="E563" i="6"/>
  <c r="F563" i="6"/>
  <c r="H563" i="6"/>
  <c r="I563" i="6"/>
  <c r="L563" i="6"/>
  <c r="N563" i="6"/>
  <c r="Q563" i="6"/>
  <c r="R563" i="6"/>
  <c r="S563" i="6"/>
  <c r="T563" i="6"/>
  <c r="C564" i="6"/>
  <c r="D564" i="6"/>
  <c r="E564" i="6"/>
  <c r="F564" i="6"/>
  <c r="H564" i="6"/>
  <c r="I564" i="6"/>
  <c r="L564" i="6"/>
  <c r="N564" i="6"/>
  <c r="Q564" i="6"/>
  <c r="R564" i="6"/>
  <c r="S564" i="6"/>
  <c r="T564" i="6"/>
  <c r="C565" i="6"/>
  <c r="D565" i="6"/>
  <c r="E565" i="6"/>
  <c r="F565" i="6"/>
  <c r="H565" i="6"/>
  <c r="I565" i="6"/>
  <c r="L565" i="6"/>
  <c r="N565" i="6"/>
  <c r="Q565" i="6"/>
  <c r="R565" i="6"/>
  <c r="S565" i="6"/>
  <c r="T565" i="6"/>
  <c r="C566" i="6"/>
  <c r="D566" i="6"/>
  <c r="E566" i="6"/>
  <c r="F566" i="6"/>
  <c r="H566" i="6"/>
  <c r="I566" i="6"/>
  <c r="L566" i="6"/>
  <c r="N566" i="6"/>
  <c r="Q566" i="6"/>
  <c r="R566" i="6"/>
  <c r="S566" i="6"/>
  <c r="T566" i="6"/>
  <c r="C567" i="6"/>
  <c r="D567" i="6"/>
  <c r="E567" i="6"/>
  <c r="F567" i="6"/>
  <c r="H567" i="6"/>
  <c r="I567" i="6"/>
  <c r="L567" i="6"/>
  <c r="N567" i="6"/>
  <c r="Q567" i="6"/>
  <c r="R567" i="6"/>
  <c r="S567" i="6"/>
  <c r="T567" i="6"/>
  <c r="C568" i="6"/>
  <c r="D568" i="6"/>
  <c r="E568" i="6"/>
  <c r="F568" i="6"/>
  <c r="H568" i="6"/>
  <c r="I568" i="6"/>
  <c r="L568" i="6"/>
  <c r="N568" i="6"/>
  <c r="Q568" i="6"/>
  <c r="R568" i="6"/>
  <c r="S568" i="6"/>
  <c r="T568" i="6"/>
  <c r="C569" i="6"/>
  <c r="D569" i="6"/>
  <c r="E569" i="6"/>
  <c r="F569" i="6"/>
  <c r="H569" i="6"/>
  <c r="I569" i="6"/>
  <c r="L569" i="6"/>
  <c r="N569" i="6"/>
  <c r="Q569" i="6"/>
  <c r="R569" i="6"/>
  <c r="S569" i="6"/>
  <c r="T569" i="6"/>
  <c r="C570" i="6"/>
  <c r="D570" i="6"/>
  <c r="E570" i="6"/>
  <c r="F570" i="6"/>
  <c r="H570" i="6"/>
  <c r="I570" i="6"/>
  <c r="L570" i="6"/>
  <c r="N570" i="6"/>
  <c r="Q570" i="6"/>
  <c r="R570" i="6"/>
  <c r="S570" i="6"/>
  <c r="T570" i="6"/>
  <c r="C571" i="6"/>
  <c r="D571" i="6"/>
  <c r="E571" i="6"/>
  <c r="F571" i="6"/>
  <c r="H571" i="6"/>
  <c r="I571" i="6"/>
  <c r="L571" i="6"/>
  <c r="N571" i="6"/>
  <c r="Q571" i="6"/>
  <c r="R571" i="6"/>
  <c r="S571" i="6"/>
  <c r="T571" i="6"/>
  <c r="C572" i="6"/>
  <c r="D572" i="6"/>
  <c r="E572" i="6"/>
  <c r="F572" i="6"/>
  <c r="H572" i="6"/>
  <c r="I572" i="6"/>
  <c r="L572" i="6"/>
  <c r="N572" i="6"/>
  <c r="Q572" i="6"/>
  <c r="R572" i="6"/>
  <c r="S572" i="6"/>
  <c r="T572" i="6"/>
  <c r="C573" i="6"/>
  <c r="D573" i="6"/>
  <c r="E573" i="6"/>
  <c r="F573" i="6"/>
  <c r="H573" i="6"/>
  <c r="I573" i="6"/>
  <c r="L573" i="6"/>
  <c r="N573" i="6"/>
  <c r="Q573" i="6"/>
  <c r="R573" i="6"/>
  <c r="S573" i="6"/>
  <c r="T573" i="6"/>
  <c r="C574" i="6"/>
  <c r="D574" i="6"/>
  <c r="E574" i="6"/>
  <c r="F574" i="6"/>
  <c r="H574" i="6"/>
  <c r="I574" i="6"/>
  <c r="L574" i="6"/>
  <c r="N574" i="6"/>
  <c r="Q574" i="6"/>
  <c r="R574" i="6"/>
  <c r="S574" i="6"/>
  <c r="T574" i="6"/>
  <c r="C575" i="6"/>
  <c r="D575" i="6"/>
  <c r="E575" i="6"/>
  <c r="F575" i="6"/>
  <c r="H575" i="6"/>
  <c r="I575" i="6"/>
  <c r="L575" i="6"/>
  <c r="N575" i="6"/>
  <c r="Q575" i="6"/>
  <c r="R575" i="6"/>
  <c r="S575" i="6"/>
  <c r="T575" i="6"/>
  <c r="C576" i="6"/>
  <c r="D576" i="6"/>
  <c r="E576" i="6"/>
  <c r="F576" i="6"/>
  <c r="H576" i="6"/>
  <c r="I576" i="6"/>
  <c r="L576" i="6"/>
  <c r="N576" i="6"/>
  <c r="Q576" i="6"/>
  <c r="R576" i="6"/>
  <c r="S576" i="6"/>
  <c r="T576" i="6"/>
  <c r="C577" i="6"/>
  <c r="D577" i="6"/>
  <c r="E577" i="6"/>
  <c r="F577" i="6"/>
  <c r="H577" i="6"/>
  <c r="I577" i="6"/>
  <c r="L577" i="6"/>
  <c r="N577" i="6"/>
  <c r="Q577" i="6"/>
  <c r="R577" i="6"/>
  <c r="S577" i="6"/>
  <c r="T577" i="6"/>
  <c r="C578" i="6"/>
  <c r="D578" i="6"/>
  <c r="E578" i="6"/>
  <c r="F578" i="6"/>
  <c r="H578" i="6"/>
  <c r="I578" i="6"/>
  <c r="L578" i="6"/>
  <c r="N578" i="6"/>
  <c r="Q578" i="6"/>
  <c r="R578" i="6"/>
  <c r="S578" i="6"/>
  <c r="T578" i="6"/>
  <c r="C579" i="6"/>
  <c r="D579" i="6"/>
  <c r="E579" i="6"/>
  <c r="F579" i="6"/>
  <c r="H579" i="6"/>
  <c r="I579" i="6"/>
  <c r="L579" i="6"/>
  <c r="N579" i="6"/>
  <c r="Q579" i="6"/>
  <c r="R579" i="6"/>
  <c r="S579" i="6"/>
  <c r="T579" i="6"/>
  <c r="C580" i="6"/>
  <c r="D580" i="6"/>
  <c r="E580" i="6"/>
  <c r="F580" i="6"/>
  <c r="H580" i="6"/>
  <c r="I580" i="6"/>
  <c r="L580" i="6"/>
  <c r="N580" i="6"/>
  <c r="Q580" i="6"/>
  <c r="R580" i="6"/>
  <c r="S580" i="6"/>
  <c r="T580" i="6"/>
  <c r="C581" i="6"/>
  <c r="D581" i="6"/>
  <c r="E581" i="6"/>
  <c r="F581" i="6"/>
  <c r="H581" i="6"/>
  <c r="I581" i="6"/>
  <c r="L581" i="6"/>
  <c r="N581" i="6"/>
  <c r="Q581" i="6"/>
  <c r="R581" i="6"/>
  <c r="S581" i="6"/>
  <c r="T581" i="6"/>
  <c r="C582" i="6"/>
  <c r="D582" i="6"/>
  <c r="E582" i="6"/>
  <c r="F582" i="6"/>
  <c r="H582" i="6"/>
  <c r="I582" i="6"/>
  <c r="L582" i="6"/>
  <c r="N582" i="6"/>
  <c r="Q582" i="6"/>
  <c r="R582" i="6"/>
  <c r="S582" i="6"/>
  <c r="T582" i="6"/>
  <c r="C583" i="6"/>
  <c r="D583" i="6"/>
  <c r="E583" i="6"/>
  <c r="F583" i="6"/>
  <c r="H583" i="6"/>
  <c r="I583" i="6"/>
  <c r="L583" i="6"/>
  <c r="N583" i="6"/>
  <c r="Q583" i="6"/>
  <c r="R583" i="6"/>
  <c r="S583" i="6"/>
  <c r="T583" i="6"/>
  <c r="C584" i="6"/>
  <c r="D584" i="6"/>
  <c r="E584" i="6"/>
  <c r="F584" i="6"/>
  <c r="H584" i="6"/>
  <c r="I584" i="6"/>
  <c r="L584" i="6"/>
  <c r="N584" i="6"/>
  <c r="Q584" i="6"/>
  <c r="R584" i="6"/>
  <c r="S584" i="6"/>
  <c r="T584" i="6"/>
  <c r="C585" i="6"/>
  <c r="D585" i="6"/>
  <c r="E585" i="6"/>
  <c r="F585" i="6"/>
  <c r="H585" i="6"/>
  <c r="I585" i="6"/>
  <c r="L585" i="6"/>
  <c r="N585" i="6"/>
  <c r="Q585" i="6"/>
  <c r="R585" i="6"/>
  <c r="S585" i="6"/>
  <c r="T585" i="6"/>
  <c r="C586" i="6"/>
  <c r="D586" i="6"/>
  <c r="E586" i="6"/>
  <c r="F586" i="6"/>
  <c r="H586" i="6"/>
  <c r="I586" i="6"/>
  <c r="L586" i="6"/>
  <c r="N586" i="6"/>
  <c r="Q586" i="6"/>
  <c r="R586" i="6"/>
  <c r="S586" i="6"/>
  <c r="T586" i="6"/>
  <c r="C587" i="6"/>
  <c r="D587" i="6"/>
  <c r="E587" i="6"/>
  <c r="F587" i="6"/>
  <c r="H587" i="6"/>
  <c r="I587" i="6"/>
  <c r="L587" i="6"/>
  <c r="N587" i="6"/>
  <c r="Q587" i="6"/>
  <c r="R587" i="6"/>
  <c r="S587" i="6"/>
  <c r="T587" i="6"/>
  <c r="C588" i="6"/>
  <c r="D588" i="6"/>
  <c r="E588" i="6"/>
  <c r="F588" i="6"/>
  <c r="H588" i="6"/>
  <c r="I588" i="6"/>
  <c r="L588" i="6"/>
  <c r="N588" i="6"/>
  <c r="Q588" i="6"/>
  <c r="R588" i="6"/>
  <c r="S588" i="6"/>
  <c r="T588" i="6"/>
  <c r="C589" i="6"/>
  <c r="D589" i="6"/>
  <c r="E589" i="6"/>
  <c r="F589" i="6"/>
  <c r="H589" i="6"/>
  <c r="I589" i="6"/>
  <c r="L589" i="6"/>
  <c r="N589" i="6"/>
  <c r="Q589" i="6"/>
  <c r="R589" i="6"/>
  <c r="S589" i="6"/>
  <c r="T589" i="6"/>
  <c r="C590" i="6"/>
  <c r="D590" i="6"/>
  <c r="E590" i="6"/>
  <c r="F590" i="6"/>
  <c r="H590" i="6"/>
  <c r="I590" i="6"/>
  <c r="L590" i="6"/>
  <c r="N590" i="6"/>
  <c r="Q590" i="6"/>
  <c r="R590" i="6"/>
  <c r="S590" i="6"/>
  <c r="T590" i="6"/>
  <c r="C591" i="6"/>
  <c r="D591" i="6"/>
  <c r="E591" i="6"/>
  <c r="F591" i="6"/>
  <c r="H591" i="6"/>
  <c r="I591" i="6"/>
  <c r="L591" i="6"/>
  <c r="N591" i="6"/>
  <c r="Q591" i="6"/>
  <c r="R591" i="6"/>
  <c r="S591" i="6"/>
  <c r="T591" i="6"/>
  <c r="C592" i="6"/>
  <c r="D592" i="6"/>
  <c r="E592" i="6"/>
  <c r="F592" i="6"/>
  <c r="H592" i="6"/>
  <c r="I592" i="6"/>
  <c r="L592" i="6"/>
  <c r="N592" i="6"/>
  <c r="Q592" i="6"/>
  <c r="R592" i="6"/>
  <c r="S592" i="6"/>
  <c r="T592" i="6"/>
  <c r="C593" i="6"/>
  <c r="D593" i="6"/>
  <c r="E593" i="6"/>
  <c r="F593" i="6"/>
  <c r="H593" i="6"/>
  <c r="I593" i="6"/>
  <c r="L593" i="6"/>
  <c r="N593" i="6"/>
  <c r="Q593" i="6"/>
  <c r="R593" i="6"/>
  <c r="S593" i="6"/>
  <c r="T593" i="6"/>
  <c r="C594" i="6"/>
  <c r="D594" i="6"/>
  <c r="E594" i="6"/>
  <c r="F594" i="6"/>
  <c r="H594" i="6"/>
  <c r="I594" i="6"/>
  <c r="L594" i="6"/>
  <c r="N594" i="6"/>
  <c r="Q594" i="6"/>
  <c r="R594" i="6"/>
  <c r="S594" i="6"/>
  <c r="T594" i="6"/>
  <c r="C595" i="6"/>
  <c r="D595" i="6"/>
  <c r="E595" i="6"/>
  <c r="F595" i="6"/>
  <c r="H595" i="6"/>
  <c r="I595" i="6"/>
  <c r="L595" i="6"/>
  <c r="N595" i="6"/>
  <c r="Q595" i="6"/>
  <c r="R595" i="6"/>
  <c r="S595" i="6"/>
  <c r="T595" i="6"/>
  <c r="C596" i="6"/>
  <c r="D596" i="6"/>
  <c r="E596" i="6"/>
  <c r="F596" i="6"/>
  <c r="H596" i="6"/>
  <c r="I596" i="6"/>
  <c r="L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R597" i="6"/>
  <c r="S597" i="6"/>
  <c r="T597" i="6"/>
  <c r="C598" i="6"/>
  <c r="D598" i="6"/>
  <c r="E598" i="6"/>
  <c r="F598" i="6"/>
  <c r="H598" i="6"/>
  <c r="I598" i="6"/>
  <c r="L598" i="6"/>
  <c r="N598" i="6"/>
  <c r="Q598" i="6"/>
  <c r="R598" i="6"/>
  <c r="S598" i="6"/>
  <c r="T598" i="6"/>
  <c r="C599" i="6"/>
  <c r="D599" i="6"/>
  <c r="E599" i="6"/>
  <c r="F599" i="6"/>
  <c r="H599" i="6"/>
  <c r="I599" i="6"/>
  <c r="L599" i="6"/>
  <c r="N599" i="6"/>
  <c r="Q599" i="6"/>
  <c r="R599" i="6"/>
  <c r="S599" i="6"/>
  <c r="T599" i="6"/>
  <c r="B600" i="6"/>
  <c r="C600" i="6"/>
  <c r="D600" i="6"/>
  <c r="L600" i="6" s="1"/>
  <c r="E600" i="6"/>
  <c r="F600" i="6"/>
  <c r="H600" i="6"/>
  <c r="I600" i="6"/>
  <c r="N600" i="6"/>
  <c r="R600" i="6"/>
  <c r="Q600" i="6" s="1"/>
  <c r="S600" i="6" s="1"/>
  <c r="T600" i="6"/>
  <c r="B601" i="6"/>
  <c r="C601" i="6"/>
  <c r="D601" i="6"/>
  <c r="E601" i="6"/>
  <c r="F601" i="6"/>
  <c r="H601" i="6"/>
  <c r="I601" i="6"/>
  <c r="L601" i="6"/>
  <c r="N601" i="6"/>
  <c r="Q601" i="6"/>
  <c r="R601" i="6"/>
  <c r="S601" i="6"/>
  <c r="T601" i="6"/>
  <c r="B602" i="6"/>
  <c r="C602" i="6"/>
  <c r="D602" i="6"/>
  <c r="L602" i="6" s="1"/>
  <c r="E602" i="6"/>
  <c r="F602" i="6"/>
  <c r="H602" i="6"/>
  <c r="I602" i="6"/>
  <c r="N602" i="6"/>
  <c r="R602" i="6"/>
  <c r="Q602" i="6" s="1"/>
  <c r="S602" i="6" s="1"/>
  <c r="T602" i="6"/>
  <c r="B603" i="6"/>
  <c r="C603" i="6"/>
  <c r="D603" i="6"/>
  <c r="E603" i="6"/>
  <c r="F603" i="6"/>
  <c r="H603" i="6"/>
  <c r="I603" i="6"/>
  <c r="L603" i="6"/>
  <c r="N603" i="6"/>
  <c r="Q603" i="6"/>
  <c r="R603" i="6"/>
  <c r="S603" i="6"/>
  <c r="T603" i="6"/>
  <c r="B604" i="6"/>
  <c r="C604" i="6"/>
  <c r="D604" i="6"/>
  <c r="L604" i="6" s="1"/>
  <c r="E604" i="6"/>
  <c r="F604" i="6"/>
  <c r="H604" i="6"/>
  <c r="I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L605" i="6"/>
  <c r="N605" i="6"/>
  <c r="Q605" i="6"/>
  <c r="R605" i="6"/>
  <c r="S605" i="6"/>
  <c r="T605" i="6"/>
  <c r="B606" i="6"/>
  <c r="C606" i="6"/>
  <c r="D606" i="6"/>
  <c r="L606" i="6" s="1"/>
  <c r="E606" i="6"/>
  <c r="F606" i="6"/>
  <c r="H606" i="6"/>
  <c r="I606" i="6"/>
  <c r="N606" i="6"/>
  <c r="R606" i="6"/>
  <c r="Q606" i="6" s="1"/>
  <c r="S606" i="6" s="1"/>
  <c r="T606" i="6"/>
  <c r="B607" i="6"/>
  <c r="C607" i="6"/>
  <c r="D607" i="6"/>
  <c r="E607" i="6"/>
  <c r="F607" i="6"/>
  <c r="H607" i="6"/>
  <c r="I607" i="6"/>
  <c r="L607" i="6"/>
  <c r="N607" i="6"/>
  <c r="Q607" i="6"/>
  <c r="R607" i="6"/>
  <c r="S607" i="6"/>
  <c r="T607" i="6"/>
  <c r="B608" i="6"/>
  <c r="C608" i="6"/>
  <c r="D608" i="6"/>
  <c r="L608" i="6" s="1"/>
  <c r="E608" i="6"/>
  <c r="F608" i="6"/>
  <c r="H608" i="6"/>
  <c r="I608" i="6"/>
  <c r="N608" i="6"/>
  <c r="R608" i="6"/>
  <c r="Q608" i="6" s="1"/>
  <c r="S608" i="6" s="1"/>
  <c r="T608" i="6"/>
  <c r="B609" i="6"/>
  <c r="C609" i="6"/>
  <c r="D609" i="6"/>
  <c r="E609" i="6"/>
  <c r="F609" i="6"/>
  <c r="H609" i="6"/>
  <c r="I609" i="6"/>
  <c r="L609" i="6"/>
  <c r="N609" i="6"/>
  <c r="Q609" i="6"/>
  <c r="R609" i="6"/>
  <c r="S609" i="6"/>
  <c r="T609" i="6"/>
  <c r="B610" i="6"/>
  <c r="C610" i="6"/>
  <c r="D610" i="6"/>
  <c r="L610" i="6" s="1"/>
  <c r="E610" i="6"/>
  <c r="F610" i="6"/>
  <c r="H610" i="6"/>
  <c r="I610" i="6"/>
  <c r="N610" i="6"/>
  <c r="R610" i="6"/>
  <c r="Q610" i="6" s="1"/>
  <c r="S610" i="6" s="1"/>
  <c r="T610" i="6"/>
  <c r="B611" i="6"/>
  <c r="C611" i="6"/>
  <c r="D611" i="6"/>
  <c r="E611" i="6"/>
  <c r="F611" i="6"/>
  <c r="H611" i="6"/>
  <c r="I611" i="6"/>
  <c r="L611" i="6"/>
  <c r="N611" i="6"/>
  <c r="Q611" i="6"/>
  <c r="R611" i="6"/>
  <c r="S611" i="6"/>
  <c r="T611" i="6"/>
  <c r="B612" i="6"/>
  <c r="C612" i="6"/>
  <c r="D612" i="6"/>
  <c r="L612" i="6" s="1"/>
  <c r="E612" i="6"/>
  <c r="F612" i="6"/>
  <c r="H612" i="6"/>
  <c r="I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L613" i="6"/>
  <c r="N613" i="6"/>
  <c r="Q613" i="6"/>
  <c r="R613" i="6"/>
  <c r="S613" i="6"/>
  <c r="T613" i="6"/>
  <c r="B614" i="6"/>
  <c r="C614" i="6"/>
  <c r="D614" i="6"/>
  <c r="L614" i="6" s="1"/>
  <c r="E614" i="6"/>
  <c r="F614" i="6"/>
  <c r="H614" i="6"/>
  <c r="I614" i="6"/>
  <c r="N614" i="6"/>
  <c r="R614" i="6"/>
  <c r="Q614" i="6" s="1"/>
  <c r="S614" i="6" s="1"/>
  <c r="T614" i="6"/>
  <c r="B615" i="6"/>
  <c r="C615" i="6"/>
  <c r="D615" i="6"/>
  <c r="E615" i="6"/>
  <c r="F615" i="6"/>
  <c r="H615" i="6"/>
  <c r="I615" i="6"/>
  <c r="L615" i="6"/>
  <c r="N615" i="6"/>
  <c r="Q615" i="6"/>
  <c r="R615" i="6"/>
  <c r="S615" i="6"/>
  <c r="T615" i="6"/>
  <c r="B616" i="6"/>
  <c r="C616" i="6"/>
  <c r="D616" i="6"/>
  <c r="L616" i="6" s="1"/>
  <c r="E616" i="6"/>
  <c r="F616" i="6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L617" i="6"/>
  <c r="N617" i="6"/>
  <c r="Q617" i="6"/>
  <c r="R617" i="6"/>
  <c r="S617" i="6"/>
  <c r="T617" i="6"/>
  <c r="B618" i="6"/>
  <c r="C618" i="6"/>
  <c r="D618" i="6"/>
  <c r="L618" i="6" s="1"/>
  <c r="E618" i="6"/>
  <c r="F618" i="6"/>
  <c r="H618" i="6"/>
  <c r="I618" i="6"/>
  <c r="N618" i="6"/>
  <c r="R618" i="6"/>
  <c r="Q618" i="6" s="1"/>
  <c r="S618" i="6" s="1"/>
  <c r="T618" i="6"/>
  <c r="B619" i="6"/>
  <c r="C619" i="6"/>
  <c r="D619" i="6"/>
  <c r="E619" i="6"/>
  <c r="F619" i="6"/>
  <c r="H619" i="6"/>
  <c r="I619" i="6"/>
  <c r="L619" i="6"/>
  <c r="N619" i="6"/>
  <c r="Q619" i="6"/>
  <c r="R619" i="6"/>
  <c r="S619" i="6"/>
  <c r="T619" i="6"/>
  <c r="B620" i="6"/>
  <c r="C620" i="6"/>
  <c r="D620" i="6"/>
  <c r="L620" i="6" s="1"/>
  <c r="E620" i="6"/>
  <c r="F620" i="6"/>
  <c r="H620" i="6"/>
  <c r="I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L621" i="6"/>
  <c r="N621" i="6"/>
  <c r="Q621" i="6"/>
  <c r="R621" i="6"/>
  <c r="S621" i="6"/>
  <c r="T621" i="6"/>
  <c r="B622" i="6"/>
  <c r="C622" i="6"/>
  <c r="D622" i="6"/>
  <c r="L622" i="6" s="1"/>
  <c r="E622" i="6"/>
  <c r="F622" i="6"/>
  <c r="H622" i="6"/>
  <c r="I622" i="6"/>
  <c r="N622" i="6"/>
  <c r="R622" i="6"/>
  <c r="Q622" i="6" s="1"/>
  <c r="S622" i="6" s="1"/>
  <c r="T622" i="6"/>
  <c r="B623" i="6"/>
  <c r="C623" i="6"/>
  <c r="D623" i="6"/>
  <c r="E623" i="6"/>
  <c r="F623" i="6"/>
  <c r="H623" i="6"/>
  <c r="I623" i="6"/>
  <c r="L623" i="6"/>
  <c r="N623" i="6"/>
  <c r="Q623" i="6"/>
  <c r="R623" i="6"/>
  <c r="S623" i="6"/>
  <c r="T623" i="6"/>
  <c r="B624" i="6"/>
  <c r="C624" i="6"/>
  <c r="D624" i="6"/>
  <c r="L624" i="6" s="1"/>
  <c r="E624" i="6"/>
  <c r="F624" i="6"/>
  <c r="H624" i="6"/>
  <c r="I624" i="6"/>
  <c r="N624" i="6"/>
  <c r="R624" i="6"/>
  <c r="Q624" i="6" s="1"/>
  <c r="S624" i="6" s="1"/>
  <c r="T624" i="6"/>
  <c r="B625" i="6"/>
  <c r="C625" i="6"/>
  <c r="D625" i="6"/>
  <c r="E625" i="6"/>
  <c r="F625" i="6"/>
  <c r="H625" i="6"/>
  <c r="I625" i="6"/>
  <c r="L625" i="6"/>
  <c r="N625" i="6"/>
  <c r="Q625" i="6"/>
  <c r="R625" i="6"/>
  <c r="S625" i="6"/>
  <c r="T625" i="6"/>
  <c r="B626" i="6"/>
  <c r="C626" i="6"/>
  <c r="D626" i="6"/>
  <c r="L626" i="6" s="1"/>
  <c r="E626" i="6"/>
  <c r="F626" i="6"/>
  <c r="H626" i="6"/>
  <c r="I626" i="6"/>
  <c r="N626" i="6"/>
  <c r="R626" i="6"/>
  <c r="Q626" i="6" s="1"/>
  <c r="S626" i="6" s="1"/>
  <c r="T626" i="6"/>
  <c r="B627" i="6"/>
  <c r="C627" i="6"/>
  <c r="D627" i="6"/>
  <c r="E627" i="6"/>
  <c r="F627" i="6"/>
  <c r="H627" i="6"/>
  <c r="I627" i="6"/>
  <c r="L627" i="6"/>
  <c r="N627" i="6"/>
  <c r="Q627" i="6"/>
  <c r="R627" i="6"/>
  <c r="S627" i="6"/>
  <c r="T627" i="6"/>
  <c r="B628" i="6"/>
  <c r="C628" i="6"/>
  <c r="D628" i="6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H629" i="6"/>
  <c r="I629" i="6"/>
  <c r="L629" i="6"/>
  <c r="N629" i="6"/>
  <c r="Q629" i="6"/>
  <c r="R629" i="6"/>
  <c r="S629" i="6"/>
  <c r="T629" i="6"/>
  <c r="B630" i="6"/>
  <c r="C630" i="6"/>
  <c r="D630" i="6"/>
  <c r="E630" i="6"/>
  <c r="F630" i="6"/>
  <c r="H630" i="6"/>
  <c r="I630" i="6"/>
  <c r="N630" i="6"/>
  <c r="R630" i="6"/>
  <c r="Q630" i="6" s="1"/>
  <c r="S630" i="6" s="1"/>
  <c r="T630" i="6"/>
  <c r="B631" i="6"/>
  <c r="C631" i="6"/>
  <c r="D631" i="6"/>
  <c r="E631" i="6"/>
  <c r="F631" i="6"/>
  <c r="H631" i="6"/>
  <c r="I631" i="6"/>
  <c r="L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L633" i="6"/>
  <c r="N633" i="6"/>
  <c r="Q633" i="6"/>
  <c r="R633" i="6"/>
  <c r="S633" i="6"/>
  <c r="T633" i="6"/>
  <c r="B634" i="6"/>
  <c r="C634" i="6"/>
  <c r="D634" i="6"/>
  <c r="E634" i="6"/>
  <c r="F634" i="6"/>
  <c r="H634" i="6"/>
  <c r="I634" i="6"/>
  <c r="N634" i="6"/>
  <c r="R634" i="6"/>
  <c r="Q634" i="6" s="1"/>
  <c r="S634" i="6" s="1"/>
  <c r="T634" i="6"/>
  <c r="B635" i="6"/>
  <c r="C635" i="6"/>
  <c r="D635" i="6"/>
  <c r="E635" i="6"/>
  <c r="F635" i="6"/>
  <c r="H635" i="6"/>
  <c r="I635" i="6"/>
  <c r="L635" i="6"/>
  <c r="N635" i="6"/>
  <c r="Q635" i="6"/>
  <c r="R635" i="6"/>
  <c r="S635" i="6"/>
  <c r="T635" i="6"/>
  <c r="B636" i="6"/>
  <c r="C636" i="6"/>
  <c r="D636" i="6"/>
  <c r="E636" i="6"/>
  <c r="F636" i="6"/>
  <c r="H636" i="6"/>
  <c r="I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L637" i="6"/>
  <c r="N637" i="6"/>
  <c r="Q637" i="6"/>
  <c r="R637" i="6"/>
  <c r="S637" i="6"/>
  <c r="T637" i="6"/>
  <c r="B638" i="6"/>
  <c r="C638" i="6"/>
  <c r="D638" i="6"/>
  <c r="E638" i="6"/>
  <c r="F638" i="6"/>
  <c r="H638" i="6"/>
  <c r="I638" i="6"/>
  <c r="N638" i="6"/>
  <c r="R638" i="6"/>
  <c r="Q638" i="6" s="1"/>
  <c r="S638" i="6" s="1"/>
  <c r="T638" i="6"/>
  <c r="B639" i="6"/>
  <c r="C639" i="6"/>
  <c r="D639" i="6"/>
  <c r="E639" i="6"/>
  <c r="F639" i="6"/>
  <c r="H639" i="6"/>
  <c r="I639" i="6"/>
  <c r="L639" i="6"/>
  <c r="N639" i="6"/>
  <c r="Q639" i="6"/>
  <c r="R639" i="6"/>
  <c r="S639" i="6"/>
  <c r="T639" i="6"/>
  <c r="B640" i="6"/>
  <c r="C640" i="6"/>
  <c r="D640" i="6"/>
  <c r="E640" i="6"/>
  <c r="F640" i="6"/>
  <c r="H640" i="6"/>
  <c r="I640" i="6"/>
  <c r="N640" i="6"/>
  <c r="R640" i="6"/>
  <c r="Q640" i="6" s="1"/>
  <c r="S640" i="6" s="1"/>
  <c r="T640" i="6"/>
  <c r="B641" i="6"/>
  <c r="C641" i="6"/>
  <c r="D641" i="6"/>
  <c r="E641" i="6"/>
  <c r="F641" i="6"/>
  <c r="H641" i="6"/>
  <c r="I641" i="6"/>
  <c r="L641" i="6"/>
  <c r="N641" i="6"/>
  <c r="Q641" i="6"/>
  <c r="R641" i="6"/>
  <c r="S641" i="6"/>
  <c r="T641" i="6"/>
  <c r="B642" i="6"/>
  <c r="C642" i="6"/>
  <c r="D642" i="6"/>
  <c r="E642" i="6"/>
  <c r="F642" i="6"/>
  <c r="H642" i="6"/>
  <c r="I642" i="6"/>
  <c r="N642" i="6"/>
  <c r="R642" i="6"/>
  <c r="Q642" i="6" s="1"/>
  <c r="S642" i="6" s="1"/>
  <c r="T642" i="6"/>
  <c r="B643" i="6"/>
  <c r="C643" i="6"/>
  <c r="D643" i="6"/>
  <c r="E643" i="6"/>
  <c r="F643" i="6"/>
  <c r="H643" i="6"/>
  <c r="I643" i="6"/>
  <c r="L643" i="6"/>
  <c r="N643" i="6"/>
  <c r="Q643" i="6"/>
  <c r="R643" i="6"/>
  <c r="S643" i="6"/>
  <c r="T643" i="6"/>
  <c r="B644" i="6"/>
  <c r="C644" i="6"/>
  <c r="D644" i="6"/>
  <c r="E644" i="6"/>
  <c r="F644" i="6"/>
  <c r="H644" i="6"/>
  <c r="I644" i="6"/>
  <c r="N644" i="6"/>
  <c r="R644" i="6"/>
  <c r="Q644" i="6" s="1"/>
  <c r="S644" i="6" s="1"/>
  <c r="T644" i="6"/>
  <c r="B645" i="6"/>
  <c r="C645" i="6"/>
  <c r="D645" i="6"/>
  <c r="E645" i="6"/>
  <c r="F645" i="6"/>
  <c r="H645" i="6"/>
  <c r="I645" i="6"/>
  <c r="L645" i="6"/>
  <c r="N645" i="6"/>
  <c r="Q645" i="6"/>
  <c r="R645" i="6"/>
  <c r="S645" i="6"/>
  <c r="T645" i="6"/>
  <c r="B646" i="6"/>
  <c r="C646" i="6"/>
  <c r="D646" i="6"/>
  <c r="E646" i="6"/>
  <c r="F646" i="6"/>
  <c r="H646" i="6"/>
  <c r="I646" i="6"/>
  <c r="N646" i="6"/>
  <c r="R646" i="6"/>
  <c r="Q646" i="6" s="1"/>
  <c r="S646" i="6" s="1"/>
  <c r="T646" i="6"/>
  <c r="B647" i="6"/>
  <c r="C647" i="6"/>
  <c r="D647" i="6"/>
  <c r="E647" i="6"/>
  <c r="F647" i="6"/>
  <c r="H647" i="6"/>
  <c r="I647" i="6"/>
  <c r="L647" i="6"/>
  <c r="N647" i="6"/>
  <c r="Q647" i="6"/>
  <c r="R647" i="6"/>
  <c r="S647" i="6"/>
  <c r="T647" i="6"/>
  <c r="B648" i="6"/>
  <c r="C648" i="6"/>
  <c r="D648" i="6"/>
  <c r="E648" i="6"/>
  <c r="F648" i="6"/>
  <c r="H648" i="6"/>
  <c r="I648" i="6"/>
  <c r="N648" i="6"/>
  <c r="R648" i="6"/>
  <c r="Q648" i="6" s="1"/>
  <c r="S648" i="6" s="1"/>
  <c r="T648" i="6"/>
  <c r="B649" i="6"/>
  <c r="C649" i="6"/>
  <c r="D649" i="6"/>
  <c r="E649" i="6"/>
  <c r="F649" i="6"/>
  <c r="H649" i="6"/>
  <c r="I649" i="6"/>
  <c r="L649" i="6"/>
  <c r="N649" i="6"/>
  <c r="Q649" i="6"/>
  <c r="R649" i="6"/>
  <c r="S649" i="6"/>
  <c r="T649" i="6"/>
  <c r="B650" i="6"/>
  <c r="C650" i="6"/>
  <c r="D650" i="6"/>
  <c r="E650" i="6"/>
  <c r="F650" i="6"/>
  <c r="H650" i="6"/>
  <c r="I650" i="6"/>
  <c r="N650" i="6"/>
  <c r="R650" i="6"/>
  <c r="Q650" i="6" s="1"/>
  <c r="S650" i="6" s="1"/>
  <c r="T650" i="6"/>
  <c r="B651" i="6"/>
  <c r="C651" i="6"/>
  <c r="D651" i="6"/>
  <c r="E651" i="6"/>
  <c r="F651" i="6"/>
  <c r="H651" i="6"/>
  <c r="I651" i="6"/>
  <c r="L651" i="6"/>
  <c r="N651" i="6"/>
  <c r="Q651" i="6"/>
  <c r="R651" i="6"/>
  <c r="S651" i="6"/>
  <c r="T651" i="6"/>
  <c r="B652" i="6"/>
  <c r="C652" i="6"/>
  <c r="D652" i="6"/>
  <c r="E652" i="6"/>
  <c r="F652" i="6"/>
  <c r="H652" i="6"/>
  <c r="I652" i="6"/>
  <c r="N652" i="6"/>
  <c r="R652" i="6"/>
  <c r="Q652" i="6" s="1"/>
  <c r="S652" i="6" s="1"/>
  <c r="T652" i="6"/>
  <c r="B653" i="6"/>
  <c r="C653" i="6"/>
  <c r="D653" i="6"/>
  <c r="E653" i="6"/>
  <c r="F653" i="6"/>
  <c r="H653" i="6"/>
  <c r="I653" i="6"/>
  <c r="L653" i="6"/>
  <c r="N653" i="6"/>
  <c r="Q653" i="6"/>
  <c r="R653" i="6"/>
  <c r="S653" i="6"/>
  <c r="T653" i="6"/>
  <c r="B654" i="6"/>
  <c r="C654" i="6"/>
  <c r="D654" i="6"/>
  <c r="E654" i="6"/>
  <c r="F654" i="6"/>
  <c r="H654" i="6"/>
  <c r="I654" i="6"/>
  <c r="N654" i="6"/>
  <c r="R654" i="6"/>
  <c r="Q654" i="6" s="1"/>
  <c r="S654" i="6" s="1"/>
  <c r="T654" i="6"/>
  <c r="B655" i="6"/>
  <c r="C655" i="6"/>
  <c r="D655" i="6"/>
  <c r="E655" i="6"/>
  <c r="F655" i="6"/>
  <c r="H655" i="6"/>
  <c r="I655" i="6"/>
  <c r="L655" i="6"/>
  <c r="N655" i="6"/>
  <c r="Q655" i="6"/>
  <c r="R655" i="6"/>
  <c r="S655" i="6"/>
  <c r="T655" i="6"/>
  <c r="B656" i="6"/>
  <c r="C656" i="6"/>
  <c r="D656" i="6"/>
  <c r="E656" i="6"/>
  <c r="F656" i="6"/>
  <c r="H656" i="6"/>
  <c r="I656" i="6"/>
  <c r="N656" i="6"/>
  <c r="R656" i="6"/>
  <c r="Q656" i="6" s="1"/>
  <c r="S656" i="6" s="1"/>
  <c r="T656" i="6"/>
  <c r="B657" i="6"/>
  <c r="C657" i="6"/>
  <c r="D657" i="6"/>
  <c r="E657" i="6"/>
  <c r="F657" i="6"/>
  <c r="H657" i="6"/>
  <c r="I657" i="6"/>
  <c r="L657" i="6"/>
  <c r="N657" i="6"/>
  <c r="Q657" i="6"/>
  <c r="R657" i="6"/>
  <c r="S657" i="6"/>
  <c r="T657" i="6"/>
  <c r="B658" i="6"/>
  <c r="C658" i="6"/>
  <c r="D658" i="6"/>
  <c r="E658" i="6"/>
  <c r="F658" i="6"/>
  <c r="H658" i="6"/>
  <c r="I658" i="6"/>
  <c r="N658" i="6"/>
  <c r="R658" i="6"/>
  <c r="Q658" i="6" s="1"/>
  <c r="S658" i="6" s="1"/>
  <c r="T658" i="6"/>
  <c r="B659" i="6"/>
  <c r="C659" i="6"/>
  <c r="D659" i="6"/>
  <c r="E659" i="6"/>
  <c r="F659" i="6"/>
  <c r="H659" i="6"/>
  <c r="I659" i="6"/>
  <c r="L659" i="6"/>
  <c r="N659" i="6"/>
  <c r="Q659" i="6"/>
  <c r="R659" i="6"/>
  <c r="S659" i="6"/>
  <c r="T659" i="6"/>
  <c r="B660" i="6"/>
  <c r="C660" i="6"/>
  <c r="D660" i="6"/>
  <c r="E660" i="6"/>
  <c r="F660" i="6"/>
  <c r="H660" i="6"/>
  <c r="I660" i="6"/>
  <c r="N660" i="6"/>
  <c r="R660" i="6"/>
  <c r="Q660" i="6" s="1"/>
  <c r="S660" i="6" s="1"/>
  <c r="T660" i="6"/>
  <c r="B661" i="6"/>
  <c r="C661" i="6"/>
  <c r="D661" i="6"/>
  <c r="E661" i="6"/>
  <c r="F661" i="6"/>
  <c r="H661" i="6"/>
  <c r="I661" i="6"/>
  <c r="L661" i="6"/>
  <c r="N661" i="6"/>
  <c r="Q661" i="6"/>
  <c r="R661" i="6"/>
  <c r="S661" i="6"/>
  <c r="T661" i="6"/>
  <c r="B662" i="6"/>
  <c r="C662" i="6"/>
  <c r="D662" i="6"/>
  <c r="E662" i="6"/>
  <c r="F662" i="6"/>
  <c r="H662" i="6"/>
  <c r="I662" i="6"/>
  <c r="N662" i="6"/>
  <c r="R662" i="6"/>
  <c r="Q662" i="6" s="1"/>
  <c r="S662" i="6" s="1"/>
  <c r="T662" i="6"/>
  <c r="B663" i="6"/>
  <c r="C663" i="6"/>
  <c r="D663" i="6"/>
  <c r="E663" i="6"/>
  <c r="F663" i="6"/>
  <c r="H663" i="6"/>
  <c r="I663" i="6"/>
  <c r="L663" i="6"/>
  <c r="N663" i="6"/>
  <c r="Q663" i="6"/>
  <c r="R663" i="6"/>
  <c r="S663" i="6"/>
  <c r="T663" i="6"/>
  <c r="B664" i="6"/>
  <c r="C664" i="6"/>
  <c r="D664" i="6"/>
  <c r="E664" i="6"/>
  <c r="F664" i="6"/>
  <c r="H664" i="6"/>
  <c r="I664" i="6"/>
  <c r="N664" i="6"/>
  <c r="R664" i="6"/>
  <c r="Q664" i="6" s="1"/>
  <c r="S664" i="6" s="1"/>
  <c r="T664" i="6"/>
  <c r="B665" i="6"/>
  <c r="C665" i="6"/>
  <c r="D665" i="6"/>
  <c r="E665" i="6"/>
  <c r="F665" i="6"/>
  <c r="H665" i="6"/>
  <c r="I665" i="6"/>
  <c r="L665" i="6"/>
  <c r="N665" i="6"/>
  <c r="Q665" i="6"/>
  <c r="R665" i="6"/>
  <c r="S665" i="6"/>
  <c r="T665" i="6"/>
  <c r="B666" i="6"/>
  <c r="C666" i="6"/>
  <c r="D666" i="6"/>
  <c r="E666" i="6"/>
  <c r="F666" i="6"/>
  <c r="H666" i="6"/>
  <c r="I666" i="6"/>
  <c r="N666" i="6"/>
  <c r="R666" i="6"/>
  <c r="Q666" i="6" s="1"/>
  <c r="S666" i="6" s="1"/>
  <c r="T666" i="6"/>
  <c r="B667" i="6"/>
  <c r="C667" i="6"/>
  <c r="D667" i="6"/>
  <c r="E667" i="6"/>
  <c r="F667" i="6"/>
  <c r="H667" i="6"/>
  <c r="I667" i="6"/>
  <c r="L667" i="6"/>
  <c r="N667" i="6"/>
  <c r="Q667" i="6"/>
  <c r="R667" i="6"/>
  <c r="S667" i="6"/>
  <c r="T667" i="6"/>
  <c r="B668" i="6"/>
  <c r="C668" i="6"/>
  <c r="D668" i="6"/>
  <c r="E668" i="6"/>
  <c r="F668" i="6"/>
  <c r="H668" i="6"/>
  <c r="I668" i="6"/>
  <c r="N668" i="6"/>
  <c r="R668" i="6"/>
  <c r="Q668" i="6" s="1"/>
  <c r="S668" i="6" s="1"/>
  <c r="T668" i="6"/>
  <c r="B669" i="6"/>
  <c r="C669" i="6"/>
  <c r="D669" i="6"/>
  <c r="E669" i="6"/>
  <c r="F669" i="6"/>
  <c r="H669" i="6"/>
  <c r="I669" i="6"/>
  <c r="L669" i="6"/>
  <c r="N669" i="6"/>
  <c r="Q669" i="6"/>
  <c r="R669" i="6"/>
  <c r="S669" i="6"/>
  <c r="T669" i="6"/>
  <c r="B670" i="6"/>
  <c r="C670" i="6"/>
  <c r="D670" i="6"/>
  <c r="E670" i="6"/>
  <c r="F670" i="6"/>
  <c r="H670" i="6"/>
  <c r="I670" i="6"/>
  <c r="N670" i="6"/>
  <c r="R670" i="6"/>
  <c r="Q670" i="6" s="1"/>
  <c r="S670" i="6" s="1"/>
  <c r="T670" i="6"/>
  <c r="B671" i="6"/>
  <c r="C671" i="6"/>
  <c r="D671" i="6"/>
  <c r="E671" i="6"/>
  <c r="F671" i="6"/>
  <c r="H671" i="6"/>
  <c r="I671" i="6"/>
  <c r="L671" i="6"/>
  <c r="N671" i="6"/>
  <c r="Q671" i="6"/>
  <c r="R671" i="6"/>
  <c r="S671" i="6"/>
  <c r="T671" i="6"/>
  <c r="B672" i="6"/>
  <c r="C672" i="6"/>
  <c r="D672" i="6"/>
  <c r="E672" i="6"/>
  <c r="F672" i="6"/>
  <c r="H672" i="6"/>
  <c r="I672" i="6"/>
  <c r="N672" i="6"/>
  <c r="R672" i="6"/>
  <c r="Q672" i="6" s="1"/>
  <c r="S672" i="6" s="1"/>
  <c r="T672" i="6"/>
  <c r="B673" i="6"/>
  <c r="C673" i="6"/>
  <c r="D673" i="6"/>
  <c r="E673" i="6"/>
  <c r="F673" i="6"/>
  <c r="H673" i="6"/>
  <c r="I673" i="6"/>
  <c r="L673" i="6"/>
  <c r="N673" i="6"/>
  <c r="Q673" i="6"/>
  <c r="R673" i="6"/>
  <c r="S673" i="6"/>
  <c r="T673" i="6"/>
  <c r="B674" i="6"/>
  <c r="C674" i="6"/>
  <c r="D674" i="6"/>
  <c r="E674" i="6"/>
  <c r="F674" i="6"/>
  <c r="H674" i="6"/>
  <c r="I674" i="6"/>
  <c r="N674" i="6"/>
  <c r="R674" i="6"/>
  <c r="Q674" i="6" s="1"/>
  <c r="S674" i="6" s="1"/>
  <c r="T674" i="6"/>
  <c r="B675" i="6"/>
  <c r="C675" i="6"/>
  <c r="D675" i="6"/>
  <c r="E675" i="6"/>
  <c r="F675" i="6"/>
  <c r="H675" i="6"/>
  <c r="I675" i="6"/>
  <c r="L675" i="6"/>
  <c r="N675" i="6"/>
  <c r="Q675" i="6"/>
  <c r="R675" i="6"/>
  <c r="S675" i="6"/>
  <c r="T675" i="6"/>
  <c r="B676" i="6"/>
  <c r="C676" i="6"/>
  <c r="D676" i="6"/>
  <c r="E676" i="6"/>
  <c r="F676" i="6"/>
  <c r="H676" i="6"/>
  <c r="I676" i="6"/>
  <c r="N676" i="6"/>
  <c r="R676" i="6"/>
  <c r="Q676" i="6" s="1"/>
  <c r="S676" i="6" s="1"/>
  <c r="T676" i="6"/>
  <c r="B677" i="6"/>
  <c r="C677" i="6"/>
  <c r="D677" i="6"/>
  <c r="E677" i="6"/>
  <c r="F677" i="6"/>
  <c r="H677" i="6"/>
  <c r="I677" i="6"/>
  <c r="L677" i="6"/>
  <c r="N677" i="6"/>
  <c r="Q677" i="6"/>
  <c r="R677" i="6"/>
  <c r="S677" i="6"/>
  <c r="T677" i="6"/>
  <c r="B678" i="6"/>
  <c r="C678" i="6"/>
  <c r="D678" i="6"/>
  <c r="E678" i="6"/>
  <c r="F678" i="6"/>
  <c r="H678" i="6"/>
  <c r="I678" i="6"/>
  <c r="N678" i="6"/>
  <c r="R678" i="6"/>
  <c r="Q678" i="6" s="1"/>
  <c r="S678" i="6" s="1"/>
  <c r="T678" i="6"/>
  <c r="B679" i="6"/>
  <c r="C679" i="6"/>
  <c r="D679" i="6"/>
  <c r="E679" i="6"/>
  <c r="F679" i="6"/>
  <c r="H679" i="6"/>
  <c r="I679" i="6"/>
  <c r="L679" i="6"/>
  <c r="N679" i="6"/>
  <c r="Q679" i="6"/>
  <c r="R679" i="6"/>
  <c r="S679" i="6"/>
  <c r="T679" i="6"/>
  <c r="B680" i="6"/>
  <c r="C680" i="6"/>
  <c r="D680" i="6"/>
  <c r="E680" i="6"/>
  <c r="F680" i="6"/>
  <c r="H680" i="6"/>
  <c r="I680" i="6"/>
  <c r="N680" i="6"/>
  <c r="R680" i="6"/>
  <c r="Q680" i="6" s="1"/>
  <c r="S680" i="6" s="1"/>
  <c r="T680" i="6"/>
  <c r="B681" i="6"/>
  <c r="C681" i="6"/>
  <c r="D681" i="6"/>
  <c r="E681" i="6"/>
  <c r="F681" i="6"/>
  <c r="H681" i="6"/>
  <c r="I681" i="6"/>
  <c r="L681" i="6"/>
  <c r="N681" i="6"/>
  <c r="Q681" i="6"/>
  <c r="R681" i="6"/>
  <c r="S681" i="6"/>
  <c r="T681" i="6"/>
  <c r="B682" i="6"/>
  <c r="C682" i="6"/>
  <c r="D682" i="6"/>
  <c r="E682" i="6"/>
  <c r="F682" i="6"/>
  <c r="H682" i="6"/>
  <c r="I682" i="6"/>
  <c r="N682" i="6"/>
  <c r="R682" i="6"/>
  <c r="Q682" i="6" s="1"/>
  <c r="S682" i="6" s="1"/>
  <c r="T682" i="6"/>
  <c r="B683" i="6"/>
  <c r="C683" i="6"/>
  <c r="D683" i="6"/>
  <c r="E683" i="6"/>
  <c r="F683" i="6"/>
  <c r="H683" i="6"/>
  <c r="I683" i="6"/>
  <c r="L683" i="6"/>
  <c r="N683" i="6"/>
  <c r="Q683" i="6"/>
  <c r="R683" i="6"/>
  <c r="S683" i="6"/>
  <c r="T683" i="6"/>
  <c r="B684" i="6"/>
  <c r="C684" i="6"/>
  <c r="D684" i="6"/>
  <c r="E684" i="6"/>
  <c r="F684" i="6"/>
  <c r="H684" i="6"/>
  <c r="I684" i="6"/>
  <c r="N684" i="6"/>
  <c r="R684" i="6"/>
  <c r="Q684" i="6" s="1"/>
  <c r="S684" i="6" s="1"/>
  <c r="T684" i="6"/>
  <c r="B685" i="6"/>
  <c r="C685" i="6"/>
  <c r="D685" i="6"/>
  <c r="E685" i="6"/>
  <c r="F685" i="6"/>
  <c r="H685" i="6"/>
  <c r="I685" i="6"/>
  <c r="L685" i="6"/>
  <c r="N685" i="6"/>
  <c r="Q685" i="6"/>
  <c r="R685" i="6"/>
  <c r="S685" i="6"/>
  <c r="T685" i="6"/>
  <c r="B686" i="6"/>
  <c r="C686" i="6"/>
  <c r="D686" i="6"/>
  <c r="E686" i="6"/>
  <c r="F686" i="6"/>
  <c r="H686" i="6"/>
  <c r="I686" i="6"/>
  <c r="N686" i="6"/>
  <c r="R686" i="6"/>
  <c r="Q686" i="6" s="1"/>
  <c r="S686" i="6" s="1"/>
  <c r="T686" i="6"/>
  <c r="B687" i="6"/>
  <c r="C687" i="6"/>
  <c r="D687" i="6"/>
  <c r="E687" i="6"/>
  <c r="F687" i="6"/>
  <c r="H687" i="6"/>
  <c r="I687" i="6"/>
  <c r="L687" i="6"/>
  <c r="N687" i="6"/>
  <c r="Q687" i="6"/>
  <c r="R687" i="6"/>
  <c r="S687" i="6"/>
  <c r="T687" i="6"/>
  <c r="B688" i="6"/>
  <c r="C688" i="6"/>
  <c r="D688" i="6"/>
  <c r="E688" i="6"/>
  <c r="F688" i="6"/>
  <c r="H688" i="6"/>
  <c r="I688" i="6"/>
  <c r="N688" i="6"/>
  <c r="R688" i="6"/>
  <c r="Q688" i="6" s="1"/>
  <c r="S688" i="6" s="1"/>
  <c r="T688" i="6"/>
  <c r="B689" i="6"/>
  <c r="C689" i="6"/>
  <c r="D689" i="6"/>
  <c r="E689" i="6"/>
  <c r="F689" i="6"/>
  <c r="H689" i="6"/>
  <c r="I689" i="6"/>
  <c r="L689" i="6"/>
  <c r="N689" i="6"/>
  <c r="Q689" i="6"/>
  <c r="R689" i="6"/>
  <c r="S689" i="6"/>
  <c r="T689" i="6"/>
  <c r="B690" i="6"/>
  <c r="C690" i="6"/>
  <c r="D690" i="6"/>
  <c r="E690" i="6"/>
  <c r="F690" i="6"/>
  <c r="H690" i="6"/>
  <c r="I690" i="6"/>
  <c r="N690" i="6"/>
  <c r="R690" i="6"/>
  <c r="Q690" i="6" s="1"/>
  <c r="S690" i="6" s="1"/>
  <c r="T690" i="6"/>
  <c r="B691" i="6"/>
  <c r="C691" i="6"/>
  <c r="D691" i="6"/>
  <c r="E691" i="6"/>
  <c r="F691" i="6"/>
  <c r="H691" i="6"/>
  <c r="I691" i="6"/>
  <c r="L691" i="6"/>
  <c r="N691" i="6"/>
  <c r="Q691" i="6"/>
  <c r="R691" i="6"/>
  <c r="S691" i="6"/>
  <c r="T691" i="6"/>
  <c r="B692" i="6"/>
  <c r="C692" i="6"/>
  <c r="D692" i="6"/>
  <c r="E692" i="6"/>
  <c r="F692" i="6"/>
  <c r="H692" i="6"/>
  <c r="I692" i="6"/>
  <c r="N692" i="6"/>
  <c r="R692" i="6"/>
  <c r="Q692" i="6" s="1"/>
  <c r="S692" i="6" s="1"/>
  <c r="T692" i="6"/>
  <c r="B693" i="6"/>
  <c r="C693" i="6"/>
  <c r="D693" i="6"/>
  <c r="E693" i="6"/>
  <c r="F693" i="6"/>
  <c r="H693" i="6"/>
  <c r="I693" i="6"/>
  <c r="L693" i="6"/>
  <c r="N693" i="6"/>
  <c r="Q693" i="6"/>
  <c r="R693" i="6"/>
  <c r="S693" i="6"/>
  <c r="T693" i="6"/>
  <c r="B694" i="6"/>
  <c r="C694" i="6"/>
  <c r="D694" i="6"/>
  <c r="E694" i="6"/>
  <c r="F694" i="6"/>
  <c r="H694" i="6"/>
  <c r="I694" i="6"/>
  <c r="N694" i="6"/>
  <c r="R694" i="6"/>
  <c r="Q694" i="6" s="1"/>
  <c r="S694" i="6" s="1"/>
  <c r="T694" i="6"/>
  <c r="B695" i="6"/>
  <c r="C695" i="6"/>
  <c r="D695" i="6"/>
  <c r="E695" i="6"/>
  <c r="F695" i="6"/>
  <c r="H695" i="6"/>
  <c r="I695" i="6"/>
  <c r="L695" i="6"/>
  <c r="N695" i="6"/>
  <c r="Q695" i="6"/>
  <c r="R695" i="6"/>
  <c r="S695" i="6"/>
  <c r="T695" i="6"/>
  <c r="B696" i="6"/>
  <c r="C696" i="6"/>
  <c r="D696" i="6"/>
  <c r="E696" i="6"/>
  <c r="F696" i="6"/>
  <c r="H696" i="6"/>
  <c r="I696" i="6"/>
  <c r="N696" i="6"/>
  <c r="R696" i="6"/>
  <c r="Q696" i="6" s="1"/>
  <c r="S696" i="6" s="1"/>
  <c r="T696" i="6"/>
  <c r="B697" i="6"/>
  <c r="C697" i="6"/>
  <c r="D697" i="6"/>
  <c r="E697" i="6"/>
  <c r="F697" i="6"/>
  <c r="H697" i="6"/>
  <c r="I697" i="6"/>
  <c r="L697" i="6"/>
  <c r="N697" i="6"/>
  <c r="Q697" i="6"/>
  <c r="R697" i="6"/>
  <c r="S697" i="6"/>
  <c r="T697" i="6"/>
  <c r="B698" i="6"/>
  <c r="C698" i="6"/>
  <c r="D698" i="6"/>
  <c r="L698" i="6" s="1"/>
  <c r="E698" i="6"/>
  <c r="F698" i="6"/>
  <c r="H698" i="6"/>
  <c r="I698" i="6"/>
  <c r="N698" i="6"/>
  <c r="R698" i="6"/>
  <c r="Q698" i="6" s="1"/>
  <c r="S698" i="6" s="1"/>
  <c r="T698" i="6"/>
  <c r="B699" i="6"/>
  <c r="C699" i="6"/>
  <c r="D699" i="6"/>
  <c r="E699" i="6"/>
  <c r="F699" i="6"/>
  <c r="H699" i="6"/>
  <c r="I699" i="6"/>
  <c r="L699" i="6"/>
  <c r="N699" i="6"/>
  <c r="Q699" i="6"/>
  <c r="R699" i="6"/>
  <c r="S699" i="6"/>
  <c r="T699" i="6"/>
  <c r="B700" i="6"/>
  <c r="C700" i="6"/>
  <c r="D700" i="6"/>
  <c r="L700" i="6" s="1"/>
  <c r="E700" i="6"/>
  <c r="F700" i="6"/>
  <c r="H700" i="6"/>
  <c r="I700" i="6"/>
  <c r="N700" i="6"/>
  <c r="R700" i="6"/>
  <c r="Q700" i="6" s="1"/>
  <c r="S700" i="6" s="1"/>
  <c r="T700" i="6"/>
  <c r="B701" i="6"/>
  <c r="C701" i="6"/>
  <c r="D701" i="6"/>
  <c r="E701" i="6"/>
  <c r="F701" i="6"/>
  <c r="H701" i="6"/>
  <c r="I701" i="6"/>
  <c r="L701" i="6"/>
  <c r="N701" i="6"/>
  <c r="Q701" i="6"/>
  <c r="R701" i="6"/>
  <c r="S701" i="6"/>
  <c r="T701" i="6"/>
  <c r="B702" i="6"/>
  <c r="C702" i="6"/>
  <c r="D702" i="6"/>
  <c r="L702" i="6" s="1"/>
  <c r="E702" i="6"/>
  <c r="F702" i="6"/>
  <c r="H702" i="6"/>
  <c r="I702" i="6"/>
  <c r="N702" i="6"/>
  <c r="R702" i="6"/>
  <c r="Q702" i="6" s="1"/>
  <c r="S702" i="6" s="1"/>
  <c r="T702" i="6"/>
  <c r="B703" i="6"/>
  <c r="C703" i="6"/>
  <c r="D703" i="6"/>
  <c r="E703" i="6"/>
  <c r="F703" i="6"/>
  <c r="H703" i="6"/>
  <c r="I703" i="6"/>
  <c r="L703" i="6"/>
  <c r="N703" i="6"/>
  <c r="Q703" i="6"/>
  <c r="R703" i="6"/>
  <c r="S703" i="6"/>
  <c r="T703" i="6"/>
  <c r="B704" i="6"/>
  <c r="C704" i="6"/>
  <c r="D704" i="6"/>
  <c r="L704" i="6" s="1"/>
  <c r="E704" i="6"/>
  <c r="F704" i="6"/>
  <c r="H704" i="6"/>
  <c r="I704" i="6"/>
  <c r="N704" i="6"/>
  <c r="R704" i="6"/>
  <c r="Q704" i="6" s="1"/>
  <c r="S704" i="6" s="1"/>
  <c r="T704" i="6"/>
  <c r="B705" i="6"/>
  <c r="C705" i="6"/>
  <c r="D705" i="6"/>
  <c r="E705" i="6"/>
  <c r="F705" i="6"/>
  <c r="H705" i="6"/>
  <c r="I705" i="6"/>
  <c r="L705" i="6"/>
  <c r="N705" i="6"/>
  <c r="Q705" i="6"/>
  <c r="R705" i="6"/>
  <c r="S705" i="6"/>
  <c r="T705" i="6"/>
  <c r="B706" i="6"/>
  <c r="C706" i="6"/>
  <c r="D706" i="6"/>
  <c r="L706" i="6" s="1"/>
  <c r="E706" i="6"/>
  <c r="F706" i="6"/>
  <c r="H706" i="6"/>
  <c r="I706" i="6"/>
  <c r="N706" i="6"/>
  <c r="R706" i="6"/>
  <c r="Q706" i="6" s="1"/>
  <c r="S706" i="6" s="1"/>
  <c r="T706" i="6"/>
  <c r="B707" i="6"/>
  <c r="C707" i="6"/>
  <c r="D707" i="6"/>
  <c r="E707" i="6"/>
  <c r="F707" i="6"/>
  <c r="H707" i="6"/>
  <c r="I707" i="6"/>
  <c r="L707" i="6"/>
  <c r="N707" i="6"/>
  <c r="Q707" i="6"/>
  <c r="R707" i="6"/>
  <c r="S707" i="6"/>
  <c r="T707" i="6"/>
  <c r="B708" i="6"/>
  <c r="C708" i="6"/>
  <c r="D708" i="6"/>
  <c r="L708" i="6" s="1"/>
  <c r="E708" i="6"/>
  <c r="F708" i="6"/>
  <c r="H708" i="6"/>
  <c r="I708" i="6"/>
  <c r="N708" i="6"/>
  <c r="R708" i="6"/>
  <c r="Q708" i="6" s="1"/>
  <c r="S708" i="6" s="1"/>
  <c r="T708" i="6"/>
  <c r="B709" i="6"/>
  <c r="C709" i="6"/>
  <c r="D709" i="6"/>
  <c r="E709" i="6"/>
  <c r="F709" i="6"/>
  <c r="H709" i="6"/>
  <c r="I709" i="6"/>
  <c r="L709" i="6"/>
  <c r="N709" i="6"/>
  <c r="Q709" i="6"/>
  <c r="R709" i="6"/>
  <c r="S709" i="6"/>
  <c r="T709" i="6"/>
  <c r="B710" i="6"/>
  <c r="C710" i="6"/>
  <c r="D710" i="6"/>
  <c r="L710" i="6" s="1"/>
  <c r="E710" i="6"/>
  <c r="F710" i="6"/>
  <c r="H710" i="6"/>
  <c r="I710" i="6"/>
  <c r="N710" i="6"/>
  <c r="R710" i="6"/>
  <c r="Q710" i="6" s="1"/>
  <c r="S710" i="6" s="1"/>
  <c r="T710" i="6"/>
  <c r="B711" i="6"/>
  <c r="C711" i="6"/>
  <c r="D711" i="6"/>
  <c r="E711" i="6"/>
  <c r="F711" i="6"/>
  <c r="H711" i="6"/>
  <c r="I711" i="6"/>
  <c r="L711" i="6"/>
  <c r="N711" i="6"/>
  <c r="Q711" i="6"/>
  <c r="R711" i="6"/>
  <c r="S711" i="6"/>
  <c r="T711" i="6"/>
  <c r="B712" i="6"/>
  <c r="C712" i="6"/>
  <c r="D712" i="6"/>
  <c r="L712" i="6" s="1"/>
  <c r="E712" i="6"/>
  <c r="F712" i="6"/>
  <c r="H712" i="6"/>
  <c r="I712" i="6"/>
  <c r="N712" i="6"/>
  <c r="R712" i="6"/>
  <c r="Q712" i="6" s="1"/>
  <c r="S712" i="6" s="1"/>
  <c r="T712" i="6"/>
  <c r="B713" i="6"/>
  <c r="C713" i="6"/>
  <c r="D713" i="6"/>
  <c r="E713" i="6"/>
  <c r="F713" i="6"/>
  <c r="H713" i="6"/>
  <c r="I713" i="6"/>
  <c r="L713" i="6"/>
  <c r="N713" i="6"/>
  <c r="Q713" i="6"/>
  <c r="R713" i="6"/>
  <c r="S713" i="6"/>
  <c r="T713" i="6"/>
  <c r="B714" i="6"/>
  <c r="C714" i="6"/>
  <c r="D714" i="6"/>
  <c r="L714" i="6" s="1"/>
  <c r="E714" i="6"/>
  <c r="F714" i="6"/>
  <c r="H714" i="6"/>
  <c r="I714" i="6"/>
  <c r="N714" i="6"/>
  <c r="R714" i="6"/>
  <c r="Q714" i="6" s="1"/>
  <c r="S714" i="6" s="1"/>
  <c r="T714" i="6"/>
  <c r="B715" i="6"/>
  <c r="C715" i="6"/>
  <c r="D715" i="6"/>
  <c r="E715" i="6"/>
  <c r="F715" i="6"/>
  <c r="H715" i="6"/>
  <c r="I715" i="6"/>
  <c r="L715" i="6"/>
  <c r="N715" i="6"/>
  <c r="Q715" i="6"/>
  <c r="R715" i="6"/>
  <c r="S715" i="6"/>
  <c r="T715" i="6"/>
  <c r="B716" i="6"/>
  <c r="C716" i="6"/>
  <c r="D716" i="6"/>
  <c r="L716" i="6" s="1"/>
  <c r="E716" i="6"/>
  <c r="F716" i="6"/>
  <c r="H716" i="6"/>
  <c r="I716" i="6"/>
  <c r="N716" i="6"/>
  <c r="R716" i="6"/>
  <c r="Q716" i="6" s="1"/>
  <c r="S716" i="6" s="1"/>
  <c r="T716" i="6"/>
  <c r="B717" i="6"/>
  <c r="C717" i="6"/>
  <c r="D717" i="6"/>
  <c r="E717" i="6"/>
  <c r="F717" i="6"/>
  <c r="H717" i="6"/>
  <c r="I717" i="6"/>
  <c r="L717" i="6"/>
  <c r="N717" i="6"/>
  <c r="Q717" i="6"/>
  <c r="R717" i="6"/>
  <c r="S717" i="6"/>
  <c r="T717" i="6"/>
  <c r="B718" i="6"/>
  <c r="C718" i="6"/>
  <c r="D718" i="6"/>
  <c r="L718" i="6" s="1"/>
  <c r="E718" i="6"/>
  <c r="F718" i="6"/>
  <c r="H718" i="6"/>
  <c r="I718" i="6"/>
  <c r="N718" i="6"/>
  <c r="R718" i="6"/>
  <c r="Q718" i="6" s="1"/>
  <c r="S718" i="6" s="1"/>
  <c r="T718" i="6"/>
  <c r="B719" i="6"/>
  <c r="C719" i="6"/>
  <c r="D719" i="6"/>
  <c r="E719" i="6"/>
  <c r="F719" i="6"/>
  <c r="H719" i="6"/>
  <c r="I719" i="6"/>
  <c r="L719" i="6"/>
  <c r="N719" i="6"/>
  <c r="Q719" i="6"/>
  <c r="R719" i="6"/>
  <c r="S719" i="6"/>
  <c r="T719" i="6"/>
  <c r="B720" i="6"/>
  <c r="C720" i="6"/>
  <c r="D720" i="6"/>
  <c r="L720" i="6" s="1"/>
  <c r="E720" i="6"/>
  <c r="F720" i="6"/>
  <c r="H720" i="6"/>
  <c r="I720" i="6"/>
  <c r="N720" i="6"/>
  <c r="R720" i="6"/>
  <c r="Q720" i="6" s="1"/>
  <c r="S720" i="6" s="1"/>
  <c r="T720" i="6"/>
  <c r="B721" i="6"/>
  <c r="C721" i="6"/>
  <c r="D721" i="6"/>
  <c r="E721" i="6"/>
  <c r="F721" i="6"/>
  <c r="H721" i="6"/>
  <c r="I721" i="6"/>
  <c r="L721" i="6"/>
  <c r="N721" i="6"/>
  <c r="Q721" i="6"/>
  <c r="R721" i="6"/>
  <c r="S721" i="6"/>
  <c r="T721" i="6"/>
  <c r="B722" i="6"/>
  <c r="C722" i="6"/>
  <c r="D722" i="6"/>
  <c r="L722" i="6" s="1"/>
  <c r="E722" i="6"/>
  <c r="F722" i="6"/>
  <c r="H722" i="6"/>
  <c r="I722" i="6"/>
  <c r="N722" i="6"/>
  <c r="R722" i="6"/>
  <c r="Q722" i="6" s="1"/>
  <c r="S722" i="6" s="1"/>
  <c r="T722" i="6"/>
  <c r="B723" i="6"/>
  <c r="C723" i="6"/>
  <c r="D723" i="6"/>
  <c r="E723" i="6"/>
  <c r="F723" i="6"/>
  <c r="H723" i="6"/>
  <c r="I723" i="6"/>
  <c r="L723" i="6"/>
  <c r="N723" i="6"/>
  <c r="Q723" i="6"/>
  <c r="R723" i="6"/>
  <c r="S723" i="6"/>
  <c r="T723" i="6"/>
  <c r="B724" i="6"/>
  <c r="C724" i="6"/>
  <c r="D724" i="6"/>
  <c r="L724" i="6" s="1"/>
  <c r="E724" i="6"/>
  <c r="F724" i="6"/>
  <c r="H724" i="6"/>
  <c r="I724" i="6"/>
  <c r="N724" i="6"/>
  <c r="R724" i="6"/>
  <c r="Q724" i="6" s="1"/>
  <c r="S724" i="6" s="1"/>
  <c r="T724" i="6"/>
  <c r="B725" i="6"/>
  <c r="C725" i="6"/>
  <c r="D725" i="6"/>
  <c r="E725" i="6"/>
  <c r="F725" i="6"/>
  <c r="H725" i="6"/>
  <c r="I725" i="6"/>
  <c r="L725" i="6"/>
  <c r="N725" i="6"/>
  <c r="Q725" i="6"/>
  <c r="R725" i="6"/>
  <c r="S725" i="6"/>
  <c r="T725" i="6"/>
  <c r="B726" i="6"/>
  <c r="C726" i="6"/>
  <c r="D726" i="6"/>
  <c r="L726" i="6" s="1"/>
  <c r="E726" i="6"/>
  <c r="F726" i="6"/>
  <c r="H726" i="6"/>
  <c r="I726" i="6"/>
  <c r="N726" i="6"/>
  <c r="R726" i="6"/>
  <c r="Q726" i="6" s="1"/>
  <c r="S726" i="6" s="1"/>
  <c r="T726" i="6"/>
  <c r="B727" i="6"/>
  <c r="C727" i="6"/>
  <c r="D727" i="6"/>
  <c r="E727" i="6"/>
  <c r="F727" i="6"/>
  <c r="H727" i="6"/>
  <c r="I727" i="6"/>
  <c r="L727" i="6"/>
  <c r="N727" i="6"/>
  <c r="Q727" i="6"/>
  <c r="R727" i="6"/>
  <c r="S727" i="6"/>
  <c r="T727" i="6"/>
  <c r="B728" i="6"/>
  <c r="C728" i="6"/>
  <c r="D728" i="6"/>
  <c r="L728" i="6" s="1"/>
  <c r="E728" i="6"/>
  <c r="F728" i="6"/>
  <c r="H728" i="6"/>
  <c r="I728" i="6"/>
  <c r="N728" i="6"/>
  <c r="R728" i="6"/>
  <c r="Q728" i="6" s="1"/>
  <c r="S728" i="6" s="1"/>
  <c r="T728" i="6"/>
  <c r="B729" i="6"/>
  <c r="C729" i="6"/>
  <c r="D729" i="6"/>
  <c r="E729" i="6"/>
  <c r="F729" i="6"/>
  <c r="H729" i="6"/>
  <c r="I729" i="6"/>
  <c r="L729" i="6"/>
  <c r="N729" i="6"/>
  <c r="Q729" i="6"/>
  <c r="R729" i="6"/>
  <c r="S729" i="6"/>
  <c r="T729" i="6"/>
  <c r="B730" i="6"/>
  <c r="C730" i="6"/>
  <c r="D730" i="6"/>
  <c r="L730" i="6" s="1"/>
  <c r="E730" i="6"/>
  <c r="F730" i="6"/>
  <c r="H730" i="6"/>
  <c r="I730" i="6"/>
  <c r="N730" i="6"/>
  <c r="R730" i="6"/>
  <c r="Q730" i="6" s="1"/>
  <c r="S730" i="6" s="1"/>
  <c r="T730" i="6"/>
  <c r="B731" i="6"/>
  <c r="C731" i="6"/>
  <c r="D731" i="6"/>
  <c r="E731" i="6"/>
  <c r="F731" i="6"/>
  <c r="H731" i="6"/>
  <c r="I731" i="6"/>
  <c r="L731" i="6"/>
  <c r="N731" i="6"/>
  <c r="Q731" i="6"/>
  <c r="R731" i="6"/>
  <c r="S731" i="6"/>
  <c r="T731" i="6"/>
  <c r="B732" i="6"/>
  <c r="C732" i="6"/>
  <c r="D732" i="6"/>
  <c r="L732" i="6" s="1"/>
  <c r="E732" i="6"/>
  <c r="F732" i="6"/>
  <c r="H732" i="6"/>
  <c r="I732" i="6"/>
  <c r="N732" i="6"/>
  <c r="R732" i="6"/>
  <c r="Q732" i="6" s="1"/>
  <c r="S732" i="6" s="1"/>
  <c r="T732" i="6"/>
  <c r="B733" i="6"/>
  <c r="C733" i="6"/>
  <c r="D733" i="6"/>
  <c r="E733" i="6"/>
  <c r="F733" i="6"/>
  <c r="H733" i="6"/>
  <c r="I733" i="6"/>
  <c r="L733" i="6"/>
  <c r="N733" i="6"/>
  <c r="Q733" i="6"/>
  <c r="R733" i="6"/>
  <c r="S733" i="6"/>
  <c r="T733" i="6"/>
  <c r="B734" i="6"/>
  <c r="C734" i="6"/>
  <c r="D734" i="6"/>
  <c r="L734" i="6" s="1"/>
  <c r="E734" i="6"/>
  <c r="F734" i="6"/>
  <c r="H734" i="6"/>
  <c r="I734" i="6"/>
  <c r="N734" i="6"/>
  <c r="R734" i="6"/>
  <c r="Q734" i="6" s="1"/>
  <c r="S734" i="6" s="1"/>
  <c r="T734" i="6"/>
  <c r="B735" i="6"/>
  <c r="C735" i="6"/>
  <c r="D735" i="6"/>
  <c r="E735" i="6"/>
  <c r="F735" i="6"/>
  <c r="H735" i="6"/>
  <c r="I735" i="6"/>
  <c r="L735" i="6"/>
  <c r="N735" i="6"/>
  <c r="Q735" i="6"/>
  <c r="R735" i="6"/>
  <c r="S735" i="6"/>
  <c r="T735" i="6"/>
  <c r="B736" i="6"/>
  <c r="C736" i="6"/>
  <c r="D736" i="6"/>
  <c r="L736" i="6" s="1"/>
  <c r="E736" i="6"/>
  <c r="F736" i="6"/>
  <c r="H736" i="6"/>
  <c r="I736" i="6"/>
  <c r="N736" i="6"/>
  <c r="R736" i="6"/>
  <c r="Q736" i="6" s="1"/>
  <c r="S736" i="6" s="1"/>
  <c r="T736" i="6"/>
  <c r="B737" i="6"/>
  <c r="C737" i="6"/>
  <c r="D737" i="6"/>
  <c r="E737" i="6"/>
  <c r="F737" i="6"/>
  <c r="H737" i="6"/>
  <c r="I737" i="6"/>
  <c r="L737" i="6"/>
  <c r="N737" i="6"/>
  <c r="Q737" i="6"/>
  <c r="R737" i="6"/>
  <c r="S737" i="6"/>
  <c r="T737" i="6"/>
  <c r="B738" i="6"/>
  <c r="C738" i="6"/>
  <c r="D738" i="6"/>
  <c r="L738" i="6" s="1"/>
  <c r="E738" i="6"/>
  <c r="F738" i="6"/>
  <c r="H738" i="6"/>
  <c r="I738" i="6"/>
  <c r="N738" i="6"/>
  <c r="R738" i="6"/>
  <c r="Q738" i="6" s="1"/>
  <c r="S738" i="6" s="1"/>
  <c r="T738" i="6"/>
  <c r="B739" i="6"/>
  <c r="C739" i="6"/>
  <c r="D739" i="6"/>
  <c r="E739" i="6"/>
  <c r="F739" i="6"/>
  <c r="H739" i="6"/>
  <c r="I739" i="6"/>
  <c r="L739" i="6"/>
  <c r="N739" i="6"/>
  <c r="Q739" i="6"/>
  <c r="R739" i="6"/>
  <c r="S739" i="6"/>
  <c r="T739" i="6"/>
  <c r="B740" i="6"/>
  <c r="C740" i="6"/>
  <c r="D740" i="6"/>
  <c r="L740" i="6" s="1"/>
  <c r="E740" i="6"/>
  <c r="F740" i="6"/>
  <c r="H740" i="6"/>
  <c r="I740" i="6"/>
  <c r="N740" i="6"/>
  <c r="R740" i="6"/>
  <c r="Q740" i="6" s="1"/>
  <c r="S740" i="6" s="1"/>
  <c r="T740" i="6"/>
  <c r="B741" i="6"/>
  <c r="C741" i="6"/>
  <c r="D741" i="6"/>
  <c r="E741" i="6"/>
  <c r="F741" i="6"/>
  <c r="H741" i="6"/>
  <c r="I741" i="6"/>
  <c r="L741" i="6"/>
  <c r="N741" i="6"/>
  <c r="Q741" i="6"/>
  <c r="R741" i="6"/>
  <c r="S741" i="6"/>
  <c r="T741" i="6"/>
  <c r="B742" i="6"/>
  <c r="C742" i="6"/>
  <c r="D742" i="6"/>
  <c r="L742" i="6" s="1"/>
  <c r="E742" i="6"/>
  <c r="F742" i="6"/>
  <c r="H742" i="6"/>
  <c r="I742" i="6"/>
  <c r="N742" i="6"/>
  <c r="R742" i="6"/>
  <c r="Q742" i="6" s="1"/>
  <c r="S742" i="6" s="1"/>
  <c r="T742" i="6"/>
  <c r="B743" i="6"/>
  <c r="C743" i="6"/>
  <c r="D743" i="6"/>
  <c r="E743" i="6"/>
  <c r="F743" i="6"/>
  <c r="H743" i="6"/>
  <c r="I743" i="6"/>
  <c r="L743" i="6"/>
  <c r="N743" i="6"/>
  <c r="Q743" i="6"/>
  <c r="R743" i="6"/>
  <c r="S743" i="6"/>
  <c r="T743" i="6"/>
  <c r="B744" i="6"/>
  <c r="C744" i="6"/>
  <c r="D744" i="6"/>
  <c r="L744" i="6" s="1"/>
  <c r="E744" i="6"/>
  <c r="F744" i="6"/>
  <c r="H744" i="6"/>
  <c r="I744" i="6"/>
  <c r="N744" i="6"/>
  <c r="R744" i="6"/>
  <c r="Q744" i="6" s="1"/>
  <c r="S744" i="6" s="1"/>
  <c r="T744" i="6"/>
  <c r="B745" i="6"/>
  <c r="C745" i="6"/>
  <c r="D745" i="6"/>
  <c r="E745" i="6"/>
  <c r="F745" i="6"/>
  <c r="H745" i="6"/>
  <c r="I745" i="6"/>
  <c r="L745" i="6"/>
  <c r="N745" i="6"/>
  <c r="Q745" i="6"/>
  <c r="R745" i="6"/>
  <c r="S745" i="6"/>
  <c r="T745" i="6"/>
  <c r="B746" i="6"/>
  <c r="C746" i="6"/>
  <c r="D746" i="6"/>
  <c r="L746" i="6" s="1"/>
  <c r="E746" i="6"/>
  <c r="F746" i="6"/>
  <c r="H746" i="6"/>
  <c r="I746" i="6"/>
  <c r="N746" i="6"/>
  <c r="R746" i="6"/>
  <c r="Q746" i="6" s="1"/>
  <c r="S746" i="6" s="1"/>
  <c r="T746" i="6"/>
  <c r="B747" i="6"/>
  <c r="C747" i="6"/>
  <c r="D747" i="6"/>
  <c r="E747" i="6"/>
  <c r="F747" i="6"/>
  <c r="H747" i="6"/>
  <c r="I747" i="6"/>
  <c r="L747" i="6"/>
  <c r="N747" i="6"/>
  <c r="Q747" i="6"/>
  <c r="R747" i="6"/>
  <c r="S747" i="6"/>
  <c r="T747" i="6"/>
  <c r="B748" i="6"/>
  <c r="C748" i="6"/>
  <c r="D748" i="6"/>
  <c r="L748" i="6" s="1"/>
  <c r="E748" i="6"/>
  <c r="F748" i="6"/>
  <c r="H748" i="6"/>
  <c r="I748" i="6"/>
  <c r="N748" i="6"/>
  <c r="R748" i="6"/>
  <c r="Q748" i="6" s="1"/>
  <c r="S748" i="6" s="1"/>
  <c r="T748" i="6"/>
  <c r="B749" i="6"/>
  <c r="C749" i="6"/>
  <c r="D749" i="6"/>
  <c r="E749" i="6"/>
  <c r="F749" i="6"/>
  <c r="H749" i="6"/>
  <c r="I749" i="6"/>
  <c r="L749" i="6"/>
  <c r="N749" i="6"/>
  <c r="Q749" i="6"/>
  <c r="R749" i="6"/>
  <c r="S749" i="6"/>
  <c r="T749" i="6"/>
  <c r="B750" i="6"/>
  <c r="C750" i="6"/>
  <c r="D750" i="6"/>
  <c r="L750" i="6" s="1"/>
  <c r="E750" i="6"/>
  <c r="F750" i="6"/>
  <c r="H750" i="6"/>
  <c r="I750" i="6"/>
  <c r="N750" i="6"/>
  <c r="R750" i="6"/>
  <c r="Q750" i="6" s="1"/>
  <c r="S750" i="6" s="1"/>
  <c r="T750" i="6"/>
  <c r="B751" i="6"/>
  <c r="C751" i="6"/>
  <c r="D751" i="6"/>
  <c r="E751" i="6"/>
  <c r="F751" i="6"/>
  <c r="H751" i="6"/>
  <c r="I751" i="6"/>
  <c r="L751" i="6"/>
  <c r="N751" i="6"/>
  <c r="Q751" i="6"/>
  <c r="R751" i="6"/>
  <c r="S751" i="6"/>
  <c r="T751" i="6"/>
  <c r="B752" i="6"/>
  <c r="C752" i="6"/>
  <c r="D752" i="6"/>
  <c r="L752" i="6" s="1"/>
  <c r="E752" i="6"/>
  <c r="F752" i="6"/>
  <c r="H752" i="6"/>
  <c r="I752" i="6"/>
  <c r="N752" i="6"/>
  <c r="R752" i="6"/>
  <c r="Q752" i="6" s="1"/>
  <c r="S752" i="6" s="1"/>
  <c r="T752" i="6"/>
  <c r="B753" i="6"/>
  <c r="C753" i="6"/>
  <c r="D753" i="6"/>
  <c r="E753" i="6"/>
  <c r="F753" i="6"/>
  <c r="H753" i="6"/>
  <c r="I753" i="6"/>
  <c r="L753" i="6"/>
  <c r="N753" i="6"/>
  <c r="Q753" i="6"/>
  <c r="R753" i="6"/>
  <c r="S753" i="6"/>
  <c r="T753" i="6"/>
  <c r="B754" i="6"/>
  <c r="C754" i="6"/>
  <c r="D754" i="6"/>
  <c r="L754" i="6" s="1"/>
  <c r="E754" i="6"/>
  <c r="F754" i="6"/>
  <c r="H754" i="6"/>
  <c r="I754" i="6"/>
  <c r="N754" i="6"/>
  <c r="R754" i="6"/>
  <c r="Q754" i="6" s="1"/>
  <c r="S754" i="6" s="1"/>
  <c r="T754" i="6"/>
  <c r="B755" i="6"/>
  <c r="C755" i="6"/>
  <c r="D755" i="6"/>
  <c r="E755" i="6"/>
  <c r="F755" i="6"/>
  <c r="H755" i="6"/>
  <c r="I755" i="6"/>
  <c r="L755" i="6"/>
  <c r="N755" i="6"/>
  <c r="Q755" i="6"/>
  <c r="R755" i="6"/>
  <c r="S755" i="6"/>
  <c r="T755" i="6"/>
  <c r="B756" i="6"/>
  <c r="C756" i="6"/>
  <c r="D756" i="6"/>
  <c r="L756" i="6" s="1"/>
  <c r="E756" i="6"/>
  <c r="F756" i="6"/>
  <c r="H756" i="6"/>
  <c r="I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L757" i="6"/>
  <c r="N757" i="6"/>
  <c r="Q757" i="6"/>
  <c r="R757" i="6"/>
  <c r="S757" i="6"/>
  <c r="T757" i="6"/>
  <c r="B758" i="6"/>
  <c r="C758" i="6"/>
  <c r="D758" i="6"/>
  <c r="L758" i="6" s="1"/>
  <c r="E758" i="6"/>
  <c r="F758" i="6"/>
  <c r="H758" i="6"/>
  <c r="I758" i="6"/>
  <c r="N758" i="6"/>
  <c r="R758" i="6"/>
  <c r="Q758" i="6" s="1"/>
  <c r="S758" i="6" s="1"/>
  <c r="T758" i="6"/>
  <c r="B759" i="6"/>
  <c r="C759" i="6"/>
  <c r="D759" i="6"/>
  <c r="E759" i="6"/>
  <c r="F759" i="6"/>
  <c r="H759" i="6"/>
  <c r="I759" i="6"/>
  <c r="L759" i="6"/>
  <c r="N759" i="6"/>
  <c r="Q759" i="6"/>
  <c r="R759" i="6"/>
  <c r="S759" i="6"/>
  <c r="T759" i="6"/>
  <c r="B760" i="6"/>
  <c r="C760" i="6"/>
  <c r="D760" i="6"/>
  <c r="L760" i="6" s="1"/>
  <c r="E760" i="6"/>
  <c r="F760" i="6"/>
  <c r="H760" i="6"/>
  <c r="I760" i="6"/>
  <c r="N760" i="6"/>
  <c r="R760" i="6"/>
  <c r="Q760" i="6" s="1"/>
  <c r="S760" i="6" s="1"/>
  <c r="T760" i="6"/>
  <c r="B761" i="6"/>
  <c r="C761" i="6"/>
  <c r="D761" i="6"/>
  <c r="E761" i="6"/>
  <c r="F761" i="6"/>
  <c r="H761" i="6"/>
  <c r="I761" i="6"/>
  <c r="L761" i="6"/>
  <c r="N761" i="6"/>
  <c r="Q761" i="6"/>
  <c r="R761" i="6"/>
  <c r="S761" i="6"/>
  <c r="T761" i="6"/>
  <c r="B762" i="6"/>
  <c r="C762" i="6"/>
  <c r="D762" i="6"/>
  <c r="L762" i="6" s="1"/>
  <c r="E762" i="6"/>
  <c r="F762" i="6"/>
  <c r="H762" i="6"/>
  <c r="I762" i="6"/>
  <c r="N762" i="6"/>
  <c r="R762" i="6"/>
  <c r="Q762" i="6" s="1"/>
  <c r="S762" i="6" s="1"/>
  <c r="T762" i="6"/>
  <c r="B763" i="6"/>
  <c r="C763" i="6"/>
  <c r="D763" i="6"/>
  <c r="E763" i="6"/>
  <c r="F763" i="6"/>
  <c r="H763" i="6"/>
  <c r="I763" i="6"/>
  <c r="L763" i="6"/>
  <c r="N763" i="6"/>
  <c r="Q763" i="6"/>
  <c r="R763" i="6"/>
  <c r="S763" i="6"/>
  <c r="T763" i="6"/>
  <c r="B764" i="6"/>
  <c r="C764" i="6"/>
  <c r="D764" i="6"/>
  <c r="L764" i="6" s="1"/>
  <c r="E764" i="6"/>
  <c r="F764" i="6"/>
  <c r="H764" i="6"/>
  <c r="I764" i="6"/>
  <c r="N764" i="6"/>
  <c r="R764" i="6"/>
  <c r="Q764" i="6" s="1"/>
  <c r="S764" i="6" s="1"/>
  <c r="T764" i="6"/>
  <c r="B765" i="6"/>
  <c r="C765" i="6"/>
  <c r="D765" i="6"/>
  <c r="E765" i="6"/>
  <c r="F765" i="6"/>
  <c r="H765" i="6"/>
  <c r="I765" i="6"/>
  <c r="L765" i="6"/>
  <c r="N765" i="6"/>
  <c r="Q765" i="6"/>
  <c r="R765" i="6"/>
  <c r="S765" i="6"/>
  <c r="T765" i="6"/>
  <c r="B766" i="6"/>
  <c r="C766" i="6"/>
  <c r="D766" i="6"/>
  <c r="L766" i="6" s="1"/>
  <c r="E766" i="6"/>
  <c r="F766" i="6"/>
  <c r="H766" i="6"/>
  <c r="I766" i="6"/>
  <c r="N766" i="6"/>
  <c r="R766" i="6"/>
  <c r="Q766" i="6" s="1"/>
  <c r="S766" i="6" s="1"/>
  <c r="T766" i="6"/>
  <c r="B767" i="6"/>
  <c r="C767" i="6"/>
  <c r="D767" i="6"/>
  <c r="E767" i="6"/>
  <c r="F767" i="6"/>
  <c r="H767" i="6"/>
  <c r="I767" i="6"/>
  <c r="L767" i="6"/>
  <c r="N767" i="6"/>
  <c r="Q767" i="6"/>
  <c r="R767" i="6"/>
  <c r="S767" i="6"/>
  <c r="T767" i="6"/>
  <c r="B768" i="6"/>
  <c r="C768" i="6"/>
  <c r="D768" i="6"/>
  <c r="L768" i="6" s="1"/>
  <c r="E768" i="6"/>
  <c r="F768" i="6"/>
  <c r="H768" i="6"/>
  <c r="I768" i="6"/>
  <c r="N768" i="6"/>
  <c r="R768" i="6"/>
  <c r="Q768" i="6" s="1"/>
  <c r="S768" i="6" s="1"/>
  <c r="T768" i="6"/>
  <c r="B769" i="6"/>
  <c r="C769" i="6"/>
  <c r="D769" i="6"/>
  <c r="E769" i="6"/>
  <c r="F769" i="6"/>
  <c r="H769" i="6"/>
  <c r="I769" i="6"/>
  <c r="L769" i="6"/>
  <c r="N769" i="6"/>
  <c r="Q769" i="6"/>
  <c r="R769" i="6"/>
  <c r="S769" i="6"/>
  <c r="T769" i="6"/>
  <c r="B770" i="6"/>
  <c r="C770" i="6"/>
  <c r="D770" i="6"/>
  <c r="L770" i="6" s="1"/>
  <c r="E770" i="6"/>
  <c r="F770" i="6"/>
  <c r="H770" i="6"/>
  <c r="I770" i="6"/>
  <c r="N770" i="6"/>
  <c r="R770" i="6"/>
  <c r="Q770" i="6" s="1"/>
  <c r="S770" i="6" s="1"/>
  <c r="T770" i="6"/>
  <c r="B771" i="6"/>
  <c r="C771" i="6"/>
  <c r="D771" i="6"/>
  <c r="E771" i="6"/>
  <c r="F771" i="6"/>
  <c r="H771" i="6"/>
  <c r="I771" i="6"/>
  <c r="L771" i="6"/>
  <c r="N771" i="6"/>
  <c r="Q771" i="6"/>
  <c r="R771" i="6"/>
  <c r="S771" i="6"/>
  <c r="T771" i="6"/>
  <c r="B772" i="6"/>
  <c r="C772" i="6"/>
  <c r="D772" i="6"/>
  <c r="L772" i="6" s="1"/>
  <c r="E772" i="6"/>
  <c r="F772" i="6"/>
  <c r="H772" i="6"/>
  <c r="I772" i="6"/>
  <c r="N772" i="6"/>
  <c r="R772" i="6"/>
  <c r="Q772" i="6" s="1"/>
  <c r="S772" i="6" s="1"/>
  <c r="T772" i="6"/>
  <c r="B773" i="6"/>
  <c r="C773" i="6"/>
  <c r="D773" i="6"/>
  <c r="E773" i="6"/>
  <c r="F773" i="6"/>
  <c r="H773" i="6"/>
  <c r="I773" i="6"/>
  <c r="L773" i="6"/>
  <c r="N773" i="6"/>
  <c r="Q773" i="6"/>
  <c r="R773" i="6"/>
  <c r="S773" i="6"/>
  <c r="T773" i="6"/>
  <c r="B774" i="6"/>
  <c r="C774" i="6"/>
  <c r="D774" i="6"/>
  <c r="L774" i="6" s="1"/>
  <c r="E774" i="6"/>
  <c r="F774" i="6"/>
  <c r="H774" i="6"/>
  <c r="I774" i="6"/>
  <c r="N774" i="6"/>
  <c r="R774" i="6"/>
  <c r="Q774" i="6" s="1"/>
  <c r="S774" i="6" s="1"/>
  <c r="T774" i="6"/>
  <c r="B775" i="6"/>
  <c r="C775" i="6"/>
  <c r="D775" i="6"/>
  <c r="E775" i="6"/>
  <c r="F775" i="6"/>
  <c r="H775" i="6"/>
  <c r="I775" i="6"/>
  <c r="L775" i="6"/>
  <c r="N775" i="6"/>
  <c r="Q775" i="6"/>
  <c r="R775" i="6"/>
  <c r="S775" i="6"/>
  <c r="T775" i="6"/>
  <c r="B776" i="6"/>
  <c r="C776" i="6"/>
  <c r="D776" i="6"/>
  <c r="L776" i="6" s="1"/>
  <c r="E776" i="6"/>
  <c r="F776" i="6"/>
  <c r="H776" i="6"/>
  <c r="I776" i="6"/>
  <c r="N776" i="6"/>
  <c r="R776" i="6"/>
  <c r="Q776" i="6" s="1"/>
  <c r="S776" i="6" s="1"/>
  <c r="T776" i="6"/>
  <c r="B777" i="6"/>
  <c r="C777" i="6"/>
  <c r="D777" i="6"/>
  <c r="E777" i="6"/>
  <c r="F777" i="6"/>
  <c r="H777" i="6"/>
  <c r="I777" i="6"/>
  <c r="L777" i="6"/>
  <c r="N777" i="6"/>
  <c r="Q777" i="6"/>
  <c r="R777" i="6"/>
  <c r="S777" i="6"/>
  <c r="T777" i="6"/>
  <c r="B778" i="6"/>
  <c r="C778" i="6"/>
  <c r="D778" i="6"/>
  <c r="L778" i="6" s="1"/>
  <c r="E778" i="6"/>
  <c r="F778" i="6"/>
  <c r="H778" i="6"/>
  <c r="I778" i="6"/>
  <c r="N778" i="6"/>
  <c r="R778" i="6"/>
  <c r="Q778" i="6" s="1"/>
  <c r="S778" i="6" s="1"/>
  <c r="T778" i="6"/>
  <c r="B779" i="6"/>
  <c r="C779" i="6"/>
  <c r="D779" i="6"/>
  <c r="E779" i="6"/>
  <c r="F779" i="6"/>
  <c r="H779" i="6"/>
  <c r="I779" i="6"/>
  <c r="L779" i="6"/>
  <c r="N779" i="6"/>
  <c r="Q779" i="6"/>
  <c r="R779" i="6"/>
  <c r="S779" i="6"/>
  <c r="T779" i="6"/>
  <c r="B780" i="6"/>
  <c r="C780" i="6"/>
  <c r="D780" i="6"/>
  <c r="L780" i="6" s="1"/>
  <c r="E780" i="6"/>
  <c r="F780" i="6"/>
  <c r="H780" i="6"/>
  <c r="I780" i="6"/>
  <c r="N780" i="6"/>
  <c r="R780" i="6"/>
  <c r="Q780" i="6" s="1"/>
  <c r="S780" i="6" s="1"/>
  <c r="T780" i="6"/>
  <c r="B781" i="6"/>
  <c r="C781" i="6"/>
  <c r="D781" i="6"/>
  <c r="E781" i="6"/>
  <c r="F781" i="6"/>
  <c r="H781" i="6"/>
  <c r="I781" i="6"/>
  <c r="L781" i="6"/>
  <c r="N781" i="6"/>
  <c r="Q781" i="6"/>
  <c r="R781" i="6"/>
  <c r="S781" i="6"/>
  <c r="T781" i="6"/>
  <c r="B782" i="6"/>
  <c r="C782" i="6"/>
  <c r="D782" i="6"/>
  <c r="L782" i="6" s="1"/>
  <c r="E782" i="6"/>
  <c r="F782" i="6"/>
  <c r="H782" i="6"/>
  <c r="I782" i="6"/>
  <c r="N782" i="6"/>
  <c r="R782" i="6"/>
  <c r="Q782" i="6" s="1"/>
  <c r="S782" i="6" s="1"/>
  <c r="T782" i="6"/>
  <c r="B783" i="6"/>
  <c r="C783" i="6"/>
  <c r="D783" i="6"/>
  <c r="E783" i="6"/>
  <c r="F783" i="6"/>
  <c r="H783" i="6"/>
  <c r="I783" i="6"/>
  <c r="L783" i="6"/>
  <c r="N783" i="6"/>
  <c r="Q783" i="6"/>
  <c r="R783" i="6"/>
  <c r="S783" i="6"/>
  <c r="T783" i="6"/>
  <c r="B784" i="6"/>
  <c r="C784" i="6"/>
  <c r="D784" i="6"/>
  <c r="L784" i="6" s="1"/>
  <c r="E784" i="6"/>
  <c r="F784" i="6"/>
  <c r="H784" i="6"/>
  <c r="I784" i="6"/>
  <c r="N784" i="6"/>
  <c r="R784" i="6"/>
  <c r="Q784" i="6" s="1"/>
  <c r="S784" i="6" s="1"/>
  <c r="T784" i="6"/>
  <c r="B785" i="6"/>
  <c r="C785" i="6"/>
  <c r="D785" i="6"/>
  <c r="E785" i="6"/>
  <c r="F785" i="6"/>
  <c r="H785" i="6"/>
  <c r="I785" i="6"/>
  <c r="L785" i="6"/>
  <c r="N785" i="6"/>
  <c r="Q785" i="6"/>
  <c r="R785" i="6"/>
  <c r="S785" i="6"/>
  <c r="T785" i="6"/>
  <c r="B786" i="6"/>
  <c r="C786" i="6"/>
  <c r="D786" i="6"/>
  <c r="L786" i="6" s="1"/>
  <c r="E786" i="6"/>
  <c r="F786" i="6"/>
  <c r="H786" i="6"/>
  <c r="I786" i="6"/>
  <c r="N786" i="6"/>
  <c r="R786" i="6"/>
  <c r="Q786" i="6" s="1"/>
  <c r="S786" i="6" s="1"/>
  <c r="T786" i="6"/>
  <c r="B787" i="6"/>
  <c r="C787" i="6"/>
  <c r="D787" i="6"/>
  <c r="E787" i="6"/>
  <c r="F787" i="6"/>
  <c r="H787" i="6"/>
  <c r="I787" i="6"/>
  <c r="L787" i="6"/>
  <c r="N787" i="6"/>
  <c r="Q787" i="6"/>
  <c r="R787" i="6"/>
  <c r="S787" i="6"/>
  <c r="T787" i="6"/>
  <c r="B788" i="6"/>
  <c r="C788" i="6"/>
  <c r="D788" i="6"/>
  <c r="L788" i="6" s="1"/>
  <c r="E788" i="6"/>
  <c r="F788" i="6"/>
  <c r="H788" i="6"/>
  <c r="I788" i="6"/>
  <c r="N788" i="6"/>
  <c r="R788" i="6"/>
  <c r="Q788" i="6" s="1"/>
  <c r="S788" i="6" s="1"/>
  <c r="T788" i="6"/>
  <c r="B789" i="6"/>
  <c r="C789" i="6"/>
  <c r="D789" i="6"/>
  <c r="E789" i="6"/>
  <c r="F789" i="6"/>
  <c r="H789" i="6"/>
  <c r="I789" i="6"/>
  <c r="L789" i="6"/>
  <c r="N789" i="6"/>
  <c r="Q789" i="6"/>
  <c r="R789" i="6"/>
  <c r="S789" i="6"/>
  <c r="T789" i="6"/>
  <c r="B790" i="6"/>
  <c r="C790" i="6"/>
  <c r="D790" i="6"/>
  <c r="L790" i="6" s="1"/>
  <c r="E790" i="6"/>
  <c r="F790" i="6"/>
  <c r="H790" i="6"/>
  <c r="I790" i="6"/>
  <c r="N790" i="6"/>
  <c r="R790" i="6"/>
  <c r="Q790" i="6" s="1"/>
  <c r="S790" i="6" s="1"/>
  <c r="T790" i="6"/>
  <c r="B791" i="6"/>
  <c r="C791" i="6"/>
  <c r="D791" i="6"/>
  <c r="E791" i="6"/>
  <c r="F791" i="6"/>
  <c r="H791" i="6"/>
  <c r="I791" i="6"/>
  <c r="L791" i="6"/>
  <c r="N791" i="6"/>
  <c r="Q791" i="6"/>
  <c r="R791" i="6"/>
  <c r="S791" i="6"/>
  <c r="T791" i="6"/>
  <c r="B792" i="6"/>
  <c r="C792" i="6"/>
  <c r="D792" i="6"/>
  <c r="L792" i="6" s="1"/>
  <c r="E792" i="6"/>
  <c r="F792" i="6"/>
  <c r="H792" i="6"/>
  <c r="I792" i="6"/>
  <c r="N792" i="6"/>
  <c r="R792" i="6"/>
  <c r="Q792" i="6" s="1"/>
  <c r="S792" i="6" s="1"/>
  <c r="T792" i="6"/>
  <c r="B793" i="6"/>
  <c r="C793" i="6"/>
  <c r="D793" i="6"/>
  <c r="E793" i="6"/>
  <c r="F793" i="6"/>
  <c r="H793" i="6"/>
  <c r="I793" i="6"/>
  <c r="L793" i="6"/>
  <c r="N793" i="6"/>
  <c r="Q793" i="6"/>
  <c r="R793" i="6"/>
  <c r="S793" i="6"/>
  <c r="T793" i="6"/>
  <c r="B794" i="6"/>
  <c r="C794" i="6"/>
  <c r="D794" i="6"/>
  <c r="L794" i="6" s="1"/>
  <c r="E794" i="6"/>
  <c r="F794" i="6"/>
  <c r="H794" i="6"/>
  <c r="I794" i="6"/>
  <c r="N794" i="6"/>
  <c r="R794" i="6"/>
  <c r="Q794" i="6" s="1"/>
  <c r="S794" i="6" s="1"/>
  <c r="T794" i="6"/>
  <c r="B795" i="6"/>
  <c r="C795" i="6"/>
  <c r="D795" i="6"/>
  <c r="E795" i="6"/>
  <c r="F795" i="6"/>
  <c r="H795" i="6"/>
  <c r="I795" i="6"/>
  <c r="L795" i="6"/>
  <c r="N795" i="6"/>
  <c r="Q795" i="6"/>
  <c r="R795" i="6"/>
  <c r="S795" i="6"/>
  <c r="T795" i="6"/>
  <c r="B796" i="6"/>
  <c r="C796" i="6"/>
  <c r="D796" i="6"/>
  <c r="L796" i="6" s="1"/>
  <c r="E796" i="6"/>
  <c r="F796" i="6"/>
  <c r="H796" i="6"/>
  <c r="I796" i="6"/>
  <c r="N796" i="6"/>
  <c r="R796" i="6"/>
  <c r="Q796" i="6" s="1"/>
  <c r="S796" i="6" s="1"/>
  <c r="T796" i="6"/>
  <c r="B797" i="6"/>
  <c r="C797" i="6"/>
  <c r="D797" i="6"/>
  <c r="E797" i="6"/>
  <c r="F797" i="6"/>
  <c r="H797" i="6"/>
  <c r="I797" i="6"/>
  <c r="L797" i="6"/>
  <c r="N797" i="6"/>
  <c r="Q797" i="6"/>
  <c r="R797" i="6"/>
  <c r="S797" i="6"/>
  <c r="T797" i="6"/>
  <c r="B798" i="6"/>
  <c r="C798" i="6"/>
  <c r="D798" i="6"/>
  <c r="L798" i="6" s="1"/>
  <c r="E798" i="6"/>
  <c r="F798" i="6"/>
  <c r="H798" i="6"/>
  <c r="I798" i="6"/>
  <c r="N798" i="6"/>
  <c r="R798" i="6"/>
  <c r="Q798" i="6" s="1"/>
  <c r="S798" i="6" s="1"/>
  <c r="T798" i="6"/>
  <c r="B799" i="6"/>
  <c r="C799" i="6"/>
  <c r="D799" i="6"/>
  <c r="E799" i="6"/>
  <c r="F799" i="6"/>
  <c r="H799" i="6"/>
  <c r="I799" i="6"/>
  <c r="L799" i="6"/>
  <c r="N799" i="6"/>
  <c r="Q799" i="6"/>
  <c r="R799" i="6"/>
  <c r="S799" i="6"/>
  <c r="T799" i="6"/>
  <c r="B800" i="6"/>
  <c r="C800" i="6"/>
  <c r="D800" i="6"/>
  <c r="L800" i="6" s="1"/>
  <c r="E800" i="6"/>
  <c r="F800" i="6"/>
  <c r="H800" i="6"/>
  <c r="I800" i="6"/>
  <c r="N800" i="6"/>
  <c r="R800" i="6"/>
  <c r="Q800" i="6" s="1"/>
  <c r="S800" i="6" s="1"/>
  <c r="T800" i="6"/>
  <c r="B801" i="6"/>
  <c r="C801" i="6"/>
  <c r="D801" i="6"/>
  <c r="E801" i="6"/>
  <c r="F801" i="6"/>
  <c r="H801" i="6"/>
  <c r="I801" i="6"/>
  <c r="L801" i="6"/>
  <c r="N801" i="6"/>
  <c r="Q801" i="6"/>
  <c r="R801" i="6"/>
  <c r="S801" i="6"/>
  <c r="T801" i="6"/>
  <c r="B802" i="6"/>
  <c r="C802" i="6"/>
  <c r="D802" i="6"/>
  <c r="L802" i="6" s="1"/>
  <c r="E802" i="6"/>
  <c r="F802" i="6"/>
  <c r="H802" i="6"/>
  <c r="I802" i="6"/>
  <c r="N802" i="6"/>
  <c r="R802" i="6"/>
  <c r="Q802" i="6" s="1"/>
  <c r="S802" i="6" s="1"/>
  <c r="T802" i="6"/>
  <c r="B803" i="6"/>
  <c r="C803" i="6"/>
  <c r="D803" i="6"/>
  <c r="E803" i="6"/>
  <c r="F803" i="6"/>
  <c r="H803" i="6"/>
  <c r="I803" i="6"/>
  <c r="L803" i="6"/>
  <c r="N803" i="6"/>
  <c r="Q803" i="6"/>
  <c r="R803" i="6"/>
  <c r="S803" i="6"/>
  <c r="T803" i="6"/>
  <c r="B804" i="6"/>
  <c r="C804" i="6"/>
  <c r="D804" i="6"/>
  <c r="L804" i="6" s="1"/>
  <c r="E804" i="6"/>
  <c r="F804" i="6"/>
  <c r="H804" i="6"/>
  <c r="I804" i="6"/>
  <c r="N804" i="6"/>
  <c r="R804" i="6"/>
  <c r="Q804" i="6" s="1"/>
  <c r="S804" i="6" s="1"/>
  <c r="T804" i="6"/>
  <c r="B805" i="6"/>
  <c r="C805" i="6"/>
  <c r="D805" i="6"/>
  <c r="E805" i="6"/>
  <c r="F805" i="6"/>
  <c r="H805" i="6"/>
  <c r="I805" i="6"/>
  <c r="L805" i="6"/>
  <c r="N805" i="6"/>
  <c r="Q805" i="6"/>
  <c r="R805" i="6"/>
  <c r="S805" i="6"/>
  <c r="T805" i="6"/>
  <c r="B806" i="6"/>
  <c r="C806" i="6"/>
  <c r="D806" i="6"/>
  <c r="L806" i="6" s="1"/>
  <c r="E806" i="6"/>
  <c r="F806" i="6"/>
  <c r="H806" i="6"/>
  <c r="I806" i="6"/>
  <c r="N806" i="6"/>
  <c r="R806" i="6"/>
  <c r="Q806" i="6" s="1"/>
  <c r="S806" i="6" s="1"/>
  <c r="T806" i="6"/>
  <c r="B807" i="6"/>
  <c r="C807" i="6"/>
  <c r="D807" i="6"/>
  <c r="E807" i="6"/>
  <c r="F807" i="6"/>
  <c r="H807" i="6"/>
  <c r="I807" i="6"/>
  <c r="L807" i="6"/>
  <c r="N807" i="6"/>
  <c r="Q807" i="6"/>
  <c r="R807" i="6"/>
  <c r="S807" i="6"/>
  <c r="T807" i="6"/>
  <c r="B808" i="6"/>
  <c r="C808" i="6"/>
  <c r="D808" i="6"/>
  <c r="L808" i="6" s="1"/>
  <c r="E808" i="6"/>
  <c r="F808" i="6"/>
  <c r="H808" i="6"/>
  <c r="I808" i="6"/>
  <c r="N808" i="6"/>
  <c r="R808" i="6"/>
  <c r="Q808" i="6" s="1"/>
  <c r="S808" i="6" s="1"/>
  <c r="T808" i="6"/>
  <c r="B809" i="6"/>
  <c r="C809" i="6"/>
  <c r="D809" i="6"/>
  <c r="E809" i="6"/>
  <c r="F809" i="6"/>
  <c r="H809" i="6"/>
  <c r="I809" i="6"/>
  <c r="L809" i="6"/>
  <c r="N809" i="6"/>
  <c r="Q809" i="6"/>
  <c r="R809" i="6"/>
  <c r="S809" i="6"/>
  <c r="T809" i="6"/>
  <c r="B810" i="6"/>
  <c r="C810" i="6"/>
  <c r="D810" i="6"/>
  <c r="L810" i="6" s="1"/>
  <c r="E810" i="6"/>
  <c r="F810" i="6"/>
  <c r="H810" i="6"/>
  <c r="I810" i="6"/>
  <c r="N810" i="6"/>
  <c r="R810" i="6"/>
  <c r="Q810" i="6" s="1"/>
  <c r="S810" i="6" s="1"/>
  <c r="T810" i="6"/>
  <c r="B811" i="6"/>
  <c r="C811" i="6"/>
  <c r="D811" i="6"/>
  <c r="E811" i="6"/>
  <c r="F811" i="6"/>
  <c r="H811" i="6"/>
  <c r="I811" i="6"/>
  <c r="L811" i="6"/>
  <c r="N811" i="6"/>
  <c r="Q811" i="6"/>
  <c r="R811" i="6"/>
  <c r="S811" i="6"/>
  <c r="T811" i="6"/>
  <c r="B812" i="6"/>
  <c r="C812" i="6"/>
  <c r="D812" i="6"/>
  <c r="L812" i="6" s="1"/>
  <c r="E812" i="6"/>
  <c r="F812" i="6"/>
  <c r="H812" i="6"/>
  <c r="I812" i="6"/>
  <c r="N812" i="6"/>
  <c r="R812" i="6"/>
  <c r="Q812" i="6" s="1"/>
  <c r="S812" i="6" s="1"/>
  <c r="T812" i="6"/>
  <c r="B813" i="6"/>
  <c r="C813" i="6"/>
  <c r="D813" i="6"/>
  <c r="E813" i="6"/>
  <c r="F813" i="6"/>
  <c r="H813" i="6"/>
  <c r="I813" i="6"/>
  <c r="L813" i="6"/>
  <c r="N813" i="6"/>
  <c r="Q813" i="6"/>
  <c r="R813" i="6"/>
  <c r="S813" i="6"/>
  <c r="T813" i="6"/>
  <c r="B814" i="6"/>
  <c r="C814" i="6"/>
  <c r="D814" i="6"/>
  <c r="L814" i="6" s="1"/>
  <c r="E814" i="6"/>
  <c r="F814" i="6"/>
  <c r="H814" i="6"/>
  <c r="I814" i="6"/>
  <c r="N814" i="6"/>
  <c r="R814" i="6"/>
  <c r="Q814" i="6" s="1"/>
  <c r="S814" i="6" s="1"/>
  <c r="T814" i="6"/>
  <c r="B815" i="6"/>
  <c r="C815" i="6"/>
  <c r="D815" i="6"/>
  <c r="E815" i="6"/>
  <c r="F815" i="6"/>
  <c r="H815" i="6"/>
  <c r="I815" i="6"/>
  <c r="L815" i="6"/>
  <c r="N815" i="6"/>
  <c r="Q815" i="6"/>
  <c r="R815" i="6"/>
  <c r="S815" i="6"/>
  <c r="T815" i="6"/>
  <c r="B816" i="6"/>
  <c r="C816" i="6"/>
  <c r="D816" i="6"/>
  <c r="L816" i="6" s="1"/>
  <c r="E816" i="6"/>
  <c r="F816" i="6"/>
  <c r="H816" i="6"/>
  <c r="I816" i="6"/>
  <c r="N816" i="6"/>
  <c r="R816" i="6"/>
  <c r="Q816" i="6" s="1"/>
  <c r="S816" i="6" s="1"/>
  <c r="T816" i="6"/>
  <c r="B817" i="6"/>
  <c r="C817" i="6"/>
  <c r="D817" i="6"/>
  <c r="E817" i="6"/>
  <c r="F817" i="6"/>
  <c r="H817" i="6"/>
  <c r="I817" i="6"/>
  <c r="L817" i="6"/>
  <c r="N817" i="6"/>
  <c r="Q817" i="6"/>
  <c r="R817" i="6"/>
  <c r="S817" i="6"/>
  <c r="T817" i="6"/>
  <c r="B818" i="6"/>
  <c r="C818" i="6"/>
  <c r="D818" i="6"/>
  <c r="L818" i="6" s="1"/>
  <c r="E818" i="6"/>
  <c r="F818" i="6"/>
  <c r="H818" i="6"/>
  <c r="I818" i="6"/>
  <c r="N818" i="6"/>
  <c r="R818" i="6"/>
  <c r="Q818" i="6" s="1"/>
  <c r="S818" i="6" s="1"/>
  <c r="T818" i="6"/>
  <c r="B819" i="6"/>
  <c r="C819" i="6"/>
  <c r="D819" i="6"/>
  <c r="E819" i="6"/>
  <c r="F819" i="6"/>
  <c r="H819" i="6"/>
  <c r="I819" i="6"/>
  <c r="L819" i="6"/>
  <c r="N819" i="6"/>
  <c r="Q819" i="6"/>
  <c r="R819" i="6"/>
  <c r="S819" i="6"/>
  <c r="T819" i="6"/>
  <c r="B820" i="6"/>
  <c r="C820" i="6"/>
  <c r="D820" i="6"/>
  <c r="L820" i="6" s="1"/>
  <c r="E820" i="6"/>
  <c r="F820" i="6"/>
  <c r="H820" i="6"/>
  <c r="I820" i="6"/>
  <c r="N820" i="6"/>
  <c r="R820" i="6"/>
  <c r="Q820" i="6" s="1"/>
  <c r="S820" i="6" s="1"/>
  <c r="T820" i="6"/>
  <c r="B821" i="6"/>
  <c r="C821" i="6"/>
  <c r="D821" i="6"/>
  <c r="E821" i="6"/>
  <c r="F821" i="6"/>
  <c r="H821" i="6"/>
  <c r="I821" i="6"/>
  <c r="L821" i="6"/>
  <c r="N821" i="6"/>
  <c r="Q821" i="6"/>
  <c r="R821" i="6"/>
  <c r="S821" i="6"/>
  <c r="T821" i="6"/>
  <c r="B822" i="6"/>
  <c r="C822" i="6"/>
  <c r="D822" i="6"/>
  <c r="L822" i="6" s="1"/>
  <c r="E822" i="6"/>
  <c r="F822" i="6"/>
  <c r="H822" i="6"/>
  <c r="I822" i="6"/>
  <c r="N822" i="6"/>
  <c r="R822" i="6"/>
  <c r="Q822" i="6" s="1"/>
  <c r="S822" i="6" s="1"/>
  <c r="T822" i="6"/>
  <c r="B823" i="6"/>
  <c r="C823" i="6"/>
  <c r="D823" i="6"/>
  <c r="E823" i="6"/>
  <c r="F823" i="6"/>
  <c r="H823" i="6"/>
  <c r="I823" i="6"/>
  <c r="L823" i="6"/>
  <c r="N823" i="6"/>
  <c r="Q823" i="6"/>
  <c r="R823" i="6"/>
  <c r="S823" i="6"/>
  <c r="T823" i="6"/>
  <c r="B824" i="6"/>
  <c r="C824" i="6"/>
  <c r="D824" i="6"/>
  <c r="L824" i="6" s="1"/>
  <c r="E824" i="6"/>
  <c r="F824" i="6"/>
  <c r="H824" i="6"/>
  <c r="I824" i="6"/>
  <c r="N824" i="6"/>
  <c r="R824" i="6"/>
  <c r="Q824" i="6" s="1"/>
  <c r="S824" i="6" s="1"/>
  <c r="T824" i="6"/>
  <c r="B825" i="6"/>
  <c r="C825" i="6"/>
  <c r="D825" i="6"/>
  <c r="E825" i="6"/>
  <c r="F825" i="6"/>
  <c r="H825" i="6"/>
  <c r="I825" i="6"/>
  <c r="L825" i="6"/>
  <c r="N825" i="6"/>
  <c r="Q825" i="6"/>
  <c r="R825" i="6"/>
  <c r="S825" i="6"/>
  <c r="T825" i="6"/>
  <c r="B826" i="6"/>
  <c r="C826" i="6"/>
  <c r="D826" i="6"/>
  <c r="L826" i="6" s="1"/>
  <c r="E826" i="6"/>
  <c r="F826" i="6"/>
  <c r="H826" i="6"/>
  <c r="I826" i="6"/>
  <c r="N826" i="6"/>
  <c r="R826" i="6"/>
  <c r="Q826" i="6" s="1"/>
  <c r="S826" i="6" s="1"/>
  <c r="T826" i="6"/>
  <c r="B827" i="6"/>
  <c r="C827" i="6"/>
  <c r="D827" i="6"/>
  <c r="E827" i="6"/>
  <c r="F827" i="6"/>
  <c r="H827" i="6"/>
  <c r="I827" i="6"/>
  <c r="L827" i="6"/>
  <c r="N827" i="6"/>
  <c r="Q827" i="6"/>
  <c r="R827" i="6"/>
  <c r="S827" i="6"/>
  <c r="T827" i="6"/>
  <c r="B828" i="6"/>
  <c r="C828" i="6"/>
  <c r="D828" i="6"/>
  <c r="L828" i="6" s="1"/>
  <c r="E828" i="6"/>
  <c r="F828" i="6"/>
  <c r="H828" i="6"/>
  <c r="I828" i="6"/>
  <c r="N828" i="6"/>
  <c r="R828" i="6"/>
  <c r="Q828" i="6" s="1"/>
  <c r="S828" i="6" s="1"/>
  <c r="T828" i="6"/>
  <c r="B829" i="6"/>
  <c r="C829" i="6"/>
  <c r="D829" i="6"/>
  <c r="E829" i="6"/>
  <c r="F829" i="6"/>
  <c r="H829" i="6"/>
  <c r="I829" i="6"/>
  <c r="L829" i="6"/>
  <c r="N829" i="6"/>
  <c r="Q829" i="6"/>
  <c r="R829" i="6"/>
  <c r="S829" i="6"/>
  <c r="T829" i="6"/>
  <c r="B830" i="6"/>
  <c r="C830" i="6"/>
  <c r="D830" i="6"/>
  <c r="L830" i="6" s="1"/>
  <c r="E830" i="6"/>
  <c r="F830" i="6"/>
  <c r="H830" i="6"/>
  <c r="I830" i="6"/>
  <c r="N830" i="6"/>
  <c r="R830" i="6"/>
  <c r="Q830" i="6" s="1"/>
  <c r="S830" i="6" s="1"/>
  <c r="T830" i="6"/>
  <c r="B831" i="6"/>
  <c r="C831" i="6"/>
  <c r="D831" i="6"/>
  <c r="E831" i="6"/>
  <c r="F831" i="6"/>
  <c r="H831" i="6"/>
  <c r="I831" i="6"/>
  <c r="L831" i="6"/>
  <c r="N831" i="6"/>
  <c r="Q831" i="6"/>
  <c r="R831" i="6"/>
  <c r="S831" i="6"/>
  <c r="T831" i="6"/>
  <c r="B832" i="6"/>
  <c r="C832" i="6"/>
  <c r="D832" i="6"/>
  <c r="L832" i="6" s="1"/>
  <c r="E832" i="6"/>
  <c r="F832" i="6"/>
  <c r="H832" i="6"/>
  <c r="I832" i="6"/>
  <c r="N832" i="6"/>
  <c r="R832" i="6"/>
  <c r="Q832" i="6" s="1"/>
  <c r="S832" i="6" s="1"/>
  <c r="T832" i="6"/>
  <c r="B833" i="6"/>
  <c r="C833" i="6"/>
  <c r="D833" i="6"/>
  <c r="E833" i="6"/>
  <c r="F833" i="6"/>
  <c r="H833" i="6"/>
  <c r="I833" i="6"/>
  <c r="L833" i="6"/>
  <c r="N833" i="6"/>
  <c r="Q833" i="6"/>
  <c r="R833" i="6"/>
  <c r="S833" i="6"/>
  <c r="T833" i="6"/>
  <c r="B834" i="6"/>
  <c r="C834" i="6"/>
  <c r="D834" i="6"/>
  <c r="L834" i="6" s="1"/>
  <c r="E834" i="6"/>
  <c r="F834" i="6"/>
  <c r="H834" i="6"/>
  <c r="I834" i="6"/>
  <c r="N834" i="6"/>
  <c r="R834" i="6"/>
  <c r="Q834" i="6" s="1"/>
  <c r="S834" i="6" s="1"/>
  <c r="T834" i="6"/>
  <c r="B835" i="6"/>
  <c r="C835" i="6"/>
  <c r="D835" i="6"/>
  <c r="E835" i="6"/>
  <c r="F835" i="6"/>
  <c r="H835" i="6"/>
  <c r="I835" i="6"/>
  <c r="L835" i="6"/>
  <c r="N835" i="6"/>
  <c r="Q835" i="6"/>
  <c r="R835" i="6"/>
  <c r="S835" i="6"/>
  <c r="T835" i="6"/>
  <c r="B836" i="6"/>
  <c r="C836" i="6"/>
  <c r="D836" i="6"/>
  <c r="L836" i="6" s="1"/>
  <c r="E836" i="6"/>
  <c r="F836" i="6"/>
  <c r="H836" i="6"/>
  <c r="I836" i="6"/>
  <c r="N836" i="6"/>
  <c r="R836" i="6"/>
  <c r="Q836" i="6" s="1"/>
  <c r="S836" i="6" s="1"/>
  <c r="T836" i="6"/>
  <c r="B837" i="6"/>
  <c r="C837" i="6"/>
  <c r="D837" i="6"/>
  <c r="E837" i="6"/>
  <c r="F837" i="6"/>
  <c r="H837" i="6"/>
  <c r="I837" i="6"/>
  <c r="L837" i="6"/>
  <c r="N837" i="6"/>
  <c r="Q837" i="6"/>
  <c r="R837" i="6"/>
  <c r="S837" i="6"/>
  <c r="T837" i="6"/>
  <c r="B838" i="6"/>
  <c r="C838" i="6"/>
  <c r="D838" i="6"/>
  <c r="L838" i="6" s="1"/>
  <c r="E838" i="6"/>
  <c r="F838" i="6"/>
  <c r="H838" i="6"/>
  <c r="I838" i="6"/>
  <c r="N838" i="6"/>
  <c r="R838" i="6"/>
  <c r="Q838" i="6" s="1"/>
  <c r="S838" i="6" s="1"/>
  <c r="T838" i="6"/>
  <c r="B839" i="6"/>
  <c r="C839" i="6"/>
  <c r="D839" i="6"/>
  <c r="E839" i="6"/>
  <c r="F839" i="6"/>
  <c r="H839" i="6"/>
  <c r="I839" i="6"/>
  <c r="L839" i="6"/>
  <c r="N839" i="6"/>
  <c r="Q839" i="6"/>
  <c r="R839" i="6"/>
  <c r="S839" i="6"/>
  <c r="T839" i="6"/>
  <c r="B840" i="6"/>
  <c r="C840" i="6"/>
  <c r="D840" i="6"/>
  <c r="L840" i="6" s="1"/>
  <c r="E840" i="6"/>
  <c r="F840" i="6"/>
  <c r="H840" i="6"/>
  <c r="I840" i="6"/>
  <c r="N840" i="6"/>
  <c r="R840" i="6"/>
  <c r="Q840" i="6" s="1"/>
  <c r="S840" i="6" s="1"/>
  <c r="T840" i="6"/>
  <c r="B841" i="6"/>
  <c r="C841" i="6"/>
  <c r="D841" i="6"/>
  <c r="E841" i="6"/>
  <c r="F841" i="6"/>
  <c r="H841" i="6"/>
  <c r="I841" i="6"/>
  <c r="L841" i="6"/>
  <c r="N841" i="6"/>
  <c r="Q841" i="6"/>
  <c r="R841" i="6"/>
  <c r="S841" i="6"/>
  <c r="T841" i="6"/>
  <c r="B842" i="6"/>
  <c r="C842" i="6"/>
  <c r="D842" i="6"/>
  <c r="L842" i="6" s="1"/>
  <c r="E842" i="6"/>
  <c r="F842" i="6"/>
  <c r="H842" i="6"/>
  <c r="I842" i="6"/>
  <c r="N842" i="6"/>
  <c r="R842" i="6"/>
  <c r="Q842" i="6" s="1"/>
  <c r="S842" i="6" s="1"/>
  <c r="T842" i="6"/>
  <c r="B843" i="6"/>
  <c r="C843" i="6"/>
  <c r="D843" i="6"/>
  <c r="E843" i="6"/>
  <c r="F843" i="6"/>
  <c r="H843" i="6"/>
  <c r="I843" i="6"/>
  <c r="L843" i="6"/>
  <c r="N843" i="6"/>
  <c r="Q843" i="6"/>
  <c r="R843" i="6"/>
  <c r="S843" i="6"/>
  <c r="T843" i="6"/>
  <c r="B844" i="6"/>
  <c r="C844" i="6"/>
  <c r="D844" i="6"/>
  <c r="L844" i="6" s="1"/>
  <c r="E844" i="6"/>
  <c r="F844" i="6"/>
  <c r="H844" i="6"/>
  <c r="I844" i="6"/>
  <c r="N844" i="6"/>
  <c r="R844" i="6"/>
  <c r="Q844" i="6" s="1"/>
  <c r="S844" i="6" s="1"/>
  <c r="T844" i="6"/>
  <c r="B845" i="6"/>
  <c r="C845" i="6"/>
  <c r="D845" i="6"/>
  <c r="E845" i="6"/>
  <c r="F845" i="6"/>
  <c r="H845" i="6"/>
  <c r="I845" i="6"/>
  <c r="L845" i="6"/>
  <c r="N845" i="6"/>
  <c r="Q845" i="6"/>
  <c r="R845" i="6"/>
  <c r="S845" i="6"/>
  <c r="T845" i="6"/>
  <c r="B846" i="6"/>
  <c r="C846" i="6"/>
  <c r="D846" i="6"/>
  <c r="L846" i="6" s="1"/>
  <c r="E846" i="6"/>
  <c r="F846" i="6"/>
  <c r="H846" i="6"/>
  <c r="I846" i="6"/>
  <c r="N846" i="6"/>
  <c r="R846" i="6"/>
  <c r="Q846" i="6" s="1"/>
  <c r="S846" i="6" s="1"/>
  <c r="T846" i="6"/>
  <c r="B847" i="6"/>
  <c r="C847" i="6"/>
  <c r="D847" i="6"/>
  <c r="E847" i="6"/>
  <c r="F847" i="6"/>
  <c r="H847" i="6"/>
  <c r="I847" i="6"/>
  <c r="L847" i="6"/>
  <c r="N847" i="6"/>
  <c r="Q847" i="6"/>
  <c r="R847" i="6"/>
  <c r="S847" i="6"/>
  <c r="T847" i="6"/>
  <c r="B848" i="6"/>
  <c r="C848" i="6"/>
  <c r="D848" i="6"/>
  <c r="L848" i="6" s="1"/>
  <c r="E848" i="6"/>
  <c r="F848" i="6"/>
  <c r="H848" i="6"/>
  <c r="I848" i="6"/>
  <c r="N848" i="6"/>
  <c r="R848" i="6"/>
  <c r="Q848" i="6" s="1"/>
  <c r="S848" i="6" s="1"/>
  <c r="T848" i="6"/>
  <c r="B849" i="6"/>
  <c r="C849" i="6"/>
  <c r="D849" i="6"/>
  <c r="E849" i="6"/>
  <c r="F849" i="6"/>
  <c r="H849" i="6"/>
  <c r="I849" i="6"/>
  <c r="L849" i="6"/>
  <c r="N849" i="6"/>
  <c r="Q849" i="6"/>
  <c r="R849" i="6"/>
  <c r="S849" i="6"/>
  <c r="T849" i="6"/>
  <c r="B850" i="6"/>
  <c r="C850" i="6"/>
  <c r="D850" i="6"/>
  <c r="L850" i="6" s="1"/>
  <c r="E850" i="6"/>
  <c r="F850" i="6"/>
  <c r="H850" i="6"/>
  <c r="I850" i="6"/>
  <c r="N850" i="6"/>
  <c r="R850" i="6"/>
  <c r="Q850" i="6" s="1"/>
  <c r="S850" i="6" s="1"/>
  <c r="T850" i="6"/>
  <c r="B851" i="6"/>
  <c r="C851" i="6"/>
  <c r="D851" i="6"/>
  <c r="E851" i="6"/>
  <c r="F851" i="6"/>
  <c r="H851" i="6"/>
  <c r="I851" i="6"/>
  <c r="L851" i="6"/>
  <c r="N851" i="6"/>
  <c r="Q851" i="6"/>
  <c r="R851" i="6"/>
  <c r="S851" i="6"/>
  <c r="T851" i="6"/>
  <c r="B852" i="6"/>
  <c r="C852" i="6"/>
  <c r="D852" i="6"/>
  <c r="L852" i="6" s="1"/>
  <c r="E852" i="6"/>
  <c r="F852" i="6"/>
  <c r="H852" i="6"/>
  <c r="I852" i="6"/>
  <c r="N852" i="6"/>
  <c r="R852" i="6"/>
  <c r="Q852" i="6" s="1"/>
  <c r="S852" i="6" s="1"/>
  <c r="T852" i="6"/>
  <c r="B853" i="6"/>
  <c r="C853" i="6"/>
  <c r="D853" i="6"/>
  <c r="E853" i="6"/>
  <c r="F853" i="6"/>
  <c r="H853" i="6"/>
  <c r="I853" i="6"/>
  <c r="L853" i="6"/>
  <c r="N853" i="6"/>
  <c r="Q853" i="6"/>
  <c r="R853" i="6"/>
  <c r="S853" i="6"/>
  <c r="T853" i="6"/>
  <c r="B854" i="6"/>
  <c r="C854" i="6"/>
  <c r="D854" i="6"/>
  <c r="L854" i="6" s="1"/>
  <c r="E854" i="6"/>
  <c r="F854" i="6"/>
  <c r="H854" i="6"/>
  <c r="I854" i="6"/>
  <c r="N854" i="6"/>
  <c r="R854" i="6"/>
  <c r="Q854" i="6" s="1"/>
  <c r="S854" i="6" s="1"/>
  <c r="T854" i="6"/>
  <c r="B855" i="6"/>
  <c r="C855" i="6"/>
  <c r="D855" i="6"/>
  <c r="E855" i="6"/>
  <c r="F855" i="6"/>
  <c r="H855" i="6"/>
  <c r="I855" i="6"/>
  <c r="L855" i="6"/>
  <c r="N855" i="6"/>
  <c r="Q855" i="6"/>
  <c r="R855" i="6"/>
  <c r="S855" i="6"/>
  <c r="T855" i="6"/>
  <c r="B856" i="6"/>
  <c r="C856" i="6"/>
  <c r="D856" i="6"/>
  <c r="L856" i="6" s="1"/>
  <c r="E856" i="6"/>
  <c r="F856" i="6"/>
  <c r="H856" i="6"/>
  <c r="I856" i="6"/>
  <c r="N856" i="6"/>
  <c r="R856" i="6"/>
  <c r="Q856" i="6" s="1"/>
  <c r="S856" i="6" s="1"/>
  <c r="T856" i="6"/>
  <c r="B857" i="6"/>
  <c r="C857" i="6"/>
  <c r="D857" i="6"/>
  <c r="E857" i="6"/>
  <c r="F857" i="6"/>
  <c r="H857" i="6"/>
  <c r="I857" i="6"/>
  <c r="L857" i="6"/>
  <c r="N857" i="6"/>
  <c r="Q857" i="6"/>
  <c r="R857" i="6"/>
  <c r="S857" i="6"/>
  <c r="T857" i="6"/>
  <c r="B858" i="6"/>
  <c r="C858" i="6"/>
  <c r="D858" i="6"/>
  <c r="L858" i="6" s="1"/>
  <c r="E858" i="6"/>
  <c r="F858" i="6"/>
  <c r="H858" i="6"/>
  <c r="I858" i="6"/>
  <c r="N858" i="6"/>
  <c r="R858" i="6"/>
  <c r="Q858" i="6" s="1"/>
  <c r="S858" i="6" s="1"/>
  <c r="T858" i="6"/>
  <c r="B859" i="6"/>
  <c r="C859" i="6"/>
  <c r="D859" i="6"/>
  <c r="E859" i="6"/>
  <c r="F859" i="6"/>
  <c r="H859" i="6"/>
  <c r="I859" i="6"/>
  <c r="L859" i="6"/>
  <c r="N859" i="6"/>
  <c r="Q859" i="6"/>
  <c r="R859" i="6"/>
  <c r="S859" i="6"/>
  <c r="T859" i="6"/>
  <c r="B860" i="6"/>
  <c r="C860" i="6"/>
  <c r="D860" i="6"/>
  <c r="L860" i="6" s="1"/>
  <c r="E860" i="6"/>
  <c r="F860" i="6"/>
  <c r="H860" i="6"/>
  <c r="I860" i="6"/>
  <c r="N860" i="6"/>
  <c r="R860" i="6"/>
  <c r="Q860" i="6" s="1"/>
  <c r="S860" i="6" s="1"/>
  <c r="T860" i="6"/>
  <c r="B861" i="6"/>
  <c r="C861" i="6"/>
  <c r="D861" i="6"/>
  <c r="E861" i="6"/>
  <c r="F861" i="6"/>
  <c r="H861" i="6"/>
  <c r="I861" i="6"/>
  <c r="L861" i="6"/>
  <c r="N861" i="6"/>
  <c r="Q861" i="6"/>
  <c r="R861" i="6"/>
  <c r="S861" i="6"/>
  <c r="T861" i="6"/>
  <c r="B862" i="6"/>
  <c r="C862" i="6"/>
  <c r="D862" i="6"/>
  <c r="L862" i="6" s="1"/>
  <c r="E862" i="6"/>
  <c r="F862" i="6"/>
  <c r="H862" i="6"/>
  <c r="I862" i="6"/>
  <c r="N862" i="6"/>
  <c r="R862" i="6"/>
  <c r="Q862" i="6" s="1"/>
  <c r="S862" i="6" s="1"/>
  <c r="T862" i="6"/>
  <c r="B863" i="6"/>
  <c r="C863" i="6"/>
  <c r="D863" i="6"/>
  <c r="E863" i="6"/>
  <c r="F863" i="6"/>
  <c r="H863" i="6"/>
  <c r="I863" i="6"/>
  <c r="L863" i="6"/>
  <c r="N863" i="6"/>
  <c r="Q863" i="6"/>
  <c r="R863" i="6"/>
  <c r="S863" i="6"/>
  <c r="T863" i="6"/>
  <c r="B864" i="6"/>
  <c r="C864" i="6"/>
  <c r="D864" i="6"/>
  <c r="L864" i="6" s="1"/>
  <c r="E864" i="6"/>
  <c r="F864" i="6"/>
  <c r="H864" i="6"/>
  <c r="I864" i="6"/>
  <c r="N864" i="6"/>
  <c r="R864" i="6"/>
  <c r="Q864" i="6" s="1"/>
  <c r="S864" i="6" s="1"/>
  <c r="T864" i="6"/>
  <c r="B865" i="6"/>
  <c r="C865" i="6"/>
  <c r="D865" i="6"/>
  <c r="E865" i="6"/>
  <c r="F865" i="6"/>
  <c r="H865" i="6"/>
  <c r="I865" i="6"/>
  <c r="L865" i="6"/>
  <c r="N865" i="6"/>
  <c r="Q865" i="6"/>
  <c r="R865" i="6"/>
  <c r="S865" i="6"/>
  <c r="T865" i="6"/>
  <c r="B866" i="6"/>
  <c r="C866" i="6"/>
  <c r="D866" i="6"/>
  <c r="L866" i="6" s="1"/>
  <c r="E866" i="6"/>
  <c r="F866" i="6"/>
  <c r="H866" i="6"/>
  <c r="I866" i="6"/>
  <c r="N866" i="6"/>
  <c r="R866" i="6"/>
  <c r="Q866" i="6" s="1"/>
  <c r="S866" i="6" s="1"/>
  <c r="T866" i="6"/>
  <c r="B867" i="6"/>
  <c r="C867" i="6"/>
  <c r="D867" i="6"/>
  <c r="E867" i="6"/>
  <c r="F867" i="6"/>
  <c r="H867" i="6"/>
  <c r="I867" i="6"/>
  <c r="L867" i="6"/>
  <c r="N867" i="6"/>
  <c r="Q867" i="6"/>
  <c r="R867" i="6"/>
  <c r="S867" i="6"/>
  <c r="T867" i="6"/>
  <c r="B868" i="6"/>
  <c r="C868" i="6"/>
  <c r="D868" i="6"/>
  <c r="L868" i="6" s="1"/>
  <c r="E868" i="6"/>
  <c r="F868" i="6"/>
  <c r="H868" i="6"/>
  <c r="I868" i="6"/>
  <c r="N868" i="6"/>
  <c r="R868" i="6"/>
  <c r="Q868" i="6" s="1"/>
  <c r="S868" i="6" s="1"/>
  <c r="T868" i="6"/>
  <c r="B869" i="6"/>
  <c r="C869" i="6"/>
  <c r="D869" i="6"/>
  <c r="E869" i="6"/>
  <c r="F869" i="6"/>
  <c r="H869" i="6"/>
  <c r="I869" i="6"/>
  <c r="L869" i="6"/>
  <c r="N869" i="6"/>
  <c r="Q869" i="6"/>
  <c r="R869" i="6"/>
  <c r="S869" i="6"/>
  <c r="T869" i="6"/>
  <c r="B870" i="6"/>
  <c r="C870" i="6"/>
  <c r="D870" i="6"/>
  <c r="L870" i="6" s="1"/>
  <c r="E870" i="6"/>
  <c r="F870" i="6"/>
  <c r="H870" i="6"/>
  <c r="I870" i="6"/>
  <c r="N870" i="6"/>
  <c r="R870" i="6"/>
  <c r="Q870" i="6" s="1"/>
  <c r="S870" i="6" s="1"/>
  <c r="T870" i="6"/>
  <c r="B871" i="6"/>
  <c r="C871" i="6"/>
  <c r="D871" i="6"/>
  <c r="E871" i="6"/>
  <c r="F871" i="6"/>
  <c r="H871" i="6"/>
  <c r="I871" i="6"/>
  <c r="L871" i="6"/>
  <c r="N871" i="6"/>
  <c r="Q871" i="6"/>
  <c r="R871" i="6"/>
  <c r="S871" i="6"/>
  <c r="T871" i="6"/>
  <c r="B872" i="6"/>
  <c r="C872" i="6"/>
  <c r="D872" i="6"/>
  <c r="L872" i="6" s="1"/>
  <c r="E872" i="6"/>
  <c r="F872" i="6"/>
  <c r="H872" i="6"/>
  <c r="I872" i="6"/>
  <c r="N872" i="6"/>
  <c r="R872" i="6"/>
  <c r="Q872" i="6" s="1"/>
  <c r="S872" i="6" s="1"/>
  <c r="T872" i="6"/>
  <c r="B873" i="6"/>
  <c r="C873" i="6"/>
  <c r="D873" i="6"/>
  <c r="E873" i="6"/>
  <c r="F873" i="6"/>
  <c r="H873" i="6"/>
  <c r="I873" i="6"/>
  <c r="L873" i="6"/>
  <c r="N873" i="6"/>
  <c r="Q873" i="6"/>
  <c r="R873" i="6"/>
  <c r="S873" i="6"/>
  <c r="T873" i="6"/>
  <c r="B874" i="6"/>
  <c r="C874" i="6"/>
  <c r="D874" i="6"/>
  <c r="L874" i="6" s="1"/>
  <c r="E874" i="6"/>
  <c r="F874" i="6"/>
  <c r="H874" i="6"/>
  <c r="I874" i="6"/>
  <c r="N874" i="6"/>
  <c r="R874" i="6"/>
  <c r="Q874" i="6" s="1"/>
  <c r="S874" i="6" s="1"/>
  <c r="T874" i="6"/>
  <c r="B875" i="6"/>
  <c r="C875" i="6"/>
  <c r="D875" i="6"/>
  <c r="E875" i="6"/>
  <c r="F875" i="6"/>
  <c r="H875" i="6"/>
  <c r="I875" i="6"/>
  <c r="L875" i="6"/>
  <c r="N875" i="6"/>
  <c r="Q875" i="6"/>
  <c r="R875" i="6"/>
  <c r="S875" i="6"/>
  <c r="T875" i="6"/>
  <c r="B876" i="6"/>
  <c r="C876" i="6"/>
  <c r="D876" i="6"/>
  <c r="L876" i="6" s="1"/>
  <c r="E876" i="6"/>
  <c r="F876" i="6"/>
  <c r="H876" i="6"/>
  <c r="I876" i="6"/>
  <c r="N876" i="6"/>
  <c r="R876" i="6"/>
  <c r="Q876" i="6" s="1"/>
  <c r="S876" i="6" s="1"/>
  <c r="T876" i="6"/>
  <c r="B877" i="6"/>
  <c r="C877" i="6"/>
  <c r="D877" i="6"/>
  <c r="E877" i="6"/>
  <c r="F877" i="6"/>
  <c r="H877" i="6"/>
  <c r="I877" i="6"/>
  <c r="L877" i="6"/>
  <c r="N877" i="6"/>
  <c r="Q877" i="6"/>
  <c r="R877" i="6"/>
  <c r="S877" i="6"/>
  <c r="T877" i="6"/>
  <c r="B878" i="6"/>
  <c r="C878" i="6"/>
  <c r="D878" i="6"/>
  <c r="L878" i="6" s="1"/>
  <c r="E878" i="6"/>
  <c r="F878" i="6"/>
  <c r="H878" i="6"/>
  <c r="I878" i="6"/>
  <c r="N878" i="6"/>
  <c r="R878" i="6"/>
  <c r="Q878" i="6" s="1"/>
  <c r="S878" i="6" s="1"/>
  <c r="T878" i="6"/>
  <c r="B879" i="6"/>
  <c r="C879" i="6"/>
  <c r="D879" i="6"/>
  <c r="E879" i="6"/>
  <c r="F879" i="6"/>
  <c r="H879" i="6"/>
  <c r="I879" i="6"/>
  <c r="L879" i="6"/>
  <c r="N879" i="6"/>
  <c r="Q879" i="6"/>
  <c r="R879" i="6"/>
  <c r="S879" i="6"/>
  <c r="T879" i="6"/>
  <c r="B880" i="6"/>
  <c r="C880" i="6"/>
  <c r="D880" i="6"/>
  <c r="L880" i="6" s="1"/>
  <c r="E880" i="6"/>
  <c r="F880" i="6"/>
  <c r="H880" i="6"/>
  <c r="I880" i="6"/>
  <c r="N880" i="6"/>
  <c r="R880" i="6"/>
  <c r="Q880" i="6" s="1"/>
  <c r="S880" i="6" s="1"/>
  <c r="T880" i="6"/>
  <c r="B881" i="6"/>
  <c r="C881" i="6"/>
  <c r="D881" i="6"/>
  <c r="E881" i="6"/>
  <c r="F881" i="6"/>
  <c r="H881" i="6"/>
  <c r="I881" i="6"/>
  <c r="L881" i="6"/>
  <c r="N881" i="6"/>
  <c r="Q881" i="6"/>
  <c r="R881" i="6"/>
  <c r="S881" i="6"/>
  <c r="T881" i="6"/>
  <c r="B882" i="6"/>
  <c r="C882" i="6"/>
  <c r="D882" i="6"/>
  <c r="L882" i="6" s="1"/>
  <c r="E882" i="6"/>
  <c r="F882" i="6"/>
  <c r="H882" i="6"/>
  <c r="I882" i="6"/>
  <c r="N882" i="6"/>
  <c r="R882" i="6"/>
  <c r="Q882" i="6" s="1"/>
  <c r="S882" i="6" s="1"/>
  <c r="T882" i="6"/>
  <c r="B883" i="6"/>
  <c r="C883" i="6"/>
  <c r="D883" i="6"/>
  <c r="E883" i="6"/>
  <c r="F883" i="6"/>
  <c r="H883" i="6"/>
  <c r="I883" i="6"/>
  <c r="L883" i="6"/>
  <c r="N883" i="6"/>
  <c r="Q883" i="6"/>
  <c r="R883" i="6"/>
  <c r="S883" i="6"/>
  <c r="T883" i="6"/>
  <c r="B884" i="6"/>
  <c r="C884" i="6"/>
  <c r="D884" i="6"/>
  <c r="L884" i="6" s="1"/>
  <c r="E884" i="6"/>
  <c r="F884" i="6"/>
  <c r="H884" i="6"/>
  <c r="I884" i="6"/>
  <c r="N884" i="6"/>
  <c r="R884" i="6"/>
  <c r="Q884" i="6" s="1"/>
  <c r="S884" i="6" s="1"/>
  <c r="T884" i="6"/>
  <c r="B885" i="6"/>
  <c r="C885" i="6"/>
  <c r="D885" i="6"/>
  <c r="E885" i="6"/>
  <c r="F885" i="6"/>
  <c r="H885" i="6"/>
  <c r="I885" i="6"/>
  <c r="L885" i="6"/>
  <c r="N885" i="6"/>
  <c r="Q885" i="6"/>
  <c r="R885" i="6"/>
  <c r="S885" i="6"/>
  <c r="T885" i="6"/>
  <c r="B886" i="6"/>
  <c r="C886" i="6"/>
  <c r="D886" i="6"/>
  <c r="L886" i="6" s="1"/>
  <c r="E886" i="6"/>
  <c r="F886" i="6"/>
  <c r="H886" i="6"/>
  <c r="I886" i="6"/>
  <c r="N886" i="6"/>
  <c r="R886" i="6"/>
  <c r="Q886" i="6" s="1"/>
  <c r="S886" i="6" s="1"/>
  <c r="T886" i="6"/>
  <c r="B887" i="6"/>
  <c r="C887" i="6"/>
  <c r="D887" i="6"/>
  <c r="E887" i="6"/>
  <c r="F887" i="6"/>
  <c r="H887" i="6"/>
  <c r="I887" i="6"/>
  <c r="L887" i="6"/>
  <c r="N887" i="6"/>
  <c r="Q887" i="6"/>
  <c r="R887" i="6"/>
  <c r="S887" i="6"/>
  <c r="T887" i="6"/>
  <c r="B888" i="6"/>
  <c r="C888" i="6"/>
  <c r="D888" i="6"/>
  <c r="L888" i="6" s="1"/>
  <c r="E888" i="6"/>
  <c r="F888" i="6"/>
  <c r="H888" i="6"/>
  <c r="I888" i="6"/>
  <c r="N888" i="6"/>
  <c r="R888" i="6"/>
  <c r="Q888" i="6" s="1"/>
  <c r="S888" i="6" s="1"/>
  <c r="T888" i="6"/>
  <c r="B889" i="6"/>
  <c r="C889" i="6"/>
  <c r="D889" i="6"/>
  <c r="E889" i="6"/>
  <c r="F889" i="6"/>
  <c r="H889" i="6"/>
  <c r="I889" i="6"/>
  <c r="L889" i="6"/>
  <c r="N889" i="6"/>
  <c r="Q889" i="6"/>
  <c r="R889" i="6"/>
  <c r="S889" i="6"/>
  <c r="T889" i="6"/>
  <c r="B890" i="6"/>
  <c r="C890" i="6"/>
  <c r="D890" i="6"/>
  <c r="L890" i="6" s="1"/>
  <c r="E890" i="6"/>
  <c r="F890" i="6"/>
  <c r="H890" i="6"/>
  <c r="I890" i="6"/>
  <c r="N890" i="6"/>
  <c r="R890" i="6"/>
  <c r="Q890" i="6" s="1"/>
  <c r="S890" i="6" s="1"/>
  <c r="T890" i="6"/>
  <c r="B891" i="6"/>
  <c r="C891" i="6"/>
  <c r="D891" i="6"/>
  <c r="E891" i="6"/>
  <c r="F891" i="6"/>
  <c r="H891" i="6"/>
  <c r="I891" i="6"/>
  <c r="L891" i="6"/>
  <c r="N891" i="6"/>
  <c r="Q891" i="6"/>
  <c r="R891" i="6"/>
  <c r="S891" i="6"/>
  <c r="T891" i="6"/>
  <c r="B892" i="6"/>
  <c r="C892" i="6"/>
  <c r="D892" i="6"/>
  <c r="L892" i="6" s="1"/>
  <c r="E892" i="6"/>
  <c r="F892" i="6"/>
  <c r="H892" i="6"/>
  <c r="I892" i="6"/>
  <c r="N892" i="6"/>
  <c r="R892" i="6"/>
  <c r="Q892" i="6" s="1"/>
  <c r="S892" i="6" s="1"/>
  <c r="T892" i="6"/>
  <c r="B893" i="6"/>
  <c r="C893" i="6"/>
  <c r="D893" i="6"/>
  <c r="E893" i="6"/>
  <c r="F893" i="6"/>
  <c r="H893" i="6"/>
  <c r="I893" i="6"/>
  <c r="L893" i="6"/>
  <c r="N893" i="6"/>
  <c r="Q893" i="6"/>
  <c r="R893" i="6"/>
  <c r="S893" i="6"/>
  <c r="T893" i="6"/>
  <c r="B894" i="6"/>
  <c r="C894" i="6"/>
  <c r="D894" i="6"/>
  <c r="L894" i="6" s="1"/>
  <c r="E894" i="6"/>
  <c r="F894" i="6"/>
  <c r="H894" i="6"/>
  <c r="I894" i="6"/>
  <c r="N894" i="6"/>
  <c r="R894" i="6"/>
  <c r="Q894" i="6" s="1"/>
  <c r="S894" i="6" s="1"/>
  <c r="T894" i="6"/>
  <c r="B895" i="6"/>
  <c r="C895" i="6"/>
  <c r="D895" i="6"/>
  <c r="E895" i="6"/>
  <c r="F895" i="6"/>
  <c r="H895" i="6"/>
  <c r="I895" i="6"/>
  <c r="L895" i="6"/>
  <c r="N895" i="6"/>
  <c r="Q895" i="6"/>
  <c r="R895" i="6"/>
  <c r="S895" i="6"/>
  <c r="T895" i="6"/>
  <c r="B896" i="6"/>
  <c r="C896" i="6"/>
  <c r="D896" i="6"/>
  <c r="L896" i="6" s="1"/>
  <c r="E896" i="6"/>
  <c r="F896" i="6"/>
  <c r="H896" i="6"/>
  <c r="I896" i="6"/>
  <c r="N896" i="6"/>
  <c r="R896" i="6"/>
  <c r="Q896" i="6" s="1"/>
  <c r="S896" i="6" s="1"/>
  <c r="T896" i="6"/>
  <c r="B897" i="6"/>
  <c r="C897" i="6"/>
  <c r="D897" i="6"/>
  <c r="E897" i="6"/>
  <c r="F897" i="6"/>
  <c r="H897" i="6"/>
  <c r="I897" i="6"/>
  <c r="L897" i="6"/>
  <c r="N897" i="6"/>
  <c r="Q897" i="6"/>
  <c r="R897" i="6"/>
  <c r="S897" i="6"/>
  <c r="T897" i="6"/>
  <c r="B898" i="6"/>
  <c r="C898" i="6"/>
  <c r="D898" i="6"/>
  <c r="L898" i="6" s="1"/>
  <c r="E898" i="6"/>
  <c r="F898" i="6"/>
  <c r="H898" i="6"/>
  <c r="I898" i="6"/>
  <c r="N898" i="6"/>
  <c r="R898" i="6"/>
  <c r="Q898" i="6" s="1"/>
  <c r="S898" i="6" s="1"/>
  <c r="T898" i="6"/>
  <c r="B899" i="6"/>
  <c r="C899" i="6"/>
  <c r="D899" i="6"/>
  <c r="E899" i="6"/>
  <c r="F899" i="6"/>
  <c r="H899" i="6"/>
  <c r="I899" i="6"/>
  <c r="L899" i="6"/>
  <c r="N899" i="6"/>
  <c r="Q899" i="6"/>
  <c r="R899" i="6"/>
  <c r="S899" i="6"/>
  <c r="T899" i="6"/>
  <c r="B900" i="6"/>
  <c r="C900" i="6"/>
  <c r="D900" i="6"/>
  <c r="L900" i="6" s="1"/>
  <c r="E900" i="6"/>
  <c r="F900" i="6"/>
  <c r="H900" i="6"/>
  <c r="I900" i="6"/>
  <c r="N900" i="6"/>
  <c r="R900" i="6"/>
  <c r="Q900" i="6" s="1"/>
  <c r="S900" i="6" s="1"/>
  <c r="T900" i="6"/>
  <c r="B901" i="6"/>
  <c r="C901" i="6"/>
  <c r="D901" i="6"/>
  <c r="E901" i="6"/>
  <c r="F901" i="6"/>
  <c r="H901" i="6"/>
  <c r="I901" i="6"/>
  <c r="L901" i="6"/>
  <c r="N901" i="6"/>
  <c r="Q901" i="6"/>
  <c r="R901" i="6"/>
  <c r="S901" i="6"/>
  <c r="T901" i="6"/>
  <c r="B902" i="6"/>
  <c r="C902" i="6"/>
  <c r="D902" i="6"/>
  <c r="L902" i="6" s="1"/>
  <c r="E902" i="6"/>
  <c r="F902" i="6"/>
  <c r="H902" i="6"/>
  <c r="I902" i="6"/>
  <c r="N902" i="6"/>
  <c r="R902" i="6"/>
  <c r="Q902" i="6" s="1"/>
  <c r="S902" i="6" s="1"/>
  <c r="T902" i="6"/>
  <c r="B903" i="6"/>
  <c r="C903" i="6"/>
  <c r="D903" i="6"/>
  <c r="E903" i="6"/>
  <c r="F903" i="6"/>
  <c r="H903" i="6"/>
  <c r="I903" i="6"/>
  <c r="L903" i="6"/>
  <c r="N903" i="6"/>
  <c r="Q903" i="6"/>
  <c r="R903" i="6"/>
  <c r="S903" i="6"/>
  <c r="T903" i="6"/>
  <c r="B904" i="6"/>
  <c r="C904" i="6"/>
  <c r="D904" i="6"/>
  <c r="L904" i="6" s="1"/>
  <c r="E904" i="6"/>
  <c r="F904" i="6"/>
  <c r="H904" i="6"/>
  <c r="I904" i="6"/>
  <c r="N904" i="6"/>
  <c r="R904" i="6"/>
  <c r="Q904" i="6" s="1"/>
  <c r="S904" i="6" s="1"/>
  <c r="T904" i="6"/>
  <c r="B905" i="6"/>
  <c r="C905" i="6"/>
  <c r="D905" i="6"/>
  <c r="E905" i="6"/>
  <c r="F905" i="6"/>
  <c r="H905" i="6"/>
  <c r="I905" i="6"/>
  <c r="L905" i="6"/>
  <c r="N905" i="6"/>
  <c r="Q905" i="6"/>
  <c r="R905" i="6"/>
  <c r="S905" i="6"/>
  <c r="T905" i="6"/>
  <c r="B906" i="6"/>
  <c r="C906" i="6"/>
  <c r="D906" i="6"/>
  <c r="E906" i="6"/>
  <c r="F906" i="6"/>
  <c r="H906" i="6"/>
  <c r="I906" i="6"/>
  <c r="N906" i="6"/>
  <c r="R906" i="6"/>
  <c r="Q906" i="6" s="1"/>
  <c r="S906" i="6" s="1"/>
  <c r="T906" i="6"/>
  <c r="B907" i="6"/>
  <c r="C907" i="6"/>
  <c r="D907" i="6"/>
  <c r="E907" i="6"/>
  <c r="F907" i="6"/>
  <c r="H907" i="6"/>
  <c r="I907" i="6"/>
  <c r="L907" i="6"/>
  <c r="N907" i="6"/>
  <c r="Q907" i="6"/>
  <c r="R907" i="6"/>
  <c r="S907" i="6"/>
  <c r="T907" i="6"/>
  <c r="B908" i="6"/>
  <c r="C908" i="6"/>
  <c r="D908" i="6"/>
  <c r="E908" i="6"/>
  <c r="F908" i="6"/>
  <c r="H908" i="6"/>
  <c r="I908" i="6"/>
  <c r="N908" i="6"/>
  <c r="R908" i="6"/>
  <c r="Q908" i="6" s="1"/>
  <c r="S908" i="6" s="1"/>
  <c r="T908" i="6"/>
  <c r="B909" i="6"/>
  <c r="C909" i="6"/>
  <c r="D909" i="6"/>
  <c r="E909" i="6"/>
  <c r="F909" i="6"/>
  <c r="H909" i="6"/>
  <c r="I909" i="6"/>
  <c r="L909" i="6"/>
  <c r="N909" i="6"/>
  <c r="Q909" i="6"/>
  <c r="R909" i="6"/>
  <c r="S909" i="6"/>
  <c r="T909" i="6"/>
  <c r="B910" i="6"/>
  <c r="C910" i="6"/>
  <c r="D910" i="6"/>
  <c r="E910" i="6"/>
  <c r="F910" i="6"/>
  <c r="H910" i="6"/>
  <c r="I910" i="6"/>
  <c r="N910" i="6"/>
  <c r="R910" i="6"/>
  <c r="Q910" i="6" s="1"/>
  <c r="S910" i="6" s="1"/>
  <c r="T910" i="6"/>
  <c r="B911" i="6"/>
  <c r="C911" i="6"/>
  <c r="D911" i="6"/>
  <c r="E911" i="6"/>
  <c r="F911" i="6"/>
  <c r="H911" i="6"/>
  <c r="I911" i="6"/>
  <c r="L911" i="6"/>
  <c r="N911" i="6"/>
  <c r="Q911" i="6"/>
  <c r="R911" i="6"/>
  <c r="S911" i="6"/>
  <c r="T911" i="6"/>
  <c r="B912" i="6"/>
  <c r="C912" i="6"/>
  <c r="D912" i="6"/>
  <c r="E912" i="6"/>
  <c r="F912" i="6"/>
  <c r="H912" i="6"/>
  <c r="I912" i="6"/>
  <c r="N912" i="6"/>
  <c r="R912" i="6"/>
  <c r="Q912" i="6" s="1"/>
  <c r="S912" i="6" s="1"/>
  <c r="T912" i="6"/>
  <c r="B913" i="6"/>
  <c r="C913" i="6"/>
  <c r="D913" i="6"/>
  <c r="L913" i="6" s="1"/>
  <c r="E913" i="6"/>
  <c r="F913" i="6"/>
  <c r="H913" i="6"/>
  <c r="I913" i="6"/>
  <c r="N913" i="6"/>
  <c r="R913" i="6"/>
  <c r="Q913" i="6" s="1"/>
  <c r="S913" i="6" s="1"/>
  <c r="T913" i="6"/>
  <c r="B914" i="6"/>
  <c r="C914" i="6"/>
  <c r="D914" i="6"/>
  <c r="L914" i="6" s="1"/>
  <c r="E914" i="6"/>
  <c r="F914" i="6"/>
  <c r="H914" i="6"/>
  <c r="I914" i="6"/>
  <c r="N914" i="6"/>
  <c r="R914" i="6"/>
  <c r="Q914" i="6" s="1"/>
  <c r="S914" i="6" s="1"/>
  <c r="T914" i="6"/>
  <c r="B915" i="6"/>
  <c r="C915" i="6"/>
  <c r="D915" i="6"/>
  <c r="L915" i="6" s="1"/>
  <c r="E915" i="6"/>
  <c r="F915" i="6"/>
  <c r="H915" i="6"/>
  <c r="I915" i="6"/>
  <c r="N915" i="6"/>
  <c r="R915" i="6"/>
  <c r="Q915" i="6" s="1"/>
  <c r="S915" i="6" s="1"/>
  <c r="T915" i="6"/>
  <c r="B916" i="6"/>
  <c r="C916" i="6"/>
  <c r="D916" i="6"/>
  <c r="L916" i="6" s="1"/>
  <c r="E916" i="6"/>
  <c r="F916" i="6"/>
  <c r="H916" i="6"/>
  <c r="I916" i="6"/>
  <c r="N916" i="6"/>
  <c r="R916" i="6"/>
  <c r="Q916" i="6" s="1"/>
  <c r="S916" i="6" s="1"/>
  <c r="T916" i="6"/>
  <c r="B917" i="6"/>
  <c r="C917" i="6"/>
  <c r="D917" i="6"/>
  <c r="L917" i="6" s="1"/>
  <c r="E917" i="6"/>
  <c r="F917" i="6"/>
  <c r="H917" i="6"/>
  <c r="I917" i="6"/>
  <c r="N917" i="6"/>
  <c r="R917" i="6"/>
  <c r="Q917" i="6" s="1"/>
  <c r="S917" i="6" s="1"/>
  <c r="T917" i="6"/>
  <c r="B918" i="6"/>
  <c r="C918" i="6"/>
  <c r="D918" i="6"/>
  <c r="L918" i="6" s="1"/>
  <c r="E918" i="6"/>
  <c r="F918" i="6"/>
  <c r="H918" i="6"/>
  <c r="I918" i="6"/>
  <c r="N918" i="6"/>
  <c r="R918" i="6"/>
  <c r="Q918" i="6" s="1"/>
  <c r="S918" i="6" s="1"/>
  <c r="T918" i="6"/>
  <c r="B919" i="6"/>
  <c r="C919" i="6"/>
  <c r="D919" i="6"/>
  <c r="L919" i="6" s="1"/>
  <c r="E919" i="6"/>
  <c r="F919" i="6"/>
  <c r="H919" i="6"/>
  <c r="I919" i="6"/>
  <c r="N919" i="6"/>
  <c r="R919" i="6"/>
  <c r="Q919" i="6" s="1"/>
  <c r="S919" i="6" s="1"/>
  <c r="T919" i="6"/>
  <c r="B920" i="6"/>
  <c r="C920" i="6"/>
  <c r="D920" i="6"/>
  <c r="L920" i="6" s="1"/>
  <c r="E920" i="6"/>
  <c r="F920" i="6"/>
  <c r="H920" i="6"/>
  <c r="I920" i="6"/>
  <c r="N920" i="6"/>
  <c r="R920" i="6"/>
  <c r="Q920" i="6" s="1"/>
  <c r="S920" i="6" s="1"/>
  <c r="T920" i="6"/>
  <c r="B921" i="6"/>
  <c r="C921" i="6"/>
  <c r="D921" i="6"/>
  <c r="L921" i="6" s="1"/>
  <c r="E921" i="6"/>
  <c r="F921" i="6"/>
  <c r="H921" i="6"/>
  <c r="I921" i="6"/>
  <c r="N921" i="6"/>
  <c r="R921" i="6"/>
  <c r="Q921" i="6" s="1"/>
  <c r="S921" i="6" s="1"/>
  <c r="T921" i="6"/>
  <c r="B922" i="6"/>
  <c r="C922" i="6"/>
  <c r="D922" i="6"/>
  <c r="L922" i="6" s="1"/>
  <c r="E922" i="6"/>
  <c r="F922" i="6"/>
  <c r="H922" i="6"/>
  <c r="I922" i="6"/>
  <c r="N922" i="6"/>
  <c r="R922" i="6"/>
  <c r="Q922" i="6" s="1"/>
  <c r="S922" i="6" s="1"/>
  <c r="T922" i="6"/>
  <c r="B923" i="6"/>
  <c r="C923" i="6"/>
  <c r="D923" i="6"/>
  <c r="L923" i="6" s="1"/>
  <c r="E923" i="6"/>
  <c r="F923" i="6"/>
  <c r="H923" i="6"/>
  <c r="I923" i="6"/>
  <c r="N923" i="6"/>
  <c r="R923" i="6"/>
  <c r="Q923" i="6" s="1"/>
  <c r="S923" i="6" s="1"/>
  <c r="T923" i="6"/>
  <c r="B924" i="6"/>
  <c r="C924" i="6"/>
  <c r="D924" i="6"/>
  <c r="L924" i="6" s="1"/>
  <c r="E924" i="6"/>
  <c r="F924" i="6"/>
  <c r="H924" i="6"/>
  <c r="I924" i="6"/>
  <c r="N924" i="6"/>
  <c r="R924" i="6"/>
  <c r="Q924" i="6" s="1"/>
  <c r="S924" i="6" s="1"/>
  <c r="T924" i="6"/>
  <c r="B925" i="6"/>
  <c r="C925" i="6"/>
  <c r="D925" i="6"/>
  <c r="L925" i="6" s="1"/>
  <c r="E925" i="6"/>
  <c r="F925" i="6"/>
  <c r="H925" i="6"/>
  <c r="I925" i="6"/>
  <c r="N925" i="6"/>
  <c r="R925" i="6"/>
  <c r="Q925" i="6" s="1"/>
  <c r="S925" i="6" s="1"/>
  <c r="T925" i="6"/>
  <c r="B926" i="6"/>
  <c r="C926" i="6"/>
  <c r="D926" i="6"/>
  <c r="L926" i="6" s="1"/>
  <c r="E926" i="6"/>
  <c r="F926" i="6"/>
  <c r="H926" i="6"/>
  <c r="I926" i="6"/>
  <c r="N926" i="6"/>
  <c r="R926" i="6"/>
  <c r="Q926" i="6" s="1"/>
  <c r="S926" i="6" s="1"/>
  <c r="T926" i="6"/>
  <c r="B927" i="6"/>
  <c r="C927" i="6"/>
  <c r="D927" i="6"/>
  <c r="L927" i="6" s="1"/>
  <c r="E927" i="6"/>
  <c r="F927" i="6"/>
  <c r="H927" i="6"/>
  <c r="I927" i="6"/>
  <c r="N927" i="6"/>
  <c r="R927" i="6"/>
  <c r="Q927" i="6" s="1"/>
  <c r="S927" i="6" s="1"/>
  <c r="T927" i="6"/>
  <c r="B928" i="6"/>
  <c r="C928" i="6"/>
  <c r="D928" i="6"/>
  <c r="L928" i="6" s="1"/>
  <c r="E928" i="6"/>
  <c r="F928" i="6"/>
  <c r="H928" i="6"/>
  <c r="I928" i="6"/>
  <c r="N928" i="6"/>
  <c r="R928" i="6"/>
  <c r="Q928" i="6" s="1"/>
  <c r="S928" i="6" s="1"/>
  <c r="T928" i="6"/>
  <c r="B929" i="6"/>
  <c r="C929" i="6"/>
  <c r="D929" i="6"/>
  <c r="L929" i="6" s="1"/>
  <c r="E929" i="6"/>
  <c r="F929" i="6"/>
  <c r="H929" i="6"/>
  <c r="I929" i="6"/>
  <c r="N929" i="6"/>
  <c r="R929" i="6"/>
  <c r="Q929" i="6" s="1"/>
  <c r="S929" i="6" s="1"/>
  <c r="T929" i="6"/>
  <c r="B930" i="6"/>
  <c r="C930" i="6"/>
  <c r="D930" i="6"/>
  <c r="L930" i="6" s="1"/>
  <c r="E930" i="6"/>
  <c r="F930" i="6"/>
  <c r="H930" i="6"/>
  <c r="I930" i="6"/>
  <c r="N930" i="6"/>
  <c r="R930" i="6"/>
  <c r="Q930" i="6" s="1"/>
  <c r="S930" i="6" s="1"/>
  <c r="T930" i="6"/>
  <c r="B931" i="6"/>
  <c r="C931" i="6"/>
  <c r="D931" i="6"/>
  <c r="L931" i="6" s="1"/>
  <c r="E931" i="6"/>
  <c r="F931" i="6"/>
  <c r="H931" i="6"/>
  <c r="I931" i="6"/>
  <c r="N931" i="6"/>
  <c r="R931" i="6"/>
  <c r="Q931" i="6" s="1"/>
  <c r="S931" i="6" s="1"/>
  <c r="T931" i="6"/>
  <c r="B932" i="6"/>
  <c r="C932" i="6"/>
  <c r="D932" i="6"/>
  <c r="L932" i="6" s="1"/>
  <c r="E932" i="6"/>
  <c r="F932" i="6"/>
  <c r="H932" i="6"/>
  <c r="I932" i="6"/>
  <c r="N932" i="6"/>
  <c r="R932" i="6"/>
  <c r="Q932" i="6" s="1"/>
  <c r="S932" i="6" s="1"/>
  <c r="T932" i="6"/>
  <c r="B933" i="6"/>
  <c r="C933" i="6"/>
  <c r="D933" i="6"/>
  <c r="L933" i="6" s="1"/>
  <c r="E933" i="6"/>
  <c r="F933" i="6"/>
  <c r="H933" i="6"/>
  <c r="I933" i="6"/>
  <c r="N933" i="6"/>
  <c r="R933" i="6"/>
  <c r="Q933" i="6" s="1"/>
  <c r="S933" i="6" s="1"/>
  <c r="T933" i="6"/>
  <c r="B934" i="6"/>
  <c r="C934" i="6"/>
  <c r="D934" i="6"/>
  <c r="L934" i="6" s="1"/>
  <c r="E934" i="6"/>
  <c r="F934" i="6"/>
  <c r="H934" i="6"/>
  <c r="I934" i="6"/>
  <c r="N934" i="6"/>
  <c r="R934" i="6"/>
  <c r="Q934" i="6" s="1"/>
  <c r="S934" i="6" s="1"/>
  <c r="T934" i="6"/>
  <c r="B935" i="6"/>
  <c r="C935" i="6"/>
  <c r="D935" i="6"/>
  <c r="L935" i="6" s="1"/>
  <c r="E935" i="6"/>
  <c r="F935" i="6"/>
  <c r="H935" i="6"/>
  <c r="I935" i="6"/>
  <c r="N935" i="6"/>
  <c r="R935" i="6"/>
  <c r="Q935" i="6" s="1"/>
  <c r="S935" i="6" s="1"/>
  <c r="T935" i="6"/>
  <c r="B936" i="6"/>
  <c r="C936" i="6"/>
  <c r="D936" i="6"/>
  <c r="L936" i="6" s="1"/>
  <c r="E936" i="6"/>
  <c r="F936" i="6"/>
  <c r="H936" i="6"/>
  <c r="I936" i="6"/>
  <c r="N936" i="6"/>
  <c r="R936" i="6"/>
  <c r="Q936" i="6" s="1"/>
  <c r="S936" i="6" s="1"/>
  <c r="T936" i="6"/>
  <c r="B937" i="6"/>
  <c r="C937" i="6"/>
  <c r="D937" i="6"/>
  <c r="L937" i="6" s="1"/>
  <c r="E937" i="6"/>
  <c r="F937" i="6"/>
  <c r="H937" i="6"/>
  <c r="I937" i="6"/>
  <c r="N937" i="6"/>
  <c r="R937" i="6"/>
  <c r="Q937" i="6" s="1"/>
  <c r="S937" i="6" s="1"/>
  <c r="T937" i="6"/>
  <c r="B938" i="6"/>
  <c r="C938" i="6"/>
  <c r="D938" i="6"/>
  <c r="L938" i="6" s="1"/>
  <c r="E938" i="6"/>
  <c r="F938" i="6"/>
  <c r="H938" i="6"/>
  <c r="I938" i="6"/>
  <c r="N938" i="6"/>
  <c r="R938" i="6"/>
  <c r="Q938" i="6" s="1"/>
  <c r="S938" i="6" s="1"/>
  <c r="T938" i="6"/>
  <c r="B939" i="6"/>
  <c r="C939" i="6"/>
  <c r="D939" i="6"/>
  <c r="L939" i="6" s="1"/>
  <c r="E939" i="6"/>
  <c r="F939" i="6"/>
  <c r="H939" i="6"/>
  <c r="I939" i="6"/>
  <c r="N939" i="6"/>
  <c r="R939" i="6"/>
  <c r="Q939" i="6" s="1"/>
  <c r="S939" i="6" s="1"/>
  <c r="T939" i="6"/>
  <c r="B940" i="6"/>
  <c r="C940" i="6"/>
  <c r="D940" i="6"/>
  <c r="L940" i="6" s="1"/>
  <c r="E940" i="6"/>
  <c r="F940" i="6"/>
  <c r="H940" i="6"/>
  <c r="I940" i="6"/>
  <c r="N940" i="6"/>
  <c r="R940" i="6"/>
  <c r="Q940" i="6" s="1"/>
  <c r="S940" i="6" s="1"/>
  <c r="T940" i="6"/>
  <c r="B941" i="6"/>
  <c r="C941" i="6"/>
  <c r="D941" i="6"/>
  <c r="L941" i="6" s="1"/>
  <c r="E941" i="6"/>
  <c r="F941" i="6"/>
  <c r="H941" i="6"/>
  <c r="I941" i="6"/>
  <c r="N941" i="6"/>
  <c r="R941" i="6"/>
  <c r="Q941" i="6" s="1"/>
  <c r="S941" i="6" s="1"/>
  <c r="T941" i="6"/>
  <c r="B942" i="6"/>
  <c r="C942" i="6"/>
  <c r="D942" i="6"/>
  <c r="L942" i="6" s="1"/>
  <c r="E942" i="6"/>
  <c r="F942" i="6"/>
  <c r="H942" i="6"/>
  <c r="I942" i="6"/>
  <c r="N942" i="6"/>
  <c r="R942" i="6"/>
  <c r="Q942" i="6" s="1"/>
  <c r="S942" i="6" s="1"/>
  <c r="T942" i="6"/>
  <c r="B943" i="6"/>
  <c r="C943" i="6"/>
  <c r="D943" i="6"/>
  <c r="L943" i="6" s="1"/>
  <c r="E943" i="6"/>
  <c r="F943" i="6"/>
  <c r="H943" i="6"/>
  <c r="I943" i="6"/>
  <c r="N943" i="6"/>
  <c r="R943" i="6"/>
  <c r="Q943" i="6" s="1"/>
  <c r="S943" i="6" s="1"/>
  <c r="T943" i="6"/>
  <c r="B944" i="6"/>
  <c r="C944" i="6"/>
  <c r="D944" i="6"/>
  <c r="L944" i="6" s="1"/>
  <c r="E944" i="6"/>
  <c r="F944" i="6"/>
  <c r="H944" i="6"/>
  <c r="I944" i="6"/>
  <c r="N944" i="6"/>
  <c r="R944" i="6"/>
  <c r="Q944" i="6" s="1"/>
  <c r="S944" i="6" s="1"/>
  <c r="T944" i="6"/>
  <c r="B945" i="6"/>
  <c r="C945" i="6"/>
  <c r="D945" i="6"/>
  <c r="L945" i="6" s="1"/>
  <c r="E945" i="6"/>
  <c r="F945" i="6"/>
  <c r="H945" i="6"/>
  <c r="I945" i="6"/>
  <c r="N945" i="6"/>
  <c r="R945" i="6"/>
  <c r="Q945" i="6" s="1"/>
  <c r="S945" i="6" s="1"/>
  <c r="T945" i="6"/>
  <c r="B946" i="6"/>
  <c r="C946" i="6"/>
  <c r="D946" i="6"/>
  <c r="L946" i="6" s="1"/>
  <c r="E946" i="6"/>
  <c r="F946" i="6"/>
  <c r="H946" i="6"/>
  <c r="I946" i="6"/>
  <c r="N946" i="6"/>
  <c r="R946" i="6"/>
  <c r="Q946" i="6" s="1"/>
  <c r="S946" i="6" s="1"/>
  <c r="T946" i="6"/>
  <c r="B947" i="6"/>
  <c r="C947" i="6"/>
  <c r="D947" i="6"/>
  <c r="L947" i="6" s="1"/>
  <c r="E947" i="6"/>
  <c r="F947" i="6"/>
  <c r="H947" i="6"/>
  <c r="I947" i="6"/>
  <c r="N947" i="6"/>
  <c r="R947" i="6"/>
  <c r="Q947" i="6" s="1"/>
  <c r="S947" i="6" s="1"/>
  <c r="T947" i="6"/>
  <c r="B948" i="6"/>
  <c r="C948" i="6"/>
  <c r="D948" i="6"/>
  <c r="L948" i="6" s="1"/>
  <c r="E948" i="6"/>
  <c r="F948" i="6"/>
  <c r="H948" i="6"/>
  <c r="I948" i="6"/>
  <c r="N948" i="6"/>
  <c r="R948" i="6"/>
  <c r="Q948" i="6" s="1"/>
  <c r="S948" i="6" s="1"/>
  <c r="T948" i="6"/>
  <c r="B949" i="6"/>
  <c r="C949" i="6"/>
  <c r="D949" i="6"/>
  <c r="L949" i="6" s="1"/>
  <c r="E949" i="6"/>
  <c r="F949" i="6"/>
  <c r="H949" i="6"/>
  <c r="I949" i="6"/>
  <c r="N949" i="6"/>
  <c r="R949" i="6"/>
  <c r="Q949" i="6" s="1"/>
  <c r="S949" i="6" s="1"/>
  <c r="T949" i="6"/>
  <c r="B950" i="6"/>
  <c r="C950" i="6"/>
  <c r="D950" i="6"/>
  <c r="L950" i="6" s="1"/>
  <c r="E950" i="6"/>
  <c r="F950" i="6"/>
  <c r="H950" i="6"/>
  <c r="I950" i="6"/>
  <c r="N950" i="6"/>
  <c r="R950" i="6"/>
  <c r="Q950" i="6" s="1"/>
  <c r="S950" i="6" s="1"/>
  <c r="T950" i="6"/>
  <c r="B951" i="6"/>
  <c r="C951" i="6"/>
  <c r="D951" i="6"/>
  <c r="L951" i="6" s="1"/>
  <c r="E951" i="6"/>
  <c r="F951" i="6"/>
  <c r="H951" i="6"/>
  <c r="I951" i="6"/>
  <c r="N951" i="6"/>
  <c r="R951" i="6"/>
  <c r="Q951" i="6" s="1"/>
  <c r="S951" i="6" s="1"/>
  <c r="T951" i="6"/>
  <c r="B952" i="6"/>
  <c r="C952" i="6"/>
  <c r="D952" i="6"/>
  <c r="L952" i="6" s="1"/>
  <c r="E952" i="6"/>
  <c r="F952" i="6"/>
  <c r="H952" i="6"/>
  <c r="I952" i="6"/>
  <c r="N952" i="6"/>
  <c r="R952" i="6"/>
  <c r="Q952" i="6" s="1"/>
  <c r="S952" i="6" s="1"/>
  <c r="T952" i="6"/>
  <c r="B953" i="6"/>
  <c r="C953" i="6"/>
  <c r="D953" i="6"/>
  <c r="L953" i="6" s="1"/>
  <c r="E953" i="6"/>
  <c r="F953" i="6"/>
  <c r="H953" i="6"/>
  <c r="I953" i="6"/>
  <c r="N953" i="6"/>
  <c r="R953" i="6"/>
  <c r="Q953" i="6" s="1"/>
  <c r="S953" i="6" s="1"/>
  <c r="T953" i="6"/>
  <c r="B954" i="6"/>
  <c r="C954" i="6"/>
  <c r="D954" i="6"/>
  <c r="L954" i="6" s="1"/>
  <c r="E954" i="6"/>
  <c r="F954" i="6"/>
  <c r="H954" i="6"/>
  <c r="I954" i="6"/>
  <c r="N954" i="6"/>
  <c r="R954" i="6"/>
  <c r="Q954" i="6" s="1"/>
  <c r="S954" i="6" s="1"/>
  <c r="T954" i="6"/>
  <c r="B955" i="6"/>
  <c r="C955" i="6"/>
  <c r="D955" i="6"/>
  <c r="L955" i="6" s="1"/>
  <c r="E955" i="6"/>
  <c r="F955" i="6"/>
  <c r="H955" i="6"/>
  <c r="I955" i="6"/>
  <c r="N955" i="6"/>
  <c r="R955" i="6"/>
  <c r="Q955" i="6" s="1"/>
  <c r="S955" i="6" s="1"/>
  <c r="T955" i="6"/>
  <c r="B956" i="6"/>
  <c r="C956" i="6"/>
  <c r="D956" i="6"/>
  <c r="L956" i="6" s="1"/>
  <c r="E956" i="6"/>
  <c r="F956" i="6"/>
  <c r="H956" i="6"/>
  <c r="I956" i="6"/>
  <c r="N956" i="6"/>
  <c r="R956" i="6"/>
  <c r="Q956" i="6" s="1"/>
  <c r="S956" i="6" s="1"/>
  <c r="T956" i="6"/>
  <c r="B957" i="6"/>
  <c r="C957" i="6"/>
  <c r="D957" i="6"/>
  <c r="L957" i="6" s="1"/>
  <c r="E957" i="6"/>
  <c r="F957" i="6"/>
  <c r="H957" i="6"/>
  <c r="I957" i="6"/>
  <c r="N957" i="6"/>
  <c r="R957" i="6"/>
  <c r="Q957" i="6" s="1"/>
  <c r="S957" i="6" s="1"/>
  <c r="T957" i="6"/>
  <c r="B958" i="6"/>
  <c r="C958" i="6"/>
  <c r="D958" i="6"/>
  <c r="L958" i="6" s="1"/>
  <c r="E958" i="6"/>
  <c r="F958" i="6"/>
  <c r="H958" i="6"/>
  <c r="I958" i="6"/>
  <c r="N958" i="6"/>
  <c r="R958" i="6"/>
  <c r="Q958" i="6" s="1"/>
  <c r="S958" i="6" s="1"/>
  <c r="T958" i="6"/>
  <c r="B959" i="6"/>
  <c r="C959" i="6"/>
  <c r="D959" i="6"/>
  <c r="L959" i="6" s="1"/>
  <c r="E959" i="6"/>
  <c r="F959" i="6"/>
  <c r="H959" i="6"/>
  <c r="I959" i="6"/>
  <c r="N959" i="6"/>
  <c r="R959" i="6"/>
  <c r="Q959" i="6" s="1"/>
  <c r="S959" i="6" s="1"/>
  <c r="T959" i="6"/>
  <c r="B960" i="6"/>
  <c r="C960" i="6"/>
  <c r="D960" i="6"/>
  <c r="L960" i="6" s="1"/>
  <c r="E960" i="6"/>
  <c r="F960" i="6"/>
  <c r="H960" i="6"/>
  <c r="I960" i="6"/>
  <c r="N960" i="6"/>
  <c r="R960" i="6"/>
  <c r="Q960" i="6" s="1"/>
  <c r="S960" i="6" s="1"/>
  <c r="T960" i="6"/>
  <c r="B961" i="6"/>
  <c r="C961" i="6"/>
  <c r="D961" i="6"/>
  <c r="L961" i="6" s="1"/>
  <c r="E961" i="6"/>
  <c r="F961" i="6"/>
  <c r="H961" i="6"/>
  <c r="I961" i="6"/>
  <c r="N961" i="6"/>
  <c r="R961" i="6"/>
  <c r="Q961" i="6" s="1"/>
  <c r="S961" i="6" s="1"/>
  <c r="T961" i="6"/>
  <c r="B962" i="6"/>
  <c r="C962" i="6"/>
  <c r="D962" i="6"/>
  <c r="L962" i="6" s="1"/>
  <c r="E962" i="6"/>
  <c r="F962" i="6"/>
  <c r="H962" i="6"/>
  <c r="I962" i="6"/>
  <c r="N962" i="6"/>
  <c r="R962" i="6"/>
  <c r="Q962" i="6" s="1"/>
  <c r="S962" i="6" s="1"/>
  <c r="T962" i="6"/>
  <c r="B963" i="6"/>
  <c r="C963" i="6"/>
  <c r="D963" i="6"/>
  <c r="L963" i="6" s="1"/>
  <c r="E963" i="6"/>
  <c r="F963" i="6"/>
  <c r="H963" i="6"/>
  <c r="I963" i="6"/>
  <c r="N963" i="6"/>
  <c r="R963" i="6"/>
  <c r="Q963" i="6" s="1"/>
  <c r="S963" i="6" s="1"/>
  <c r="T963" i="6"/>
  <c r="B964" i="6"/>
  <c r="C964" i="6"/>
  <c r="D964" i="6"/>
  <c r="L964" i="6" s="1"/>
  <c r="E964" i="6"/>
  <c r="F964" i="6"/>
  <c r="H964" i="6"/>
  <c r="I964" i="6"/>
  <c r="N964" i="6"/>
  <c r="R964" i="6"/>
  <c r="Q964" i="6" s="1"/>
  <c r="S964" i="6" s="1"/>
  <c r="T964" i="6"/>
  <c r="B965" i="6"/>
  <c r="C965" i="6"/>
  <c r="D965" i="6"/>
  <c r="L965" i="6" s="1"/>
  <c r="E965" i="6"/>
  <c r="F965" i="6"/>
  <c r="H965" i="6"/>
  <c r="I965" i="6"/>
  <c r="N965" i="6"/>
  <c r="R965" i="6"/>
  <c r="Q965" i="6" s="1"/>
  <c r="S965" i="6" s="1"/>
  <c r="T965" i="6"/>
  <c r="B966" i="6"/>
  <c r="C966" i="6"/>
  <c r="D966" i="6"/>
  <c r="L966" i="6" s="1"/>
  <c r="E966" i="6"/>
  <c r="F966" i="6"/>
  <c r="H966" i="6"/>
  <c r="I966" i="6"/>
  <c r="N966" i="6"/>
  <c r="R966" i="6"/>
  <c r="Q966" i="6" s="1"/>
  <c r="S966" i="6" s="1"/>
  <c r="T966" i="6"/>
  <c r="B967" i="6"/>
  <c r="C967" i="6"/>
  <c r="D967" i="6"/>
  <c r="E967" i="6"/>
  <c r="F967" i="6"/>
  <c r="H967" i="6"/>
  <c r="I967" i="6"/>
  <c r="N967" i="6"/>
  <c r="R967" i="6"/>
  <c r="Q967" i="6" s="1"/>
  <c r="S967" i="6" s="1"/>
  <c r="T967" i="6"/>
  <c r="B968" i="6"/>
  <c r="C968" i="6"/>
  <c r="D968" i="6"/>
  <c r="E968" i="6"/>
  <c r="F968" i="6"/>
  <c r="H968" i="6"/>
  <c r="I968" i="6"/>
  <c r="L968" i="6"/>
  <c r="N968" i="6"/>
  <c r="Q968" i="6"/>
  <c r="R968" i="6"/>
  <c r="S968" i="6"/>
  <c r="T968" i="6"/>
  <c r="B969" i="6"/>
  <c r="C969" i="6"/>
  <c r="D969" i="6"/>
  <c r="L969" i="6" s="1"/>
  <c r="E969" i="6"/>
  <c r="F969" i="6"/>
  <c r="H969" i="6"/>
  <c r="I969" i="6"/>
  <c r="N969" i="6"/>
  <c r="R969" i="6"/>
  <c r="Q969" i="6" s="1"/>
  <c r="T969" i="6"/>
  <c r="B970" i="6"/>
  <c r="C970" i="6"/>
  <c r="D970" i="6"/>
  <c r="E970" i="6"/>
  <c r="F970" i="6"/>
  <c r="H970" i="6"/>
  <c r="I970" i="6"/>
  <c r="L970" i="6"/>
  <c r="N970" i="6"/>
  <c r="Q970" i="6"/>
  <c r="R970" i="6"/>
  <c r="S970" i="6"/>
  <c r="T970" i="6"/>
  <c r="B971" i="6"/>
  <c r="C971" i="6"/>
  <c r="D971" i="6"/>
  <c r="L971" i="6" s="1"/>
  <c r="E971" i="6"/>
  <c r="F971" i="6"/>
  <c r="H971" i="6"/>
  <c r="I971" i="6"/>
  <c r="N971" i="6"/>
  <c r="R971" i="6"/>
  <c r="Q971" i="6" s="1"/>
  <c r="S971" i="6" s="1"/>
  <c r="T971" i="6"/>
  <c r="B972" i="6"/>
  <c r="C972" i="6"/>
  <c r="D972" i="6"/>
  <c r="E972" i="6"/>
  <c r="F972" i="6"/>
  <c r="H972" i="6"/>
  <c r="I972" i="6"/>
  <c r="L972" i="6"/>
  <c r="N972" i="6"/>
  <c r="Q972" i="6"/>
  <c r="R972" i="6"/>
  <c r="S972" i="6"/>
  <c r="T972" i="6"/>
  <c r="B973" i="6"/>
  <c r="C973" i="6"/>
  <c r="D973" i="6"/>
  <c r="L973" i="6" s="1"/>
  <c r="E973" i="6"/>
  <c r="F973" i="6"/>
  <c r="H973" i="6"/>
  <c r="I973" i="6"/>
  <c r="N973" i="6"/>
  <c r="R973" i="6"/>
  <c r="Q973" i="6" s="1"/>
  <c r="T973" i="6"/>
  <c r="B974" i="6"/>
  <c r="C974" i="6"/>
  <c r="D974" i="6"/>
  <c r="E974" i="6"/>
  <c r="F974" i="6"/>
  <c r="H974" i="6"/>
  <c r="I974" i="6"/>
  <c r="L974" i="6"/>
  <c r="N974" i="6"/>
  <c r="Q974" i="6"/>
  <c r="R974" i="6"/>
  <c r="S974" i="6"/>
  <c r="T974" i="6"/>
  <c r="B975" i="6"/>
  <c r="C975" i="6"/>
  <c r="D975" i="6"/>
  <c r="L975" i="6" s="1"/>
  <c r="E975" i="6"/>
  <c r="F975" i="6"/>
  <c r="H975" i="6"/>
  <c r="I975" i="6"/>
  <c r="N975" i="6"/>
  <c r="R975" i="6"/>
  <c r="Q975" i="6" s="1"/>
  <c r="S975" i="6" s="1"/>
  <c r="T975" i="6"/>
  <c r="B976" i="6"/>
  <c r="C976" i="6"/>
  <c r="D976" i="6"/>
  <c r="E976" i="6"/>
  <c r="F976" i="6"/>
  <c r="H976" i="6"/>
  <c r="I976" i="6"/>
  <c r="L976" i="6"/>
  <c r="N976" i="6"/>
  <c r="Q976" i="6"/>
  <c r="R976" i="6"/>
  <c r="S976" i="6"/>
  <c r="T976" i="6"/>
  <c r="B977" i="6"/>
  <c r="C977" i="6"/>
  <c r="D977" i="6"/>
  <c r="L977" i="6" s="1"/>
  <c r="E977" i="6"/>
  <c r="F977" i="6"/>
  <c r="H977" i="6"/>
  <c r="I977" i="6"/>
  <c r="N977" i="6"/>
  <c r="R977" i="6"/>
  <c r="Q977" i="6" s="1"/>
  <c r="S977" i="6" s="1"/>
  <c r="T977" i="6"/>
  <c r="B978" i="6"/>
  <c r="C978" i="6"/>
  <c r="D978" i="6"/>
  <c r="E978" i="6"/>
  <c r="F978" i="6"/>
  <c r="H978" i="6"/>
  <c r="I978" i="6"/>
  <c r="L978" i="6"/>
  <c r="N978" i="6"/>
  <c r="Q978" i="6"/>
  <c r="R978" i="6"/>
  <c r="S978" i="6"/>
  <c r="T978" i="6"/>
  <c r="B979" i="6"/>
  <c r="C979" i="6"/>
  <c r="D979" i="6"/>
  <c r="L979" i="6" s="1"/>
  <c r="E979" i="6"/>
  <c r="F979" i="6"/>
  <c r="H979" i="6"/>
  <c r="I979" i="6"/>
  <c r="N979" i="6"/>
  <c r="R979" i="6"/>
  <c r="Q979" i="6" s="1"/>
  <c r="S979" i="6" s="1"/>
  <c r="T979" i="6"/>
  <c r="B980" i="6"/>
  <c r="C980" i="6"/>
  <c r="D980" i="6"/>
  <c r="E980" i="6"/>
  <c r="F980" i="6"/>
  <c r="H980" i="6"/>
  <c r="I980" i="6"/>
  <c r="L980" i="6"/>
  <c r="N980" i="6"/>
  <c r="Q980" i="6"/>
  <c r="R980" i="6"/>
  <c r="S980" i="6"/>
  <c r="T980" i="6"/>
  <c r="B981" i="6"/>
  <c r="C981" i="6"/>
  <c r="D981" i="6"/>
  <c r="L981" i="6" s="1"/>
  <c r="E981" i="6"/>
  <c r="F981" i="6"/>
  <c r="H981" i="6"/>
  <c r="I981" i="6"/>
  <c r="N981" i="6"/>
  <c r="R981" i="6"/>
  <c r="Q981" i="6" s="1"/>
  <c r="S981" i="6" s="1"/>
  <c r="T981" i="6"/>
  <c r="B982" i="6"/>
  <c r="C982" i="6"/>
  <c r="D982" i="6"/>
  <c r="E982" i="6"/>
  <c r="F982" i="6"/>
  <c r="H982" i="6"/>
  <c r="I982" i="6"/>
  <c r="L982" i="6"/>
  <c r="N982" i="6"/>
  <c r="Q982" i="6"/>
  <c r="R982" i="6"/>
  <c r="S982" i="6"/>
  <c r="T982" i="6"/>
  <c r="B983" i="6"/>
  <c r="C983" i="6"/>
  <c r="D983" i="6"/>
  <c r="L983" i="6" s="1"/>
  <c r="E983" i="6"/>
  <c r="F983" i="6"/>
  <c r="H983" i="6"/>
  <c r="I983" i="6"/>
  <c r="N983" i="6"/>
  <c r="R983" i="6"/>
  <c r="Q983" i="6" s="1"/>
  <c r="S983" i="6" s="1"/>
  <c r="T983" i="6"/>
  <c r="B984" i="6"/>
  <c r="C984" i="6"/>
  <c r="D984" i="6"/>
  <c r="E984" i="6"/>
  <c r="F984" i="6"/>
  <c r="H984" i="6"/>
  <c r="I984" i="6"/>
  <c r="L984" i="6"/>
  <c r="N984" i="6"/>
  <c r="Q984" i="6"/>
  <c r="R984" i="6"/>
  <c r="S984" i="6"/>
  <c r="T984" i="6"/>
  <c r="B985" i="6"/>
  <c r="C985" i="6"/>
  <c r="D985" i="6"/>
  <c r="L985" i="6" s="1"/>
  <c r="E985" i="6"/>
  <c r="F985" i="6"/>
  <c r="H985" i="6"/>
  <c r="I985" i="6"/>
  <c r="N985" i="6"/>
  <c r="R985" i="6"/>
  <c r="Q985" i="6" s="1"/>
  <c r="T985" i="6"/>
  <c r="B986" i="6"/>
  <c r="C986" i="6"/>
  <c r="D986" i="6"/>
  <c r="E986" i="6"/>
  <c r="F986" i="6"/>
  <c r="H986" i="6"/>
  <c r="I986" i="6"/>
  <c r="L986" i="6"/>
  <c r="N986" i="6"/>
  <c r="Q986" i="6"/>
  <c r="R986" i="6"/>
  <c r="S986" i="6"/>
  <c r="T986" i="6"/>
  <c r="B987" i="6"/>
  <c r="C987" i="6"/>
  <c r="D987" i="6"/>
  <c r="L987" i="6" s="1"/>
  <c r="E987" i="6"/>
  <c r="F987" i="6"/>
  <c r="H987" i="6"/>
  <c r="I987" i="6"/>
  <c r="N987" i="6"/>
  <c r="R987" i="6"/>
  <c r="Q987" i="6" s="1"/>
  <c r="S987" i="6" s="1"/>
  <c r="T987" i="6"/>
  <c r="B988" i="6"/>
  <c r="C988" i="6"/>
  <c r="D988" i="6"/>
  <c r="E988" i="6"/>
  <c r="F988" i="6"/>
  <c r="H988" i="6"/>
  <c r="I988" i="6"/>
  <c r="L988" i="6"/>
  <c r="N988" i="6"/>
  <c r="Q988" i="6"/>
  <c r="R988" i="6"/>
  <c r="S988" i="6"/>
  <c r="T988" i="6"/>
  <c r="B989" i="6"/>
  <c r="C989" i="6"/>
  <c r="D989" i="6"/>
  <c r="L989" i="6" s="1"/>
  <c r="E989" i="6"/>
  <c r="F989" i="6"/>
  <c r="H989" i="6"/>
  <c r="I989" i="6"/>
  <c r="N989" i="6"/>
  <c r="R989" i="6"/>
  <c r="Q989" i="6" s="1"/>
  <c r="S989" i="6" s="1"/>
  <c r="T989" i="6"/>
  <c r="B990" i="6"/>
  <c r="C990" i="6"/>
  <c r="D990" i="6"/>
  <c r="E990" i="6"/>
  <c r="F990" i="6"/>
  <c r="H990" i="6"/>
  <c r="I990" i="6"/>
  <c r="L990" i="6"/>
  <c r="N990" i="6"/>
  <c r="Q990" i="6"/>
  <c r="R990" i="6"/>
  <c r="S990" i="6"/>
  <c r="T990" i="6"/>
  <c r="B991" i="6"/>
  <c r="C991" i="6"/>
  <c r="D991" i="6"/>
  <c r="L991" i="6" s="1"/>
  <c r="E991" i="6"/>
  <c r="F991" i="6"/>
  <c r="H991" i="6"/>
  <c r="I991" i="6"/>
  <c r="N991" i="6"/>
  <c r="R991" i="6"/>
  <c r="Q991" i="6" s="1"/>
  <c r="S991" i="6" s="1"/>
  <c r="T991" i="6"/>
  <c r="B992" i="6"/>
  <c r="C992" i="6"/>
  <c r="D992" i="6"/>
  <c r="E992" i="6"/>
  <c r="F992" i="6"/>
  <c r="H992" i="6"/>
  <c r="I992" i="6"/>
  <c r="L992" i="6"/>
  <c r="N992" i="6"/>
  <c r="Q992" i="6"/>
  <c r="R992" i="6"/>
  <c r="S992" i="6"/>
  <c r="T992" i="6"/>
  <c r="B993" i="6"/>
  <c r="C993" i="6"/>
  <c r="D993" i="6"/>
  <c r="L993" i="6" s="1"/>
  <c r="E993" i="6"/>
  <c r="F993" i="6"/>
  <c r="H993" i="6"/>
  <c r="I993" i="6"/>
  <c r="N993" i="6"/>
  <c r="R993" i="6"/>
  <c r="Q993" i="6" s="1"/>
  <c r="S993" i="6" s="1"/>
  <c r="T993" i="6"/>
  <c r="B994" i="6"/>
  <c r="C994" i="6"/>
  <c r="D994" i="6"/>
  <c r="E994" i="6"/>
  <c r="F994" i="6"/>
  <c r="H994" i="6"/>
  <c r="I994" i="6"/>
  <c r="L994" i="6"/>
  <c r="N994" i="6"/>
  <c r="Q994" i="6"/>
  <c r="R994" i="6"/>
  <c r="S994" i="6"/>
  <c r="T994" i="6"/>
  <c r="B995" i="6"/>
  <c r="C995" i="6"/>
  <c r="D995" i="6"/>
  <c r="L995" i="6" s="1"/>
  <c r="E995" i="6"/>
  <c r="F995" i="6"/>
  <c r="H995" i="6"/>
  <c r="I995" i="6"/>
  <c r="N995" i="6"/>
  <c r="R995" i="6"/>
  <c r="Q995" i="6" s="1"/>
  <c r="S995" i="6" s="1"/>
  <c r="T995" i="6"/>
  <c r="B996" i="6"/>
  <c r="C996" i="6"/>
  <c r="D996" i="6"/>
  <c r="E996" i="6"/>
  <c r="F996" i="6"/>
  <c r="H996" i="6"/>
  <c r="I996" i="6"/>
  <c r="L996" i="6"/>
  <c r="N996" i="6"/>
  <c r="Q996" i="6"/>
  <c r="R996" i="6"/>
  <c r="S996" i="6"/>
  <c r="T996" i="6"/>
  <c r="B997" i="6"/>
  <c r="C997" i="6"/>
  <c r="D997" i="6"/>
  <c r="L997" i="6" s="1"/>
  <c r="E997" i="6"/>
  <c r="F997" i="6"/>
  <c r="H997" i="6"/>
  <c r="I997" i="6"/>
  <c r="N997" i="6"/>
  <c r="R997" i="6"/>
  <c r="Q997" i="6" s="1"/>
  <c r="T997" i="6"/>
  <c r="B998" i="6"/>
  <c r="C998" i="6"/>
  <c r="D998" i="6"/>
  <c r="E998" i="6"/>
  <c r="F998" i="6"/>
  <c r="H998" i="6"/>
  <c r="I998" i="6"/>
  <c r="L998" i="6"/>
  <c r="N998" i="6"/>
  <c r="Q998" i="6"/>
  <c r="R998" i="6"/>
  <c r="S998" i="6"/>
  <c r="T998" i="6"/>
  <c r="B999" i="6"/>
  <c r="C999" i="6"/>
  <c r="D999" i="6"/>
  <c r="L999" i="6" s="1"/>
  <c r="E999" i="6"/>
  <c r="F999" i="6"/>
  <c r="H999" i="6"/>
  <c r="I999" i="6"/>
  <c r="N999" i="6"/>
  <c r="R999" i="6"/>
  <c r="Q999" i="6" s="1"/>
  <c r="S999" i="6" s="1"/>
  <c r="T999" i="6"/>
  <c r="B1000" i="6"/>
  <c r="C1000" i="6"/>
  <c r="D1000" i="6"/>
  <c r="E1000" i="6"/>
  <c r="F1000" i="6"/>
  <c r="H1000" i="6"/>
  <c r="I1000" i="6"/>
  <c r="L1000" i="6"/>
  <c r="N1000" i="6"/>
  <c r="Q1000" i="6"/>
  <c r="R1000" i="6"/>
  <c r="S1000" i="6"/>
  <c r="T1000" i="6"/>
  <c r="B1001" i="6"/>
  <c r="C1001" i="6"/>
  <c r="D1001" i="6"/>
  <c r="L1001" i="6" s="1"/>
  <c r="E1001" i="6"/>
  <c r="F1001" i="6"/>
  <c r="H1001" i="6"/>
  <c r="I1001" i="6"/>
  <c r="N1001" i="6"/>
  <c r="R1001" i="6"/>
  <c r="Q1001" i="6" s="1"/>
  <c r="S1001" i="6" s="1"/>
  <c r="T1001" i="6"/>
  <c r="B1002" i="6"/>
  <c r="C1002" i="6"/>
  <c r="D1002" i="6"/>
  <c r="E1002" i="6"/>
  <c r="F1002" i="6"/>
  <c r="H1002" i="6"/>
  <c r="I1002" i="6"/>
  <c r="L1002" i="6"/>
  <c r="N1002" i="6"/>
  <c r="Q1002" i="6"/>
  <c r="R1002" i="6"/>
  <c r="S1002" i="6"/>
  <c r="T1002" i="6"/>
  <c r="B1003" i="6"/>
  <c r="C1003" i="6"/>
  <c r="D1003" i="6"/>
  <c r="L1003" i="6" s="1"/>
  <c r="E1003" i="6"/>
  <c r="F1003" i="6"/>
  <c r="H1003" i="6"/>
  <c r="I1003" i="6"/>
  <c r="N1003" i="6"/>
  <c r="R1003" i="6"/>
  <c r="Q1003" i="6" s="1"/>
  <c r="S1003" i="6" s="1"/>
  <c r="T1003" i="6"/>
  <c r="B1004" i="6"/>
  <c r="C1004" i="6"/>
  <c r="D1004" i="6"/>
  <c r="E1004" i="6"/>
  <c r="F1004" i="6"/>
  <c r="H1004" i="6"/>
  <c r="I1004" i="6"/>
  <c r="L1004" i="6"/>
  <c r="N1004" i="6"/>
  <c r="Q1004" i="6"/>
  <c r="R1004" i="6"/>
  <c r="S1004" i="6"/>
  <c r="T1004" i="6"/>
  <c r="B1005" i="6"/>
  <c r="C1005" i="6"/>
  <c r="D1005" i="6"/>
  <c r="L1005" i="6" s="1"/>
  <c r="E1005" i="6"/>
  <c r="F1005" i="6"/>
  <c r="H1005" i="6"/>
  <c r="I1005" i="6"/>
  <c r="N1005" i="6"/>
  <c r="R1005" i="6"/>
  <c r="Q1005" i="6" s="1"/>
  <c r="S1005" i="6" s="1"/>
  <c r="T1005" i="6"/>
  <c r="B1006" i="6"/>
  <c r="C1006" i="6"/>
  <c r="D1006" i="6"/>
  <c r="E1006" i="6"/>
  <c r="F1006" i="6"/>
  <c r="H1006" i="6"/>
  <c r="I1006" i="6"/>
  <c r="L1006" i="6"/>
  <c r="N1006" i="6"/>
  <c r="Q1006" i="6"/>
  <c r="R1006" i="6"/>
  <c r="S1006" i="6"/>
  <c r="T1006" i="6"/>
  <c r="B1007" i="6"/>
  <c r="C1007" i="6"/>
  <c r="D1007" i="6"/>
  <c r="L1007" i="6" s="1"/>
  <c r="E1007" i="6"/>
  <c r="F1007" i="6"/>
  <c r="H1007" i="6"/>
  <c r="I1007" i="6"/>
  <c r="N1007" i="6"/>
  <c r="R1007" i="6"/>
  <c r="Q1007" i="6" s="1"/>
  <c r="S1007" i="6" s="1"/>
  <c r="T1007" i="6"/>
  <c r="B1008" i="6"/>
  <c r="C1008" i="6"/>
  <c r="D1008" i="6"/>
  <c r="E1008" i="6"/>
  <c r="F1008" i="6"/>
  <c r="H1008" i="6"/>
  <c r="I1008" i="6"/>
  <c r="L1008" i="6"/>
  <c r="N1008" i="6"/>
  <c r="Q1008" i="6"/>
  <c r="R1008" i="6"/>
  <c r="S1008" i="6"/>
  <c r="T1008" i="6"/>
  <c r="B1009" i="6"/>
  <c r="C1009" i="6"/>
  <c r="D1009" i="6"/>
  <c r="L1009" i="6" s="1"/>
  <c r="E1009" i="6"/>
  <c r="F1009" i="6"/>
  <c r="H1009" i="6"/>
  <c r="I1009" i="6"/>
  <c r="N1009" i="6"/>
  <c r="R1009" i="6"/>
  <c r="Q1009" i="6" s="1"/>
  <c r="T1009" i="6"/>
  <c r="B1010" i="6"/>
  <c r="C1010" i="6"/>
  <c r="D1010" i="6"/>
  <c r="E1010" i="6"/>
  <c r="F1010" i="6"/>
  <c r="H1010" i="6"/>
  <c r="I1010" i="6"/>
  <c r="L1010" i="6"/>
  <c r="N1010" i="6"/>
  <c r="Q1010" i="6"/>
  <c r="R1010" i="6"/>
  <c r="S1010" i="6"/>
  <c r="T1010" i="6"/>
  <c r="B1011" i="6"/>
  <c r="C1011" i="6"/>
  <c r="D1011" i="6"/>
  <c r="L1011" i="6" s="1"/>
  <c r="E1011" i="6"/>
  <c r="F1011" i="6"/>
  <c r="H1011" i="6"/>
  <c r="I1011" i="6"/>
  <c r="N1011" i="6"/>
  <c r="R1011" i="6"/>
  <c r="Q1011" i="6" s="1"/>
  <c r="S1011" i="6" s="1"/>
  <c r="T1011" i="6"/>
  <c r="B1012" i="6"/>
  <c r="C1012" i="6"/>
  <c r="D1012" i="6"/>
  <c r="E1012" i="6"/>
  <c r="F1012" i="6"/>
  <c r="H1012" i="6"/>
  <c r="I1012" i="6"/>
  <c r="L1012" i="6"/>
  <c r="N1012" i="6"/>
  <c r="Q1012" i="6"/>
  <c r="R1012" i="6"/>
  <c r="S1012" i="6"/>
  <c r="T1012" i="6"/>
  <c r="B1013" i="6"/>
  <c r="C1013" i="6"/>
  <c r="D1013" i="6"/>
  <c r="L1013" i="6" s="1"/>
  <c r="E1013" i="6"/>
  <c r="F1013" i="6"/>
  <c r="H1013" i="6"/>
  <c r="I1013" i="6"/>
  <c r="N1013" i="6"/>
  <c r="R1013" i="6"/>
  <c r="Q1013" i="6" s="1"/>
  <c r="S1013" i="6" s="1"/>
  <c r="T1013" i="6"/>
  <c r="B1014" i="6"/>
  <c r="C1014" i="6"/>
  <c r="D1014" i="6"/>
  <c r="E1014" i="6"/>
  <c r="F1014" i="6"/>
  <c r="H1014" i="6"/>
  <c r="I1014" i="6"/>
  <c r="L1014" i="6"/>
  <c r="N1014" i="6"/>
  <c r="Q1014" i="6"/>
  <c r="R1014" i="6"/>
  <c r="S1014" i="6"/>
  <c r="T1014" i="6"/>
  <c r="B1015" i="6"/>
  <c r="C1015" i="6"/>
  <c r="D1015" i="6"/>
  <c r="L1015" i="6" s="1"/>
  <c r="E1015" i="6"/>
  <c r="F1015" i="6"/>
  <c r="H1015" i="6"/>
  <c r="I1015" i="6"/>
  <c r="N1015" i="6"/>
  <c r="R1015" i="6"/>
  <c r="Q1015" i="6" s="1"/>
  <c r="S1015" i="6" s="1"/>
  <c r="T1015" i="6"/>
  <c r="B1016" i="6"/>
  <c r="C1016" i="6"/>
  <c r="D1016" i="6"/>
  <c r="E1016" i="6"/>
  <c r="F1016" i="6"/>
  <c r="H1016" i="6"/>
  <c r="I1016" i="6"/>
  <c r="L1016" i="6"/>
  <c r="N1016" i="6"/>
  <c r="Q1016" i="6"/>
  <c r="R1016" i="6"/>
  <c r="S1016" i="6"/>
  <c r="T1016" i="6"/>
  <c r="B1017" i="6"/>
  <c r="C1017" i="6"/>
  <c r="D1017" i="6"/>
  <c r="L1017" i="6" s="1"/>
  <c r="E1017" i="6"/>
  <c r="F1017" i="6"/>
  <c r="H1017" i="6"/>
  <c r="I1017" i="6"/>
  <c r="N1017" i="6"/>
  <c r="R1017" i="6"/>
  <c r="Q1017" i="6" s="1"/>
  <c r="S1017" i="6" s="1"/>
  <c r="T1017" i="6"/>
  <c r="B1018" i="6"/>
  <c r="C1018" i="6"/>
  <c r="D1018" i="6"/>
  <c r="E1018" i="6"/>
  <c r="F1018" i="6"/>
  <c r="H1018" i="6"/>
  <c r="I1018" i="6"/>
  <c r="L1018" i="6"/>
  <c r="N1018" i="6"/>
  <c r="Q1018" i="6"/>
  <c r="R1018" i="6"/>
  <c r="S1018" i="6"/>
  <c r="T1018" i="6"/>
  <c r="B1019" i="6"/>
  <c r="C1019" i="6"/>
  <c r="D1019" i="6"/>
  <c r="L1019" i="6" s="1"/>
  <c r="E1019" i="6"/>
  <c r="F1019" i="6"/>
  <c r="H1019" i="6"/>
  <c r="I1019" i="6"/>
  <c r="N1019" i="6"/>
  <c r="R1019" i="6"/>
  <c r="Q1019" i="6" s="1"/>
  <c r="S1019" i="6" s="1"/>
  <c r="T1019" i="6"/>
  <c r="B1020" i="6"/>
  <c r="C1020" i="6"/>
  <c r="D1020" i="6"/>
  <c r="E1020" i="6"/>
  <c r="F1020" i="6"/>
  <c r="H1020" i="6"/>
  <c r="I1020" i="6"/>
  <c r="L1020" i="6"/>
  <c r="N1020" i="6"/>
  <c r="Q1020" i="6"/>
  <c r="R1020" i="6"/>
  <c r="S1020" i="6"/>
  <c r="T1020" i="6"/>
  <c r="B1021" i="6"/>
  <c r="C1021" i="6"/>
  <c r="D1021" i="6"/>
  <c r="L1021" i="6" s="1"/>
  <c r="E1021" i="6"/>
  <c r="F1021" i="6"/>
  <c r="H1021" i="6"/>
  <c r="I1021" i="6"/>
  <c r="N1021" i="6"/>
  <c r="R1021" i="6"/>
  <c r="Q1021" i="6" s="1"/>
  <c r="T1021" i="6"/>
  <c r="B1022" i="6"/>
  <c r="C1022" i="6"/>
  <c r="D1022" i="6"/>
  <c r="E1022" i="6"/>
  <c r="F1022" i="6"/>
  <c r="H1022" i="6"/>
  <c r="I1022" i="6"/>
  <c r="L1022" i="6"/>
  <c r="N1022" i="6"/>
  <c r="Q1022" i="6"/>
  <c r="R1022" i="6"/>
  <c r="S1022" i="6"/>
  <c r="T1022" i="6"/>
  <c r="B1023" i="6"/>
  <c r="C1023" i="6"/>
  <c r="D1023" i="6"/>
  <c r="L1023" i="6" s="1"/>
  <c r="E1023" i="6"/>
  <c r="F1023" i="6"/>
  <c r="H1023" i="6"/>
  <c r="I1023" i="6"/>
  <c r="N1023" i="6"/>
  <c r="R1023" i="6"/>
  <c r="Q1023" i="6" s="1"/>
  <c r="S1023" i="6" s="1"/>
  <c r="T1023" i="6"/>
  <c r="B1024" i="6"/>
  <c r="C1024" i="6"/>
  <c r="D1024" i="6"/>
  <c r="E1024" i="6"/>
  <c r="F1024" i="6"/>
  <c r="H1024" i="6"/>
  <c r="I1024" i="6"/>
  <c r="L1024" i="6"/>
  <c r="N1024" i="6"/>
  <c r="Q1024" i="6"/>
  <c r="R1024" i="6"/>
  <c r="S1024" i="6"/>
  <c r="T1024" i="6"/>
  <c r="B1025" i="6"/>
  <c r="C1025" i="6"/>
  <c r="D1025" i="6"/>
  <c r="L1025" i="6" s="1"/>
  <c r="E1025" i="6"/>
  <c r="F1025" i="6"/>
  <c r="H1025" i="6"/>
  <c r="I1025" i="6"/>
  <c r="N1025" i="6"/>
  <c r="R1025" i="6"/>
  <c r="Q1025" i="6" s="1"/>
  <c r="S1025" i="6" s="1"/>
  <c r="T1025" i="6"/>
  <c r="B1026" i="6"/>
  <c r="C1026" i="6"/>
  <c r="D1026" i="6"/>
  <c r="E1026" i="6"/>
  <c r="F1026" i="6"/>
  <c r="H1026" i="6"/>
  <c r="I1026" i="6"/>
  <c r="L1026" i="6"/>
  <c r="N1026" i="6"/>
  <c r="Q1026" i="6"/>
  <c r="R1026" i="6"/>
  <c r="S1026" i="6"/>
  <c r="T1026" i="6"/>
  <c r="B1027" i="6"/>
  <c r="C1027" i="6"/>
  <c r="D1027" i="6"/>
  <c r="L1027" i="6" s="1"/>
  <c r="E1027" i="6"/>
  <c r="F1027" i="6"/>
  <c r="H1027" i="6"/>
  <c r="I1027" i="6"/>
  <c r="N1027" i="6"/>
  <c r="R1027" i="6"/>
  <c r="Q1027" i="6" s="1"/>
  <c r="S1027" i="6" s="1"/>
  <c r="T1027" i="6"/>
  <c r="B1028" i="6"/>
  <c r="C1028" i="6"/>
  <c r="D1028" i="6"/>
  <c r="E1028" i="6"/>
  <c r="F1028" i="6"/>
  <c r="H1028" i="6"/>
  <c r="I1028" i="6"/>
  <c r="L1028" i="6"/>
  <c r="N1028" i="6"/>
  <c r="Q1028" i="6"/>
  <c r="R1028" i="6"/>
  <c r="S1028" i="6"/>
  <c r="T1028" i="6"/>
  <c r="B1029" i="6"/>
  <c r="C1029" i="6"/>
  <c r="D1029" i="6"/>
  <c r="L1029" i="6" s="1"/>
  <c r="E1029" i="6"/>
  <c r="F1029" i="6"/>
  <c r="H1029" i="6"/>
  <c r="I1029" i="6"/>
  <c r="N1029" i="6"/>
  <c r="R1029" i="6"/>
  <c r="Q1029" i="6" s="1"/>
  <c r="S1029" i="6" s="1"/>
  <c r="T1029" i="6"/>
  <c r="B1030" i="6"/>
  <c r="C1030" i="6"/>
  <c r="D1030" i="6"/>
  <c r="E1030" i="6"/>
  <c r="F1030" i="6"/>
  <c r="H1030" i="6"/>
  <c r="I1030" i="6"/>
  <c r="L1030" i="6"/>
  <c r="N1030" i="6"/>
  <c r="Q1030" i="6"/>
  <c r="R1030" i="6"/>
  <c r="S1030" i="6"/>
  <c r="T1030" i="6"/>
  <c r="B1031" i="6"/>
  <c r="C1031" i="6"/>
  <c r="D1031" i="6"/>
  <c r="L1031" i="6" s="1"/>
  <c r="E1031" i="6"/>
  <c r="F1031" i="6"/>
  <c r="H1031" i="6"/>
  <c r="I1031" i="6"/>
  <c r="N1031" i="6"/>
  <c r="R1031" i="6"/>
  <c r="Q1031" i="6" s="1"/>
  <c r="S1031" i="6" s="1"/>
  <c r="T1031" i="6"/>
  <c r="B1032" i="6"/>
  <c r="C1032" i="6"/>
  <c r="D1032" i="6"/>
  <c r="E1032" i="6"/>
  <c r="F1032" i="6"/>
  <c r="H1032" i="6"/>
  <c r="I1032" i="6"/>
  <c r="L1032" i="6"/>
  <c r="N1032" i="6"/>
  <c r="Q1032" i="6"/>
  <c r="R1032" i="6"/>
  <c r="S1032" i="6"/>
  <c r="T1032" i="6"/>
  <c r="B1033" i="6"/>
  <c r="C1033" i="6"/>
  <c r="D1033" i="6"/>
  <c r="L1033" i="6" s="1"/>
  <c r="E1033" i="6"/>
  <c r="F1033" i="6"/>
  <c r="H1033" i="6"/>
  <c r="I1033" i="6"/>
  <c r="N1033" i="6"/>
  <c r="R1033" i="6"/>
  <c r="Q1033" i="6" s="1"/>
  <c r="T1033" i="6"/>
  <c r="B1034" i="6"/>
  <c r="C1034" i="6"/>
  <c r="D1034" i="6"/>
  <c r="E1034" i="6"/>
  <c r="F1034" i="6"/>
  <c r="H1034" i="6"/>
  <c r="I1034" i="6"/>
  <c r="L1034" i="6"/>
  <c r="N1034" i="6"/>
  <c r="Q1034" i="6"/>
  <c r="R1034" i="6"/>
  <c r="S1034" i="6"/>
  <c r="T1034" i="6"/>
  <c r="B1035" i="6"/>
  <c r="C1035" i="6"/>
  <c r="D1035" i="6"/>
  <c r="L1035" i="6" s="1"/>
  <c r="E1035" i="6"/>
  <c r="F1035" i="6"/>
  <c r="H1035" i="6"/>
  <c r="I1035" i="6"/>
  <c r="N1035" i="6"/>
  <c r="R1035" i="6"/>
  <c r="Q1035" i="6" s="1"/>
  <c r="S1035" i="6" s="1"/>
  <c r="T1035" i="6"/>
  <c r="B1036" i="6"/>
  <c r="C1036" i="6"/>
  <c r="D1036" i="6"/>
  <c r="E1036" i="6"/>
  <c r="F1036" i="6"/>
  <c r="H1036" i="6"/>
  <c r="I1036" i="6"/>
  <c r="L1036" i="6"/>
  <c r="N1036" i="6"/>
  <c r="Q1036" i="6"/>
  <c r="R1036" i="6"/>
  <c r="S1036" i="6"/>
  <c r="T1036" i="6"/>
  <c r="B1037" i="6"/>
  <c r="C1037" i="6"/>
  <c r="D1037" i="6"/>
  <c r="L1037" i="6" s="1"/>
  <c r="E1037" i="6"/>
  <c r="F1037" i="6"/>
  <c r="H1037" i="6"/>
  <c r="I1037" i="6"/>
  <c r="N1037" i="6"/>
  <c r="R1037" i="6"/>
  <c r="Q1037" i="6" s="1"/>
  <c r="S1037" i="6" s="1"/>
  <c r="T1037" i="6"/>
  <c r="B1038" i="6"/>
  <c r="C1038" i="6"/>
  <c r="D1038" i="6"/>
  <c r="E1038" i="6"/>
  <c r="F1038" i="6"/>
  <c r="H1038" i="6"/>
  <c r="I1038" i="6"/>
  <c r="L1038" i="6"/>
  <c r="N1038" i="6"/>
  <c r="Q1038" i="6"/>
  <c r="R1038" i="6"/>
  <c r="S1038" i="6"/>
  <c r="T1038" i="6"/>
  <c r="B1039" i="6"/>
  <c r="C1039" i="6"/>
  <c r="D1039" i="6"/>
  <c r="L1039" i="6" s="1"/>
  <c r="E1039" i="6"/>
  <c r="F1039" i="6"/>
  <c r="H1039" i="6"/>
  <c r="I1039" i="6"/>
  <c r="N1039" i="6"/>
  <c r="R1039" i="6"/>
  <c r="Q1039" i="6" s="1"/>
  <c r="S1039" i="6" s="1"/>
  <c r="T1039" i="6"/>
  <c r="B1040" i="6"/>
  <c r="C1040" i="6"/>
  <c r="D1040" i="6"/>
  <c r="E1040" i="6"/>
  <c r="F1040" i="6"/>
  <c r="H1040" i="6"/>
  <c r="I1040" i="6"/>
  <c r="L1040" i="6"/>
  <c r="N1040" i="6"/>
  <c r="Q1040" i="6"/>
  <c r="R1040" i="6"/>
  <c r="S1040" i="6"/>
  <c r="T1040" i="6"/>
  <c r="B1041" i="6"/>
  <c r="C1041" i="6"/>
  <c r="D1041" i="6"/>
  <c r="L1041" i="6" s="1"/>
  <c r="E1041" i="6"/>
  <c r="F1041" i="6"/>
  <c r="H1041" i="6"/>
  <c r="I1041" i="6"/>
  <c r="N1041" i="6"/>
  <c r="R1041" i="6"/>
  <c r="Q1041" i="6" s="1"/>
  <c r="S1041" i="6" s="1"/>
  <c r="T1041" i="6"/>
  <c r="B1042" i="6"/>
  <c r="C1042" i="6"/>
  <c r="D1042" i="6"/>
  <c r="E1042" i="6"/>
  <c r="F1042" i="6"/>
  <c r="H1042" i="6"/>
  <c r="I1042" i="6"/>
  <c r="L1042" i="6"/>
  <c r="N1042" i="6"/>
  <c r="Q1042" i="6"/>
  <c r="R1042" i="6"/>
  <c r="S1042" i="6"/>
  <c r="T1042" i="6"/>
  <c r="B1043" i="6"/>
  <c r="C1043" i="6"/>
  <c r="D1043" i="6"/>
  <c r="L1043" i="6" s="1"/>
  <c r="E1043" i="6"/>
  <c r="F1043" i="6"/>
  <c r="H1043" i="6"/>
  <c r="I1043" i="6"/>
  <c r="N1043" i="6"/>
  <c r="R1043" i="6"/>
  <c r="Q1043" i="6" s="1"/>
  <c r="S1043" i="6" s="1"/>
  <c r="T1043" i="6"/>
  <c r="B1044" i="6"/>
  <c r="C1044" i="6"/>
  <c r="D1044" i="6"/>
  <c r="E1044" i="6"/>
  <c r="F1044" i="6"/>
  <c r="H1044" i="6"/>
  <c r="I1044" i="6"/>
  <c r="L1044" i="6"/>
  <c r="N1044" i="6"/>
  <c r="Q1044" i="6"/>
  <c r="R1044" i="6"/>
  <c r="S1044" i="6"/>
  <c r="T1044" i="6"/>
  <c r="B1045" i="6"/>
  <c r="C1045" i="6"/>
  <c r="D1045" i="6"/>
  <c r="L1045" i="6" s="1"/>
  <c r="E1045" i="6"/>
  <c r="F1045" i="6"/>
  <c r="H1045" i="6"/>
  <c r="I1045" i="6"/>
  <c r="N1045" i="6"/>
  <c r="R1045" i="6"/>
  <c r="Q1045" i="6" s="1"/>
  <c r="T1045" i="6"/>
  <c r="B1046" i="6"/>
  <c r="C1046" i="6"/>
  <c r="D1046" i="6"/>
  <c r="E1046" i="6"/>
  <c r="F1046" i="6"/>
  <c r="H1046" i="6"/>
  <c r="I1046" i="6"/>
  <c r="L1046" i="6"/>
  <c r="N1046" i="6"/>
  <c r="Q1046" i="6"/>
  <c r="R1046" i="6"/>
  <c r="S1046" i="6"/>
  <c r="T1046" i="6"/>
  <c r="B1047" i="6"/>
  <c r="C1047" i="6"/>
  <c r="D1047" i="6"/>
  <c r="L1047" i="6" s="1"/>
  <c r="E1047" i="6"/>
  <c r="F1047" i="6"/>
  <c r="H1047" i="6"/>
  <c r="I1047" i="6"/>
  <c r="N1047" i="6"/>
  <c r="R1047" i="6"/>
  <c r="Q1047" i="6" s="1"/>
  <c r="S1047" i="6" s="1"/>
  <c r="T1047" i="6"/>
  <c r="B1048" i="6"/>
  <c r="C1048" i="6"/>
  <c r="D1048" i="6"/>
  <c r="E1048" i="6"/>
  <c r="F1048" i="6"/>
  <c r="H1048" i="6"/>
  <c r="I1048" i="6"/>
  <c r="L1048" i="6"/>
  <c r="N1048" i="6"/>
  <c r="Q1048" i="6"/>
  <c r="R1048" i="6"/>
  <c r="S1048" i="6"/>
  <c r="T1048" i="6"/>
  <c r="B1049" i="6"/>
  <c r="C1049" i="6"/>
  <c r="D1049" i="6"/>
  <c r="L1049" i="6" s="1"/>
  <c r="E1049" i="6"/>
  <c r="F1049" i="6"/>
  <c r="H1049" i="6"/>
  <c r="I1049" i="6"/>
  <c r="N1049" i="6"/>
  <c r="R1049" i="6"/>
  <c r="Q1049" i="6" s="1"/>
  <c r="S1049" i="6" s="1"/>
  <c r="T1049" i="6"/>
  <c r="B1050" i="6"/>
  <c r="C1050" i="6"/>
  <c r="D1050" i="6"/>
  <c r="E1050" i="6"/>
  <c r="F1050" i="6"/>
  <c r="H1050" i="6"/>
  <c r="I1050" i="6"/>
  <c r="L1050" i="6"/>
  <c r="N1050" i="6"/>
  <c r="Q1050" i="6"/>
  <c r="R1050" i="6"/>
  <c r="S1050" i="6"/>
  <c r="T1050" i="6"/>
  <c r="B1051" i="6"/>
  <c r="C1051" i="6"/>
  <c r="D1051" i="6"/>
  <c r="L1051" i="6" s="1"/>
  <c r="E1051" i="6"/>
  <c r="F1051" i="6"/>
  <c r="H1051" i="6"/>
  <c r="I1051" i="6"/>
  <c r="N1051" i="6"/>
  <c r="R1051" i="6"/>
  <c r="Q1051" i="6" s="1"/>
  <c r="S1051" i="6" s="1"/>
  <c r="T1051" i="6"/>
  <c r="B1052" i="6"/>
  <c r="C1052" i="6"/>
  <c r="D1052" i="6"/>
  <c r="E1052" i="6"/>
  <c r="F1052" i="6"/>
  <c r="H1052" i="6"/>
  <c r="I1052" i="6"/>
  <c r="L1052" i="6"/>
  <c r="N1052" i="6"/>
  <c r="Q1052" i="6"/>
  <c r="R1052" i="6"/>
  <c r="S1052" i="6"/>
  <c r="T1052" i="6"/>
  <c r="B1053" i="6"/>
  <c r="C1053" i="6"/>
  <c r="D1053" i="6"/>
  <c r="L1053" i="6" s="1"/>
  <c r="E1053" i="6"/>
  <c r="F1053" i="6"/>
  <c r="H1053" i="6"/>
  <c r="I1053" i="6"/>
  <c r="N1053" i="6"/>
  <c r="R1053" i="6"/>
  <c r="Q1053" i="6" s="1"/>
  <c r="S1053" i="6" s="1"/>
  <c r="T1053" i="6"/>
  <c r="B1054" i="6"/>
  <c r="C1054" i="6"/>
  <c r="D1054" i="6"/>
  <c r="E1054" i="6"/>
  <c r="F1054" i="6"/>
  <c r="H1054" i="6"/>
  <c r="I1054" i="6"/>
  <c r="L1054" i="6"/>
  <c r="N1054" i="6"/>
  <c r="Q1054" i="6"/>
  <c r="R1054" i="6"/>
  <c r="S1054" i="6"/>
  <c r="T1054" i="6"/>
  <c r="B1055" i="6"/>
  <c r="C1055" i="6"/>
  <c r="D1055" i="6"/>
  <c r="L1055" i="6" s="1"/>
  <c r="E1055" i="6"/>
  <c r="F1055" i="6"/>
  <c r="H1055" i="6"/>
  <c r="I1055" i="6"/>
  <c r="N1055" i="6"/>
  <c r="R1055" i="6"/>
  <c r="Q1055" i="6" s="1"/>
  <c r="S1055" i="6" s="1"/>
  <c r="T1055" i="6"/>
  <c r="B1056" i="6"/>
  <c r="C1056" i="6"/>
  <c r="D1056" i="6"/>
  <c r="E1056" i="6"/>
  <c r="F1056" i="6"/>
  <c r="H1056" i="6"/>
  <c r="I1056" i="6"/>
  <c r="L1056" i="6"/>
  <c r="N1056" i="6"/>
  <c r="Q1056" i="6"/>
  <c r="R1056" i="6"/>
  <c r="S1056" i="6"/>
  <c r="T1056" i="6"/>
  <c r="B1057" i="6"/>
  <c r="C1057" i="6"/>
  <c r="D1057" i="6"/>
  <c r="L1057" i="6" s="1"/>
  <c r="E1057" i="6"/>
  <c r="F1057" i="6"/>
  <c r="H1057" i="6"/>
  <c r="I1057" i="6"/>
  <c r="N1057" i="6"/>
  <c r="R1057" i="6"/>
  <c r="Q1057" i="6" s="1"/>
  <c r="T1057" i="6"/>
  <c r="B1058" i="6"/>
  <c r="C1058" i="6"/>
  <c r="D1058" i="6"/>
  <c r="E1058" i="6"/>
  <c r="F1058" i="6"/>
  <c r="H1058" i="6"/>
  <c r="I1058" i="6"/>
  <c r="L1058" i="6"/>
  <c r="N1058" i="6"/>
  <c r="Q1058" i="6"/>
  <c r="R1058" i="6"/>
  <c r="S1058" i="6"/>
  <c r="T1058" i="6"/>
  <c r="B1059" i="6"/>
  <c r="C1059" i="6"/>
  <c r="D1059" i="6"/>
  <c r="L1059" i="6" s="1"/>
  <c r="E1059" i="6"/>
  <c r="F1059" i="6"/>
  <c r="H1059" i="6"/>
  <c r="I1059" i="6"/>
  <c r="N1059" i="6"/>
  <c r="R1059" i="6"/>
  <c r="Q1059" i="6" s="1"/>
  <c r="S1059" i="6" s="1"/>
  <c r="T1059" i="6"/>
  <c r="B1060" i="6"/>
  <c r="C1060" i="6"/>
  <c r="D1060" i="6"/>
  <c r="E1060" i="6"/>
  <c r="F1060" i="6"/>
  <c r="H1060" i="6"/>
  <c r="I1060" i="6"/>
  <c r="L1060" i="6"/>
  <c r="N1060" i="6"/>
  <c r="Q1060" i="6"/>
  <c r="R1060" i="6"/>
  <c r="S1060" i="6"/>
  <c r="T1060" i="6"/>
  <c r="B1061" i="6"/>
  <c r="C1061" i="6"/>
  <c r="D1061" i="6"/>
  <c r="L1061" i="6" s="1"/>
  <c r="E1061" i="6"/>
  <c r="F1061" i="6"/>
  <c r="H1061" i="6"/>
  <c r="I1061" i="6"/>
  <c r="N1061" i="6"/>
  <c r="R1061" i="6"/>
  <c r="Q1061" i="6" s="1"/>
  <c r="S1061" i="6" s="1"/>
  <c r="T1061" i="6"/>
  <c r="B1062" i="6"/>
  <c r="C1062" i="6"/>
  <c r="D1062" i="6"/>
  <c r="E1062" i="6"/>
  <c r="F1062" i="6"/>
  <c r="H1062" i="6"/>
  <c r="I1062" i="6"/>
  <c r="L1062" i="6"/>
  <c r="N1062" i="6"/>
  <c r="Q1062" i="6"/>
  <c r="R1062" i="6"/>
  <c r="S1062" i="6"/>
  <c r="T1062" i="6"/>
  <c r="B1063" i="6"/>
  <c r="C1063" i="6"/>
  <c r="D1063" i="6"/>
  <c r="L1063" i="6" s="1"/>
  <c r="E1063" i="6"/>
  <c r="F1063" i="6"/>
  <c r="H1063" i="6"/>
  <c r="I1063" i="6"/>
  <c r="N1063" i="6"/>
  <c r="R1063" i="6"/>
  <c r="Q1063" i="6" s="1"/>
  <c r="S1063" i="6" s="1"/>
  <c r="T1063" i="6"/>
  <c r="B1064" i="6"/>
  <c r="C1064" i="6"/>
  <c r="D1064" i="6"/>
  <c r="E1064" i="6"/>
  <c r="F1064" i="6"/>
  <c r="H1064" i="6"/>
  <c r="I1064" i="6"/>
  <c r="L1064" i="6"/>
  <c r="N1064" i="6"/>
  <c r="Q1064" i="6"/>
  <c r="R1064" i="6"/>
  <c r="S1064" i="6"/>
  <c r="T1064" i="6"/>
  <c r="B1065" i="6"/>
  <c r="C1065" i="6"/>
  <c r="D1065" i="6"/>
  <c r="L1065" i="6" s="1"/>
  <c r="E1065" i="6"/>
  <c r="F1065" i="6"/>
  <c r="H1065" i="6"/>
  <c r="I1065" i="6"/>
  <c r="N1065" i="6"/>
  <c r="R1065" i="6"/>
  <c r="Q1065" i="6" s="1"/>
  <c r="S1065" i="6" s="1"/>
  <c r="T1065" i="6"/>
  <c r="B1066" i="6"/>
  <c r="C1066" i="6"/>
  <c r="D1066" i="6"/>
  <c r="E1066" i="6"/>
  <c r="F1066" i="6"/>
  <c r="H1066" i="6"/>
  <c r="I1066" i="6"/>
  <c r="L1066" i="6"/>
  <c r="N1066" i="6"/>
  <c r="Q1066" i="6"/>
  <c r="R1066" i="6"/>
  <c r="S1066" i="6"/>
  <c r="T1066" i="6"/>
  <c r="B1067" i="6"/>
  <c r="C1067" i="6"/>
  <c r="D1067" i="6"/>
  <c r="L1067" i="6" s="1"/>
  <c r="E1067" i="6"/>
  <c r="F1067" i="6"/>
  <c r="H1067" i="6"/>
  <c r="I1067" i="6"/>
  <c r="N1067" i="6"/>
  <c r="R1067" i="6"/>
  <c r="Q1067" i="6" s="1"/>
  <c r="S1067" i="6" s="1"/>
  <c r="T1067" i="6"/>
  <c r="B1069" i="6"/>
  <c r="C1069" i="6"/>
  <c r="D1069" i="6"/>
  <c r="E1069" i="6"/>
  <c r="F1069" i="6"/>
  <c r="G1069" i="6"/>
  <c r="H1069" i="6"/>
  <c r="I1069" i="6"/>
  <c r="J1069" i="6"/>
  <c r="K1069" i="6"/>
  <c r="N1069" i="6"/>
  <c r="O1069" i="6"/>
  <c r="P1069" i="6"/>
  <c r="R1069" i="6"/>
  <c r="T1069" i="6"/>
  <c r="B1070" i="6"/>
  <c r="C1070" i="6"/>
  <c r="D1070" i="6"/>
  <c r="E1070" i="6"/>
  <c r="F1070" i="6"/>
  <c r="G1070" i="6"/>
  <c r="H1070" i="6"/>
  <c r="I1070" i="6"/>
  <c r="J1070" i="6"/>
  <c r="K1070" i="6"/>
  <c r="N1070" i="6"/>
  <c r="O1070" i="6"/>
  <c r="P1070" i="6"/>
  <c r="R1070" i="6"/>
  <c r="T1070" i="6"/>
  <c r="B1071" i="6"/>
  <c r="C1071" i="6"/>
  <c r="D1071" i="6"/>
  <c r="E1071" i="6"/>
  <c r="F1071" i="6"/>
  <c r="G1071" i="6"/>
  <c r="H1071" i="6"/>
  <c r="I1071" i="6"/>
  <c r="J1071" i="6"/>
  <c r="K1071" i="6"/>
  <c r="N1071" i="6"/>
  <c r="O1071" i="6"/>
  <c r="P1071" i="6"/>
  <c r="R1071" i="6"/>
  <c r="T1071" i="6"/>
  <c r="B1072" i="6"/>
  <c r="C1072" i="6"/>
  <c r="D1072" i="6"/>
  <c r="E1072" i="6"/>
  <c r="F1072" i="6"/>
  <c r="G1072" i="6"/>
  <c r="H1072" i="6"/>
  <c r="I1072" i="6"/>
  <c r="J1072" i="6"/>
  <c r="K1072" i="6"/>
  <c r="N1072" i="6"/>
  <c r="O1072" i="6"/>
  <c r="P1072" i="6"/>
  <c r="Q1072" i="6"/>
  <c r="R1072" i="6"/>
  <c r="S1072" i="6"/>
  <c r="T1072" i="6"/>
  <c r="B1073" i="6"/>
  <c r="C1073" i="6"/>
  <c r="D1073" i="6"/>
  <c r="E1073" i="6"/>
  <c r="F1073" i="6"/>
  <c r="G1073" i="6"/>
  <c r="H1073" i="6"/>
  <c r="I1073" i="6"/>
  <c r="J1073" i="6"/>
  <c r="K1073" i="6"/>
  <c r="M1073" i="6"/>
  <c r="N1073" i="6"/>
  <c r="O1073" i="6"/>
  <c r="P1073" i="6"/>
  <c r="Q1073" i="6"/>
  <c r="R1073" i="6"/>
  <c r="S1073" i="6"/>
  <c r="T1073" i="6"/>
  <c r="B1074" i="6"/>
  <c r="C1074" i="6"/>
  <c r="D1074" i="6"/>
  <c r="E1074" i="6"/>
  <c r="F1074" i="6"/>
  <c r="G1074" i="6"/>
  <c r="H1074" i="6"/>
  <c r="I1074" i="6"/>
  <c r="J1074" i="6"/>
  <c r="K1074" i="6"/>
  <c r="L1074" i="6"/>
  <c r="M1074" i="6"/>
  <c r="N1074" i="6"/>
  <c r="O1074" i="6"/>
  <c r="P1074" i="6"/>
  <c r="Q1074" i="6"/>
  <c r="R1074" i="6"/>
  <c r="S1074" i="6"/>
  <c r="T1074" i="6"/>
  <c r="B1075" i="6"/>
  <c r="C1075" i="6"/>
  <c r="D1075" i="6"/>
  <c r="E1075" i="6"/>
  <c r="F1075" i="6"/>
  <c r="G1075" i="6"/>
  <c r="H1075" i="6"/>
  <c r="I1075" i="6"/>
  <c r="J1075" i="6"/>
  <c r="K1075" i="6"/>
  <c r="L1075" i="6"/>
  <c r="M1075" i="6"/>
  <c r="N1075" i="6"/>
  <c r="O1075" i="6"/>
  <c r="P1075" i="6"/>
  <c r="Q1075" i="6"/>
  <c r="R1075" i="6"/>
  <c r="S1075" i="6"/>
  <c r="T1075" i="6"/>
  <c r="B1076" i="6"/>
  <c r="C1076" i="6"/>
  <c r="D1076" i="6"/>
  <c r="E1076" i="6"/>
  <c r="F1076" i="6"/>
  <c r="G1076" i="6"/>
  <c r="H1076" i="6"/>
  <c r="I1076" i="6"/>
  <c r="J1076" i="6"/>
  <c r="K1076" i="6"/>
  <c r="L1076" i="6"/>
  <c r="M1076" i="6"/>
  <c r="N1076" i="6"/>
  <c r="O1076" i="6"/>
  <c r="P1076" i="6"/>
  <c r="Q1076" i="6"/>
  <c r="R1076" i="6"/>
  <c r="S1076" i="6"/>
  <c r="T1076" i="6"/>
  <c r="B1077" i="6"/>
  <c r="C1077" i="6"/>
  <c r="D1077" i="6"/>
  <c r="E1077" i="6"/>
  <c r="F1077" i="6"/>
  <c r="G1077" i="6"/>
  <c r="H1077" i="6"/>
  <c r="I1077" i="6"/>
  <c r="J1077" i="6"/>
  <c r="K1077" i="6"/>
  <c r="L1077" i="6"/>
  <c r="M1077" i="6"/>
  <c r="N1077" i="6"/>
  <c r="O1077" i="6"/>
  <c r="P1077" i="6"/>
  <c r="Q1077" i="6"/>
  <c r="R1077" i="6"/>
  <c r="S1077" i="6"/>
  <c r="T1077" i="6"/>
  <c r="B1078" i="6"/>
  <c r="C1078" i="6"/>
  <c r="D1078" i="6"/>
  <c r="E1078" i="6"/>
  <c r="F1078" i="6"/>
  <c r="G1078" i="6"/>
  <c r="H1078" i="6"/>
  <c r="I1078" i="6"/>
  <c r="J1078" i="6"/>
  <c r="K1078" i="6"/>
  <c r="L1078" i="6"/>
  <c r="M1078" i="6"/>
  <c r="N1078" i="6"/>
  <c r="O1078" i="6"/>
  <c r="P1078" i="6"/>
  <c r="Q1078" i="6"/>
  <c r="R1078" i="6"/>
  <c r="S1078" i="6"/>
  <c r="T1078" i="6"/>
  <c r="B1079" i="6"/>
  <c r="C1079" i="6"/>
  <c r="D1079" i="6"/>
  <c r="E1079" i="6"/>
  <c r="F1079" i="6"/>
  <c r="G1079" i="6"/>
  <c r="H1079" i="6"/>
  <c r="I1079" i="6"/>
  <c r="J1079" i="6"/>
  <c r="K1079" i="6"/>
  <c r="L1079" i="6"/>
  <c r="M1079" i="6"/>
  <c r="N1079" i="6"/>
  <c r="O1079" i="6"/>
  <c r="P1079" i="6"/>
  <c r="Q1079" i="6"/>
  <c r="R1079" i="6"/>
  <c r="S1079" i="6"/>
  <c r="T1079" i="6"/>
  <c r="B1080" i="6"/>
  <c r="C1080" i="6"/>
  <c r="D1080" i="6"/>
  <c r="E1080" i="6"/>
  <c r="F1080" i="6"/>
  <c r="G1080" i="6"/>
  <c r="H1080" i="6"/>
  <c r="I1080" i="6"/>
  <c r="J1080" i="6"/>
  <c r="K1080" i="6"/>
  <c r="L1080" i="6"/>
  <c r="M1080" i="6"/>
  <c r="N1080" i="6"/>
  <c r="O1080" i="6"/>
  <c r="P1080" i="6"/>
  <c r="Q1080" i="6"/>
  <c r="R1080" i="6"/>
  <c r="S1080" i="6"/>
  <c r="T1080" i="6"/>
  <c r="B1081" i="6"/>
  <c r="C1081" i="6"/>
  <c r="D1081" i="6"/>
  <c r="E1081" i="6"/>
  <c r="F1081" i="6"/>
  <c r="G1081" i="6"/>
  <c r="H1081" i="6"/>
  <c r="I1081" i="6"/>
  <c r="J1081" i="6"/>
  <c r="K1081" i="6"/>
  <c r="L1081" i="6"/>
  <c r="M1081" i="6"/>
  <c r="N1081" i="6"/>
  <c r="O1081" i="6"/>
  <c r="P1081" i="6"/>
  <c r="Q1081" i="6"/>
  <c r="R1081" i="6"/>
  <c r="S1081" i="6"/>
  <c r="T1081" i="6"/>
  <c r="B1082" i="6"/>
  <c r="C1082" i="6"/>
  <c r="D1082" i="6"/>
  <c r="E1082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B1083" i="6"/>
  <c r="C1083" i="6"/>
  <c r="D1083" i="6"/>
  <c r="E1083" i="6"/>
  <c r="F1083" i="6"/>
  <c r="G1083" i="6"/>
  <c r="H1083" i="6"/>
  <c r="I1083" i="6"/>
  <c r="J1083" i="6"/>
  <c r="K1083" i="6"/>
  <c r="L1083" i="6"/>
  <c r="M1083" i="6"/>
  <c r="N1083" i="6"/>
  <c r="O1083" i="6"/>
  <c r="P1083" i="6"/>
  <c r="Q1083" i="6"/>
  <c r="R1083" i="6"/>
  <c r="S1083" i="6"/>
  <c r="T1083" i="6"/>
  <c r="B1084" i="6"/>
  <c r="C1084" i="6"/>
  <c r="D1084" i="6"/>
  <c r="E1084" i="6"/>
  <c r="F1084" i="6"/>
  <c r="G1084" i="6"/>
  <c r="H1084" i="6"/>
  <c r="I1084" i="6"/>
  <c r="J1084" i="6"/>
  <c r="K1084" i="6"/>
  <c r="L1084" i="6"/>
  <c r="M1084" i="6"/>
  <c r="N1084" i="6"/>
  <c r="O1084" i="6"/>
  <c r="P1084" i="6"/>
  <c r="Q1084" i="6"/>
  <c r="R1084" i="6"/>
  <c r="S1084" i="6"/>
  <c r="T1084" i="6"/>
  <c r="B1085" i="6"/>
  <c r="C1085" i="6"/>
  <c r="D1085" i="6"/>
  <c r="E1085" i="6"/>
  <c r="F1085" i="6"/>
  <c r="G1085" i="6"/>
  <c r="H1085" i="6"/>
  <c r="I1085" i="6"/>
  <c r="J1085" i="6"/>
  <c r="K1085" i="6"/>
  <c r="L1085" i="6"/>
  <c r="M1085" i="6"/>
  <c r="N1085" i="6"/>
  <c r="O1085" i="6"/>
  <c r="P1085" i="6"/>
  <c r="Q1085" i="6"/>
  <c r="R1085" i="6"/>
  <c r="S1085" i="6"/>
  <c r="T1085" i="6"/>
  <c r="B1086" i="6"/>
  <c r="C1086" i="6"/>
  <c r="D1086" i="6"/>
  <c r="E1086" i="6"/>
  <c r="F1086" i="6"/>
  <c r="G1086" i="6"/>
  <c r="H1086" i="6"/>
  <c r="I1086" i="6"/>
  <c r="J1086" i="6"/>
  <c r="K1086" i="6"/>
  <c r="L1086" i="6"/>
  <c r="M1086" i="6"/>
  <c r="N1086" i="6"/>
  <c r="O1086" i="6"/>
  <c r="P1086" i="6"/>
  <c r="Q1086" i="6"/>
  <c r="R1086" i="6"/>
  <c r="S1086" i="6"/>
  <c r="T1086" i="6"/>
  <c r="B1087" i="6"/>
  <c r="C1087" i="6"/>
  <c r="D1087" i="6"/>
  <c r="E1087" i="6"/>
  <c r="F1087" i="6"/>
  <c r="G1087" i="6"/>
  <c r="H1087" i="6"/>
  <c r="I1087" i="6"/>
  <c r="J1087" i="6"/>
  <c r="K1087" i="6"/>
  <c r="L1087" i="6"/>
  <c r="M1087" i="6"/>
  <c r="N1087" i="6"/>
  <c r="O1087" i="6"/>
  <c r="P1087" i="6"/>
  <c r="Q1087" i="6"/>
  <c r="R1087" i="6"/>
  <c r="S1087" i="6"/>
  <c r="T1087" i="6"/>
  <c r="B1088" i="6"/>
  <c r="C1088" i="6"/>
  <c r="D1088" i="6"/>
  <c r="E1088" i="6"/>
  <c r="F1088" i="6"/>
  <c r="G1088" i="6"/>
  <c r="H1088" i="6"/>
  <c r="I1088" i="6"/>
  <c r="J1088" i="6"/>
  <c r="K1088" i="6"/>
  <c r="L1088" i="6"/>
  <c r="M1088" i="6"/>
  <c r="N1088" i="6"/>
  <c r="O1088" i="6"/>
  <c r="P1088" i="6"/>
  <c r="Q1088" i="6"/>
  <c r="R1088" i="6"/>
  <c r="S1088" i="6"/>
  <c r="T1088" i="6"/>
  <c r="B1089" i="6"/>
  <c r="C1089" i="6"/>
  <c r="D1089" i="6"/>
  <c r="E1089" i="6"/>
  <c r="F1089" i="6"/>
  <c r="G1089" i="6"/>
  <c r="H1089" i="6"/>
  <c r="I1089" i="6"/>
  <c r="J1089" i="6"/>
  <c r="K1089" i="6"/>
  <c r="L1089" i="6"/>
  <c r="M1089" i="6"/>
  <c r="N1089" i="6"/>
  <c r="O1089" i="6"/>
  <c r="P1089" i="6"/>
  <c r="Q1089" i="6"/>
  <c r="R1089" i="6"/>
  <c r="S1089" i="6"/>
  <c r="T1089" i="6"/>
  <c r="B1090" i="6"/>
  <c r="C1090" i="6"/>
  <c r="D1090" i="6"/>
  <c r="E1090" i="6"/>
  <c r="F1090" i="6"/>
  <c r="G1090" i="6"/>
  <c r="H1090" i="6"/>
  <c r="I1090" i="6"/>
  <c r="J1090" i="6"/>
  <c r="K1090" i="6"/>
  <c r="L1090" i="6"/>
  <c r="M1090" i="6"/>
  <c r="N1090" i="6"/>
  <c r="O1090" i="6"/>
  <c r="P1090" i="6"/>
  <c r="Q1090" i="6"/>
  <c r="R1090" i="6"/>
  <c r="S1090" i="6"/>
  <c r="T1090" i="6"/>
  <c r="B1091" i="6"/>
  <c r="C1091" i="6"/>
  <c r="D1091" i="6"/>
  <c r="E1091" i="6"/>
  <c r="F1091" i="6"/>
  <c r="G1091" i="6"/>
  <c r="H1091" i="6"/>
  <c r="I1091" i="6"/>
  <c r="J1091" i="6"/>
  <c r="K1091" i="6"/>
  <c r="L1091" i="6"/>
  <c r="M1091" i="6"/>
  <c r="N1091" i="6"/>
  <c r="O1091" i="6"/>
  <c r="P1091" i="6"/>
  <c r="Q1091" i="6"/>
  <c r="R1091" i="6"/>
  <c r="S1091" i="6"/>
  <c r="T1091" i="6"/>
  <c r="B1092" i="6"/>
  <c r="C1092" i="6"/>
  <c r="D1092" i="6"/>
  <c r="E1092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T1092" i="6"/>
  <c r="B1093" i="6"/>
  <c r="C1093" i="6"/>
  <c r="D1093" i="6"/>
  <c r="E1093" i="6"/>
  <c r="F1093" i="6"/>
  <c r="G1093" i="6"/>
  <c r="H1093" i="6"/>
  <c r="I1093" i="6"/>
  <c r="J1093" i="6"/>
  <c r="K1093" i="6"/>
  <c r="L1093" i="6"/>
  <c r="M1093" i="6"/>
  <c r="N1093" i="6"/>
  <c r="O1093" i="6"/>
  <c r="P1093" i="6"/>
  <c r="Q1093" i="6"/>
  <c r="R1093" i="6"/>
  <c r="S1093" i="6"/>
  <c r="T1093" i="6"/>
  <c r="A1094" i="6"/>
  <c r="B1094" i="6" s="1"/>
  <c r="C1094" i="6"/>
  <c r="D1094" i="6"/>
  <c r="E1094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A1095" i="6"/>
  <c r="B1095" i="6" s="1"/>
  <c r="C1095" i="6"/>
  <c r="D1095" i="6"/>
  <c r="E1095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A1096" i="6"/>
  <c r="B1096" i="6" s="1"/>
  <c r="C1096" i="6"/>
  <c r="D1096" i="6"/>
  <c r="E1096" i="6"/>
  <c r="F1096" i="6"/>
  <c r="G1096" i="6"/>
  <c r="H1096" i="6"/>
  <c r="I1096" i="6"/>
  <c r="J1096" i="6"/>
  <c r="K1096" i="6"/>
  <c r="L1096" i="6"/>
  <c r="M1096" i="6"/>
  <c r="N1096" i="6"/>
  <c r="O1096" i="6"/>
  <c r="P1096" i="6"/>
  <c r="Q1096" i="6"/>
  <c r="R1096" i="6"/>
  <c r="S1096" i="6"/>
  <c r="T1096" i="6"/>
  <c r="A1097" i="6"/>
  <c r="B1097" i="6" s="1"/>
  <c r="C1097" i="6"/>
  <c r="D1097" i="6"/>
  <c r="E1097" i="6"/>
  <c r="F1097" i="6"/>
  <c r="G1097" i="6"/>
  <c r="H1097" i="6"/>
  <c r="I1097" i="6"/>
  <c r="J1097" i="6"/>
  <c r="K1097" i="6"/>
  <c r="L1097" i="6"/>
  <c r="M1097" i="6"/>
  <c r="N1097" i="6"/>
  <c r="O1097" i="6"/>
  <c r="P1097" i="6"/>
  <c r="Q1097" i="6"/>
  <c r="R1097" i="6"/>
  <c r="S1097" i="6"/>
  <c r="T1097" i="6"/>
  <c r="A1098" i="6"/>
  <c r="B1098" i="6" s="1"/>
  <c r="C1098" i="6"/>
  <c r="D1098" i="6"/>
  <c r="E1098" i="6"/>
  <c r="F1098" i="6"/>
  <c r="G1098" i="6"/>
  <c r="H1098" i="6"/>
  <c r="I1098" i="6"/>
  <c r="J1098" i="6"/>
  <c r="K1098" i="6"/>
  <c r="L1098" i="6"/>
  <c r="M1098" i="6"/>
  <c r="N1098" i="6"/>
  <c r="O1098" i="6"/>
  <c r="P1098" i="6"/>
  <c r="Q1098" i="6"/>
  <c r="R1098" i="6"/>
  <c r="S1098" i="6"/>
  <c r="T1098" i="6"/>
  <c r="A1099" i="6"/>
  <c r="B1099" i="6" s="1"/>
  <c r="C1099" i="6"/>
  <c r="D1099" i="6"/>
  <c r="E1099" i="6"/>
  <c r="F1099" i="6"/>
  <c r="G1099" i="6"/>
  <c r="H1099" i="6"/>
  <c r="I1099" i="6"/>
  <c r="J1099" i="6"/>
  <c r="K1099" i="6"/>
  <c r="L1099" i="6"/>
  <c r="M1099" i="6"/>
  <c r="N1099" i="6"/>
  <c r="O1099" i="6"/>
  <c r="P1099" i="6"/>
  <c r="Q1099" i="6"/>
  <c r="R1099" i="6"/>
  <c r="S1099" i="6"/>
  <c r="T1099" i="6"/>
  <c r="A1100" i="6"/>
  <c r="B1100" i="6" s="1"/>
  <c r="C1100" i="6"/>
  <c r="D1100" i="6"/>
  <c r="E1100" i="6"/>
  <c r="F1100" i="6"/>
  <c r="G1100" i="6"/>
  <c r="H1100" i="6"/>
  <c r="I1100" i="6"/>
  <c r="J1100" i="6"/>
  <c r="K1100" i="6"/>
  <c r="L1100" i="6"/>
  <c r="M1100" i="6"/>
  <c r="N1100" i="6"/>
  <c r="O1100" i="6"/>
  <c r="P1100" i="6"/>
  <c r="Q1100" i="6"/>
  <c r="R1100" i="6"/>
  <c r="S1100" i="6"/>
  <c r="T1100" i="6"/>
  <c r="A1101" i="6"/>
  <c r="B1101" i="6" s="1"/>
  <c r="C1101" i="6"/>
  <c r="D1101" i="6"/>
  <c r="E1101" i="6"/>
  <c r="F1101" i="6"/>
  <c r="G1101" i="6"/>
  <c r="H1101" i="6"/>
  <c r="I1101" i="6"/>
  <c r="J1101" i="6"/>
  <c r="K1101" i="6"/>
  <c r="L1101" i="6"/>
  <c r="M1101" i="6"/>
  <c r="N1101" i="6"/>
  <c r="O1101" i="6"/>
  <c r="P1101" i="6"/>
  <c r="Q1101" i="6"/>
  <c r="R1101" i="6"/>
  <c r="S1101" i="6"/>
  <c r="T1101" i="6"/>
  <c r="A1102" i="6"/>
  <c r="B1102" i="6" s="1"/>
  <c r="C1102" i="6"/>
  <c r="D1102" i="6"/>
  <c r="E1102" i="6"/>
  <c r="F1102" i="6"/>
  <c r="G1102" i="6"/>
  <c r="H1102" i="6"/>
  <c r="I1102" i="6"/>
  <c r="J1102" i="6"/>
  <c r="K1102" i="6"/>
  <c r="L1102" i="6"/>
  <c r="M1102" i="6"/>
  <c r="N1102" i="6"/>
  <c r="O1102" i="6"/>
  <c r="P1102" i="6"/>
  <c r="Q1102" i="6"/>
  <c r="R1102" i="6"/>
  <c r="S1102" i="6"/>
  <c r="T1102" i="6"/>
  <c r="A1103" i="6"/>
  <c r="B1103" i="6" s="1"/>
  <c r="C1103" i="6"/>
  <c r="D1103" i="6"/>
  <c r="E1103" i="6"/>
  <c r="F1103" i="6"/>
  <c r="G1103" i="6"/>
  <c r="H1103" i="6"/>
  <c r="I1103" i="6"/>
  <c r="J1103" i="6"/>
  <c r="K1103" i="6"/>
  <c r="L1103" i="6"/>
  <c r="M1103" i="6"/>
  <c r="N1103" i="6"/>
  <c r="O1103" i="6"/>
  <c r="P1103" i="6"/>
  <c r="Q1103" i="6"/>
  <c r="R1103" i="6"/>
  <c r="S1103" i="6"/>
  <c r="T1103" i="6"/>
  <c r="A1104" i="6"/>
  <c r="B1104" i="6" s="1"/>
  <c r="C1104" i="6"/>
  <c r="D1104" i="6"/>
  <c r="E1104" i="6"/>
  <c r="F1104" i="6"/>
  <c r="G1104" i="6"/>
  <c r="H1104" i="6"/>
  <c r="I1104" i="6"/>
  <c r="J1104" i="6"/>
  <c r="K1104" i="6"/>
  <c r="L1104" i="6"/>
  <c r="M1104" i="6"/>
  <c r="N1104" i="6"/>
  <c r="O1104" i="6"/>
  <c r="P1104" i="6"/>
  <c r="Q1104" i="6"/>
  <c r="R1104" i="6"/>
  <c r="S1104" i="6"/>
  <c r="T1104" i="6"/>
  <c r="A1105" i="6"/>
  <c r="B1105" i="6" s="1"/>
  <c r="C1105" i="6"/>
  <c r="D1105" i="6"/>
  <c r="E1105" i="6"/>
  <c r="F1105" i="6"/>
  <c r="G1105" i="6"/>
  <c r="H1105" i="6"/>
  <c r="I1105" i="6"/>
  <c r="J1105" i="6"/>
  <c r="K1105" i="6"/>
  <c r="L1105" i="6"/>
  <c r="M1105" i="6"/>
  <c r="N1105" i="6"/>
  <c r="O1105" i="6"/>
  <c r="P1105" i="6"/>
  <c r="Q1105" i="6"/>
  <c r="R1105" i="6"/>
  <c r="S1105" i="6"/>
  <c r="T1105" i="6"/>
  <c r="A1106" i="6"/>
  <c r="B1106" i="6" s="1"/>
  <c r="C1106" i="6"/>
  <c r="D1106" i="6"/>
  <c r="E1106" i="6"/>
  <c r="F1106" i="6"/>
  <c r="G1106" i="6"/>
  <c r="H1106" i="6"/>
  <c r="I1106" i="6"/>
  <c r="J1106" i="6"/>
  <c r="K1106" i="6"/>
  <c r="L1106" i="6"/>
  <c r="M1106" i="6"/>
  <c r="N1106" i="6"/>
  <c r="O1106" i="6"/>
  <c r="P1106" i="6"/>
  <c r="Q1106" i="6"/>
  <c r="R1106" i="6"/>
  <c r="S1106" i="6"/>
  <c r="T1106" i="6"/>
  <c r="A1107" i="6"/>
  <c r="B1107" i="6" s="1"/>
  <c r="C1107" i="6"/>
  <c r="D1107" i="6"/>
  <c r="E1107" i="6"/>
  <c r="F1107" i="6"/>
  <c r="G1107" i="6"/>
  <c r="H1107" i="6"/>
  <c r="I1107" i="6"/>
  <c r="J1107" i="6"/>
  <c r="K1107" i="6"/>
  <c r="L1107" i="6"/>
  <c r="M1107" i="6"/>
  <c r="N1107" i="6"/>
  <c r="O1107" i="6"/>
  <c r="P1107" i="6"/>
  <c r="Q1107" i="6"/>
  <c r="R1107" i="6"/>
  <c r="S1107" i="6"/>
  <c r="T1107" i="6"/>
  <c r="A1108" i="6"/>
  <c r="B1108" i="6" s="1"/>
  <c r="C1108" i="6"/>
  <c r="D1108" i="6"/>
  <c r="E1108" i="6"/>
  <c r="F1108" i="6"/>
  <c r="G1108" i="6"/>
  <c r="H1108" i="6"/>
  <c r="I1108" i="6"/>
  <c r="J1108" i="6"/>
  <c r="K1108" i="6"/>
  <c r="L1108" i="6"/>
  <c r="M1108" i="6"/>
  <c r="N1108" i="6"/>
  <c r="O1108" i="6"/>
  <c r="P1108" i="6"/>
  <c r="Q1108" i="6"/>
  <c r="R1108" i="6"/>
  <c r="S1108" i="6"/>
  <c r="T1108" i="6"/>
  <c r="A1109" i="6"/>
  <c r="B1109" i="6" s="1"/>
  <c r="C1109" i="6"/>
  <c r="D1109" i="6"/>
  <c r="E1109" i="6"/>
  <c r="F1109" i="6"/>
  <c r="G1109" i="6"/>
  <c r="H1109" i="6"/>
  <c r="I1109" i="6"/>
  <c r="J1109" i="6"/>
  <c r="K1109" i="6"/>
  <c r="L1109" i="6"/>
  <c r="M1109" i="6"/>
  <c r="N1109" i="6"/>
  <c r="O1109" i="6"/>
  <c r="P1109" i="6"/>
  <c r="Q1109" i="6"/>
  <c r="R1109" i="6"/>
  <c r="S1109" i="6"/>
  <c r="T1109" i="6"/>
  <c r="A1110" i="6"/>
  <c r="B1110" i="6" s="1"/>
  <c r="C1110" i="6"/>
  <c r="D1110" i="6"/>
  <c r="E1110" i="6"/>
  <c r="F1110" i="6"/>
  <c r="G1110" i="6"/>
  <c r="H1110" i="6"/>
  <c r="I1110" i="6"/>
  <c r="J1110" i="6"/>
  <c r="K1110" i="6"/>
  <c r="L1110" i="6"/>
  <c r="M1110" i="6"/>
  <c r="N1110" i="6"/>
  <c r="O1110" i="6"/>
  <c r="P1110" i="6"/>
  <c r="Q1110" i="6"/>
  <c r="R1110" i="6"/>
  <c r="S1110" i="6"/>
  <c r="T1110" i="6"/>
  <c r="A1111" i="6"/>
  <c r="B1111" i="6" s="1"/>
  <c r="C1111" i="6"/>
  <c r="D1111" i="6"/>
  <c r="E1111" i="6"/>
  <c r="F1111" i="6"/>
  <c r="G1111" i="6"/>
  <c r="H1111" i="6"/>
  <c r="I1111" i="6"/>
  <c r="J1111" i="6"/>
  <c r="K1111" i="6"/>
  <c r="L1111" i="6"/>
  <c r="M1111" i="6"/>
  <c r="N1111" i="6"/>
  <c r="O1111" i="6"/>
  <c r="P1111" i="6"/>
  <c r="Q1111" i="6"/>
  <c r="R1111" i="6"/>
  <c r="S1111" i="6"/>
  <c r="T1111" i="6"/>
  <c r="A1112" i="6"/>
  <c r="B1112" i="6" s="1"/>
  <c r="C1112" i="6"/>
  <c r="D1112" i="6"/>
  <c r="E1112" i="6"/>
  <c r="F1112" i="6"/>
  <c r="G1112" i="6"/>
  <c r="H1112" i="6"/>
  <c r="I1112" i="6"/>
  <c r="J1112" i="6"/>
  <c r="K1112" i="6"/>
  <c r="L1112" i="6"/>
  <c r="M1112" i="6"/>
  <c r="N1112" i="6"/>
  <c r="O1112" i="6"/>
  <c r="P1112" i="6"/>
  <c r="Q1112" i="6"/>
  <c r="R1112" i="6"/>
  <c r="S1112" i="6"/>
  <c r="T1112" i="6"/>
  <c r="A1113" i="6"/>
  <c r="B1113" i="6" s="1"/>
  <c r="C1113" i="6"/>
  <c r="D1113" i="6"/>
  <c r="E1113" i="6"/>
  <c r="F1113" i="6"/>
  <c r="G1113" i="6"/>
  <c r="H1113" i="6"/>
  <c r="I1113" i="6"/>
  <c r="J1113" i="6"/>
  <c r="K1113" i="6"/>
  <c r="L1113" i="6"/>
  <c r="M1113" i="6"/>
  <c r="N1113" i="6"/>
  <c r="O1113" i="6"/>
  <c r="P1113" i="6"/>
  <c r="Q1113" i="6"/>
  <c r="R1113" i="6"/>
  <c r="S1113" i="6"/>
  <c r="T1113" i="6"/>
  <c r="A1114" i="6"/>
  <c r="B1114" i="6" s="1"/>
  <c r="C1114" i="6"/>
  <c r="D1114" i="6"/>
  <c r="E1114" i="6"/>
  <c r="F1114" i="6"/>
  <c r="G1114" i="6"/>
  <c r="H1114" i="6"/>
  <c r="I1114" i="6"/>
  <c r="J1114" i="6"/>
  <c r="K1114" i="6"/>
  <c r="L1114" i="6"/>
  <c r="M1114" i="6"/>
  <c r="N1114" i="6"/>
  <c r="O1114" i="6"/>
  <c r="P1114" i="6"/>
  <c r="Q1114" i="6"/>
  <c r="R1114" i="6"/>
  <c r="S1114" i="6"/>
  <c r="T1114" i="6"/>
  <c r="A1115" i="6"/>
  <c r="B1115" i="6" s="1"/>
  <c r="C1115" i="6"/>
  <c r="D1115" i="6"/>
  <c r="E1115" i="6"/>
  <c r="F1115" i="6"/>
  <c r="G1115" i="6"/>
  <c r="H1115" i="6"/>
  <c r="I1115" i="6"/>
  <c r="J1115" i="6"/>
  <c r="K1115" i="6"/>
  <c r="L1115" i="6"/>
  <c r="M1115" i="6"/>
  <c r="N1115" i="6"/>
  <c r="O1115" i="6"/>
  <c r="P1115" i="6"/>
  <c r="Q1115" i="6"/>
  <c r="R1115" i="6"/>
  <c r="S1115" i="6"/>
  <c r="T1115" i="6"/>
  <c r="A1116" i="6"/>
  <c r="B1116" i="6" s="1"/>
  <c r="C1116" i="6"/>
  <c r="D1116" i="6"/>
  <c r="E1116" i="6"/>
  <c r="F1116" i="6"/>
  <c r="G1116" i="6"/>
  <c r="H1116" i="6"/>
  <c r="I1116" i="6"/>
  <c r="J1116" i="6"/>
  <c r="K1116" i="6"/>
  <c r="L1116" i="6"/>
  <c r="M1116" i="6"/>
  <c r="N1116" i="6"/>
  <c r="O1116" i="6"/>
  <c r="P1116" i="6"/>
  <c r="Q1116" i="6"/>
  <c r="R1116" i="6"/>
  <c r="S1116" i="6"/>
  <c r="T1116" i="6"/>
  <c r="A1117" i="6"/>
  <c r="B1117" i="6" s="1"/>
  <c r="C1117" i="6"/>
  <c r="D1117" i="6"/>
  <c r="E1117" i="6"/>
  <c r="F1117" i="6"/>
  <c r="G1117" i="6"/>
  <c r="H1117" i="6"/>
  <c r="I1117" i="6"/>
  <c r="J1117" i="6"/>
  <c r="K1117" i="6"/>
  <c r="L1117" i="6"/>
  <c r="M1117" i="6"/>
  <c r="N1117" i="6"/>
  <c r="O1117" i="6"/>
  <c r="P1117" i="6"/>
  <c r="Q1117" i="6"/>
  <c r="R1117" i="6"/>
  <c r="S1117" i="6"/>
  <c r="T1117" i="6"/>
  <c r="A1118" i="6"/>
  <c r="B1118" i="6" s="1"/>
  <c r="C1118" i="6"/>
  <c r="E1118" i="6"/>
  <c r="G1118" i="6"/>
  <c r="I1118" i="6"/>
  <c r="K1118" i="6"/>
  <c r="M1118" i="6"/>
  <c r="O1118" i="6"/>
  <c r="Q1118" i="6"/>
  <c r="S1118" i="6"/>
  <c r="A1119" i="6"/>
  <c r="B1119" i="6" s="1"/>
  <c r="C1119" i="6"/>
  <c r="E1119" i="6"/>
  <c r="G1119" i="6"/>
  <c r="I1119" i="6"/>
  <c r="K1119" i="6"/>
  <c r="M1119" i="6"/>
  <c r="O1119" i="6"/>
  <c r="Q1119" i="6"/>
  <c r="S1119" i="6"/>
  <c r="A1120" i="6"/>
  <c r="B1120" i="6" s="1"/>
  <c r="C1120" i="6"/>
  <c r="E1120" i="6"/>
  <c r="G1120" i="6"/>
  <c r="I1120" i="6"/>
  <c r="K1120" i="6"/>
  <c r="M1120" i="6"/>
  <c r="O1120" i="6"/>
  <c r="Q1120" i="6"/>
  <c r="S1120" i="6"/>
  <c r="A1121" i="6"/>
  <c r="B1121" i="6" s="1"/>
  <c r="C1121" i="6"/>
  <c r="E1121" i="6"/>
  <c r="G1121" i="6"/>
  <c r="I1121" i="6"/>
  <c r="K1121" i="6"/>
  <c r="M1121" i="6"/>
  <c r="O1121" i="6"/>
  <c r="Q1121" i="6"/>
  <c r="S1121" i="6"/>
  <c r="A1122" i="6"/>
  <c r="B1122" i="6" s="1"/>
  <c r="C1122" i="6"/>
  <c r="E1122" i="6"/>
  <c r="G1122" i="6"/>
  <c r="I1122" i="6"/>
  <c r="K1122" i="6"/>
  <c r="M1122" i="6"/>
  <c r="O1122" i="6"/>
  <c r="Q1122" i="6"/>
  <c r="S1122" i="6"/>
  <c r="A1123" i="6"/>
  <c r="B1123" i="6" s="1"/>
  <c r="C1123" i="6"/>
  <c r="E1123" i="6"/>
  <c r="G1123" i="6"/>
  <c r="I1123" i="6"/>
  <c r="K1123" i="6"/>
  <c r="M1123" i="6"/>
  <c r="O1123" i="6"/>
  <c r="Q1123" i="6"/>
  <c r="S1123" i="6"/>
  <c r="A1124" i="6"/>
  <c r="B1124" i="6" s="1"/>
  <c r="C1124" i="6"/>
  <c r="E1124" i="6"/>
  <c r="G1124" i="6"/>
  <c r="I1124" i="6"/>
  <c r="K1124" i="6"/>
  <c r="M1124" i="6"/>
  <c r="O1124" i="6"/>
  <c r="Q1124" i="6"/>
  <c r="S1124" i="6"/>
  <c r="A1125" i="6"/>
  <c r="B1125" i="6" s="1"/>
  <c r="C1125" i="6"/>
  <c r="E1125" i="6"/>
  <c r="G1125" i="6"/>
  <c r="I1125" i="6"/>
  <c r="K1125" i="6"/>
  <c r="M1125" i="6"/>
  <c r="O1125" i="6"/>
  <c r="Q1125" i="6"/>
  <c r="S1125" i="6"/>
  <c r="A1126" i="6"/>
  <c r="B1126" i="6" s="1"/>
  <c r="C1126" i="6"/>
  <c r="E1126" i="6"/>
  <c r="G1126" i="6"/>
  <c r="I1126" i="6"/>
  <c r="K1126" i="6"/>
  <c r="M1126" i="6"/>
  <c r="O1126" i="6"/>
  <c r="Q1126" i="6"/>
  <c r="S1126" i="6"/>
  <c r="A1127" i="6"/>
  <c r="B1127" i="6" s="1"/>
  <c r="C1127" i="6"/>
  <c r="E1127" i="6"/>
  <c r="G1127" i="6"/>
  <c r="I1127" i="6"/>
  <c r="K1127" i="6"/>
  <c r="M1127" i="6"/>
  <c r="O1127" i="6"/>
  <c r="Q1127" i="6"/>
  <c r="S1127" i="6"/>
  <c r="A1128" i="6"/>
  <c r="B1128" i="6" s="1"/>
  <c r="C1128" i="6"/>
  <c r="E1128" i="6"/>
  <c r="G1128" i="6"/>
  <c r="I1128" i="6"/>
  <c r="K1128" i="6"/>
  <c r="M1128" i="6"/>
  <c r="O1128" i="6"/>
  <c r="Q1128" i="6"/>
  <c r="S1128" i="6"/>
  <c r="A1129" i="6"/>
  <c r="B1129" i="6" s="1"/>
  <c r="C1129" i="6"/>
  <c r="E1129" i="6"/>
  <c r="G1129" i="6"/>
  <c r="I1129" i="6"/>
  <c r="K1129" i="6"/>
  <c r="M1129" i="6"/>
  <c r="O1129" i="6"/>
  <c r="Q1129" i="6"/>
  <c r="S1129" i="6"/>
  <c r="A1130" i="6"/>
  <c r="B1130" i="6" s="1"/>
  <c r="C1130" i="6"/>
  <c r="E1130" i="6"/>
  <c r="G1130" i="6"/>
  <c r="I1130" i="6"/>
  <c r="K1130" i="6"/>
  <c r="M1130" i="6"/>
  <c r="O1130" i="6"/>
  <c r="Q1130" i="6"/>
  <c r="S1130" i="6"/>
  <c r="A1131" i="6"/>
  <c r="B1131" i="6" s="1"/>
  <c r="C1131" i="6"/>
  <c r="E1131" i="6"/>
  <c r="G1131" i="6"/>
  <c r="I1131" i="6"/>
  <c r="K1131" i="6"/>
  <c r="M1131" i="6"/>
  <c r="O1131" i="6"/>
  <c r="Q1131" i="6"/>
  <c r="S1131" i="6"/>
  <c r="A1132" i="6"/>
  <c r="B1132" i="6" s="1"/>
  <c r="C1132" i="6"/>
  <c r="E1132" i="6"/>
  <c r="G1132" i="6"/>
  <c r="I1132" i="6"/>
  <c r="K1132" i="6"/>
  <c r="M1132" i="6"/>
  <c r="O1132" i="6"/>
  <c r="Q1132" i="6"/>
  <c r="S1132" i="6"/>
  <c r="A1133" i="6"/>
  <c r="B1133" i="6" s="1"/>
  <c r="C1133" i="6"/>
  <c r="E1133" i="6"/>
  <c r="G1133" i="6"/>
  <c r="I1133" i="6"/>
  <c r="K1133" i="6"/>
  <c r="M1133" i="6"/>
  <c r="O1133" i="6"/>
  <c r="Q1133" i="6"/>
  <c r="S1133" i="6"/>
  <c r="A1134" i="6"/>
  <c r="B1134" i="6" s="1"/>
  <c r="C1134" i="6"/>
  <c r="E1134" i="6"/>
  <c r="G1134" i="6"/>
  <c r="I1134" i="6"/>
  <c r="K1134" i="6"/>
  <c r="M1134" i="6"/>
  <c r="O1134" i="6"/>
  <c r="Q1134" i="6"/>
  <c r="S1134" i="6"/>
  <c r="A1135" i="6"/>
  <c r="B1135" i="6" s="1"/>
  <c r="C1135" i="6"/>
  <c r="E1135" i="6"/>
  <c r="G1135" i="6"/>
  <c r="I1135" i="6"/>
  <c r="K1135" i="6"/>
  <c r="M1135" i="6"/>
  <c r="O1135" i="6"/>
  <c r="Q1135" i="6"/>
  <c r="S1135" i="6"/>
  <c r="A1136" i="6"/>
  <c r="B1136" i="6" s="1"/>
  <c r="C1136" i="6"/>
  <c r="E1136" i="6"/>
  <c r="G1136" i="6"/>
  <c r="I1136" i="6"/>
  <c r="K1136" i="6"/>
  <c r="M1136" i="6"/>
  <c r="O1136" i="6"/>
  <c r="Q1136" i="6"/>
  <c r="S1136" i="6"/>
  <c r="A1137" i="6"/>
  <c r="B1137" i="6" s="1"/>
  <c r="C1137" i="6"/>
  <c r="E1137" i="6"/>
  <c r="G1137" i="6"/>
  <c r="I1137" i="6"/>
  <c r="K1137" i="6"/>
  <c r="M1137" i="6"/>
  <c r="O1137" i="6"/>
  <c r="Q1137" i="6"/>
  <c r="S1137" i="6"/>
  <c r="A1138" i="6"/>
  <c r="B1138" i="6" s="1"/>
  <c r="C1138" i="6"/>
  <c r="E1138" i="6"/>
  <c r="G1138" i="6"/>
  <c r="I1138" i="6"/>
  <c r="K1138" i="6"/>
  <c r="M1138" i="6"/>
  <c r="O1138" i="6"/>
  <c r="Q1138" i="6"/>
  <c r="S1138" i="6"/>
  <c r="A1139" i="6"/>
  <c r="B1139" i="6" s="1"/>
  <c r="C1139" i="6"/>
  <c r="E1139" i="6"/>
  <c r="G1139" i="6"/>
  <c r="I1139" i="6"/>
  <c r="K1139" i="6"/>
  <c r="M1139" i="6"/>
  <c r="O1139" i="6"/>
  <c r="Q1139" i="6"/>
  <c r="S1139" i="6"/>
  <c r="A1140" i="6"/>
  <c r="B1140" i="6" s="1"/>
  <c r="C1140" i="6"/>
  <c r="E1140" i="6"/>
  <c r="G1140" i="6"/>
  <c r="I1140" i="6"/>
  <c r="K1140" i="6"/>
  <c r="M1140" i="6"/>
  <c r="O1140" i="6"/>
  <c r="Q1140" i="6"/>
  <c r="S1140" i="6"/>
  <c r="A1141" i="6"/>
  <c r="B1141" i="6" s="1"/>
  <c r="C1141" i="6"/>
  <c r="E1141" i="6"/>
  <c r="G1141" i="6"/>
  <c r="I1141" i="6"/>
  <c r="K1141" i="6"/>
  <c r="M1141" i="6"/>
  <c r="O1141" i="6"/>
  <c r="Q1141" i="6"/>
  <c r="S1141" i="6"/>
  <c r="A1142" i="6"/>
  <c r="B1142" i="6" s="1"/>
  <c r="C1142" i="6"/>
  <c r="E1142" i="6"/>
  <c r="G1142" i="6"/>
  <c r="I1142" i="6"/>
  <c r="K1142" i="6"/>
  <c r="M1142" i="6"/>
  <c r="O1142" i="6"/>
  <c r="Q1142" i="6"/>
  <c r="S1142" i="6"/>
  <c r="A1143" i="6"/>
  <c r="B1143" i="6" s="1"/>
  <c r="C1143" i="6"/>
  <c r="E1143" i="6"/>
  <c r="G1143" i="6"/>
  <c r="I1143" i="6"/>
  <c r="K1143" i="6"/>
  <c r="M1143" i="6"/>
  <c r="O1143" i="6"/>
  <c r="Q1143" i="6"/>
  <c r="S1143" i="6"/>
  <c r="A1144" i="6"/>
  <c r="B1144" i="6" s="1"/>
  <c r="C1144" i="6"/>
  <c r="E1144" i="6"/>
  <c r="G1144" i="6"/>
  <c r="I1144" i="6"/>
  <c r="K1144" i="6"/>
  <c r="M1144" i="6"/>
  <c r="O1144" i="6"/>
  <c r="Q1144" i="6"/>
  <c r="S1144" i="6"/>
  <c r="A1145" i="6"/>
  <c r="B1145" i="6" s="1"/>
  <c r="C1145" i="6"/>
  <c r="E1145" i="6"/>
  <c r="G1145" i="6"/>
  <c r="I1145" i="6"/>
  <c r="K1145" i="6"/>
  <c r="M1145" i="6"/>
  <c r="O1145" i="6"/>
  <c r="Q1145" i="6"/>
  <c r="S1145" i="6"/>
  <c r="A1146" i="6"/>
  <c r="B1146" i="6" s="1"/>
  <c r="C1146" i="6"/>
  <c r="E1146" i="6"/>
  <c r="G1146" i="6"/>
  <c r="I1146" i="6"/>
  <c r="K1146" i="6"/>
  <c r="M1146" i="6"/>
  <c r="O1146" i="6"/>
  <c r="Q1146" i="6"/>
  <c r="S1146" i="6"/>
  <c r="A1147" i="6"/>
  <c r="B1147" i="6" s="1"/>
  <c r="C1147" i="6"/>
  <c r="E1147" i="6"/>
  <c r="G1147" i="6"/>
  <c r="I1147" i="6"/>
  <c r="K1147" i="6"/>
  <c r="M1147" i="6"/>
  <c r="O1147" i="6"/>
  <c r="Q1147" i="6"/>
  <c r="S1147" i="6"/>
  <c r="A1148" i="6"/>
  <c r="B1148" i="6" s="1"/>
  <c r="C1148" i="6"/>
  <c r="E1148" i="6"/>
  <c r="G1148" i="6"/>
  <c r="I1148" i="6"/>
  <c r="K1148" i="6"/>
  <c r="M1148" i="6"/>
  <c r="O1148" i="6"/>
  <c r="A1149" i="6"/>
  <c r="B1149" i="6" s="1"/>
  <c r="C1149" i="6"/>
  <c r="E1149" i="6"/>
  <c r="G1149" i="6"/>
  <c r="I1149" i="6"/>
  <c r="K1149" i="6"/>
  <c r="M1149" i="6"/>
  <c r="O1149" i="6"/>
  <c r="A1150" i="6"/>
  <c r="B1150" i="6" s="1"/>
  <c r="C1150" i="6"/>
  <c r="E1150" i="6"/>
  <c r="G1150" i="6"/>
  <c r="I1150" i="6"/>
  <c r="K1150" i="6"/>
  <c r="M1150" i="6"/>
  <c r="O1150" i="6"/>
  <c r="A1151" i="6"/>
  <c r="B1151" i="6" s="1"/>
  <c r="C1151" i="6"/>
  <c r="E1151" i="6"/>
  <c r="G1151" i="6"/>
  <c r="I1151" i="6"/>
  <c r="K1151" i="6"/>
  <c r="M1151" i="6"/>
  <c r="O1151" i="6"/>
  <c r="A1152" i="6"/>
  <c r="B1152" i="6" s="1"/>
  <c r="C1152" i="6"/>
  <c r="E1152" i="6"/>
  <c r="G1152" i="6"/>
  <c r="I1152" i="6"/>
  <c r="K1152" i="6"/>
  <c r="M1152" i="6"/>
  <c r="O1152" i="6"/>
  <c r="A1153" i="6"/>
  <c r="B1153" i="6" s="1"/>
  <c r="C1153" i="6"/>
  <c r="E1153" i="6"/>
  <c r="G1153" i="6"/>
  <c r="I1153" i="6"/>
  <c r="K1153" i="6"/>
  <c r="M1153" i="6"/>
  <c r="O1153" i="6"/>
  <c r="A1154" i="6"/>
  <c r="B1154" i="6" s="1"/>
  <c r="C1154" i="6"/>
  <c r="E1154" i="6"/>
  <c r="G1154" i="6"/>
  <c r="I1154" i="6"/>
  <c r="K1154" i="6"/>
  <c r="M1154" i="6"/>
  <c r="O1154" i="6"/>
  <c r="A1155" i="6"/>
  <c r="B1155" i="6" s="1"/>
  <c r="C1155" i="6"/>
  <c r="E1155" i="6"/>
  <c r="G1155" i="6"/>
  <c r="I1155" i="6"/>
  <c r="K1155" i="6"/>
  <c r="M1155" i="6"/>
  <c r="O1155" i="6"/>
  <c r="A1156" i="6"/>
  <c r="B1156" i="6" s="1"/>
  <c r="C1156" i="6"/>
  <c r="E1156" i="6"/>
  <c r="G1156" i="6"/>
  <c r="I1156" i="6"/>
  <c r="K1156" i="6"/>
  <c r="M1156" i="6"/>
  <c r="O1156" i="6"/>
  <c r="C9" i="5"/>
  <c r="E9" i="5"/>
  <c r="B20" i="5"/>
  <c r="C20" i="5"/>
  <c r="D20" i="5"/>
  <c r="E20" i="5"/>
  <c r="F20" i="5"/>
  <c r="G20" i="5"/>
  <c r="H20" i="5"/>
  <c r="I20" i="5"/>
  <c r="J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C20" i="5"/>
  <c r="B21" i="5"/>
  <c r="C21" i="5"/>
  <c r="D21" i="5"/>
  <c r="E21" i="5"/>
  <c r="F21" i="5"/>
  <c r="G21" i="5"/>
  <c r="H21" i="5"/>
  <c r="I21" i="5"/>
  <c r="J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B22" i="5"/>
  <c r="C22" i="5"/>
  <c r="D22" i="5"/>
  <c r="E22" i="5"/>
  <c r="F22" i="5"/>
  <c r="G22" i="5"/>
  <c r="H22" i="5"/>
  <c r="I22" i="5"/>
  <c r="J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C22" i="5"/>
  <c r="B23" i="5"/>
  <c r="C23" i="5"/>
  <c r="D23" i="5"/>
  <c r="E23" i="5"/>
  <c r="F23" i="5"/>
  <c r="G23" i="5"/>
  <c r="H23" i="5"/>
  <c r="I23" i="5"/>
  <c r="J23" i="5"/>
  <c r="L23" i="5"/>
  <c r="M23" i="5"/>
  <c r="AC23" i="5" s="1"/>
  <c r="N23" i="5"/>
  <c r="O23" i="5"/>
  <c r="P23" i="5"/>
  <c r="Q23" i="5"/>
  <c r="R23" i="5"/>
  <c r="S23" i="5"/>
  <c r="T23" i="5"/>
  <c r="U23" i="5"/>
  <c r="V23" i="5"/>
  <c r="W23" i="5"/>
  <c r="Y23" i="5"/>
  <c r="Z23" i="5"/>
  <c r="AA23" i="5"/>
  <c r="B24" i="5"/>
  <c r="C24" i="5"/>
  <c r="D24" i="5"/>
  <c r="E24" i="5"/>
  <c r="F24" i="5"/>
  <c r="G24" i="5"/>
  <c r="H24" i="5"/>
  <c r="I24" i="5"/>
  <c r="J24" i="5"/>
  <c r="L24" i="5"/>
  <c r="M24" i="5"/>
  <c r="N24" i="5"/>
  <c r="O24" i="5"/>
  <c r="P24" i="5"/>
  <c r="Q24" i="5"/>
  <c r="R24" i="5"/>
  <c r="S24" i="5"/>
  <c r="T24" i="5"/>
  <c r="U24" i="5"/>
  <c r="V24" i="5"/>
  <c r="W24" i="5"/>
  <c r="Y24" i="5"/>
  <c r="Z24" i="5"/>
  <c r="AA24" i="5"/>
  <c r="AC24" i="5"/>
  <c r="B25" i="5"/>
  <c r="C25" i="5"/>
  <c r="D25" i="5"/>
  <c r="E25" i="5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AC25" i="5"/>
  <c r="B26" i="5"/>
  <c r="C26" i="5"/>
  <c r="D26" i="5"/>
  <c r="E26" i="5"/>
  <c r="F26" i="5"/>
  <c r="G26" i="5"/>
  <c r="H26" i="5"/>
  <c r="I26" i="5"/>
  <c r="J26" i="5"/>
  <c r="L26" i="5"/>
  <c r="M26" i="5"/>
  <c r="N26" i="5"/>
  <c r="O26" i="5"/>
  <c r="P26" i="5"/>
  <c r="Q26" i="5"/>
  <c r="R26" i="5"/>
  <c r="S26" i="5"/>
  <c r="T26" i="5"/>
  <c r="U26" i="5"/>
  <c r="V26" i="5"/>
  <c r="W26" i="5"/>
  <c r="Y26" i="5"/>
  <c r="Z26" i="5"/>
  <c r="AA26" i="5"/>
  <c r="AC26" i="5"/>
  <c r="B27" i="5"/>
  <c r="C27" i="5"/>
  <c r="D27" i="5"/>
  <c r="E27" i="5"/>
  <c r="F27" i="5"/>
  <c r="G27" i="5"/>
  <c r="H27" i="5"/>
  <c r="I27" i="5"/>
  <c r="J27" i="5"/>
  <c r="L27" i="5"/>
  <c r="M27" i="5"/>
  <c r="N27" i="5"/>
  <c r="O27" i="5"/>
  <c r="P27" i="5"/>
  <c r="AC27" i="5" s="1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AC28" i="5"/>
  <c r="B29" i="5"/>
  <c r="C29" i="5"/>
  <c r="D29" i="5"/>
  <c r="E29" i="5"/>
  <c r="F29" i="5"/>
  <c r="G29" i="5"/>
  <c r="H29" i="5"/>
  <c r="I29" i="5"/>
  <c r="J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AC29" i="5"/>
  <c r="B30" i="5"/>
  <c r="C30" i="5"/>
  <c r="D30" i="5"/>
  <c r="E30" i="5"/>
  <c r="F30" i="5"/>
  <c r="G30" i="5"/>
  <c r="H30" i="5"/>
  <c r="I30" i="5"/>
  <c r="J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AC30" i="5"/>
  <c r="B31" i="5"/>
  <c r="C31" i="5"/>
  <c r="D31" i="5"/>
  <c r="E31" i="5"/>
  <c r="F31" i="5"/>
  <c r="G31" i="5"/>
  <c r="H31" i="5"/>
  <c r="I31" i="5"/>
  <c r="J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AC31" i="5"/>
  <c r="B32" i="5"/>
  <c r="C32" i="5"/>
  <c r="D32" i="5"/>
  <c r="E32" i="5"/>
  <c r="F32" i="5"/>
  <c r="G32" i="5"/>
  <c r="H32" i="5"/>
  <c r="I32" i="5"/>
  <c r="J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AC32" i="5"/>
  <c r="B33" i="5"/>
  <c r="C33" i="5"/>
  <c r="D33" i="5"/>
  <c r="E33" i="5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AC33" i="5"/>
  <c r="B34" i="5"/>
  <c r="C34" i="5"/>
  <c r="D34" i="5"/>
  <c r="E34" i="5"/>
  <c r="F34" i="5"/>
  <c r="G34" i="5"/>
  <c r="H34" i="5"/>
  <c r="I34" i="5"/>
  <c r="J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AC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Z35" i="5"/>
  <c r="AA35" i="5"/>
  <c r="AB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AC36" i="5"/>
  <c r="B37" i="5"/>
  <c r="C37" i="5"/>
  <c r="D37" i="5"/>
  <c r="E37" i="5"/>
  <c r="F37" i="5"/>
  <c r="G37" i="5"/>
  <c r="H37" i="5"/>
  <c r="I37" i="5"/>
  <c r="J37" i="5"/>
  <c r="L37" i="5"/>
  <c r="M37" i="5"/>
  <c r="N37" i="5"/>
  <c r="AC37" i="5" s="1"/>
  <c r="O37" i="5"/>
  <c r="P37" i="5"/>
  <c r="Q37" i="5"/>
  <c r="R37" i="5"/>
  <c r="S37" i="5"/>
  <c r="T37" i="5"/>
  <c r="U37" i="5"/>
  <c r="V37" i="5"/>
  <c r="W37" i="5"/>
  <c r="Z37" i="5"/>
  <c r="AA37" i="5"/>
  <c r="AB37" i="5"/>
  <c r="B38" i="5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Z38" i="5"/>
  <c r="AA38" i="5"/>
  <c r="AC38" i="5"/>
  <c r="B39" i="5"/>
  <c r="C39" i="5"/>
  <c r="D39" i="5"/>
  <c r="E39" i="5"/>
  <c r="F39" i="5"/>
  <c r="G39" i="5"/>
  <c r="H39" i="5"/>
  <c r="I39" i="5"/>
  <c r="J39" i="5"/>
  <c r="L39" i="5"/>
  <c r="M39" i="5"/>
  <c r="N39" i="5"/>
  <c r="AC39" i="5" s="1"/>
  <c r="O39" i="5"/>
  <c r="P39" i="5"/>
  <c r="Q39" i="5"/>
  <c r="R39" i="5"/>
  <c r="S39" i="5"/>
  <c r="T39" i="5"/>
  <c r="U39" i="5"/>
  <c r="V39" i="5"/>
  <c r="W39" i="5"/>
  <c r="Z39" i="5"/>
  <c r="AA39" i="5"/>
  <c r="AB39" i="5"/>
  <c r="B40" i="5"/>
  <c r="C40" i="5"/>
  <c r="D40" i="5"/>
  <c r="E40" i="5"/>
  <c r="F40" i="5"/>
  <c r="G40" i="5"/>
  <c r="H40" i="5"/>
  <c r="I40" i="5"/>
  <c r="AB40" i="5" s="1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Z40" i="5"/>
  <c r="AA40" i="5"/>
  <c r="B41" i="5"/>
  <c r="C41" i="5"/>
  <c r="D41" i="5"/>
  <c r="E41" i="5"/>
  <c r="F41" i="5"/>
  <c r="G41" i="5"/>
  <c r="H41" i="5"/>
  <c r="I41" i="5"/>
  <c r="J41" i="5"/>
  <c r="L41" i="5"/>
  <c r="M41" i="5"/>
  <c r="AC41" i="5" s="1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AB41" i="5"/>
  <c r="B42" i="5"/>
  <c r="C42" i="5"/>
  <c r="AB42" i="5" s="1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D43" i="5"/>
  <c r="E43" i="5"/>
  <c r="F43" i="5"/>
  <c r="G43" i="5"/>
  <c r="H43" i="5"/>
  <c r="I43" i="5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AB43" i="5"/>
  <c r="B44" i="5"/>
  <c r="C44" i="5"/>
  <c r="D44" i="5"/>
  <c r="E44" i="5"/>
  <c r="AB44" i="5" s="1"/>
  <c r="F44" i="5"/>
  <c r="G44" i="5"/>
  <c r="H44" i="5"/>
  <c r="I44" i="5"/>
  <c r="J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E45" i="5"/>
  <c r="F45" i="5"/>
  <c r="G45" i="5"/>
  <c r="H45" i="5"/>
  <c r="I45" i="5"/>
  <c r="J45" i="5"/>
  <c r="L45" i="5"/>
  <c r="M45" i="5"/>
  <c r="AC45" i="5" s="1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AB45" i="5"/>
  <c r="B46" i="5"/>
  <c r="C46" i="5"/>
  <c r="D46" i="5"/>
  <c r="E46" i="5"/>
  <c r="AB46" i="5" s="1"/>
  <c r="F46" i="5"/>
  <c r="G46" i="5"/>
  <c r="H46" i="5"/>
  <c r="I46" i="5"/>
  <c r="J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AB47" i="5"/>
  <c r="B48" i="5"/>
  <c r="C48" i="5"/>
  <c r="D48" i="5"/>
  <c r="E48" i="5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Z48" i="5"/>
  <c r="AA48" i="5"/>
  <c r="AB48" i="5"/>
  <c r="B49" i="5"/>
  <c r="C49" i="5"/>
  <c r="D49" i="5"/>
  <c r="E49" i="5"/>
  <c r="F49" i="5"/>
  <c r="G49" i="5"/>
  <c r="H49" i="5"/>
  <c r="I49" i="5"/>
  <c r="J49" i="5"/>
  <c r="L49" i="5"/>
  <c r="M49" i="5"/>
  <c r="AC49" i="5" s="1"/>
  <c r="N49" i="5"/>
  <c r="O49" i="5"/>
  <c r="P49" i="5"/>
  <c r="Q49" i="5"/>
  <c r="R49" i="5"/>
  <c r="S49" i="5"/>
  <c r="T49" i="5"/>
  <c r="U49" i="5"/>
  <c r="V49" i="5"/>
  <c r="W49" i="5"/>
  <c r="X49" i="5"/>
  <c r="AB49" i="5"/>
  <c r="B50" i="5"/>
  <c r="C50" i="5"/>
  <c r="D50" i="5"/>
  <c r="E50" i="5"/>
  <c r="AB50" i="5" s="1"/>
  <c r="F50" i="5"/>
  <c r="G50" i="5"/>
  <c r="H50" i="5"/>
  <c r="I50" i="5"/>
  <c r="J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B51" i="5"/>
  <c r="C51" i="5"/>
  <c r="D51" i="5"/>
  <c r="E51" i="5"/>
  <c r="F51" i="5"/>
  <c r="G51" i="5"/>
  <c r="H51" i="5"/>
  <c r="I51" i="5"/>
  <c r="J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AB51" i="5"/>
  <c r="B52" i="5"/>
  <c r="C52" i="5"/>
  <c r="D52" i="5"/>
  <c r="E52" i="5"/>
  <c r="F52" i="5"/>
  <c r="G52" i="5"/>
  <c r="H52" i="5"/>
  <c r="I52" i="5"/>
  <c r="J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AB52" i="5"/>
  <c r="B53" i="5"/>
  <c r="C53" i="5"/>
  <c r="D53" i="5"/>
  <c r="E53" i="5"/>
  <c r="F53" i="5"/>
  <c r="G53" i="5"/>
  <c r="H53" i="5"/>
  <c r="I53" i="5"/>
  <c r="J53" i="5"/>
  <c r="L53" i="5"/>
  <c r="M53" i="5"/>
  <c r="AC53" i="5" s="1"/>
  <c r="N53" i="5"/>
  <c r="O53" i="5"/>
  <c r="P53" i="5"/>
  <c r="Q53" i="5"/>
  <c r="R53" i="5"/>
  <c r="S53" i="5"/>
  <c r="T53" i="5"/>
  <c r="U53" i="5"/>
  <c r="V53" i="5"/>
  <c r="W53" i="5"/>
  <c r="X53" i="5"/>
  <c r="AB53" i="5"/>
  <c r="B54" i="5"/>
  <c r="C54" i="5"/>
  <c r="D54" i="5"/>
  <c r="E54" i="5"/>
  <c r="AB54" i="5" s="1"/>
  <c r="F54" i="5"/>
  <c r="G54" i="5"/>
  <c r="H54" i="5"/>
  <c r="I54" i="5"/>
  <c r="J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B55" i="5"/>
  <c r="C55" i="5"/>
  <c r="D55" i="5"/>
  <c r="E55" i="5"/>
  <c r="F55" i="5"/>
  <c r="G55" i="5"/>
  <c r="H55" i="5"/>
  <c r="I55" i="5"/>
  <c r="J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AB55" i="5"/>
  <c r="B56" i="5"/>
  <c r="C56" i="5"/>
  <c r="D56" i="5"/>
  <c r="E56" i="5"/>
  <c r="F56" i="5"/>
  <c r="G56" i="5"/>
  <c r="H56" i="5"/>
  <c r="I56" i="5"/>
  <c r="J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AB56" i="5"/>
  <c r="B57" i="5"/>
  <c r="C57" i="5"/>
  <c r="D57" i="5"/>
  <c r="E57" i="5"/>
  <c r="F57" i="5"/>
  <c r="G57" i="5"/>
  <c r="H57" i="5"/>
  <c r="I57" i="5"/>
  <c r="J57" i="5"/>
  <c r="L57" i="5"/>
  <c r="M57" i="5"/>
  <c r="AC57" i="5" s="1"/>
  <c r="N57" i="5"/>
  <c r="O57" i="5"/>
  <c r="P57" i="5"/>
  <c r="Q57" i="5"/>
  <c r="R57" i="5"/>
  <c r="S57" i="5"/>
  <c r="T57" i="5"/>
  <c r="U57" i="5"/>
  <c r="V57" i="5"/>
  <c r="W57" i="5"/>
  <c r="X57" i="5"/>
  <c r="AB57" i="5"/>
  <c r="B58" i="5"/>
  <c r="C58" i="5"/>
  <c r="D58" i="5"/>
  <c r="E58" i="5"/>
  <c r="AB58" i="5" s="1"/>
  <c r="F58" i="5"/>
  <c r="G58" i="5"/>
  <c r="H58" i="5"/>
  <c r="I58" i="5"/>
  <c r="J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B59" i="5"/>
  <c r="C59" i="5"/>
  <c r="D59" i="5"/>
  <c r="E59" i="5"/>
  <c r="F59" i="5"/>
  <c r="G59" i="5"/>
  <c r="H59" i="5"/>
  <c r="I59" i="5"/>
  <c r="J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AB59" i="5"/>
  <c r="B60" i="5"/>
  <c r="C60" i="5"/>
  <c r="D60" i="5"/>
  <c r="E60" i="5"/>
  <c r="F60" i="5"/>
  <c r="G60" i="5"/>
  <c r="AB60" i="5" s="1"/>
  <c r="H60" i="5"/>
  <c r="I60" i="5"/>
  <c r="J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AC61" i="5" s="1"/>
  <c r="O61" i="5"/>
  <c r="P61" i="5"/>
  <c r="Q61" i="5"/>
  <c r="R61" i="5"/>
  <c r="S61" i="5"/>
  <c r="T61" i="5"/>
  <c r="U61" i="5"/>
  <c r="V61" i="5"/>
  <c r="W61" i="5"/>
  <c r="X61" i="5"/>
  <c r="B62" i="5"/>
  <c r="C62" i="5"/>
  <c r="D62" i="5"/>
  <c r="AB62" i="5" s="1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AC63" i="5" s="1"/>
  <c r="Q63" i="5"/>
  <c r="R63" i="5"/>
  <c r="S63" i="5"/>
  <c r="T63" i="5"/>
  <c r="U63" i="5"/>
  <c r="V63" i="5"/>
  <c r="W63" i="5"/>
  <c r="X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AB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AC65" i="5"/>
  <c r="B66" i="5"/>
  <c r="C66" i="5"/>
  <c r="D66" i="5"/>
  <c r="E66" i="5"/>
  <c r="F66" i="5"/>
  <c r="G66" i="5"/>
  <c r="H66" i="5"/>
  <c r="I66" i="5"/>
  <c r="J66" i="5"/>
  <c r="K66" i="5"/>
  <c r="L66" i="5"/>
  <c r="M66" i="5"/>
  <c r="AC66" i="5" s="1"/>
  <c r="N66" i="5"/>
  <c r="O66" i="5"/>
  <c r="P66" i="5"/>
  <c r="Q66" i="5"/>
  <c r="R66" i="5"/>
  <c r="S66" i="5"/>
  <c r="T66" i="5"/>
  <c r="U66" i="5"/>
  <c r="V66" i="5"/>
  <c r="W66" i="5"/>
  <c r="X66" i="5"/>
  <c r="AB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AC67" i="5"/>
  <c r="B68" i="5"/>
  <c r="C68" i="5"/>
  <c r="D68" i="5"/>
  <c r="E68" i="5"/>
  <c r="F68" i="5"/>
  <c r="G68" i="5"/>
  <c r="H68" i="5"/>
  <c r="I68" i="5"/>
  <c r="J68" i="5"/>
  <c r="K68" i="5"/>
  <c r="L68" i="5"/>
  <c r="M68" i="5"/>
  <c r="AC68" i="5" s="1"/>
  <c r="N68" i="5"/>
  <c r="O68" i="5"/>
  <c r="P68" i="5"/>
  <c r="Q68" i="5"/>
  <c r="R68" i="5"/>
  <c r="S68" i="5"/>
  <c r="T68" i="5"/>
  <c r="U68" i="5"/>
  <c r="V68" i="5"/>
  <c r="W68" i="5"/>
  <c r="X68" i="5"/>
  <c r="AB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AC69" i="5"/>
  <c r="B70" i="5"/>
  <c r="C70" i="5"/>
  <c r="D70" i="5"/>
  <c r="E70" i="5"/>
  <c r="F70" i="5"/>
  <c r="G70" i="5"/>
  <c r="H70" i="5"/>
  <c r="I70" i="5"/>
  <c r="J70" i="5"/>
  <c r="K70" i="5"/>
  <c r="L70" i="5"/>
  <c r="M70" i="5"/>
  <c r="AC70" i="5" s="1"/>
  <c r="N70" i="5"/>
  <c r="O70" i="5"/>
  <c r="P70" i="5"/>
  <c r="Q70" i="5"/>
  <c r="R70" i="5"/>
  <c r="S70" i="5"/>
  <c r="T70" i="5"/>
  <c r="U70" i="5"/>
  <c r="V70" i="5"/>
  <c r="W70" i="5"/>
  <c r="X70" i="5"/>
  <c r="AB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AC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AB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AC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AB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AC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AB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AC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AB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AC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AB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AC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AB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AC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AB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AC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AB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AC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AB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AC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AB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AC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AB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AC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AB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AC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AB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AC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AB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AC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AB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AC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AB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AC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AB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AC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AB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AC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AB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AC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AB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AC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AB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AC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AB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AC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AB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AC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AB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AC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AB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AC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AB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AC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AB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AC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AC126" i="5" s="1"/>
  <c r="N126" i="5"/>
  <c r="O126" i="5"/>
  <c r="P126" i="5"/>
  <c r="Q126" i="5"/>
  <c r="R126" i="5"/>
  <c r="S126" i="5"/>
  <c r="T126" i="5"/>
  <c r="U126" i="5"/>
  <c r="V126" i="5"/>
  <c r="W126" i="5"/>
  <c r="X126" i="5"/>
  <c r="AB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AC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AC128" i="5" s="1"/>
  <c r="N128" i="5"/>
  <c r="O128" i="5"/>
  <c r="P128" i="5"/>
  <c r="Q128" i="5"/>
  <c r="R128" i="5"/>
  <c r="S128" i="5"/>
  <c r="T128" i="5"/>
  <c r="U128" i="5"/>
  <c r="V128" i="5"/>
  <c r="W128" i="5"/>
  <c r="X128" i="5"/>
  <c r="AB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AC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AC130" i="5" s="1"/>
  <c r="N130" i="5"/>
  <c r="O130" i="5"/>
  <c r="P130" i="5"/>
  <c r="Q130" i="5"/>
  <c r="R130" i="5"/>
  <c r="S130" i="5"/>
  <c r="T130" i="5"/>
  <c r="U130" i="5"/>
  <c r="V130" i="5"/>
  <c r="W130" i="5"/>
  <c r="X130" i="5"/>
  <c r="AB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AC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AC132" i="5" s="1"/>
  <c r="N132" i="5"/>
  <c r="O132" i="5"/>
  <c r="P132" i="5"/>
  <c r="Q132" i="5"/>
  <c r="R132" i="5"/>
  <c r="S132" i="5"/>
  <c r="T132" i="5"/>
  <c r="U132" i="5"/>
  <c r="V132" i="5"/>
  <c r="W132" i="5"/>
  <c r="X132" i="5"/>
  <c r="AB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AC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AC134" i="5" s="1"/>
  <c r="N134" i="5"/>
  <c r="O134" i="5"/>
  <c r="P134" i="5"/>
  <c r="Q134" i="5"/>
  <c r="R134" i="5"/>
  <c r="S134" i="5"/>
  <c r="T134" i="5"/>
  <c r="U134" i="5"/>
  <c r="V134" i="5"/>
  <c r="W134" i="5"/>
  <c r="X134" i="5"/>
  <c r="AB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AC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AC136" i="5" s="1"/>
  <c r="N136" i="5"/>
  <c r="O136" i="5"/>
  <c r="P136" i="5"/>
  <c r="Q136" i="5"/>
  <c r="R136" i="5"/>
  <c r="S136" i="5"/>
  <c r="T136" i="5"/>
  <c r="U136" i="5"/>
  <c r="V136" i="5"/>
  <c r="W136" i="5"/>
  <c r="X136" i="5"/>
  <c r="AB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AC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AC138" i="5" s="1"/>
  <c r="N138" i="5"/>
  <c r="O138" i="5"/>
  <c r="P138" i="5"/>
  <c r="Q138" i="5"/>
  <c r="R138" i="5"/>
  <c r="S138" i="5"/>
  <c r="T138" i="5"/>
  <c r="U138" i="5"/>
  <c r="V138" i="5"/>
  <c r="W138" i="5"/>
  <c r="X138" i="5"/>
  <c r="AB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AC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AC140" i="5" s="1"/>
  <c r="N140" i="5"/>
  <c r="O140" i="5"/>
  <c r="P140" i="5"/>
  <c r="Q140" i="5"/>
  <c r="R140" i="5"/>
  <c r="S140" i="5"/>
  <c r="T140" i="5"/>
  <c r="U140" i="5"/>
  <c r="V140" i="5"/>
  <c r="W140" i="5"/>
  <c r="X140" i="5"/>
  <c r="AB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AC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AC142" i="5" s="1"/>
  <c r="N142" i="5"/>
  <c r="O142" i="5"/>
  <c r="P142" i="5"/>
  <c r="Q142" i="5"/>
  <c r="R142" i="5"/>
  <c r="S142" i="5"/>
  <c r="T142" i="5"/>
  <c r="U142" i="5"/>
  <c r="V142" i="5"/>
  <c r="W142" i="5"/>
  <c r="X142" i="5"/>
  <c r="AB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AC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AC144" i="5" s="1"/>
  <c r="N144" i="5"/>
  <c r="O144" i="5"/>
  <c r="P144" i="5"/>
  <c r="Q144" i="5"/>
  <c r="R144" i="5"/>
  <c r="S144" i="5"/>
  <c r="T144" i="5"/>
  <c r="U144" i="5"/>
  <c r="V144" i="5"/>
  <c r="W144" i="5"/>
  <c r="X144" i="5"/>
  <c r="AB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AC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AC146" i="5" s="1"/>
  <c r="N146" i="5"/>
  <c r="O146" i="5"/>
  <c r="P146" i="5"/>
  <c r="Q146" i="5"/>
  <c r="R146" i="5"/>
  <c r="S146" i="5"/>
  <c r="T146" i="5"/>
  <c r="U146" i="5"/>
  <c r="V146" i="5"/>
  <c r="W146" i="5"/>
  <c r="X146" i="5"/>
  <c r="AB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AC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AC148" i="5" s="1"/>
  <c r="N148" i="5"/>
  <c r="O148" i="5"/>
  <c r="P148" i="5"/>
  <c r="Q148" i="5"/>
  <c r="R148" i="5"/>
  <c r="S148" i="5"/>
  <c r="T148" i="5"/>
  <c r="U148" i="5"/>
  <c r="V148" i="5"/>
  <c r="W148" i="5"/>
  <c r="X148" i="5"/>
  <c r="AB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AC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AC150" i="5" s="1"/>
  <c r="N150" i="5"/>
  <c r="O150" i="5"/>
  <c r="P150" i="5"/>
  <c r="Q150" i="5"/>
  <c r="R150" i="5"/>
  <c r="S150" i="5"/>
  <c r="T150" i="5"/>
  <c r="U150" i="5"/>
  <c r="V150" i="5"/>
  <c r="W150" i="5"/>
  <c r="X150" i="5"/>
  <c r="AB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AC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AC152" i="5" s="1"/>
  <c r="N152" i="5"/>
  <c r="O152" i="5"/>
  <c r="P152" i="5"/>
  <c r="Q152" i="5"/>
  <c r="R152" i="5"/>
  <c r="S152" i="5"/>
  <c r="T152" i="5"/>
  <c r="U152" i="5"/>
  <c r="V152" i="5"/>
  <c r="W152" i="5"/>
  <c r="X152" i="5"/>
  <c r="AB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AC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AC154" i="5" s="1"/>
  <c r="N154" i="5"/>
  <c r="O154" i="5"/>
  <c r="P154" i="5"/>
  <c r="Q154" i="5"/>
  <c r="R154" i="5"/>
  <c r="S154" i="5"/>
  <c r="T154" i="5"/>
  <c r="U154" i="5"/>
  <c r="V154" i="5"/>
  <c r="W154" i="5"/>
  <c r="X154" i="5"/>
  <c r="AB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AC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AC156" i="5" s="1"/>
  <c r="N156" i="5"/>
  <c r="O156" i="5"/>
  <c r="P156" i="5"/>
  <c r="Q156" i="5"/>
  <c r="R156" i="5"/>
  <c r="S156" i="5"/>
  <c r="T156" i="5"/>
  <c r="U156" i="5"/>
  <c r="V156" i="5"/>
  <c r="W156" i="5"/>
  <c r="X156" i="5"/>
  <c r="AB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AC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AC158" i="5" s="1"/>
  <c r="N158" i="5"/>
  <c r="O158" i="5"/>
  <c r="P158" i="5"/>
  <c r="Q158" i="5"/>
  <c r="R158" i="5"/>
  <c r="S158" i="5"/>
  <c r="T158" i="5"/>
  <c r="U158" i="5"/>
  <c r="V158" i="5"/>
  <c r="W158" i="5"/>
  <c r="X158" i="5"/>
  <c r="AB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AC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AC160" i="5" s="1"/>
  <c r="N160" i="5"/>
  <c r="O160" i="5"/>
  <c r="P160" i="5"/>
  <c r="Q160" i="5"/>
  <c r="R160" i="5"/>
  <c r="S160" i="5"/>
  <c r="T160" i="5"/>
  <c r="U160" i="5"/>
  <c r="V160" i="5"/>
  <c r="W160" i="5"/>
  <c r="X160" i="5"/>
  <c r="AB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AC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AC162" i="5" s="1"/>
  <c r="N162" i="5"/>
  <c r="O162" i="5"/>
  <c r="P162" i="5"/>
  <c r="Q162" i="5"/>
  <c r="R162" i="5"/>
  <c r="S162" i="5"/>
  <c r="T162" i="5"/>
  <c r="U162" i="5"/>
  <c r="V162" i="5"/>
  <c r="W162" i="5"/>
  <c r="X162" i="5"/>
  <c r="AB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AC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AC164" i="5" s="1"/>
  <c r="N164" i="5"/>
  <c r="O164" i="5"/>
  <c r="P164" i="5"/>
  <c r="Q164" i="5"/>
  <c r="R164" i="5"/>
  <c r="S164" i="5"/>
  <c r="T164" i="5"/>
  <c r="U164" i="5"/>
  <c r="V164" i="5"/>
  <c r="W164" i="5"/>
  <c r="X164" i="5"/>
  <c r="AB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AC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AC166" i="5" s="1"/>
  <c r="N166" i="5"/>
  <c r="O166" i="5"/>
  <c r="P166" i="5"/>
  <c r="Q166" i="5"/>
  <c r="R166" i="5"/>
  <c r="S166" i="5"/>
  <c r="T166" i="5"/>
  <c r="U166" i="5"/>
  <c r="V166" i="5"/>
  <c r="W166" i="5"/>
  <c r="X166" i="5"/>
  <c r="AB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AC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AC168" i="5" s="1"/>
  <c r="N168" i="5"/>
  <c r="O168" i="5"/>
  <c r="P168" i="5"/>
  <c r="Q168" i="5"/>
  <c r="R168" i="5"/>
  <c r="S168" i="5"/>
  <c r="T168" i="5"/>
  <c r="U168" i="5"/>
  <c r="V168" i="5"/>
  <c r="W168" i="5"/>
  <c r="X168" i="5"/>
  <c r="AB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AC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AC170" i="5" s="1"/>
  <c r="N170" i="5"/>
  <c r="O170" i="5"/>
  <c r="P170" i="5"/>
  <c r="Q170" i="5"/>
  <c r="R170" i="5"/>
  <c r="S170" i="5"/>
  <c r="T170" i="5"/>
  <c r="U170" i="5"/>
  <c r="V170" i="5"/>
  <c r="W170" i="5"/>
  <c r="X170" i="5"/>
  <c r="AB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AC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AC172" i="5" s="1"/>
  <c r="N172" i="5"/>
  <c r="O172" i="5"/>
  <c r="P172" i="5"/>
  <c r="Q172" i="5"/>
  <c r="R172" i="5"/>
  <c r="S172" i="5"/>
  <c r="T172" i="5"/>
  <c r="U172" i="5"/>
  <c r="V172" i="5"/>
  <c r="W172" i="5"/>
  <c r="X172" i="5"/>
  <c r="AB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AC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AC174" i="5" s="1"/>
  <c r="N174" i="5"/>
  <c r="O174" i="5"/>
  <c r="P174" i="5"/>
  <c r="Q174" i="5"/>
  <c r="R174" i="5"/>
  <c r="S174" i="5"/>
  <c r="T174" i="5"/>
  <c r="U174" i="5"/>
  <c r="V174" i="5"/>
  <c r="W174" i="5"/>
  <c r="X174" i="5"/>
  <c r="AB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AC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AC176" i="5" s="1"/>
  <c r="N176" i="5"/>
  <c r="O176" i="5"/>
  <c r="P176" i="5"/>
  <c r="Q176" i="5"/>
  <c r="R176" i="5"/>
  <c r="S176" i="5"/>
  <c r="T176" i="5"/>
  <c r="U176" i="5"/>
  <c r="V176" i="5"/>
  <c r="W176" i="5"/>
  <c r="X176" i="5"/>
  <c r="AB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AC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AC178" i="5" s="1"/>
  <c r="N178" i="5"/>
  <c r="O178" i="5"/>
  <c r="P178" i="5"/>
  <c r="Q178" i="5"/>
  <c r="R178" i="5"/>
  <c r="S178" i="5"/>
  <c r="T178" i="5"/>
  <c r="U178" i="5"/>
  <c r="V178" i="5"/>
  <c r="W178" i="5"/>
  <c r="X178" i="5"/>
  <c r="AB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AC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AC180" i="5" s="1"/>
  <c r="N180" i="5"/>
  <c r="O180" i="5"/>
  <c r="P180" i="5"/>
  <c r="Q180" i="5"/>
  <c r="R180" i="5"/>
  <c r="S180" i="5"/>
  <c r="T180" i="5"/>
  <c r="U180" i="5"/>
  <c r="V180" i="5"/>
  <c r="W180" i="5"/>
  <c r="X180" i="5"/>
  <c r="AB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AC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AC182" i="5" s="1"/>
  <c r="N182" i="5"/>
  <c r="O182" i="5"/>
  <c r="P182" i="5"/>
  <c r="Q182" i="5"/>
  <c r="R182" i="5"/>
  <c r="S182" i="5"/>
  <c r="T182" i="5"/>
  <c r="U182" i="5"/>
  <c r="V182" i="5"/>
  <c r="W182" i="5"/>
  <c r="X182" i="5"/>
  <c r="AB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AC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AC184" i="5" s="1"/>
  <c r="N184" i="5"/>
  <c r="O184" i="5"/>
  <c r="P184" i="5"/>
  <c r="Q184" i="5"/>
  <c r="R184" i="5"/>
  <c r="S184" i="5"/>
  <c r="T184" i="5"/>
  <c r="U184" i="5"/>
  <c r="V184" i="5"/>
  <c r="W184" i="5"/>
  <c r="X184" i="5"/>
  <c r="AB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AC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AC186" i="5" s="1"/>
  <c r="N186" i="5"/>
  <c r="O186" i="5"/>
  <c r="P186" i="5"/>
  <c r="Q186" i="5"/>
  <c r="R186" i="5"/>
  <c r="S186" i="5"/>
  <c r="T186" i="5"/>
  <c r="U186" i="5"/>
  <c r="V186" i="5"/>
  <c r="W186" i="5"/>
  <c r="X186" i="5"/>
  <c r="AB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AC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AC188" i="5" s="1"/>
  <c r="N188" i="5"/>
  <c r="O188" i="5"/>
  <c r="P188" i="5"/>
  <c r="Q188" i="5"/>
  <c r="R188" i="5"/>
  <c r="S188" i="5"/>
  <c r="T188" i="5"/>
  <c r="U188" i="5"/>
  <c r="V188" i="5"/>
  <c r="W188" i="5"/>
  <c r="X188" i="5"/>
  <c r="AB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AC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AC190" i="5" s="1"/>
  <c r="N190" i="5"/>
  <c r="O190" i="5"/>
  <c r="P190" i="5"/>
  <c r="Q190" i="5"/>
  <c r="R190" i="5"/>
  <c r="S190" i="5"/>
  <c r="T190" i="5"/>
  <c r="U190" i="5"/>
  <c r="V190" i="5"/>
  <c r="W190" i="5"/>
  <c r="X190" i="5"/>
  <c r="AB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AC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AC192" i="5" s="1"/>
  <c r="N192" i="5"/>
  <c r="O192" i="5"/>
  <c r="P192" i="5"/>
  <c r="Q192" i="5"/>
  <c r="R192" i="5"/>
  <c r="S192" i="5"/>
  <c r="T192" i="5"/>
  <c r="U192" i="5"/>
  <c r="V192" i="5"/>
  <c r="W192" i="5"/>
  <c r="X192" i="5"/>
  <c r="AB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AC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AC194" i="5" s="1"/>
  <c r="N194" i="5"/>
  <c r="O194" i="5"/>
  <c r="P194" i="5"/>
  <c r="Q194" i="5"/>
  <c r="R194" i="5"/>
  <c r="S194" i="5"/>
  <c r="T194" i="5"/>
  <c r="U194" i="5"/>
  <c r="V194" i="5"/>
  <c r="W194" i="5"/>
  <c r="X194" i="5"/>
  <c r="AB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AC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AC196" i="5" s="1"/>
  <c r="N196" i="5"/>
  <c r="O196" i="5"/>
  <c r="P196" i="5"/>
  <c r="Q196" i="5"/>
  <c r="R196" i="5"/>
  <c r="S196" i="5"/>
  <c r="T196" i="5"/>
  <c r="U196" i="5"/>
  <c r="V196" i="5"/>
  <c r="W196" i="5"/>
  <c r="X196" i="5"/>
  <c r="AB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AC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AC198" i="5" s="1"/>
  <c r="N198" i="5"/>
  <c r="O198" i="5"/>
  <c r="P198" i="5"/>
  <c r="Q198" i="5"/>
  <c r="R198" i="5"/>
  <c r="S198" i="5"/>
  <c r="T198" i="5"/>
  <c r="U198" i="5"/>
  <c r="V198" i="5"/>
  <c r="W198" i="5"/>
  <c r="X198" i="5"/>
  <c r="AB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AC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AC200" i="5" s="1"/>
  <c r="N200" i="5"/>
  <c r="O200" i="5"/>
  <c r="P200" i="5"/>
  <c r="Q200" i="5"/>
  <c r="R200" i="5"/>
  <c r="S200" i="5"/>
  <c r="T200" i="5"/>
  <c r="U200" i="5"/>
  <c r="V200" i="5"/>
  <c r="W200" i="5"/>
  <c r="X200" i="5"/>
  <c r="AB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AC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AC202" i="5" s="1"/>
  <c r="N202" i="5"/>
  <c r="O202" i="5"/>
  <c r="P202" i="5"/>
  <c r="Q202" i="5"/>
  <c r="R202" i="5"/>
  <c r="S202" i="5"/>
  <c r="T202" i="5"/>
  <c r="U202" i="5"/>
  <c r="V202" i="5"/>
  <c r="W202" i="5"/>
  <c r="X202" i="5"/>
  <c r="AB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AC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AC204" i="5" s="1"/>
  <c r="N204" i="5"/>
  <c r="O204" i="5"/>
  <c r="P204" i="5"/>
  <c r="Q204" i="5"/>
  <c r="R204" i="5"/>
  <c r="S204" i="5"/>
  <c r="T204" i="5"/>
  <c r="U204" i="5"/>
  <c r="V204" i="5"/>
  <c r="W204" i="5"/>
  <c r="X204" i="5"/>
  <c r="AB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AC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AC206" i="5" s="1"/>
  <c r="N206" i="5"/>
  <c r="O206" i="5"/>
  <c r="P206" i="5"/>
  <c r="Q206" i="5"/>
  <c r="R206" i="5"/>
  <c r="S206" i="5"/>
  <c r="T206" i="5"/>
  <c r="U206" i="5"/>
  <c r="V206" i="5"/>
  <c r="W206" i="5"/>
  <c r="X206" i="5"/>
  <c r="AB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AC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AC208" i="5" s="1"/>
  <c r="N208" i="5"/>
  <c r="O208" i="5"/>
  <c r="P208" i="5"/>
  <c r="Q208" i="5"/>
  <c r="R208" i="5"/>
  <c r="S208" i="5"/>
  <c r="T208" i="5"/>
  <c r="U208" i="5"/>
  <c r="V208" i="5"/>
  <c r="W208" i="5"/>
  <c r="X208" i="5"/>
  <c r="AB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AC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AC210" i="5" s="1"/>
  <c r="N210" i="5"/>
  <c r="O210" i="5"/>
  <c r="P210" i="5"/>
  <c r="Q210" i="5"/>
  <c r="R210" i="5"/>
  <c r="S210" i="5"/>
  <c r="T210" i="5"/>
  <c r="U210" i="5"/>
  <c r="V210" i="5"/>
  <c r="W210" i="5"/>
  <c r="X210" i="5"/>
  <c r="AB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AC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AC212" i="5" s="1"/>
  <c r="N212" i="5"/>
  <c r="O212" i="5"/>
  <c r="P212" i="5"/>
  <c r="Q212" i="5"/>
  <c r="R212" i="5"/>
  <c r="S212" i="5"/>
  <c r="T212" i="5"/>
  <c r="U212" i="5"/>
  <c r="V212" i="5"/>
  <c r="W212" i="5"/>
  <c r="X212" i="5"/>
  <c r="AB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AC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AC214" i="5" s="1"/>
  <c r="N214" i="5"/>
  <c r="O214" i="5"/>
  <c r="P214" i="5"/>
  <c r="Q214" i="5"/>
  <c r="R214" i="5"/>
  <c r="S214" i="5"/>
  <c r="T214" i="5"/>
  <c r="U214" i="5"/>
  <c r="V214" i="5"/>
  <c r="W214" i="5"/>
  <c r="X214" i="5"/>
  <c r="AB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AC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AC216" i="5" s="1"/>
  <c r="N216" i="5"/>
  <c r="O216" i="5"/>
  <c r="P216" i="5"/>
  <c r="Q216" i="5"/>
  <c r="R216" i="5"/>
  <c r="S216" i="5"/>
  <c r="T216" i="5"/>
  <c r="U216" i="5"/>
  <c r="V216" i="5"/>
  <c r="W216" i="5"/>
  <c r="X216" i="5"/>
  <c r="AB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AC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AC218" i="5" s="1"/>
  <c r="N218" i="5"/>
  <c r="O218" i="5"/>
  <c r="P218" i="5"/>
  <c r="Q218" i="5"/>
  <c r="R218" i="5"/>
  <c r="S218" i="5"/>
  <c r="T218" i="5"/>
  <c r="U218" i="5"/>
  <c r="V218" i="5"/>
  <c r="W218" i="5"/>
  <c r="X218" i="5"/>
  <c r="AB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AC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AC220" i="5" s="1"/>
  <c r="N220" i="5"/>
  <c r="O220" i="5"/>
  <c r="P220" i="5"/>
  <c r="Q220" i="5"/>
  <c r="R220" i="5"/>
  <c r="S220" i="5"/>
  <c r="T220" i="5"/>
  <c r="U220" i="5"/>
  <c r="V220" i="5"/>
  <c r="W220" i="5"/>
  <c r="X220" i="5"/>
  <c r="AB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AC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AC222" i="5" s="1"/>
  <c r="N222" i="5"/>
  <c r="O222" i="5"/>
  <c r="P222" i="5"/>
  <c r="Q222" i="5"/>
  <c r="R222" i="5"/>
  <c r="S222" i="5"/>
  <c r="T222" i="5"/>
  <c r="U222" i="5"/>
  <c r="V222" i="5"/>
  <c r="W222" i="5"/>
  <c r="X222" i="5"/>
  <c r="AB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AC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AC224" i="5" s="1"/>
  <c r="N224" i="5"/>
  <c r="O224" i="5"/>
  <c r="P224" i="5"/>
  <c r="Q224" i="5"/>
  <c r="R224" i="5"/>
  <c r="S224" i="5"/>
  <c r="T224" i="5"/>
  <c r="U224" i="5"/>
  <c r="V224" i="5"/>
  <c r="W224" i="5"/>
  <c r="X224" i="5"/>
  <c r="AB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AC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AC226" i="5" s="1"/>
  <c r="N226" i="5"/>
  <c r="O226" i="5"/>
  <c r="P226" i="5"/>
  <c r="Q226" i="5"/>
  <c r="R226" i="5"/>
  <c r="S226" i="5"/>
  <c r="T226" i="5"/>
  <c r="U226" i="5"/>
  <c r="V226" i="5"/>
  <c r="W226" i="5"/>
  <c r="X226" i="5"/>
  <c r="AB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AC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AC228" i="5" s="1"/>
  <c r="N228" i="5"/>
  <c r="O228" i="5"/>
  <c r="P228" i="5"/>
  <c r="Q228" i="5"/>
  <c r="R228" i="5"/>
  <c r="S228" i="5"/>
  <c r="T228" i="5"/>
  <c r="U228" i="5"/>
  <c r="V228" i="5"/>
  <c r="W228" i="5"/>
  <c r="X228" i="5"/>
  <c r="AB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AC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AC230" i="5" s="1"/>
  <c r="N230" i="5"/>
  <c r="O230" i="5"/>
  <c r="P230" i="5"/>
  <c r="Q230" i="5"/>
  <c r="R230" i="5"/>
  <c r="S230" i="5"/>
  <c r="T230" i="5"/>
  <c r="U230" i="5"/>
  <c r="V230" i="5"/>
  <c r="W230" i="5"/>
  <c r="X230" i="5"/>
  <c r="AB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AC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AC232" i="5" s="1"/>
  <c r="N232" i="5"/>
  <c r="O232" i="5"/>
  <c r="P232" i="5"/>
  <c r="Q232" i="5"/>
  <c r="R232" i="5"/>
  <c r="S232" i="5"/>
  <c r="T232" i="5"/>
  <c r="U232" i="5"/>
  <c r="V232" i="5"/>
  <c r="W232" i="5"/>
  <c r="X232" i="5"/>
  <c r="AB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AC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AC234" i="5" s="1"/>
  <c r="N234" i="5"/>
  <c r="O234" i="5"/>
  <c r="P234" i="5"/>
  <c r="Q234" i="5"/>
  <c r="R234" i="5"/>
  <c r="S234" i="5"/>
  <c r="T234" i="5"/>
  <c r="U234" i="5"/>
  <c r="V234" i="5"/>
  <c r="W234" i="5"/>
  <c r="X234" i="5"/>
  <c r="AB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AC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AC236" i="5" s="1"/>
  <c r="N236" i="5"/>
  <c r="O236" i="5"/>
  <c r="P236" i="5"/>
  <c r="Q236" i="5"/>
  <c r="R236" i="5"/>
  <c r="S236" i="5"/>
  <c r="T236" i="5"/>
  <c r="U236" i="5"/>
  <c r="V236" i="5"/>
  <c r="W236" i="5"/>
  <c r="X236" i="5"/>
  <c r="AB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AC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AC238" i="5" s="1"/>
  <c r="N238" i="5"/>
  <c r="O238" i="5"/>
  <c r="P238" i="5"/>
  <c r="Q238" i="5"/>
  <c r="R238" i="5"/>
  <c r="S238" i="5"/>
  <c r="T238" i="5"/>
  <c r="U238" i="5"/>
  <c r="V238" i="5"/>
  <c r="W238" i="5"/>
  <c r="X238" i="5"/>
  <c r="AB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AC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AC240" i="5" s="1"/>
  <c r="N240" i="5"/>
  <c r="O240" i="5"/>
  <c r="P240" i="5"/>
  <c r="Q240" i="5"/>
  <c r="R240" i="5"/>
  <c r="S240" i="5"/>
  <c r="T240" i="5"/>
  <c r="U240" i="5"/>
  <c r="V240" i="5"/>
  <c r="W240" i="5"/>
  <c r="X240" i="5"/>
  <c r="AB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AC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AC242" i="5" s="1"/>
  <c r="N242" i="5"/>
  <c r="O242" i="5"/>
  <c r="P242" i="5"/>
  <c r="Q242" i="5"/>
  <c r="R242" i="5"/>
  <c r="S242" i="5"/>
  <c r="T242" i="5"/>
  <c r="U242" i="5"/>
  <c r="V242" i="5"/>
  <c r="W242" i="5"/>
  <c r="X242" i="5"/>
  <c r="AB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AC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AC244" i="5" s="1"/>
  <c r="N244" i="5"/>
  <c r="O244" i="5"/>
  <c r="P244" i="5"/>
  <c r="Q244" i="5"/>
  <c r="R244" i="5"/>
  <c r="S244" i="5"/>
  <c r="T244" i="5"/>
  <c r="U244" i="5"/>
  <c r="V244" i="5"/>
  <c r="W244" i="5"/>
  <c r="X244" i="5"/>
  <c r="AB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AC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AC246" i="5" s="1"/>
  <c r="N246" i="5"/>
  <c r="O246" i="5"/>
  <c r="P246" i="5"/>
  <c r="Q246" i="5"/>
  <c r="R246" i="5"/>
  <c r="S246" i="5"/>
  <c r="T246" i="5"/>
  <c r="U246" i="5"/>
  <c r="V246" i="5"/>
  <c r="W246" i="5"/>
  <c r="X246" i="5"/>
  <c r="AB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AC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AC248" i="5" s="1"/>
  <c r="N248" i="5"/>
  <c r="O248" i="5"/>
  <c r="P248" i="5"/>
  <c r="Q248" i="5"/>
  <c r="R248" i="5"/>
  <c r="S248" i="5"/>
  <c r="T248" i="5"/>
  <c r="U248" i="5"/>
  <c r="V248" i="5"/>
  <c r="W248" i="5"/>
  <c r="X248" i="5"/>
  <c r="AB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AC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AC250" i="5" s="1"/>
  <c r="N250" i="5"/>
  <c r="O250" i="5"/>
  <c r="P250" i="5"/>
  <c r="Q250" i="5"/>
  <c r="R250" i="5"/>
  <c r="S250" i="5"/>
  <c r="T250" i="5"/>
  <c r="U250" i="5"/>
  <c r="V250" i="5"/>
  <c r="W250" i="5"/>
  <c r="X250" i="5"/>
  <c r="AB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AC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AC252" i="5" s="1"/>
  <c r="N252" i="5"/>
  <c r="O252" i="5"/>
  <c r="P252" i="5"/>
  <c r="Q252" i="5"/>
  <c r="R252" i="5"/>
  <c r="S252" i="5"/>
  <c r="T252" i="5"/>
  <c r="U252" i="5"/>
  <c r="V252" i="5"/>
  <c r="W252" i="5"/>
  <c r="X252" i="5"/>
  <c r="AB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AC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AC254" i="5" s="1"/>
  <c r="N254" i="5"/>
  <c r="O254" i="5"/>
  <c r="P254" i="5"/>
  <c r="Q254" i="5"/>
  <c r="R254" i="5"/>
  <c r="S254" i="5"/>
  <c r="T254" i="5"/>
  <c r="U254" i="5"/>
  <c r="V254" i="5"/>
  <c r="W254" i="5"/>
  <c r="X254" i="5"/>
  <c r="AB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AC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AC256" i="5" s="1"/>
  <c r="N256" i="5"/>
  <c r="O256" i="5"/>
  <c r="P256" i="5"/>
  <c r="Q256" i="5"/>
  <c r="R256" i="5"/>
  <c r="S256" i="5"/>
  <c r="T256" i="5"/>
  <c r="U256" i="5"/>
  <c r="V256" i="5"/>
  <c r="W256" i="5"/>
  <c r="X256" i="5"/>
  <c r="AB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AC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AC258" i="5" s="1"/>
  <c r="N258" i="5"/>
  <c r="O258" i="5"/>
  <c r="P258" i="5"/>
  <c r="Q258" i="5"/>
  <c r="R258" i="5"/>
  <c r="S258" i="5"/>
  <c r="T258" i="5"/>
  <c r="U258" i="5"/>
  <c r="V258" i="5"/>
  <c r="W258" i="5"/>
  <c r="X258" i="5"/>
  <c r="AB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AC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AC260" i="5" s="1"/>
  <c r="N260" i="5"/>
  <c r="O260" i="5"/>
  <c r="P260" i="5"/>
  <c r="Q260" i="5"/>
  <c r="R260" i="5"/>
  <c r="S260" i="5"/>
  <c r="T260" i="5"/>
  <c r="U260" i="5"/>
  <c r="V260" i="5"/>
  <c r="W260" i="5"/>
  <c r="X260" i="5"/>
  <c r="AB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AC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AC262" i="5" s="1"/>
  <c r="N262" i="5"/>
  <c r="O262" i="5"/>
  <c r="P262" i="5"/>
  <c r="Q262" i="5"/>
  <c r="R262" i="5"/>
  <c r="S262" i="5"/>
  <c r="T262" i="5"/>
  <c r="U262" i="5"/>
  <c r="V262" i="5"/>
  <c r="W262" i="5"/>
  <c r="X262" i="5"/>
  <c r="AB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AC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AC264" i="5" s="1"/>
  <c r="N264" i="5"/>
  <c r="O264" i="5"/>
  <c r="P264" i="5"/>
  <c r="Q264" i="5"/>
  <c r="R264" i="5"/>
  <c r="S264" i="5"/>
  <c r="T264" i="5"/>
  <c r="U264" i="5"/>
  <c r="V264" i="5"/>
  <c r="W264" i="5"/>
  <c r="X264" i="5"/>
  <c r="AB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AC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AC266" i="5" s="1"/>
  <c r="N266" i="5"/>
  <c r="O266" i="5"/>
  <c r="P266" i="5"/>
  <c r="Q266" i="5"/>
  <c r="R266" i="5"/>
  <c r="S266" i="5"/>
  <c r="T266" i="5"/>
  <c r="U266" i="5"/>
  <c r="V266" i="5"/>
  <c r="W266" i="5"/>
  <c r="X266" i="5"/>
  <c r="AB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AC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AC268" i="5" s="1"/>
  <c r="N268" i="5"/>
  <c r="O268" i="5"/>
  <c r="P268" i="5"/>
  <c r="Q268" i="5"/>
  <c r="R268" i="5"/>
  <c r="S268" i="5"/>
  <c r="T268" i="5"/>
  <c r="U268" i="5"/>
  <c r="V268" i="5"/>
  <c r="W268" i="5"/>
  <c r="X268" i="5"/>
  <c r="AB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AC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AC270" i="5" s="1"/>
  <c r="N270" i="5"/>
  <c r="O270" i="5"/>
  <c r="P270" i="5"/>
  <c r="Q270" i="5"/>
  <c r="R270" i="5"/>
  <c r="S270" i="5"/>
  <c r="T270" i="5"/>
  <c r="U270" i="5"/>
  <c r="V270" i="5"/>
  <c r="W270" i="5"/>
  <c r="X270" i="5"/>
  <c r="AB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AC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AC272" i="5" s="1"/>
  <c r="N272" i="5"/>
  <c r="O272" i="5"/>
  <c r="P272" i="5"/>
  <c r="Q272" i="5"/>
  <c r="R272" i="5"/>
  <c r="S272" i="5"/>
  <c r="T272" i="5"/>
  <c r="U272" i="5"/>
  <c r="V272" i="5"/>
  <c r="W272" i="5"/>
  <c r="X272" i="5"/>
  <c r="AB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AC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AC274" i="5" s="1"/>
  <c r="N274" i="5"/>
  <c r="O274" i="5"/>
  <c r="P274" i="5"/>
  <c r="Q274" i="5"/>
  <c r="R274" i="5"/>
  <c r="S274" i="5"/>
  <c r="T274" i="5"/>
  <c r="U274" i="5"/>
  <c r="V274" i="5"/>
  <c r="W274" i="5"/>
  <c r="X274" i="5"/>
  <c r="AB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AC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AC276" i="5" s="1"/>
  <c r="N276" i="5"/>
  <c r="O276" i="5"/>
  <c r="P276" i="5"/>
  <c r="Q276" i="5"/>
  <c r="R276" i="5"/>
  <c r="S276" i="5"/>
  <c r="T276" i="5"/>
  <c r="U276" i="5"/>
  <c r="V276" i="5"/>
  <c r="W276" i="5"/>
  <c r="X276" i="5"/>
  <c r="AB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AC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AC278" i="5" s="1"/>
  <c r="N278" i="5"/>
  <c r="O278" i="5"/>
  <c r="P278" i="5"/>
  <c r="Q278" i="5"/>
  <c r="R278" i="5"/>
  <c r="S278" i="5"/>
  <c r="T278" i="5"/>
  <c r="U278" i="5"/>
  <c r="V278" i="5"/>
  <c r="W278" i="5"/>
  <c r="X278" i="5"/>
  <c r="AB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AC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AC280" i="5" s="1"/>
  <c r="N280" i="5"/>
  <c r="O280" i="5"/>
  <c r="P280" i="5"/>
  <c r="Q280" i="5"/>
  <c r="R280" i="5"/>
  <c r="S280" i="5"/>
  <c r="T280" i="5"/>
  <c r="U280" i="5"/>
  <c r="V280" i="5"/>
  <c r="W280" i="5"/>
  <c r="X280" i="5"/>
  <c r="AB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AC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AC282" i="5" s="1"/>
  <c r="N282" i="5"/>
  <c r="O282" i="5"/>
  <c r="P282" i="5"/>
  <c r="Q282" i="5"/>
  <c r="R282" i="5"/>
  <c r="S282" i="5"/>
  <c r="T282" i="5"/>
  <c r="U282" i="5"/>
  <c r="V282" i="5"/>
  <c r="W282" i="5"/>
  <c r="X282" i="5"/>
  <c r="AB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AC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AC284" i="5" s="1"/>
  <c r="N284" i="5"/>
  <c r="O284" i="5"/>
  <c r="P284" i="5"/>
  <c r="Q284" i="5"/>
  <c r="R284" i="5"/>
  <c r="S284" i="5"/>
  <c r="T284" i="5"/>
  <c r="U284" i="5"/>
  <c r="V284" i="5"/>
  <c r="W284" i="5"/>
  <c r="X284" i="5"/>
  <c r="AB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AC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AC286" i="5" s="1"/>
  <c r="N286" i="5"/>
  <c r="O286" i="5"/>
  <c r="P286" i="5"/>
  <c r="Q286" i="5"/>
  <c r="R286" i="5"/>
  <c r="S286" i="5"/>
  <c r="T286" i="5"/>
  <c r="U286" i="5"/>
  <c r="V286" i="5"/>
  <c r="W286" i="5"/>
  <c r="X286" i="5"/>
  <c r="AB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AC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AC288" i="5" s="1"/>
  <c r="N288" i="5"/>
  <c r="O288" i="5"/>
  <c r="P288" i="5"/>
  <c r="Q288" i="5"/>
  <c r="R288" i="5"/>
  <c r="S288" i="5"/>
  <c r="T288" i="5"/>
  <c r="U288" i="5"/>
  <c r="V288" i="5"/>
  <c r="W288" i="5"/>
  <c r="X288" i="5"/>
  <c r="AB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AC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AC290" i="5" s="1"/>
  <c r="N290" i="5"/>
  <c r="O290" i="5"/>
  <c r="P290" i="5"/>
  <c r="Q290" i="5"/>
  <c r="R290" i="5"/>
  <c r="S290" i="5"/>
  <c r="T290" i="5"/>
  <c r="U290" i="5"/>
  <c r="V290" i="5"/>
  <c r="W290" i="5"/>
  <c r="X290" i="5"/>
  <c r="AB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AC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AC292" i="5" s="1"/>
  <c r="N292" i="5"/>
  <c r="O292" i="5"/>
  <c r="P292" i="5"/>
  <c r="Q292" i="5"/>
  <c r="R292" i="5"/>
  <c r="S292" i="5"/>
  <c r="T292" i="5"/>
  <c r="U292" i="5"/>
  <c r="V292" i="5"/>
  <c r="W292" i="5"/>
  <c r="X292" i="5"/>
  <c r="AB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AC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AC294" i="5" s="1"/>
  <c r="N294" i="5"/>
  <c r="O294" i="5"/>
  <c r="P294" i="5"/>
  <c r="Q294" i="5"/>
  <c r="R294" i="5"/>
  <c r="S294" i="5"/>
  <c r="T294" i="5"/>
  <c r="U294" i="5"/>
  <c r="V294" i="5"/>
  <c r="W294" i="5"/>
  <c r="X294" i="5"/>
  <c r="AB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AC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AC296" i="5" s="1"/>
  <c r="N296" i="5"/>
  <c r="O296" i="5"/>
  <c r="P296" i="5"/>
  <c r="Q296" i="5"/>
  <c r="R296" i="5"/>
  <c r="S296" i="5"/>
  <c r="T296" i="5"/>
  <c r="U296" i="5"/>
  <c r="V296" i="5"/>
  <c r="W296" i="5"/>
  <c r="X296" i="5"/>
  <c r="AB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AC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AC298" i="5" s="1"/>
  <c r="N298" i="5"/>
  <c r="O298" i="5"/>
  <c r="P298" i="5"/>
  <c r="Q298" i="5"/>
  <c r="R298" i="5"/>
  <c r="S298" i="5"/>
  <c r="T298" i="5"/>
  <c r="U298" i="5"/>
  <c r="V298" i="5"/>
  <c r="W298" i="5"/>
  <c r="X298" i="5"/>
  <c r="AB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AC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AC300" i="5" s="1"/>
  <c r="N300" i="5"/>
  <c r="O300" i="5"/>
  <c r="P300" i="5"/>
  <c r="Q300" i="5"/>
  <c r="R300" i="5"/>
  <c r="S300" i="5"/>
  <c r="T300" i="5"/>
  <c r="U300" i="5"/>
  <c r="V300" i="5"/>
  <c r="W300" i="5"/>
  <c r="X300" i="5"/>
  <c r="AB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AC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AC302" i="5" s="1"/>
  <c r="N302" i="5"/>
  <c r="O302" i="5"/>
  <c r="P302" i="5"/>
  <c r="Q302" i="5"/>
  <c r="R302" i="5"/>
  <c r="S302" i="5"/>
  <c r="T302" i="5"/>
  <c r="U302" i="5"/>
  <c r="V302" i="5"/>
  <c r="W302" i="5"/>
  <c r="X302" i="5"/>
  <c r="AB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AC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AC304" i="5" s="1"/>
  <c r="N304" i="5"/>
  <c r="O304" i="5"/>
  <c r="P304" i="5"/>
  <c r="Q304" i="5"/>
  <c r="R304" i="5"/>
  <c r="S304" i="5"/>
  <c r="T304" i="5"/>
  <c r="U304" i="5"/>
  <c r="V304" i="5"/>
  <c r="W304" i="5"/>
  <c r="X304" i="5"/>
  <c r="AB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AC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AC306" i="5" s="1"/>
  <c r="N306" i="5"/>
  <c r="O306" i="5"/>
  <c r="P306" i="5"/>
  <c r="Q306" i="5"/>
  <c r="R306" i="5"/>
  <c r="S306" i="5"/>
  <c r="T306" i="5"/>
  <c r="U306" i="5"/>
  <c r="V306" i="5"/>
  <c r="W306" i="5"/>
  <c r="X306" i="5"/>
  <c r="AB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AC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AC308" i="5" s="1"/>
  <c r="N308" i="5"/>
  <c r="O308" i="5"/>
  <c r="P308" i="5"/>
  <c r="Q308" i="5"/>
  <c r="R308" i="5"/>
  <c r="S308" i="5"/>
  <c r="T308" i="5"/>
  <c r="U308" i="5"/>
  <c r="V308" i="5"/>
  <c r="W308" i="5"/>
  <c r="X308" i="5"/>
  <c r="AB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AC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AC310" i="5" s="1"/>
  <c r="N310" i="5"/>
  <c r="O310" i="5"/>
  <c r="P310" i="5"/>
  <c r="Q310" i="5"/>
  <c r="R310" i="5"/>
  <c r="S310" i="5"/>
  <c r="T310" i="5"/>
  <c r="U310" i="5"/>
  <c r="V310" i="5"/>
  <c r="W310" i="5"/>
  <c r="X310" i="5"/>
  <c r="AB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AC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AC312" i="5" s="1"/>
  <c r="N312" i="5"/>
  <c r="O312" i="5"/>
  <c r="P312" i="5"/>
  <c r="Q312" i="5"/>
  <c r="R312" i="5"/>
  <c r="S312" i="5"/>
  <c r="T312" i="5"/>
  <c r="U312" i="5"/>
  <c r="V312" i="5"/>
  <c r="W312" i="5"/>
  <c r="X312" i="5"/>
  <c r="AB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AC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AC314" i="5" s="1"/>
  <c r="N314" i="5"/>
  <c r="O314" i="5"/>
  <c r="P314" i="5"/>
  <c r="Q314" i="5"/>
  <c r="R314" i="5"/>
  <c r="S314" i="5"/>
  <c r="T314" i="5"/>
  <c r="U314" i="5"/>
  <c r="V314" i="5"/>
  <c r="W314" i="5"/>
  <c r="X314" i="5"/>
  <c r="AB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AC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AC316" i="5" s="1"/>
  <c r="N316" i="5"/>
  <c r="O316" i="5"/>
  <c r="P316" i="5"/>
  <c r="Q316" i="5"/>
  <c r="R316" i="5"/>
  <c r="S316" i="5"/>
  <c r="T316" i="5"/>
  <c r="U316" i="5"/>
  <c r="V316" i="5"/>
  <c r="W316" i="5"/>
  <c r="X316" i="5"/>
  <c r="AB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AC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AC318" i="5" s="1"/>
  <c r="N318" i="5"/>
  <c r="O318" i="5"/>
  <c r="P318" i="5"/>
  <c r="Q318" i="5"/>
  <c r="R318" i="5"/>
  <c r="S318" i="5"/>
  <c r="T318" i="5"/>
  <c r="U318" i="5"/>
  <c r="V318" i="5"/>
  <c r="W318" i="5"/>
  <c r="X318" i="5"/>
  <c r="AB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AC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AC320" i="5" s="1"/>
  <c r="N320" i="5"/>
  <c r="O320" i="5"/>
  <c r="P320" i="5"/>
  <c r="Q320" i="5"/>
  <c r="R320" i="5"/>
  <c r="S320" i="5"/>
  <c r="T320" i="5"/>
  <c r="U320" i="5"/>
  <c r="V320" i="5"/>
  <c r="W320" i="5"/>
  <c r="X320" i="5"/>
  <c r="AB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AC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AC322" i="5" s="1"/>
  <c r="N322" i="5"/>
  <c r="O322" i="5"/>
  <c r="P322" i="5"/>
  <c r="Q322" i="5"/>
  <c r="R322" i="5"/>
  <c r="S322" i="5"/>
  <c r="T322" i="5"/>
  <c r="U322" i="5"/>
  <c r="V322" i="5"/>
  <c r="W322" i="5"/>
  <c r="X322" i="5"/>
  <c r="AB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AC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AC324" i="5" s="1"/>
  <c r="N324" i="5"/>
  <c r="O324" i="5"/>
  <c r="P324" i="5"/>
  <c r="Q324" i="5"/>
  <c r="R324" i="5"/>
  <c r="S324" i="5"/>
  <c r="T324" i="5"/>
  <c r="U324" i="5"/>
  <c r="V324" i="5"/>
  <c r="W324" i="5"/>
  <c r="X324" i="5"/>
  <c r="AB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AC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AC326" i="5" s="1"/>
  <c r="N326" i="5"/>
  <c r="O326" i="5"/>
  <c r="P326" i="5"/>
  <c r="Q326" i="5"/>
  <c r="R326" i="5"/>
  <c r="S326" i="5"/>
  <c r="T326" i="5"/>
  <c r="U326" i="5"/>
  <c r="V326" i="5"/>
  <c r="W326" i="5"/>
  <c r="X326" i="5"/>
  <c r="AB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AC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AC328" i="5" s="1"/>
  <c r="N328" i="5"/>
  <c r="O328" i="5"/>
  <c r="P328" i="5"/>
  <c r="Q328" i="5"/>
  <c r="R328" i="5"/>
  <c r="S328" i="5"/>
  <c r="T328" i="5"/>
  <c r="U328" i="5"/>
  <c r="V328" i="5"/>
  <c r="W328" i="5"/>
  <c r="X328" i="5"/>
  <c r="AB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AC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AC330" i="5" s="1"/>
  <c r="N330" i="5"/>
  <c r="O330" i="5"/>
  <c r="P330" i="5"/>
  <c r="Q330" i="5"/>
  <c r="R330" i="5"/>
  <c r="S330" i="5"/>
  <c r="T330" i="5"/>
  <c r="U330" i="5"/>
  <c r="V330" i="5"/>
  <c r="W330" i="5"/>
  <c r="X330" i="5"/>
  <c r="AB330" i="5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AC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AC332" i="5" s="1"/>
  <c r="N332" i="5"/>
  <c r="O332" i="5"/>
  <c r="P332" i="5"/>
  <c r="Q332" i="5"/>
  <c r="R332" i="5"/>
  <c r="S332" i="5"/>
  <c r="T332" i="5"/>
  <c r="U332" i="5"/>
  <c r="V332" i="5"/>
  <c r="W332" i="5"/>
  <c r="X332" i="5"/>
  <c r="AB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AC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AC334" i="5" s="1"/>
  <c r="N334" i="5"/>
  <c r="O334" i="5"/>
  <c r="P334" i="5"/>
  <c r="Q334" i="5"/>
  <c r="R334" i="5"/>
  <c r="S334" i="5"/>
  <c r="T334" i="5"/>
  <c r="U334" i="5"/>
  <c r="V334" i="5"/>
  <c r="W334" i="5"/>
  <c r="X334" i="5"/>
  <c r="AB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AC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AC336" i="5" s="1"/>
  <c r="N336" i="5"/>
  <c r="O336" i="5"/>
  <c r="P336" i="5"/>
  <c r="Q336" i="5"/>
  <c r="R336" i="5"/>
  <c r="S336" i="5"/>
  <c r="T336" i="5"/>
  <c r="U336" i="5"/>
  <c r="V336" i="5"/>
  <c r="W336" i="5"/>
  <c r="X336" i="5"/>
  <c r="AB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AC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AC338" i="5" s="1"/>
  <c r="N338" i="5"/>
  <c r="O338" i="5"/>
  <c r="P338" i="5"/>
  <c r="Q338" i="5"/>
  <c r="R338" i="5"/>
  <c r="S338" i="5"/>
  <c r="T338" i="5"/>
  <c r="U338" i="5"/>
  <c r="V338" i="5"/>
  <c r="W338" i="5"/>
  <c r="X338" i="5"/>
  <c r="AB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AC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AC340" i="5" s="1"/>
  <c r="N340" i="5"/>
  <c r="O340" i="5"/>
  <c r="P340" i="5"/>
  <c r="Q340" i="5"/>
  <c r="R340" i="5"/>
  <c r="S340" i="5"/>
  <c r="T340" i="5"/>
  <c r="U340" i="5"/>
  <c r="V340" i="5"/>
  <c r="W340" i="5"/>
  <c r="X340" i="5"/>
  <c r="AB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AC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AC342" i="5" s="1"/>
  <c r="N342" i="5"/>
  <c r="O342" i="5"/>
  <c r="P342" i="5"/>
  <c r="Q342" i="5"/>
  <c r="R342" i="5"/>
  <c r="S342" i="5"/>
  <c r="T342" i="5"/>
  <c r="U342" i="5"/>
  <c r="V342" i="5"/>
  <c r="W342" i="5"/>
  <c r="X342" i="5"/>
  <c r="AB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AC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AC344" i="5" s="1"/>
  <c r="N344" i="5"/>
  <c r="O344" i="5"/>
  <c r="P344" i="5"/>
  <c r="Q344" i="5"/>
  <c r="R344" i="5"/>
  <c r="S344" i="5"/>
  <c r="T344" i="5"/>
  <c r="U344" i="5"/>
  <c r="V344" i="5"/>
  <c r="W344" i="5"/>
  <c r="X344" i="5"/>
  <c r="AB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AC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AC346" i="5" s="1"/>
  <c r="N346" i="5"/>
  <c r="O346" i="5"/>
  <c r="P346" i="5"/>
  <c r="Q346" i="5"/>
  <c r="R346" i="5"/>
  <c r="S346" i="5"/>
  <c r="T346" i="5"/>
  <c r="U346" i="5"/>
  <c r="V346" i="5"/>
  <c r="W346" i="5"/>
  <c r="X346" i="5"/>
  <c r="AB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AC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AC348" i="5" s="1"/>
  <c r="N348" i="5"/>
  <c r="O348" i="5"/>
  <c r="P348" i="5"/>
  <c r="Q348" i="5"/>
  <c r="R348" i="5"/>
  <c r="S348" i="5"/>
  <c r="T348" i="5"/>
  <c r="U348" i="5"/>
  <c r="V348" i="5"/>
  <c r="W348" i="5"/>
  <c r="X348" i="5"/>
  <c r="AB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AC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AC350" i="5" s="1"/>
  <c r="N350" i="5"/>
  <c r="O350" i="5"/>
  <c r="P350" i="5"/>
  <c r="Q350" i="5"/>
  <c r="R350" i="5"/>
  <c r="S350" i="5"/>
  <c r="T350" i="5"/>
  <c r="U350" i="5"/>
  <c r="V350" i="5"/>
  <c r="W350" i="5"/>
  <c r="X350" i="5"/>
  <c r="AB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AC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AC352" i="5" s="1"/>
  <c r="N352" i="5"/>
  <c r="O352" i="5"/>
  <c r="P352" i="5"/>
  <c r="Q352" i="5"/>
  <c r="R352" i="5"/>
  <c r="S352" i="5"/>
  <c r="T352" i="5"/>
  <c r="U352" i="5"/>
  <c r="V352" i="5"/>
  <c r="W352" i="5"/>
  <c r="X352" i="5"/>
  <c r="AB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AC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AC354" i="5" s="1"/>
  <c r="N354" i="5"/>
  <c r="O354" i="5"/>
  <c r="P354" i="5"/>
  <c r="Q354" i="5"/>
  <c r="R354" i="5"/>
  <c r="S354" i="5"/>
  <c r="T354" i="5"/>
  <c r="U354" i="5"/>
  <c r="V354" i="5"/>
  <c r="W354" i="5"/>
  <c r="X354" i="5"/>
  <c r="AB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AC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AC356" i="5" s="1"/>
  <c r="N356" i="5"/>
  <c r="O356" i="5"/>
  <c r="P356" i="5"/>
  <c r="Q356" i="5"/>
  <c r="R356" i="5"/>
  <c r="S356" i="5"/>
  <c r="T356" i="5"/>
  <c r="U356" i="5"/>
  <c r="V356" i="5"/>
  <c r="W356" i="5"/>
  <c r="X356" i="5"/>
  <c r="AB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AC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AC358" i="5" s="1"/>
  <c r="N358" i="5"/>
  <c r="O358" i="5"/>
  <c r="P358" i="5"/>
  <c r="Q358" i="5"/>
  <c r="R358" i="5"/>
  <c r="S358" i="5"/>
  <c r="T358" i="5"/>
  <c r="U358" i="5"/>
  <c r="V358" i="5"/>
  <c r="W358" i="5"/>
  <c r="X358" i="5"/>
  <c r="AB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AC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AC360" i="5" s="1"/>
  <c r="N360" i="5"/>
  <c r="O360" i="5"/>
  <c r="P360" i="5"/>
  <c r="Q360" i="5"/>
  <c r="R360" i="5"/>
  <c r="S360" i="5"/>
  <c r="T360" i="5"/>
  <c r="U360" i="5"/>
  <c r="V360" i="5"/>
  <c r="W360" i="5"/>
  <c r="X360" i="5"/>
  <c r="AB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AC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AC362" i="5" s="1"/>
  <c r="N362" i="5"/>
  <c r="O362" i="5"/>
  <c r="P362" i="5"/>
  <c r="Q362" i="5"/>
  <c r="R362" i="5"/>
  <c r="S362" i="5"/>
  <c r="T362" i="5"/>
  <c r="U362" i="5"/>
  <c r="V362" i="5"/>
  <c r="W362" i="5"/>
  <c r="X362" i="5"/>
  <c r="AB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AC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AC364" i="5" s="1"/>
  <c r="N364" i="5"/>
  <c r="O364" i="5"/>
  <c r="P364" i="5"/>
  <c r="Q364" i="5"/>
  <c r="R364" i="5"/>
  <c r="S364" i="5"/>
  <c r="T364" i="5"/>
  <c r="U364" i="5"/>
  <c r="V364" i="5"/>
  <c r="W364" i="5"/>
  <c r="X364" i="5"/>
  <c r="AB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AC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AC366" i="5" s="1"/>
  <c r="N366" i="5"/>
  <c r="O366" i="5"/>
  <c r="P366" i="5"/>
  <c r="Q366" i="5"/>
  <c r="R366" i="5"/>
  <c r="S366" i="5"/>
  <c r="T366" i="5"/>
  <c r="U366" i="5"/>
  <c r="V366" i="5"/>
  <c r="W366" i="5"/>
  <c r="X366" i="5"/>
  <c r="AB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AC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AC368" i="5" s="1"/>
  <c r="N368" i="5"/>
  <c r="O368" i="5"/>
  <c r="P368" i="5"/>
  <c r="Q368" i="5"/>
  <c r="R368" i="5"/>
  <c r="S368" i="5"/>
  <c r="T368" i="5"/>
  <c r="U368" i="5"/>
  <c r="V368" i="5"/>
  <c r="W368" i="5"/>
  <c r="X368" i="5"/>
  <c r="AB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AC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AC370" i="5" s="1"/>
  <c r="N370" i="5"/>
  <c r="O370" i="5"/>
  <c r="P370" i="5"/>
  <c r="Q370" i="5"/>
  <c r="R370" i="5"/>
  <c r="S370" i="5"/>
  <c r="T370" i="5"/>
  <c r="U370" i="5"/>
  <c r="V370" i="5"/>
  <c r="W370" i="5"/>
  <c r="X370" i="5"/>
  <c r="AB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AC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AC372" i="5" s="1"/>
  <c r="N372" i="5"/>
  <c r="O372" i="5"/>
  <c r="P372" i="5"/>
  <c r="Q372" i="5"/>
  <c r="R372" i="5"/>
  <c r="S372" i="5"/>
  <c r="T372" i="5"/>
  <c r="U372" i="5"/>
  <c r="V372" i="5"/>
  <c r="W372" i="5"/>
  <c r="X372" i="5"/>
  <c r="AB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AC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AC374" i="5" s="1"/>
  <c r="N374" i="5"/>
  <c r="O374" i="5"/>
  <c r="P374" i="5"/>
  <c r="Q374" i="5"/>
  <c r="R374" i="5"/>
  <c r="S374" i="5"/>
  <c r="T374" i="5"/>
  <c r="U374" i="5"/>
  <c r="V374" i="5"/>
  <c r="W374" i="5"/>
  <c r="X374" i="5"/>
  <c r="AB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AC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AC376" i="5" s="1"/>
  <c r="N376" i="5"/>
  <c r="O376" i="5"/>
  <c r="P376" i="5"/>
  <c r="Q376" i="5"/>
  <c r="R376" i="5"/>
  <c r="S376" i="5"/>
  <c r="T376" i="5"/>
  <c r="U376" i="5"/>
  <c r="V376" i="5"/>
  <c r="W376" i="5"/>
  <c r="X376" i="5"/>
  <c r="AB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AC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AC378" i="5" s="1"/>
  <c r="N378" i="5"/>
  <c r="O378" i="5"/>
  <c r="P378" i="5"/>
  <c r="Q378" i="5"/>
  <c r="R378" i="5"/>
  <c r="S378" i="5"/>
  <c r="T378" i="5"/>
  <c r="U378" i="5"/>
  <c r="V378" i="5"/>
  <c r="W378" i="5"/>
  <c r="X378" i="5"/>
  <c r="AB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AC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AC380" i="5" s="1"/>
  <c r="N380" i="5"/>
  <c r="O380" i="5"/>
  <c r="P380" i="5"/>
  <c r="Q380" i="5"/>
  <c r="R380" i="5"/>
  <c r="S380" i="5"/>
  <c r="T380" i="5"/>
  <c r="U380" i="5"/>
  <c r="V380" i="5"/>
  <c r="W380" i="5"/>
  <c r="X380" i="5"/>
  <c r="AB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AC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AC382" i="5" s="1"/>
  <c r="N382" i="5"/>
  <c r="O382" i="5"/>
  <c r="P382" i="5"/>
  <c r="Q382" i="5"/>
  <c r="R382" i="5"/>
  <c r="S382" i="5"/>
  <c r="T382" i="5"/>
  <c r="U382" i="5"/>
  <c r="V382" i="5"/>
  <c r="W382" i="5"/>
  <c r="X382" i="5"/>
  <c r="AB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AC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AC384" i="5" s="1"/>
  <c r="N384" i="5"/>
  <c r="O384" i="5"/>
  <c r="P384" i="5"/>
  <c r="Q384" i="5"/>
  <c r="R384" i="5"/>
  <c r="S384" i="5"/>
  <c r="T384" i="5"/>
  <c r="U384" i="5"/>
  <c r="V384" i="5"/>
  <c r="W384" i="5"/>
  <c r="X384" i="5"/>
  <c r="AB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AC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AC386" i="5" s="1"/>
  <c r="N386" i="5"/>
  <c r="O386" i="5"/>
  <c r="P386" i="5"/>
  <c r="Q386" i="5"/>
  <c r="R386" i="5"/>
  <c r="S386" i="5"/>
  <c r="T386" i="5"/>
  <c r="U386" i="5"/>
  <c r="V386" i="5"/>
  <c r="W386" i="5"/>
  <c r="X386" i="5"/>
  <c r="AB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AC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AC388" i="5" s="1"/>
  <c r="N388" i="5"/>
  <c r="O388" i="5"/>
  <c r="P388" i="5"/>
  <c r="Q388" i="5"/>
  <c r="R388" i="5"/>
  <c r="S388" i="5"/>
  <c r="T388" i="5"/>
  <c r="U388" i="5"/>
  <c r="V388" i="5"/>
  <c r="W388" i="5"/>
  <c r="X388" i="5"/>
  <c r="AB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AC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AC390" i="5" s="1"/>
  <c r="N390" i="5"/>
  <c r="O390" i="5"/>
  <c r="P390" i="5"/>
  <c r="Q390" i="5"/>
  <c r="R390" i="5"/>
  <c r="S390" i="5"/>
  <c r="T390" i="5"/>
  <c r="U390" i="5"/>
  <c r="V390" i="5"/>
  <c r="W390" i="5"/>
  <c r="X390" i="5"/>
  <c r="AB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AC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AC392" i="5" s="1"/>
  <c r="N392" i="5"/>
  <c r="O392" i="5"/>
  <c r="P392" i="5"/>
  <c r="Q392" i="5"/>
  <c r="R392" i="5"/>
  <c r="S392" i="5"/>
  <c r="T392" i="5"/>
  <c r="U392" i="5"/>
  <c r="V392" i="5"/>
  <c r="W392" i="5"/>
  <c r="X392" i="5"/>
  <c r="AB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AC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AC394" i="5" s="1"/>
  <c r="N394" i="5"/>
  <c r="O394" i="5"/>
  <c r="P394" i="5"/>
  <c r="Q394" i="5"/>
  <c r="R394" i="5"/>
  <c r="S394" i="5"/>
  <c r="T394" i="5"/>
  <c r="U394" i="5"/>
  <c r="V394" i="5"/>
  <c r="W394" i="5"/>
  <c r="X394" i="5"/>
  <c r="AB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AC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AC396" i="5" s="1"/>
  <c r="N396" i="5"/>
  <c r="O396" i="5"/>
  <c r="P396" i="5"/>
  <c r="Q396" i="5"/>
  <c r="R396" i="5"/>
  <c r="S396" i="5"/>
  <c r="T396" i="5"/>
  <c r="U396" i="5"/>
  <c r="V396" i="5"/>
  <c r="W396" i="5"/>
  <c r="X396" i="5"/>
  <c r="AB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AC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AC398" i="5" s="1"/>
  <c r="N398" i="5"/>
  <c r="O398" i="5"/>
  <c r="P398" i="5"/>
  <c r="Q398" i="5"/>
  <c r="R398" i="5"/>
  <c r="S398" i="5"/>
  <c r="T398" i="5"/>
  <c r="U398" i="5"/>
  <c r="V398" i="5"/>
  <c r="W398" i="5"/>
  <c r="X398" i="5"/>
  <c r="AB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AC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AC400" i="5" s="1"/>
  <c r="N400" i="5"/>
  <c r="O400" i="5"/>
  <c r="P400" i="5"/>
  <c r="Q400" i="5"/>
  <c r="R400" i="5"/>
  <c r="S400" i="5"/>
  <c r="T400" i="5"/>
  <c r="U400" i="5"/>
  <c r="V400" i="5"/>
  <c r="W400" i="5"/>
  <c r="X400" i="5"/>
  <c r="AB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AC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AC402" i="5" s="1"/>
  <c r="N402" i="5"/>
  <c r="O402" i="5"/>
  <c r="P402" i="5"/>
  <c r="Q402" i="5"/>
  <c r="R402" i="5"/>
  <c r="S402" i="5"/>
  <c r="T402" i="5"/>
  <c r="U402" i="5"/>
  <c r="V402" i="5"/>
  <c r="W402" i="5"/>
  <c r="X402" i="5"/>
  <c r="AB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AC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AC404" i="5" s="1"/>
  <c r="N404" i="5"/>
  <c r="O404" i="5"/>
  <c r="P404" i="5"/>
  <c r="Q404" i="5"/>
  <c r="R404" i="5"/>
  <c r="S404" i="5"/>
  <c r="T404" i="5"/>
  <c r="U404" i="5"/>
  <c r="V404" i="5"/>
  <c r="W404" i="5"/>
  <c r="X404" i="5"/>
  <c r="AB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AC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AC406" i="5" s="1"/>
  <c r="N406" i="5"/>
  <c r="O406" i="5"/>
  <c r="P406" i="5"/>
  <c r="Q406" i="5"/>
  <c r="R406" i="5"/>
  <c r="S406" i="5"/>
  <c r="T406" i="5"/>
  <c r="U406" i="5"/>
  <c r="V406" i="5"/>
  <c r="W406" i="5"/>
  <c r="X406" i="5"/>
  <c r="AB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AC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AC408" i="5" s="1"/>
  <c r="N408" i="5"/>
  <c r="O408" i="5"/>
  <c r="P408" i="5"/>
  <c r="Q408" i="5"/>
  <c r="R408" i="5"/>
  <c r="S408" i="5"/>
  <c r="T408" i="5"/>
  <c r="U408" i="5"/>
  <c r="V408" i="5"/>
  <c r="W408" i="5"/>
  <c r="X408" i="5"/>
  <c r="AB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AC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AC410" i="5" s="1"/>
  <c r="N410" i="5"/>
  <c r="O410" i="5"/>
  <c r="P410" i="5"/>
  <c r="Q410" i="5"/>
  <c r="R410" i="5"/>
  <c r="S410" i="5"/>
  <c r="T410" i="5"/>
  <c r="U410" i="5"/>
  <c r="V410" i="5"/>
  <c r="W410" i="5"/>
  <c r="X410" i="5"/>
  <c r="AB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AC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AC412" i="5" s="1"/>
  <c r="N412" i="5"/>
  <c r="O412" i="5"/>
  <c r="P412" i="5"/>
  <c r="Q412" i="5"/>
  <c r="R412" i="5"/>
  <c r="S412" i="5"/>
  <c r="T412" i="5"/>
  <c r="U412" i="5"/>
  <c r="V412" i="5"/>
  <c r="W412" i="5"/>
  <c r="X412" i="5"/>
  <c r="AB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AC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AC414" i="5" s="1"/>
  <c r="N414" i="5"/>
  <c r="O414" i="5"/>
  <c r="P414" i="5"/>
  <c r="Q414" i="5"/>
  <c r="R414" i="5"/>
  <c r="S414" i="5"/>
  <c r="T414" i="5"/>
  <c r="U414" i="5"/>
  <c r="V414" i="5"/>
  <c r="W414" i="5"/>
  <c r="X414" i="5"/>
  <c r="AB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AC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AC416" i="5" s="1"/>
  <c r="N416" i="5"/>
  <c r="O416" i="5"/>
  <c r="P416" i="5"/>
  <c r="Q416" i="5"/>
  <c r="R416" i="5"/>
  <c r="S416" i="5"/>
  <c r="T416" i="5"/>
  <c r="U416" i="5"/>
  <c r="V416" i="5"/>
  <c r="W416" i="5"/>
  <c r="X416" i="5"/>
  <c r="AB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AC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AC418" i="5" s="1"/>
  <c r="N418" i="5"/>
  <c r="O418" i="5"/>
  <c r="P418" i="5"/>
  <c r="Q418" i="5"/>
  <c r="R418" i="5"/>
  <c r="S418" i="5"/>
  <c r="T418" i="5"/>
  <c r="U418" i="5"/>
  <c r="V418" i="5"/>
  <c r="W418" i="5"/>
  <c r="X418" i="5"/>
  <c r="AB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AC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AC420" i="5" s="1"/>
  <c r="N420" i="5"/>
  <c r="O420" i="5"/>
  <c r="P420" i="5"/>
  <c r="Q420" i="5"/>
  <c r="R420" i="5"/>
  <c r="S420" i="5"/>
  <c r="T420" i="5"/>
  <c r="U420" i="5"/>
  <c r="V420" i="5"/>
  <c r="W420" i="5"/>
  <c r="X420" i="5"/>
  <c r="AB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AC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AC422" i="5" s="1"/>
  <c r="N422" i="5"/>
  <c r="O422" i="5"/>
  <c r="P422" i="5"/>
  <c r="Q422" i="5"/>
  <c r="R422" i="5"/>
  <c r="S422" i="5"/>
  <c r="T422" i="5"/>
  <c r="U422" i="5"/>
  <c r="V422" i="5"/>
  <c r="W422" i="5"/>
  <c r="X422" i="5"/>
  <c r="AB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AC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AC424" i="5" s="1"/>
  <c r="N424" i="5"/>
  <c r="O424" i="5"/>
  <c r="P424" i="5"/>
  <c r="Q424" i="5"/>
  <c r="R424" i="5"/>
  <c r="S424" i="5"/>
  <c r="T424" i="5"/>
  <c r="U424" i="5"/>
  <c r="V424" i="5"/>
  <c r="W424" i="5"/>
  <c r="X424" i="5"/>
  <c r="AB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AC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AC426" i="5" s="1"/>
  <c r="N426" i="5"/>
  <c r="O426" i="5"/>
  <c r="P426" i="5"/>
  <c r="Q426" i="5"/>
  <c r="R426" i="5"/>
  <c r="S426" i="5"/>
  <c r="T426" i="5"/>
  <c r="U426" i="5"/>
  <c r="V426" i="5"/>
  <c r="W426" i="5"/>
  <c r="X426" i="5"/>
  <c r="AB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AC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AC428" i="5" s="1"/>
  <c r="N428" i="5"/>
  <c r="O428" i="5"/>
  <c r="P428" i="5"/>
  <c r="Q428" i="5"/>
  <c r="R428" i="5"/>
  <c r="S428" i="5"/>
  <c r="T428" i="5"/>
  <c r="U428" i="5"/>
  <c r="V428" i="5"/>
  <c r="W428" i="5"/>
  <c r="X428" i="5"/>
  <c r="AB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AC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AC430" i="5" s="1"/>
  <c r="N430" i="5"/>
  <c r="O430" i="5"/>
  <c r="P430" i="5"/>
  <c r="Q430" i="5"/>
  <c r="R430" i="5"/>
  <c r="S430" i="5"/>
  <c r="T430" i="5"/>
  <c r="U430" i="5"/>
  <c r="V430" i="5"/>
  <c r="W430" i="5"/>
  <c r="X430" i="5"/>
  <c r="AB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AC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AC432" i="5" s="1"/>
  <c r="N432" i="5"/>
  <c r="O432" i="5"/>
  <c r="P432" i="5"/>
  <c r="Q432" i="5"/>
  <c r="R432" i="5"/>
  <c r="S432" i="5"/>
  <c r="T432" i="5"/>
  <c r="U432" i="5"/>
  <c r="V432" i="5"/>
  <c r="W432" i="5"/>
  <c r="X432" i="5"/>
  <c r="AB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AC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AC434" i="5" s="1"/>
  <c r="N434" i="5"/>
  <c r="O434" i="5"/>
  <c r="P434" i="5"/>
  <c r="Q434" i="5"/>
  <c r="R434" i="5"/>
  <c r="S434" i="5"/>
  <c r="T434" i="5"/>
  <c r="U434" i="5"/>
  <c r="V434" i="5"/>
  <c r="W434" i="5"/>
  <c r="X434" i="5"/>
  <c r="AB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AC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AC436" i="5" s="1"/>
  <c r="N436" i="5"/>
  <c r="O436" i="5"/>
  <c r="P436" i="5"/>
  <c r="Q436" i="5"/>
  <c r="R436" i="5"/>
  <c r="S436" i="5"/>
  <c r="T436" i="5"/>
  <c r="U436" i="5"/>
  <c r="V436" i="5"/>
  <c r="W436" i="5"/>
  <c r="X436" i="5"/>
  <c r="AB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AC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AC438" i="5" s="1"/>
  <c r="N438" i="5"/>
  <c r="O438" i="5"/>
  <c r="P438" i="5"/>
  <c r="Q438" i="5"/>
  <c r="R438" i="5"/>
  <c r="S438" i="5"/>
  <c r="T438" i="5"/>
  <c r="U438" i="5"/>
  <c r="V438" i="5"/>
  <c r="W438" i="5"/>
  <c r="X438" i="5"/>
  <c r="AB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AC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AC440" i="5" s="1"/>
  <c r="N440" i="5"/>
  <c r="O440" i="5"/>
  <c r="P440" i="5"/>
  <c r="Q440" i="5"/>
  <c r="R440" i="5"/>
  <c r="S440" i="5"/>
  <c r="T440" i="5"/>
  <c r="U440" i="5"/>
  <c r="V440" i="5"/>
  <c r="W440" i="5"/>
  <c r="X440" i="5"/>
  <c r="AB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AC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AC442" i="5" s="1"/>
  <c r="N442" i="5"/>
  <c r="O442" i="5"/>
  <c r="P442" i="5"/>
  <c r="Q442" i="5"/>
  <c r="R442" i="5"/>
  <c r="S442" i="5"/>
  <c r="T442" i="5"/>
  <c r="U442" i="5"/>
  <c r="V442" i="5"/>
  <c r="W442" i="5"/>
  <c r="X442" i="5"/>
  <c r="AB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AC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AC444" i="5" s="1"/>
  <c r="N444" i="5"/>
  <c r="O444" i="5"/>
  <c r="P444" i="5"/>
  <c r="Q444" i="5"/>
  <c r="R444" i="5"/>
  <c r="S444" i="5"/>
  <c r="T444" i="5"/>
  <c r="U444" i="5"/>
  <c r="V444" i="5"/>
  <c r="W444" i="5"/>
  <c r="X444" i="5"/>
  <c r="AB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AC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AC446" i="5" s="1"/>
  <c r="N446" i="5"/>
  <c r="O446" i="5"/>
  <c r="P446" i="5"/>
  <c r="Q446" i="5"/>
  <c r="R446" i="5"/>
  <c r="S446" i="5"/>
  <c r="T446" i="5"/>
  <c r="U446" i="5"/>
  <c r="V446" i="5"/>
  <c r="W446" i="5"/>
  <c r="X446" i="5"/>
  <c r="AB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AC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AC448" i="5" s="1"/>
  <c r="N448" i="5"/>
  <c r="O448" i="5"/>
  <c r="P448" i="5"/>
  <c r="Q448" i="5"/>
  <c r="R448" i="5"/>
  <c r="S448" i="5"/>
  <c r="T448" i="5"/>
  <c r="U448" i="5"/>
  <c r="V448" i="5"/>
  <c r="W448" i="5"/>
  <c r="X448" i="5"/>
  <c r="AB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AC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AC450" i="5" s="1"/>
  <c r="N450" i="5"/>
  <c r="O450" i="5"/>
  <c r="P450" i="5"/>
  <c r="Q450" i="5"/>
  <c r="R450" i="5"/>
  <c r="S450" i="5"/>
  <c r="T450" i="5"/>
  <c r="U450" i="5"/>
  <c r="V450" i="5"/>
  <c r="W450" i="5"/>
  <c r="X450" i="5"/>
  <c r="AB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AC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AC452" i="5" s="1"/>
  <c r="N452" i="5"/>
  <c r="O452" i="5"/>
  <c r="P452" i="5"/>
  <c r="Q452" i="5"/>
  <c r="R452" i="5"/>
  <c r="S452" i="5"/>
  <c r="T452" i="5"/>
  <c r="U452" i="5"/>
  <c r="V452" i="5"/>
  <c r="W452" i="5"/>
  <c r="X452" i="5"/>
  <c r="AB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AC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AC454" i="5" s="1"/>
  <c r="N454" i="5"/>
  <c r="O454" i="5"/>
  <c r="P454" i="5"/>
  <c r="Q454" i="5"/>
  <c r="R454" i="5"/>
  <c r="S454" i="5"/>
  <c r="T454" i="5"/>
  <c r="U454" i="5"/>
  <c r="V454" i="5"/>
  <c r="W454" i="5"/>
  <c r="X454" i="5"/>
  <c r="AB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AC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AC456" i="5" s="1"/>
  <c r="N456" i="5"/>
  <c r="O456" i="5"/>
  <c r="P456" i="5"/>
  <c r="Q456" i="5"/>
  <c r="R456" i="5"/>
  <c r="S456" i="5"/>
  <c r="T456" i="5"/>
  <c r="U456" i="5"/>
  <c r="V456" i="5"/>
  <c r="W456" i="5"/>
  <c r="X456" i="5"/>
  <c r="AB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AC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AC458" i="5" s="1"/>
  <c r="N458" i="5"/>
  <c r="O458" i="5"/>
  <c r="P458" i="5"/>
  <c r="Q458" i="5"/>
  <c r="R458" i="5"/>
  <c r="S458" i="5"/>
  <c r="T458" i="5"/>
  <c r="U458" i="5"/>
  <c r="V458" i="5"/>
  <c r="W458" i="5"/>
  <c r="X458" i="5"/>
  <c r="AB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AC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AC460" i="5" s="1"/>
  <c r="N460" i="5"/>
  <c r="O460" i="5"/>
  <c r="P460" i="5"/>
  <c r="Q460" i="5"/>
  <c r="R460" i="5"/>
  <c r="S460" i="5"/>
  <c r="T460" i="5"/>
  <c r="U460" i="5"/>
  <c r="V460" i="5"/>
  <c r="W460" i="5"/>
  <c r="X460" i="5"/>
  <c r="AB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AC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AC462" i="5" s="1"/>
  <c r="N462" i="5"/>
  <c r="O462" i="5"/>
  <c r="P462" i="5"/>
  <c r="Q462" i="5"/>
  <c r="R462" i="5"/>
  <c r="S462" i="5"/>
  <c r="T462" i="5"/>
  <c r="U462" i="5"/>
  <c r="V462" i="5"/>
  <c r="W462" i="5"/>
  <c r="X462" i="5"/>
  <c r="AB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AC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AC464" i="5" s="1"/>
  <c r="N464" i="5"/>
  <c r="O464" i="5"/>
  <c r="P464" i="5"/>
  <c r="Q464" i="5"/>
  <c r="R464" i="5"/>
  <c r="S464" i="5"/>
  <c r="T464" i="5"/>
  <c r="U464" i="5"/>
  <c r="V464" i="5"/>
  <c r="W464" i="5"/>
  <c r="X464" i="5"/>
  <c r="AB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AC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AC466" i="5" s="1"/>
  <c r="N466" i="5"/>
  <c r="O466" i="5"/>
  <c r="P466" i="5"/>
  <c r="Q466" i="5"/>
  <c r="R466" i="5"/>
  <c r="S466" i="5"/>
  <c r="T466" i="5"/>
  <c r="U466" i="5"/>
  <c r="V466" i="5"/>
  <c r="W466" i="5"/>
  <c r="X466" i="5"/>
  <c r="AB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AC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AC468" i="5" s="1"/>
  <c r="N468" i="5"/>
  <c r="O468" i="5"/>
  <c r="P468" i="5"/>
  <c r="Q468" i="5"/>
  <c r="R468" i="5"/>
  <c r="S468" i="5"/>
  <c r="T468" i="5"/>
  <c r="U468" i="5"/>
  <c r="V468" i="5"/>
  <c r="W468" i="5"/>
  <c r="X468" i="5"/>
  <c r="AB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AC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AC470" i="5" s="1"/>
  <c r="N470" i="5"/>
  <c r="O470" i="5"/>
  <c r="P470" i="5"/>
  <c r="Q470" i="5"/>
  <c r="R470" i="5"/>
  <c r="S470" i="5"/>
  <c r="T470" i="5"/>
  <c r="U470" i="5"/>
  <c r="V470" i="5"/>
  <c r="W470" i="5"/>
  <c r="X470" i="5"/>
  <c r="AB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AC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AC472" i="5" s="1"/>
  <c r="N472" i="5"/>
  <c r="O472" i="5"/>
  <c r="P472" i="5"/>
  <c r="Q472" i="5"/>
  <c r="R472" i="5"/>
  <c r="S472" i="5"/>
  <c r="T472" i="5"/>
  <c r="U472" i="5"/>
  <c r="V472" i="5"/>
  <c r="W472" i="5"/>
  <c r="X472" i="5"/>
  <c r="AB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AC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AC474" i="5" s="1"/>
  <c r="N474" i="5"/>
  <c r="O474" i="5"/>
  <c r="P474" i="5"/>
  <c r="Q474" i="5"/>
  <c r="R474" i="5"/>
  <c r="S474" i="5"/>
  <c r="T474" i="5"/>
  <c r="U474" i="5"/>
  <c r="V474" i="5"/>
  <c r="W474" i="5"/>
  <c r="X474" i="5"/>
  <c r="AB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AC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AC476" i="5" s="1"/>
  <c r="N476" i="5"/>
  <c r="O476" i="5"/>
  <c r="P476" i="5"/>
  <c r="Q476" i="5"/>
  <c r="R476" i="5"/>
  <c r="S476" i="5"/>
  <c r="T476" i="5"/>
  <c r="U476" i="5"/>
  <c r="V476" i="5"/>
  <c r="W476" i="5"/>
  <c r="X476" i="5"/>
  <c r="AB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AC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AC478" i="5" s="1"/>
  <c r="N478" i="5"/>
  <c r="O478" i="5"/>
  <c r="P478" i="5"/>
  <c r="Q478" i="5"/>
  <c r="R478" i="5"/>
  <c r="S478" i="5"/>
  <c r="T478" i="5"/>
  <c r="U478" i="5"/>
  <c r="V478" i="5"/>
  <c r="W478" i="5"/>
  <c r="X478" i="5"/>
  <c r="AB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AC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AC480" i="5" s="1"/>
  <c r="N480" i="5"/>
  <c r="O480" i="5"/>
  <c r="P480" i="5"/>
  <c r="Q480" i="5"/>
  <c r="R480" i="5"/>
  <c r="S480" i="5"/>
  <c r="T480" i="5"/>
  <c r="U480" i="5"/>
  <c r="V480" i="5"/>
  <c r="W480" i="5"/>
  <c r="X480" i="5"/>
  <c r="AB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AC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AC482" i="5" s="1"/>
  <c r="N482" i="5"/>
  <c r="O482" i="5"/>
  <c r="P482" i="5"/>
  <c r="Q482" i="5"/>
  <c r="R482" i="5"/>
  <c r="S482" i="5"/>
  <c r="T482" i="5"/>
  <c r="U482" i="5"/>
  <c r="V482" i="5"/>
  <c r="W482" i="5"/>
  <c r="X482" i="5"/>
  <c r="AB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AC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AC484" i="5" s="1"/>
  <c r="N484" i="5"/>
  <c r="O484" i="5"/>
  <c r="P484" i="5"/>
  <c r="Q484" i="5"/>
  <c r="R484" i="5"/>
  <c r="S484" i="5"/>
  <c r="T484" i="5"/>
  <c r="U484" i="5"/>
  <c r="V484" i="5"/>
  <c r="W484" i="5"/>
  <c r="X484" i="5"/>
  <c r="AB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AC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AC486" i="5" s="1"/>
  <c r="N486" i="5"/>
  <c r="O486" i="5"/>
  <c r="P486" i="5"/>
  <c r="Q486" i="5"/>
  <c r="R486" i="5"/>
  <c r="S486" i="5"/>
  <c r="T486" i="5"/>
  <c r="U486" i="5"/>
  <c r="V486" i="5"/>
  <c r="W486" i="5"/>
  <c r="X486" i="5"/>
  <c r="AB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AC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AC488" i="5" s="1"/>
  <c r="N488" i="5"/>
  <c r="O488" i="5"/>
  <c r="P488" i="5"/>
  <c r="Q488" i="5"/>
  <c r="R488" i="5"/>
  <c r="S488" i="5"/>
  <c r="T488" i="5"/>
  <c r="U488" i="5"/>
  <c r="V488" i="5"/>
  <c r="W488" i="5"/>
  <c r="X488" i="5"/>
  <c r="AB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AC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AC490" i="5" s="1"/>
  <c r="N490" i="5"/>
  <c r="O490" i="5"/>
  <c r="P490" i="5"/>
  <c r="Q490" i="5"/>
  <c r="R490" i="5"/>
  <c r="S490" i="5"/>
  <c r="T490" i="5"/>
  <c r="U490" i="5"/>
  <c r="V490" i="5"/>
  <c r="W490" i="5"/>
  <c r="X490" i="5"/>
  <c r="AB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AC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AC492" i="5" s="1"/>
  <c r="N492" i="5"/>
  <c r="O492" i="5"/>
  <c r="P492" i="5"/>
  <c r="Q492" i="5"/>
  <c r="R492" i="5"/>
  <c r="S492" i="5"/>
  <c r="T492" i="5"/>
  <c r="U492" i="5"/>
  <c r="V492" i="5"/>
  <c r="W492" i="5"/>
  <c r="X492" i="5"/>
  <c r="AB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AC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AC494" i="5" s="1"/>
  <c r="N494" i="5"/>
  <c r="O494" i="5"/>
  <c r="P494" i="5"/>
  <c r="Q494" i="5"/>
  <c r="R494" i="5"/>
  <c r="S494" i="5"/>
  <c r="T494" i="5"/>
  <c r="U494" i="5"/>
  <c r="V494" i="5"/>
  <c r="W494" i="5"/>
  <c r="X494" i="5"/>
  <c r="AB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AC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AC496" i="5" s="1"/>
  <c r="N496" i="5"/>
  <c r="O496" i="5"/>
  <c r="P496" i="5"/>
  <c r="Q496" i="5"/>
  <c r="R496" i="5"/>
  <c r="S496" i="5"/>
  <c r="T496" i="5"/>
  <c r="U496" i="5"/>
  <c r="V496" i="5"/>
  <c r="W496" i="5"/>
  <c r="X496" i="5"/>
  <c r="AB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AC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AC498" i="5" s="1"/>
  <c r="N498" i="5"/>
  <c r="O498" i="5"/>
  <c r="P498" i="5"/>
  <c r="Q498" i="5"/>
  <c r="R498" i="5"/>
  <c r="S498" i="5"/>
  <c r="T498" i="5"/>
  <c r="U498" i="5"/>
  <c r="V498" i="5"/>
  <c r="W498" i="5"/>
  <c r="X498" i="5"/>
  <c r="AB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AC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AC500" i="5" s="1"/>
  <c r="N500" i="5"/>
  <c r="O500" i="5"/>
  <c r="P500" i="5"/>
  <c r="Q500" i="5"/>
  <c r="R500" i="5"/>
  <c r="S500" i="5"/>
  <c r="T500" i="5"/>
  <c r="U500" i="5"/>
  <c r="V500" i="5"/>
  <c r="W500" i="5"/>
  <c r="X500" i="5"/>
  <c r="AB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AC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AC502" i="5" s="1"/>
  <c r="N502" i="5"/>
  <c r="O502" i="5"/>
  <c r="P502" i="5"/>
  <c r="Q502" i="5"/>
  <c r="R502" i="5"/>
  <c r="S502" i="5"/>
  <c r="T502" i="5"/>
  <c r="U502" i="5"/>
  <c r="V502" i="5"/>
  <c r="W502" i="5"/>
  <c r="X502" i="5"/>
  <c r="AB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AC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AC504" i="5" s="1"/>
  <c r="N504" i="5"/>
  <c r="O504" i="5"/>
  <c r="P504" i="5"/>
  <c r="Q504" i="5"/>
  <c r="R504" i="5"/>
  <c r="S504" i="5"/>
  <c r="T504" i="5"/>
  <c r="U504" i="5"/>
  <c r="V504" i="5"/>
  <c r="W504" i="5"/>
  <c r="X504" i="5"/>
  <c r="AB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AC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AC506" i="5" s="1"/>
  <c r="N506" i="5"/>
  <c r="O506" i="5"/>
  <c r="P506" i="5"/>
  <c r="Q506" i="5"/>
  <c r="R506" i="5"/>
  <c r="S506" i="5"/>
  <c r="T506" i="5"/>
  <c r="U506" i="5"/>
  <c r="V506" i="5"/>
  <c r="W506" i="5"/>
  <c r="X506" i="5"/>
  <c r="AB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AC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AC508" i="5" s="1"/>
  <c r="N508" i="5"/>
  <c r="O508" i="5"/>
  <c r="P508" i="5"/>
  <c r="Q508" i="5"/>
  <c r="R508" i="5"/>
  <c r="S508" i="5"/>
  <c r="T508" i="5"/>
  <c r="U508" i="5"/>
  <c r="V508" i="5"/>
  <c r="W508" i="5"/>
  <c r="X508" i="5"/>
  <c r="AB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AC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AC510" i="5" s="1"/>
  <c r="N510" i="5"/>
  <c r="O510" i="5"/>
  <c r="P510" i="5"/>
  <c r="Q510" i="5"/>
  <c r="R510" i="5"/>
  <c r="S510" i="5"/>
  <c r="T510" i="5"/>
  <c r="U510" i="5"/>
  <c r="V510" i="5"/>
  <c r="W510" i="5"/>
  <c r="X510" i="5"/>
  <c r="AB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AC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AC512" i="5" s="1"/>
  <c r="N512" i="5"/>
  <c r="O512" i="5"/>
  <c r="P512" i="5"/>
  <c r="Q512" i="5"/>
  <c r="R512" i="5"/>
  <c r="S512" i="5"/>
  <c r="T512" i="5"/>
  <c r="U512" i="5"/>
  <c r="V512" i="5"/>
  <c r="W512" i="5"/>
  <c r="X512" i="5"/>
  <c r="AB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AC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AC514" i="5" s="1"/>
  <c r="N514" i="5"/>
  <c r="O514" i="5"/>
  <c r="P514" i="5"/>
  <c r="Q514" i="5"/>
  <c r="R514" i="5"/>
  <c r="S514" i="5"/>
  <c r="T514" i="5"/>
  <c r="U514" i="5"/>
  <c r="V514" i="5"/>
  <c r="W514" i="5"/>
  <c r="X514" i="5"/>
  <c r="AB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AC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AC516" i="5" s="1"/>
  <c r="N516" i="5"/>
  <c r="O516" i="5"/>
  <c r="P516" i="5"/>
  <c r="Q516" i="5"/>
  <c r="R516" i="5"/>
  <c r="S516" i="5"/>
  <c r="T516" i="5"/>
  <c r="U516" i="5"/>
  <c r="V516" i="5"/>
  <c r="W516" i="5"/>
  <c r="X516" i="5"/>
  <c r="AB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AC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AC518" i="5" s="1"/>
  <c r="N518" i="5"/>
  <c r="O518" i="5"/>
  <c r="P518" i="5"/>
  <c r="Q518" i="5"/>
  <c r="R518" i="5"/>
  <c r="S518" i="5"/>
  <c r="T518" i="5"/>
  <c r="U518" i="5"/>
  <c r="V518" i="5"/>
  <c r="W518" i="5"/>
  <c r="X518" i="5"/>
  <c r="AB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AC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AC520" i="5" s="1"/>
  <c r="N520" i="5"/>
  <c r="O520" i="5"/>
  <c r="P520" i="5"/>
  <c r="Q520" i="5"/>
  <c r="R520" i="5"/>
  <c r="S520" i="5"/>
  <c r="T520" i="5"/>
  <c r="U520" i="5"/>
  <c r="V520" i="5"/>
  <c r="W520" i="5"/>
  <c r="X520" i="5"/>
  <c r="AB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AC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AC522" i="5" s="1"/>
  <c r="N522" i="5"/>
  <c r="O522" i="5"/>
  <c r="P522" i="5"/>
  <c r="Q522" i="5"/>
  <c r="R522" i="5"/>
  <c r="S522" i="5"/>
  <c r="T522" i="5"/>
  <c r="U522" i="5"/>
  <c r="V522" i="5"/>
  <c r="W522" i="5"/>
  <c r="X522" i="5"/>
  <c r="AB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AC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AC524" i="5" s="1"/>
  <c r="N524" i="5"/>
  <c r="O524" i="5"/>
  <c r="P524" i="5"/>
  <c r="Q524" i="5"/>
  <c r="R524" i="5"/>
  <c r="S524" i="5"/>
  <c r="T524" i="5"/>
  <c r="U524" i="5"/>
  <c r="V524" i="5"/>
  <c r="W524" i="5"/>
  <c r="X524" i="5"/>
  <c r="AB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AC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AC526" i="5" s="1"/>
  <c r="N526" i="5"/>
  <c r="O526" i="5"/>
  <c r="P526" i="5"/>
  <c r="Q526" i="5"/>
  <c r="R526" i="5"/>
  <c r="S526" i="5"/>
  <c r="T526" i="5"/>
  <c r="U526" i="5"/>
  <c r="V526" i="5"/>
  <c r="W526" i="5"/>
  <c r="X526" i="5"/>
  <c r="AB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AC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AC528" i="5" s="1"/>
  <c r="N528" i="5"/>
  <c r="O528" i="5"/>
  <c r="P528" i="5"/>
  <c r="Q528" i="5"/>
  <c r="R528" i="5"/>
  <c r="S528" i="5"/>
  <c r="T528" i="5"/>
  <c r="U528" i="5"/>
  <c r="V528" i="5"/>
  <c r="W528" i="5"/>
  <c r="X528" i="5"/>
  <c r="AB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AC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AC530" i="5" s="1"/>
  <c r="N530" i="5"/>
  <c r="O530" i="5"/>
  <c r="P530" i="5"/>
  <c r="Q530" i="5"/>
  <c r="R530" i="5"/>
  <c r="S530" i="5"/>
  <c r="T530" i="5"/>
  <c r="U530" i="5"/>
  <c r="V530" i="5"/>
  <c r="W530" i="5"/>
  <c r="X530" i="5"/>
  <c r="AB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AC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AC532" i="5" s="1"/>
  <c r="N532" i="5"/>
  <c r="O532" i="5"/>
  <c r="P532" i="5"/>
  <c r="Q532" i="5"/>
  <c r="R532" i="5"/>
  <c r="S532" i="5"/>
  <c r="T532" i="5"/>
  <c r="U532" i="5"/>
  <c r="V532" i="5"/>
  <c r="W532" i="5"/>
  <c r="X532" i="5"/>
  <c r="AB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AC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AC534" i="5" s="1"/>
  <c r="N534" i="5"/>
  <c r="O534" i="5"/>
  <c r="P534" i="5"/>
  <c r="Q534" i="5"/>
  <c r="R534" i="5"/>
  <c r="S534" i="5"/>
  <c r="T534" i="5"/>
  <c r="U534" i="5"/>
  <c r="V534" i="5"/>
  <c r="W534" i="5"/>
  <c r="X534" i="5"/>
  <c r="AB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AC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AC536" i="5" s="1"/>
  <c r="N536" i="5"/>
  <c r="O536" i="5"/>
  <c r="P536" i="5"/>
  <c r="Q536" i="5"/>
  <c r="R536" i="5"/>
  <c r="S536" i="5"/>
  <c r="T536" i="5"/>
  <c r="U536" i="5"/>
  <c r="V536" i="5"/>
  <c r="W536" i="5"/>
  <c r="X536" i="5"/>
  <c r="AB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AC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AC538" i="5" s="1"/>
  <c r="N538" i="5"/>
  <c r="O538" i="5"/>
  <c r="P538" i="5"/>
  <c r="Q538" i="5"/>
  <c r="R538" i="5"/>
  <c r="S538" i="5"/>
  <c r="T538" i="5"/>
  <c r="U538" i="5"/>
  <c r="V538" i="5"/>
  <c r="W538" i="5"/>
  <c r="X538" i="5"/>
  <c r="AB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AC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AC540" i="5" s="1"/>
  <c r="N540" i="5"/>
  <c r="O540" i="5"/>
  <c r="P540" i="5"/>
  <c r="Q540" i="5"/>
  <c r="R540" i="5"/>
  <c r="S540" i="5"/>
  <c r="T540" i="5"/>
  <c r="U540" i="5"/>
  <c r="V540" i="5"/>
  <c r="W540" i="5"/>
  <c r="X540" i="5"/>
  <c r="AB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AC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AC542" i="5" s="1"/>
  <c r="N542" i="5"/>
  <c r="O542" i="5"/>
  <c r="P542" i="5"/>
  <c r="Q542" i="5"/>
  <c r="R542" i="5"/>
  <c r="S542" i="5"/>
  <c r="T542" i="5"/>
  <c r="U542" i="5"/>
  <c r="V542" i="5"/>
  <c r="W542" i="5"/>
  <c r="X542" i="5"/>
  <c r="AB542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AC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AC544" i="5" s="1"/>
  <c r="N544" i="5"/>
  <c r="O544" i="5"/>
  <c r="P544" i="5"/>
  <c r="Q544" i="5"/>
  <c r="R544" i="5"/>
  <c r="S544" i="5"/>
  <c r="T544" i="5"/>
  <c r="U544" i="5"/>
  <c r="V544" i="5"/>
  <c r="W544" i="5"/>
  <c r="X544" i="5"/>
  <c r="AB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AC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AC546" i="5" s="1"/>
  <c r="N546" i="5"/>
  <c r="O546" i="5"/>
  <c r="P546" i="5"/>
  <c r="Q546" i="5"/>
  <c r="R546" i="5"/>
  <c r="S546" i="5"/>
  <c r="T546" i="5"/>
  <c r="U546" i="5"/>
  <c r="V546" i="5"/>
  <c r="W546" i="5"/>
  <c r="X546" i="5"/>
  <c r="AB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AC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AC548" i="5" s="1"/>
  <c r="N548" i="5"/>
  <c r="O548" i="5"/>
  <c r="P548" i="5"/>
  <c r="Q548" i="5"/>
  <c r="R548" i="5"/>
  <c r="S548" i="5"/>
  <c r="T548" i="5"/>
  <c r="U548" i="5"/>
  <c r="V548" i="5"/>
  <c r="W548" i="5"/>
  <c r="X548" i="5"/>
  <c r="AB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AC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AC550" i="5" s="1"/>
  <c r="N550" i="5"/>
  <c r="O550" i="5"/>
  <c r="P550" i="5"/>
  <c r="Q550" i="5"/>
  <c r="R550" i="5"/>
  <c r="S550" i="5"/>
  <c r="T550" i="5"/>
  <c r="U550" i="5"/>
  <c r="V550" i="5"/>
  <c r="W550" i="5"/>
  <c r="X550" i="5"/>
  <c r="AB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AC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AC552" i="5" s="1"/>
  <c r="N552" i="5"/>
  <c r="O552" i="5"/>
  <c r="P552" i="5"/>
  <c r="Q552" i="5"/>
  <c r="R552" i="5"/>
  <c r="S552" i="5"/>
  <c r="T552" i="5"/>
  <c r="U552" i="5"/>
  <c r="V552" i="5"/>
  <c r="W552" i="5"/>
  <c r="X552" i="5"/>
  <c r="AB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AC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AC554" i="5" s="1"/>
  <c r="N554" i="5"/>
  <c r="O554" i="5"/>
  <c r="P554" i="5"/>
  <c r="Q554" i="5"/>
  <c r="R554" i="5"/>
  <c r="S554" i="5"/>
  <c r="T554" i="5"/>
  <c r="U554" i="5"/>
  <c r="V554" i="5"/>
  <c r="W554" i="5"/>
  <c r="X554" i="5"/>
  <c r="AB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AC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AC556" i="5" s="1"/>
  <c r="N556" i="5"/>
  <c r="O556" i="5"/>
  <c r="P556" i="5"/>
  <c r="Q556" i="5"/>
  <c r="R556" i="5"/>
  <c r="S556" i="5"/>
  <c r="T556" i="5"/>
  <c r="U556" i="5"/>
  <c r="V556" i="5"/>
  <c r="W556" i="5"/>
  <c r="X556" i="5"/>
  <c r="AB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AC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AC558" i="5" s="1"/>
  <c r="N558" i="5"/>
  <c r="O558" i="5"/>
  <c r="P558" i="5"/>
  <c r="Q558" i="5"/>
  <c r="R558" i="5"/>
  <c r="S558" i="5"/>
  <c r="T558" i="5"/>
  <c r="U558" i="5"/>
  <c r="V558" i="5"/>
  <c r="W558" i="5"/>
  <c r="X558" i="5"/>
  <c r="AB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AC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AC560" i="5" s="1"/>
  <c r="N560" i="5"/>
  <c r="O560" i="5"/>
  <c r="P560" i="5"/>
  <c r="Q560" i="5"/>
  <c r="R560" i="5"/>
  <c r="S560" i="5"/>
  <c r="T560" i="5"/>
  <c r="U560" i="5"/>
  <c r="V560" i="5"/>
  <c r="W560" i="5"/>
  <c r="X560" i="5"/>
  <c r="AB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AC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AC562" i="5" s="1"/>
  <c r="N562" i="5"/>
  <c r="O562" i="5"/>
  <c r="P562" i="5"/>
  <c r="Q562" i="5"/>
  <c r="R562" i="5"/>
  <c r="S562" i="5"/>
  <c r="T562" i="5"/>
  <c r="U562" i="5"/>
  <c r="V562" i="5"/>
  <c r="W562" i="5"/>
  <c r="X562" i="5"/>
  <c r="AB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AC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AC564" i="5" s="1"/>
  <c r="N564" i="5"/>
  <c r="O564" i="5"/>
  <c r="P564" i="5"/>
  <c r="Q564" i="5"/>
  <c r="R564" i="5"/>
  <c r="S564" i="5"/>
  <c r="T564" i="5"/>
  <c r="U564" i="5"/>
  <c r="V564" i="5"/>
  <c r="W564" i="5"/>
  <c r="X564" i="5"/>
  <c r="AB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AC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AC566" i="5" s="1"/>
  <c r="N566" i="5"/>
  <c r="O566" i="5"/>
  <c r="P566" i="5"/>
  <c r="Q566" i="5"/>
  <c r="R566" i="5"/>
  <c r="S566" i="5"/>
  <c r="T566" i="5"/>
  <c r="U566" i="5"/>
  <c r="V566" i="5"/>
  <c r="W566" i="5"/>
  <c r="X566" i="5"/>
  <c r="AB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AC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AC568" i="5" s="1"/>
  <c r="N568" i="5"/>
  <c r="O568" i="5"/>
  <c r="P568" i="5"/>
  <c r="Q568" i="5"/>
  <c r="R568" i="5"/>
  <c r="S568" i="5"/>
  <c r="T568" i="5"/>
  <c r="U568" i="5"/>
  <c r="V568" i="5"/>
  <c r="W568" i="5"/>
  <c r="X568" i="5"/>
  <c r="AB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AC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AC570" i="5" s="1"/>
  <c r="N570" i="5"/>
  <c r="O570" i="5"/>
  <c r="P570" i="5"/>
  <c r="Q570" i="5"/>
  <c r="R570" i="5"/>
  <c r="S570" i="5"/>
  <c r="T570" i="5"/>
  <c r="U570" i="5"/>
  <c r="V570" i="5"/>
  <c r="W570" i="5"/>
  <c r="X570" i="5"/>
  <c r="AB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AC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AC572" i="5" s="1"/>
  <c r="N572" i="5"/>
  <c r="O572" i="5"/>
  <c r="P572" i="5"/>
  <c r="Q572" i="5"/>
  <c r="R572" i="5"/>
  <c r="S572" i="5"/>
  <c r="T572" i="5"/>
  <c r="U572" i="5"/>
  <c r="V572" i="5"/>
  <c r="W572" i="5"/>
  <c r="X572" i="5"/>
  <c r="AB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AC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AC574" i="5" s="1"/>
  <c r="N574" i="5"/>
  <c r="O574" i="5"/>
  <c r="P574" i="5"/>
  <c r="Q574" i="5"/>
  <c r="R574" i="5"/>
  <c r="S574" i="5"/>
  <c r="T574" i="5"/>
  <c r="U574" i="5"/>
  <c r="V574" i="5"/>
  <c r="W574" i="5"/>
  <c r="X574" i="5"/>
  <c r="AB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AC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AC576" i="5" s="1"/>
  <c r="N576" i="5"/>
  <c r="O576" i="5"/>
  <c r="P576" i="5"/>
  <c r="Q576" i="5"/>
  <c r="R576" i="5"/>
  <c r="S576" i="5"/>
  <c r="T576" i="5"/>
  <c r="U576" i="5"/>
  <c r="V576" i="5"/>
  <c r="W576" i="5"/>
  <c r="X576" i="5"/>
  <c r="AB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AC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AC578" i="5" s="1"/>
  <c r="N578" i="5"/>
  <c r="O578" i="5"/>
  <c r="P578" i="5"/>
  <c r="Q578" i="5"/>
  <c r="R578" i="5"/>
  <c r="S578" i="5"/>
  <c r="T578" i="5"/>
  <c r="U578" i="5"/>
  <c r="V578" i="5"/>
  <c r="W578" i="5"/>
  <c r="X578" i="5"/>
  <c r="AB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AC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AC580" i="5" s="1"/>
  <c r="N580" i="5"/>
  <c r="O580" i="5"/>
  <c r="P580" i="5"/>
  <c r="Q580" i="5"/>
  <c r="R580" i="5"/>
  <c r="S580" i="5"/>
  <c r="T580" i="5"/>
  <c r="U580" i="5"/>
  <c r="V580" i="5"/>
  <c r="W580" i="5"/>
  <c r="X580" i="5"/>
  <c r="AB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AC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AC582" i="5" s="1"/>
  <c r="N582" i="5"/>
  <c r="O582" i="5"/>
  <c r="P582" i="5"/>
  <c r="Q582" i="5"/>
  <c r="R582" i="5"/>
  <c r="S582" i="5"/>
  <c r="T582" i="5"/>
  <c r="U582" i="5"/>
  <c r="V582" i="5"/>
  <c r="W582" i="5"/>
  <c r="X582" i="5"/>
  <c r="AB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AC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AC584" i="5" s="1"/>
  <c r="N584" i="5"/>
  <c r="O584" i="5"/>
  <c r="P584" i="5"/>
  <c r="Q584" i="5"/>
  <c r="R584" i="5"/>
  <c r="S584" i="5"/>
  <c r="T584" i="5"/>
  <c r="U584" i="5"/>
  <c r="V584" i="5"/>
  <c r="W584" i="5"/>
  <c r="X584" i="5"/>
  <c r="AB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AC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AC586" i="5" s="1"/>
  <c r="N586" i="5"/>
  <c r="O586" i="5"/>
  <c r="P586" i="5"/>
  <c r="Q586" i="5"/>
  <c r="R586" i="5"/>
  <c r="S586" i="5"/>
  <c r="T586" i="5"/>
  <c r="U586" i="5"/>
  <c r="V586" i="5"/>
  <c r="W586" i="5"/>
  <c r="X586" i="5"/>
  <c r="AB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AC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AC588" i="5" s="1"/>
  <c r="N588" i="5"/>
  <c r="O588" i="5"/>
  <c r="P588" i="5"/>
  <c r="Q588" i="5"/>
  <c r="R588" i="5"/>
  <c r="S588" i="5"/>
  <c r="T588" i="5"/>
  <c r="U588" i="5"/>
  <c r="V588" i="5"/>
  <c r="W588" i="5"/>
  <c r="X588" i="5"/>
  <c r="AB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AC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AC590" i="5" s="1"/>
  <c r="N590" i="5"/>
  <c r="O590" i="5"/>
  <c r="P590" i="5"/>
  <c r="Q590" i="5"/>
  <c r="R590" i="5"/>
  <c r="S590" i="5"/>
  <c r="T590" i="5"/>
  <c r="U590" i="5"/>
  <c r="V590" i="5"/>
  <c r="W590" i="5"/>
  <c r="X590" i="5"/>
  <c r="AB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AC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AC592" i="5" s="1"/>
  <c r="N592" i="5"/>
  <c r="O592" i="5"/>
  <c r="P592" i="5"/>
  <c r="Q592" i="5"/>
  <c r="R592" i="5"/>
  <c r="S592" i="5"/>
  <c r="T592" i="5"/>
  <c r="U592" i="5"/>
  <c r="V592" i="5"/>
  <c r="W592" i="5"/>
  <c r="X592" i="5"/>
  <c r="AB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AC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AC594" i="5" s="1"/>
  <c r="N594" i="5"/>
  <c r="O594" i="5"/>
  <c r="P594" i="5"/>
  <c r="Q594" i="5"/>
  <c r="R594" i="5"/>
  <c r="S594" i="5"/>
  <c r="T594" i="5"/>
  <c r="U594" i="5"/>
  <c r="V594" i="5"/>
  <c r="W594" i="5"/>
  <c r="X594" i="5"/>
  <c r="AB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AC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AC596" i="5" s="1"/>
  <c r="N596" i="5"/>
  <c r="O596" i="5"/>
  <c r="P596" i="5"/>
  <c r="Q596" i="5"/>
  <c r="R596" i="5"/>
  <c r="S596" i="5"/>
  <c r="T596" i="5"/>
  <c r="U596" i="5"/>
  <c r="V596" i="5"/>
  <c r="W596" i="5"/>
  <c r="X596" i="5"/>
  <c r="AB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AC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AC598" i="5" s="1"/>
  <c r="N598" i="5"/>
  <c r="O598" i="5"/>
  <c r="P598" i="5"/>
  <c r="Q598" i="5"/>
  <c r="R598" i="5"/>
  <c r="S598" i="5"/>
  <c r="T598" i="5"/>
  <c r="U598" i="5"/>
  <c r="V598" i="5"/>
  <c r="W598" i="5"/>
  <c r="X598" i="5"/>
  <c r="AB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AC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AC600" i="5" s="1"/>
  <c r="N600" i="5"/>
  <c r="O600" i="5"/>
  <c r="P600" i="5"/>
  <c r="Q600" i="5"/>
  <c r="R600" i="5"/>
  <c r="S600" i="5"/>
  <c r="T600" i="5"/>
  <c r="U600" i="5"/>
  <c r="V600" i="5"/>
  <c r="W600" i="5"/>
  <c r="X600" i="5"/>
  <c r="AB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AC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AC602" i="5" s="1"/>
  <c r="N602" i="5"/>
  <c r="O602" i="5"/>
  <c r="P602" i="5"/>
  <c r="Q602" i="5"/>
  <c r="R602" i="5"/>
  <c r="S602" i="5"/>
  <c r="T602" i="5"/>
  <c r="U602" i="5"/>
  <c r="V602" i="5"/>
  <c r="W602" i="5"/>
  <c r="X602" i="5"/>
  <c r="AB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AC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AC604" i="5" s="1"/>
  <c r="N604" i="5"/>
  <c r="O604" i="5"/>
  <c r="P604" i="5"/>
  <c r="Q604" i="5"/>
  <c r="R604" i="5"/>
  <c r="S604" i="5"/>
  <c r="T604" i="5"/>
  <c r="U604" i="5"/>
  <c r="V604" i="5"/>
  <c r="W604" i="5"/>
  <c r="X604" i="5"/>
  <c r="AB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AC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AC606" i="5" s="1"/>
  <c r="N606" i="5"/>
  <c r="O606" i="5"/>
  <c r="P606" i="5"/>
  <c r="Q606" i="5"/>
  <c r="R606" i="5"/>
  <c r="S606" i="5"/>
  <c r="T606" i="5"/>
  <c r="U606" i="5"/>
  <c r="V606" i="5"/>
  <c r="W606" i="5"/>
  <c r="X606" i="5"/>
  <c r="AB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AC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AC608" i="5" s="1"/>
  <c r="N608" i="5"/>
  <c r="O608" i="5"/>
  <c r="P608" i="5"/>
  <c r="Q608" i="5"/>
  <c r="R608" i="5"/>
  <c r="S608" i="5"/>
  <c r="T608" i="5"/>
  <c r="U608" i="5"/>
  <c r="V608" i="5"/>
  <c r="W608" i="5"/>
  <c r="X608" i="5"/>
  <c r="AB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AC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AC610" i="5" s="1"/>
  <c r="N610" i="5"/>
  <c r="O610" i="5"/>
  <c r="P610" i="5"/>
  <c r="Q610" i="5"/>
  <c r="R610" i="5"/>
  <c r="S610" i="5"/>
  <c r="T610" i="5"/>
  <c r="U610" i="5"/>
  <c r="V610" i="5"/>
  <c r="W610" i="5"/>
  <c r="X610" i="5"/>
  <c r="AB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AC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AC612" i="5" s="1"/>
  <c r="N612" i="5"/>
  <c r="O612" i="5"/>
  <c r="P612" i="5"/>
  <c r="Q612" i="5"/>
  <c r="R612" i="5"/>
  <c r="S612" i="5"/>
  <c r="T612" i="5"/>
  <c r="U612" i="5"/>
  <c r="V612" i="5"/>
  <c r="W612" i="5"/>
  <c r="X612" i="5"/>
  <c r="AB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AC613" i="5"/>
  <c r="B614" i="5"/>
  <c r="C614" i="5"/>
  <c r="D614" i="5"/>
  <c r="E614" i="5"/>
  <c r="F614" i="5"/>
  <c r="G614" i="5"/>
  <c r="H614" i="5"/>
  <c r="I614" i="5"/>
  <c r="J614" i="5"/>
  <c r="K614" i="5"/>
  <c r="L614" i="5"/>
  <c r="M614" i="5"/>
  <c r="AC614" i="5" s="1"/>
  <c r="N614" i="5"/>
  <c r="O614" i="5"/>
  <c r="P614" i="5"/>
  <c r="Q614" i="5"/>
  <c r="R614" i="5"/>
  <c r="S614" i="5"/>
  <c r="T614" i="5"/>
  <c r="U614" i="5"/>
  <c r="V614" i="5"/>
  <c r="W614" i="5"/>
  <c r="X614" i="5"/>
  <c r="AB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AC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AC616" i="5" s="1"/>
  <c r="N616" i="5"/>
  <c r="O616" i="5"/>
  <c r="P616" i="5"/>
  <c r="Q616" i="5"/>
  <c r="R616" i="5"/>
  <c r="S616" i="5"/>
  <c r="T616" i="5"/>
  <c r="U616" i="5"/>
  <c r="V616" i="5"/>
  <c r="W616" i="5"/>
  <c r="X616" i="5"/>
  <c r="AB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AC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AC618" i="5" s="1"/>
  <c r="N618" i="5"/>
  <c r="O618" i="5"/>
  <c r="P618" i="5"/>
  <c r="Q618" i="5"/>
  <c r="R618" i="5"/>
  <c r="S618" i="5"/>
  <c r="T618" i="5"/>
  <c r="U618" i="5"/>
  <c r="V618" i="5"/>
  <c r="W618" i="5"/>
  <c r="X618" i="5"/>
  <c r="AB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AC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AC620" i="5" s="1"/>
  <c r="N620" i="5"/>
  <c r="O620" i="5"/>
  <c r="P620" i="5"/>
  <c r="Q620" i="5"/>
  <c r="R620" i="5"/>
  <c r="S620" i="5"/>
  <c r="T620" i="5"/>
  <c r="U620" i="5"/>
  <c r="V620" i="5"/>
  <c r="W620" i="5"/>
  <c r="X620" i="5"/>
  <c r="AB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AC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AC622" i="5" s="1"/>
  <c r="N622" i="5"/>
  <c r="O622" i="5"/>
  <c r="P622" i="5"/>
  <c r="Q622" i="5"/>
  <c r="R622" i="5"/>
  <c r="S622" i="5"/>
  <c r="T622" i="5"/>
  <c r="U622" i="5"/>
  <c r="V622" i="5"/>
  <c r="W622" i="5"/>
  <c r="X622" i="5"/>
  <c r="AB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AC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AC624" i="5" s="1"/>
  <c r="N624" i="5"/>
  <c r="O624" i="5"/>
  <c r="P624" i="5"/>
  <c r="Q624" i="5"/>
  <c r="R624" i="5"/>
  <c r="S624" i="5"/>
  <c r="T624" i="5"/>
  <c r="U624" i="5"/>
  <c r="V624" i="5"/>
  <c r="W624" i="5"/>
  <c r="X624" i="5"/>
  <c r="AB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AC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AC626" i="5" s="1"/>
  <c r="N626" i="5"/>
  <c r="O626" i="5"/>
  <c r="P626" i="5"/>
  <c r="Q626" i="5"/>
  <c r="R626" i="5"/>
  <c r="S626" i="5"/>
  <c r="T626" i="5"/>
  <c r="U626" i="5"/>
  <c r="V626" i="5"/>
  <c r="W626" i="5"/>
  <c r="X626" i="5"/>
  <c r="AB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AC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AC628" i="5" s="1"/>
  <c r="N628" i="5"/>
  <c r="O628" i="5"/>
  <c r="P628" i="5"/>
  <c r="Q628" i="5"/>
  <c r="R628" i="5"/>
  <c r="S628" i="5"/>
  <c r="T628" i="5"/>
  <c r="U628" i="5"/>
  <c r="V628" i="5"/>
  <c r="W628" i="5"/>
  <c r="X628" i="5"/>
  <c r="AB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AC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AC630" i="5" s="1"/>
  <c r="N630" i="5"/>
  <c r="O630" i="5"/>
  <c r="P630" i="5"/>
  <c r="Q630" i="5"/>
  <c r="R630" i="5"/>
  <c r="S630" i="5"/>
  <c r="T630" i="5"/>
  <c r="U630" i="5"/>
  <c r="V630" i="5"/>
  <c r="W630" i="5"/>
  <c r="X630" i="5"/>
  <c r="AB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AC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AC632" i="5" s="1"/>
  <c r="N632" i="5"/>
  <c r="O632" i="5"/>
  <c r="P632" i="5"/>
  <c r="Q632" i="5"/>
  <c r="R632" i="5"/>
  <c r="S632" i="5"/>
  <c r="T632" i="5"/>
  <c r="U632" i="5"/>
  <c r="V632" i="5"/>
  <c r="W632" i="5"/>
  <c r="X632" i="5"/>
  <c r="AB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AC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AC634" i="5" s="1"/>
  <c r="N634" i="5"/>
  <c r="O634" i="5"/>
  <c r="P634" i="5"/>
  <c r="Q634" i="5"/>
  <c r="R634" i="5"/>
  <c r="S634" i="5"/>
  <c r="T634" i="5"/>
  <c r="U634" i="5"/>
  <c r="V634" i="5"/>
  <c r="W634" i="5"/>
  <c r="X634" i="5"/>
  <c r="AB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AC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AC636" i="5" s="1"/>
  <c r="N636" i="5"/>
  <c r="O636" i="5"/>
  <c r="P636" i="5"/>
  <c r="Q636" i="5"/>
  <c r="R636" i="5"/>
  <c r="S636" i="5"/>
  <c r="T636" i="5"/>
  <c r="U636" i="5"/>
  <c r="V636" i="5"/>
  <c r="W636" i="5"/>
  <c r="X636" i="5"/>
  <c r="AB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AC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AC638" i="5" s="1"/>
  <c r="N638" i="5"/>
  <c r="O638" i="5"/>
  <c r="P638" i="5"/>
  <c r="Q638" i="5"/>
  <c r="R638" i="5"/>
  <c r="S638" i="5"/>
  <c r="T638" i="5"/>
  <c r="U638" i="5"/>
  <c r="V638" i="5"/>
  <c r="W638" i="5"/>
  <c r="X638" i="5"/>
  <c r="AB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AC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AC640" i="5" s="1"/>
  <c r="N640" i="5"/>
  <c r="O640" i="5"/>
  <c r="P640" i="5"/>
  <c r="Q640" i="5"/>
  <c r="R640" i="5"/>
  <c r="S640" i="5"/>
  <c r="T640" i="5"/>
  <c r="U640" i="5"/>
  <c r="V640" i="5"/>
  <c r="W640" i="5"/>
  <c r="X640" i="5"/>
  <c r="AB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AC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AC642" i="5" s="1"/>
  <c r="N642" i="5"/>
  <c r="O642" i="5"/>
  <c r="P642" i="5"/>
  <c r="Q642" i="5"/>
  <c r="R642" i="5"/>
  <c r="S642" i="5"/>
  <c r="T642" i="5"/>
  <c r="U642" i="5"/>
  <c r="V642" i="5"/>
  <c r="W642" i="5"/>
  <c r="X642" i="5"/>
  <c r="AB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AC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AC644" i="5" s="1"/>
  <c r="N644" i="5"/>
  <c r="O644" i="5"/>
  <c r="P644" i="5"/>
  <c r="Q644" i="5"/>
  <c r="R644" i="5"/>
  <c r="S644" i="5"/>
  <c r="T644" i="5"/>
  <c r="U644" i="5"/>
  <c r="V644" i="5"/>
  <c r="W644" i="5"/>
  <c r="X644" i="5"/>
  <c r="AB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AC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AC646" i="5" s="1"/>
  <c r="N646" i="5"/>
  <c r="O646" i="5"/>
  <c r="P646" i="5"/>
  <c r="Q646" i="5"/>
  <c r="R646" i="5"/>
  <c r="S646" i="5"/>
  <c r="T646" i="5"/>
  <c r="U646" i="5"/>
  <c r="V646" i="5"/>
  <c r="W646" i="5"/>
  <c r="X646" i="5"/>
  <c r="AB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AC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AC648" i="5" s="1"/>
  <c r="N648" i="5"/>
  <c r="O648" i="5"/>
  <c r="P648" i="5"/>
  <c r="Q648" i="5"/>
  <c r="R648" i="5"/>
  <c r="S648" i="5"/>
  <c r="T648" i="5"/>
  <c r="U648" i="5"/>
  <c r="V648" i="5"/>
  <c r="W648" i="5"/>
  <c r="X648" i="5"/>
  <c r="AB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AC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AC650" i="5" s="1"/>
  <c r="N650" i="5"/>
  <c r="O650" i="5"/>
  <c r="P650" i="5"/>
  <c r="Q650" i="5"/>
  <c r="R650" i="5"/>
  <c r="S650" i="5"/>
  <c r="T650" i="5"/>
  <c r="U650" i="5"/>
  <c r="V650" i="5"/>
  <c r="W650" i="5"/>
  <c r="X650" i="5"/>
  <c r="AB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AC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AC652" i="5" s="1"/>
  <c r="N652" i="5"/>
  <c r="O652" i="5"/>
  <c r="P652" i="5"/>
  <c r="Q652" i="5"/>
  <c r="R652" i="5"/>
  <c r="S652" i="5"/>
  <c r="T652" i="5"/>
  <c r="U652" i="5"/>
  <c r="V652" i="5"/>
  <c r="W652" i="5"/>
  <c r="X652" i="5"/>
  <c r="AB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AC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AC654" i="5" s="1"/>
  <c r="N654" i="5"/>
  <c r="O654" i="5"/>
  <c r="P654" i="5"/>
  <c r="Q654" i="5"/>
  <c r="R654" i="5"/>
  <c r="S654" i="5"/>
  <c r="T654" i="5"/>
  <c r="U654" i="5"/>
  <c r="V654" i="5"/>
  <c r="W654" i="5"/>
  <c r="X654" i="5"/>
  <c r="AB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AC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AC656" i="5" s="1"/>
  <c r="N656" i="5"/>
  <c r="O656" i="5"/>
  <c r="P656" i="5"/>
  <c r="Q656" i="5"/>
  <c r="R656" i="5"/>
  <c r="S656" i="5"/>
  <c r="T656" i="5"/>
  <c r="U656" i="5"/>
  <c r="V656" i="5"/>
  <c r="W656" i="5"/>
  <c r="X656" i="5"/>
  <c r="AB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AC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AC658" i="5" s="1"/>
  <c r="N658" i="5"/>
  <c r="O658" i="5"/>
  <c r="P658" i="5"/>
  <c r="Q658" i="5"/>
  <c r="R658" i="5"/>
  <c r="S658" i="5"/>
  <c r="T658" i="5"/>
  <c r="U658" i="5"/>
  <c r="V658" i="5"/>
  <c r="W658" i="5"/>
  <c r="X658" i="5"/>
  <c r="AB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AC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AC660" i="5" s="1"/>
  <c r="N660" i="5"/>
  <c r="O660" i="5"/>
  <c r="P660" i="5"/>
  <c r="Q660" i="5"/>
  <c r="R660" i="5"/>
  <c r="S660" i="5"/>
  <c r="T660" i="5"/>
  <c r="U660" i="5"/>
  <c r="V660" i="5"/>
  <c r="W660" i="5"/>
  <c r="X660" i="5"/>
  <c r="AB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AC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AC662" i="5" s="1"/>
  <c r="N662" i="5"/>
  <c r="O662" i="5"/>
  <c r="P662" i="5"/>
  <c r="Q662" i="5"/>
  <c r="R662" i="5"/>
  <c r="S662" i="5"/>
  <c r="T662" i="5"/>
  <c r="U662" i="5"/>
  <c r="V662" i="5"/>
  <c r="W662" i="5"/>
  <c r="X662" i="5"/>
  <c r="AB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AC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AC664" i="5" s="1"/>
  <c r="N664" i="5"/>
  <c r="O664" i="5"/>
  <c r="P664" i="5"/>
  <c r="Q664" i="5"/>
  <c r="R664" i="5"/>
  <c r="S664" i="5"/>
  <c r="T664" i="5"/>
  <c r="U664" i="5"/>
  <c r="V664" i="5"/>
  <c r="W664" i="5"/>
  <c r="X664" i="5"/>
  <c r="AB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AC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AC666" i="5" s="1"/>
  <c r="N666" i="5"/>
  <c r="O666" i="5"/>
  <c r="P666" i="5"/>
  <c r="Q666" i="5"/>
  <c r="R666" i="5"/>
  <c r="S666" i="5"/>
  <c r="T666" i="5"/>
  <c r="U666" i="5"/>
  <c r="V666" i="5"/>
  <c r="W666" i="5"/>
  <c r="X666" i="5"/>
  <c r="AB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AC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AC668" i="5" s="1"/>
  <c r="N668" i="5"/>
  <c r="O668" i="5"/>
  <c r="P668" i="5"/>
  <c r="Q668" i="5"/>
  <c r="R668" i="5"/>
  <c r="S668" i="5"/>
  <c r="T668" i="5"/>
  <c r="U668" i="5"/>
  <c r="V668" i="5"/>
  <c r="W668" i="5"/>
  <c r="X668" i="5"/>
  <c r="AB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AC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AC670" i="5" s="1"/>
  <c r="N670" i="5"/>
  <c r="O670" i="5"/>
  <c r="P670" i="5"/>
  <c r="Q670" i="5"/>
  <c r="R670" i="5"/>
  <c r="S670" i="5"/>
  <c r="T670" i="5"/>
  <c r="U670" i="5"/>
  <c r="V670" i="5"/>
  <c r="W670" i="5"/>
  <c r="X670" i="5"/>
  <c r="AB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AC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AC672" i="5" s="1"/>
  <c r="N672" i="5"/>
  <c r="O672" i="5"/>
  <c r="P672" i="5"/>
  <c r="Q672" i="5"/>
  <c r="R672" i="5"/>
  <c r="S672" i="5"/>
  <c r="T672" i="5"/>
  <c r="U672" i="5"/>
  <c r="V672" i="5"/>
  <c r="W672" i="5"/>
  <c r="X672" i="5"/>
  <c r="AB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AC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AC674" i="5" s="1"/>
  <c r="N674" i="5"/>
  <c r="O674" i="5"/>
  <c r="P674" i="5"/>
  <c r="Q674" i="5"/>
  <c r="R674" i="5"/>
  <c r="S674" i="5"/>
  <c r="T674" i="5"/>
  <c r="U674" i="5"/>
  <c r="V674" i="5"/>
  <c r="W674" i="5"/>
  <c r="X674" i="5"/>
  <c r="AB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AC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AC676" i="5" s="1"/>
  <c r="N676" i="5"/>
  <c r="O676" i="5"/>
  <c r="P676" i="5"/>
  <c r="Q676" i="5"/>
  <c r="R676" i="5"/>
  <c r="S676" i="5"/>
  <c r="T676" i="5"/>
  <c r="U676" i="5"/>
  <c r="V676" i="5"/>
  <c r="W676" i="5"/>
  <c r="X676" i="5"/>
  <c r="AB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AC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AC678" i="5" s="1"/>
  <c r="N678" i="5"/>
  <c r="O678" i="5"/>
  <c r="P678" i="5"/>
  <c r="Q678" i="5"/>
  <c r="R678" i="5"/>
  <c r="S678" i="5"/>
  <c r="T678" i="5"/>
  <c r="U678" i="5"/>
  <c r="V678" i="5"/>
  <c r="W678" i="5"/>
  <c r="X678" i="5"/>
  <c r="AB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AC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AC680" i="5" s="1"/>
  <c r="N680" i="5"/>
  <c r="O680" i="5"/>
  <c r="P680" i="5"/>
  <c r="Q680" i="5"/>
  <c r="R680" i="5"/>
  <c r="S680" i="5"/>
  <c r="T680" i="5"/>
  <c r="U680" i="5"/>
  <c r="V680" i="5"/>
  <c r="W680" i="5"/>
  <c r="X680" i="5"/>
  <c r="AB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AC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AC682" i="5" s="1"/>
  <c r="N682" i="5"/>
  <c r="O682" i="5"/>
  <c r="P682" i="5"/>
  <c r="Q682" i="5"/>
  <c r="R682" i="5"/>
  <c r="S682" i="5"/>
  <c r="T682" i="5"/>
  <c r="U682" i="5"/>
  <c r="V682" i="5"/>
  <c r="W682" i="5"/>
  <c r="X682" i="5"/>
  <c r="AB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AC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AC684" i="5" s="1"/>
  <c r="N684" i="5"/>
  <c r="O684" i="5"/>
  <c r="P684" i="5"/>
  <c r="Q684" i="5"/>
  <c r="R684" i="5"/>
  <c r="S684" i="5"/>
  <c r="T684" i="5"/>
  <c r="U684" i="5"/>
  <c r="V684" i="5"/>
  <c r="W684" i="5"/>
  <c r="X684" i="5"/>
  <c r="AB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AC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AC686" i="5" s="1"/>
  <c r="N686" i="5"/>
  <c r="O686" i="5"/>
  <c r="P686" i="5"/>
  <c r="Q686" i="5"/>
  <c r="R686" i="5"/>
  <c r="S686" i="5"/>
  <c r="T686" i="5"/>
  <c r="U686" i="5"/>
  <c r="V686" i="5"/>
  <c r="W686" i="5"/>
  <c r="X686" i="5"/>
  <c r="AB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AC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AC688" i="5" s="1"/>
  <c r="N688" i="5"/>
  <c r="O688" i="5"/>
  <c r="P688" i="5"/>
  <c r="Q688" i="5"/>
  <c r="R688" i="5"/>
  <c r="S688" i="5"/>
  <c r="T688" i="5"/>
  <c r="U688" i="5"/>
  <c r="V688" i="5"/>
  <c r="W688" i="5"/>
  <c r="X688" i="5"/>
  <c r="AB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AC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AC690" i="5" s="1"/>
  <c r="N690" i="5"/>
  <c r="O690" i="5"/>
  <c r="P690" i="5"/>
  <c r="Q690" i="5"/>
  <c r="R690" i="5"/>
  <c r="S690" i="5"/>
  <c r="T690" i="5"/>
  <c r="U690" i="5"/>
  <c r="V690" i="5"/>
  <c r="W690" i="5"/>
  <c r="X690" i="5"/>
  <c r="AB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AC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AC692" i="5" s="1"/>
  <c r="N692" i="5"/>
  <c r="O692" i="5"/>
  <c r="P692" i="5"/>
  <c r="Q692" i="5"/>
  <c r="R692" i="5"/>
  <c r="S692" i="5"/>
  <c r="T692" i="5"/>
  <c r="U692" i="5"/>
  <c r="V692" i="5"/>
  <c r="W692" i="5"/>
  <c r="X692" i="5"/>
  <c r="AB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AC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AC694" i="5" s="1"/>
  <c r="N694" i="5"/>
  <c r="O694" i="5"/>
  <c r="P694" i="5"/>
  <c r="Q694" i="5"/>
  <c r="R694" i="5"/>
  <c r="S694" i="5"/>
  <c r="T694" i="5"/>
  <c r="U694" i="5"/>
  <c r="V694" i="5"/>
  <c r="W694" i="5"/>
  <c r="X694" i="5"/>
  <c r="AB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AC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AC696" i="5" s="1"/>
  <c r="N696" i="5"/>
  <c r="O696" i="5"/>
  <c r="P696" i="5"/>
  <c r="Q696" i="5"/>
  <c r="R696" i="5"/>
  <c r="S696" i="5"/>
  <c r="T696" i="5"/>
  <c r="U696" i="5"/>
  <c r="V696" i="5"/>
  <c r="W696" i="5"/>
  <c r="X696" i="5"/>
  <c r="AB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AC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AC698" i="5" s="1"/>
  <c r="N698" i="5"/>
  <c r="O698" i="5"/>
  <c r="P698" i="5"/>
  <c r="Q698" i="5"/>
  <c r="R698" i="5"/>
  <c r="S698" i="5"/>
  <c r="T698" i="5"/>
  <c r="U698" i="5"/>
  <c r="V698" i="5"/>
  <c r="W698" i="5"/>
  <c r="X698" i="5"/>
  <c r="AB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AC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AC700" i="5" s="1"/>
  <c r="N700" i="5"/>
  <c r="O700" i="5"/>
  <c r="P700" i="5"/>
  <c r="Q700" i="5"/>
  <c r="R700" i="5"/>
  <c r="S700" i="5"/>
  <c r="T700" i="5"/>
  <c r="U700" i="5"/>
  <c r="V700" i="5"/>
  <c r="W700" i="5"/>
  <c r="X700" i="5"/>
  <c r="AB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AC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AC702" i="5" s="1"/>
  <c r="N702" i="5"/>
  <c r="O702" i="5"/>
  <c r="P702" i="5"/>
  <c r="Q702" i="5"/>
  <c r="R702" i="5"/>
  <c r="S702" i="5"/>
  <c r="T702" i="5"/>
  <c r="U702" i="5"/>
  <c r="V702" i="5"/>
  <c r="W702" i="5"/>
  <c r="X702" i="5"/>
  <c r="AB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AC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AC704" i="5" s="1"/>
  <c r="N704" i="5"/>
  <c r="O704" i="5"/>
  <c r="P704" i="5"/>
  <c r="Q704" i="5"/>
  <c r="R704" i="5"/>
  <c r="S704" i="5"/>
  <c r="T704" i="5"/>
  <c r="U704" i="5"/>
  <c r="V704" i="5"/>
  <c r="W704" i="5"/>
  <c r="X704" i="5"/>
  <c r="AB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AC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AC706" i="5" s="1"/>
  <c r="N706" i="5"/>
  <c r="O706" i="5"/>
  <c r="P706" i="5"/>
  <c r="Q706" i="5"/>
  <c r="R706" i="5"/>
  <c r="S706" i="5"/>
  <c r="T706" i="5"/>
  <c r="U706" i="5"/>
  <c r="V706" i="5"/>
  <c r="W706" i="5"/>
  <c r="X706" i="5"/>
  <c r="AB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AC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AC708" i="5" s="1"/>
  <c r="N708" i="5"/>
  <c r="O708" i="5"/>
  <c r="P708" i="5"/>
  <c r="Q708" i="5"/>
  <c r="R708" i="5"/>
  <c r="S708" i="5"/>
  <c r="T708" i="5"/>
  <c r="U708" i="5"/>
  <c r="V708" i="5"/>
  <c r="W708" i="5"/>
  <c r="X708" i="5"/>
  <c r="AB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AC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AC710" i="5" s="1"/>
  <c r="N710" i="5"/>
  <c r="O710" i="5"/>
  <c r="P710" i="5"/>
  <c r="Q710" i="5"/>
  <c r="R710" i="5"/>
  <c r="S710" i="5"/>
  <c r="T710" i="5"/>
  <c r="U710" i="5"/>
  <c r="V710" i="5"/>
  <c r="W710" i="5"/>
  <c r="X710" i="5"/>
  <c r="AB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AC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AC712" i="5" s="1"/>
  <c r="N712" i="5"/>
  <c r="O712" i="5"/>
  <c r="P712" i="5"/>
  <c r="Q712" i="5"/>
  <c r="R712" i="5"/>
  <c r="S712" i="5"/>
  <c r="T712" i="5"/>
  <c r="U712" i="5"/>
  <c r="V712" i="5"/>
  <c r="W712" i="5"/>
  <c r="X712" i="5"/>
  <c r="AB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AC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AC714" i="5" s="1"/>
  <c r="N714" i="5"/>
  <c r="O714" i="5"/>
  <c r="P714" i="5"/>
  <c r="Q714" i="5"/>
  <c r="R714" i="5"/>
  <c r="S714" i="5"/>
  <c r="T714" i="5"/>
  <c r="U714" i="5"/>
  <c r="V714" i="5"/>
  <c r="W714" i="5"/>
  <c r="X714" i="5"/>
  <c r="AB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AC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AC716" i="5" s="1"/>
  <c r="N716" i="5"/>
  <c r="O716" i="5"/>
  <c r="P716" i="5"/>
  <c r="Q716" i="5"/>
  <c r="R716" i="5"/>
  <c r="S716" i="5"/>
  <c r="T716" i="5"/>
  <c r="U716" i="5"/>
  <c r="V716" i="5"/>
  <c r="W716" i="5"/>
  <c r="X716" i="5"/>
  <c r="AB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AC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AC718" i="5" s="1"/>
  <c r="N718" i="5"/>
  <c r="O718" i="5"/>
  <c r="P718" i="5"/>
  <c r="Q718" i="5"/>
  <c r="R718" i="5"/>
  <c r="S718" i="5"/>
  <c r="T718" i="5"/>
  <c r="U718" i="5"/>
  <c r="V718" i="5"/>
  <c r="W718" i="5"/>
  <c r="X718" i="5"/>
  <c r="AB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X719" i="5"/>
  <c r="AC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AC720" i="5" s="1"/>
  <c r="N720" i="5"/>
  <c r="O720" i="5"/>
  <c r="P720" i="5"/>
  <c r="Q720" i="5"/>
  <c r="R720" i="5"/>
  <c r="S720" i="5"/>
  <c r="T720" i="5"/>
  <c r="U720" i="5"/>
  <c r="V720" i="5"/>
  <c r="W720" i="5"/>
  <c r="X720" i="5"/>
  <c r="AB720" i="5"/>
  <c r="B721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AC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AC722" i="5" s="1"/>
  <c r="N722" i="5"/>
  <c r="O722" i="5"/>
  <c r="P722" i="5"/>
  <c r="Q722" i="5"/>
  <c r="R722" i="5"/>
  <c r="S722" i="5"/>
  <c r="T722" i="5"/>
  <c r="U722" i="5"/>
  <c r="V722" i="5"/>
  <c r="W722" i="5"/>
  <c r="X722" i="5"/>
  <c r="AB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AC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AC724" i="5" s="1"/>
  <c r="N724" i="5"/>
  <c r="O724" i="5"/>
  <c r="P724" i="5"/>
  <c r="Q724" i="5"/>
  <c r="R724" i="5"/>
  <c r="S724" i="5"/>
  <c r="T724" i="5"/>
  <c r="U724" i="5"/>
  <c r="V724" i="5"/>
  <c r="W724" i="5"/>
  <c r="X724" i="5"/>
  <c r="AB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AC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AC726" i="5" s="1"/>
  <c r="N726" i="5"/>
  <c r="O726" i="5"/>
  <c r="P726" i="5"/>
  <c r="Q726" i="5"/>
  <c r="R726" i="5"/>
  <c r="S726" i="5"/>
  <c r="T726" i="5"/>
  <c r="U726" i="5"/>
  <c r="V726" i="5"/>
  <c r="W726" i="5"/>
  <c r="X726" i="5"/>
  <c r="AB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AC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AC728" i="5" s="1"/>
  <c r="N728" i="5"/>
  <c r="O728" i="5"/>
  <c r="P728" i="5"/>
  <c r="Q728" i="5"/>
  <c r="R728" i="5"/>
  <c r="S728" i="5"/>
  <c r="T728" i="5"/>
  <c r="U728" i="5"/>
  <c r="V728" i="5"/>
  <c r="W728" i="5"/>
  <c r="X728" i="5"/>
  <c r="AB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AC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AC730" i="5" s="1"/>
  <c r="N730" i="5"/>
  <c r="O730" i="5"/>
  <c r="P730" i="5"/>
  <c r="Q730" i="5"/>
  <c r="R730" i="5"/>
  <c r="S730" i="5"/>
  <c r="T730" i="5"/>
  <c r="U730" i="5"/>
  <c r="V730" i="5"/>
  <c r="W730" i="5"/>
  <c r="X730" i="5"/>
  <c r="AB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AC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AC732" i="5" s="1"/>
  <c r="N732" i="5"/>
  <c r="O732" i="5"/>
  <c r="P732" i="5"/>
  <c r="Q732" i="5"/>
  <c r="R732" i="5"/>
  <c r="S732" i="5"/>
  <c r="T732" i="5"/>
  <c r="U732" i="5"/>
  <c r="V732" i="5"/>
  <c r="W732" i="5"/>
  <c r="X732" i="5"/>
  <c r="AB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AC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AC734" i="5" s="1"/>
  <c r="N734" i="5"/>
  <c r="O734" i="5"/>
  <c r="P734" i="5"/>
  <c r="Q734" i="5"/>
  <c r="R734" i="5"/>
  <c r="S734" i="5"/>
  <c r="T734" i="5"/>
  <c r="U734" i="5"/>
  <c r="V734" i="5"/>
  <c r="W734" i="5"/>
  <c r="X734" i="5"/>
  <c r="AB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AC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AC736" i="5" s="1"/>
  <c r="N736" i="5"/>
  <c r="O736" i="5"/>
  <c r="P736" i="5"/>
  <c r="Q736" i="5"/>
  <c r="R736" i="5"/>
  <c r="S736" i="5"/>
  <c r="T736" i="5"/>
  <c r="U736" i="5"/>
  <c r="V736" i="5"/>
  <c r="W736" i="5"/>
  <c r="X736" i="5"/>
  <c r="AB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AC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AC738" i="5" s="1"/>
  <c r="N738" i="5"/>
  <c r="O738" i="5"/>
  <c r="P738" i="5"/>
  <c r="Q738" i="5"/>
  <c r="R738" i="5"/>
  <c r="S738" i="5"/>
  <c r="T738" i="5"/>
  <c r="U738" i="5"/>
  <c r="V738" i="5"/>
  <c r="W738" i="5"/>
  <c r="X738" i="5"/>
  <c r="AB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AC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AC740" i="5" s="1"/>
  <c r="N740" i="5"/>
  <c r="O740" i="5"/>
  <c r="P740" i="5"/>
  <c r="Q740" i="5"/>
  <c r="R740" i="5"/>
  <c r="S740" i="5"/>
  <c r="T740" i="5"/>
  <c r="U740" i="5"/>
  <c r="V740" i="5"/>
  <c r="W740" i="5"/>
  <c r="X740" i="5"/>
  <c r="AB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AC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AC742" i="5" s="1"/>
  <c r="N742" i="5"/>
  <c r="O742" i="5"/>
  <c r="P742" i="5"/>
  <c r="Q742" i="5"/>
  <c r="R742" i="5"/>
  <c r="S742" i="5"/>
  <c r="T742" i="5"/>
  <c r="U742" i="5"/>
  <c r="V742" i="5"/>
  <c r="W742" i="5"/>
  <c r="X742" i="5"/>
  <c r="AB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AC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AC744" i="5" s="1"/>
  <c r="N744" i="5"/>
  <c r="O744" i="5"/>
  <c r="P744" i="5"/>
  <c r="Q744" i="5"/>
  <c r="R744" i="5"/>
  <c r="S744" i="5"/>
  <c r="T744" i="5"/>
  <c r="U744" i="5"/>
  <c r="V744" i="5"/>
  <c r="W744" i="5"/>
  <c r="X744" i="5"/>
  <c r="AB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AC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AC746" i="5" s="1"/>
  <c r="N746" i="5"/>
  <c r="O746" i="5"/>
  <c r="P746" i="5"/>
  <c r="Q746" i="5"/>
  <c r="R746" i="5"/>
  <c r="S746" i="5"/>
  <c r="T746" i="5"/>
  <c r="U746" i="5"/>
  <c r="V746" i="5"/>
  <c r="W746" i="5"/>
  <c r="X746" i="5"/>
  <c r="AB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AC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AC748" i="5" s="1"/>
  <c r="N748" i="5"/>
  <c r="O748" i="5"/>
  <c r="P748" i="5"/>
  <c r="Q748" i="5"/>
  <c r="R748" i="5"/>
  <c r="S748" i="5"/>
  <c r="T748" i="5"/>
  <c r="U748" i="5"/>
  <c r="V748" i="5"/>
  <c r="W748" i="5"/>
  <c r="X748" i="5"/>
  <c r="AB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AC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AC750" i="5" s="1"/>
  <c r="N750" i="5"/>
  <c r="O750" i="5"/>
  <c r="P750" i="5"/>
  <c r="Q750" i="5"/>
  <c r="R750" i="5"/>
  <c r="S750" i="5"/>
  <c r="T750" i="5"/>
  <c r="U750" i="5"/>
  <c r="V750" i="5"/>
  <c r="W750" i="5"/>
  <c r="X750" i="5"/>
  <c r="AB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AC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AC752" i="5" s="1"/>
  <c r="N752" i="5"/>
  <c r="O752" i="5"/>
  <c r="P752" i="5"/>
  <c r="Q752" i="5"/>
  <c r="R752" i="5"/>
  <c r="S752" i="5"/>
  <c r="T752" i="5"/>
  <c r="U752" i="5"/>
  <c r="V752" i="5"/>
  <c r="W752" i="5"/>
  <c r="X752" i="5"/>
  <c r="AB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AC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AC754" i="5" s="1"/>
  <c r="N754" i="5"/>
  <c r="O754" i="5"/>
  <c r="P754" i="5"/>
  <c r="Q754" i="5"/>
  <c r="R754" i="5"/>
  <c r="S754" i="5"/>
  <c r="T754" i="5"/>
  <c r="U754" i="5"/>
  <c r="V754" i="5"/>
  <c r="W754" i="5"/>
  <c r="X754" i="5"/>
  <c r="AB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AC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AC756" i="5" s="1"/>
  <c r="N756" i="5"/>
  <c r="O756" i="5"/>
  <c r="P756" i="5"/>
  <c r="Q756" i="5"/>
  <c r="R756" i="5"/>
  <c r="S756" i="5"/>
  <c r="T756" i="5"/>
  <c r="U756" i="5"/>
  <c r="V756" i="5"/>
  <c r="W756" i="5"/>
  <c r="X756" i="5"/>
  <c r="AB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AC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AC758" i="5" s="1"/>
  <c r="N758" i="5"/>
  <c r="O758" i="5"/>
  <c r="P758" i="5"/>
  <c r="Q758" i="5"/>
  <c r="R758" i="5"/>
  <c r="S758" i="5"/>
  <c r="T758" i="5"/>
  <c r="U758" i="5"/>
  <c r="V758" i="5"/>
  <c r="W758" i="5"/>
  <c r="X758" i="5"/>
  <c r="AB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AC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AC760" i="5" s="1"/>
  <c r="N760" i="5"/>
  <c r="O760" i="5"/>
  <c r="P760" i="5"/>
  <c r="Q760" i="5"/>
  <c r="R760" i="5"/>
  <c r="S760" i="5"/>
  <c r="T760" i="5"/>
  <c r="U760" i="5"/>
  <c r="V760" i="5"/>
  <c r="W760" i="5"/>
  <c r="X760" i="5"/>
  <c r="AB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AC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AC762" i="5" s="1"/>
  <c r="N762" i="5"/>
  <c r="O762" i="5"/>
  <c r="P762" i="5"/>
  <c r="Q762" i="5"/>
  <c r="R762" i="5"/>
  <c r="S762" i="5"/>
  <c r="T762" i="5"/>
  <c r="U762" i="5"/>
  <c r="V762" i="5"/>
  <c r="W762" i="5"/>
  <c r="X762" i="5"/>
  <c r="AB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AC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AC764" i="5" s="1"/>
  <c r="N764" i="5"/>
  <c r="O764" i="5"/>
  <c r="P764" i="5"/>
  <c r="Q764" i="5"/>
  <c r="R764" i="5"/>
  <c r="S764" i="5"/>
  <c r="T764" i="5"/>
  <c r="U764" i="5"/>
  <c r="V764" i="5"/>
  <c r="W764" i="5"/>
  <c r="X764" i="5"/>
  <c r="AB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AC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AC766" i="5" s="1"/>
  <c r="N766" i="5"/>
  <c r="O766" i="5"/>
  <c r="P766" i="5"/>
  <c r="Q766" i="5"/>
  <c r="R766" i="5"/>
  <c r="S766" i="5"/>
  <c r="T766" i="5"/>
  <c r="U766" i="5"/>
  <c r="V766" i="5"/>
  <c r="W766" i="5"/>
  <c r="X766" i="5"/>
  <c r="AB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AC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AC768" i="5" s="1"/>
  <c r="N768" i="5"/>
  <c r="O768" i="5"/>
  <c r="P768" i="5"/>
  <c r="Q768" i="5"/>
  <c r="R768" i="5"/>
  <c r="S768" i="5"/>
  <c r="T768" i="5"/>
  <c r="U768" i="5"/>
  <c r="V768" i="5"/>
  <c r="W768" i="5"/>
  <c r="X768" i="5"/>
  <c r="AB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AC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AC770" i="5" s="1"/>
  <c r="N770" i="5"/>
  <c r="O770" i="5"/>
  <c r="P770" i="5"/>
  <c r="Q770" i="5"/>
  <c r="R770" i="5"/>
  <c r="S770" i="5"/>
  <c r="T770" i="5"/>
  <c r="U770" i="5"/>
  <c r="V770" i="5"/>
  <c r="W770" i="5"/>
  <c r="X770" i="5"/>
  <c r="AB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AC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AC772" i="5" s="1"/>
  <c r="N772" i="5"/>
  <c r="O772" i="5"/>
  <c r="P772" i="5"/>
  <c r="Q772" i="5"/>
  <c r="R772" i="5"/>
  <c r="S772" i="5"/>
  <c r="T772" i="5"/>
  <c r="U772" i="5"/>
  <c r="V772" i="5"/>
  <c r="W772" i="5"/>
  <c r="X772" i="5"/>
  <c r="AB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AC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AC774" i="5" s="1"/>
  <c r="N774" i="5"/>
  <c r="O774" i="5"/>
  <c r="P774" i="5"/>
  <c r="Q774" i="5"/>
  <c r="R774" i="5"/>
  <c r="S774" i="5"/>
  <c r="T774" i="5"/>
  <c r="U774" i="5"/>
  <c r="V774" i="5"/>
  <c r="W774" i="5"/>
  <c r="X774" i="5"/>
  <c r="AB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AC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AC776" i="5" s="1"/>
  <c r="N776" i="5"/>
  <c r="O776" i="5"/>
  <c r="P776" i="5"/>
  <c r="Q776" i="5"/>
  <c r="R776" i="5"/>
  <c r="S776" i="5"/>
  <c r="T776" i="5"/>
  <c r="U776" i="5"/>
  <c r="V776" i="5"/>
  <c r="W776" i="5"/>
  <c r="X776" i="5"/>
  <c r="AB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AC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AC778" i="5" s="1"/>
  <c r="N778" i="5"/>
  <c r="O778" i="5"/>
  <c r="P778" i="5"/>
  <c r="Q778" i="5"/>
  <c r="R778" i="5"/>
  <c r="S778" i="5"/>
  <c r="T778" i="5"/>
  <c r="U778" i="5"/>
  <c r="V778" i="5"/>
  <c r="W778" i="5"/>
  <c r="X778" i="5"/>
  <c r="AB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AC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AC780" i="5" s="1"/>
  <c r="N780" i="5"/>
  <c r="O780" i="5"/>
  <c r="P780" i="5"/>
  <c r="Q780" i="5"/>
  <c r="R780" i="5"/>
  <c r="S780" i="5"/>
  <c r="T780" i="5"/>
  <c r="U780" i="5"/>
  <c r="V780" i="5"/>
  <c r="W780" i="5"/>
  <c r="X780" i="5"/>
  <c r="AB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AC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AC782" i="5" s="1"/>
  <c r="N782" i="5"/>
  <c r="O782" i="5"/>
  <c r="P782" i="5"/>
  <c r="Q782" i="5"/>
  <c r="R782" i="5"/>
  <c r="S782" i="5"/>
  <c r="T782" i="5"/>
  <c r="U782" i="5"/>
  <c r="V782" i="5"/>
  <c r="W782" i="5"/>
  <c r="X782" i="5"/>
  <c r="AB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AC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AC784" i="5" s="1"/>
  <c r="N784" i="5"/>
  <c r="O784" i="5"/>
  <c r="P784" i="5"/>
  <c r="Q784" i="5"/>
  <c r="R784" i="5"/>
  <c r="S784" i="5"/>
  <c r="T784" i="5"/>
  <c r="U784" i="5"/>
  <c r="V784" i="5"/>
  <c r="W784" i="5"/>
  <c r="X784" i="5"/>
  <c r="AB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AC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AC786" i="5" s="1"/>
  <c r="N786" i="5"/>
  <c r="O786" i="5"/>
  <c r="P786" i="5"/>
  <c r="Q786" i="5"/>
  <c r="R786" i="5"/>
  <c r="S786" i="5"/>
  <c r="T786" i="5"/>
  <c r="U786" i="5"/>
  <c r="V786" i="5"/>
  <c r="W786" i="5"/>
  <c r="X786" i="5"/>
  <c r="AB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AC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AC788" i="5" s="1"/>
  <c r="N788" i="5"/>
  <c r="O788" i="5"/>
  <c r="P788" i="5"/>
  <c r="Q788" i="5"/>
  <c r="R788" i="5"/>
  <c r="S788" i="5"/>
  <c r="T788" i="5"/>
  <c r="U788" i="5"/>
  <c r="V788" i="5"/>
  <c r="W788" i="5"/>
  <c r="X788" i="5"/>
  <c r="AB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AC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AC790" i="5" s="1"/>
  <c r="N790" i="5"/>
  <c r="O790" i="5"/>
  <c r="P790" i="5"/>
  <c r="Q790" i="5"/>
  <c r="R790" i="5"/>
  <c r="S790" i="5"/>
  <c r="T790" i="5"/>
  <c r="U790" i="5"/>
  <c r="V790" i="5"/>
  <c r="W790" i="5"/>
  <c r="X790" i="5"/>
  <c r="AB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AC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AC792" i="5" s="1"/>
  <c r="N792" i="5"/>
  <c r="O792" i="5"/>
  <c r="P792" i="5"/>
  <c r="Q792" i="5"/>
  <c r="R792" i="5"/>
  <c r="S792" i="5"/>
  <c r="T792" i="5"/>
  <c r="U792" i="5"/>
  <c r="V792" i="5"/>
  <c r="W792" i="5"/>
  <c r="X792" i="5"/>
  <c r="AB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AC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AC794" i="5" s="1"/>
  <c r="N794" i="5"/>
  <c r="O794" i="5"/>
  <c r="P794" i="5"/>
  <c r="Q794" i="5"/>
  <c r="R794" i="5"/>
  <c r="S794" i="5"/>
  <c r="T794" i="5"/>
  <c r="U794" i="5"/>
  <c r="V794" i="5"/>
  <c r="W794" i="5"/>
  <c r="X794" i="5"/>
  <c r="AB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AC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AC796" i="5" s="1"/>
  <c r="N796" i="5"/>
  <c r="O796" i="5"/>
  <c r="P796" i="5"/>
  <c r="Q796" i="5"/>
  <c r="R796" i="5"/>
  <c r="S796" i="5"/>
  <c r="T796" i="5"/>
  <c r="U796" i="5"/>
  <c r="V796" i="5"/>
  <c r="W796" i="5"/>
  <c r="X796" i="5"/>
  <c r="AB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AC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AC798" i="5" s="1"/>
  <c r="N798" i="5"/>
  <c r="O798" i="5"/>
  <c r="P798" i="5"/>
  <c r="Q798" i="5"/>
  <c r="R798" i="5"/>
  <c r="S798" i="5"/>
  <c r="T798" i="5"/>
  <c r="U798" i="5"/>
  <c r="V798" i="5"/>
  <c r="W798" i="5"/>
  <c r="X798" i="5"/>
  <c r="AB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AC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AC800" i="5" s="1"/>
  <c r="N800" i="5"/>
  <c r="O800" i="5"/>
  <c r="P800" i="5"/>
  <c r="Q800" i="5"/>
  <c r="R800" i="5"/>
  <c r="S800" i="5"/>
  <c r="T800" i="5"/>
  <c r="U800" i="5"/>
  <c r="V800" i="5"/>
  <c r="W800" i="5"/>
  <c r="X800" i="5"/>
  <c r="AB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AC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AC802" i="5" s="1"/>
  <c r="N802" i="5"/>
  <c r="O802" i="5"/>
  <c r="P802" i="5"/>
  <c r="Q802" i="5"/>
  <c r="R802" i="5"/>
  <c r="S802" i="5"/>
  <c r="T802" i="5"/>
  <c r="U802" i="5"/>
  <c r="V802" i="5"/>
  <c r="W802" i="5"/>
  <c r="X802" i="5"/>
  <c r="AB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AC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AC804" i="5" s="1"/>
  <c r="N804" i="5"/>
  <c r="O804" i="5"/>
  <c r="P804" i="5"/>
  <c r="Q804" i="5"/>
  <c r="R804" i="5"/>
  <c r="S804" i="5"/>
  <c r="T804" i="5"/>
  <c r="U804" i="5"/>
  <c r="V804" i="5"/>
  <c r="W804" i="5"/>
  <c r="X804" i="5"/>
  <c r="AB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AC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AC806" i="5" s="1"/>
  <c r="N806" i="5"/>
  <c r="O806" i="5"/>
  <c r="P806" i="5"/>
  <c r="Q806" i="5"/>
  <c r="R806" i="5"/>
  <c r="S806" i="5"/>
  <c r="T806" i="5"/>
  <c r="U806" i="5"/>
  <c r="V806" i="5"/>
  <c r="W806" i="5"/>
  <c r="X806" i="5"/>
  <c r="AB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AC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AC808" i="5" s="1"/>
  <c r="N808" i="5"/>
  <c r="O808" i="5"/>
  <c r="P808" i="5"/>
  <c r="Q808" i="5"/>
  <c r="R808" i="5"/>
  <c r="S808" i="5"/>
  <c r="T808" i="5"/>
  <c r="U808" i="5"/>
  <c r="V808" i="5"/>
  <c r="W808" i="5"/>
  <c r="X808" i="5"/>
  <c r="AB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AC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AC810" i="5" s="1"/>
  <c r="N810" i="5"/>
  <c r="O810" i="5"/>
  <c r="P810" i="5"/>
  <c r="Q810" i="5"/>
  <c r="R810" i="5"/>
  <c r="S810" i="5"/>
  <c r="T810" i="5"/>
  <c r="U810" i="5"/>
  <c r="V810" i="5"/>
  <c r="W810" i="5"/>
  <c r="X810" i="5"/>
  <c r="AB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AC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AC812" i="5" s="1"/>
  <c r="N812" i="5"/>
  <c r="O812" i="5"/>
  <c r="P812" i="5"/>
  <c r="Q812" i="5"/>
  <c r="R812" i="5"/>
  <c r="S812" i="5"/>
  <c r="T812" i="5"/>
  <c r="U812" i="5"/>
  <c r="V812" i="5"/>
  <c r="W812" i="5"/>
  <c r="X812" i="5"/>
  <c r="AB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AC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AC814" i="5" s="1"/>
  <c r="N814" i="5"/>
  <c r="O814" i="5"/>
  <c r="P814" i="5"/>
  <c r="Q814" i="5"/>
  <c r="R814" i="5"/>
  <c r="S814" i="5"/>
  <c r="T814" i="5"/>
  <c r="U814" i="5"/>
  <c r="V814" i="5"/>
  <c r="W814" i="5"/>
  <c r="X814" i="5"/>
  <c r="AB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AC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AC816" i="5" s="1"/>
  <c r="N816" i="5"/>
  <c r="O816" i="5"/>
  <c r="P816" i="5"/>
  <c r="Q816" i="5"/>
  <c r="R816" i="5"/>
  <c r="S816" i="5"/>
  <c r="T816" i="5"/>
  <c r="U816" i="5"/>
  <c r="V816" i="5"/>
  <c r="W816" i="5"/>
  <c r="X816" i="5"/>
  <c r="AB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AC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AC818" i="5" s="1"/>
  <c r="N818" i="5"/>
  <c r="O818" i="5"/>
  <c r="P818" i="5"/>
  <c r="Q818" i="5"/>
  <c r="R818" i="5"/>
  <c r="S818" i="5"/>
  <c r="T818" i="5"/>
  <c r="U818" i="5"/>
  <c r="V818" i="5"/>
  <c r="W818" i="5"/>
  <c r="X818" i="5"/>
  <c r="AB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AC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AC820" i="5" s="1"/>
  <c r="N820" i="5"/>
  <c r="O820" i="5"/>
  <c r="P820" i="5"/>
  <c r="Q820" i="5"/>
  <c r="R820" i="5"/>
  <c r="S820" i="5"/>
  <c r="T820" i="5"/>
  <c r="U820" i="5"/>
  <c r="V820" i="5"/>
  <c r="W820" i="5"/>
  <c r="X820" i="5"/>
  <c r="AB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AC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AC822" i="5" s="1"/>
  <c r="N822" i="5"/>
  <c r="O822" i="5"/>
  <c r="P822" i="5"/>
  <c r="Q822" i="5"/>
  <c r="R822" i="5"/>
  <c r="S822" i="5"/>
  <c r="T822" i="5"/>
  <c r="U822" i="5"/>
  <c r="V822" i="5"/>
  <c r="W822" i="5"/>
  <c r="X822" i="5"/>
  <c r="AB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AC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AC824" i="5" s="1"/>
  <c r="N824" i="5"/>
  <c r="O824" i="5"/>
  <c r="P824" i="5"/>
  <c r="Q824" i="5"/>
  <c r="R824" i="5"/>
  <c r="S824" i="5"/>
  <c r="T824" i="5"/>
  <c r="U824" i="5"/>
  <c r="V824" i="5"/>
  <c r="W824" i="5"/>
  <c r="X824" i="5"/>
  <c r="AB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AC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AC826" i="5" s="1"/>
  <c r="N826" i="5"/>
  <c r="O826" i="5"/>
  <c r="P826" i="5"/>
  <c r="Q826" i="5"/>
  <c r="R826" i="5"/>
  <c r="S826" i="5"/>
  <c r="T826" i="5"/>
  <c r="U826" i="5"/>
  <c r="V826" i="5"/>
  <c r="W826" i="5"/>
  <c r="X826" i="5"/>
  <c r="AB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AC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AC828" i="5" s="1"/>
  <c r="N828" i="5"/>
  <c r="O828" i="5"/>
  <c r="P828" i="5"/>
  <c r="Q828" i="5"/>
  <c r="R828" i="5"/>
  <c r="S828" i="5"/>
  <c r="T828" i="5"/>
  <c r="U828" i="5"/>
  <c r="V828" i="5"/>
  <c r="W828" i="5"/>
  <c r="X828" i="5"/>
  <c r="AB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AC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AC830" i="5" s="1"/>
  <c r="N830" i="5"/>
  <c r="O830" i="5"/>
  <c r="P830" i="5"/>
  <c r="Q830" i="5"/>
  <c r="R830" i="5"/>
  <c r="S830" i="5"/>
  <c r="T830" i="5"/>
  <c r="U830" i="5"/>
  <c r="V830" i="5"/>
  <c r="W830" i="5"/>
  <c r="X830" i="5"/>
  <c r="AB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AC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AC832" i="5" s="1"/>
  <c r="N832" i="5"/>
  <c r="O832" i="5"/>
  <c r="P832" i="5"/>
  <c r="Q832" i="5"/>
  <c r="R832" i="5"/>
  <c r="S832" i="5"/>
  <c r="T832" i="5"/>
  <c r="U832" i="5"/>
  <c r="V832" i="5"/>
  <c r="W832" i="5"/>
  <c r="X832" i="5"/>
  <c r="AB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AC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AC834" i="5" s="1"/>
  <c r="N834" i="5"/>
  <c r="O834" i="5"/>
  <c r="P834" i="5"/>
  <c r="Q834" i="5"/>
  <c r="R834" i="5"/>
  <c r="S834" i="5"/>
  <c r="T834" i="5"/>
  <c r="U834" i="5"/>
  <c r="V834" i="5"/>
  <c r="W834" i="5"/>
  <c r="X834" i="5"/>
  <c r="AB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AC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AC836" i="5" s="1"/>
  <c r="N836" i="5"/>
  <c r="O836" i="5"/>
  <c r="P836" i="5"/>
  <c r="Q836" i="5"/>
  <c r="R836" i="5"/>
  <c r="S836" i="5"/>
  <c r="T836" i="5"/>
  <c r="U836" i="5"/>
  <c r="V836" i="5"/>
  <c r="W836" i="5"/>
  <c r="X836" i="5"/>
  <c r="AB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AC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AC838" i="5" s="1"/>
  <c r="N838" i="5"/>
  <c r="O838" i="5"/>
  <c r="P838" i="5"/>
  <c r="Q838" i="5"/>
  <c r="R838" i="5"/>
  <c r="S838" i="5"/>
  <c r="T838" i="5"/>
  <c r="U838" i="5"/>
  <c r="V838" i="5"/>
  <c r="W838" i="5"/>
  <c r="X838" i="5"/>
  <c r="AB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AC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AC840" i="5" s="1"/>
  <c r="N840" i="5"/>
  <c r="O840" i="5"/>
  <c r="P840" i="5"/>
  <c r="Q840" i="5"/>
  <c r="R840" i="5"/>
  <c r="S840" i="5"/>
  <c r="T840" i="5"/>
  <c r="U840" i="5"/>
  <c r="V840" i="5"/>
  <c r="W840" i="5"/>
  <c r="X840" i="5"/>
  <c r="AB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AC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AC842" i="5" s="1"/>
  <c r="N842" i="5"/>
  <c r="O842" i="5"/>
  <c r="P842" i="5"/>
  <c r="Q842" i="5"/>
  <c r="R842" i="5"/>
  <c r="S842" i="5"/>
  <c r="T842" i="5"/>
  <c r="U842" i="5"/>
  <c r="V842" i="5"/>
  <c r="W842" i="5"/>
  <c r="X842" i="5"/>
  <c r="AB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AC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AC844" i="5" s="1"/>
  <c r="N844" i="5"/>
  <c r="O844" i="5"/>
  <c r="P844" i="5"/>
  <c r="Q844" i="5"/>
  <c r="R844" i="5"/>
  <c r="S844" i="5"/>
  <c r="T844" i="5"/>
  <c r="U844" i="5"/>
  <c r="V844" i="5"/>
  <c r="W844" i="5"/>
  <c r="X844" i="5"/>
  <c r="AB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AC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AC846" i="5" s="1"/>
  <c r="N846" i="5"/>
  <c r="O846" i="5"/>
  <c r="P846" i="5"/>
  <c r="Q846" i="5"/>
  <c r="R846" i="5"/>
  <c r="S846" i="5"/>
  <c r="T846" i="5"/>
  <c r="U846" i="5"/>
  <c r="V846" i="5"/>
  <c r="W846" i="5"/>
  <c r="X846" i="5"/>
  <c r="AB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AC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AC848" i="5" s="1"/>
  <c r="N848" i="5"/>
  <c r="O848" i="5"/>
  <c r="P848" i="5"/>
  <c r="Q848" i="5"/>
  <c r="R848" i="5"/>
  <c r="S848" i="5"/>
  <c r="T848" i="5"/>
  <c r="U848" i="5"/>
  <c r="V848" i="5"/>
  <c r="W848" i="5"/>
  <c r="X848" i="5"/>
  <c r="AB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AC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AC850" i="5" s="1"/>
  <c r="N850" i="5"/>
  <c r="O850" i="5"/>
  <c r="P850" i="5"/>
  <c r="Q850" i="5"/>
  <c r="R850" i="5"/>
  <c r="S850" i="5"/>
  <c r="T850" i="5"/>
  <c r="U850" i="5"/>
  <c r="V850" i="5"/>
  <c r="W850" i="5"/>
  <c r="X850" i="5"/>
  <c r="AB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AC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AC852" i="5" s="1"/>
  <c r="N852" i="5"/>
  <c r="O852" i="5"/>
  <c r="P852" i="5"/>
  <c r="Q852" i="5"/>
  <c r="R852" i="5"/>
  <c r="S852" i="5"/>
  <c r="T852" i="5"/>
  <c r="U852" i="5"/>
  <c r="V852" i="5"/>
  <c r="W852" i="5"/>
  <c r="X852" i="5"/>
  <c r="AB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AC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AC854" i="5" s="1"/>
  <c r="N854" i="5"/>
  <c r="O854" i="5"/>
  <c r="P854" i="5"/>
  <c r="Q854" i="5"/>
  <c r="R854" i="5"/>
  <c r="S854" i="5"/>
  <c r="T854" i="5"/>
  <c r="U854" i="5"/>
  <c r="V854" i="5"/>
  <c r="W854" i="5"/>
  <c r="X854" i="5"/>
  <c r="AB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AC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AC856" i="5" s="1"/>
  <c r="N856" i="5"/>
  <c r="O856" i="5"/>
  <c r="P856" i="5"/>
  <c r="Q856" i="5"/>
  <c r="R856" i="5"/>
  <c r="S856" i="5"/>
  <c r="T856" i="5"/>
  <c r="U856" i="5"/>
  <c r="V856" i="5"/>
  <c r="W856" i="5"/>
  <c r="X856" i="5"/>
  <c r="AB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AC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AC858" i="5" s="1"/>
  <c r="N858" i="5"/>
  <c r="O858" i="5"/>
  <c r="P858" i="5"/>
  <c r="Q858" i="5"/>
  <c r="R858" i="5"/>
  <c r="S858" i="5"/>
  <c r="T858" i="5"/>
  <c r="U858" i="5"/>
  <c r="V858" i="5"/>
  <c r="W858" i="5"/>
  <c r="X858" i="5"/>
  <c r="AB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AC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AC860" i="5" s="1"/>
  <c r="N860" i="5"/>
  <c r="O860" i="5"/>
  <c r="P860" i="5"/>
  <c r="Q860" i="5"/>
  <c r="R860" i="5"/>
  <c r="S860" i="5"/>
  <c r="T860" i="5"/>
  <c r="U860" i="5"/>
  <c r="V860" i="5"/>
  <c r="W860" i="5"/>
  <c r="X860" i="5"/>
  <c r="AB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AC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AC862" i="5" s="1"/>
  <c r="N862" i="5"/>
  <c r="O862" i="5"/>
  <c r="P862" i="5"/>
  <c r="Q862" i="5"/>
  <c r="R862" i="5"/>
  <c r="S862" i="5"/>
  <c r="T862" i="5"/>
  <c r="U862" i="5"/>
  <c r="V862" i="5"/>
  <c r="W862" i="5"/>
  <c r="X862" i="5"/>
  <c r="AB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AC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AC864" i="5" s="1"/>
  <c r="N864" i="5"/>
  <c r="O864" i="5"/>
  <c r="P864" i="5"/>
  <c r="Q864" i="5"/>
  <c r="R864" i="5"/>
  <c r="S864" i="5"/>
  <c r="T864" i="5"/>
  <c r="U864" i="5"/>
  <c r="V864" i="5"/>
  <c r="W864" i="5"/>
  <c r="X864" i="5"/>
  <c r="AB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AC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AC866" i="5" s="1"/>
  <c r="N866" i="5"/>
  <c r="O866" i="5"/>
  <c r="P866" i="5"/>
  <c r="Q866" i="5"/>
  <c r="R866" i="5"/>
  <c r="S866" i="5"/>
  <c r="T866" i="5"/>
  <c r="U866" i="5"/>
  <c r="V866" i="5"/>
  <c r="W866" i="5"/>
  <c r="X866" i="5"/>
  <c r="AB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AC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AC868" i="5" s="1"/>
  <c r="N868" i="5"/>
  <c r="O868" i="5"/>
  <c r="P868" i="5"/>
  <c r="Q868" i="5"/>
  <c r="R868" i="5"/>
  <c r="S868" i="5"/>
  <c r="T868" i="5"/>
  <c r="U868" i="5"/>
  <c r="V868" i="5"/>
  <c r="W868" i="5"/>
  <c r="X868" i="5"/>
  <c r="AB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AC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AC870" i="5" s="1"/>
  <c r="N870" i="5"/>
  <c r="O870" i="5"/>
  <c r="P870" i="5"/>
  <c r="Q870" i="5"/>
  <c r="R870" i="5"/>
  <c r="S870" i="5"/>
  <c r="T870" i="5"/>
  <c r="U870" i="5"/>
  <c r="V870" i="5"/>
  <c r="W870" i="5"/>
  <c r="X870" i="5"/>
  <c r="AB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AC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AC872" i="5" s="1"/>
  <c r="N872" i="5"/>
  <c r="O872" i="5"/>
  <c r="P872" i="5"/>
  <c r="Q872" i="5"/>
  <c r="R872" i="5"/>
  <c r="S872" i="5"/>
  <c r="T872" i="5"/>
  <c r="U872" i="5"/>
  <c r="V872" i="5"/>
  <c r="W872" i="5"/>
  <c r="X872" i="5"/>
  <c r="AB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AC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AC874" i="5" s="1"/>
  <c r="N874" i="5"/>
  <c r="O874" i="5"/>
  <c r="P874" i="5"/>
  <c r="Q874" i="5"/>
  <c r="R874" i="5"/>
  <c r="S874" i="5"/>
  <c r="T874" i="5"/>
  <c r="U874" i="5"/>
  <c r="V874" i="5"/>
  <c r="W874" i="5"/>
  <c r="X874" i="5"/>
  <c r="AB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AC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AC876" i="5" s="1"/>
  <c r="N876" i="5"/>
  <c r="O876" i="5"/>
  <c r="P876" i="5"/>
  <c r="Q876" i="5"/>
  <c r="R876" i="5"/>
  <c r="S876" i="5"/>
  <c r="T876" i="5"/>
  <c r="U876" i="5"/>
  <c r="V876" i="5"/>
  <c r="W876" i="5"/>
  <c r="X876" i="5"/>
  <c r="AB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AC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AC878" i="5" s="1"/>
  <c r="N878" i="5"/>
  <c r="O878" i="5"/>
  <c r="P878" i="5"/>
  <c r="Q878" i="5"/>
  <c r="R878" i="5"/>
  <c r="S878" i="5"/>
  <c r="T878" i="5"/>
  <c r="U878" i="5"/>
  <c r="V878" i="5"/>
  <c r="W878" i="5"/>
  <c r="X878" i="5"/>
  <c r="AB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AC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AC880" i="5" s="1"/>
  <c r="N880" i="5"/>
  <c r="O880" i="5"/>
  <c r="P880" i="5"/>
  <c r="Q880" i="5"/>
  <c r="R880" i="5"/>
  <c r="S880" i="5"/>
  <c r="T880" i="5"/>
  <c r="U880" i="5"/>
  <c r="V880" i="5"/>
  <c r="W880" i="5"/>
  <c r="X880" i="5"/>
  <c r="AB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AC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AC882" i="5" s="1"/>
  <c r="N882" i="5"/>
  <c r="O882" i="5"/>
  <c r="P882" i="5"/>
  <c r="Q882" i="5"/>
  <c r="R882" i="5"/>
  <c r="S882" i="5"/>
  <c r="T882" i="5"/>
  <c r="U882" i="5"/>
  <c r="V882" i="5"/>
  <c r="W882" i="5"/>
  <c r="X882" i="5"/>
  <c r="AB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AC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AC884" i="5" s="1"/>
  <c r="N884" i="5"/>
  <c r="O884" i="5"/>
  <c r="P884" i="5"/>
  <c r="Q884" i="5"/>
  <c r="R884" i="5"/>
  <c r="S884" i="5"/>
  <c r="T884" i="5"/>
  <c r="U884" i="5"/>
  <c r="V884" i="5"/>
  <c r="W884" i="5"/>
  <c r="X884" i="5"/>
  <c r="AB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AC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AC886" i="5" s="1"/>
  <c r="N886" i="5"/>
  <c r="O886" i="5"/>
  <c r="P886" i="5"/>
  <c r="Q886" i="5"/>
  <c r="R886" i="5"/>
  <c r="S886" i="5"/>
  <c r="T886" i="5"/>
  <c r="U886" i="5"/>
  <c r="V886" i="5"/>
  <c r="W886" i="5"/>
  <c r="X886" i="5"/>
  <c r="AB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AC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AC888" i="5" s="1"/>
  <c r="N888" i="5"/>
  <c r="O888" i="5"/>
  <c r="P888" i="5"/>
  <c r="Q888" i="5"/>
  <c r="R888" i="5"/>
  <c r="S888" i="5"/>
  <c r="T888" i="5"/>
  <c r="U888" i="5"/>
  <c r="V888" i="5"/>
  <c r="W888" i="5"/>
  <c r="X888" i="5"/>
  <c r="AB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AC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AC890" i="5" s="1"/>
  <c r="N890" i="5"/>
  <c r="O890" i="5"/>
  <c r="P890" i="5"/>
  <c r="Q890" i="5"/>
  <c r="R890" i="5"/>
  <c r="S890" i="5"/>
  <c r="T890" i="5"/>
  <c r="U890" i="5"/>
  <c r="V890" i="5"/>
  <c r="W890" i="5"/>
  <c r="X890" i="5"/>
  <c r="AB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AC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AC892" i="5" s="1"/>
  <c r="N892" i="5"/>
  <c r="O892" i="5"/>
  <c r="P892" i="5"/>
  <c r="Q892" i="5"/>
  <c r="R892" i="5"/>
  <c r="S892" i="5"/>
  <c r="T892" i="5"/>
  <c r="U892" i="5"/>
  <c r="V892" i="5"/>
  <c r="W892" i="5"/>
  <c r="X892" i="5"/>
  <c r="AB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AC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AC894" i="5" s="1"/>
  <c r="N894" i="5"/>
  <c r="O894" i="5"/>
  <c r="P894" i="5"/>
  <c r="Q894" i="5"/>
  <c r="R894" i="5"/>
  <c r="S894" i="5"/>
  <c r="T894" i="5"/>
  <c r="U894" i="5"/>
  <c r="V894" i="5"/>
  <c r="W894" i="5"/>
  <c r="X894" i="5"/>
  <c r="AB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AC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AC896" i="5" s="1"/>
  <c r="N896" i="5"/>
  <c r="O896" i="5"/>
  <c r="P896" i="5"/>
  <c r="Q896" i="5"/>
  <c r="R896" i="5"/>
  <c r="S896" i="5"/>
  <c r="T896" i="5"/>
  <c r="U896" i="5"/>
  <c r="V896" i="5"/>
  <c r="W896" i="5"/>
  <c r="X896" i="5"/>
  <c r="AB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AC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AC898" i="5" s="1"/>
  <c r="N898" i="5"/>
  <c r="O898" i="5"/>
  <c r="P898" i="5"/>
  <c r="Q898" i="5"/>
  <c r="R898" i="5"/>
  <c r="S898" i="5"/>
  <c r="T898" i="5"/>
  <c r="U898" i="5"/>
  <c r="V898" i="5"/>
  <c r="W898" i="5"/>
  <c r="X898" i="5"/>
  <c r="AB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AC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AC900" i="5" s="1"/>
  <c r="N900" i="5"/>
  <c r="O900" i="5"/>
  <c r="P900" i="5"/>
  <c r="Q900" i="5"/>
  <c r="R900" i="5"/>
  <c r="S900" i="5"/>
  <c r="T900" i="5"/>
  <c r="U900" i="5"/>
  <c r="V900" i="5"/>
  <c r="W900" i="5"/>
  <c r="X900" i="5"/>
  <c r="AB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AC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AC902" i="5" s="1"/>
  <c r="N902" i="5"/>
  <c r="O902" i="5"/>
  <c r="P902" i="5"/>
  <c r="Q902" i="5"/>
  <c r="R902" i="5"/>
  <c r="S902" i="5"/>
  <c r="T902" i="5"/>
  <c r="U902" i="5"/>
  <c r="V902" i="5"/>
  <c r="W902" i="5"/>
  <c r="X902" i="5"/>
  <c r="AB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AC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AC904" i="5" s="1"/>
  <c r="N904" i="5"/>
  <c r="O904" i="5"/>
  <c r="P904" i="5"/>
  <c r="Q904" i="5"/>
  <c r="R904" i="5"/>
  <c r="S904" i="5"/>
  <c r="T904" i="5"/>
  <c r="U904" i="5"/>
  <c r="V904" i="5"/>
  <c r="W904" i="5"/>
  <c r="X904" i="5"/>
  <c r="AB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AC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AC906" i="5" s="1"/>
  <c r="N906" i="5"/>
  <c r="O906" i="5"/>
  <c r="P906" i="5"/>
  <c r="Q906" i="5"/>
  <c r="R906" i="5"/>
  <c r="S906" i="5"/>
  <c r="T906" i="5"/>
  <c r="U906" i="5"/>
  <c r="V906" i="5"/>
  <c r="W906" i="5"/>
  <c r="X906" i="5"/>
  <c r="AB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AC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AC908" i="5" s="1"/>
  <c r="N908" i="5"/>
  <c r="O908" i="5"/>
  <c r="P908" i="5"/>
  <c r="Q908" i="5"/>
  <c r="R908" i="5"/>
  <c r="S908" i="5"/>
  <c r="T908" i="5"/>
  <c r="U908" i="5"/>
  <c r="V908" i="5"/>
  <c r="W908" i="5"/>
  <c r="X908" i="5"/>
  <c r="AB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AC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AC910" i="5" s="1"/>
  <c r="N910" i="5"/>
  <c r="O910" i="5"/>
  <c r="P910" i="5"/>
  <c r="Q910" i="5"/>
  <c r="R910" i="5"/>
  <c r="S910" i="5"/>
  <c r="T910" i="5"/>
  <c r="U910" i="5"/>
  <c r="V910" i="5"/>
  <c r="W910" i="5"/>
  <c r="X910" i="5"/>
  <c r="AB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AC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AC912" i="5" s="1"/>
  <c r="N912" i="5"/>
  <c r="O912" i="5"/>
  <c r="P912" i="5"/>
  <c r="Q912" i="5"/>
  <c r="R912" i="5"/>
  <c r="S912" i="5"/>
  <c r="T912" i="5"/>
  <c r="U912" i="5"/>
  <c r="V912" i="5"/>
  <c r="W912" i="5"/>
  <c r="X912" i="5"/>
  <c r="AB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AC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AC914" i="5" s="1"/>
  <c r="N914" i="5"/>
  <c r="O914" i="5"/>
  <c r="P914" i="5"/>
  <c r="Q914" i="5"/>
  <c r="R914" i="5"/>
  <c r="S914" i="5"/>
  <c r="T914" i="5"/>
  <c r="U914" i="5"/>
  <c r="V914" i="5"/>
  <c r="W914" i="5"/>
  <c r="X914" i="5"/>
  <c r="AB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AC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AC916" i="5" s="1"/>
  <c r="N916" i="5"/>
  <c r="O916" i="5"/>
  <c r="P916" i="5"/>
  <c r="Q916" i="5"/>
  <c r="R916" i="5"/>
  <c r="S916" i="5"/>
  <c r="T916" i="5"/>
  <c r="U916" i="5"/>
  <c r="V916" i="5"/>
  <c r="W916" i="5"/>
  <c r="X916" i="5"/>
  <c r="AB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AC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AC918" i="5" s="1"/>
  <c r="N918" i="5"/>
  <c r="O918" i="5"/>
  <c r="P918" i="5"/>
  <c r="Q918" i="5"/>
  <c r="R918" i="5"/>
  <c r="S918" i="5"/>
  <c r="T918" i="5"/>
  <c r="U918" i="5"/>
  <c r="V918" i="5"/>
  <c r="W918" i="5"/>
  <c r="X918" i="5"/>
  <c r="AB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AC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AC920" i="5" s="1"/>
  <c r="N920" i="5"/>
  <c r="O920" i="5"/>
  <c r="P920" i="5"/>
  <c r="Q920" i="5"/>
  <c r="R920" i="5"/>
  <c r="S920" i="5"/>
  <c r="T920" i="5"/>
  <c r="U920" i="5"/>
  <c r="V920" i="5"/>
  <c r="W920" i="5"/>
  <c r="X920" i="5"/>
  <c r="AB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AC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AC922" i="5" s="1"/>
  <c r="N922" i="5"/>
  <c r="O922" i="5"/>
  <c r="P922" i="5"/>
  <c r="Q922" i="5"/>
  <c r="R922" i="5"/>
  <c r="S922" i="5"/>
  <c r="T922" i="5"/>
  <c r="U922" i="5"/>
  <c r="V922" i="5"/>
  <c r="W922" i="5"/>
  <c r="X922" i="5"/>
  <c r="AB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AC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AC924" i="5" s="1"/>
  <c r="N924" i="5"/>
  <c r="O924" i="5"/>
  <c r="P924" i="5"/>
  <c r="Q924" i="5"/>
  <c r="R924" i="5"/>
  <c r="S924" i="5"/>
  <c r="T924" i="5"/>
  <c r="U924" i="5"/>
  <c r="V924" i="5"/>
  <c r="W924" i="5"/>
  <c r="X924" i="5"/>
  <c r="AB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N925" i="5"/>
  <c r="O925" i="5"/>
  <c r="P925" i="5"/>
  <c r="Q925" i="5"/>
  <c r="R925" i="5"/>
  <c r="S925" i="5"/>
  <c r="T925" i="5"/>
  <c r="U925" i="5"/>
  <c r="V925" i="5"/>
  <c r="W925" i="5"/>
  <c r="X925" i="5"/>
  <c r="AC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AC926" i="5" s="1"/>
  <c r="N926" i="5"/>
  <c r="O926" i="5"/>
  <c r="P926" i="5"/>
  <c r="Q926" i="5"/>
  <c r="R926" i="5"/>
  <c r="S926" i="5"/>
  <c r="T926" i="5"/>
  <c r="U926" i="5"/>
  <c r="V926" i="5"/>
  <c r="W926" i="5"/>
  <c r="X926" i="5"/>
  <c r="AB926" i="5"/>
  <c r="B927" i="5"/>
  <c r="C927" i="5"/>
  <c r="D927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AC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AC928" i="5" s="1"/>
  <c r="N928" i="5"/>
  <c r="O928" i="5"/>
  <c r="P928" i="5"/>
  <c r="Q928" i="5"/>
  <c r="R928" i="5"/>
  <c r="S928" i="5"/>
  <c r="T928" i="5"/>
  <c r="U928" i="5"/>
  <c r="V928" i="5"/>
  <c r="W928" i="5"/>
  <c r="X928" i="5"/>
  <c r="AB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AC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AC930" i="5" s="1"/>
  <c r="N930" i="5"/>
  <c r="O930" i="5"/>
  <c r="P930" i="5"/>
  <c r="Q930" i="5"/>
  <c r="R930" i="5"/>
  <c r="S930" i="5"/>
  <c r="T930" i="5"/>
  <c r="U930" i="5"/>
  <c r="V930" i="5"/>
  <c r="W930" i="5"/>
  <c r="X930" i="5"/>
  <c r="AB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AC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AC932" i="5" s="1"/>
  <c r="N932" i="5"/>
  <c r="O932" i="5"/>
  <c r="P932" i="5"/>
  <c r="Q932" i="5"/>
  <c r="R932" i="5"/>
  <c r="S932" i="5"/>
  <c r="T932" i="5"/>
  <c r="U932" i="5"/>
  <c r="V932" i="5"/>
  <c r="W932" i="5"/>
  <c r="X932" i="5"/>
  <c r="AB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AC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AC934" i="5" s="1"/>
  <c r="N934" i="5"/>
  <c r="O934" i="5"/>
  <c r="P934" i="5"/>
  <c r="Q934" i="5"/>
  <c r="R934" i="5"/>
  <c r="S934" i="5"/>
  <c r="T934" i="5"/>
  <c r="U934" i="5"/>
  <c r="V934" i="5"/>
  <c r="W934" i="5"/>
  <c r="X934" i="5"/>
  <c r="AB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AC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AC936" i="5" s="1"/>
  <c r="N936" i="5"/>
  <c r="O936" i="5"/>
  <c r="P936" i="5"/>
  <c r="Q936" i="5"/>
  <c r="R936" i="5"/>
  <c r="S936" i="5"/>
  <c r="T936" i="5"/>
  <c r="U936" i="5"/>
  <c r="V936" i="5"/>
  <c r="W936" i="5"/>
  <c r="X936" i="5"/>
  <c r="AB936" i="5"/>
  <c r="B937" i="5"/>
  <c r="C937" i="5"/>
  <c r="D937" i="5"/>
  <c r="E937" i="5"/>
  <c r="E1147" i="5" s="1"/>
  <c r="F937" i="5"/>
  <c r="G937" i="5"/>
  <c r="H937" i="5"/>
  <c r="I937" i="5"/>
  <c r="I1147" i="5" s="1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AC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AC938" i="5" s="1"/>
  <c r="N938" i="5"/>
  <c r="O938" i="5"/>
  <c r="P938" i="5"/>
  <c r="Q938" i="5"/>
  <c r="Q1147" i="5" s="1"/>
  <c r="R938" i="5"/>
  <c r="S938" i="5"/>
  <c r="T938" i="5"/>
  <c r="U938" i="5"/>
  <c r="U1147" i="5" s="1"/>
  <c r="V938" i="5"/>
  <c r="W938" i="5"/>
  <c r="X938" i="5"/>
  <c r="AB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AC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AC940" i="5" s="1"/>
  <c r="N940" i="5"/>
  <c r="O940" i="5"/>
  <c r="P940" i="5"/>
  <c r="Q940" i="5"/>
  <c r="R940" i="5"/>
  <c r="S940" i="5"/>
  <c r="T940" i="5"/>
  <c r="U940" i="5"/>
  <c r="V940" i="5"/>
  <c r="W940" i="5"/>
  <c r="X940" i="5"/>
  <c r="AB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AC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AC942" i="5" s="1"/>
  <c r="N942" i="5"/>
  <c r="O942" i="5"/>
  <c r="P942" i="5"/>
  <c r="Q942" i="5"/>
  <c r="R942" i="5"/>
  <c r="S942" i="5"/>
  <c r="T942" i="5"/>
  <c r="U942" i="5"/>
  <c r="V942" i="5"/>
  <c r="W942" i="5"/>
  <c r="X942" i="5"/>
  <c r="AB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AC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AC944" i="5" s="1"/>
  <c r="N944" i="5"/>
  <c r="O944" i="5"/>
  <c r="P944" i="5"/>
  <c r="Q944" i="5"/>
  <c r="R944" i="5"/>
  <c r="S944" i="5"/>
  <c r="T944" i="5"/>
  <c r="U944" i="5"/>
  <c r="V944" i="5"/>
  <c r="W944" i="5"/>
  <c r="X944" i="5"/>
  <c r="AB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AC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AC946" i="5" s="1"/>
  <c r="N946" i="5"/>
  <c r="O946" i="5"/>
  <c r="P946" i="5"/>
  <c r="Q946" i="5"/>
  <c r="R946" i="5"/>
  <c r="S946" i="5"/>
  <c r="T946" i="5"/>
  <c r="U946" i="5"/>
  <c r="V946" i="5"/>
  <c r="W946" i="5"/>
  <c r="X946" i="5"/>
  <c r="AB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AC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AC948" i="5" s="1"/>
  <c r="N948" i="5"/>
  <c r="O948" i="5"/>
  <c r="P948" i="5"/>
  <c r="Q948" i="5"/>
  <c r="R948" i="5"/>
  <c r="S948" i="5"/>
  <c r="T948" i="5"/>
  <c r="U948" i="5"/>
  <c r="V948" i="5"/>
  <c r="W948" i="5"/>
  <c r="X948" i="5"/>
  <c r="AB948" i="5"/>
  <c r="B949" i="5"/>
  <c r="C949" i="5"/>
  <c r="D949" i="5"/>
  <c r="E949" i="5"/>
  <c r="E1148" i="5" s="1"/>
  <c r="F949" i="5"/>
  <c r="G949" i="5"/>
  <c r="H949" i="5"/>
  <c r="I949" i="5"/>
  <c r="I1148" i="5" s="1"/>
  <c r="J949" i="5"/>
  <c r="K949" i="5"/>
  <c r="L949" i="5"/>
  <c r="M949" i="5"/>
  <c r="M1148" i="5" s="1"/>
  <c r="N949" i="5"/>
  <c r="O949" i="5"/>
  <c r="P949" i="5"/>
  <c r="Q949" i="5"/>
  <c r="Q1148" i="5" s="1"/>
  <c r="R949" i="5"/>
  <c r="S949" i="5"/>
  <c r="T949" i="5"/>
  <c r="U949" i="5"/>
  <c r="U1148" i="5" s="1"/>
  <c r="V949" i="5"/>
  <c r="W949" i="5"/>
  <c r="X949" i="5"/>
  <c r="AC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AC950" i="5" s="1"/>
  <c r="N950" i="5"/>
  <c r="O950" i="5"/>
  <c r="P950" i="5"/>
  <c r="Q950" i="5"/>
  <c r="R950" i="5"/>
  <c r="S950" i="5"/>
  <c r="T950" i="5"/>
  <c r="U950" i="5"/>
  <c r="V950" i="5"/>
  <c r="W950" i="5"/>
  <c r="X950" i="5"/>
  <c r="AB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AC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AC952" i="5" s="1"/>
  <c r="N952" i="5"/>
  <c r="O952" i="5"/>
  <c r="P952" i="5"/>
  <c r="Q952" i="5"/>
  <c r="R952" i="5"/>
  <c r="S952" i="5"/>
  <c r="T952" i="5"/>
  <c r="U952" i="5"/>
  <c r="V952" i="5"/>
  <c r="W952" i="5"/>
  <c r="X952" i="5"/>
  <c r="AB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AC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AC954" i="5" s="1"/>
  <c r="N954" i="5"/>
  <c r="O954" i="5"/>
  <c r="P954" i="5"/>
  <c r="Q954" i="5"/>
  <c r="R954" i="5"/>
  <c r="S954" i="5"/>
  <c r="T954" i="5"/>
  <c r="U954" i="5"/>
  <c r="V954" i="5"/>
  <c r="W954" i="5"/>
  <c r="X954" i="5"/>
  <c r="AB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AC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AC956" i="5" s="1"/>
  <c r="N956" i="5"/>
  <c r="O956" i="5"/>
  <c r="P956" i="5"/>
  <c r="Q956" i="5"/>
  <c r="R956" i="5"/>
  <c r="S956" i="5"/>
  <c r="T956" i="5"/>
  <c r="U956" i="5"/>
  <c r="V956" i="5"/>
  <c r="W956" i="5"/>
  <c r="X956" i="5"/>
  <c r="AB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AC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AC958" i="5" s="1"/>
  <c r="N958" i="5"/>
  <c r="O958" i="5"/>
  <c r="P958" i="5"/>
  <c r="Q958" i="5"/>
  <c r="R958" i="5"/>
  <c r="S958" i="5"/>
  <c r="T958" i="5"/>
  <c r="U958" i="5"/>
  <c r="V958" i="5"/>
  <c r="W958" i="5"/>
  <c r="X958" i="5"/>
  <c r="AB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AC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AC960" i="5" s="1"/>
  <c r="N960" i="5"/>
  <c r="O960" i="5"/>
  <c r="P960" i="5"/>
  <c r="Q960" i="5"/>
  <c r="R960" i="5"/>
  <c r="S960" i="5"/>
  <c r="T960" i="5"/>
  <c r="U960" i="5"/>
  <c r="V960" i="5"/>
  <c r="W960" i="5"/>
  <c r="X960" i="5"/>
  <c r="AB960" i="5"/>
  <c r="B961" i="5"/>
  <c r="C961" i="5"/>
  <c r="D961" i="5"/>
  <c r="E961" i="5"/>
  <c r="E1149" i="5" s="1"/>
  <c r="F961" i="5"/>
  <c r="G961" i="5"/>
  <c r="H961" i="5"/>
  <c r="I961" i="5"/>
  <c r="I1149" i="5" s="1"/>
  <c r="J961" i="5"/>
  <c r="K961" i="5"/>
  <c r="L961" i="5"/>
  <c r="M961" i="5"/>
  <c r="M1149" i="5" s="1"/>
  <c r="N961" i="5"/>
  <c r="O961" i="5"/>
  <c r="P961" i="5"/>
  <c r="Q961" i="5"/>
  <c r="Q1149" i="5" s="1"/>
  <c r="R961" i="5"/>
  <c r="S961" i="5"/>
  <c r="T961" i="5"/>
  <c r="U961" i="5"/>
  <c r="U1149" i="5" s="1"/>
  <c r="V961" i="5"/>
  <c r="W961" i="5"/>
  <c r="X961" i="5"/>
  <c r="AC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AC962" i="5" s="1"/>
  <c r="N962" i="5"/>
  <c r="O962" i="5"/>
  <c r="P962" i="5"/>
  <c r="Q962" i="5"/>
  <c r="R962" i="5"/>
  <c r="S962" i="5"/>
  <c r="T962" i="5"/>
  <c r="U962" i="5"/>
  <c r="V962" i="5"/>
  <c r="W962" i="5"/>
  <c r="X962" i="5"/>
  <c r="AB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AC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AC964" i="5" s="1"/>
  <c r="N964" i="5"/>
  <c r="O964" i="5"/>
  <c r="P964" i="5"/>
  <c r="Q964" i="5"/>
  <c r="R964" i="5"/>
  <c r="S964" i="5"/>
  <c r="T964" i="5"/>
  <c r="U964" i="5"/>
  <c r="V964" i="5"/>
  <c r="W964" i="5"/>
  <c r="X964" i="5"/>
  <c r="AB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AC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AC966" i="5" s="1"/>
  <c r="N966" i="5"/>
  <c r="O966" i="5"/>
  <c r="P966" i="5"/>
  <c r="Q966" i="5"/>
  <c r="R966" i="5"/>
  <c r="S966" i="5"/>
  <c r="T966" i="5"/>
  <c r="U966" i="5"/>
  <c r="V966" i="5"/>
  <c r="W966" i="5"/>
  <c r="X966" i="5"/>
  <c r="AB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AC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AC968" i="5" s="1"/>
  <c r="N968" i="5"/>
  <c r="O968" i="5"/>
  <c r="P968" i="5"/>
  <c r="Q968" i="5"/>
  <c r="R968" i="5"/>
  <c r="S968" i="5"/>
  <c r="T968" i="5"/>
  <c r="U968" i="5"/>
  <c r="V968" i="5"/>
  <c r="W968" i="5"/>
  <c r="X968" i="5"/>
  <c r="AB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AC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AC970" i="5" s="1"/>
  <c r="N970" i="5"/>
  <c r="O970" i="5"/>
  <c r="P970" i="5"/>
  <c r="Q970" i="5"/>
  <c r="R970" i="5"/>
  <c r="S970" i="5"/>
  <c r="T970" i="5"/>
  <c r="U970" i="5"/>
  <c r="V970" i="5"/>
  <c r="W970" i="5"/>
  <c r="X970" i="5"/>
  <c r="AB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AC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AC972" i="5" s="1"/>
  <c r="N972" i="5"/>
  <c r="O972" i="5"/>
  <c r="P972" i="5"/>
  <c r="Q972" i="5"/>
  <c r="R972" i="5"/>
  <c r="S972" i="5"/>
  <c r="T972" i="5"/>
  <c r="U972" i="5"/>
  <c r="V972" i="5"/>
  <c r="W972" i="5"/>
  <c r="X972" i="5"/>
  <c r="AB972" i="5"/>
  <c r="B973" i="5"/>
  <c r="C973" i="5"/>
  <c r="D973" i="5"/>
  <c r="E973" i="5"/>
  <c r="E1150" i="5" s="1"/>
  <c r="F973" i="5"/>
  <c r="G973" i="5"/>
  <c r="H973" i="5"/>
  <c r="I973" i="5"/>
  <c r="I1150" i="5" s="1"/>
  <c r="J973" i="5"/>
  <c r="K973" i="5"/>
  <c r="L973" i="5"/>
  <c r="M973" i="5"/>
  <c r="M1150" i="5" s="1"/>
  <c r="N973" i="5"/>
  <c r="O973" i="5"/>
  <c r="P973" i="5"/>
  <c r="Q973" i="5"/>
  <c r="Q1150" i="5" s="1"/>
  <c r="R973" i="5"/>
  <c r="S973" i="5"/>
  <c r="T973" i="5"/>
  <c r="U973" i="5"/>
  <c r="U1150" i="5" s="1"/>
  <c r="V973" i="5"/>
  <c r="W973" i="5"/>
  <c r="X973" i="5"/>
  <c r="AC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AC974" i="5" s="1"/>
  <c r="N974" i="5"/>
  <c r="O974" i="5"/>
  <c r="P974" i="5"/>
  <c r="Q974" i="5"/>
  <c r="R974" i="5"/>
  <c r="S974" i="5"/>
  <c r="T974" i="5"/>
  <c r="U974" i="5"/>
  <c r="V974" i="5"/>
  <c r="W974" i="5"/>
  <c r="X974" i="5"/>
  <c r="AB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AC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AC976" i="5" s="1"/>
  <c r="N976" i="5"/>
  <c r="O976" i="5"/>
  <c r="P976" i="5"/>
  <c r="Q976" i="5"/>
  <c r="R976" i="5"/>
  <c r="S976" i="5"/>
  <c r="T976" i="5"/>
  <c r="U976" i="5"/>
  <c r="V976" i="5"/>
  <c r="W976" i="5"/>
  <c r="X976" i="5"/>
  <c r="AB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AC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AC978" i="5" s="1"/>
  <c r="N978" i="5"/>
  <c r="O978" i="5"/>
  <c r="P978" i="5"/>
  <c r="Q978" i="5"/>
  <c r="R978" i="5"/>
  <c r="S978" i="5"/>
  <c r="T978" i="5"/>
  <c r="U978" i="5"/>
  <c r="V978" i="5"/>
  <c r="W978" i="5"/>
  <c r="X978" i="5"/>
  <c r="AB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AC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AC980" i="5" s="1"/>
  <c r="N980" i="5"/>
  <c r="O980" i="5"/>
  <c r="P980" i="5"/>
  <c r="Q980" i="5"/>
  <c r="R980" i="5"/>
  <c r="S980" i="5"/>
  <c r="T980" i="5"/>
  <c r="U980" i="5"/>
  <c r="V980" i="5"/>
  <c r="W980" i="5"/>
  <c r="X980" i="5"/>
  <c r="AB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AC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AC982" i="5" s="1"/>
  <c r="N982" i="5"/>
  <c r="O982" i="5"/>
  <c r="P982" i="5"/>
  <c r="Q982" i="5"/>
  <c r="R982" i="5"/>
  <c r="S982" i="5"/>
  <c r="T982" i="5"/>
  <c r="U982" i="5"/>
  <c r="V982" i="5"/>
  <c r="W982" i="5"/>
  <c r="X982" i="5"/>
  <c r="AB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AC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AC984" i="5" s="1"/>
  <c r="N984" i="5"/>
  <c r="O984" i="5"/>
  <c r="P984" i="5"/>
  <c r="Q984" i="5"/>
  <c r="R984" i="5"/>
  <c r="S984" i="5"/>
  <c r="T984" i="5"/>
  <c r="U984" i="5"/>
  <c r="V984" i="5"/>
  <c r="W984" i="5"/>
  <c r="X984" i="5"/>
  <c r="AB984" i="5"/>
  <c r="B985" i="5"/>
  <c r="C985" i="5"/>
  <c r="D985" i="5"/>
  <c r="E985" i="5"/>
  <c r="E1151" i="5" s="1"/>
  <c r="F985" i="5"/>
  <c r="G985" i="5"/>
  <c r="H985" i="5"/>
  <c r="I985" i="5"/>
  <c r="I1151" i="5" s="1"/>
  <c r="J985" i="5"/>
  <c r="K985" i="5"/>
  <c r="L985" i="5"/>
  <c r="M985" i="5"/>
  <c r="M1151" i="5" s="1"/>
  <c r="N985" i="5"/>
  <c r="O985" i="5"/>
  <c r="P985" i="5"/>
  <c r="Q985" i="5"/>
  <c r="Q1151" i="5" s="1"/>
  <c r="R985" i="5"/>
  <c r="S985" i="5"/>
  <c r="T985" i="5"/>
  <c r="U985" i="5"/>
  <c r="U1151" i="5" s="1"/>
  <c r="V985" i="5"/>
  <c r="W985" i="5"/>
  <c r="X985" i="5"/>
  <c r="AC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AC986" i="5" s="1"/>
  <c r="N986" i="5"/>
  <c r="O986" i="5"/>
  <c r="P986" i="5"/>
  <c r="Q986" i="5"/>
  <c r="R986" i="5"/>
  <c r="S986" i="5"/>
  <c r="T986" i="5"/>
  <c r="U986" i="5"/>
  <c r="V986" i="5"/>
  <c r="W986" i="5"/>
  <c r="X986" i="5"/>
  <c r="AB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AC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AC988" i="5" s="1"/>
  <c r="N988" i="5"/>
  <c r="O988" i="5"/>
  <c r="P988" i="5"/>
  <c r="Q988" i="5"/>
  <c r="R988" i="5"/>
  <c r="S988" i="5"/>
  <c r="T988" i="5"/>
  <c r="U988" i="5"/>
  <c r="V988" i="5"/>
  <c r="W988" i="5"/>
  <c r="X988" i="5"/>
  <c r="AB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AC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AC990" i="5" s="1"/>
  <c r="N990" i="5"/>
  <c r="O990" i="5"/>
  <c r="P990" i="5"/>
  <c r="Q990" i="5"/>
  <c r="R990" i="5"/>
  <c r="S990" i="5"/>
  <c r="T990" i="5"/>
  <c r="U990" i="5"/>
  <c r="V990" i="5"/>
  <c r="W990" i="5"/>
  <c r="X990" i="5"/>
  <c r="AB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AC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AC992" i="5" s="1"/>
  <c r="N992" i="5"/>
  <c r="O992" i="5"/>
  <c r="P992" i="5"/>
  <c r="Q992" i="5"/>
  <c r="R992" i="5"/>
  <c r="S992" i="5"/>
  <c r="T992" i="5"/>
  <c r="U992" i="5"/>
  <c r="V992" i="5"/>
  <c r="W992" i="5"/>
  <c r="X992" i="5"/>
  <c r="AB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AC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AC994" i="5" s="1"/>
  <c r="N994" i="5"/>
  <c r="O994" i="5"/>
  <c r="P994" i="5"/>
  <c r="Q994" i="5"/>
  <c r="R994" i="5"/>
  <c r="S994" i="5"/>
  <c r="T994" i="5"/>
  <c r="U994" i="5"/>
  <c r="V994" i="5"/>
  <c r="W994" i="5"/>
  <c r="X994" i="5"/>
  <c r="AB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AC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AC996" i="5" s="1"/>
  <c r="N996" i="5"/>
  <c r="O996" i="5"/>
  <c r="P996" i="5"/>
  <c r="Q996" i="5"/>
  <c r="R996" i="5"/>
  <c r="S996" i="5"/>
  <c r="T996" i="5"/>
  <c r="U996" i="5"/>
  <c r="V996" i="5"/>
  <c r="W996" i="5"/>
  <c r="X996" i="5"/>
  <c r="AB996" i="5"/>
  <c r="B997" i="5"/>
  <c r="C997" i="5"/>
  <c r="D997" i="5"/>
  <c r="E997" i="5"/>
  <c r="E1152" i="5" s="1"/>
  <c r="F997" i="5"/>
  <c r="G997" i="5"/>
  <c r="H997" i="5"/>
  <c r="I997" i="5"/>
  <c r="I1152" i="5" s="1"/>
  <c r="J997" i="5"/>
  <c r="K997" i="5"/>
  <c r="L997" i="5"/>
  <c r="M997" i="5"/>
  <c r="M1152" i="5" s="1"/>
  <c r="N997" i="5"/>
  <c r="O997" i="5"/>
  <c r="P997" i="5"/>
  <c r="Q997" i="5"/>
  <c r="Q1152" i="5" s="1"/>
  <c r="R997" i="5"/>
  <c r="S997" i="5"/>
  <c r="T997" i="5"/>
  <c r="U997" i="5"/>
  <c r="U1152" i="5" s="1"/>
  <c r="V997" i="5"/>
  <c r="W997" i="5"/>
  <c r="X997" i="5"/>
  <c r="AC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AC998" i="5" s="1"/>
  <c r="N998" i="5"/>
  <c r="O998" i="5"/>
  <c r="P998" i="5"/>
  <c r="Q998" i="5"/>
  <c r="R998" i="5"/>
  <c r="S998" i="5"/>
  <c r="T998" i="5"/>
  <c r="U998" i="5"/>
  <c r="V998" i="5"/>
  <c r="W998" i="5"/>
  <c r="X998" i="5"/>
  <c r="AB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N999" i="5"/>
  <c r="O999" i="5"/>
  <c r="P999" i="5"/>
  <c r="Q999" i="5"/>
  <c r="R999" i="5"/>
  <c r="S999" i="5"/>
  <c r="T999" i="5"/>
  <c r="U999" i="5"/>
  <c r="V999" i="5"/>
  <c r="W999" i="5"/>
  <c r="X999" i="5"/>
  <c r="AC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AC1000" i="5" s="1"/>
  <c r="N1000" i="5"/>
  <c r="O1000" i="5"/>
  <c r="P1000" i="5"/>
  <c r="Q1000" i="5"/>
  <c r="R1000" i="5"/>
  <c r="S1000" i="5"/>
  <c r="T1000" i="5"/>
  <c r="U1000" i="5"/>
  <c r="V1000" i="5"/>
  <c r="W1000" i="5"/>
  <c r="X1000" i="5"/>
  <c r="AB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AC1001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AC1002" i="5" s="1"/>
  <c r="N1002" i="5"/>
  <c r="O1002" i="5"/>
  <c r="P1002" i="5"/>
  <c r="Q1002" i="5"/>
  <c r="R1002" i="5"/>
  <c r="S1002" i="5"/>
  <c r="T1002" i="5"/>
  <c r="U1002" i="5"/>
  <c r="V1002" i="5"/>
  <c r="W1002" i="5"/>
  <c r="X1002" i="5"/>
  <c r="AB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AC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AC1004" i="5" s="1"/>
  <c r="N1004" i="5"/>
  <c r="O1004" i="5"/>
  <c r="P1004" i="5"/>
  <c r="Q1004" i="5"/>
  <c r="R1004" i="5"/>
  <c r="S1004" i="5"/>
  <c r="T1004" i="5"/>
  <c r="U1004" i="5"/>
  <c r="V1004" i="5"/>
  <c r="W1004" i="5"/>
  <c r="X1004" i="5"/>
  <c r="AB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AC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AC1006" i="5" s="1"/>
  <c r="N1006" i="5"/>
  <c r="O1006" i="5"/>
  <c r="P1006" i="5"/>
  <c r="Q1006" i="5"/>
  <c r="R1006" i="5"/>
  <c r="S1006" i="5"/>
  <c r="T1006" i="5"/>
  <c r="U1006" i="5"/>
  <c r="V1006" i="5"/>
  <c r="W1006" i="5"/>
  <c r="X1006" i="5"/>
  <c r="AB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AC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AC1008" i="5" s="1"/>
  <c r="N1008" i="5"/>
  <c r="O1008" i="5"/>
  <c r="P1008" i="5"/>
  <c r="Q1008" i="5"/>
  <c r="R1008" i="5"/>
  <c r="S1008" i="5"/>
  <c r="T1008" i="5"/>
  <c r="U1008" i="5"/>
  <c r="V1008" i="5"/>
  <c r="W1008" i="5"/>
  <c r="X1008" i="5"/>
  <c r="AB1008" i="5"/>
  <c r="B1009" i="5"/>
  <c r="C1009" i="5"/>
  <c r="D1009" i="5"/>
  <c r="E1009" i="5"/>
  <c r="E1153" i="5" s="1"/>
  <c r="F1009" i="5"/>
  <c r="G1009" i="5"/>
  <c r="H1009" i="5"/>
  <c r="I1009" i="5"/>
  <c r="I1153" i="5" s="1"/>
  <c r="J1009" i="5"/>
  <c r="K1009" i="5"/>
  <c r="L1009" i="5"/>
  <c r="M1009" i="5"/>
  <c r="M1153" i="5" s="1"/>
  <c r="N1009" i="5"/>
  <c r="O1009" i="5"/>
  <c r="P1009" i="5"/>
  <c r="Q1009" i="5"/>
  <c r="Q1153" i="5" s="1"/>
  <c r="R1009" i="5"/>
  <c r="S1009" i="5"/>
  <c r="T1009" i="5"/>
  <c r="U1009" i="5"/>
  <c r="U1153" i="5" s="1"/>
  <c r="V1009" i="5"/>
  <c r="W1009" i="5"/>
  <c r="X1009" i="5"/>
  <c r="AC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AC1010" i="5" s="1"/>
  <c r="N1010" i="5"/>
  <c r="O1010" i="5"/>
  <c r="P1010" i="5"/>
  <c r="Q1010" i="5"/>
  <c r="R1010" i="5"/>
  <c r="S1010" i="5"/>
  <c r="T1010" i="5"/>
  <c r="U1010" i="5"/>
  <c r="V1010" i="5"/>
  <c r="W1010" i="5"/>
  <c r="X1010" i="5"/>
  <c r="AB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AC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AC1012" i="5" s="1"/>
  <c r="N1012" i="5"/>
  <c r="O1012" i="5"/>
  <c r="P1012" i="5"/>
  <c r="Q1012" i="5"/>
  <c r="R1012" i="5"/>
  <c r="S1012" i="5"/>
  <c r="T1012" i="5"/>
  <c r="U1012" i="5"/>
  <c r="V1012" i="5"/>
  <c r="W1012" i="5"/>
  <c r="X1012" i="5"/>
  <c r="AB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AC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AC1014" i="5" s="1"/>
  <c r="N1014" i="5"/>
  <c r="O1014" i="5"/>
  <c r="P1014" i="5"/>
  <c r="Q1014" i="5"/>
  <c r="R1014" i="5"/>
  <c r="S1014" i="5"/>
  <c r="T1014" i="5"/>
  <c r="U1014" i="5"/>
  <c r="V1014" i="5"/>
  <c r="W1014" i="5"/>
  <c r="X1014" i="5"/>
  <c r="AB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AC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AC1016" i="5" s="1"/>
  <c r="N1016" i="5"/>
  <c r="O1016" i="5"/>
  <c r="P1016" i="5"/>
  <c r="Q1016" i="5"/>
  <c r="R1016" i="5"/>
  <c r="S1016" i="5"/>
  <c r="T1016" i="5"/>
  <c r="U1016" i="5"/>
  <c r="V1016" i="5"/>
  <c r="W1016" i="5"/>
  <c r="X1016" i="5"/>
  <c r="AB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AC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AC1018" i="5" s="1"/>
  <c r="N1018" i="5"/>
  <c r="O1018" i="5"/>
  <c r="P1018" i="5"/>
  <c r="Q1018" i="5"/>
  <c r="R1018" i="5"/>
  <c r="S1018" i="5"/>
  <c r="T1018" i="5"/>
  <c r="U1018" i="5"/>
  <c r="V1018" i="5"/>
  <c r="W1018" i="5"/>
  <c r="X1018" i="5"/>
  <c r="AB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AC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AC1020" i="5" s="1"/>
  <c r="N1020" i="5"/>
  <c r="O1020" i="5"/>
  <c r="P1020" i="5"/>
  <c r="Q1020" i="5"/>
  <c r="R1020" i="5"/>
  <c r="S1020" i="5"/>
  <c r="T1020" i="5"/>
  <c r="U1020" i="5"/>
  <c r="V1020" i="5"/>
  <c r="W1020" i="5"/>
  <c r="X1020" i="5"/>
  <c r="AB1020" i="5"/>
  <c r="B1021" i="5"/>
  <c r="C1021" i="5"/>
  <c r="D1021" i="5"/>
  <c r="E1021" i="5"/>
  <c r="E1154" i="5" s="1"/>
  <c r="F1021" i="5"/>
  <c r="G1021" i="5"/>
  <c r="H1021" i="5"/>
  <c r="I1021" i="5"/>
  <c r="I1154" i="5" s="1"/>
  <c r="J1021" i="5"/>
  <c r="K1021" i="5"/>
  <c r="L1021" i="5"/>
  <c r="M1021" i="5"/>
  <c r="M1154" i="5" s="1"/>
  <c r="N1021" i="5"/>
  <c r="O1021" i="5"/>
  <c r="P1021" i="5"/>
  <c r="Q1021" i="5"/>
  <c r="Q1154" i="5" s="1"/>
  <c r="R1021" i="5"/>
  <c r="S1021" i="5"/>
  <c r="T1021" i="5"/>
  <c r="U1021" i="5"/>
  <c r="U1154" i="5" s="1"/>
  <c r="V1021" i="5"/>
  <c r="W1021" i="5"/>
  <c r="X1021" i="5"/>
  <c r="AC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AC1022" i="5" s="1"/>
  <c r="N1022" i="5"/>
  <c r="O1022" i="5"/>
  <c r="P1022" i="5"/>
  <c r="Q1022" i="5"/>
  <c r="R1022" i="5"/>
  <c r="S1022" i="5"/>
  <c r="T1022" i="5"/>
  <c r="U1022" i="5"/>
  <c r="V1022" i="5"/>
  <c r="W1022" i="5"/>
  <c r="X1022" i="5"/>
  <c r="AB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AC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AC1024" i="5" s="1"/>
  <c r="N1024" i="5"/>
  <c r="O1024" i="5"/>
  <c r="P1024" i="5"/>
  <c r="Q1024" i="5"/>
  <c r="R1024" i="5"/>
  <c r="S1024" i="5"/>
  <c r="T1024" i="5"/>
  <c r="U1024" i="5"/>
  <c r="V1024" i="5"/>
  <c r="W1024" i="5"/>
  <c r="X1024" i="5"/>
  <c r="AB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AC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AC1026" i="5" s="1"/>
  <c r="N1026" i="5"/>
  <c r="O1026" i="5"/>
  <c r="P1026" i="5"/>
  <c r="Q1026" i="5"/>
  <c r="R1026" i="5"/>
  <c r="S1026" i="5"/>
  <c r="T1026" i="5"/>
  <c r="U1026" i="5"/>
  <c r="V1026" i="5"/>
  <c r="W1026" i="5"/>
  <c r="X1026" i="5"/>
  <c r="AB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AC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AC1028" i="5" s="1"/>
  <c r="N1028" i="5"/>
  <c r="O1028" i="5"/>
  <c r="P1028" i="5"/>
  <c r="Q1028" i="5"/>
  <c r="R1028" i="5"/>
  <c r="S1028" i="5"/>
  <c r="T1028" i="5"/>
  <c r="U1028" i="5"/>
  <c r="V1028" i="5"/>
  <c r="W1028" i="5"/>
  <c r="X1028" i="5"/>
  <c r="AB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AC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AC1030" i="5" s="1"/>
  <c r="N1030" i="5"/>
  <c r="O1030" i="5"/>
  <c r="P1030" i="5"/>
  <c r="Q1030" i="5"/>
  <c r="R1030" i="5"/>
  <c r="S1030" i="5"/>
  <c r="T1030" i="5"/>
  <c r="U1030" i="5"/>
  <c r="V1030" i="5"/>
  <c r="W1030" i="5"/>
  <c r="X1030" i="5"/>
  <c r="AB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AC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AC1032" i="5" s="1"/>
  <c r="N1032" i="5"/>
  <c r="O1032" i="5"/>
  <c r="P1032" i="5"/>
  <c r="Q1032" i="5"/>
  <c r="R1032" i="5"/>
  <c r="S1032" i="5"/>
  <c r="T1032" i="5"/>
  <c r="U1032" i="5"/>
  <c r="V1032" i="5"/>
  <c r="W1032" i="5"/>
  <c r="X1032" i="5"/>
  <c r="AB1032" i="5"/>
  <c r="B1033" i="5"/>
  <c r="C1033" i="5"/>
  <c r="D1033" i="5"/>
  <c r="E1033" i="5"/>
  <c r="E1155" i="5" s="1"/>
  <c r="F1033" i="5"/>
  <c r="G1033" i="5"/>
  <c r="H1033" i="5"/>
  <c r="I1033" i="5"/>
  <c r="I1155" i="5" s="1"/>
  <c r="J1033" i="5"/>
  <c r="K1033" i="5"/>
  <c r="L1033" i="5"/>
  <c r="M1033" i="5"/>
  <c r="M1155" i="5" s="1"/>
  <c r="N1033" i="5"/>
  <c r="O1033" i="5"/>
  <c r="P1033" i="5"/>
  <c r="Q1033" i="5"/>
  <c r="Q1155" i="5" s="1"/>
  <c r="R1033" i="5"/>
  <c r="S1033" i="5"/>
  <c r="T1033" i="5"/>
  <c r="U1033" i="5"/>
  <c r="U1155" i="5" s="1"/>
  <c r="V1033" i="5"/>
  <c r="W1033" i="5"/>
  <c r="X1033" i="5"/>
  <c r="AC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AC1034" i="5" s="1"/>
  <c r="N1034" i="5"/>
  <c r="O1034" i="5"/>
  <c r="P1034" i="5"/>
  <c r="Q1034" i="5"/>
  <c r="R1034" i="5"/>
  <c r="S1034" i="5"/>
  <c r="T1034" i="5"/>
  <c r="U1034" i="5"/>
  <c r="V1034" i="5"/>
  <c r="W1034" i="5"/>
  <c r="X1034" i="5"/>
  <c r="AB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AC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AC1036" i="5" s="1"/>
  <c r="N1036" i="5"/>
  <c r="O1036" i="5"/>
  <c r="P1036" i="5"/>
  <c r="Q1036" i="5"/>
  <c r="R1036" i="5"/>
  <c r="S1036" i="5"/>
  <c r="T1036" i="5"/>
  <c r="U1036" i="5"/>
  <c r="V1036" i="5"/>
  <c r="W1036" i="5"/>
  <c r="X1036" i="5"/>
  <c r="AB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Q1037" i="5"/>
  <c r="R1037" i="5"/>
  <c r="S1037" i="5"/>
  <c r="T1037" i="5"/>
  <c r="U1037" i="5"/>
  <c r="V1037" i="5"/>
  <c r="W1037" i="5"/>
  <c r="X1037" i="5"/>
  <c r="AC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AC1038" i="5" s="1"/>
  <c r="N1038" i="5"/>
  <c r="O1038" i="5"/>
  <c r="P1038" i="5"/>
  <c r="Q1038" i="5"/>
  <c r="R1038" i="5"/>
  <c r="S1038" i="5"/>
  <c r="T1038" i="5"/>
  <c r="U1038" i="5"/>
  <c r="V1038" i="5"/>
  <c r="W1038" i="5"/>
  <c r="X1038" i="5"/>
  <c r="AB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AC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AC1040" i="5" s="1"/>
  <c r="N1040" i="5"/>
  <c r="O1040" i="5"/>
  <c r="P1040" i="5"/>
  <c r="Q1040" i="5"/>
  <c r="R1040" i="5"/>
  <c r="S1040" i="5"/>
  <c r="T1040" i="5"/>
  <c r="U1040" i="5"/>
  <c r="V1040" i="5"/>
  <c r="W1040" i="5"/>
  <c r="X1040" i="5"/>
  <c r="AB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AC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AC1042" i="5" s="1"/>
  <c r="N1042" i="5"/>
  <c r="O1042" i="5"/>
  <c r="P1042" i="5"/>
  <c r="Q1042" i="5"/>
  <c r="R1042" i="5"/>
  <c r="S1042" i="5"/>
  <c r="T1042" i="5"/>
  <c r="U1042" i="5"/>
  <c r="V1042" i="5"/>
  <c r="W1042" i="5"/>
  <c r="X1042" i="5"/>
  <c r="AB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AC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AC1044" i="5" s="1"/>
  <c r="N1044" i="5"/>
  <c r="O1044" i="5"/>
  <c r="P1044" i="5"/>
  <c r="Q1044" i="5"/>
  <c r="R1044" i="5"/>
  <c r="S1044" i="5"/>
  <c r="T1044" i="5"/>
  <c r="U1044" i="5"/>
  <c r="V1044" i="5"/>
  <c r="W1044" i="5"/>
  <c r="X1044" i="5"/>
  <c r="AB1044" i="5"/>
  <c r="B1045" i="5"/>
  <c r="C1045" i="5"/>
  <c r="D1045" i="5"/>
  <c r="E1045" i="5"/>
  <c r="E1156" i="5" s="1"/>
  <c r="F1045" i="5"/>
  <c r="G1045" i="5"/>
  <c r="H1045" i="5"/>
  <c r="I1045" i="5"/>
  <c r="I1156" i="5" s="1"/>
  <c r="J1045" i="5"/>
  <c r="K1045" i="5"/>
  <c r="L1045" i="5"/>
  <c r="M1045" i="5"/>
  <c r="M1156" i="5" s="1"/>
  <c r="N1045" i="5"/>
  <c r="O1045" i="5"/>
  <c r="P1045" i="5"/>
  <c r="Q1045" i="5"/>
  <c r="Q1156" i="5" s="1"/>
  <c r="R1045" i="5"/>
  <c r="S1045" i="5"/>
  <c r="T1045" i="5"/>
  <c r="U1045" i="5"/>
  <c r="U1156" i="5" s="1"/>
  <c r="V1045" i="5"/>
  <c r="W1045" i="5"/>
  <c r="X1045" i="5"/>
  <c r="AC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AC1046" i="5" s="1"/>
  <c r="N1046" i="5"/>
  <c r="O1046" i="5"/>
  <c r="P1046" i="5"/>
  <c r="Q1046" i="5"/>
  <c r="R1046" i="5"/>
  <c r="S1046" i="5"/>
  <c r="T1046" i="5"/>
  <c r="U1046" i="5"/>
  <c r="V1046" i="5"/>
  <c r="W1046" i="5"/>
  <c r="X1046" i="5"/>
  <c r="AB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AC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AC1048" i="5" s="1"/>
  <c r="N1048" i="5"/>
  <c r="O1048" i="5"/>
  <c r="P1048" i="5"/>
  <c r="Q1048" i="5"/>
  <c r="R1048" i="5"/>
  <c r="S1048" i="5"/>
  <c r="T1048" i="5"/>
  <c r="U1048" i="5"/>
  <c r="V1048" i="5"/>
  <c r="W1048" i="5"/>
  <c r="X1048" i="5"/>
  <c r="AB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AC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AC1050" i="5" s="1"/>
  <c r="N1050" i="5"/>
  <c r="O1050" i="5"/>
  <c r="P1050" i="5"/>
  <c r="Q1050" i="5"/>
  <c r="R1050" i="5"/>
  <c r="S1050" i="5"/>
  <c r="T1050" i="5"/>
  <c r="U1050" i="5"/>
  <c r="V1050" i="5"/>
  <c r="W1050" i="5"/>
  <c r="X1050" i="5"/>
  <c r="AB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AC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AC1052" i="5" s="1"/>
  <c r="N1052" i="5"/>
  <c r="O1052" i="5"/>
  <c r="P1052" i="5"/>
  <c r="Q1052" i="5"/>
  <c r="R1052" i="5"/>
  <c r="S1052" i="5"/>
  <c r="T1052" i="5"/>
  <c r="U1052" i="5"/>
  <c r="V1052" i="5"/>
  <c r="W1052" i="5"/>
  <c r="X1052" i="5"/>
  <c r="AB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AC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AC1054" i="5" s="1"/>
  <c r="N1054" i="5"/>
  <c r="O1054" i="5"/>
  <c r="P1054" i="5"/>
  <c r="Q1054" i="5"/>
  <c r="R1054" i="5"/>
  <c r="S1054" i="5"/>
  <c r="T1054" i="5"/>
  <c r="U1054" i="5"/>
  <c r="V1054" i="5"/>
  <c r="W1054" i="5"/>
  <c r="X1054" i="5"/>
  <c r="AB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AC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AC1056" i="5" s="1"/>
  <c r="N1056" i="5"/>
  <c r="O1056" i="5"/>
  <c r="P1056" i="5"/>
  <c r="Q1056" i="5"/>
  <c r="R1056" i="5"/>
  <c r="S1056" i="5"/>
  <c r="T1056" i="5"/>
  <c r="U1056" i="5"/>
  <c r="V1056" i="5"/>
  <c r="W1056" i="5"/>
  <c r="X1056" i="5"/>
  <c r="AB1056" i="5"/>
  <c r="B1057" i="5"/>
  <c r="C1057" i="5"/>
  <c r="D1057" i="5"/>
  <c r="E1057" i="5"/>
  <c r="E1157" i="5" s="1"/>
  <c r="F1057" i="5"/>
  <c r="G1057" i="5"/>
  <c r="H1057" i="5"/>
  <c r="I1057" i="5"/>
  <c r="I1157" i="5" s="1"/>
  <c r="J1057" i="5"/>
  <c r="K1057" i="5"/>
  <c r="L1057" i="5"/>
  <c r="M1057" i="5"/>
  <c r="M1157" i="5" s="1"/>
  <c r="N1057" i="5"/>
  <c r="O1057" i="5"/>
  <c r="P1057" i="5"/>
  <c r="Q1057" i="5"/>
  <c r="Q1157" i="5" s="1"/>
  <c r="R1057" i="5"/>
  <c r="S1057" i="5"/>
  <c r="T1057" i="5"/>
  <c r="U1057" i="5"/>
  <c r="U1157" i="5" s="1"/>
  <c r="V1057" i="5"/>
  <c r="W1057" i="5"/>
  <c r="X1057" i="5"/>
  <c r="AC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AC1058" i="5" s="1"/>
  <c r="N1058" i="5"/>
  <c r="O1058" i="5"/>
  <c r="P1058" i="5"/>
  <c r="Q1058" i="5"/>
  <c r="R1058" i="5"/>
  <c r="S1058" i="5"/>
  <c r="T1058" i="5"/>
  <c r="U1058" i="5"/>
  <c r="V1058" i="5"/>
  <c r="W1058" i="5"/>
  <c r="X1058" i="5"/>
  <c r="AB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AC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AC1060" i="5" s="1"/>
  <c r="N1060" i="5"/>
  <c r="O1060" i="5"/>
  <c r="P1060" i="5"/>
  <c r="Q1060" i="5"/>
  <c r="R1060" i="5"/>
  <c r="S1060" i="5"/>
  <c r="T1060" i="5"/>
  <c r="U1060" i="5"/>
  <c r="V1060" i="5"/>
  <c r="W1060" i="5"/>
  <c r="X1060" i="5"/>
  <c r="AB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AC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AC1062" i="5" s="1"/>
  <c r="N1062" i="5"/>
  <c r="O1062" i="5"/>
  <c r="P1062" i="5"/>
  <c r="Q1062" i="5"/>
  <c r="R1062" i="5"/>
  <c r="S1062" i="5"/>
  <c r="T1062" i="5"/>
  <c r="U1062" i="5"/>
  <c r="V1062" i="5"/>
  <c r="W1062" i="5"/>
  <c r="X1062" i="5"/>
  <c r="AB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AC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AC1064" i="5" s="1"/>
  <c r="N1064" i="5"/>
  <c r="O1064" i="5"/>
  <c r="P1064" i="5"/>
  <c r="Q1064" i="5"/>
  <c r="R1064" i="5"/>
  <c r="S1064" i="5"/>
  <c r="T1064" i="5"/>
  <c r="U1064" i="5"/>
  <c r="V1064" i="5"/>
  <c r="W1064" i="5"/>
  <c r="X1064" i="5"/>
  <c r="AB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AC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AC1066" i="5" s="1"/>
  <c r="N1066" i="5"/>
  <c r="O1066" i="5"/>
  <c r="P1066" i="5"/>
  <c r="Q1066" i="5"/>
  <c r="R1066" i="5"/>
  <c r="S1066" i="5"/>
  <c r="T1066" i="5"/>
  <c r="U1066" i="5"/>
  <c r="V1066" i="5"/>
  <c r="W1066" i="5"/>
  <c r="X1066" i="5"/>
  <c r="AB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AC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AC1068" i="5" s="1"/>
  <c r="N1068" i="5"/>
  <c r="O1068" i="5"/>
  <c r="P1068" i="5"/>
  <c r="Q1068" i="5"/>
  <c r="R1068" i="5"/>
  <c r="S1068" i="5"/>
  <c r="T1068" i="5"/>
  <c r="U1068" i="5"/>
  <c r="V1068" i="5"/>
  <c r="W1068" i="5"/>
  <c r="X1068" i="5"/>
  <c r="AB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B1071" i="5"/>
  <c r="C1071" i="5"/>
  <c r="D1071" i="5"/>
  <c r="E1071" i="5"/>
  <c r="F1071" i="5"/>
  <c r="G1071" i="5"/>
  <c r="H1071" i="5"/>
  <c r="I1071" i="5"/>
  <c r="J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B1072" i="5"/>
  <c r="C1072" i="5"/>
  <c r="D1072" i="5"/>
  <c r="E1072" i="5"/>
  <c r="F1072" i="5"/>
  <c r="G1072" i="5"/>
  <c r="H1072" i="5"/>
  <c r="I1072" i="5"/>
  <c r="J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Z1072" i="5"/>
  <c r="AA1072" i="5"/>
  <c r="B1073" i="5"/>
  <c r="C1073" i="5"/>
  <c r="D1073" i="5"/>
  <c r="E1073" i="5"/>
  <c r="F1073" i="5"/>
  <c r="G1073" i="5"/>
  <c r="H1073" i="5"/>
  <c r="I1073" i="5"/>
  <c r="J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AB1073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A1095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A1096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A1097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A1098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A1099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A1100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A1101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A1102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A1103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A1104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A1105" i="5"/>
  <c r="B1105" i="5"/>
  <c r="C1105" i="5"/>
  <c r="D1105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A1106" i="5"/>
  <c r="B1106" i="5"/>
  <c r="C1106" i="5"/>
  <c r="D1106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A1107" i="5"/>
  <c r="B1107" i="5"/>
  <c r="C1107" i="5"/>
  <c r="D1107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A1108" i="5"/>
  <c r="B1108" i="5"/>
  <c r="C1108" i="5"/>
  <c r="D1108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A1109" i="5"/>
  <c r="B1109" i="5"/>
  <c r="C1109" i="5"/>
  <c r="D1109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A1110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A1111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A1112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A1113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A1114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A1115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A1116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A1117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A1118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A1119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A1120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A1121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A1122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A1123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A1124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A1125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A1126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A1127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A1128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A1129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A1130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A1131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A1132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A1133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A1134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A1135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A1136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A1137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A1138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A1139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A1140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A1141" i="5"/>
  <c r="B1141" i="5"/>
  <c r="C1141" i="5"/>
  <c r="D1141" i="5"/>
  <c r="E1141" i="5"/>
  <c r="F1141" i="5"/>
  <c r="G1141" i="5"/>
  <c r="H1141" i="5"/>
  <c r="I1141" i="5"/>
  <c r="J1141" i="5"/>
  <c r="K1141" i="5"/>
  <c r="L1141" i="5"/>
  <c r="M1141" i="5"/>
  <c r="N1141" i="5"/>
  <c r="O1141" i="5"/>
  <c r="P1141" i="5"/>
  <c r="Q1141" i="5"/>
  <c r="R1141" i="5"/>
  <c r="S1141" i="5"/>
  <c r="T1141" i="5"/>
  <c r="U1141" i="5"/>
  <c r="V1141" i="5"/>
  <c r="W1141" i="5"/>
  <c r="X1141" i="5"/>
  <c r="A1142" i="5"/>
  <c r="B1142" i="5"/>
  <c r="C1142" i="5"/>
  <c r="D1142" i="5"/>
  <c r="E1142" i="5"/>
  <c r="F1142" i="5"/>
  <c r="G1142" i="5"/>
  <c r="H1142" i="5"/>
  <c r="I1142" i="5"/>
  <c r="J1142" i="5"/>
  <c r="K1142" i="5"/>
  <c r="L1142" i="5"/>
  <c r="M1142" i="5"/>
  <c r="N1142" i="5"/>
  <c r="O1142" i="5"/>
  <c r="P1142" i="5"/>
  <c r="Q1142" i="5"/>
  <c r="R1142" i="5"/>
  <c r="S1142" i="5"/>
  <c r="T1142" i="5"/>
  <c r="U1142" i="5"/>
  <c r="V1142" i="5"/>
  <c r="W1142" i="5"/>
  <c r="X1142" i="5"/>
  <c r="A1143" i="5"/>
  <c r="B1143" i="5"/>
  <c r="C1143" i="5"/>
  <c r="D1143" i="5"/>
  <c r="E1143" i="5"/>
  <c r="F1143" i="5"/>
  <c r="G1143" i="5"/>
  <c r="H1143" i="5"/>
  <c r="I1143" i="5"/>
  <c r="J1143" i="5"/>
  <c r="K1143" i="5"/>
  <c r="L1143" i="5"/>
  <c r="M1143" i="5"/>
  <c r="N1143" i="5"/>
  <c r="O1143" i="5"/>
  <c r="P1143" i="5"/>
  <c r="Q1143" i="5"/>
  <c r="R1143" i="5"/>
  <c r="S1143" i="5"/>
  <c r="T1143" i="5"/>
  <c r="U1143" i="5"/>
  <c r="V1143" i="5"/>
  <c r="W1143" i="5"/>
  <c r="X1143" i="5"/>
  <c r="A1144" i="5"/>
  <c r="B1144" i="5"/>
  <c r="C1144" i="5"/>
  <c r="D1144" i="5"/>
  <c r="E1144" i="5"/>
  <c r="F1144" i="5"/>
  <c r="G1144" i="5"/>
  <c r="H1144" i="5"/>
  <c r="I1144" i="5"/>
  <c r="J1144" i="5"/>
  <c r="K1144" i="5"/>
  <c r="L1144" i="5"/>
  <c r="M1144" i="5"/>
  <c r="N1144" i="5"/>
  <c r="O1144" i="5"/>
  <c r="P1144" i="5"/>
  <c r="Q1144" i="5"/>
  <c r="R1144" i="5"/>
  <c r="S1144" i="5"/>
  <c r="T1144" i="5"/>
  <c r="U1144" i="5"/>
  <c r="V1144" i="5"/>
  <c r="W1144" i="5"/>
  <c r="X1144" i="5"/>
  <c r="A1145" i="5"/>
  <c r="B1145" i="5"/>
  <c r="C1145" i="5"/>
  <c r="D1145" i="5"/>
  <c r="E1145" i="5"/>
  <c r="F1145" i="5"/>
  <c r="G1145" i="5"/>
  <c r="H1145" i="5"/>
  <c r="I1145" i="5"/>
  <c r="J1145" i="5"/>
  <c r="K1145" i="5"/>
  <c r="L1145" i="5"/>
  <c r="M1145" i="5"/>
  <c r="N1145" i="5"/>
  <c r="O1145" i="5"/>
  <c r="P1145" i="5"/>
  <c r="Q1145" i="5"/>
  <c r="R1145" i="5"/>
  <c r="S1145" i="5"/>
  <c r="T1145" i="5"/>
  <c r="U1145" i="5"/>
  <c r="V1145" i="5"/>
  <c r="W1145" i="5"/>
  <c r="X1145" i="5"/>
  <c r="A1146" i="5"/>
  <c r="B1146" i="5"/>
  <c r="C1146" i="5"/>
  <c r="D1146" i="5"/>
  <c r="E1146" i="5"/>
  <c r="F1146" i="5"/>
  <c r="G1146" i="5"/>
  <c r="H1146" i="5"/>
  <c r="I1146" i="5"/>
  <c r="J1146" i="5"/>
  <c r="K1146" i="5"/>
  <c r="L1146" i="5"/>
  <c r="M1146" i="5"/>
  <c r="N1146" i="5"/>
  <c r="O1146" i="5"/>
  <c r="P1146" i="5"/>
  <c r="Q1146" i="5"/>
  <c r="R1146" i="5"/>
  <c r="S1146" i="5"/>
  <c r="T1146" i="5"/>
  <c r="U1146" i="5"/>
  <c r="V1146" i="5"/>
  <c r="W1146" i="5"/>
  <c r="X1146" i="5"/>
  <c r="A1147" i="5"/>
  <c r="B1147" i="5"/>
  <c r="C1147" i="5"/>
  <c r="D1147" i="5"/>
  <c r="F1147" i="5"/>
  <c r="G1147" i="5"/>
  <c r="H1147" i="5"/>
  <c r="J1147" i="5"/>
  <c r="K1147" i="5"/>
  <c r="L1147" i="5"/>
  <c r="N1147" i="5"/>
  <c r="O1147" i="5"/>
  <c r="P1147" i="5"/>
  <c r="R1147" i="5"/>
  <c r="S1147" i="5"/>
  <c r="T1147" i="5"/>
  <c r="V1147" i="5"/>
  <c r="W1147" i="5"/>
  <c r="X1147" i="5"/>
  <c r="A1148" i="5"/>
  <c r="B1148" i="5"/>
  <c r="C1148" i="5"/>
  <c r="D1148" i="5"/>
  <c r="F1148" i="5"/>
  <c r="G1148" i="5"/>
  <c r="H1148" i="5"/>
  <c r="J1148" i="5"/>
  <c r="K1148" i="5"/>
  <c r="L1148" i="5"/>
  <c r="N1148" i="5"/>
  <c r="O1148" i="5"/>
  <c r="P1148" i="5"/>
  <c r="R1148" i="5"/>
  <c r="S1148" i="5"/>
  <c r="T1148" i="5"/>
  <c r="V1148" i="5"/>
  <c r="W1148" i="5"/>
  <c r="X1148" i="5"/>
  <c r="A1149" i="5"/>
  <c r="B1149" i="5"/>
  <c r="C1149" i="5"/>
  <c r="D1149" i="5"/>
  <c r="F1149" i="5"/>
  <c r="G1149" i="5"/>
  <c r="H1149" i="5"/>
  <c r="J1149" i="5"/>
  <c r="K1149" i="5"/>
  <c r="L1149" i="5"/>
  <c r="N1149" i="5"/>
  <c r="O1149" i="5"/>
  <c r="P1149" i="5"/>
  <c r="R1149" i="5"/>
  <c r="S1149" i="5"/>
  <c r="T1149" i="5"/>
  <c r="V1149" i="5"/>
  <c r="W1149" i="5"/>
  <c r="X1149" i="5"/>
  <c r="A1150" i="5"/>
  <c r="B1150" i="5"/>
  <c r="C1150" i="5"/>
  <c r="D1150" i="5"/>
  <c r="F1150" i="5"/>
  <c r="G1150" i="5"/>
  <c r="H1150" i="5"/>
  <c r="J1150" i="5"/>
  <c r="K1150" i="5"/>
  <c r="L1150" i="5"/>
  <c r="N1150" i="5"/>
  <c r="O1150" i="5"/>
  <c r="P1150" i="5"/>
  <c r="R1150" i="5"/>
  <c r="S1150" i="5"/>
  <c r="T1150" i="5"/>
  <c r="V1150" i="5"/>
  <c r="W1150" i="5"/>
  <c r="X1150" i="5"/>
  <c r="A1151" i="5"/>
  <c r="B1151" i="5"/>
  <c r="C1151" i="5"/>
  <c r="D1151" i="5"/>
  <c r="F1151" i="5"/>
  <c r="G1151" i="5"/>
  <c r="H1151" i="5"/>
  <c r="J1151" i="5"/>
  <c r="K1151" i="5"/>
  <c r="L1151" i="5"/>
  <c r="N1151" i="5"/>
  <c r="O1151" i="5"/>
  <c r="P1151" i="5"/>
  <c r="R1151" i="5"/>
  <c r="S1151" i="5"/>
  <c r="T1151" i="5"/>
  <c r="V1151" i="5"/>
  <c r="W1151" i="5"/>
  <c r="X1151" i="5"/>
  <c r="A1152" i="5"/>
  <c r="B1152" i="5"/>
  <c r="C1152" i="5"/>
  <c r="D1152" i="5"/>
  <c r="F1152" i="5"/>
  <c r="G1152" i="5"/>
  <c r="H1152" i="5"/>
  <c r="J1152" i="5"/>
  <c r="K1152" i="5"/>
  <c r="L1152" i="5"/>
  <c r="N1152" i="5"/>
  <c r="O1152" i="5"/>
  <c r="P1152" i="5"/>
  <c r="R1152" i="5"/>
  <c r="S1152" i="5"/>
  <c r="T1152" i="5"/>
  <c r="V1152" i="5"/>
  <c r="W1152" i="5"/>
  <c r="X1152" i="5"/>
  <c r="A1153" i="5"/>
  <c r="B1153" i="5"/>
  <c r="C1153" i="5"/>
  <c r="D1153" i="5"/>
  <c r="F1153" i="5"/>
  <c r="G1153" i="5"/>
  <c r="H1153" i="5"/>
  <c r="J1153" i="5"/>
  <c r="K1153" i="5"/>
  <c r="L1153" i="5"/>
  <c r="N1153" i="5"/>
  <c r="O1153" i="5"/>
  <c r="P1153" i="5"/>
  <c r="R1153" i="5"/>
  <c r="S1153" i="5"/>
  <c r="T1153" i="5"/>
  <c r="V1153" i="5"/>
  <c r="W1153" i="5"/>
  <c r="X1153" i="5"/>
  <c r="A1154" i="5"/>
  <c r="B1154" i="5"/>
  <c r="C1154" i="5"/>
  <c r="D1154" i="5"/>
  <c r="F1154" i="5"/>
  <c r="G1154" i="5"/>
  <c r="H1154" i="5"/>
  <c r="J1154" i="5"/>
  <c r="K1154" i="5"/>
  <c r="L1154" i="5"/>
  <c r="N1154" i="5"/>
  <c r="O1154" i="5"/>
  <c r="P1154" i="5"/>
  <c r="R1154" i="5"/>
  <c r="S1154" i="5"/>
  <c r="T1154" i="5"/>
  <c r="V1154" i="5"/>
  <c r="W1154" i="5"/>
  <c r="X1154" i="5"/>
  <c r="A1155" i="5"/>
  <c r="B1155" i="5"/>
  <c r="C1155" i="5"/>
  <c r="D1155" i="5"/>
  <c r="F1155" i="5"/>
  <c r="G1155" i="5"/>
  <c r="H1155" i="5"/>
  <c r="J1155" i="5"/>
  <c r="K1155" i="5"/>
  <c r="L1155" i="5"/>
  <c r="N1155" i="5"/>
  <c r="O1155" i="5"/>
  <c r="P1155" i="5"/>
  <c r="R1155" i="5"/>
  <c r="S1155" i="5"/>
  <c r="T1155" i="5"/>
  <c r="V1155" i="5"/>
  <c r="W1155" i="5"/>
  <c r="X1155" i="5"/>
  <c r="A1156" i="5"/>
  <c r="B1156" i="5"/>
  <c r="C1156" i="5"/>
  <c r="D1156" i="5"/>
  <c r="F1156" i="5"/>
  <c r="G1156" i="5"/>
  <c r="H1156" i="5"/>
  <c r="J1156" i="5"/>
  <c r="K1156" i="5"/>
  <c r="L1156" i="5"/>
  <c r="N1156" i="5"/>
  <c r="O1156" i="5"/>
  <c r="P1156" i="5"/>
  <c r="R1156" i="5"/>
  <c r="S1156" i="5"/>
  <c r="T1156" i="5"/>
  <c r="V1156" i="5"/>
  <c r="W1156" i="5"/>
  <c r="X1156" i="5"/>
  <c r="A1157" i="5"/>
  <c r="B1157" i="5"/>
  <c r="C1157" i="5"/>
  <c r="D1157" i="5"/>
  <c r="F1157" i="5"/>
  <c r="G1157" i="5"/>
  <c r="H1157" i="5"/>
  <c r="J1157" i="5"/>
  <c r="K1157" i="5"/>
  <c r="L1157" i="5"/>
  <c r="N1157" i="5"/>
  <c r="O1157" i="5"/>
  <c r="P1157" i="5"/>
  <c r="R1157" i="5"/>
  <c r="S1157" i="5"/>
  <c r="T1157" i="5"/>
  <c r="V1157" i="5"/>
  <c r="W1157" i="5"/>
  <c r="X1157" i="5"/>
  <c r="E9" i="4"/>
  <c r="G9" i="4"/>
  <c r="J12" i="4"/>
  <c r="J13" i="4"/>
  <c r="J14" i="4"/>
  <c r="J15" i="4"/>
  <c r="J16" i="4"/>
  <c r="J17" i="4"/>
  <c r="J18" i="4"/>
  <c r="B19" i="4"/>
  <c r="C19" i="4"/>
  <c r="D19" i="4"/>
  <c r="E19" i="4"/>
  <c r="F19" i="4"/>
  <c r="G19" i="4"/>
  <c r="H19" i="4"/>
  <c r="I19" i="4"/>
  <c r="J19" i="4"/>
  <c r="B20" i="4"/>
  <c r="C20" i="4"/>
  <c r="D20" i="4"/>
  <c r="E20" i="4"/>
  <c r="F20" i="4"/>
  <c r="G20" i="4"/>
  <c r="H20" i="4"/>
  <c r="I20" i="4"/>
  <c r="J20" i="4"/>
  <c r="B21" i="4"/>
  <c r="C21" i="4"/>
  <c r="D21" i="4"/>
  <c r="E21" i="4"/>
  <c r="F21" i="4"/>
  <c r="G21" i="4"/>
  <c r="H21" i="4"/>
  <c r="I21" i="4"/>
  <c r="J21" i="4"/>
  <c r="B22" i="4"/>
  <c r="C22" i="4"/>
  <c r="D22" i="4"/>
  <c r="E22" i="4"/>
  <c r="F22" i="4"/>
  <c r="G22" i="4"/>
  <c r="H22" i="4"/>
  <c r="I22" i="4"/>
  <c r="J22" i="4"/>
  <c r="B23" i="4"/>
  <c r="C23" i="4"/>
  <c r="D23" i="4"/>
  <c r="E23" i="4"/>
  <c r="F23" i="4"/>
  <c r="G23" i="4"/>
  <c r="H23" i="4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E1107" i="4" s="1"/>
  <c r="F478" i="4"/>
  <c r="G478" i="4"/>
  <c r="H478" i="4"/>
  <c r="I478" i="4"/>
  <c r="I1107" i="4" s="1"/>
  <c r="J478" i="4"/>
  <c r="B479" i="4"/>
  <c r="C479" i="4"/>
  <c r="D479" i="4"/>
  <c r="D1107" i="4" s="1"/>
  <c r="E479" i="4"/>
  <c r="F479" i="4"/>
  <c r="G479" i="4"/>
  <c r="H479" i="4"/>
  <c r="H1107" i="4" s="1"/>
  <c r="I479" i="4"/>
  <c r="J479" i="4"/>
  <c r="B480" i="4"/>
  <c r="C480" i="4"/>
  <c r="C1108" i="4" s="1"/>
  <c r="D480" i="4"/>
  <c r="E480" i="4"/>
  <c r="F480" i="4"/>
  <c r="G480" i="4"/>
  <c r="G1108" i="4" s="1"/>
  <c r="H480" i="4"/>
  <c r="I480" i="4"/>
  <c r="J480" i="4"/>
  <c r="B481" i="4"/>
  <c r="B1108" i="4" s="1"/>
  <c r="C481" i="4"/>
  <c r="D481" i="4"/>
  <c r="E481" i="4"/>
  <c r="F481" i="4"/>
  <c r="F1108" i="4" s="1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D1108" i="4" s="1"/>
  <c r="E483" i="4"/>
  <c r="F483" i="4"/>
  <c r="G483" i="4"/>
  <c r="H483" i="4"/>
  <c r="H1108" i="4" s="1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B1109" i="4" s="1"/>
  <c r="C493" i="4"/>
  <c r="D493" i="4"/>
  <c r="E493" i="4"/>
  <c r="F493" i="4"/>
  <c r="F1109" i="4" s="1"/>
  <c r="G493" i="4"/>
  <c r="H493" i="4"/>
  <c r="I493" i="4"/>
  <c r="J493" i="4"/>
  <c r="B494" i="4"/>
  <c r="C494" i="4"/>
  <c r="D494" i="4"/>
  <c r="E494" i="4"/>
  <c r="E1109" i="4" s="1"/>
  <c r="F494" i="4"/>
  <c r="G494" i="4"/>
  <c r="H494" i="4"/>
  <c r="I494" i="4"/>
  <c r="I1109" i="4" s="1"/>
  <c r="J494" i="4"/>
  <c r="B495" i="4"/>
  <c r="C495" i="4"/>
  <c r="D495" i="4"/>
  <c r="D1109" i="4" s="1"/>
  <c r="E495" i="4"/>
  <c r="F495" i="4"/>
  <c r="G495" i="4"/>
  <c r="H495" i="4"/>
  <c r="H1109" i="4" s="1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C1110" i="4" s="1"/>
  <c r="D504" i="4"/>
  <c r="E504" i="4"/>
  <c r="F504" i="4"/>
  <c r="G504" i="4"/>
  <c r="G1110" i="4" s="1"/>
  <c r="H504" i="4"/>
  <c r="I504" i="4"/>
  <c r="J504" i="4"/>
  <c r="B505" i="4"/>
  <c r="B1110" i="4" s="1"/>
  <c r="C505" i="4"/>
  <c r="D505" i="4"/>
  <c r="E505" i="4"/>
  <c r="F505" i="4"/>
  <c r="F1110" i="4" s="1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D1110" i="4" s="1"/>
  <c r="E507" i="4"/>
  <c r="F507" i="4"/>
  <c r="G507" i="4"/>
  <c r="H507" i="4"/>
  <c r="H1110" i="4" s="1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B1111" i="4" s="1"/>
  <c r="C517" i="4"/>
  <c r="D517" i="4"/>
  <c r="E517" i="4"/>
  <c r="F517" i="4"/>
  <c r="F1111" i="4" s="1"/>
  <c r="G517" i="4"/>
  <c r="H517" i="4"/>
  <c r="I517" i="4"/>
  <c r="J517" i="4"/>
  <c r="B518" i="4"/>
  <c r="C518" i="4"/>
  <c r="D518" i="4"/>
  <c r="E518" i="4"/>
  <c r="E1111" i="4" s="1"/>
  <c r="F518" i="4"/>
  <c r="G518" i="4"/>
  <c r="H518" i="4"/>
  <c r="I518" i="4"/>
  <c r="I1111" i="4" s="1"/>
  <c r="J518" i="4"/>
  <c r="B519" i="4"/>
  <c r="C519" i="4"/>
  <c r="D519" i="4"/>
  <c r="D1111" i="4" s="1"/>
  <c r="E519" i="4"/>
  <c r="F519" i="4"/>
  <c r="G519" i="4"/>
  <c r="H519" i="4"/>
  <c r="H1111" i="4" s="1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C1112" i="4" s="1"/>
  <c r="D528" i="4"/>
  <c r="E528" i="4"/>
  <c r="F528" i="4"/>
  <c r="G528" i="4"/>
  <c r="G1112" i="4" s="1"/>
  <c r="H528" i="4"/>
  <c r="I528" i="4"/>
  <c r="J528" i="4"/>
  <c r="B529" i="4"/>
  <c r="B1112" i="4" s="1"/>
  <c r="C529" i="4"/>
  <c r="D529" i="4"/>
  <c r="E529" i="4"/>
  <c r="F529" i="4"/>
  <c r="F1112" i="4" s="1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D1112" i="4" s="1"/>
  <c r="E531" i="4"/>
  <c r="F531" i="4"/>
  <c r="G531" i="4"/>
  <c r="H531" i="4"/>
  <c r="H1112" i="4" s="1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B1113" i="4" s="1"/>
  <c r="C541" i="4"/>
  <c r="D541" i="4"/>
  <c r="E541" i="4"/>
  <c r="F541" i="4"/>
  <c r="F1113" i="4" s="1"/>
  <c r="G541" i="4"/>
  <c r="H541" i="4"/>
  <c r="I541" i="4"/>
  <c r="J541" i="4"/>
  <c r="B542" i="4"/>
  <c r="C542" i="4"/>
  <c r="D542" i="4"/>
  <c r="E542" i="4"/>
  <c r="E1113" i="4" s="1"/>
  <c r="F542" i="4"/>
  <c r="G542" i="4"/>
  <c r="H542" i="4"/>
  <c r="I542" i="4"/>
  <c r="I1113" i="4" s="1"/>
  <c r="J542" i="4"/>
  <c r="B543" i="4"/>
  <c r="C543" i="4"/>
  <c r="D543" i="4"/>
  <c r="D1113" i="4" s="1"/>
  <c r="E543" i="4"/>
  <c r="F543" i="4"/>
  <c r="G543" i="4"/>
  <c r="H543" i="4"/>
  <c r="H1113" i="4" s="1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C1114" i="4" s="1"/>
  <c r="D552" i="4"/>
  <c r="E552" i="4"/>
  <c r="F552" i="4"/>
  <c r="G552" i="4"/>
  <c r="G1114" i="4" s="1"/>
  <c r="H552" i="4"/>
  <c r="I552" i="4"/>
  <c r="J552" i="4"/>
  <c r="B553" i="4"/>
  <c r="B1114" i="4" s="1"/>
  <c r="C553" i="4"/>
  <c r="D553" i="4"/>
  <c r="E553" i="4"/>
  <c r="F553" i="4"/>
  <c r="F1114" i="4" s="1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D1114" i="4" s="1"/>
  <c r="E555" i="4"/>
  <c r="F555" i="4"/>
  <c r="G555" i="4"/>
  <c r="H555" i="4"/>
  <c r="H1114" i="4" s="1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B1115" i="4" s="1"/>
  <c r="C565" i="4"/>
  <c r="D565" i="4"/>
  <c r="E565" i="4"/>
  <c r="F565" i="4"/>
  <c r="F1115" i="4" s="1"/>
  <c r="G565" i="4"/>
  <c r="H565" i="4"/>
  <c r="I565" i="4"/>
  <c r="J565" i="4"/>
  <c r="B566" i="4"/>
  <c r="C566" i="4"/>
  <c r="D566" i="4"/>
  <c r="E566" i="4"/>
  <c r="E1115" i="4" s="1"/>
  <c r="F566" i="4"/>
  <c r="G566" i="4"/>
  <c r="H566" i="4"/>
  <c r="I566" i="4"/>
  <c r="I1115" i="4" s="1"/>
  <c r="J566" i="4"/>
  <c r="B567" i="4"/>
  <c r="C567" i="4"/>
  <c r="D567" i="4"/>
  <c r="D1115" i="4" s="1"/>
  <c r="E567" i="4"/>
  <c r="F567" i="4"/>
  <c r="G567" i="4"/>
  <c r="H567" i="4"/>
  <c r="H1115" i="4" s="1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C1116" i="4" s="1"/>
  <c r="D576" i="4"/>
  <c r="E576" i="4"/>
  <c r="F576" i="4"/>
  <c r="G576" i="4"/>
  <c r="G1116" i="4" s="1"/>
  <c r="H576" i="4"/>
  <c r="I576" i="4"/>
  <c r="J576" i="4"/>
  <c r="B577" i="4"/>
  <c r="B1116" i="4" s="1"/>
  <c r="C577" i="4"/>
  <c r="D577" i="4"/>
  <c r="E577" i="4"/>
  <c r="F577" i="4"/>
  <c r="F1116" i="4" s="1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D1116" i="4" s="1"/>
  <c r="E579" i="4"/>
  <c r="F579" i="4"/>
  <c r="G579" i="4"/>
  <c r="H579" i="4"/>
  <c r="H1116" i="4" s="1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B1117" i="4" s="1"/>
  <c r="C589" i="4"/>
  <c r="D589" i="4"/>
  <c r="E589" i="4"/>
  <c r="F589" i="4"/>
  <c r="F1117" i="4" s="1"/>
  <c r="G589" i="4"/>
  <c r="H589" i="4"/>
  <c r="I589" i="4"/>
  <c r="J589" i="4"/>
  <c r="B590" i="4"/>
  <c r="C590" i="4"/>
  <c r="D590" i="4"/>
  <c r="E590" i="4"/>
  <c r="E1117" i="4" s="1"/>
  <c r="F590" i="4"/>
  <c r="G590" i="4"/>
  <c r="H590" i="4"/>
  <c r="I590" i="4"/>
  <c r="I1117" i="4" s="1"/>
  <c r="J590" i="4"/>
  <c r="B591" i="4"/>
  <c r="C591" i="4"/>
  <c r="D591" i="4"/>
  <c r="D1117" i="4" s="1"/>
  <c r="E591" i="4"/>
  <c r="F591" i="4"/>
  <c r="G591" i="4"/>
  <c r="H591" i="4"/>
  <c r="H1117" i="4" s="1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C1118" i="4" s="1"/>
  <c r="D600" i="4"/>
  <c r="E600" i="4"/>
  <c r="F600" i="4"/>
  <c r="G600" i="4"/>
  <c r="G1118" i="4" s="1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E1118" i="4" s="1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C1119" i="4" s="1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E1119" i="4" s="1"/>
  <c r="F614" i="4"/>
  <c r="G614" i="4"/>
  <c r="H614" i="4"/>
  <c r="I614" i="4"/>
  <c r="I1119" i="4" s="1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C1120" i="4" s="1"/>
  <c r="D624" i="4"/>
  <c r="E624" i="4"/>
  <c r="F624" i="4"/>
  <c r="G624" i="4"/>
  <c r="G1120" i="4" s="1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I1120" i="4" s="1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G1121" i="4" s="1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E1121" i="4" s="1"/>
  <c r="F638" i="4"/>
  <c r="G638" i="4"/>
  <c r="H638" i="4"/>
  <c r="I638" i="4"/>
  <c r="I1121" i="4" s="1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C1122" i="4" s="1"/>
  <c r="D648" i="4"/>
  <c r="E648" i="4"/>
  <c r="F648" i="4"/>
  <c r="G648" i="4"/>
  <c r="G1122" i="4" s="1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E1122" i="4" s="1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C1123" i="4" s="1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E1123" i="4" s="1"/>
  <c r="F662" i="4"/>
  <c r="G662" i="4"/>
  <c r="H662" i="4"/>
  <c r="I662" i="4"/>
  <c r="I1123" i="4" s="1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C1124" i="4" s="1"/>
  <c r="D672" i="4"/>
  <c r="E672" i="4"/>
  <c r="F672" i="4"/>
  <c r="G672" i="4"/>
  <c r="G1124" i="4" s="1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I1124" i="4" s="1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G1125" i="4" s="1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E1125" i="4" s="1"/>
  <c r="F686" i="4"/>
  <c r="G686" i="4"/>
  <c r="H686" i="4"/>
  <c r="I686" i="4"/>
  <c r="I1125" i="4" s="1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C1126" i="4" s="1"/>
  <c r="D696" i="4"/>
  <c r="E696" i="4"/>
  <c r="F696" i="4"/>
  <c r="G696" i="4"/>
  <c r="G1126" i="4" s="1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E1126" i="4" s="1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C1127" i="4" s="1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E1127" i="4" s="1"/>
  <c r="F710" i="4"/>
  <c r="G710" i="4"/>
  <c r="H710" i="4"/>
  <c r="I710" i="4"/>
  <c r="I1127" i="4" s="1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C1128" i="4" s="1"/>
  <c r="D720" i="4"/>
  <c r="E720" i="4"/>
  <c r="F720" i="4"/>
  <c r="G720" i="4"/>
  <c r="G1128" i="4" s="1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I1128" i="4" s="1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G1129" i="4" s="1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E1129" i="4" s="1"/>
  <c r="F734" i="4"/>
  <c r="G734" i="4"/>
  <c r="H734" i="4"/>
  <c r="I734" i="4"/>
  <c r="I1129" i="4" s="1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C1130" i="4" s="1"/>
  <c r="D744" i="4"/>
  <c r="E744" i="4"/>
  <c r="F744" i="4"/>
  <c r="G744" i="4"/>
  <c r="G1130" i="4" s="1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E1130" i="4" s="1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C1131" i="4" s="1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E1131" i="4" s="1"/>
  <c r="F758" i="4"/>
  <c r="G758" i="4"/>
  <c r="H758" i="4"/>
  <c r="I758" i="4"/>
  <c r="I1131" i="4" s="1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C1132" i="4" s="1"/>
  <c r="D768" i="4"/>
  <c r="E768" i="4"/>
  <c r="F768" i="4"/>
  <c r="G768" i="4"/>
  <c r="G1132" i="4" s="1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I1132" i="4" s="1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G1133" i="4" s="1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E1133" i="4" s="1"/>
  <c r="F782" i="4"/>
  <c r="G782" i="4"/>
  <c r="H782" i="4"/>
  <c r="I782" i="4"/>
  <c r="I1133" i="4" s="1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C1134" i="4" s="1"/>
  <c r="D792" i="4"/>
  <c r="E792" i="4"/>
  <c r="F792" i="4"/>
  <c r="G792" i="4"/>
  <c r="G1134" i="4" s="1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E1134" i="4" s="1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C1135" i="4" s="1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E1135" i="4" s="1"/>
  <c r="F806" i="4"/>
  <c r="G806" i="4"/>
  <c r="H806" i="4"/>
  <c r="I806" i="4"/>
  <c r="I1135" i="4" s="1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C1136" i="4" s="1"/>
  <c r="D816" i="4"/>
  <c r="E816" i="4"/>
  <c r="F816" i="4"/>
  <c r="G816" i="4"/>
  <c r="G1136" i="4" s="1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I1136" i="4" s="1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G1137" i="4" s="1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E1137" i="4" s="1"/>
  <c r="F830" i="4"/>
  <c r="G830" i="4"/>
  <c r="H830" i="4"/>
  <c r="I830" i="4"/>
  <c r="I1137" i="4" s="1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C1138" i="4" s="1"/>
  <c r="D840" i="4"/>
  <c r="E840" i="4"/>
  <c r="F840" i="4"/>
  <c r="G840" i="4"/>
  <c r="G1138" i="4" s="1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E1138" i="4" s="1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C1139" i="4" s="1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E1139" i="4" s="1"/>
  <c r="F854" i="4"/>
  <c r="G854" i="4"/>
  <c r="H854" i="4"/>
  <c r="I854" i="4"/>
  <c r="I1139" i="4" s="1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C1140" i="4" s="1"/>
  <c r="D864" i="4"/>
  <c r="E864" i="4"/>
  <c r="F864" i="4"/>
  <c r="G864" i="4"/>
  <c r="G1140" i="4" s="1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I1140" i="4" s="1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G1141" i="4" s="1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E1141" i="4" s="1"/>
  <c r="F878" i="4"/>
  <c r="G878" i="4"/>
  <c r="H878" i="4"/>
  <c r="I878" i="4"/>
  <c r="I1141" i="4" s="1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C1142" i="4" s="1"/>
  <c r="D888" i="4"/>
  <c r="E888" i="4"/>
  <c r="F888" i="4"/>
  <c r="G888" i="4"/>
  <c r="G1142" i="4" s="1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E1142" i="4" s="1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C1143" i="4" s="1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E1143" i="4" s="1"/>
  <c r="F902" i="4"/>
  <c r="G902" i="4"/>
  <c r="H902" i="4"/>
  <c r="I902" i="4"/>
  <c r="I1143" i="4" s="1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C1144" i="4" s="1"/>
  <c r="D912" i="4"/>
  <c r="E912" i="4"/>
  <c r="F912" i="4"/>
  <c r="G912" i="4"/>
  <c r="G1144" i="4" s="1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I1144" i="4" s="1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G1145" i="4" s="1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E1145" i="4" s="1"/>
  <c r="F926" i="4"/>
  <c r="G926" i="4"/>
  <c r="H926" i="4"/>
  <c r="I926" i="4"/>
  <c r="I1145" i="4" s="1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C1146" i="4" s="1"/>
  <c r="D936" i="4"/>
  <c r="E936" i="4"/>
  <c r="F936" i="4"/>
  <c r="G936" i="4"/>
  <c r="G1146" i="4" s="1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E1146" i="4" s="1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C1147" i="4" s="1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E1147" i="4" s="1"/>
  <c r="F950" i="4"/>
  <c r="G950" i="4"/>
  <c r="H950" i="4"/>
  <c r="I950" i="4"/>
  <c r="I1147" i="4" s="1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C1148" i="4" s="1"/>
  <c r="D960" i="4"/>
  <c r="E960" i="4"/>
  <c r="F960" i="4"/>
  <c r="G960" i="4"/>
  <c r="G1148" i="4" s="1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I1148" i="4" s="1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G1149" i="4" s="1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E1149" i="4" s="1"/>
  <c r="F974" i="4"/>
  <c r="G974" i="4"/>
  <c r="H974" i="4"/>
  <c r="I974" i="4"/>
  <c r="I1149" i="4" s="1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C1150" i="4" s="1"/>
  <c r="D984" i="4"/>
  <c r="E984" i="4"/>
  <c r="F984" i="4"/>
  <c r="G984" i="4"/>
  <c r="G1150" i="4" s="1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E1150" i="4" s="1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C1151" i="4" s="1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E1151" i="4" s="1"/>
  <c r="F998" i="4"/>
  <c r="G998" i="4"/>
  <c r="H998" i="4"/>
  <c r="I998" i="4"/>
  <c r="I1151" i="4" s="1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C1008" i="4"/>
  <c r="C1152" i="4" s="1"/>
  <c r="D1008" i="4"/>
  <c r="E1008" i="4"/>
  <c r="F1008" i="4"/>
  <c r="G1008" i="4"/>
  <c r="G1152" i="4" s="1"/>
  <c r="H1008" i="4"/>
  <c r="I1008" i="4"/>
  <c r="J1008" i="4"/>
  <c r="B1009" i="4"/>
  <c r="C1009" i="4"/>
  <c r="D1009" i="4"/>
  <c r="E1009" i="4"/>
  <c r="F1009" i="4"/>
  <c r="G1009" i="4"/>
  <c r="H1009" i="4"/>
  <c r="I1009" i="4"/>
  <c r="J1009" i="4"/>
  <c r="B1010" i="4"/>
  <c r="C1010" i="4"/>
  <c r="D1010" i="4"/>
  <c r="E1010" i="4"/>
  <c r="F1010" i="4"/>
  <c r="G1010" i="4"/>
  <c r="H1010" i="4"/>
  <c r="I1010" i="4"/>
  <c r="I1152" i="4" s="1"/>
  <c r="J1010" i="4"/>
  <c r="B1011" i="4"/>
  <c r="C1011" i="4"/>
  <c r="D1011" i="4"/>
  <c r="E1011" i="4"/>
  <c r="F1011" i="4"/>
  <c r="G1011" i="4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D1020" i="4"/>
  <c r="E1020" i="4"/>
  <c r="F1020" i="4"/>
  <c r="G1020" i="4"/>
  <c r="G1153" i="4" s="1"/>
  <c r="H1020" i="4"/>
  <c r="I1020" i="4"/>
  <c r="J1020" i="4"/>
  <c r="B1021" i="4"/>
  <c r="C1021" i="4"/>
  <c r="D1021" i="4"/>
  <c r="E1021" i="4"/>
  <c r="F1021" i="4"/>
  <c r="G1021" i="4"/>
  <c r="H1021" i="4"/>
  <c r="I1021" i="4"/>
  <c r="J1021" i="4"/>
  <c r="B1022" i="4"/>
  <c r="C1022" i="4"/>
  <c r="D1022" i="4"/>
  <c r="E1022" i="4"/>
  <c r="E1153" i="4" s="1"/>
  <c r="F1022" i="4"/>
  <c r="G1022" i="4"/>
  <c r="H1022" i="4"/>
  <c r="I1022" i="4"/>
  <c r="I1153" i="4" s="1"/>
  <c r="J1022" i="4"/>
  <c r="B1023" i="4"/>
  <c r="C1023" i="4"/>
  <c r="D1023" i="4"/>
  <c r="E1023" i="4"/>
  <c r="F1023" i="4"/>
  <c r="G1023" i="4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C1032" i="4"/>
  <c r="C1154" i="4" s="1"/>
  <c r="D1032" i="4"/>
  <c r="E1032" i="4"/>
  <c r="F1032" i="4"/>
  <c r="G1032" i="4"/>
  <c r="G1154" i="4" s="1"/>
  <c r="H1032" i="4"/>
  <c r="I1032" i="4"/>
  <c r="J1032" i="4"/>
  <c r="B1033" i="4"/>
  <c r="C1033" i="4"/>
  <c r="D1033" i="4"/>
  <c r="E1033" i="4"/>
  <c r="F1033" i="4"/>
  <c r="G1033" i="4"/>
  <c r="H1033" i="4"/>
  <c r="I1033" i="4"/>
  <c r="J1033" i="4"/>
  <c r="B1034" i="4"/>
  <c r="C1034" i="4"/>
  <c r="D1034" i="4"/>
  <c r="E1034" i="4"/>
  <c r="E1154" i="4" s="1"/>
  <c r="F1034" i="4"/>
  <c r="G1034" i="4"/>
  <c r="H1034" i="4"/>
  <c r="I1034" i="4"/>
  <c r="J1034" i="4"/>
  <c r="B1035" i="4"/>
  <c r="C1035" i="4"/>
  <c r="D1035" i="4"/>
  <c r="E1035" i="4"/>
  <c r="F1035" i="4"/>
  <c r="G1035" i="4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C1155" i="4" s="1"/>
  <c r="D1044" i="4"/>
  <c r="E1044" i="4"/>
  <c r="F1044" i="4"/>
  <c r="G1044" i="4"/>
  <c r="H1044" i="4"/>
  <c r="I1044" i="4"/>
  <c r="J1044" i="4"/>
  <c r="B1045" i="4"/>
  <c r="C1045" i="4"/>
  <c r="D1045" i="4"/>
  <c r="E1045" i="4"/>
  <c r="F1045" i="4"/>
  <c r="G1045" i="4"/>
  <c r="H1045" i="4"/>
  <c r="I1045" i="4"/>
  <c r="J1045" i="4"/>
  <c r="B1046" i="4"/>
  <c r="C1046" i="4"/>
  <c r="D1046" i="4"/>
  <c r="E1046" i="4"/>
  <c r="E1155" i="4" s="1"/>
  <c r="F1046" i="4"/>
  <c r="G1046" i="4"/>
  <c r="H1046" i="4"/>
  <c r="I1046" i="4"/>
  <c r="I1155" i="4" s="1"/>
  <c r="J1046" i="4"/>
  <c r="B1047" i="4"/>
  <c r="C1047" i="4"/>
  <c r="D1047" i="4"/>
  <c r="E1047" i="4"/>
  <c r="F1047" i="4"/>
  <c r="G1047" i="4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C1056" i="4"/>
  <c r="C1156" i="4" s="1"/>
  <c r="D1056" i="4"/>
  <c r="E1056" i="4"/>
  <c r="F1056" i="4"/>
  <c r="G1056" i="4"/>
  <c r="G1156" i="4" s="1"/>
  <c r="H1056" i="4"/>
  <c r="I1056" i="4"/>
  <c r="J1056" i="4"/>
  <c r="B1057" i="4"/>
  <c r="C1057" i="4"/>
  <c r="D1057" i="4"/>
  <c r="E1057" i="4"/>
  <c r="F1057" i="4"/>
  <c r="G1057" i="4"/>
  <c r="H1057" i="4"/>
  <c r="I1057" i="4"/>
  <c r="J1057" i="4"/>
  <c r="B1058" i="4"/>
  <c r="C1058" i="4"/>
  <c r="D1058" i="4"/>
  <c r="E1058" i="4"/>
  <c r="F1058" i="4"/>
  <c r="G1058" i="4"/>
  <c r="H1058" i="4"/>
  <c r="I1058" i="4"/>
  <c r="I1156" i="4" s="1"/>
  <c r="J1058" i="4"/>
  <c r="B1059" i="4"/>
  <c r="C1059" i="4"/>
  <c r="D1059" i="4"/>
  <c r="E1059" i="4"/>
  <c r="F1059" i="4"/>
  <c r="G1059" i="4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B1069" i="4"/>
  <c r="C1069" i="4"/>
  <c r="D1069" i="4"/>
  <c r="E1069" i="4"/>
  <c r="F1069" i="4"/>
  <c r="G1069" i="4"/>
  <c r="H1069" i="4"/>
  <c r="I1069" i="4"/>
  <c r="J1069" i="4"/>
  <c r="B1070" i="4"/>
  <c r="C1070" i="4"/>
  <c r="D1070" i="4"/>
  <c r="E1070" i="4"/>
  <c r="F1070" i="4"/>
  <c r="G1070" i="4"/>
  <c r="H1070" i="4"/>
  <c r="I1070" i="4"/>
  <c r="J1070" i="4"/>
  <c r="B1071" i="4"/>
  <c r="C1071" i="4"/>
  <c r="D1071" i="4"/>
  <c r="E1071" i="4"/>
  <c r="F1071" i="4"/>
  <c r="G1071" i="4"/>
  <c r="H1071" i="4"/>
  <c r="I1071" i="4"/>
  <c r="J1071" i="4"/>
  <c r="B1072" i="4"/>
  <c r="C1072" i="4"/>
  <c r="D1072" i="4"/>
  <c r="E1072" i="4"/>
  <c r="F1072" i="4"/>
  <c r="G1072" i="4"/>
  <c r="H1072" i="4"/>
  <c r="I1072" i="4"/>
  <c r="J1072" i="4"/>
  <c r="B1073" i="4"/>
  <c r="C1073" i="4"/>
  <c r="D1073" i="4"/>
  <c r="E1073" i="4"/>
  <c r="F1073" i="4"/>
  <c r="G1073" i="4"/>
  <c r="H1073" i="4"/>
  <c r="I1073" i="4"/>
  <c r="J1073" i="4"/>
  <c r="B1074" i="4"/>
  <c r="C1074" i="4"/>
  <c r="D1074" i="4"/>
  <c r="E1074" i="4"/>
  <c r="F1074" i="4"/>
  <c r="G1074" i="4"/>
  <c r="H1074" i="4"/>
  <c r="I1074" i="4"/>
  <c r="J1074" i="4"/>
  <c r="B1075" i="4"/>
  <c r="C1075" i="4"/>
  <c r="D1075" i="4"/>
  <c r="E1075" i="4"/>
  <c r="F1075" i="4"/>
  <c r="G1075" i="4"/>
  <c r="H1075" i="4"/>
  <c r="I1075" i="4"/>
  <c r="J1075" i="4"/>
  <c r="B1076" i="4"/>
  <c r="C1076" i="4"/>
  <c r="D1076" i="4"/>
  <c r="E1076" i="4"/>
  <c r="F1076" i="4"/>
  <c r="G1076" i="4"/>
  <c r="H1076" i="4"/>
  <c r="I1076" i="4"/>
  <c r="J1076" i="4"/>
  <c r="B1077" i="4"/>
  <c r="C1077" i="4"/>
  <c r="D1077" i="4"/>
  <c r="E1077" i="4"/>
  <c r="F1077" i="4"/>
  <c r="G1077" i="4"/>
  <c r="H1077" i="4"/>
  <c r="I1077" i="4"/>
  <c r="J1077" i="4"/>
  <c r="B1078" i="4"/>
  <c r="C1078" i="4"/>
  <c r="D1078" i="4"/>
  <c r="E1078" i="4"/>
  <c r="F1078" i="4"/>
  <c r="G1078" i="4"/>
  <c r="H1078" i="4"/>
  <c r="I1078" i="4"/>
  <c r="J1078" i="4"/>
  <c r="B1079" i="4"/>
  <c r="C1079" i="4"/>
  <c r="D1079" i="4"/>
  <c r="E1079" i="4"/>
  <c r="F1079" i="4"/>
  <c r="G1079" i="4"/>
  <c r="H1079" i="4"/>
  <c r="I1079" i="4"/>
  <c r="J1079" i="4"/>
  <c r="B1080" i="4"/>
  <c r="C1080" i="4"/>
  <c r="D1080" i="4"/>
  <c r="E1080" i="4"/>
  <c r="F1080" i="4"/>
  <c r="G1080" i="4"/>
  <c r="H1080" i="4"/>
  <c r="I1080" i="4"/>
  <c r="J1080" i="4"/>
  <c r="B1081" i="4"/>
  <c r="C1081" i="4"/>
  <c r="D1081" i="4"/>
  <c r="E1081" i="4"/>
  <c r="F1081" i="4"/>
  <c r="G1081" i="4"/>
  <c r="H1081" i="4"/>
  <c r="I1081" i="4"/>
  <c r="J1081" i="4"/>
  <c r="B1082" i="4"/>
  <c r="C1082" i="4"/>
  <c r="D1082" i="4"/>
  <c r="E1082" i="4"/>
  <c r="F1082" i="4"/>
  <c r="G1082" i="4"/>
  <c r="H1082" i="4"/>
  <c r="I1082" i="4"/>
  <c r="J1082" i="4"/>
  <c r="B1083" i="4"/>
  <c r="C1083" i="4"/>
  <c r="D1083" i="4"/>
  <c r="E1083" i="4"/>
  <c r="F1083" i="4"/>
  <c r="G1083" i="4"/>
  <c r="H1083" i="4"/>
  <c r="I1083" i="4"/>
  <c r="J1083" i="4"/>
  <c r="B1084" i="4"/>
  <c r="C1084" i="4"/>
  <c r="D1084" i="4"/>
  <c r="E1084" i="4"/>
  <c r="F1084" i="4"/>
  <c r="G1084" i="4"/>
  <c r="H1084" i="4"/>
  <c r="I1084" i="4"/>
  <c r="J1084" i="4"/>
  <c r="B1085" i="4"/>
  <c r="C1085" i="4"/>
  <c r="D1085" i="4"/>
  <c r="E1085" i="4"/>
  <c r="F1085" i="4"/>
  <c r="G1085" i="4"/>
  <c r="H1085" i="4"/>
  <c r="I1085" i="4"/>
  <c r="J1085" i="4"/>
  <c r="B1086" i="4"/>
  <c r="C1086" i="4"/>
  <c r="D1086" i="4"/>
  <c r="E1086" i="4"/>
  <c r="F1086" i="4"/>
  <c r="G1086" i="4"/>
  <c r="H1086" i="4"/>
  <c r="I1086" i="4"/>
  <c r="J1086" i="4"/>
  <c r="B1087" i="4"/>
  <c r="C1087" i="4"/>
  <c r="D1087" i="4"/>
  <c r="E1087" i="4"/>
  <c r="F1087" i="4"/>
  <c r="G1087" i="4"/>
  <c r="H1087" i="4"/>
  <c r="I1087" i="4"/>
  <c r="J1087" i="4"/>
  <c r="B1088" i="4"/>
  <c r="C1088" i="4"/>
  <c r="D1088" i="4"/>
  <c r="E1088" i="4"/>
  <c r="F1088" i="4"/>
  <c r="G1088" i="4"/>
  <c r="H1088" i="4"/>
  <c r="I1088" i="4"/>
  <c r="J1088" i="4"/>
  <c r="B1089" i="4"/>
  <c r="C1089" i="4"/>
  <c r="D1089" i="4"/>
  <c r="E1089" i="4"/>
  <c r="F1089" i="4"/>
  <c r="G1089" i="4"/>
  <c r="H1089" i="4"/>
  <c r="I1089" i="4"/>
  <c r="J1089" i="4"/>
  <c r="B1090" i="4"/>
  <c r="C1090" i="4"/>
  <c r="D1090" i="4"/>
  <c r="E1090" i="4"/>
  <c r="F1090" i="4"/>
  <c r="G1090" i="4"/>
  <c r="H1090" i="4"/>
  <c r="I1090" i="4"/>
  <c r="J1090" i="4"/>
  <c r="B1091" i="4"/>
  <c r="C1091" i="4"/>
  <c r="D1091" i="4"/>
  <c r="E1091" i="4"/>
  <c r="F1091" i="4"/>
  <c r="G1091" i="4"/>
  <c r="H1091" i="4"/>
  <c r="I1091" i="4"/>
  <c r="J1091" i="4"/>
  <c r="B1092" i="4"/>
  <c r="C1092" i="4"/>
  <c r="D1092" i="4"/>
  <c r="E1092" i="4"/>
  <c r="F1092" i="4"/>
  <c r="G1092" i="4"/>
  <c r="H1092" i="4"/>
  <c r="I1092" i="4"/>
  <c r="J1092" i="4"/>
  <c r="B1093" i="4"/>
  <c r="C1093" i="4"/>
  <c r="D1093" i="4"/>
  <c r="E1093" i="4"/>
  <c r="F1093" i="4"/>
  <c r="G1093" i="4"/>
  <c r="H1093" i="4"/>
  <c r="I1093" i="4"/>
  <c r="J1093" i="4"/>
  <c r="A1094" i="4"/>
  <c r="B1094" i="4"/>
  <c r="C1094" i="4"/>
  <c r="D1094" i="4"/>
  <c r="E1094" i="4"/>
  <c r="F1094" i="4"/>
  <c r="G1094" i="4"/>
  <c r="H1094" i="4"/>
  <c r="I1094" i="4"/>
  <c r="J1094" i="4"/>
  <c r="A1095" i="4"/>
  <c r="B1095" i="4"/>
  <c r="C1095" i="4"/>
  <c r="D1095" i="4"/>
  <c r="E1095" i="4"/>
  <c r="F1095" i="4"/>
  <c r="G1095" i="4"/>
  <c r="H1095" i="4"/>
  <c r="I1095" i="4"/>
  <c r="J1095" i="4"/>
  <c r="A1096" i="4"/>
  <c r="B1096" i="4"/>
  <c r="C1096" i="4"/>
  <c r="D1096" i="4"/>
  <c r="E1096" i="4"/>
  <c r="F1096" i="4"/>
  <c r="G1096" i="4"/>
  <c r="H1096" i="4"/>
  <c r="I1096" i="4"/>
  <c r="J1096" i="4"/>
  <c r="A1097" i="4"/>
  <c r="B1097" i="4"/>
  <c r="C1097" i="4"/>
  <c r="D1097" i="4"/>
  <c r="E1097" i="4"/>
  <c r="F1097" i="4"/>
  <c r="G1097" i="4"/>
  <c r="H1097" i="4"/>
  <c r="I1097" i="4"/>
  <c r="J1097" i="4"/>
  <c r="A1098" i="4"/>
  <c r="B1098" i="4"/>
  <c r="C1098" i="4"/>
  <c r="D1098" i="4"/>
  <c r="E1098" i="4"/>
  <c r="F1098" i="4"/>
  <c r="G1098" i="4"/>
  <c r="H1098" i="4"/>
  <c r="I1098" i="4"/>
  <c r="J1098" i="4"/>
  <c r="A1099" i="4"/>
  <c r="B1099" i="4"/>
  <c r="C1099" i="4"/>
  <c r="D1099" i="4"/>
  <c r="E1099" i="4"/>
  <c r="F1099" i="4"/>
  <c r="G1099" i="4"/>
  <c r="H1099" i="4"/>
  <c r="I1099" i="4"/>
  <c r="J1099" i="4"/>
  <c r="A1100" i="4"/>
  <c r="B1100" i="4"/>
  <c r="C1100" i="4"/>
  <c r="D1100" i="4"/>
  <c r="E1100" i="4"/>
  <c r="F1100" i="4"/>
  <c r="G1100" i="4"/>
  <c r="H1100" i="4"/>
  <c r="I1100" i="4"/>
  <c r="J1100" i="4"/>
  <c r="A1101" i="4"/>
  <c r="B1101" i="4"/>
  <c r="C1101" i="4"/>
  <c r="D1101" i="4"/>
  <c r="E1101" i="4"/>
  <c r="F1101" i="4"/>
  <c r="G1101" i="4"/>
  <c r="H1101" i="4"/>
  <c r="I1101" i="4"/>
  <c r="J1101" i="4"/>
  <c r="A1102" i="4"/>
  <c r="B1102" i="4"/>
  <c r="C1102" i="4"/>
  <c r="D1102" i="4"/>
  <c r="E1102" i="4"/>
  <c r="F1102" i="4"/>
  <c r="G1102" i="4"/>
  <c r="H1102" i="4"/>
  <c r="I1102" i="4"/>
  <c r="J1102" i="4"/>
  <c r="A1103" i="4"/>
  <c r="B1103" i="4"/>
  <c r="C1103" i="4"/>
  <c r="D1103" i="4"/>
  <c r="E1103" i="4"/>
  <c r="F1103" i="4"/>
  <c r="G1103" i="4"/>
  <c r="H1103" i="4"/>
  <c r="I1103" i="4"/>
  <c r="J1103" i="4"/>
  <c r="A1104" i="4"/>
  <c r="B1104" i="4"/>
  <c r="C1104" i="4"/>
  <c r="D1104" i="4"/>
  <c r="E1104" i="4"/>
  <c r="F1104" i="4"/>
  <c r="G1104" i="4"/>
  <c r="H1104" i="4"/>
  <c r="I1104" i="4"/>
  <c r="J1104" i="4"/>
  <c r="A1105" i="4"/>
  <c r="B1105" i="4"/>
  <c r="C1105" i="4"/>
  <c r="D1105" i="4"/>
  <c r="E1105" i="4"/>
  <c r="F1105" i="4"/>
  <c r="G1105" i="4"/>
  <c r="H1105" i="4"/>
  <c r="I1105" i="4"/>
  <c r="J1105" i="4"/>
  <c r="A1106" i="4"/>
  <c r="B1106" i="4"/>
  <c r="C1106" i="4"/>
  <c r="D1106" i="4"/>
  <c r="E1106" i="4"/>
  <c r="F1106" i="4"/>
  <c r="G1106" i="4"/>
  <c r="H1106" i="4"/>
  <c r="I1106" i="4"/>
  <c r="J1106" i="4"/>
  <c r="A1107" i="4"/>
  <c r="B1107" i="4"/>
  <c r="C1107" i="4"/>
  <c r="F1107" i="4"/>
  <c r="G1107" i="4"/>
  <c r="J1107" i="4"/>
  <c r="A1108" i="4"/>
  <c r="E1108" i="4"/>
  <c r="I1108" i="4"/>
  <c r="J1108" i="4"/>
  <c r="A1109" i="4"/>
  <c r="C1109" i="4"/>
  <c r="G1109" i="4"/>
  <c r="J1109" i="4"/>
  <c r="A1110" i="4"/>
  <c r="E1110" i="4"/>
  <c r="I1110" i="4"/>
  <c r="J1110" i="4"/>
  <c r="A1111" i="4"/>
  <c r="C1111" i="4"/>
  <c r="G1111" i="4"/>
  <c r="J1111" i="4"/>
  <c r="A1112" i="4"/>
  <c r="E1112" i="4"/>
  <c r="I1112" i="4"/>
  <c r="J1112" i="4"/>
  <c r="A1113" i="4"/>
  <c r="C1113" i="4"/>
  <c r="G1113" i="4"/>
  <c r="J1113" i="4"/>
  <c r="A1114" i="4"/>
  <c r="E1114" i="4"/>
  <c r="I1114" i="4"/>
  <c r="J1114" i="4"/>
  <c r="A1115" i="4"/>
  <c r="C1115" i="4"/>
  <c r="G1115" i="4"/>
  <c r="J1115" i="4"/>
  <c r="A1116" i="4"/>
  <c r="E1116" i="4"/>
  <c r="I1116" i="4"/>
  <c r="J1116" i="4"/>
  <c r="A1117" i="4"/>
  <c r="C1117" i="4"/>
  <c r="G1117" i="4"/>
  <c r="J1117" i="4"/>
  <c r="A1118" i="4"/>
  <c r="B1118" i="4" s="1"/>
  <c r="I1118" i="4"/>
  <c r="A1119" i="4"/>
  <c r="G1119" i="4"/>
  <c r="A1120" i="4"/>
  <c r="E1120" i="4"/>
  <c r="A1121" i="4"/>
  <c r="C1121" i="4"/>
  <c r="A1122" i="4"/>
  <c r="B1122" i="4" s="1"/>
  <c r="I1122" i="4"/>
  <c r="A1123" i="4"/>
  <c r="G1123" i="4"/>
  <c r="A1124" i="4"/>
  <c r="E1124" i="4"/>
  <c r="A1125" i="4"/>
  <c r="C1125" i="4"/>
  <c r="A1126" i="4"/>
  <c r="B1126" i="4" s="1"/>
  <c r="I1126" i="4"/>
  <c r="A1127" i="4"/>
  <c r="G1127" i="4"/>
  <c r="A1128" i="4"/>
  <c r="E1128" i="4"/>
  <c r="A1129" i="4"/>
  <c r="C1129" i="4"/>
  <c r="A1130" i="4"/>
  <c r="B1130" i="4" s="1"/>
  <c r="I1130" i="4"/>
  <c r="A1131" i="4"/>
  <c r="G1131" i="4"/>
  <c r="A1132" i="4"/>
  <c r="E1132" i="4"/>
  <c r="A1133" i="4"/>
  <c r="C1133" i="4"/>
  <c r="A1134" i="4"/>
  <c r="B1134" i="4" s="1"/>
  <c r="I1134" i="4"/>
  <c r="A1135" i="4"/>
  <c r="G1135" i="4"/>
  <c r="A1136" i="4"/>
  <c r="E1136" i="4"/>
  <c r="A1137" i="4"/>
  <c r="C1137" i="4"/>
  <c r="A1138" i="4"/>
  <c r="B1138" i="4" s="1"/>
  <c r="I1138" i="4"/>
  <c r="A1139" i="4"/>
  <c r="G1139" i="4"/>
  <c r="A1140" i="4"/>
  <c r="E1140" i="4"/>
  <c r="A1141" i="4"/>
  <c r="C1141" i="4"/>
  <c r="A1142" i="4"/>
  <c r="B1142" i="4" s="1"/>
  <c r="I1142" i="4"/>
  <c r="A1143" i="4"/>
  <c r="G1143" i="4"/>
  <c r="A1144" i="4"/>
  <c r="E1144" i="4"/>
  <c r="A1145" i="4"/>
  <c r="C1145" i="4"/>
  <c r="A1146" i="4"/>
  <c r="B1146" i="4" s="1"/>
  <c r="I1146" i="4"/>
  <c r="A1147" i="4"/>
  <c r="G1147" i="4"/>
  <c r="A1148" i="4"/>
  <c r="E1148" i="4"/>
  <c r="A1149" i="4"/>
  <c r="C1149" i="4"/>
  <c r="A1150" i="4"/>
  <c r="B1150" i="4" s="1"/>
  <c r="I1150" i="4"/>
  <c r="A1151" i="4"/>
  <c r="G1151" i="4"/>
  <c r="A1152" i="4"/>
  <c r="E1152" i="4"/>
  <c r="A1153" i="4"/>
  <c r="C1153" i="4"/>
  <c r="A1154" i="4"/>
  <c r="B1154" i="4" s="1"/>
  <c r="I1154" i="4"/>
  <c r="A1155" i="4"/>
  <c r="G1155" i="4"/>
  <c r="A1156" i="4"/>
  <c r="E1156" i="4"/>
  <c r="D9" i="3"/>
  <c r="F9" i="3"/>
  <c r="B19" i="3"/>
  <c r="C19" i="3"/>
  <c r="D19" i="3"/>
  <c r="E19" i="3"/>
  <c r="F19" i="3"/>
  <c r="G19" i="3"/>
  <c r="H19" i="3"/>
  <c r="I19" i="3"/>
  <c r="J19" i="3"/>
  <c r="K19" i="3"/>
  <c r="B20" i="3"/>
  <c r="C20" i="3"/>
  <c r="D20" i="3"/>
  <c r="E20" i="3"/>
  <c r="F20" i="3"/>
  <c r="G20" i="3"/>
  <c r="H20" i="3"/>
  <c r="I20" i="3"/>
  <c r="J20" i="3"/>
  <c r="K20" i="3"/>
  <c r="B21" i="3"/>
  <c r="C21" i="3"/>
  <c r="D21" i="3"/>
  <c r="E21" i="3"/>
  <c r="F21" i="3"/>
  <c r="G21" i="3"/>
  <c r="H21" i="3"/>
  <c r="I21" i="3"/>
  <c r="J21" i="3"/>
  <c r="K21" i="3"/>
  <c r="B22" i="3"/>
  <c r="C22" i="3"/>
  <c r="D22" i="3"/>
  <c r="E22" i="3"/>
  <c r="F22" i="3"/>
  <c r="G22" i="3"/>
  <c r="H22" i="3"/>
  <c r="I22" i="3"/>
  <c r="J22" i="3"/>
  <c r="K22" i="3"/>
  <c r="B23" i="3"/>
  <c r="C23" i="3"/>
  <c r="D23" i="3"/>
  <c r="E23" i="3"/>
  <c r="F23" i="3"/>
  <c r="G23" i="3"/>
  <c r="H23" i="3"/>
  <c r="I23" i="3"/>
  <c r="J23" i="3"/>
  <c r="K23" i="3"/>
  <c r="B24" i="3"/>
  <c r="C24" i="3"/>
  <c r="D24" i="3"/>
  <c r="E24" i="3"/>
  <c r="F24" i="3"/>
  <c r="G24" i="3"/>
  <c r="H24" i="3"/>
  <c r="I24" i="3"/>
  <c r="J24" i="3"/>
  <c r="K24" i="3"/>
  <c r="B25" i="3"/>
  <c r="C25" i="3"/>
  <c r="D25" i="3"/>
  <c r="E25" i="3"/>
  <c r="F25" i="3"/>
  <c r="G25" i="3"/>
  <c r="H25" i="3"/>
  <c r="I25" i="3"/>
  <c r="J25" i="3"/>
  <c r="K25" i="3"/>
  <c r="B26" i="3"/>
  <c r="C26" i="3"/>
  <c r="D26" i="3"/>
  <c r="E26" i="3"/>
  <c r="F26" i="3"/>
  <c r="G26" i="3"/>
  <c r="H26" i="3"/>
  <c r="I26" i="3"/>
  <c r="J26" i="3"/>
  <c r="K26" i="3"/>
  <c r="B27" i="3"/>
  <c r="C27" i="3"/>
  <c r="D27" i="3"/>
  <c r="E27" i="3"/>
  <c r="F27" i="3"/>
  <c r="G27" i="3"/>
  <c r="H27" i="3"/>
  <c r="I27" i="3"/>
  <c r="J27" i="3"/>
  <c r="K27" i="3"/>
  <c r="B28" i="3"/>
  <c r="C28" i="3"/>
  <c r="D28" i="3"/>
  <c r="E28" i="3"/>
  <c r="F28" i="3"/>
  <c r="G28" i="3"/>
  <c r="H28" i="3"/>
  <c r="I28" i="3"/>
  <c r="J28" i="3"/>
  <c r="K28" i="3"/>
  <c r="B29" i="3"/>
  <c r="C29" i="3"/>
  <c r="D29" i="3"/>
  <c r="E29" i="3"/>
  <c r="F29" i="3"/>
  <c r="G29" i="3"/>
  <c r="H29" i="3"/>
  <c r="I29" i="3"/>
  <c r="J29" i="3"/>
  <c r="K29" i="3"/>
  <c r="B30" i="3"/>
  <c r="C30" i="3"/>
  <c r="D30" i="3"/>
  <c r="E30" i="3"/>
  <c r="F30" i="3"/>
  <c r="G30" i="3"/>
  <c r="H30" i="3"/>
  <c r="I30" i="3"/>
  <c r="J30" i="3"/>
  <c r="K30" i="3"/>
  <c r="B31" i="3"/>
  <c r="C31" i="3"/>
  <c r="D31" i="3"/>
  <c r="E31" i="3"/>
  <c r="F31" i="3"/>
  <c r="G31" i="3"/>
  <c r="H31" i="3"/>
  <c r="I31" i="3"/>
  <c r="J31" i="3"/>
  <c r="K31" i="3"/>
  <c r="B32" i="3"/>
  <c r="C32" i="3"/>
  <c r="D32" i="3"/>
  <c r="E32" i="3"/>
  <c r="F32" i="3"/>
  <c r="G32" i="3"/>
  <c r="H32" i="3"/>
  <c r="I32" i="3"/>
  <c r="J32" i="3"/>
  <c r="K32" i="3"/>
  <c r="B33" i="3"/>
  <c r="C33" i="3"/>
  <c r="D33" i="3"/>
  <c r="E33" i="3"/>
  <c r="F33" i="3"/>
  <c r="G33" i="3"/>
  <c r="H33" i="3"/>
  <c r="I33" i="3"/>
  <c r="J33" i="3"/>
  <c r="K33" i="3"/>
  <c r="B34" i="3"/>
  <c r="C34" i="3"/>
  <c r="D34" i="3"/>
  <c r="E34" i="3"/>
  <c r="F34" i="3"/>
  <c r="G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B36" i="3"/>
  <c r="C36" i="3"/>
  <c r="D36" i="3"/>
  <c r="E36" i="3"/>
  <c r="F36" i="3"/>
  <c r="G36" i="3"/>
  <c r="H36" i="3"/>
  <c r="I36" i="3"/>
  <c r="J36" i="3"/>
  <c r="K36" i="3"/>
  <c r="B37" i="3"/>
  <c r="C37" i="3"/>
  <c r="D37" i="3"/>
  <c r="E37" i="3"/>
  <c r="F37" i="3"/>
  <c r="G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B39" i="3"/>
  <c r="C39" i="3"/>
  <c r="D39" i="3"/>
  <c r="E39" i="3"/>
  <c r="F39" i="3"/>
  <c r="G39" i="3"/>
  <c r="H39" i="3"/>
  <c r="I39" i="3"/>
  <c r="J39" i="3"/>
  <c r="K39" i="3"/>
  <c r="B40" i="3"/>
  <c r="C40" i="3"/>
  <c r="D40" i="3"/>
  <c r="E40" i="3"/>
  <c r="F40" i="3"/>
  <c r="G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B42" i="3"/>
  <c r="C42" i="3"/>
  <c r="D42" i="3"/>
  <c r="E42" i="3"/>
  <c r="F42" i="3"/>
  <c r="G42" i="3"/>
  <c r="H42" i="3"/>
  <c r="I42" i="3"/>
  <c r="J42" i="3"/>
  <c r="K42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B48" i="3"/>
  <c r="C48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B50" i="3"/>
  <c r="C50" i="3"/>
  <c r="D50" i="3"/>
  <c r="E50" i="3"/>
  <c r="F50" i="3"/>
  <c r="G50" i="3"/>
  <c r="H50" i="3"/>
  <c r="I50" i="3"/>
  <c r="J50" i="3"/>
  <c r="K50" i="3"/>
  <c r="B51" i="3"/>
  <c r="C51" i="3"/>
  <c r="D51" i="3"/>
  <c r="E51" i="3"/>
  <c r="F51" i="3"/>
  <c r="G51" i="3"/>
  <c r="H51" i="3"/>
  <c r="I51" i="3"/>
  <c r="J51" i="3"/>
  <c r="K51" i="3"/>
  <c r="B52" i="3"/>
  <c r="C52" i="3"/>
  <c r="D52" i="3"/>
  <c r="E52" i="3"/>
  <c r="F52" i="3"/>
  <c r="G52" i="3"/>
  <c r="H52" i="3"/>
  <c r="I52" i="3"/>
  <c r="J52" i="3"/>
  <c r="K52" i="3"/>
  <c r="B53" i="3"/>
  <c r="C53" i="3"/>
  <c r="D53" i="3"/>
  <c r="E53" i="3"/>
  <c r="F53" i="3"/>
  <c r="G53" i="3"/>
  <c r="H53" i="3"/>
  <c r="I53" i="3"/>
  <c r="J53" i="3"/>
  <c r="K53" i="3"/>
  <c r="B54" i="3"/>
  <c r="C54" i="3"/>
  <c r="D54" i="3"/>
  <c r="E54" i="3"/>
  <c r="F54" i="3"/>
  <c r="G54" i="3"/>
  <c r="H54" i="3"/>
  <c r="I54" i="3"/>
  <c r="J54" i="3"/>
  <c r="K54" i="3"/>
  <c r="B55" i="3"/>
  <c r="C55" i="3"/>
  <c r="D55" i="3"/>
  <c r="E55" i="3"/>
  <c r="F55" i="3"/>
  <c r="G55" i="3"/>
  <c r="H55" i="3"/>
  <c r="I55" i="3"/>
  <c r="J55" i="3"/>
  <c r="K55" i="3"/>
  <c r="B56" i="3"/>
  <c r="C56" i="3"/>
  <c r="D56" i="3"/>
  <c r="E56" i="3"/>
  <c r="F56" i="3"/>
  <c r="G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B58" i="3"/>
  <c r="C58" i="3"/>
  <c r="D58" i="3"/>
  <c r="E58" i="3"/>
  <c r="F58" i="3"/>
  <c r="G58" i="3"/>
  <c r="H58" i="3"/>
  <c r="I58" i="3"/>
  <c r="J58" i="3"/>
  <c r="K58" i="3"/>
  <c r="B59" i="3"/>
  <c r="C59" i="3"/>
  <c r="D59" i="3"/>
  <c r="E59" i="3"/>
  <c r="F59" i="3"/>
  <c r="G59" i="3"/>
  <c r="H59" i="3"/>
  <c r="I59" i="3"/>
  <c r="J59" i="3"/>
  <c r="K59" i="3"/>
  <c r="B60" i="3"/>
  <c r="C60" i="3"/>
  <c r="D60" i="3"/>
  <c r="E60" i="3"/>
  <c r="F60" i="3"/>
  <c r="G60" i="3"/>
  <c r="H60" i="3"/>
  <c r="I60" i="3"/>
  <c r="J60" i="3"/>
  <c r="K60" i="3"/>
  <c r="B61" i="3"/>
  <c r="C61" i="3"/>
  <c r="D61" i="3"/>
  <c r="E61" i="3"/>
  <c r="F61" i="3"/>
  <c r="G61" i="3"/>
  <c r="H61" i="3"/>
  <c r="I61" i="3"/>
  <c r="J61" i="3"/>
  <c r="K61" i="3"/>
  <c r="B62" i="3"/>
  <c r="C62" i="3"/>
  <c r="D62" i="3"/>
  <c r="E62" i="3"/>
  <c r="F62" i="3"/>
  <c r="G62" i="3"/>
  <c r="H62" i="3"/>
  <c r="I62" i="3"/>
  <c r="J62" i="3"/>
  <c r="K62" i="3"/>
  <c r="B63" i="3"/>
  <c r="C63" i="3"/>
  <c r="D63" i="3"/>
  <c r="E63" i="3"/>
  <c r="F63" i="3"/>
  <c r="G63" i="3"/>
  <c r="H63" i="3"/>
  <c r="I63" i="3"/>
  <c r="J63" i="3"/>
  <c r="K63" i="3"/>
  <c r="B64" i="3"/>
  <c r="C64" i="3"/>
  <c r="D64" i="3"/>
  <c r="E64" i="3"/>
  <c r="F64" i="3"/>
  <c r="G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B66" i="3"/>
  <c r="C66" i="3"/>
  <c r="D66" i="3"/>
  <c r="E66" i="3"/>
  <c r="F66" i="3"/>
  <c r="G66" i="3"/>
  <c r="H66" i="3"/>
  <c r="I66" i="3"/>
  <c r="J66" i="3"/>
  <c r="K66" i="3"/>
  <c r="B67" i="3"/>
  <c r="C67" i="3"/>
  <c r="D67" i="3"/>
  <c r="E67" i="3"/>
  <c r="F67" i="3"/>
  <c r="G67" i="3"/>
  <c r="H67" i="3"/>
  <c r="I67" i="3"/>
  <c r="J67" i="3"/>
  <c r="K67" i="3"/>
  <c r="B68" i="3"/>
  <c r="C68" i="3"/>
  <c r="D68" i="3"/>
  <c r="E68" i="3"/>
  <c r="F68" i="3"/>
  <c r="G68" i="3"/>
  <c r="H68" i="3"/>
  <c r="I68" i="3"/>
  <c r="J68" i="3"/>
  <c r="K68" i="3"/>
  <c r="B69" i="3"/>
  <c r="C69" i="3"/>
  <c r="D69" i="3"/>
  <c r="E69" i="3"/>
  <c r="F69" i="3"/>
  <c r="G69" i="3"/>
  <c r="H69" i="3"/>
  <c r="I69" i="3"/>
  <c r="J69" i="3"/>
  <c r="K69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72" i="3"/>
  <c r="C72" i="3"/>
  <c r="D72" i="3"/>
  <c r="E72" i="3"/>
  <c r="F72" i="3"/>
  <c r="G72" i="3"/>
  <c r="H72" i="3"/>
  <c r="I72" i="3"/>
  <c r="J72" i="3"/>
  <c r="K72" i="3"/>
  <c r="B73" i="3"/>
  <c r="C73" i="3"/>
  <c r="D73" i="3"/>
  <c r="E73" i="3"/>
  <c r="F73" i="3"/>
  <c r="G73" i="3"/>
  <c r="H73" i="3"/>
  <c r="I73" i="3"/>
  <c r="J73" i="3"/>
  <c r="K73" i="3"/>
  <c r="B74" i="3"/>
  <c r="C74" i="3"/>
  <c r="D74" i="3"/>
  <c r="E74" i="3"/>
  <c r="F74" i="3"/>
  <c r="G74" i="3"/>
  <c r="H74" i="3"/>
  <c r="I74" i="3"/>
  <c r="J74" i="3"/>
  <c r="K74" i="3"/>
  <c r="B75" i="3"/>
  <c r="C75" i="3"/>
  <c r="D75" i="3"/>
  <c r="E75" i="3"/>
  <c r="F75" i="3"/>
  <c r="G75" i="3"/>
  <c r="H75" i="3"/>
  <c r="I75" i="3"/>
  <c r="J75" i="3"/>
  <c r="K75" i="3"/>
  <c r="B76" i="3"/>
  <c r="C76" i="3"/>
  <c r="D76" i="3"/>
  <c r="E76" i="3"/>
  <c r="F76" i="3"/>
  <c r="G76" i="3"/>
  <c r="H76" i="3"/>
  <c r="I76" i="3"/>
  <c r="J76" i="3"/>
  <c r="K76" i="3"/>
  <c r="B77" i="3"/>
  <c r="C77" i="3"/>
  <c r="D77" i="3"/>
  <c r="E77" i="3"/>
  <c r="F77" i="3"/>
  <c r="G77" i="3"/>
  <c r="H77" i="3"/>
  <c r="I77" i="3"/>
  <c r="J77" i="3"/>
  <c r="K77" i="3"/>
  <c r="B78" i="3"/>
  <c r="C78" i="3"/>
  <c r="D78" i="3"/>
  <c r="E78" i="3"/>
  <c r="F78" i="3"/>
  <c r="G78" i="3"/>
  <c r="H78" i="3"/>
  <c r="I78" i="3"/>
  <c r="J78" i="3"/>
  <c r="K78" i="3"/>
  <c r="B79" i="3"/>
  <c r="C79" i="3"/>
  <c r="D79" i="3"/>
  <c r="E79" i="3"/>
  <c r="F79" i="3"/>
  <c r="G79" i="3"/>
  <c r="H79" i="3"/>
  <c r="I79" i="3"/>
  <c r="J79" i="3"/>
  <c r="K79" i="3"/>
  <c r="B80" i="3"/>
  <c r="C80" i="3"/>
  <c r="D80" i="3"/>
  <c r="E80" i="3"/>
  <c r="F80" i="3"/>
  <c r="G80" i="3"/>
  <c r="H80" i="3"/>
  <c r="I80" i="3"/>
  <c r="J80" i="3"/>
  <c r="K80" i="3"/>
  <c r="B81" i="3"/>
  <c r="C81" i="3"/>
  <c r="D81" i="3"/>
  <c r="E81" i="3"/>
  <c r="F81" i="3"/>
  <c r="G81" i="3"/>
  <c r="H81" i="3"/>
  <c r="I81" i="3"/>
  <c r="J81" i="3"/>
  <c r="K81" i="3"/>
  <c r="B82" i="3"/>
  <c r="C82" i="3"/>
  <c r="D82" i="3"/>
  <c r="E82" i="3"/>
  <c r="F82" i="3"/>
  <c r="G82" i="3"/>
  <c r="H82" i="3"/>
  <c r="I82" i="3"/>
  <c r="J82" i="3"/>
  <c r="K82" i="3"/>
  <c r="B83" i="3"/>
  <c r="C83" i="3"/>
  <c r="D83" i="3"/>
  <c r="E83" i="3"/>
  <c r="F83" i="3"/>
  <c r="G83" i="3"/>
  <c r="H83" i="3"/>
  <c r="I83" i="3"/>
  <c r="J83" i="3"/>
  <c r="K83" i="3"/>
  <c r="B84" i="3"/>
  <c r="C84" i="3"/>
  <c r="D84" i="3"/>
  <c r="E84" i="3"/>
  <c r="F84" i="3"/>
  <c r="G84" i="3"/>
  <c r="H84" i="3"/>
  <c r="I84" i="3"/>
  <c r="J84" i="3"/>
  <c r="K84" i="3"/>
  <c r="B85" i="3"/>
  <c r="C85" i="3"/>
  <c r="D85" i="3"/>
  <c r="E85" i="3"/>
  <c r="F85" i="3"/>
  <c r="G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B87" i="3"/>
  <c r="C87" i="3"/>
  <c r="D87" i="3"/>
  <c r="E87" i="3"/>
  <c r="F87" i="3"/>
  <c r="G87" i="3"/>
  <c r="H87" i="3"/>
  <c r="I87" i="3"/>
  <c r="J87" i="3"/>
  <c r="K87" i="3"/>
  <c r="B88" i="3"/>
  <c r="C88" i="3"/>
  <c r="D88" i="3"/>
  <c r="E88" i="3"/>
  <c r="F88" i="3"/>
  <c r="G88" i="3"/>
  <c r="H88" i="3"/>
  <c r="I88" i="3"/>
  <c r="J88" i="3"/>
  <c r="K88" i="3"/>
  <c r="B89" i="3"/>
  <c r="C89" i="3"/>
  <c r="D89" i="3"/>
  <c r="E89" i="3"/>
  <c r="F89" i="3"/>
  <c r="G89" i="3"/>
  <c r="H89" i="3"/>
  <c r="I89" i="3"/>
  <c r="J89" i="3"/>
  <c r="K89" i="3"/>
  <c r="B90" i="3"/>
  <c r="C90" i="3"/>
  <c r="D90" i="3"/>
  <c r="E90" i="3"/>
  <c r="F90" i="3"/>
  <c r="G90" i="3"/>
  <c r="H90" i="3"/>
  <c r="I90" i="3"/>
  <c r="J90" i="3"/>
  <c r="K90" i="3"/>
  <c r="B91" i="3"/>
  <c r="C91" i="3"/>
  <c r="D91" i="3"/>
  <c r="E91" i="3"/>
  <c r="F91" i="3"/>
  <c r="G91" i="3"/>
  <c r="H91" i="3"/>
  <c r="I91" i="3"/>
  <c r="J91" i="3"/>
  <c r="K91" i="3"/>
  <c r="B92" i="3"/>
  <c r="C92" i="3"/>
  <c r="D92" i="3"/>
  <c r="E92" i="3"/>
  <c r="F92" i="3"/>
  <c r="G92" i="3"/>
  <c r="H92" i="3"/>
  <c r="I92" i="3"/>
  <c r="J92" i="3"/>
  <c r="K92" i="3"/>
  <c r="B93" i="3"/>
  <c r="C93" i="3"/>
  <c r="D93" i="3"/>
  <c r="E93" i="3"/>
  <c r="F93" i="3"/>
  <c r="G93" i="3"/>
  <c r="H93" i="3"/>
  <c r="I93" i="3"/>
  <c r="J93" i="3"/>
  <c r="K93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97" i="3"/>
  <c r="C97" i="3"/>
  <c r="D97" i="3"/>
  <c r="E97" i="3"/>
  <c r="F97" i="3"/>
  <c r="G97" i="3"/>
  <c r="H97" i="3"/>
  <c r="I97" i="3"/>
  <c r="J97" i="3"/>
  <c r="K97" i="3"/>
  <c r="B98" i="3"/>
  <c r="C98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B100" i="3"/>
  <c r="C100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H101" i="3"/>
  <c r="I101" i="3"/>
  <c r="J101" i="3"/>
  <c r="K101" i="3"/>
  <c r="B102" i="3"/>
  <c r="C102" i="3"/>
  <c r="D102" i="3"/>
  <c r="E102" i="3"/>
  <c r="F102" i="3"/>
  <c r="G102" i="3"/>
  <c r="H102" i="3"/>
  <c r="I102" i="3"/>
  <c r="J102" i="3"/>
  <c r="K102" i="3"/>
  <c r="B103" i="3"/>
  <c r="C103" i="3"/>
  <c r="D103" i="3"/>
  <c r="E103" i="3"/>
  <c r="F103" i="3"/>
  <c r="G103" i="3"/>
  <c r="H103" i="3"/>
  <c r="I103" i="3"/>
  <c r="J103" i="3"/>
  <c r="K103" i="3"/>
  <c r="B104" i="3"/>
  <c r="C104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B106" i="3"/>
  <c r="C106" i="3"/>
  <c r="D106" i="3"/>
  <c r="E106" i="3"/>
  <c r="F106" i="3"/>
  <c r="G106" i="3"/>
  <c r="H106" i="3"/>
  <c r="I106" i="3"/>
  <c r="J106" i="3"/>
  <c r="K106" i="3"/>
  <c r="B107" i="3"/>
  <c r="C107" i="3"/>
  <c r="D107" i="3"/>
  <c r="E107" i="3"/>
  <c r="F107" i="3"/>
  <c r="G107" i="3"/>
  <c r="H107" i="3"/>
  <c r="I107" i="3"/>
  <c r="J107" i="3"/>
  <c r="K107" i="3"/>
  <c r="B108" i="3"/>
  <c r="C108" i="3"/>
  <c r="D108" i="3"/>
  <c r="E108" i="3"/>
  <c r="F108" i="3"/>
  <c r="G108" i="3"/>
  <c r="H108" i="3"/>
  <c r="I108" i="3"/>
  <c r="J108" i="3"/>
  <c r="K108" i="3"/>
  <c r="B109" i="3"/>
  <c r="C109" i="3"/>
  <c r="D109" i="3"/>
  <c r="E109" i="3"/>
  <c r="F109" i="3"/>
  <c r="G109" i="3"/>
  <c r="H109" i="3"/>
  <c r="I109" i="3"/>
  <c r="J109" i="3"/>
  <c r="K109" i="3"/>
  <c r="B110" i="3"/>
  <c r="C110" i="3"/>
  <c r="D110" i="3"/>
  <c r="E110" i="3"/>
  <c r="F110" i="3"/>
  <c r="G110" i="3"/>
  <c r="H110" i="3"/>
  <c r="I110" i="3"/>
  <c r="J110" i="3"/>
  <c r="K110" i="3"/>
  <c r="B111" i="3"/>
  <c r="C111" i="3"/>
  <c r="D111" i="3"/>
  <c r="E111" i="3"/>
  <c r="F111" i="3"/>
  <c r="G111" i="3"/>
  <c r="H111" i="3"/>
  <c r="I111" i="3"/>
  <c r="J111" i="3"/>
  <c r="K111" i="3"/>
  <c r="B112" i="3"/>
  <c r="C112" i="3"/>
  <c r="D112" i="3"/>
  <c r="E112" i="3"/>
  <c r="F112" i="3"/>
  <c r="G112" i="3"/>
  <c r="H112" i="3"/>
  <c r="I112" i="3"/>
  <c r="J112" i="3"/>
  <c r="K112" i="3"/>
  <c r="B113" i="3"/>
  <c r="C113" i="3"/>
  <c r="D113" i="3"/>
  <c r="E113" i="3"/>
  <c r="F113" i="3"/>
  <c r="G113" i="3"/>
  <c r="H113" i="3"/>
  <c r="I113" i="3"/>
  <c r="J113" i="3"/>
  <c r="K113" i="3"/>
  <c r="B114" i="3"/>
  <c r="C114" i="3"/>
  <c r="D114" i="3"/>
  <c r="E114" i="3"/>
  <c r="F114" i="3"/>
  <c r="G114" i="3"/>
  <c r="H114" i="3"/>
  <c r="I114" i="3"/>
  <c r="J114" i="3"/>
  <c r="K114" i="3"/>
  <c r="B115" i="3"/>
  <c r="C115" i="3"/>
  <c r="D115" i="3"/>
  <c r="E115" i="3"/>
  <c r="F115" i="3"/>
  <c r="G115" i="3"/>
  <c r="H115" i="3"/>
  <c r="I115" i="3"/>
  <c r="J115" i="3"/>
  <c r="K115" i="3"/>
  <c r="B116" i="3"/>
  <c r="C116" i="3"/>
  <c r="D116" i="3"/>
  <c r="E116" i="3"/>
  <c r="F116" i="3"/>
  <c r="G116" i="3"/>
  <c r="H116" i="3"/>
  <c r="I116" i="3"/>
  <c r="J116" i="3"/>
  <c r="K116" i="3"/>
  <c r="B117" i="3"/>
  <c r="C117" i="3"/>
  <c r="D117" i="3"/>
  <c r="E117" i="3"/>
  <c r="F117" i="3"/>
  <c r="G117" i="3"/>
  <c r="H117" i="3"/>
  <c r="I117" i="3"/>
  <c r="J117" i="3"/>
  <c r="K117" i="3"/>
  <c r="B118" i="3"/>
  <c r="C118" i="3"/>
  <c r="D118" i="3"/>
  <c r="E118" i="3"/>
  <c r="F118" i="3"/>
  <c r="G118" i="3"/>
  <c r="H118" i="3"/>
  <c r="I118" i="3"/>
  <c r="J118" i="3"/>
  <c r="K118" i="3"/>
  <c r="B119" i="3"/>
  <c r="C119" i="3"/>
  <c r="D119" i="3"/>
  <c r="E119" i="3"/>
  <c r="F119" i="3"/>
  <c r="G119" i="3"/>
  <c r="H119" i="3"/>
  <c r="I119" i="3"/>
  <c r="J119" i="3"/>
  <c r="K119" i="3"/>
  <c r="B120" i="3"/>
  <c r="C120" i="3"/>
  <c r="D120" i="3"/>
  <c r="E120" i="3"/>
  <c r="F120" i="3"/>
  <c r="G120" i="3"/>
  <c r="H120" i="3"/>
  <c r="I120" i="3"/>
  <c r="J120" i="3"/>
  <c r="K120" i="3"/>
  <c r="B121" i="3"/>
  <c r="C121" i="3"/>
  <c r="D121" i="3"/>
  <c r="E121" i="3"/>
  <c r="F121" i="3"/>
  <c r="G121" i="3"/>
  <c r="H121" i="3"/>
  <c r="I121" i="3"/>
  <c r="J121" i="3"/>
  <c r="K121" i="3"/>
  <c r="B122" i="3"/>
  <c r="C122" i="3"/>
  <c r="D122" i="3"/>
  <c r="E122" i="3"/>
  <c r="F122" i="3"/>
  <c r="G122" i="3"/>
  <c r="H122" i="3"/>
  <c r="I122" i="3"/>
  <c r="J122" i="3"/>
  <c r="K122" i="3"/>
  <c r="B123" i="3"/>
  <c r="C123" i="3"/>
  <c r="D123" i="3"/>
  <c r="E123" i="3"/>
  <c r="F123" i="3"/>
  <c r="G123" i="3"/>
  <c r="H123" i="3"/>
  <c r="I123" i="3"/>
  <c r="J123" i="3"/>
  <c r="K123" i="3"/>
  <c r="B124" i="3"/>
  <c r="C124" i="3"/>
  <c r="D124" i="3"/>
  <c r="E124" i="3"/>
  <c r="F124" i="3"/>
  <c r="G124" i="3"/>
  <c r="H124" i="3"/>
  <c r="I124" i="3"/>
  <c r="J124" i="3"/>
  <c r="K124" i="3"/>
  <c r="B125" i="3"/>
  <c r="C125" i="3"/>
  <c r="D125" i="3"/>
  <c r="E125" i="3"/>
  <c r="F125" i="3"/>
  <c r="G125" i="3"/>
  <c r="H125" i="3"/>
  <c r="I125" i="3"/>
  <c r="J125" i="3"/>
  <c r="K125" i="3"/>
  <c r="B126" i="3"/>
  <c r="C126" i="3"/>
  <c r="D126" i="3"/>
  <c r="E126" i="3"/>
  <c r="F126" i="3"/>
  <c r="G126" i="3"/>
  <c r="H126" i="3"/>
  <c r="I126" i="3"/>
  <c r="J126" i="3"/>
  <c r="K126" i="3"/>
  <c r="B127" i="3"/>
  <c r="C127" i="3"/>
  <c r="D127" i="3"/>
  <c r="E127" i="3"/>
  <c r="F127" i="3"/>
  <c r="G127" i="3"/>
  <c r="H127" i="3"/>
  <c r="I127" i="3"/>
  <c r="J127" i="3"/>
  <c r="K127" i="3"/>
  <c r="B128" i="3"/>
  <c r="C128" i="3"/>
  <c r="D128" i="3"/>
  <c r="E128" i="3"/>
  <c r="F128" i="3"/>
  <c r="G128" i="3"/>
  <c r="H128" i="3"/>
  <c r="I128" i="3"/>
  <c r="J128" i="3"/>
  <c r="K128" i="3"/>
  <c r="B129" i="3"/>
  <c r="C129" i="3"/>
  <c r="D129" i="3"/>
  <c r="E129" i="3"/>
  <c r="F129" i="3"/>
  <c r="G129" i="3"/>
  <c r="H129" i="3"/>
  <c r="I129" i="3"/>
  <c r="J129" i="3"/>
  <c r="K129" i="3"/>
  <c r="B130" i="3"/>
  <c r="C130" i="3"/>
  <c r="D130" i="3"/>
  <c r="E130" i="3"/>
  <c r="F130" i="3"/>
  <c r="G130" i="3"/>
  <c r="H130" i="3"/>
  <c r="I130" i="3"/>
  <c r="J130" i="3"/>
  <c r="K130" i="3"/>
  <c r="B131" i="3"/>
  <c r="C131" i="3"/>
  <c r="D131" i="3"/>
  <c r="E131" i="3"/>
  <c r="F131" i="3"/>
  <c r="G131" i="3"/>
  <c r="H131" i="3"/>
  <c r="I131" i="3"/>
  <c r="J131" i="3"/>
  <c r="K131" i="3"/>
  <c r="B132" i="3"/>
  <c r="C132" i="3"/>
  <c r="D132" i="3"/>
  <c r="E132" i="3"/>
  <c r="F132" i="3"/>
  <c r="G132" i="3"/>
  <c r="H132" i="3"/>
  <c r="I132" i="3"/>
  <c r="J132" i="3"/>
  <c r="K132" i="3"/>
  <c r="B133" i="3"/>
  <c r="C133" i="3"/>
  <c r="D133" i="3"/>
  <c r="E133" i="3"/>
  <c r="F133" i="3"/>
  <c r="G133" i="3"/>
  <c r="H133" i="3"/>
  <c r="I133" i="3"/>
  <c r="J133" i="3"/>
  <c r="K133" i="3"/>
  <c r="B134" i="3"/>
  <c r="C134" i="3"/>
  <c r="D134" i="3"/>
  <c r="E134" i="3"/>
  <c r="F134" i="3"/>
  <c r="G134" i="3"/>
  <c r="H134" i="3"/>
  <c r="I134" i="3"/>
  <c r="J134" i="3"/>
  <c r="K134" i="3"/>
  <c r="B135" i="3"/>
  <c r="C135" i="3"/>
  <c r="D135" i="3"/>
  <c r="E135" i="3"/>
  <c r="F135" i="3"/>
  <c r="G135" i="3"/>
  <c r="H135" i="3"/>
  <c r="I135" i="3"/>
  <c r="J135" i="3"/>
  <c r="K135" i="3"/>
  <c r="B136" i="3"/>
  <c r="C136" i="3"/>
  <c r="D136" i="3"/>
  <c r="E136" i="3"/>
  <c r="F136" i="3"/>
  <c r="G136" i="3"/>
  <c r="H136" i="3"/>
  <c r="I136" i="3"/>
  <c r="J136" i="3"/>
  <c r="K136" i="3"/>
  <c r="B137" i="3"/>
  <c r="C137" i="3"/>
  <c r="D137" i="3"/>
  <c r="E137" i="3"/>
  <c r="F137" i="3"/>
  <c r="G137" i="3"/>
  <c r="H137" i="3"/>
  <c r="I137" i="3"/>
  <c r="J137" i="3"/>
  <c r="K137" i="3"/>
  <c r="B138" i="3"/>
  <c r="C138" i="3"/>
  <c r="D138" i="3"/>
  <c r="E138" i="3"/>
  <c r="F138" i="3"/>
  <c r="G138" i="3"/>
  <c r="H138" i="3"/>
  <c r="I138" i="3"/>
  <c r="J138" i="3"/>
  <c r="K138" i="3"/>
  <c r="B139" i="3"/>
  <c r="C139" i="3"/>
  <c r="D139" i="3"/>
  <c r="E139" i="3"/>
  <c r="F139" i="3"/>
  <c r="G139" i="3"/>
  <c r="H139" i="3"/>
  <c r="I139" i="3"/>
  <c r="J139" i="3"/>
  <c r="K139" i="3"/>
  <c r="B140" i="3"/>
  <c r="C140" i="3"/>
  <c r="D140" i="3"/>
  <c r="E140" i="3"/>
  <c r="F140" i="3"/>
  <c r="G140" i="3"/>
  <c r="H140" i="3"/>
  <c r="I140" i="3"/>
  <c r="J140" i="3"/>
  <c r="K140" i="3"/>
  <c r="B141" i="3"/>
  <c r="C141" i="3"/>
  <c r="D141" i="3"/>
  <c r="E141" i="3"/>
  <c r="F141" i="3"/>
  <c r="G141" i="3"/>
  <c r="H141" i="3"/>
  <c r="I141" i="3"/>
  <c r="J141" i="3"/>
  <c r="K141" i="3"/>
  <c r="B142" i="3"/>
  <c r="C142" i="3"/>
  <c r="D142" i="3"/>
  <c r="E142" i="3"/>
  <c r="F142" i="3"/>
  <c r="G142" i="3"/>
  <c r="H142" i="3"/>
  <c r="I142" i="3"/>
  <c r="J142" i="3"/>
  <c r="K142" i="3"/>
  <c r="B143" i="3"/>
  <c r="C143" i="3"/>
  <c r="D143" i="3"/>
  <c r="E143" i="3"/>
  <c r="F143" i="3"/>
  <c r="G143" i="3"/>
  <c r="H143" i="3"/>
  <c r="I143" i="3"/>
  <c r="J143" i="3"/>
  <c r="K143" i="3"/>
  <c r="B144" i="3"/>
  <c r="C144" i="3"/>
  <c r="D144" i="3"/>
  <c r="E144" i="3"/>
  <c r="F144" i="3"/>
  <c r="G144" i="3"/>
  <c r="H144" i="3"/>
  <c r="I144" i="3"/>
  <c r="J144" i="3"/>
  <c r="K144" i="3"/>
  <c r="B145" i="3"/>
  <c r="C145" i="3"/>
  <c r="D145" i="3"/>
  <c r="E145" i="3"/>
  <c r="F145" i="3"/>
  <c r="G145" i="3"/>
  <c r="H145" i="3"/>
  <c r="I145" i="3"/>
  <c r="J145" i="3"/>
  <c r="K145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B150" i="3"/>
  <c r="C150" i="3"/>
  <c r="D150" i="3"/>
  <c r="E150" i="3"/>
  <c r="F150" i="3"/>
  <c r="G150" i="3"/>
  <c r="H150" i="3"/>
  <c r="I150" i="3"/>
  <c r="J150" i="3"/>
  <c r="K150" i="3"/>
  <c r="B151" i="3"/>
  <c r="C151" i="3"/>
  <c r="D151" i="3"/>
  <c r="E151" i="3"/>
  <c r="F151" i="3"/>
  <c r="G151" i="3"/>
  <c r="H151" i="3"/>
  <c r="I151" i="3"/>
  <c r="J151" i="3"/>
  <c r="K151" i="3"/>
  <c r="B152" i="3"/>
  <c r="C152" i="3"/>
  <c r="D152" i="3"/>
  <c r="E152" i="3"/>
  <c r="F152" i="3"/>
  <c r="G152" i="3"/>
  <c r="H152" i="3"/>
  <c r="I152" i="3"/>
  <c r="J152" i="3"/>
  <c r="K152" i="3"/>
  <c r="B153" i="3"/>
  <c r="C153" i="3"/>
  <c r="D153" i="3"/>
  <c r="E153" i="3"/>
  <c r="F153" i="3"/>
  <c r="G153" i="3"/>
  <c r="H153" i="3"/>
  <c r="I153" i="3"/>
  <c r="J153" i="3"/>
  <c r="K153" i="3"/>
  <c r="B154" i="3"/>
  <c r="C154" i="3"/>
  <c r="D154" i="3"/>
  <c r="E154" i="3"/>
  <c r="F154" i="3"/>
  <c r="G154" i="3"/>
  <c r="H154" i="3"/>
  <c r="I154" i="3"/>
  <c r="J154" i="3"/>
  <c r="K154" i="3"/>
  <c r="B155" i="3"/>
  <c r="C155" i="3"/>
  <c r="D155" i="3"/>
  <c r="E155" i="3"/>
  <c r="F155" i="3"/>
  <c r="G155" i="3"/>
  <c r="H155" i="3"/>
  <c r="I155" i="3"/>
  <c r="J155" i="3"/>
  <c r="K155" i="3"/>
  <c r="B156" i="3"/>
  <c r="C156" i="3"/>
  <c r="D156" i="3"/>
  <c r="E156" i="3"/>
  <c r="F156" i="3"/>
  <c r="G156" i="3"/>
  <c r="H156" i="3"/>
  <c r="I156" i="3"/>
  <c r="J156" i="3"/>
  <c r="K156" i="3"/>
  <c r="B157" i="3"/>
  <c r="C157" i="3"/>
  <c r="D157" i="3"/>
  <c r="E157" i="3"/>
  <c r="F157" i="3"/>
  <c r="G157" i="3"/>
  <c r="H157" i="3"/>
  <c r="I157" i="3"/>
  <c r="J157" i="3"/>
  <c r="K157" i="3"/>
  <c r="B158" i="3"/>
  <c r="C158" i="3"/>
  <c r="D158" i="3"/>
  <c r="E158" i="3"/>
  <c r="F158" i="3"/>
  <c r="G158" i="3"/>
  <c r="H158" i="3"/>
  <c r="I158" i="3"/>
  <c r="J158" i="3"/>
  <c r="K158" i="3"/>
  <c r="B159" i="3"/>
  <c r="C159" i="3"/>
  <c r="D159" i="3"/>
  <c r="E159" i="3"/>
  <c r="F159" i="3"/>
  <c r="G159" i="3"/>
  <c r="H159" i="3"/>
  <c r="I159" i="3"/>
  <c r="J159" i="3"/>
  <c r="K159" i="3"/>
  <c r="B160" i="3"/>
  <c r="C160" i="3"/>
  <c r="D160" i="3"/>
  <c r="E160" i="3"/>
  <c r="F160" i="3"/>
  <c r="G160" i="3"/>
  <c r="H160" i="3"/>
  <c r="I160" i="3"/>
  <c r="J160" i="3"/>
  <c r="K160" i="3"/>
  <c r="B161" i="3"/>
  <c r="C161" i="3"/>
  <c r="D161" i="3"/>
  <c r="E161" i="3"/>
  <c r="F161" i="3"/>
  <c r="G161" i="3"/>
  <c r="H161" i="3"/>
  <c r="I161" i="3"/>
  <c r="J161" i="3"/>
  <c r="K161" i="3"/>
  <c r="B162" i="3"/>
  <c r="C162" i="3"/>
  <c r="D162" i="3"/>
  <c r="E162" i="3"/>
  <c r="F162" i="3"/>
  <c r="G162" i="3"/>
  <c r="H162" i="3"/>
  <c r="I162" i="3"/>
  <c r="J162" i="3"/>
  <c r="K162" i="3"/>
  <c r="B163" i="3"/>
  <c r="C163" i="3"/>
  <c r="D163" i="3"/>
  <c r="E163" i="3"/>
  <c r="F163" i="3"/>
  <c r="G163" i="3"/>
  <c r="H163" i="3"/>
  <c r="I163" i="3"/>
  <c r="J163" i="3"/>
  <c r="K163" i="3"/>
  <c r="B164" i="3"/>
  <c r="C164" i="3"/>
  <c r="D164" i="3"/>
  <c r="E164" i="3"/>
  <c r="F164" i="3"/>
  <c r="G164" i="3"/>
  <c r="H164" i="3"/>
  <c r="I164" i="3"/>
  <c r="J164" i="3"/>
  <c r="K164" i="3"/>
  <c r="B165" i="3"/>
  <c r="C165" i="3"/>
  <c r="D165" i="3"/>
  <c r="E165" i="3"/>
  <c r="F165" i="3"/>
  <c r="G165" i="3"/>
  <c r="H165" i="3"/>
  <c r="I165" i="3"/>
  <c r="J165" i="3"/>
  <c r="K165" i="3"/>
  <c r="B166" i="3"/>
  <c r="C166" i="3"/>
  <c r="D166" i="3"/>
  <c r="E166" i="3"/>
  <c r="F166" i="3"/>
  <c r="G166" i="3"/>
  <c r="H166" i="3"/>
  <c r="I166" i="3"/>
  <c r="J166" i="3"/>
  <c r="K166" i="3"/>
  <c r="B167" i="3"/>
  <c r="C167" i="3"/>
  <c r="D167" i="3"/>
  <c r="E167" i="3"/>
  <c r="F167" i="3"/>
  <c r="G167" i="3"/>
  <c r="H167" i="3"/>
  <c r="I167" i="3"/>
  <c r="J167" i="3"/>
  <c r="K167" i="3"/>
  <c r="B168" i="3"/>
  <c r="C168" i="3"/>
  <c r="D168" i="3"/>
  <c r="E168" i="3"/>
  <c r="F168" i="3"/>
  <c r="G168" i="3"/>
  <c r="H168" i="3"/>
  <c r="I168" i="3"/>
  <c r="J168" i="3"/>
  <c r="K168" i="3"/>
  <c r="B169" i="3"/>
  <c r="C169" i="3"/>
  <c r="D169" i="3"/>
  <c r="E169" i="3"/>
  <c r="F169" i="3"/>
  <c r="G169" i="3"/>
  <c r="H169" i="3"/>
  <c r="I169" i="3"/>
  <c r="J169" i="3"/>
  <c r="K169" i="3"/>
  <c r="B170" i="3"/>
  <c r="C170" i="3"/>
  <c r="D170" i="3"/>
  <c r="E170" i="3"/>
  <c r="F170" i="3"/>
  <c r="G170" i="3"/>
  <c r="H170" i="3"/>
  <c r="I170" i="3"/>
  <c r="J170" i="3"/>
  <c r="K170" i="3"/>
  <c r="B171" i="3"/>
  <c r="C171" i="3"/>
  <c r="D171" i="3"/>
  <c r="E171" i="3"/>
  <c r="F171" i="3"/>
  <c r="G171" i="3"/>
  <c r="H171" i="3"/>
  <c r="I171" i="3"/>
  <c r="J171" i="3"/>
  <c r="K171" i="3"/>
  <c r="B172" i="3"/>
  <c r="C172" i="3"/>
  <c r="D172" i="3"/>
  <c r="E172" i="3"/>
  <c r="F172" i="3"/>
  <c r="G172" i="3"/>
  <c r="H172" i="3"/>
  <c r="I172" i="3"/>
  <c r="J172" i="3"/>
  <c r="K172" i="3"/>
  <c r="B173" i="3"/>
  <c r="C173" i="3"/>
  <c r="D173" i="3"/>
  <c r="E173" i="3"/>
  <c r="F173" i="3"/>
  <c r="G173" i="3"/>
  <c r="H173" i="3"/>
  <c r="I173" i="3"/>
  <c r="J173" i="3"/>
  <c r="K173" i="3"/>
  <c r="B174" i="3"/>
  <c r="C174" i="3"/>
  <c r="D174" i="3"/>
  <c r="E174" i="3"/>
  <c r="F174" i="3"/>
  <c r="G174" i="3"/>
  <c r="H174" i="3"/>
  <c r="I174" i="3"/>
  <c r="J174" i="3"/>
  <c r="K174" i="3"/>
  <c r="B175" i="3"/>
  <c r="C175" i="3"/>
  <c r="D175" i="3"/>
  <c r="E175" i="3"/>
  <c r="F175" i="3"/>
  <c r="G175" i="3"/>
  <c r="H175" i="3"/>
  <c r="I175" i="3"/>
  <c r="J175" i="3"/>
  <c r="K175" i="3"/>
  <c r="B176" i="3"/>
  <c r="C176" i="3"/>
  <c r="D176" i="3"/>
  <c r="E176" i="3"/>
  <c r="F176" i="3"/>
  <c r="G176" i="3"/>
  <c r="H176" i="3"/>
  <c r="I176" i="3"/>
  <c r="J176" i="3"/>
  <c r="K176" i="3"/>
  <c r="B177" i="3"/>
  <c r="C177" i="3"/>
  <c r="D177" i="3"/>
  <c r="E177" i="3"/>
  <c r="F177" i="3"/>
  <c r="G177" i="3"/>
  <c r="H177" i="3"/>
  <c r="I177" i="3"/>
  <c r="J177" i="3"/>
  <c r="K177" i="3"/>
  <c r="B178" i="3"/>
  <c r="C178" i="3"/>
  <c r="D178" i="3"/>
  <c r="E178" i="3"/>
  <c r="F178" i="3"/>
  <c r="G178" i="3"/>
  <c r="H178" i="3"/>
  <c r="I178" i="3"/>
  <c r="J178" i="3"/>
  <c r="K178" i="3"/>
  <c r="B179" i="3"/>
  <c r="C179" i="3"/>
  <c r="D179" i="3"/>
  <c r="E179" i="3"/>
  <c r="F179" i="3"/>
  <c r="G179" i="3"/>
  <c r="H179" i="3"/>
  <c r="I179" i="3"/>
  <c r="J179" i="3"/>
  <c r="K179" i="3"/>
  <c r="B180" i="3"/>
  <c r="C180" i="3"/>
  <c r="D180" i="3"/>
  <c r="E180" i="3"/>
  <c r="F180" i="3"/>
  <c r="G180" i="3"/>
  <c r="H180" i="3"/>
  <c r="I180" i="3"/>
  <c r="J180" i="3"/>
  <c r="K180" i="3"/>
  <c r="B181" i="3"/>
  <c r="C181" i="3"/>
  <c r="D181" i="3"/>
  <c r="E181" i="3"/>
  <c r="F181" i="3"/>
  <c r="G181" i="3"/>
  <c r="H181" i="3"/>
  <c r="I181" i="3"/>
  <c r="J181" i="3"/>
  <c r="K181" i="3"/>
  <c r="B182" i="3"/>
  <c r="C182" i="3"/>
  <c r="D182" i="3"/>
  <c r="E182" i="3"/>
  <c r="F182" i="3"/>
  <c r="G182" i="3"/>
  <c r="H182" i="3"/>
  <c r="I182" i="3"/>
  <c r="J182" i="3"/>
  <c r="K182" i="3"/>
  <c r="B183" i="3"/>
  <c r="C183" i="3"/>
  <c r="D183" i="3"/>
  <c r="E183" i="3"/>
  <c r="F183" i="3"/>
  <c r="G183" i="3"/>
  <c r="H183" i="3"/>
  <c r="I183" i="3"/>
  <c r="J183" i="3"/>
  <c r="K183" i="3"/>
  <c r="B184" i="3"/>
  <c r="C184" i="3"/>
  <c r="D184" i="3"/>
  <c r="E184" i="3"/>
  <c r="F184" i="3"/>
  <c r="G184" i="3"/>
  <c r="H184" i="3"/>
  <c r="I184" i="3"/>
  <c r="J184" i="3"/>
  <c r="K184" i="3"/>
  <c r="B185" i="3"/>
  <c r="C185" i="3"/>
  <c r="D185" i="3"/>
  <c r="E185" i="3"/>
  <c r="F185" i="3"/>
  <c r="G185" i="3"/>
  <c r="H185" i="3"/>
  <c r="I185" i="3"/>
  <c r="J185" i="3"/>
  <c r="K185" i="3"/>
  <c r="B186" i="3"/>
  <c r="C186" i="3"/>
  <c r="D186" i="3"/>
  <c r="E186" i="3"/>
  <c r="F186" i="3"/>
  <c r="G186" i="3"/>
  <c r="H186" i="3"/>
  <c r="I186" i="3"/>
  <c r="J186" i="3"/>
  <c r="K186" i="3"/>
  <c r="B187" i="3"/>
  <c r="C187" i="3"/>
  <c r="D187" i="3"/>
  <c r="E187" i="3"/>
  <c r="F187" i="3"/>
  <c r="G187" i="3"/>
  <c r="H187" i="3"/>
  <c r="I187" i="3"/>
  <c r="J187" i="3"/>
  <c r="K187" i="3"/>
  <c r="B188" i="3"/>
  <c r="C188" i="3"/>
  <c r="D188" i="3"/>
  <c r="E188" i="3"/>
  <c r="F188" i="3"/>
  <c r="G188" i="3"/>
  <c r="H188" i="3"/>
  <c r="I188" i="3"/>
  <c r="J188" i="3"/>
  <c r="K188" i="3"/>
  <c r="B189" i="3"/>
  <c r="C189" i="3"/>
  <c r="D189" i="3"/>
  <c r="E189" i="3"/>
  <c r="F189" i="3"/>
  <c r="G189" i="3"/>
  <c r="H189" i="3"/>
  <c r="I189" i="3"/>
  <c r="J189" i="3"/>
  <c r="K189" i="3"/>
  <c r="B190" i="3"/>
  <c r="C190" i="3"/>
  <c r="D190" i="3"/>
  <c r="E190" i="3"/>
  <c r="F190" i="3"/>
  <c r="G190" i="3"/>
  <c r="H190" i="3"/>
  <c r="I190" i="3"/>
  <c r="J190" i="3"/>
  <c r="K190" i="3"/>
  <c r="B191" i="3"/>
  <c r="C191" i="3"/>
  <c r="D191" i="3"/>
  <c r="E191" i="3"/>
  <c r="F191" i="3"/>
  <c r="G191" i="3"/>
  <c r="H191" i="3"/>
  <c r="I191" i="3"/>
  <c r="J191" i="3"/>
  <c r="K191" i="3"/>
  <c r="B192" i="3"/>
  <c r="C192" i="3"/>
  <c r="D192" i="3"/>
  <c r="E192" i="3"/>
  <c r="F192" i="3"/>
  <c r="G192" i="3"/>
  <c r="H192" i="3"/>
  <c r="I192" i="3"/>
  <c r="J192" i="3"/>
  <c r="K192" i="3"/>
  <c r="B193" i="3"/>
  <c r="C193" i="3"/>
  <c r="D193" i="3"/>
  <c r="E193" i="3"/>
  <c r="F193" i="3"/>
  <c r="G193" i="3"/>
  <c r="H193" i="3"/>
  <c r="I193" i="3"/>
  <c r="J193" i="3"/>
  <c r="K193" i="3"/>
  <c r="B194" i="3"/>
  <c r="C194" i="3"/>
  <c r="D194" i="3"/>
  <c r="E194" i="3"/>
  <c r="F194" i="3"/>
  <c r="G194" i="3"/>
  <c r="H194" i="3"/>
  <c r="I194" i="3"/>
  <c r="J194" i="3"/>
  <c r="K194" i="3"/>
  <c r="B195" i="3"/>
  <c r="C195" i="3"/>
  <c r="D195" i="3"/>
  <c r="E195" i="3"/>
  <c r="F195" i="3"/>
  <c r="G195" i="3"/>
  <c r="H195" i="3"/>
  <c r="I195" i="3"/>
  <c r="J195" i="3"/>
  <c r="K195" i="3"/>
  <c r="B196" i="3"/>
  <c r="C196" i="3"/>
  <c r="D196" i="3"/>
  <c r="E196" i="3"/>
  <c r="F196" i="3"/>
  <c r="G196" i="3"/>
  <c r="H196" i="3"/>
  <c r="I196" i="3"/>
  <c r="J196" i="3"/>
  <c r="K196" i="3"/>
  <c r="B197" i="3"/>
  <c r="C197" i="3"/>
  <c r="D197" i="3"/>
  <c r="E197" i="3"/>
  <c r="F197" i="3"/>
  <c r="G197" i="3"/>
  <c r="H197" i="3"/>
  <c r="I197" i="3"/>
  <c r="J197" i="3"/>
  <c r="K197" i="3"/>
  <c r="B198" i="3"/>
  <c r="C198" i="3"/>
  <c r="D198" i="3"/>
  <c r="E198" i="3"/>
  <c r="F198" i="3"/>
  <c r="G198" i="3"/>
  <c r="H198" i="3"/>
  <c r="I198" i="3"/>
  <c r="J198" i="3"/>
  <c r="K198" i="3"/>
  <c r="B199" i="3"/>
  <c r="C199" i="3"/>
  <c r="D199" i="3"/>
  <c r="E199" i="3"/>
  <c r="F199" i="3"/>
  <c r="G199" i="3"/>
  <c r="H199" i="3"/>
  <c r="I199" i="3"/>
  <c r="J199" i="3"/>
  <c r="K199" i="3"/>
  <c r="B200" i="3"/>
  <c r="C200" i="3"/>
  <c r="D200" i="3"/>
  <c r="E200" i="3"/>
  <c r="F200" i="3"/>
  <c r="G200" i="3"/>
  <c r="H200" i="3"/>
  <c r="I200" i="3"/>
  <c r="J200" i="3"/>
  <c r="K200" i="3"/>
  <c r="B201" i="3"/>
  <c r="C201" i="3"/>
  <c r="D201" i="3"/>
  <c r="E201" i="3"/>
  <c r="F201" i="3"/>
  <c r="G201" i="3"/>
  <c r="H201" i="3"/>
  <c r="I201" i="3"/>
  <c r="J201" i="3"/>
  <c r="K201" i="3"/>
  <c r="B202" i="3"/>
  <c r="C202" i="3"/>
  <c r="D202" i="3"/>
  <c r="E202" i="3"/>
  <c r="F202" i="3"/>
  <c r="G202" i="3"/>
  <c r="H202" i="3"/>
  <c r="I202" i="3"/>
  <c r="J202" i="3"/>
  <c r="K202" i="3"/>
  <c r="B203" i="3"/>
  <c r="C203" i="3"/>
  <c r="D203" i="3"/>
  <c r="E203" i="3"/>
  <c r="F203" i="3"/>
  <c r="G203" i="3"/>
  <c r="H203" i="3"/>
  <c r="I203" i="3"/>
  <c r="J203" i="3"/>
  <c r="K203" i="3"/>
  <c r="B204" i="3"/>
  <c r="C204" i="3"/>
  <c r="D204" i="3"/>
  <c r="E204" i="3"/>
  <c r="F204" i="3"/>
  <c r="G204" i="3"/>
  <c r="H204" i="3"/>
  <c r="I204" i="3"/>
  <c r="J204" i="3"/>
  <c r="K204" i="3"/>
  <c r="B205" i="3"/>
  <c r="C205" i="3"/>
  <c r="D205" i="3"/>
  <c r="E205" i="3"/>
  <c r="F205" i="3"/>
  <c r="G205" i="3"/>
  <c r="H205" i="3"/>
  <c r="I205" i="3"/>
  <c r="J205" i="3"/>
  <c r="K205" i="3"/>
  <c r="B206" i="3"/>
  <c r="C206" i="3"/>
  <c r="D206" i="3"/>
  <c r="E206" i="3"/>
  <c r="F206" i="3"/>
  <c r="G206" i="3"/>
  <c r="H206" i="3"/>
  <c r="I206" i="3"/>
  <c r="J206" i="3"/>
  <c r="K206" i="3"/>
  <c r="B207" i="3"/>
  <c r="C207" i="3"/>
  <c r="D207" i="3"/>
  <c r="E207" i="3"/>
  <c r="F207" i="3"/>
  <c r="G207" i="3"/>
  <c r="H207" i="3"/>
  <c r="I207" i="3"/>
  <c r="J207" i="3"/>
  <c r="K207" i="3"/>
  <c r="B208" i="3"/>
  <c r="C208" i="3"/>
  <c r="D208" i="3"/>
  <c r="E208" i="3"/>
  <c r="F208" i="3"/>
  <c r="G208" i="3"/>
  <c r="H208" i="3"/>
  <c r="I208" i="3"/>
  <c r="J208" i="3"/>
  <c r="K208" i="3"/>
  <c r="B209" i="3"/>
  <c r="C209" i="3"/>
  <c r="D209" i="3"/>
  <c r="E209" i="3"/>
  <c r="F209" i="3"/>
  <c r="G209" i="3"/>
  <c r="H209" i="3"/>
  <c r="I209" i="3"/>
  <c r="J209" i="3"/>
  <c r="K209" i="3"/>
  <c r="B210" i="3"/>
  <c r="C210" i="3"/>
  <c r="D210" i="3"/>
  <c r="E210" i="3"/>
  <c r="F210" i="3"/>
  <c r="G210" i="3"/>
  <c r="H210" i="3"/>
  <c r="I210" i="3"/>
  <c r="J210" i="3"/>
  <c r="K210" i="3"/>
  <c r="B211" i="3"/>
  <c r="C211" i="3"/>
  <c r="D211" i="3"/>
  <c r="E211" i="3"/>
  <c r="F211" i="3"/>
  <c r="G211" i="3"/>
  <c r="H211" i="3"/>
  <c r="I211" i="3"/>
  <c r="J211" i="3"/>
  <c r="K211" i="3"/>
  <c r="B212" i="3"/>
  <c r="C212" i="3"/>
  <c r="D212" i="3"/>
  <c r="E212" i="3"/>
  <c r="F212" i="3"/>
  <c r="G212" i="3"/>
  <c r="H212" i="3"/>
  <c r="I212" i="3"/>
  <c r="J212" i="3"/>
  <c r="K212" i="3"/>
  <c r="B213" i="3"/>
  <c r="C213" i="3"/>
  <c r="D213" i="3"/>
  <c r="E213" i="3"/>
  <c r="F213" i="3"/>
  <c r="G213" i="3"/>
  <c r="H213" i="3"/>
  <c r="I213" i="3"/>
  <c r="J213" i="3"/>
  <c r="K213" i="3"/>
  <c r="B214" i="3"/>
  <c r="C214" i="3"/>
  <c r="D214" i="3"/>
  <c r="E214" i="3"/>
  <c r="F214" i="3"/>
  <c r="G214" i="3"/>
  <c r="H214" i="3"/>
  <c r="I214" i="3"/>
  <c r="J214" i="3"/>
  <c r="K214" i="3"/>
  <c r="B215" i="3"/>
  <c r="C215" i="3"/>
  <c r="D215" i="3"/>
  <c r="E215" i="3"/>
  <c r="F215" i="3"/>
  <c r="G215" i="3"/>
  <c r="H215" i="3"/>
  <c r="I215" i="3"/>
  <c r="J215" i="3"/>
  <c r="K215" i="3"/>
  <c r="B216" i="3"/>
  <c r="C216" i="3"/>
  <c r="D216" i="3"/>
  <c r="E216" i="3"/>
  <c r="F216" i="3"/>
  <c r="G216" i="3"/>
  <c r="H216" i="3"/>
  <c r="I216" i="3"/>
  <c r="J216" i="3"/>
  <c r="K216" i="3"/>
  <c r="B217" i="3"/>
  <c r="C217" i="3"/>
  <c r="D217" i="3"/>
  <c r="E217" i="3"/>
  <c r="F217" i="3"/>
  <c r="G217" i="3"/>
  <c r="H217" i="3"/>
  <c r="I217" i="3"/>
  <c r="J217" i="3"/>
  <c r="K217" i="3"/>
  <c r="B218" i="3"/>
  <c r="C218" i="3"/>
  <c r="D218" i="3"/>
  <c r="E218" i="3"/>
  <c r="F218" i="3"/>
  <c r="G218" i="3"/>
  <c r="H218" i="3"/>
  <c r="I218" i="3"/>
  <c r="J218" i="3"/>
  <c r="K218" i="3"/>
  <c r="B219" i="3"/>
  <c r="C219" i="3"/>
  <c r="D219" i="3"/>
  <c r="E219" i="3"/>
  <c r="F219" i="3"/>
  <c r="G219" i="3"/>
  <c r="H219" i="3"/>
  <c r="I219" i="3"/>
  <c r="J219" i="3"/>
  <c r="K219" i="3"/>
  <c r="B220" i="3"/>
  <c r="C220" i="3"/>
  <c r="D220" i="3"/>
  <c r="E220" i="3"/>
  <c r="F220" i="3"/>
  <c r="G220" i="3"/>
  <c r="H220" i="3"/>
  <c r="I220" i="3"/>
  <c r="J220" i="3"/>
  <c r="K220" i="3"/>
  <c r="B221" i="3"/>
  <c r="C221" i="3"/>
  <c r="D221" i="3"/>
  <c r="E221" i="3"/>
  <c r="F221" i="3"/>
  <c r="G221" i="3"/>
  <c r="H221" i="3"/>
  <c r="I221" i="3"/>
  <c r="J221" i="3"/>
  <c r="K221" i="3"/>
  <c r="B222" i="3"/>
  <c r="C222" i="3"/>
  <c r="D222" i="3"/>
  <c r="E222" i="3"/>
  <c r="F222" i="3"/>
  <c r="G222" i="3"/>
  <c r="H222" i="3"/>
  <c r="I222" i="3"/>
  <c r="J222" i="3"/>
  <c r="K222" i="3"/>
  <c r="B223" i="3"/>
  <c r="C223" i="3"/>
  <c r="D223" i="3"/>
  <c r="E223" i="3"/>
  <c r="F223" i="3"/>
  <c r="G223" i="3"/>
  <c r="H223" i="3"/>
  <c r="I223" i="3"/>
  <c r="J223" i="3"/>
  <c r="K223" i="3"/>
  <c r="B224" i="3"/>
  <c r="C224" i="3"/>
  <c r="D224" i="3"/>
  <c r="E224" i="3"/>
  <c r="F224" i="3"/>
  <c r="G224" i="3"/>
  <c r="H224" i="3"/>
  <c r="I224" i="3"/>
  <c r="J224" i="3"/>
  <c r="K224" i="3"/>
  <c r="B225" i="3"/>
  <c r="C225" i="3"/>
  <c r="D225" i="3"/>
  <c r="E225" i="3"/>
  <c r="F225" i="3"/>
  <c r="G225" i="3"/>
  <c r="H225" i="3"/>
  <c r="I225" i="3"/>
  <c r="J225" i="3"/>
  <c r="K225" i="3"/>
  <c r="B226" i="3"/>
  <c r="C226" i="3"/>
  <c r="D226" i="3"/>
  <c r="E226" i="3"/>
  <c r="F226" i="3"/>
  <c r="G226" i="3"/>
  <c r="H226" i="3"/>
  <c r="I226" i="3"/>
  <c r="J226" i="3"/>
  <c r="K226" i="3"/>
  <c r="B227" i="3"/>
  <c r="C227" i="3"/>
  <c r="D227" i="3"/>
  <c r="E227" i="3"/>
  <c r="F227" i="3"/>
  <c r="G227" i="3"/>
  <c r="H227" i="3"/>
  <c r="I227" i="3"/>
  <c r="J227" i="3"/>
  <c r="K227" i="3"/>
  <c r="B228" i="3"/>
  <c r="C228" i="3"/>
  <c r="D228" i="3"/>
  <c r="E228" i="3"/>
  <c r="F228" i="3"/>
  <c r="G228" i="3"/>
  <c r="H228" i="3"/>
  <c r="I228" i="3"/>
  <c r="J228" i="3"/>
  <c r="K228" i="3"/>
  <c r="B229" i="3"/>
  <c r="C229" i="3"/>
  <c r="D229" i="3"/>
  <c r="E229" i="3"/>
  <c r="F229" i="3"/>
  <c r="G229" i="3"/>
  <c r="H229" i="3"/>
  <c r="I229" i="3"/>
  <c r="J229" i="3"/>
  <c r="K229" i="3"/>
  <c r="B230" i="3"/>
  <c r="C230" i="3"/>
  <c r="D230" i="3"/>
  <c r="E230" i="3"/>
  <c r="F230" i="3"/>
  <c r="G230" i="3"/>
  <c r="H230" i="3"/>
  <c r="I230" i="3"/>
  <c r="J230" i="3"/>
  <c r="K230" i="3"/>
  <c r="B231" i="3"/>
  <c r="C231" i="3"/>
  <c r="D231" i="3"/>
  <c r="E231" i="3"/>
  <c r="F231" i="3"/>
  <c r="G231" i="3"/>
  <c r="H231" i="3"/>
  <c r="I231" i="3"/>
  <c r="J231" i="3"/>
  <c r="K231" i="3"/>
  <c r="B232" i="3"/>
  <c r="C232" i="3"/>
  <c r="D232" i="3"/>
  <c r="E232" i="3"/>
  <c r="F232" i="3"/>
  <c r="G232" i="3"/>
  <c r="H232" i="3"/>
  <c r="I232" i="3"/>
  <c r="J232" i="3"/>
  <c r="K232" i="3"/>
  <c r="B233" i="3"/>
  <c r="C233" i="3"/>
  <c r="D233" i="3"/>
  <c r="E233" i="3"/>
  <c r="F233" i="3"/>
  <c r="G233" i="3"/>
  <c r="H233" i="3"/>
  <c r="I233" i="3"/>
  <c r="J233" i="3"/>
  <c r="K233" i="3"/>
  <c r="B234" i="3"/>
  <c r="C234" i="3"/>
  <c r="D234" i="3"/>
  <c r="E234" i="3"/>
  <c r="F234" i="3"/>
  <c r="G234" i="3"/>
  <c r="H234" i="3"/>
  <c r="I234" i="3"/>
  <c r="J234" i="3"/>
  <c r="K234" i="3"/>
  <c r="B235" i="3"/>
  <c r="C235" i="3"/>
  <c r="D235" i="3"/>
  <c r="E235" i="3"/>
  <c r="F235" i="3"/>
  <c r="G235" i="3"/>
  <c r="H235" i="3"/>
  <c r="I235" i="3"/>
  <c r="J235" i="3"/>
  <c r="K235" i="3"/>
  <c r="B236" i="3"/>
  <c r="C236" i="3"/>
  <c r="D236" i="3"/>
  <c r="E236" i="3"/>
  <c r="F236" i="3"/>
  <c r="G236" i="3"/>
  <c r="H236" i="3"/>
  <c r="I236" i="3"/>
  <c r="J236" i="3"/>
  <c r="K236" i="3"/>
  <c r="B237" i="3"/>
  <c r="C237" i="3"/>
  <c r="D237" i="3"/>
  <c r="E237" i="3"/>
  <c r="F237" i="3"/>
  <c r="G237" i="3"/>
  <c r="H237" i="3"/>
  <c r="I237" i="3"/>
  <c r="J237" i="3"/>
  <c r="K237" i="3"/>
  <c r="B238" i="3"/>
  <c r="C238" i="3"/>
  <c r="D238" i="3"/>
  <c r="E238" i="3"/>
  <c r="F238" i="3"/>
  <c r="G238" i="3"/>
  <c r="H238" i="3"/>
  <c r="I238" i="3"/>
  <c r="J238" i="3"/>
  <c r="K238" i="3"/>
  <c r="B239" i="3"/>
  <c r="C239" i="3"/>
  <c r="D239" i="3"/>
  <c r="E239" i="3"/>
  <c r="F239" i="3"/>
  <c r="G239" i="3"/>
  <c r="H239" i="3"/>
  <c r="I239" i="3"/>
  <c r="J239" i="3"/>
  <c r="K239" i="3"/>
  <c r="B240" i="3"/>
  <c r="C240" i="3"/>
  <c r="D240" i="3"/>
  <c r="E240" i="3"/>
  <c r="F240" i="3"/>
  <c r="G240" i="3"/>
  <c r="H240" i="3"/>
  <c r="I240" i="3"/>
  <c r="J240" i="3"/>
  <c r="K240" i="3"/>
  <c r="B241" i="3"/>
  <c r="C241" i="3"/>
  <c r="D241" i="3"/>
  <c r="E241" i="3"/>
  <c r="F241" i="3"/>
  <c r="G241" i="3"/>
  <c r="H241" i="3"/>
  <c r="I241" i="3"/>
  <c r="J241" i="3"/>
  <c r="K241" i="3"/>
  <c r="B242" i="3"/>
  <c r="C242" i="3"/>
  <c r="D242" i="3"/>
  <c r="E242" i="3"/>
  <c r="F242" i="3"/>
  <c r="G242" i="3"/>
  <c r="H242" i="3"/>
  <c r="I242" i="3"/>
  <c r="J242" i="3"/>
  <c r="K242" i="3"/>
  <c r="B243" i="3"/>
  <c r="C243" i="3"/>
  <c r="D243" i="3"/>
  <c r="E243" i="3"/>
  <c r="F243" i="3"/>
  <c r="G243" i="3"/>
  <c r="H243" i="3"/>
  <c r="I243" i="3"/>
  <c r="J243" i="3"/>
  <c r="K243" i="3"/>
  <c r="B244" i="3"/>
  <c r="C244" i="3"/>
  <c r="D244" i="3"/>
  <c r="E244" i="3"/>
  <c r="F244" i="3"/>
  <c r="G244" i="3"/>
  <c r="H244" i="3"/>
  <c r="I244" i="3"/>
  <c r="J244" i="3"/>
  <c r="K244" i="3"/>
  <c r="B245" i="3"/>
  <c r="C245" i="3"/>
  <c r="D245" i="3"/>
  <c r="E245" i="3"/>
  <c r="F245" i="3"/>
  <c r="G245" i="3"/>
  <c r="H245" i="3"/>
  <c r="I245" i="3"/>
  <c r="J245" i="3"/>
  <c r="K245" i="3"/>
  <c r="B246" i="3"/>
  <c r="C246" i="3"/>
  <c r="D246" i="3"/>
  <c r="E246" i="3"/>
  <c r="F246" i="3"/>
  <c r="G246" i="3"/>
  <c r="H246" i="3"/>
  <c r="I246" i="3"/>
  <c r="J246" i="3"/>
  <c r="K246" i="3"/>
  <c r="B247" i="3"/>
  <c r="C247" i="3"/>
  <c r="D247" i="3"/>
  <c r="E247" i="3"/>
  <c r="F247" i="3"/>
  <c r="G247" i="3"/>
  <c r="H247" i="3"/>
  <c r="I247" i="3"/>
  <c r="J247" i="3"/>
  <c r="K247" i="3"/>
  <c r="B248" i="3"/>
  <c r="C248" i="3"/>
  <c r="D248" i="3"/>
  <c r="E248" i="3"/>
  <c r="F248" i="3"/>
  <c r="G248" i="3"/>
  <c r="H248" i="3"/>
  <c r="I248" i="3"/>
  <c r="J248" i="3"/>
  <c r="K248" i="3"/>
  <c r="B249" i="3"/>
  <c r="C249" i="3"/>
  <c r="D249" i="3"/>
  <c r="E249" i="3"/>
  <c r="F249" i="3"/>
  <c r="G249" i="3"/>
  <c r="H249" i="3"/>
  <c r="I249" i="3"/>
  <c r="J249" i="3"/>
  <c r="K249" i="3"/>
  <c r="B250" i="3"/>
  <c r="C250" i="3"/>
  <c r="D250" i="3"/>
  <c r="E250" i="3"/>
  <c r="F250" i="3"/>
  <c r="G250" i="3"/>
  <c r="H250" i="3"/>
  <c r="I250" i="3"/>
  <c r="J250" i="3"/>
  <c r="K250" i="3"/>
  <c r="B251" i="3"/>
  <c r="C251" i="3"/>
  <c r="D251" i="3"/>
  <c r="E251" i="3"/>
  <c r="F251" i="3"/>
  <c r="G251" i="3"/>
  <c r="H251" i="3"/>
  <c r="I251" i="3"/>
  <c r="J251" i="3"/>
  <c r="K251" i="3"/>
  <c r="B252" i="3"/>
  <c r="C252" i="3"/>
  <c r="D252" i="3"/>
  <c r="E252" i="3"/>
  <c r="F252" i="3"/>
  <c r="G252" i="3"/>
  <c r="H252" i="3"/>
  <c r="I252" i="3"/>
  <c r="J252" i="3"/>
  <c r="K252" i="3"/>
  <c r="B253" i="3"/>
  <c r="C253" i="3"/>
  <c r="D253" i="3"/>
  <c r="E253" i="3"/>
  <c r="F253" i="3"/>
  <c r="G253" i="3"/>
  <c r="H253" i="3"/>
  <c r="I253" i="3"/>
  <c r="J253" i="3"/>
  <c r="K253" i="3"/>
  <c r="B254" i="3"/>
  <c r="C254" i="3"/>
  <c r="D254" i="3"/>
  <c r="E254" i="3"/>
  <c r="F254" i="3"/>
  <c r="G254" i="3"/>
  <c r="H254" i="3"/>
  <c r="I254" i="3"/>
  <c r="J254" i="3"/>
  <c r="K254" i="3"/>
  <c r="B255" i="3"/>
  <c r="C255" i="3"/>
  <c r="D255" i="3"/>
  <c r="E255" i="3"/>
  <c r="F255" i="3"/>
  <c r="G255" i="3"/>
  <c r="H255" i="3"/>
  <c r="I255" i="3"/>
  <c r="J255" i="3"/>
  <c r="K255" i="3"/>
  <c r="B256" i="3"/>
  <c r="C256" i="3"/>
  <c r="D256" i="3"/>
  <c r="E256" i="3"/>
  <c r="F256" i="3"/>
  <c r="G256" i="3"/>
  <c r="H256" i="3"/>
  <c r="I256" i="3"/>
  <c r="J256" i="3"/>
  <c r="K256" i="3"/>
  <c r="B257" i="3"/>
  <c r="C257" i="3"/>
  <c r="D257" i="3"/>
  <c r="E257" i="3"/>
  <c r="F257" i="3"/>
  <c r="G257" i="3"/>
  <c r="H257" i="3"/>
  <c r="I257" i="3"/>
  <c r="J257" i="3"/>
  <c r="K257" i="3"/>
  <c r="B258" i="3"/>
  <c r="C258" i="3"/>
  <c r="D258" i="3"/>
  <c r="E258" i="3"/>
  <c r="F258" i="3"/>
  <c r="G258" i="3"/>
  <c r="H258" i="3"/>
  <c r="I258" i="3"/>
  <c r="J258" i="3"/>
  <c r="K258" i="3"/>
  <c r="B259" i="3"/>
  <c r="C259" i="3"/>
  <c r="D259" i="3"/>
  <c r="E259" i="3"/>
  <c r="F259" i="3"/>
  <c r="G259" i="3"/>
  <c r="H259" i="3"/>
  <c r="I259" i="3"/>
  <c r="J259" i="3"/>
  <c r="K259" i="3"/>
  <c r="B260" i="3"/>
  <c r="C260" i="3"/>
  <c r="D260" i="3"/>
  <c r="E260" i="3"/>
  <c r="F260" i="3"/>
  <c r="G260" i="3"/>
  <c r="H260" i="3"/>
  <c r="I260" i="3"/>
  <c r="J260" i="3"/>
  <c r="K260" i="3"/>
  <c r="B261" i="3"/>
  <c r="C261" i="3"/>
  <c r="D261" i="3"/>
  <c r="E261" i="3"/>
  <c r="F261" i="3"/>
  <c r="G261" i="3"/>
  <c r="H261" i="3"/>
  <c r="I261" i="3"/>
  <c r="J261" i="3"/>
  <c r="K261" i="3"/>
  <c r="B262" i="3"/>
  <c r="C262" i="3"/>
  <c r="D262" i="3"/>
  <c r="E262" i="3"/>
  <c r="F262" i="3"/>
  <c r="G262" i="3"/>
  <c r="H262" i="3"/>
  <c r="I262" i="3"/>
  <c r="J262" i="3"/>
  <c r="K262" i="3"/>
  <c r="B263" i="3"/>
  <c r="C263" i="3"/>
  <c r="D263" i="3"/>
  <c r="E263" i="3"/>
  <c r="F263" i="3"/>
  <c r="G263" i="3"/>
  <c r="H263" i="3"/>
  <c r="I263" i="3"/>
  <c r="J263" i="3"/>
  <c r="K263" i="3"/>
  <c r="B264" i="3"/>
  <c r="C264" i="3"/>
  <c r="D264" i="3"/>
  <c r="E264" i="3"/>
  <c r="F264" i="3"/>
  <c r="G264" i="3"/>
  <c r="H264" i="3"/>
  <c r="I264" i="3"/>
  <c r="J264" i="3"/>
  <c r="K264" i="3"/>
  <c r="B265" i="3"/>
  <c r="C265" i="3"/>
  <c r="D265" i="3"/>
  <c r="E265" i="3"/>
  <c r="F265" i="3"/>
  <c r="G265" i="3"/>
  <c r="H265" i="3"/>
  <c r="I265" i="3"/>
  <c r="J265" i="3"/>
  <c r="K265" i="3"/>
  <c r="B266" i="3"/>
  <c r="C266" i="3"/>
  <c r="D266" i="3"/>
  <c r="E266" i="3"/>
  <c r="F266" i="3"/>
  <c r="G266" i="3"/>
  <c r="H266" i="3"/>
  <c r="I266" i="3"/>
  <c r="J266" i="3"/>
  <c r="K266" i="3"/>
  <c r="B267" i="3"/>
  <c r="C267" i="3"/>
  <c r="D267" i="3"/>
  <c r="E267" i="3"/>
  <c r="F267" i="3"/>
  <c r="G267" i="3"/>
  <c r="H267" i="3"/>
  <c r="I267" i="3"/>
  <c r="J267" i="3"/>
  <c r="K267" i="3"/>
  <c r="B268" i="3"/>
  <c r="C268" i="3"/>
  <c r="D268" i="3"/>
  <c r="E268" i="3"/>
  <c r="F268" i="3"/>
  <c r="G268" i="3"/>
  <c r="H268" i="3"/>
  <c r="I268" i="3"/>
  <c r="J268" i="3"/>
  <c r="K268" i="3"/>
  <c r="B269" i="3"/>
  <c r="C269" i="3"/>
  <c r="D269" i="3"/>
  <c r="E269" i="3"/>
  <c r="F269" i="3"/>
  <c r="G269" i="3"/>
  <c r="H269" i="3"/>
  <c r="I269" i="3"/>
  <c r="J269" i="3"/>
  <c r="K269" i="3"/>
  <c r="B270" i="3"/>
  <c r="C270" i="3"/>
  <c r="D270" i="3"/>
  <c r="E270" i="3"/>
  <c r="F270" i="3"/>
  <c r="G270" i="3"/>
  <c r="H270" i="3"/>
  <c r="I270" i="3"/>
  <c r="J270" i="3"/>
  <c r="K270" i="3"/>
  <c r="B271" i="3"/>
  <c r="C271" i="3"/>
  <c r="D271" i="3"/>
  <c r="E271" i="3"/>
  <c r="F271" i="3"/>
  <c r="G271" i="3"/>
  <c r="H271" i="3"/>
  <c r="I271" i="3"/>
  <c r="J271" i="3"/>
  <c r="K271" i="3"/>
  <c r="B272" i="3"/>
  <c r="C272" i="3"/>
  <c r="D272" i="3"/>
  <c r="E272" i="3"/>
  <c r="F272" i="3"/>
  <c r="G272" i="3"/>
  <c r="H272" i="3"/>
  <c r="I272" i="3"/>
  <c r="J272" i="3"/>
  <c r="K272" i="3"/>
  <c r="B273" i="3"/>
  <c r="C273" i="3"/>
  <c r="D273" i="3"/>
  <c r="E273" i="3"/>
  <c r="F273" i="3"/>
  <c r="G273" i="3"/>
  <c r="H273" i="3"/>
  <c r="I273" i="3"/>
  <c r="J273" i="3"/>
  <c r="K273" i="3"/>
  <c r="B274" i="3"/>
  <c r="C274" i="3"/>
  <c r="D274" i="3"/>
  <c r="E274" i="3"/>
  <c r="F274" i="3"/>
  <c r="G274" i="3"/>
  <c r="H274" i="3"/>
  <c r="I274" i="3"/>
  <c r="J274" i="3"/>
  <c r="K274" i="3"/>
  <c r="B275" i="3"/>
  <c r="C275" i="3"/>
  <c r="D275" i="3"/>
  <c r="E275" i="3"/>
  <c r="F275" i="3"/>
  <c r="G275" i="3"/>
  <c r="H275" i="3"/>
  <c r="I275" i="3"/>
  <c r="J275" i="3"/>
  <c r="K275" i="3"/>
  <c r="B276" i="3"/>
  <c r="C276" i="3"/>
  <c r="D276" i="3"/>
  <c r="E276" i="3"/>
  <c r="F276" i="3"/>
  <c r="G276" i="3"/>
  <c r="H276" i="3"/>
  <c r="I276" i="3"/>
  <c r="J276" i="3"/>
  <c r="K276" i="3"/>
  <c r="B277" i="3"/>
  <c r="C277" i="3"/>
  <c r="D277" i="3"/>
  <c r="E277" i="3"/>
  <c r="F277" i="3"/>
  <c r="G277" i="3"/>
  <c r="H277" i="3"/>
  <c r="I277" i="3"/>
  <c r="J277" i="3"/>
  <c r="K277" i="3"/>
  <c r="B278" i="3"/>
  <c r="C278" i="3"/>
  <c r="D278" i="3"/>
  <c r="E278" i="3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B280" i="3"/>
  <c r="C280" i="3"/>
  <c r="D280" i="3"/>
  <c r="E280" i="3"/>
  <c r="F280" i="3"/>
  <c r="G280" i="3"/>
  <c r="H280" i="3"/>
  <c r="I280" i="3"/>
  <c r="J280" i="3"/>
  <c r="K280" i="3"/>
  <c r="B281" i="3"/>
  <c r="C281" i="3"/>
  <c r="D281" i="3"/>
  <c r="E281" i="3"/>
  <c r="F281" i="3"/>
  <c r="G281" i="3"/>
  <c r="H281" i="3"/>
  <c r="I281" i="3"/>
  <c r="J281" i="3"/>
  <c r="K281" i="3"/>
  <c r="B282" i="3"/>
  <c r="C282" i="3"/>
  <c r="D282" i="3"/>
  <c r="E282" i="3"/>
  <c r="F282" i="3"/>
  <c r="G282" i="3"/>
  <c r="H282" i="3"/>
  <c r="I282" i="3"/>
  <c r="J282" i="3"/>
  <c r="K282" i="3"/>
  <c r="B283" i="3"/>
  <c r="C283" i="3"/>
  <c r="D283" i="3"/>
  <c r="E283" i="3"/>
  <c r="F283" i="3"/>
  <c r="G283" i="3"/>
  <c r="H283" i="3"/>
  <c r="I283" i="3"/>
  <c r="J283" i="3"/>
  <c r="K283" i="3"/>
  <c r="B284" i="3"/>
  <c r="C284" i="3"/>
  <c r="D284" i="3"/>
  <c r="E284" i="3"/>
  <c r="F284" i="3"/>
  <c r="G284" i="3"/>
  <c r="H284" i="3"/>
  <c r="I284" i="3"/>
  <c r="J284" i="3"/>
  <c r="K284" i="3"/>
  <c r="B285" i="3"/>
  <c r="C285" i="3"/>
  <c r="D285" i="3"/>
  <c r="E285" i="3"/>
  <c r="F285" i="3"/>
  <c r="G285" i="3"/>
  <c r="H285" i="3"/>
  <c r="I285" i="3"/>
  <c r="J285" i="3"/>
  <c r="K285" i="3"/>
  <c r="B286" i="3"/>
  <c r="C286" i="3"/>
  <c r="D286" i="3"/>
  <c r="E286" i="3"/>
  <c r="F286" i="3"/>
  <c r="G286" i="3"/>
  <c r="H286" i="3"/>
  <c r="I286" i="3"/>
  <c r="J286" i="3"/>
  <c r="K286" i="3"/>
  <c r="B287" i="3"/>
  <c r="C287" i="3"/>
  <c r="D287" i="3"/>
  <c r="E287" i="3"/>
  <c r="F287" i="3"/>
  <c r="G287" i="3"/>
  <c r="H287" i="3"/>
  <c r="I287" i="3"/>
  <c r="J287" i="3"/>
  <c r="K287" i="3"/>
  <c r="B288" i="3"/>
  <c r="C288" i="3"/>
  <c r="D288" i="3"/>
  <c r="E288" i="3"/>
  <c r="F288" i="3"/>
  <c r="G288" i="3"/>
  <c r="H288" i="3"/>
  <c r="I288" i="3"/>
  <c r="J288" i="3"/>
  <c r="K288" i="3"/>
  <c r="B289" i="3"/>
  <c r="C289" i="3"/>
  <c r="D289" i="3"/>
  <c r="E289" i="3"/>
  <c r="F289" i="3"/>
  <c r="G289" i="3"/>
  <c r="H289" i="3"/>
  <c r="I289" i="3"/>
  <c r="J289" i="3"/>
  <c r="K289" i="3"/>
  <c r="B290" i="3"/>
  <c r="C290" i="3"/>
  <c r="D290" i="3"/>
  <c r="E290" i="3"/>
  <c r="F290" i="3"/>
  <c r="G290" i="3"/>
  <c r="H290" i="3"/>
  <c r="I290" i="3"/>
  <c r="J290" i="3"/>
  <c r="K290" i="3"/>
  <c r="B291" i="3"/>
  <c r="C291" i="3"/>
  <c r="D291" i="3"/>
  <c r="E291" i="3"/>
  <c r="F291" i="3"/>
  <c r="G291" i="3"/>
  <c r="H291" i="3"/>
  <c r="I291" i="3"/>
  <c r="J291" i="3"/>
  <c r="K291" i="3"/>
  <c r="B292" i="3"/>
  <c r="C292" i="3"/>
  <c r="D292" i="3"/>
  <c r="E292" i="3"/>
  <c r="F292" i="3"/>
  <c r="G292" i="3"/>
  <c r="H292" i="3"/>
  <c r="I292" i="3"/>
  <c r="J292" i="3"/>
  <c r="K292" i="3"/>
  <c r="B293" i="3"/>
  <c r="C293" i="3"/>
  <c r="D293" i="3"/>
  <c r="E293" i="3"/>
  <c r="F293" i="3"/>
  <c r="G293" i="3"/>
  <c r="H293" i="3"/>
  <c r="I293" i="3"/>
  <c r="J293" i="3"/>
  <c r="K293" i="3"/>
  <c r="B294" i="3"/>
  <c r="C294" i="3"/>
  <c r="D294" i="3"/>
  <c r="E294" i="3"/>
  <c r="F294" i="3"/>
  <c r="G294" i="3"/>
  <c r="H294" i="3"/>
  <c r="I294" i="3"/>
  <c r="J294" i="3"/>
  <c r="K294" i="3"/>
  <c r="B295" i="3"/>
  <c r="C295" i="3"/>
  <c r="D295" i="3"/>
  <c r="E295" i="3"/>
  <c r="F295" i="3"/>
  <c r="G295" i="3"/>
  <c r="H295" i="3"/>
  <c r="I295" i="3"/>
  <c r="J295" i="3"/>
  <c r="K295" i="3"/>
  <c r="B296" i="3"/>
  <c r="C296" i="3"/>
  <c r="D296" i="3"/>
  <c r="E296" i="3"/>
  <c r="F296" i="3"/>
  <c r="G296" i="3"/>
  <c r="H296" i="3"/>
  <c r="I296" i="3"/>
  <c r="J296" i="3"/>
  <c r="K296" i="3"/>
  <c r="B297" i="3"/>
  <c r="C297" i="3"/>
  <c r="D297" i="3"/>
  <c r="E297" i="3"/>
  <c r="F297" i="3"/>
  <c r="G297" i="3"/>
  <c r="H297" i="3"/>
  <c r="I297" i="3"/>
  <c r="J297" i="3"/>
  <c r="K297" i="3"/>
  <c r="B298" i="3"/>
  <c r="C298" i="3"/>
  <c r="D298" i="3"/>
  <c r="E298" i="3"/>
  <c r="F298" i="3"/>
  <c r="G298" i="3"/>
  <c r="H298" i="3"/>
  <c r="I298" i="3"/>
  <c r="J298" i="3"/>
  <c r="K298" i="3"/>
  <c r="B299" i="3"/>
  <c r="C299" i="3"/>
  <c r="D299" i="3"/>
  <c r="E299" i="3"/>
  <c r="F299" i="3"/>
  <c r="G299" i="3"/>
  <c r="H299" i="3"/>
  <c r="I299" i="3"/>
  <c r="J299" i="3"/>
  <c r="K299" i="3"/>
  <c r="B300" i="3"/>
  <c r="C300" i="3"/>
  <c r="D300" i="3"/>
  <c r="E300" i="3"/>
  <c r="F300" i="3"/>
  <c r="G300" i="3"/>
  <c r="H300" i="3"/>
  <c r="I300" i="3"/>
  <c r="J300" i="3"/>
  <c r="K300" i="3"/>
  <c r="B301" i="3"/>
  <c r="C301" i="3"/>
  <c r="D301" i="3"/>
  <c r="E301" i="3"/>
  <c r="F301" i="3"/>
  <c r="G301" i="3"/>
  <c r="H301" i="3"/>
  <c r="I301" i="3"/>
  <c r="J301" i="3"/>
  <c r="K301" i="3"/>
  <c r="B302" i="3"/>
  <c r="C302" i="3"/>
  <c r="D302" i="3"/>
  <c r="E302" i="3"/>
  <c r="F302" i="3"/>
  <c r="G302" i="3"/>
  <c r="H302" i="3"/>
  <c r="I302" i="3"/>
  <c r="J302" i="3"/>
  <c r="K302" i="3"/>
  <c r="B303" i="3"/>
  <c r="C303" i="3"/>
  <c r="D303" i="3"/>
  <c r="E303" i="3"/>
  <c r="F303" i="3"/>
  <c r="G303" i="3"/>
  <c r="H303" i="3"/>
  <c r="I303" i="3"/>
  <c r="J303" i="3"/>
  <c r="K303" i="3"/>
  <c r="B304" i="3"/>
  <c r="C304" i="3"/>
  <c r="D304" i="3"/>
  <c r="E304" i="3"/>
  <c r="F304" i="3"/>
  <c r="G304" i="3"/>
  <c r="H304" i="3"/>
  <c r="I304" i="3"/>
  <c r="J304" i="3"/>
  <c r="K304" i="3"/>
  <c r="B305" i="3"/>
  <c r="C305" i="3"/>
  <c r="D305" i="3"/>
  <c r="E305" i="3"/>
  <c r="F305" i="3"/>
  <c r="G305" i="3"/>
  <c r="H305" i="3"/>
  <c r="I305" i="3"/>
  <c r="J305" i="3"/>
  <c r="K305" i="3"/>
  <c r="B306" i="3"/>
  <c r="C306" i="3"/>
  <c r="D306" i="3"/>
  <c r="E306" i="3"/>
  <c r="F306" i="3"/>
  <c r="G306" i="3"/>
  <c r="H306" i="3"/>
  <c r="I306" i="3"/>
  <c r="J306" i="3"/>
  <c r="K306" i="3"/>
  <c r="B307" i="3"/>
  <c r="C307" i="3"/>
  <c r="D307" i="3"/>
  <c r="E307" i="3"/>
  <c r="F307" i="3"/>
  <c r="G307" i="3"/>
  <c r="H307" i="3"/>
  <c r="I307" i="3"/>
  <c r="J307" i="3"/>
  <c r="K307" i="3"/>
  <c r="B308" i="3"/>
  <c r="C308" i="3"/>
  <c r="D308" i="3"/>
  <c r="E308" i="3"/>
  <c r="F308" i="3"/>
  <c r="G308" i="3"/>
  <c r="H308" i="3"/>
  <c r="I308" i="3"/>
  <c r="J308" i="3"/>
  <c r="K308" i="3"/>
  <c r="B309" i="3"/>
  <c r="C309" i="3"/>
  <c r="D309" i="3"/>
  <c r="E309" i="3"/>
  <c r="F309" i="3"/>
  <c r="G309" i="3"/>
  <c r="H309" i="3"/>
  <c r="I309" i="3"/>
  <c r="J309" i="3"/>
  <c r="K309" i="3"/>
  <c r="B310" i="3"/>
  <c r="C310" i="3"/>
  <c r="D310" i="3"/>
  <c r="E310" i="3"/>
  <c r="F310" i="3"/>
  <c r="G310" i="3"/>
  <c r="H310" i="3"/>
  <c r="I310" i="3"/>
  <c r="J310" i="3"/>
  <c r="K310" i="3"/>
  <c r="B311" i="3"/>
  <c r="C311" i="3"/>
  <c r="D311" i="3"/>
  <c r="E311" i="3"/>
  <c r="F311" i="3"/>
  <c r="G311" i="3"/>
  <c r="H311" i="3"/>
  <c r="I311" i="3"/>
  <c r="J311" i="3"/>
  <c r="K311" i="3"/>
  <c r="B312" i="3"/>
  <c r="C312" i="3"/>
  <c r="D312" i="3"/>
  <c r="E312" i="3"/>
  <c r="F312" i="3"/>
  <c r="G312" i="3"/>
  <c r="H312" i="3"/>
  <c r="I312" i="3"/>
  <c r="J312" i="3"/>
  <c r="K312" i="3"/>
  <c r="B313" i="3"/>
  <c r="C313" i="3"/>
  <c r="D313" i="3"/>
  <c r="E313" i="3"/>
  <c r="F313" i="3"/>
  <c r="G313" i="3"/>
  <c r="H313" i="3"/>
  <c r="I313" i="3"/>
  <c r="J313" i="3"/>
  <c r="K313" i="3"/>
  <c r="B314" i="3"/>
  <c r="C314" i="3"/>
  <c r="D314" i="3"/>
  <c r="E314" i="3"/>
  <c r="F314" i="3"/>
  <c r="G314" i="3"/>
  <c r="H314" i="3"/>
  <c r="I314" i="3"/>
  <c r="J314" i="3"/>
  <c r="K314" i="3"/>
  <c r="B315" i="3"/>
  <c r="C315" i="3"/>
  <c r="D315" i="3"/>
  <c r="E315" i="3"/>
  <c r="F315" i="3"/>
  <c r="G315" i="3"/>
  <c r="H315" i="3"/>
  <c r="I315" i="3"/>
  <c r="J315" i="3"/>
  <c r="K315" i="3"/>
  <c r="B316" i="3"/>
  <c r="C316" i="3"/>
  <c r="D316" i="3"/>
  <c r="E316" i="3"/>
  <c r="F316" i="3"/>
  <c r="G316" i="3"/>
  <c r="H316" i="3"/>
  <c r="I316" i="3"/>
  <c r="J316" i="3"/>
  <c r="K316" i="3"/>
  <c r="B317" i="3"/>
  <c r="C317" i="3"/>
  <c r="D317" i="3"/>
  <c r="E317" i="3"/>
  <c r="F317" i="3"/>
  <c r="G317" i="3"/>
  <c r="H317" i="3"/>
  <c r="I317" i="3"/>
  <c r="J317" i="3"/>
  <c r="K317" i="3"/>
  <c r="B318" i="3"/>
  <c r="C318" i="3"/>
  <c r="D318" i="3"/>
  <c r="E318" i="3"/>
  <c r="F318" i="3"/>
  <c r="G318" i="3"/>
  <c r="H318" i="3"/>
  <c r="I318" i="3"/>
  <c r="J318" i="3"/>
  <c r="K318" i="3"/>
  <c r="B319" i="3"/>
  <c r="C319" i="3"/>
  <c r="D319" i="3"/>
  <c r="E319" i="3"/>
  <c r="F319" i="3"/>
  <c r="G319" i="3"/>
  <c r="H319" i="3"/>
  <c r="I319" i="3"/>
  <c r="J319" i="3"/>
  <c r="K319" i="3"/>
  <c r="B320" i="3"/>
  <c r="C320" i="3"/>
  <c r="D320" i="3"/>
  <c r="E320" i="3"/>
  <c r="F320" i="3"/>
  <c r="G320" i="3"/>
  <c r="H320" i="3"/>
  <c r="I320" i="3"/>
  <c r="J320" i="3"/>
  <c r="K320" i="3"/>
  <c r="B321" i="3"/>
  <c r="C321" i="3"/>
  <c r="D321" i="3"/>
  <c r="E321" i="3"/>
  <c r="F321" i="3"/>
  <c r="G321" i="3"/>
  <c r="H321" i="3"/>
  <c r="I321" i="3"/>
  <c r="J321" i="3"/>
  <c r="K321" i="3"/>
  <c r="B322" i="3"/>
  <c r="C322" i="3"/>
  <c r="D322" i="3"/>
  <c r="E322" i="3"/>
  <c r="F322" i="3"/>
  <c r="G322" i="3"/>
  <c r="H322" i="3"/>
  <c r="I322" i="3"/>
  <c r="J322" i="3"/>
  <c r="K322" i="3"/>
  <c r="B323" i="3"/>
  <c r="C323" i="3"/>
  <c r="D323" i="3"/>
  <c r="E323" i="3"/>
  <c r="F323" i="3"/>
  <c r="G323" i="3"/>
  <c r="H323" i="3"/>
  <c r="I323" i="3"/>
  <c r="J323" i="3"/>
  <c r="K323" i="3"/>
  <c r="B324" i="3"/>
  <c r="C324" i="3"/>
  <c r="D324" i="3"/>
  <c r="E324" i="3"/>
  <c r="F324" i="3"/>
  <c r="G324" i="3"/>
  <c r="H324" i="3"/>
  <c r="I324" i="3"/>
  <c r="J324" i="3"/>
  <c r="K324" i="3"/>
  <c r="B325" i="3"/>
  <c r="C325" i="3"/>
  <c r="D325" i="3"/>
  <c r="E325" i="3"/>
  <c r="F325" i="3"/>
  <c r="G325" i="3"/>
  <c r="H325" i="3"/>
  <c r="I325" i="3"/>
  <c r="J325" i="3"/>
  <c r="K325" i="3"/>
  <c r="B326" i="3"/>
  <c r="C326" i="3"/>
  <c r="D326" i="3"/>
  <c r="E326" i="3"/>
  <c r="F326" i="3"/>
  <c r="G326" i="3"/>
  <c r="H326" i="3"/>
  <c r="I326" i="3"/>
  <c r="J326" i="3"/>
  <c r="K326" i="3"/>
  <c r="B327" i="3"/>
  <c r="C327" i="3"/>
  <c r="D327" i="3"/>
  <c r="E327" i="3"/>
  <c r="F327" i="3"/>
  <c r="G327" i="3"/>
  <c r="H327" i="3"/>
  <c r="I327" i="3"/>
  <c r="J327" i="3"/>
  <c r="K327" i="3"/>
  <c r="B328" i="3"/>
  <c r="C328" i="3"/>
  <c r="D328" i="3"/>
  <c r="E328" i="3"/>
  <c r="F328" i="3"/>
  <c r="G328" i="3"/>
  <c r="H328" i="3"/>
  <c r="I328" i="3"/>
  <c r="J328" i="3"/>
  <c r="K328" i="3"/>
  <c r="B329" i="3"/>
  <c r="C329" i="3"/>
  <c r="D329" i="3"/>
  <c r="E329" i="3"/>
  <c r="F329" i="3"/>
  <c r="G329" i="3"/>
  <c r="H329" i="3"/>
  <c r="I329" i="3"/>
  <c r="J329" i="3"/>
  <c r="K329" i="3"/>
  <c r="B330" i="3"/>
  <c r="C330" i="3"/>
  <c r="D330" i="3"/>
  <c r="E330" i="3"/>
  <c r="F330" i="3"/>
  <c r="G330" i="3"/>
  <c r="H330" i="3"/>
  <c r="I330" i="3"/>
  <c r="J330" i="3"/>
  <c r="K330" i="3"/>
  <c r="B331" i="3"/>
  <c r="C331" i="3"/>
  <c r="D331" i="3"/>
  <c r="E331" i="3"/>
  <c r="F331" i="3"/>
  <c r="G331" i="3"/>
  <c r="H331" i="3"/>
  <c r="I331" i="3"/>
  <c r="J331" i="3"/>
  <c r="K331" i="3"/>
  <c r="B332" i="3"/>
  <c r="C332" i="3"/>
  <c r="D332" i="3"/>
  <c r="E332" i="3"/>
  <c r="F332" i="3"/>
  <c r="G332" i="3"/>
  <c r="H332" i="3"/>
  <c r="I332" i="3"/>
  <c r="J332" i="3"/>
  <c r="K332" i="3"/>
  <c r="B333" i="3"/>
  <c r="C333" i="3"/>
  <c r="D333" i="3"/>
  <c r="E333" i="3"/>
  <c r="F333" i="3"/>
  <c r="G333" i="3"/>
  <c r="H333" i="3"/>
  <c r="I333" i="3"/>
  <c r="J333" i="3"/>
  <c r="K333" i="3"/>
  <c r="B334" i="3"/>
  <c r="C334" i="3"/>
  <c r="D334" i="3"/>
  <c r="E334" i="3"/>
  <c r="F334" i="3"/>
  <c r="G334" i="3"/>
  <c r="H334" i="3"/>
  <c r="I334" i="3"/>
  <c r="J334" i="3"/>
  <c r="K334" i="3"/>
  <c r="B335" i="3"/>
  <c r="C335" i="3"/>
  <c r="D335" i="3"/>
  <c r="E335" i="3"/>
  <c r="F335" i="3"/>
  <c r="G335" i="3"/>
  <c r="H335" i="3"/>
  <c r="I335" i="3"/>
  <c r="J335" i="3"/>
  <c r="K335" i="3"/>
  <c r="B336" i="3"/>
  <c r="C336" i="3"/>
  <c r="D336" i="3"/>
  <c r="E336" i="3"/>
  <c r="F336" i="3"/>
  <c r="G336" i="3"/>
  <c r="H336" i="3"/>
  <c r="I336" i="3"/>
  <c r="J336" i="3"/>
  <c r="K336" i="3"/>
  <c r="B337" i="3"/>
  <c r="C337" i="3"/>
  <c r="D337" i="3"/>
  <c r="E337" i="3"/>
  <c r="F337" i="3"/>
  <c r="G337" i="3"/>
  <c r="H337" i="3"/>
  <c r="I337" i="3"/>
  <c r="J337" i="3"/>
  <c r="K337" i="3"/>
  <c r="B338" i="3"/>
  <c r="C338" i="3"/>
  <c r="D338" i="3"/>
  <c r="E338" i="3"/>
  <c r="F338" i="3"/>
  <c r="G338" i="3"/>
  <c r="H338" i="3"/>
  <c r="I338" i="3"/>
  <c r="J338" i="3"/>
  <c r="K338" i="3"/>
  <c r="B339" i="3"/>
  <c r="C339" i="3"/>
  <c r="D339" i="3"/>
  <c r="E339" i="3"/>
  <c r="F339" i="3"/>
  <c r="G339" i="3"/>
  <c r="H339" i="3"/>
  <c r="I339" i="3"/>
  <c r="J339" i="3"/>
  <c r="K339" i="3"/>
  <c r="B340" i="3"/>
  <c r="C340" i="3"/>
  <c r="D340" i="3"/>
  <c r="E340" i="3"/>
  <c r="F340" i="3"/>
  <c r="G340" i="3"/>
  <c r="H340" i="3"/>
  <c r="I340" i="3"/>
  <c r="J340" i="3"/>
  <c r="K340" i="3"/>
  <c r="B341" i="3"/>
  <c r="C341" i="3"/>
  <c r="D341" i="3"/>
  <c r="E341" i="3"/>
  <c r="F341" i="3"/>
  <c r="G341" i="3"/>
  <c r="H341" i="3"/>
  <c r="I341" i="3"/>
  <c r="J341" i="3"/>
  <c r="K341" i="3"/>
  <c r="B342" i="3"/>
  <c r="C342" i="3"/>
  <c r="D342" i="3"/>
  <c r="E342" i="3"/>
  <c r="F342" i="3"/>
  <c r="G342" i="3"/>
  <c r="H342" i="3"/>
  <c r="I342" i="3"/>
  <c r="J342" i="3"/>
  <c r="K342" i="3"/>
  <c r="B343" i="3"/>
  <c r="C343" i="3"/>
  <c r="D343" i="3"/>
  <c r="E343" i="3"/>
  <c r="F343" i="3"/>
  <c r="G343" i="3"/>
  <c r="H343" i="3"/>
  <c r="I343" i="3"/>
  <c r="J343" i="3"/>
  <c r="K343" i="3"/>
  <c r="B344" i="3"/>
  <c r="C344" i="3"/>
  <c r="D344" i="3"/>
  <c r="E344" i="3"/>
  <c r="F344" i="3"/>
  <c r="G344" i="3"/>
  <c r="H344" i="3"/>
  <c r="I344" i="3"/>
  <c r="J344" i="3"/>
  <c r="K344" i="3"/>
  <c r="B345" i="3"/>
  <c r="C345" i="3"/>
  <c r="D345" i="3"/>
  <c r="E345" i="3"/>
  <c r="F345" i="3"/>
  <c r="G345" i="3"/>
  <c r="H345" i="3"/>
  <c r="I345" i="3"/>
  <c r="J345" i="3"/>
  <c r="K345" i="3"/>
  <c r="B346" i="3"/>
  <c r="C346" i="3"/>
  <c r="D346" i="3"/>
  <c r="E346" i="3"/>
  <c r="F346" i="3"/>
  <c r="G346" i="3"/>
  <c r="H346" i="3"/>
  <c r="I346" i="3"/>
  <c r="J346" i="3"/>
  <c r="K346" i="3"/>
  <c r="B347" i="3"/>
  <c r="C347" i="3"/>
  <c r="D347" i="3"/>
  <c r="E347" i="3"/>
  <c r="F347" i="3"/>
  <c r="G347" i="3"/>
  <c r="H347" i="3"/>
  <c r="I347" i="3"/>
  <c r="J347" i="3"/>
  <c r="K347" i="3"/>
  <c r="B348" i="3"/>
  <c r="C348" i="3"/>
  <c r="D348" i="3"/>
  <c r="E348" i="3"/>
  <c r="F348" i="3"/>
  <c r="G348" i="3"/>
  <c r="H348" i="3"/>
  <c r="I348" i="3"/>
  <c r="J348" i="3"/>
  <c r="K348" i="3"/>
  <c r="B349" i="3"/>
  <c r="C349" i="3"/>
  <c r="D349" i="3"/>
  <c r="E349" i="3"/>
  <c r="F349" i="3"/>
  <c r="G349" i="3"/>
  <c r="H349" i="3"/>
  <c r="I349" i="3"/>
  <c r="J349" i="3"/>
  <c r="K349" i="3"/>
  <c r="B350" i="3"/>
  <c r="C350" i="3"/>
  <c r="D350" i="3"/>
  <c r="E350" i="3"/>
  <c r="F350" i="3"/>
  <c r="G350" i="3"/>
  <c r="H350" i="3"/>
  <c r="I350" i="3"/>
  <c r="J350" i="3"/>
  <c r="K350" i="3"/>
  <c r="B351" i="3"/>
  <c r="C351" i="3"/>
  <c r="D351" i="3"/>
  <c r="E351" i="3"/>
  <c r="F351" i="3"/>
  <c r="G351" i="3"/>
  <c r="H351" i="3"/>
  <c r="I351" i="3"/>
  <c r="J351" i="3"/>
  <c r="K351" i="3"/>
  <c r="B352" i="3"/>
  <c r="C352" i="3"/>
  <c r="D352" i="3"/>
  <c r="E352" i="3"/>
  <c r="F352" i="3"/>
  <c r="G352" i="3"/>
  <c r="H352" i="3"/>
  <c r="I352" i="3"/>
  <c r="J352" i="3"/>
  <c r="K352" i="3"/>
  <c r="B353" i="3"/>
  <c r="C353" i="3"/>
  <c r="D353" i="3"/>
  <c r="E353" i="3"/>
  <c r="F353" i="3"/>
  <c r="G353" i="3"/>
  <c r="H353" i="3"/>
  <c r="I353" i="3"/>
  <c r="J353" i="3"/>
  <c r="K353" i="3"/>
  <c r="B354" i="3"/>
  <c r="C354" i="3"/>
  <c r="D354" i="3"/>
  <c r="E354" i="3"/>
  <c r="F354" i="3"/>
  <c r="G354" i="3"/>
  <c r="H354" i="3"/>
  <c r="I354" i="3"/>
  <c r="J354" i="3"/>
  <c r="K354" i="3"/>
  <c r="B355" i="3"/>
  <c r="C355" i="3"/>
  <c r="D355" i="3"/>
  <c r="E355" i="3"/>
  <c r="F355" i="3"/>
  <c r="G355" i="3"/>
  <c r="H355" i="3"/>
  <c r="I355" i="3"/>
  <c r="J355" i="3"/>
  <c r="K355" i="3"/>
  <c r="B356" i="3"/>
  <c r="C356" i="3"/>
  <c r="D356" i="3"/>
  <c r="E356" i="3"/>
  <c r="F356" i="3"/>
  <c r="G356" i="3"/>
  <c r="H356" i="3"/>
  <c r="I356" i="3"/>
  <c r="J356" i="3"/>
  <c r="K356" i="3"/>
  <c r="B357" i="3"/>
  <c r="C357" i="3"/>
  <c r="D357" i="3"/>
  <c r="E357" i="3"/>
  <c r="F357" i="3"/>
  <c r="G357" i="3"/>
  <c r="H357" i="3"/>
  <c r="I357" i="3"/>
  <c r="J357" i="3"/>
  <c r="K357" i="3"/>
  <c r="B358" i="3"/>
  <c r="C358" i="3"/>
  <c r="D358" i="3"/>
  <c r="E358" i="3"/>
  <c r="F358" i="3"/>
  <c r="G358" i="3"/>
  <c r="H358" i="3"/>
  <c r="I358" i="3"/>
  <c r="J358" i="3"/>
  <c r="K358" i="3"/>
  <c r="B359" i="3"/>
  <c r="C359" i="3"/>
  <c r="D359" i="3"/>
  <c r="E359" i="3"/>
  <c r="F359" i="3"/>
  <c r="G359" i="3"/>
  <c r="H359" i="3"/>
  <c r="I359" i="3"/>
  <c r="J359" i="3"/>
  <c r="K359" i="3"/>
  <c r="B360" i="3"/>
  <c r="C360" i="3"/>
  <c r="D360" i="3"/>
  <c r="E360" i="3"/>
  <c r="F360" i="3"/>
  <c r="G360" i="3"/>
  <c r="H360" i="3"/>
  <c r="I360" i="3"/>
  <c r="J360" i="3"/>
  <c r="K360" i="3"/>
  <c r="B361" i="3"/>
  <c r="C361" i="3"/>
  <c r="D361" i="3"/>
  <c r="E361" i="3"/>
  <c r="F361" i="3"/>
  <c r="G361" i="3"/>
  <c r="H361" i="3"/>
  <c r="I361" i="3"/>
  <c r="J361" i="3"/>
  <c r="K361" i="3"/>
  <c r="B362" i="3"/>
  <c r="C362" i="3"/>
  <c r="D362" i="3"/>
  <c r="E362" i="3"/>
  <c r="F362" i="3"/>
  <c r="G362" i="3"/>
  <c r="H362" i="3"/>
  <c r="I362" i="3"/>
  <c r="J362" i="3"/>
  <c r="K362" i="3"/>
  <c r="B363" i="3"/>
  <c r="C363" i="3"/>
  <c r="D363" i="3"/>
  <c r="E363" i="3"/>
  <c r="F363" i="3"/>
  <c r="G363" i="3"/>
  <c r="H363" i="3"/>
  <c r="I363" i="3"/>
  <c r="J363" i="3"/>
  <c r="K363" i="3"/>
  <c r="B364" i="3"/>
  <c r="C364" i="3"/>
  <c r="D364" i="3"/>
  <c r="E364" i="3"/>
  <c r="F364" i="3"/>
  <c r="G364" i="3"/>
  <c r="H364" i="3"/>
  <c r="I364" i="3"/>
  <c r="J364" i="3"/>
  <c r="K364" i="3"/>
  <c r="B365" i="3"/>
  <c r="C365" i="3"/>
  <c r="D365" i="3"/>
  <c r="E365" i="3"/>
  <c r="F365" i="3"/>
  <c r="G365" i="3"/>
  <c r="H365" i="3"/>
  <c r="I365" i="3"/>
  <c r="J365" i="3"/>
  <c r="K365" i="3"/>
  <c r="B366" i="3"/>
  <c r="C366" i="3"/>
  <c r="D366" i="3"/>
  <c r="E366" i="3"/>
  <c r="F366" i="3"/>
  <c r="G366" i="3"/>
  <c r="H366" i="3"/>
  <c r="I366" i="3"/>
  <c r="J366" i="3"/>
  <c r="K366" i="3"/>
  <c r="B367" i="3"/>
  <c r="C367" i="3"/>
  <c r="D367" i="3"/>
  <c r="E367" i="3"/>
  <c r="F367" i="3"/>
  <c r="G367" i="3"/>
  <c r="H367" i="3"/>
  <c r="I367" i="3"/>
  <c r="J367" i="3"/>
  <c r="K367" i="3"/>
  <c r="B368" i="3"/>
  <c r="C368" i="3"/>
  <c r="D368" i="3"/>
  <c r="E368" i="3"/>
  <c r="F368" i="3"/>
  <c r="G368" i="3"/>
  <c r="H368" i="3"/>
  <c r="I368" i="3"/>
  <c r="J368" i="3"/>
  <c r="K368" i="3"/>
  <c r="B369" i="3"/>
  <c r="C369" i="3"/>
  <c r="D369" i="3"/>
  <c r="E369" i="3"/>
  <c r="F369" i="3"/>
  <c r="G369" i="3"/>
  <c r="H369" i="3"/>
  <c r="I369" i="3"/>
  <c r="J369" i="3"/>
  <c r="K369" i="3"/>
  <c r="B370" i="3"/>
  <c r="C370" i="3"/>
  <c r="D370" i="3"/>
  <c r="E370" i="3"/>
  <c r="F370" i="3"/>
  <c r="G370" i="3"/>
  <c r="H370" i="3"/>
  <c r="I370" i="3"/>
  <c r="J370" i="3"/>
  <c r="K370" i="3"/>
  <c r="B371" i="3"/>
  <c r="C371" i="3"/>
  <c r="D371" i="3"/>
  <c r="E371" i="3"/>
  <c r="F371" i="3"/>
  <c r="G371" i="3"/>
  <c r="H371" i="3"/>
  <c r="I371" i="3"/>
  <c r="J371" i="3"/>
  <c r="K371" i="3"/>
  <c r="B372" i="3"/>
  <c r="C372" i="3"/>
  <c r="D372" i="3"/>
  <c r="E372" i="3"/>
  <c r="F372" i="3"/>
  <c r="G372" i="3"/>
  <c r="H372" i="3"/>
  <c r="I372" i="3"/>
  <c r="J372" i="3"/>
  <c r="K372" i="3"/>
  <c r="B373" i="3"/>
  <c r="C373" i="3"/>
  <c r="D373" i="3"/>
  <c r="E373" i="3"/>
  <c r="F373" i="3"/>
  <c r="G373" i="3"/>
  <c r="H373" i="3"/>
  <c r="I373" i="3"/>
  <c r="J373" i="3"/>
  <c r="K373" i="3"/>
  <c r="B374" i="3"/>
  <c r="C374" i="3"/>
  <c r="D374" i="3"/>
  <c r="E374" i="3"/>
  <c r="F374" i="3"/>
  <c r="G374" i="3"/>
  <c r="H374" i="3"/>
  <c r="I374" i="3"/>
  <c r="J374" i="3"/>
  <c r="K374" i="3"/>
  <c r="B375" i="3"/>
  <c r="C375" i="3"/>
  <c r="D375" i="3"/>
  <c r="E375" i="3"/>
  <c r="F375" i="3"/>
  <c r="G375" i="3"/>
  <c r="H375" i="3"/>
  <c r="I375" i="3"/>
  <c r="J375" i="3"/>
  <c r="K375" i="3"/>
  <c r="B376" i="3"/>
  <c r="C376" i="3"/>
  <c r="D376" i="3"/>
  <c r="E376" i="3"/>
  <c r="F376" i="3"/>
  <c r="G376" i="3"/>
  <c r="H376" i="3"/>
  <c r="I376" i="3"/>
  <c r="J376" i="3"/>
  <c r="K376" i="3"/>
  <c r="B377" i="3"/>
  <c r="C377" i="3"/>
  <c r="D377" i="3"/>
  <c r="E377" i="3"/>
  <c r="F377" i="3"/>
  <c r="G377" i="3"/>
  <c r="H377" i="3"/>
  <c r="I377" i="3"/>
  <c r="J377" i="3"/>
  <c r="K377" i="3"/>
  <c r="B378" i="3"/>
  <c r="C378" i="3"/>
  <c r="D378" i="3"/>
  <c r="E378" i="3"/>
  <c r="F378" i="3"/>
  <c r="G378" i="3"/>
  <c r="H378" i="3"/>
  <c r="I378" i="3"/>
  <c r="J378" i="3"/>
  <c r="K378" i="3"/>
  <c r="B379" i="3"/>
  <c r="C379" i="3"/>
  <c r="D379" i="3"/>
  <c r="E379" i="3"/>
  <c r="F379" i="3"/>
  <c r="G379" i="3"/>
  <c r="H379" i="3"/>
  <c r="I379" i="3"/>
  <c r="J379" i="3"/>
  <c r="K379" i="3"/>
  <c r="B380" i="3"/>
  <c r="C380" i="3"/>
  <c r="D380" i="3"/>
  <c r="E380" i="3"/>
  <c r="F380" i="3"/>
  <c r="G380" i="3"/>
  <c r="H380" i="3"/>
  <c r="I380" i="3"/>
  <c r="J380" i="3"/>
  <c r="K380" i="3"/>
  <c r="B381" i="3"/>
  <c r="C381" i="3"/>
  <c r="D381" i="3"/>
  <c r="E381" i="3"/>
  <c r="F381" i="3"/>
  <c r="G381" i="3"/>
  <c r="H381" i="3"/>
  <c r="I381" i="3"/>
  <c r="J381" i="3"/>
  <c r="K381" i="3"/>
  <c r="B382" i="3"/>
  <c r="C382" i="3"/>
  <c r="D382" i="3"/>
  <c r="E382" i="3"/>
  <c r="F382" i="3"/>
  <c r="G382" i="3"/>
  <c r="H382" i="3"/>
  <c r="I382" i="3"/>
  <c r="J382" i="3"/>
  <c r="K382" i="3"/>
  <c r="B383" i="3"/>
  <c r="C383" i="3"/>
  <c r="D383" i="3"/>
  <c r="E383" i="3"/>
  <c r="F383" i="3"/>
  <c r="G383" i="3"/>
  <c r="H383" i="3"/>
  <c r="I383" i="3"/>
  <c r="J383" i="3"/>
  <c r="K383" i="3"/>
  <c r="B384" i="3"/>
  <c r="C384" i="3"/>
  <c r="D384" i="3"/>
  <c r="E384" i="3"/>
  <c r="F384" i="3"/>
  <c r="G384" i="3"/>
  <c r="H384" i="3"/>
  <c r="I384" i="3"/>
  <c r="J384" i="3"/>
  <c r="K384" i="3"/>
  <c r="B385" i="3"/>
  <c r="C385" i="3"/>
  <c r="D385" i="3"/>
  <c r="E385" i="3"/>
  <c r="F385" i="3"/>
  <c r="G385" i="3"/>
  <c r="H385" i="3"/>
  <c r="I385" i="3"/>
  <c r="J385" i="3"/>
  <c r="K385" i="3"/>
  <c r="B386" i="3"/>
  <c r="C386" i="3"/>
  <c r="D386" i="3"/>
  <c r="E386" i="3"/>
  <c r="F386" i="3"/>
  <c r="G386" i="3"/>
  <c r="H386" i="3"/>
  <c r="I386" i="3"/>
  <c r="J386" i="3"/>
  <c r="K386" i="3"/>
  <c r="B387" i="3"/>
  <c r="C387" i="3"/>
  <c r="D387" i="3"/>
  <c r="E387" i="3"/>
  <c r="F387" i="3"/>
  <c r="G387" i="3"/>
  <c r="H387" i="3"/>
  <c r="I387" i="3"/>
  <c r="J387" i="3"/>
  <c r="K387" i="3"/>
  <c r="B388" i="3"/>
  <c r="C388" i="3"/>
  <c r="D388" i="3"/>
  <c r="E388" i="3"/>
  <c r="F388" i="3"/>
  <c r="G388" i="3"/>
  <c r="H388" i="3"/>
  <c r="I388" i="3"/>
  <c r="J388" i="3"/>
  <c r="K388" i="3"/>
  <c r="B389" i="3"/>
  <c r="C389" i="3"/>
  <c r="D389" i="3"/>
  <c r="E389" i="3"/>
  <c r="F389" i="3"/>
  <c r="G389" i="3"/>
  <c r="H389" i="3"/>
  <c r="I389" i="3"/>
  <c r="J389" i="3"/>
  <c r="K389" i="3"/>
  <c r="B390" i="3"/>
  <c r="C390" i="3"/>
  <c r="D390" i="3"/>
  <c r="E390" i="3"/>
  <c r="F390" i="3"/>
  <c r="G390" i="3"/>
  <c r="H390" i="3"/>
  <c r="I390" i="3"/>
  <c r="J390" i="3"/>
  <c r="K390" i="3"/>
  <c r="B391" i="3"/>
  <c r="C391" i="3"/>
  <c r="D391" i="3"/>
  <c r="E391" i="3"/>
  <c r="F391" i="3"/>
  <c r="G391" i="3"/>
  <c r="H391" i="3"/>
  <c r="I391" i="3"/>
  <c r="J391" i="3"/>
  <c r="K391" i="3"/>
  <c r="B392" i="3"/>
  <c r="C392" i="3"/>
  <c r="D392" i="3"/>
  <c r="E392" i="3"/>
  <c r="F392" i="3"/>
  <c r="G392" i="3"/>
  <c r="H392" i="3"/>
  <c r="I392" i="3"/>
  <c r="J392" i="3"/>
  <c r="K392" i="3"/>
  <c r="B393" i="3"/>
  <c r="C393" i="3"/>
  <c r="D393" i="3"/>
  <c r="E393" i="3"/>
  <c r="F393" i="3"/>
  <c r="G393" i="3"/>
  <c r="H393" i="3"/>
  <c r="I393" i="3"/>
  <c r="J393" i="3"/>
  <c r="K393" i="3"/>
  <c r="B394" i="3"/>
  <c r="C394" i="3"/>
  <c r="D394" i="3"/>
  <c r="E394" i="3"/>
  <c r="F394" i="3"/>
  <c r="G394" i="3"/>
  <c r="H394" i="3"/>
  <c r="I394" i="3"/>
  <c r="J394" i="3"/>
  <c r="K394" i="3"/>
  <c r="B395" i="3"/>
  <c r="C395" i="3"/>
  <c r="D395" i="3"/>
  <c r="E395" i="3"/>
  <c r="F395" i="3"/>
  <c r="G395" i="3"/>
  <c r="H395" i="3"/>
  <c r="I395" i="3"/>
  <c r="J395" i="3"/>
  <c r="K395" i="3"/>
  <c r="B396" i="3"/>
  <c r="C396" i="3"/>
  <c r="D396" i="3"/>
  <c r="E396" i="3"/>
  <c r="F396" i="3"/>
  <c r="G396" i="3"/>
  <c r="H396" i="3"/>
  <c r="I396" i="3"/>
  <c r="J396" i="3"/>
  <c r="K396" i="3"/>
  <c r="B397" i="3"/>
  <c r="C397" i="3"/>
  <c r="D397" i="3"/>
  <c r="E397" i="3"/>
  <c r="F397" i="3"/>
  <c r="G397" i="3"/>
  <c r="H397" i="3"/>
  <c r="I397" i="3"/>
  <c r="J397" i="3"/>
  <c r="K397" i="3"/>
  <c r="B398" i="3"/>
  <c r="C398" i="3"/>
  <c r="D398" i="3"/>
  <c r="E398" i="3"/>
  <c r="F398" i="3"/>
  <c r="G398" i="3"/>
  <c r="H398" i="3"/>
  <c r="I398" i="3"/>
  <c r="J398" i="3"/>
  <c r="K398" i="3"/>
  <c r="B399" i="3"/>
  <c r="C399" i="3"/>
  <c r="D399" i="3"/>
  <c r="E399" i="3"/>
  <c r="F399" i="3"/>
  <c r="G399" i="3"/>
  <c r="H399" i="3"/>
  <c r="I399" i="3"/>
  <c r="J399" i="3"/>
  <c r="K399" i="3"/>
  <c r="B400" i="3"/>
  <c r="C400" i="3"/>
  <c r="D400" i="3"/>
  <c r="E400" i="3"/>
  <c r="F400" i="3"/>
  <c r="G400" i="3"/>
  <c r="H400" i="3"/>
  <c r="I400" i="3"/>
  <c r="J400" i="3"/>
  <c r="K400" i="3"/>
  <c r="B401" i="3"/>
  <c r="C401" i="3"/>
  <c r="D401" i="3"/>
  <c r="E401" i="3"/>
  <c r="F401" i="3"/>
  <c r="G401" i="3"/>
  <c r="H401" i="3"/>
  <c r="I401" i="3"/>
  <c r="J401" i="3"/>
  <c r="K401" i="3"/>
  <c r="B402" i="3"/>
  <c r="C402" i="3"/>
  <c r="D402" i="3"/>
  <c r="E402" i="3"/>
  <c r="F402" i="3"/>
  <c r="G402" i="3"/>
  <c r="H402" i="3"/>
  <c r="I402" i="3"/>
  <c r="J402" i="3"/>
  <c r="K402" i="3"/>
  <c r="B403" i="3"/>
  <c r="C403" i="3"/>
  <c r="D403" i="3"/>
  <c r="E403" i="3"/>
  <c r="F403" i="3"/>
  <c r="G403" i="3"/>
  <c r="H403" i="3"/>
  <c r="I403" i="3"/>
  <c r="J403" i="3"/>
  <c r="K403" i="3"/>
  <c r="B404" i="3"/>
  <c r="C404" i="3"/>
  <c r="D404" i="3"/>
  <c r="E404" i="3"/>
  <c r="F404" i="3"/>
  <c r="G404" i="3"/>
  <c r="H404" i="3"/>
  <c r="I404" i="3"/>
  <c r="J404" i="3"/>
  <c r="K404" i="3"/>
  <c r="B405" i="3"/>
  <c r="C405" i="3"/>
  <c r="D405" i="3"/>
  <c r="E405" i="3"/>
  <c r="F405" i="3"/>
  <c r="G405" i="3"/>
  <c r="H405" i="3"/>
  <c r="I405" i="3"/>
  <c r="J405" i="3"/>
  <c r="K405" i="3"/>
  <c r="B406" i="3"/>
  <c r="C406" i="3"/>
  <c r="D406" i="3"/>
  <c r="E406" i="3"/>
  <c r="F406" i="3"/>
  <c r="G406" i="3"/>
  <c r="H406" i="3"/>
  <c r="I406" i="3"/>
  <c r="J406" i="3"/>
  <c r="K406" i="3"/>
  <c r="B407" i="3"/>
  <c r="C407" i="3"/>
  <c r="D407" i="3"/>
  <c r="E407" i="3"/>
  <c r="F407" i="3"/>
  <c r="G407" i="3"/>
  <c r="H407" i="3"/>
  <c r="I407" i="3"/>
  <c r="J407" i="3"/>
  <c r="K407" i="3"/>
  <c r="B408" i="3"/>
  <c r="C408" i="3"/>
  <c r="D408" i="3"/>
  <c r="E408" i="3"/>
  <c r="F408" i="3"/>
  <c r="G408" i="3"/>
  <c r="H408" i="3"/>
  <c r="I408" i="3"/>
  <c r="J408" i="3"/>
  <c r="K408" i="3"/>
  <c r="B409" i="3"/>
  <c r="C409" i="3"/>
  <c r="D409" i="3"/>
  <c r="E409" i="3"/>
  <c r="F409" i="3"/>
  <c r="G409" i="3"/>
  <c r="H409" i="3"/>
  <c r="I409" i="3"/>
  <c r="J409" i="3"/>
  <c r="K409" i="3"/>
  <c r="B410" i="3"/>
  <c r="C410" i="3"/>
  <c r="D410" i="3"/>
  <c r="E410" i="3"/>
  <c r="F410" i="3"/>
  <c r="G410" i="3"/>
  <c r="H410" i="3"/>
  <c r="I410" i="3"/>
  <c r="J410" i="3"/>
  <c r="K410" i="3"/>
  <c r="B411" i="3"/>
  <c r="C411" i="3"/>
  <c r="D411" i="3"/>
  <c r="E411" i="3"/>
  <c r="F411" i="3"/>
  <c r="G411" i="3"/>
  <c r="H411" i="3"/>
  <c r="I411" i="3"/>
  <c r="J411" i="3"/>
  <c r="K411" i="3"/>
  <c r="B412" i="3"/>
  <c r="C412" i="3"/>
  <c r="D412" i="3"/>
  <c r="E412" i="3"/>
  <c r="F412" i="3"/>
  <c r="G412" i="3"/>
  <c r="H412" i="3"/>
  <c r="I412" i="3"/>
  <c r="J412" i="3"/>
  <c r="K412" i="3"/>
  <c r="B413" i="3"/>
  <c r="C413" i="3"/>
  <c r="D413" i="3"/>
  <c r="E413" i="3"/>
  <c r="F413" i="3"/>
  <c r="G413" i="3"/>
  <c r="H413" i="3"/>
  <c r="I413" i="3"/>
  <c r="J413" i="3"/>
  <c r="K413" i="3"/>
  <c r="B414" i="3"/>
  <c r="C414" i="3"/>
  <c r="D414" i="3"/>
  <c r="E414" i="3"/>
  <c r="F414" i="3"/>
  <c r="G414" i="3"/>
  <c r="H414" i="3"/>
  <c r="I414" i="3"/>
  <c r="J414" i="3"/>
  <c r="K414" i="3"/>
  <c r="B415" i="3"/>
  <c r="C415" i="3"/>
  <c r="D415" i="3"/>
  <c r="E415" i="3"/>
  <c r="F415" i="3"/>
  <c r="G415" i="3"/>
  <c r="H415" i="3"/>
  <c r="I415" i="3"/>
  <c r="J415" i="3"/>
  <c r="K415" i="3"/>
  <c r="B416" i="3"/>
  <c r="C416" i="3"/>
  <c r="D416" i="3"/>
  <c r="E416" i="3"/>
  <c r="F416" i="3"/>
  <c r="G416" i="3"/>
  <c r="H416" i="3"/>
  <c r="I416" i="3"/>
  <c r="J416" i="3"/>
  <c r="K416" i="3"/>
  <c r="B417" i="3"/>
  <c r="C417" i="3"/>
  <c r="D417" i="3"/>
  <c r="E417" i="3"/>
  <c r="F417" i="3"/>
  <c r="G417" i="3"/>
  <c r="H417" i="3"/>
  <c r="I417" i="3"/>
  <c r="J417" i="3"/>
  <c r="K417" i="3"/>
  <c r="B418" i="3"/>
  <c r="C418" i="3"/>
  <c r="D418" i="3"/>
  <c r="E418" i="3"/>
  <c r="F418" i="3"/>
  <c r="G418" i="3"/>
  <c r="H418" i="3"/>
  <c r="I418" i="3"/>
  <c r="J418" i="3"/>
  <c r="K418" i="3"/>
  <c r="B419" i="3"/>
  <c r="C419" i="3"/>
  <c r="D419" i="3"/>
  <c r="E419" i="3"/>
  <c r="F419" i="3"/>
  <c r="G419" i="3"/>
  <c r="H419" i="3"/>
  <c r="I419" i="3"/>
  <c r="J419" i="3"/>
  <c r="K419" i="3"/>
  <c r="B420" i="3"/>
  <c r="C420" i="3"/>
  <c r="D420" i="3"/>
  <c r="E420" i="3"/>
  <c r="F420" i="3"/>
  <c r="G420" i="3"/>
  <c r="H420" i="3"/>
  <c r="I420" i="3"/>
  <c r="J420" i="3"/>
  <c r="K420" i="3"/>
  <c r="B421" i="3"/>
  <c r="C421" i="3"/>
  <c r="D421" i="3"/>
  <c r="E421" i="3"/>
  <c r="F421" i="3"/>
  <c r="G421" i="3"/>
  <c r="H421" i="3"/>
  <c r="I421" i="3"/>
  <c r="J421" i="3"/>
  <c r="K421" i="3"/>
  <c r="B422" i="3"/>
  <c r="C422" i="3"/>
  <c r="D422" i="3"/>
  <c r="E422" i="3"/>
  <c r="F422" i="3"/>
  <c r="G422" i="3"/>
  <c r="H422" i="3"/>
  <c r="I422" i="3"/>
  <c r="J422" i="3"/>
  <c r="K422" i="3"/>
  <c r="B423" i="3"/>
  <c r="C423" i="3"/>
  <c r="D423" i="3"/>
  <c r="E423" i="3"/>
  <c r="F423" i="3"/>
  <c r="G423" i="3"/>
  <c r="H423" i="3"/>
  <c r="I423" i="3"/>
  <c r="J423" i="3"/>
  <c r="K423" i="3"/>
  <c r="B424" i="3"/>
  <c r="C424" i="3"/>
  <c r="D424" i="3"/>
  <c r="E424" i="3"/>
  <c r="F424" i="3"/>
  <c r="G424" i="3"/>
  <c r="H424" i="3"/>
  <c r="I424" i="3"/>
  <c r="J424" i="3"/>
  <c r="K424" i="3"/>
  <c r="B425" i="3"/>
  <c r="C425" i="3"/>
  <c r="D425" i="3"/>
  <c r="E425" i="3"/>
  <c r="F425" i="3"/>
  <c r="G425" i="3"/>
  <c r="H425" i="3"/>
  <c r="I425" i="3"/>
  <c r="J425" i="3"/>
  <c r="K425" i="3"/>
  <c r="B426" i="3"/>
  <c r="C426" i="3"/>
  <c r="D426" i="3"/>
  <c r="E426" i="3"/>
  <c r="F426" i="3"/>
  <c r="G426" i="3"/>
  <c r="H426" i="3"/>
  <c r="I426" i="3"/>
  <c r="J426" i="3"/>
  <c r="K426" i="3"/>
  <c r="B427" i="3"/>
  <c r="C427" i="3"/>
  <c r="D427" i="3"/>
  <c r="E427" i="3"/>
  <c r="F427" i="3"/>
  <c r="G427" i="3"/>
  <c r="H427" i="3"/>
  <c r="I427" i="3"/>
  <c r="J427" i="3"/>
  <c r="K427" i="3"/>
  <c r="B428" i="3"/>
  <c r="C428" i="3"/>
  <c r="D428" i="3"/>
  <c r="E428" i="3"/>
  <c r="F428" i="3"/>
  <c r="G428" i="3"/>
  <c r="H428" i="3"/>
  <c r="I428" i="3"/>
  <c r="J428" i="3"/>
  <c r="K428" i="3"/>
  <c r="B429" i="3"/>
  <c r="C429" i="3"/>
  <c r="D429" i="3"/>
  <c r="E429" i="3"/>
  <c r="F429" i="3"/>
  <c r="G429" i="3"/>
  <c r="H429" i="3"/>
  <c r="I429" i="3"/>
  <c r="J429" i="3"/>
  <c r="K429" i="3"/>
  <c r="B430" i="3"/>
  <c r="C430" i="3"/>
  <c r="D430" i="3"/>
  <c r="E430" i="3"/>
  <c r="F430" i="3"/>
  <c r="G430" i="3"/>
  <c r="H430" i="3"/>
  <c r="I430" i="3"/>
  <c r="J430" i="3"/>
  <c r="K430" i="3"/>
  <c r="B431" i="3"/>
  <c r="C431" i="3"/>
  <c r="D431" i="3"/>
  <c r="E431" i="3"/>
  <c r="F431" i="3"/>
  <c r="G431" i="3"/>
  <c r="H431" i="3"/>
  <c r="I431" i="3"/>
  <c r="J431" i="3"/>
  <c r="K431" i="3"/>
  <c r="B432" i="3"/>
  <c r="C432" i="3"/>
  <c r="D432" i="3"/>
  <c r="E432" i="3"/>
  <c r="F432" i="3"/>
  <c r="G432" i="3"/>
  <c r="H432" i="3"/>
  <c r="I432" i="3"/>
  <c r="J432" i="3"/>
  <c r="K432" i="3"/>
  <c r="B433" i="3"/>
  <c r="C433" i="3"/>
  <c r="D433" i="3"/>
  <c r="E433" i="3"/>
  <c r="F433" i="3"/>
  <c r="G433" i="3"/>
  <c r="H433" i="3"/>
  <c r="I433" i="3"/>
  <c r="J433" i="3"/>
  <c r="K433" i="3"/>
  <c r="B434" i="3"/>
  <c r="C434" i="3"/>
  <c r="D434" i="3"/>
  <c r="E434" i="3"/>
  <c r="F434" i="3"/>
  <c r="G434" i="3"/>
  <c r="H434" i="3"/>
  <c r="I434" i="3"/>
  <c r="J434" i="3"/>
  <c r="K434" i="3"/>
  <c r="B435" i="3"/>
  <c r="C435" i="3"/>
  <c r="D435" i="3"/>
  <c r="E435" i="3"/>
  <c r="F435" i="3"/>
  <c r="G435" i="3"/>
  <c r="H435" i="3"/>
  <c r="I435" i="3"/>
  <c r="J435" i="3"/>
  <c r="K435" i="3"/>
  <c r="B436" i="3"/>
  <c r="C436" i="3"/>
  <c r="D436" i="3"/>
  <c r="E436" i="3"/>
  <c r="F436" i="3"/>
  <c r="G436" i="3"/>
  <c r="H436" i="3"/>
  <c r="I436" i="3"/>
  <c r="J436" i="3"/>
  <c r="K436" i="3"/>
  <c r="B437" i="3"/>
  <c r="C437" i="3"/>
  <c r="D437" i="3"/>
  <c r="E437" i="3"/>
  <c r="F437" i="3"/>
  <c r="G437" i="3"/>
  <c r="H437" i="3"/>
  <c r="I437" i="3"/>
  <c r="J437" i="3"/>
  <c r="K437" i="3"/>
  <c r="B438" i="3"/>
  <c r="C438" i="3"/>
  <c r="D438" i="3"/>
  <c r="E438" i="3"/>
  <c r="F438" i="3"/>
  <c r="G438" i="3"/>
  <c r="H438" i="3"/>
  <c r="I438" i="3"/>
  <c r="J438" i="3"/>
  <c r="K438" i="3"/>
  <c r="B439" i="3"/>
  <c r="C439" i="3"/>
  <c r="D439" i="3"/>
  <c r="E439" i="3"/>
  <c r="F439" i="3"/>
  <c r="G439" i="3"/>
  <c r="H439" i="3"/>
  <c r="I439" i="3"/>
  <c r="J439" i="3"/>
  <c r="K439" i="3"/>
  <c r="B440" i="3"/>
  <c r="C440" i="3"/>
  <c r="D440" i="3"/>
  <c r="E440" i="3"/>
  <c r="F440" i="3"/>
  <c r="G440" i="3"/>
  <c r="H440" i="3"/>
  <c r="I440" i="3"/>
  <c r="J440" i="3"/>
  <c r="K440" i="3"/>
  <c r="B441" i="3"/>
  <c r="C441" i="3"/>
  <c r="D441" i="3"/>
  <c r="E441" i="3"/>
  <c r="F441" i="3"/>
  <c r="G441" i="3"/>
  <c r="H441" i="3"/>
  <c r="I441" i="3"/>
  <c r="J441" i="3"/>
  <c r="K441" i="3"/>
  <c r="B442" i="3"/>
  <c r="C442" i="3"/>
  <c r="D442" i="3"/>
  <c r="E442" i="3"/>
  <c r="F442" i="3"/>
  <c r="G442" i="3"/>
  <c r="H442" i="3"/>
  <c r="I442" i="3"/>
  <c r="J442" i="3"/>
  <c r="K442" i="3"/>
  <c r="B443" i="3"/>
  <c r="C443" i="3"/>
  <c r="D443" i="3"/>
  <c r="E443" i="3"/>
  <c r="F443" i="3"/>
  <c r="G443" i="3"/>
  <c r="H443" i="3"/>
  <c r="I443" i="3"/>
  <c r="J443" i="3"/>
  <c r="K443" i="3"/>
  <c r="B444" i="3"/>
  <c r="C444" i="3"/>
  <c r="D444" i="3"/>
  <c r="E444" i="3"/>
  <c r="F444" i="3"/>
  <c r="G444" i="3"/>
  <c r="H444" i="3"/>
  <c r="I444" i="3"/>
  <c r="J444" i="3"/>
  <c r="K444" i="3"/>
  <c r="B445" i="3"/>
  <c r="C445" i="3"/>
  <c r="D445" i="3"/>
  <c r="E445" i="3"/>
  <c r="F445" i="3"/>
  <c r="G445" i="3"/>
  <c r="H445" i="3"/>
  <c r="I445" i="3"/>
  <c r="J445" i="3"/>
  <c r="K445" i="3"/>
  <c r="B446" i="3"/>
  <c r="C446" i="3"/>
  <c r="D446" i="3"/>
  <c r="E446" i="3"/>
  <c r="F446" i="3"/>
  <c r="G446" i="3"/>
  <c r="H446" i="3"/>
  <c r="I446" i="3"/>
  <c r="J446" i="3"/>
  <c r="K446" i="3"/>
  <c r="B447" i="3"/>
  <c r="C447" i="3"/>
  <c r="D447" i="3"/>
  <c r="E447" i="3"/>
  <c r="F447" i="3"/>
  <c r="G447" i="3"/>
  <c r="H447" i="3"/>
  <c r="I447" i="3"/>
  <c r="J447" i="3"/>
  <c r="K447" i="3"/>
  <c r="B448" i="3"/>
  <c r="C448" i="3"/>
  <c r="D448" i="3"/>
  <c r="E448" i="3"/>
  <c r="F448" i="3"/>
  <c r="G448" i="3"/>
  <c r="H448" i="3"/>
  <c r="I448" i="3"/>
  <c r="J448" i="3"/>
  <c r="K448" i="3"/>
  <c r="B449" i="3"/>
  <c r="C449" i="3"/>
  <c r="D449" i="3"/>
  <c r="E449" i="3"/>
  <c r="F449" i="3"/>
  <c r="G449" i="3"/>
  <c r="H449" i="3"/>
  <c r="I449" i="3"/>
  <c r="J449" i="3"/>
  <c r="K449" i="3"/>
  <c r="B450" i="3"/>
  <c r="C450" i="3"/>
  <c r="D450" i="3"/>
  <c r="E450" i="3"/>
  <c r="F450" i="3"/>
  <c r="G450" i="3"/>
  <c r="H450" i="3"/>
  <c r="I450" i="3"/>
  <c r="J450" i="3"/>
  <c r="K450" i="3"/>
  <c r="B451" i="3"/>
  <c r="C451" i="3"/>
  <c r="D451" i="3"/>
  <c r="E451" i="3"/>
  <c r="F451" i="3"/>
  <c r="G451" i="3"/>
  <c r="H451" i="3"/>
  <c r="I451" i="3"/>
  <c r="J451" i="3"/>
  <c r="K451" i="3"/>
  <c r="B452" i="3"/>
  <c r="C452" i="3"/>
  <c r="D452" i="3"/>
  <c r="E452" i="3"/>
  <c r="F452" i="3"/>
  <c r="G452" i="3"/>
  <c r="H452" i="3"/>
  <c r="I452" i="3"/>
  <c r="J452" i="3"/>
  <c r="K452" i="3"/>
  <c r="B453" i="3"/>
  <c r="C453" i="3"/>
  <c r="D453" i="3"/>
  <c r="E453" i="3"/>
  <c r="F453" i="3"/>
  <c r="G453" i="3"/>
  <c r="H453" i="3"/>
  <c r="I453" i="3"/>
  <c r="J453" i="3"/>
  <c r="K453" i="3"/>
  <c r="B454" i="3"/>
  <c r="C454" i="3"/>
  <c r="D454" i="3"/>
  <c r="E454" i="3"/>
  <c r="F454" i="3"/>
  <c r="G454" i="3"/>
  <c r="H454" i="3"/>
  <c r="I454" i="3"/>
  <c r="J454" i="3"/>
  <c r="K454" i="3"/>
  <c r="B455" i="3"/>
  <c r="C455" i="3"/>
  <c r="D455" i="3"/>
  <c r="E455" i="3"/>
  <c r="F455" i="3"/>
  <c r="G455" i="3"/>
  <c r="H455" i="3"/>
  <c r="I455" i="3"/>
  <c r="J455" i="3"/>
  <c r="K455" i="3"/>
  <c r="B456" i="3"/>
  <c r="C456" i="3"/>
  <c r="D456" i="3"/>
  <c r="E456" i="3"/>
  <c r="F456" i="3"/>
  <c r="G456" i="3"/>
  <c r="H456" i="3"/>
  <c r="I456" i="3"/>
  <c r="J456" i="3"/>
  <c r="K456" i="3"/>
  <c r="B457" i="3"/>
  <c r="C457" i="3"/>
  <c r="D457" i="3"/>
  <c r="E457" i="3"/>
  <c r="F457" i="3"/>
  <c r="G457" i="3"/>
  <c r="H457" i="3"/>
  <c r="I457" i="3"/>
  <c r="J457" i="3"/>
  <c r="K457" i="3"/>
  <c r="B458" i="3"/>
  <c r="C458" i="3"/>
  <c r="D458" i="3"/>
  <c r="E458" i="3"/>
  <c r="F458" i="3"/>
  <c r="G458" i="3"/>
  <c r="H458" i="3"/>
  <c r="I458" i="3"/>
  <c r="J458" i="3"/>
  <c r="K458" i="3"/>
  <c r="B459" i="3"/>
  <c r="C459" i="3"/>
  <c r="D459" i="3"/>
  <c r="E459" i="3"/>
  <c r="F459" i="3"/>
  <c r="G459" i="3"/>
  <c r="H459" i="3"/>
  <c r="I459" i="3"/>
  <c r="J459" i="3"/>
  <c r="K459" i="3"/>
  <c r="B460" i="3"/>
  <c r="C460" i="3"/>
  <c r="D460" i="3"/>
  <c r="E460" i="3"/>
  <c r="F460" i="3"/>
  <c r="G460" i="3"/>
  <c r="H460" i="3"/>
  <c r="I460" i="3"/>
  <c r="J460" i="3"/>
  <c r="K460" i="3"/>
  <c r="B461" i="3"/>
  <c r="C461" i="3"/>
  <c r="D461" i="3"/>
  <c r="E461" i="3"/>
  <c r="F461" i="3"/>
  <c r="G461" i="3"/>
  <c r="H461" i="3"/>
  <c r="I461" i="3"/>
  <c r="J461" i="3"/>
  <c r="K461" i="3"/>
  <c r="B462" i="3"/>
  <c r="C462" i="3"/>
  <c r="D462" i="3"/>
  <c r="E462" i="3"/>
  <c r="F462" i="3"/>
  <c r="G462" i="3"/>
  <c r="H462" i="3"/>
  <c r="I462" i="3"/>
  <c r="J462" i="3"/>
  <c r="K462" i="3"/>
  <c r="B463" i="3"/>
  <c r="C463" i="3"/>
  <c r="D463" i="3"/>
  <c r="E463" i="3"/>
  <c r="F463" i="3"/>
  <c r="G463" i="3"/>
  <c r="H463" i="3"/>
  <c r="I463" i="3"/>
  <c r="J463" i="3"/>
  <c r="K463" i="3"/>
  <c r="B464" i="3"/>
  <c r="C464" i="3"/>
  <c r="D464" i="3"/>
  <c r="E464" i="3"/>
  <c r="F464" i="3"/>
  <c r="G464" i="3"/>
  <c r="H464" i="3"/>
  <c r="I464" i="3"/>
  <c r="J464" i="3"/>
  <c r="K464" i="3"/>
  <c r="B465" i="3"/>
  <c r="C465" i="3"/>
  <c r="D465" i="3"/>
  <c r="E465" i="3"/>
  <c r="F465" i="3"/>
  <c r="G465" i="3"/>
  <c r="H465" i="3"/>
  <c r="I465" i="3"/>
  <c r="J465" i="3"/>
  <c r="K465" i="3"/>
  <c r="B466" i="3"/>
  <c r="C466" i="3"/>
  <c r="D466" i="3"/>
  <c r="E466" i="3"/>
  <c r="F466" i="3"/>
  <c r="G466" i="3"/>
  <c r="H466" i="3"/>
  <c r="I466" i="3"/>
  <c r="J466" i="3"/>
  <c r="K466" i="3"/>
  <c r="B467" i="3"/>
  <c r="C467" i="3"/>
  <c r="D467" i="3"/>
  <c r="E467" i="3"/>
  <c r="F467" i="3"/>
  <c r="G467" i="3"/>
  <c r="H467" i="3"/>
  <c r="I467" i="3"/>
  <c r="J467" i="3"/>
  <c r="K467" i="3"/>
  <c r="B468" i="3"/>
  <c r="C468" i="3"/>
  <c r="D468" i="3"/>
  <c r="E468" i="3"/>
  <c r="F468" i="3"/>
  <c r="G468" i="3"/>
  <c r="H468" i="3"/>
  <c r="I468" i="3"/>
  <c r="J468" i="3"/>
  <c r="K468" i="3"/>
  <c r="B469" i="3"/>
  <c r="C469" i="3"/>
  <c r="D469" i="3"/>
  <c r="E469" i="3"/>
  <c r="F469" i="3"/>
  <c r="G469" i="3"/>
  <c r="H469" i="3"/>
  <c r="I469" i="3"/>
  <c r="J469" i="3"/>
  <c r="K469" i="3"/>
  <c r="B470" i="3"/>
  <c r="C470" i="3"/>
  <c r="D470" i="3"/>
  <c r="E470" i="3"/>
  <c r="F470" i="3"/>
  <c r="G470" i="3"/>
  <c r="H470" i="3"/>
  <c r="I470" i="3"/>
  <c r="J470" i="3"/>
  <c r="K470" i="3"/>
  <c r="B471" i="3"/>
  <c r="C471" i="3"/>
  <c r="D471" i="3"/>
  <c r="E471" i="3"/>
  <c r="F471" i="3"/>
  <c r="G471" i="3"/>
  <c r="H471" i="3"/>
  <c r="I471" i="3"/>
  <c r="J471" i="3"/>
  <c r="K471" i="3"/>
  <c r="B472" i="3"/>
  <c r="C472" i="3"/>
  <c r="D472" i="3"/>
  <c r="E472" i="3"/>
  <c r="F472" i="3"/>
  <c r="G472" i="3"/>
  <c r="H472" i="3"/>
  <c r="I472" i="3"/>
  <c r="J472" i="3"/>
  <c r="K472" i="3"/>
  <c r="B473" i="3"/>
  <c r="C473" i="3"/>
  <c r="D473" i="3"/>
  <c r="E473" i="3"/>
  <c r="F473" i="3"/>
  <c r="G473" i="3"/>
  <c r="H473" i="3"/>
  <c r="I473" i="3"/>
  <c r="J473" i="3"/>
  <c r="K473" i="3"/>
  <c r="B474" i="3"/>
  <c r="C474" i="3"/>
  <c r="D474" i="3"/>
  <c r="E474" i="3"/>
  <c r="F474" i="3"/>
  <c r="G474" i="3"/>
  <c r="H474" i="3"/>
  <c r="I474" i="3"/>
  <c r="J474" i="3"/>
  <c r="K474" i="3"/>
  <c r="B475" i="3"/>
  <c r="C475" i="3"/>
  <c r="D475" i="3"/>
  <c r="E475" i="3"/>
  <c r="F475" i="3"/>
  <c r="G475" i="3"/>
  <c r="H475" i="3"/>
  <c r="I475" i="3"/>
  <c r="J475" i="3"/>
  <c r="K475" i="3"/>
  <c r="B476" i="3"/>
  <c r="C476" i="3"/>
  <c r="D476" i="3"/>
  <c r="E476" i="3"/>
  <c r="F476" i="3"/>
  <c r="G476" i="3"/>
  <c r="H476" i="3"/>
  <c r="I476" i="3"/>
  <c r="J476" i="3"/>
  <c r="K476" i="3"/>
  <c r="B477" i="3"/>
  <c r="C477" i="3"/>
  <c r="D477" i="3"/>
  <c r="E477" i="3"/>
  <c r="F477" i="3"/>
  <c r="G477" i="3"/>
  <c r="H477" i="3"/>
  <c r="I477" i="3"/>
  <c r="J477" i="3"/>
  <c r="K477" i="3"/>
  <c r="B478" i="3"/>
  <c r="C478" i="3"/>
  <c r="D478" i="3"/>
  <c r="E478" i="3"/>
  <c r="F478" i="3"/>
  <c r="G478" i="3"/>
  <c r="H478" i="3"/>
  <c r="I478" i="3"/>
  <c r="J478" i="3"/>
  <c r="K478" i="3"/>
  <c r="B479" i="3"/>
  <c r="C479" i="3"/>
  <c r="D479" i="3"/>
  <c r="E479" i="3"/>
  <c r="F479" i="3"/>
  <c r="G479" i="3"/>
  <c r="H479" i="3"/>
  <c r="I479" i="3"/>
  <c r="J479" i="3"/>
  <c r="K479" i="3"/>
  <c r="B480" i="3"/>
  <c r="C480" i="3"/>
  <c r="D480" i="3"/>
  <c r="E480" i="3"/>
  <c r="F480" i="3"/>
  <c r="G480" i="3"/>
  <c r="H480" i="3"/>
  <c r="I480" i="3"/>
  <c r="J480" i="3"/>
  <c r="K480" i="3"/>
  <c r="B481" i="3"/>
  <c r="C481" i="3"/>
  <c r="D481" i="3"/>
  <c r="E481" i="3"/>
  <c r="F481" i="3"/>
  <c r="G481" i="3"/>
  <c r="H481" i="3"/>
  <c r="I481" i="3"/>
  <c r="J481" i="3"/>
  <c r="K481" i="3"/>
  <c r="B482" i="3"/>
  <c r="C482" i="3"/>
  <c r="D482" i="3"/>
  <c r="E482" i="3"/>
  <c r="F482" i="3"/>
  <c r="G482" i="3"/>
  <c r="H482" i="3"/>
  <c r="I482" i="3"/>
  <c r="J482" i="3"/>
  <c r="K482" i="3"/>
  <c r="B483" i="3"/>
  <c r="C483" i="3"/>
  <c r="D483" i="3"/>
  <c r="E483" i="3"/>
  <c r="F483" i="3"/>
  <c r="G483" i="3"/>
  <c r="H483" i="3"/>
  <c r="I483" i="3"/>
  <c r="J483" i="3"/>
  <c r="K483" i="3"/>
  <c r="B484" i="3"/>
  <c r="C484" i="3"/>
  <c r="D484" i="3"/>
  <c r="E484" i="3"/>
  <c r="F484" i="3"/>
  <c r="G484" i="3"/>
  <c r="H484" i="3"/>
  <c r="I484" i="3"/>
  <c r="J484" i="3"/>
  <c r="K484" i="3"/>
  <c r="B485" i="3"/>
  <c r="C485" i="3"/>
  <c r="D485" i="3"/>
  <c r="E485" i="3"/>
  <c r="F485" i="3"/>
  <c r="G485" i="3"/>
  <c r="H485" i="3"/>
  <c r="I485" i="3"/>
  <c r="J485" i="3"/>
  <c r="K485" i="3"/>
  <c r="B486" i="3"/>
  <c r="C486" i="3"/>
  <c r="D486" i="3"/>
  <c r="E486" i="3"/>
  <c r="F486" i="3"/>
  <c r="G486" i="3"/>
  <c r="H486" i="3"/>
  <c r="I486" i="3"/>
  <c r="J486" i="3"/>
  <c r="K486" i="3"/>
  <c r="B487" i="3"/>
  <c r="C487" i="3"/>
  <c r="D487" i="3"/>
  <c r="E487" i="3"/>
  <c r="F487" i="3"/>
  <c r="G487" i="3"/>
  <c r="H487" i="3"/>
  <c r="I487" i="3"/>
  <c r="J487" i="3"/>
  <c r="K487" i="3"/>
  <c r="B488" i="3"/>
  <c r="C488" i="3"/>
  <c r="D488" i="3"/>
  <c r="E488" i="3"/>
  <c r="F488" i="3"/>
  <c r="G488" i="3"/>
  <c r="H488" i="3"/>
  <c r="I488" i="3"/>
  <c r="J488" i="3"/>
  <c r="K488" i="3"/>
  <c r="B489" i="3"/>
  <c r="C489" i="3"/>
  <c r="D489" i="3"/>
  <c r="E489" i="3"/>
  <c r="F489" i="3"/>
  <c r="G489" i="3"/>
  <c r="H489" i="3"/>
  <c r="I489" i="3"/>
  <c r="J489" i="3"/>
  <c r="K489" i="3"/>
  <c r="B490" i="3"/>
  <c r="C490" i="3"/>
  <c r="D490" i="3"/>
  <c r="E490" i="3"/>
  <c r="F490" i="3"/>
  <c r="G490" i="3"/>
  <c r="H490" i="3"/>
  <c r="I490" i="3"/>
  <c r="J490" i="3"/>
  <c r="K490" i="3"/>
  <c r="B491" i="3"/>
  <c r="C491" i="3"/>
  <c r="D491" i="3"/>
  <c r="E491" i="3"/>
  <c r="F491" i="3"/>
  <c r="G491" i="3"/>
  <c r="H491" i="3"/>
  <c r="I491" i="3"/>
  <c r="J491" i="3"/>
  <c r="K491" i="3"/>
  <c r="B492" i="3"/>
  <c r="C492" i="3"/>
  <c r="D492" i="3"/>
  <c r="E492" i="3"/>
  <c r="F492" i="3"/>
  <c r="G492" i="3"/>
  <c r="H492" i="3"/>
  <c r="I492" i="3"/>
  <c r="J492" i="3"/>
  <c r="K492" i="3"/>
  <c r="B493" i="3"/>
  <c r="C493" i="3"/>
  <c r="D493" i="3"/>
  <c r="E493" i="3"/>
  <c r="F493" i="3"/>
  <c r="G493" i="3"/>
  <c r="H493" i="3"/>
  <c r="I493" i="3"/>
  <c r="J493" i="3"/>
  <c r="K493" i="3"/>
  <c r="B494" i="3"/>
  <c r="C494" i="3"/>
  <c r="D494" i="3"/>
  <c r="E494" i="3"/>
  <c r="F494" i="3"/>
  <c r="G494" i="3"/>
  <c r="H494" i="3"/>
  <c r="I494" i="3"/>
  <c r="J494" i="3"/>
  <c r="K494" i="3"/>
  <c r="B495" i="3"/>
  <c r="C495" i="3"/>
  <c r="D495" i="3"/>
  <c r="E495" i="3"/>
  <c r="F495" i="3"/>
  <c r="G495" i="3"/>
  <c r="H495" i="3"/>
  <c r="I495" i="3"/>
  <c r="J495" i="3"/>
  <c r="K495" i="3"/>
  <c r="B496" i="3"/>
  <c r="C496" i="3"/>
  <c r="D496" i="3"/>
  <c r="E496" i="3"/>
  <c r="F496" i="3"/>
  <c r="G496" i="3"/>
  <c r="H496" i="3"/>
  <c r="I496" i="3"/>
  <c r="J496" i="3"/>
  <c r="K496" i="3"/>
  <c r="B497" i="3"/>
  <c r="C497" i="3"/>
  <c r="D497" i="3"/>
  <c r="E497" i="3"/>
  <c r="F497" i="3"/>
  <c r="G497" i="3"/>
  <c r="H497" i="3"/>
  <c r="I497" i="3"/>
  <c r="J497" i="3"/>
  <c r="K497" i="3"/>
  <c r="B498" i="3"/>
  <c r="C498" i="3"/>
  <c r="D498" i="3"/>
  <c r="E498" i="3"/>
  <c r="F498" i="3"/>
  <c r="G498" i="3"/>
  <c r="H498" i="3"/>
  <c r="I498" i="3"/>
  <c r="J498" i="3"/>
  <c r="K498" i="3"/>
  <c r="B499" i="3"/>
  <c r="C499" i="3"/>
  <c r="D499" i="3"/>
  <c r="E499" i="3"/>
  <c r="F499" i="3"/>
  <c r="G499" i="3"/>
  <c r="H499" i="3"/>
  <c r="I499" i="3"/>
  <c r="J499" i="3"/>
  <c r="K499" i="3"/>
  <c r="B500" i="3"/>
  <c r="C500" i="3"/>
  <c r="D500" i="3"/>
  <c r="E500" i="3"/>
  <c r="F500" i="3"/>
  <c r="G500" i="3"/>
  <c r="H500" i="3"/>
  <c r="I500" i="3"/>
  <c r="J500" i="3"/>
  <c r="K500" i="3"/>
  <c r="B501" i="3"/>
  <c r="C501" i="3"/>
  <c r="D501" i="3"/>
  <c r="E501" i="3"/>
  <c r="F501" i="3"/>
  <c r="G501" i="3"/>
  <c r="H501" i="3"/>
  <c r="I501" i="3"/>
  <c r="J501" i="3"/>
  <c r="K501" i="3"/>
  <c r="B502" i="3"/>
  <c r="C502" i="3"/>
  <c r="D502" i="3"/>
  <c r="E502" i="3"/>
  <c r="F502" i="3"/>
  <c r="G502" i="3"/>
  <c r="H502" i="3"/>
  <c r="I502" i="3"/>
  <c r="J502" i="3"/>
  <c r="K502" i="3"/>
  <c r="B503" i="3"/>
  <c r="C503" i="3"/>
  <c r="D503" i="3"/>
  <c r="E503" i="3"/>
  <c r="F503" i="3"/>
  <c r="G503" i="3"/>
  <c r="H503" i="3"/>
  <c r="I503" i="3"/>
  <c r="J503" i="3"/>
  <c r="K503" i="3"/>
  <c r="B504" i="3"/>
  <c r="C504" i="3"/>
  <c r="D504" i="3"/>
  <c r="E504" i="3"/>
  <c r="F504" i="3"/>
  <c r="G504" i="3"/>
  <c r="H504" i="3"/>
  <c r="I504" i="3"/>
  <c r="J504" i="3"/>
  <c r="K504" i="3"/>
  <c r="B505" i="3"/>
  <c r="C505" i="3"/>
  <c r="D505" i="3"/>
  <c r="E505" i="3"/>
  <c r="F505" i="3"/>
  <c r="G505" i="3"/>
  <c r="H505" i="3"/>
  <c r="I505" i="3"/>
  <c r="J505" i="3"/>
  <c r="K505" i="3"/>
  <c r="B506" i="3"/>
  <c r="C506" i="3"/>
  <c r="D506" i="3"/>
  <c r="E506" i="3"/>
  <c r="F506" i="3"/>
  <c r="G506" i="3"/>
  <c r="H506" i="3"/>
  <c r="I506" i="3"/>
  <c r="J506" i="3"/>
  <c r="K506" i="3"/>
  <c r="B507" i="3"/>
  <c r="C507" i="3"/>
  <c r="D507" i="3"/>
  <c r="E507" i="3"/>
  <c r="F507" i="3"/>
  <c r="G507" i="3"/>
  <c r="H507" i="3"/>
  <c r="I507" i="3"/>
  <c r="J507" i="3"/>
  <c r="K507" i="3"/>
  <c r="B508" i="3"/>
  <c r="C508" i="3"/>
  <c r="D508" i="3"/>
  <c r="E508" i="3"/>
  <c r="F508" i="3"/>
  <c r="G508" i="3"/>
  <c r="H508" i="3"/>
  <c r="I508" i="3"/>
  <c r="J508" i="3"/>
  <c r="K508" i="3"/>
  <c r="B509" i="3"/>
  <c r="C509" i="3"/>
  <c r="D509" i="3"/>
  <c r="E509" i="3"/>
  <c r="F509" i="3"/>
  <c r="G509" i="3"/>
  <c r="H509" i="3"/>
  <c r="I509" i="3"/>
  <c r="J509" i="3"/>
  <c r="K509" i="3"/>
  <c r="B510" i="3"/>
  <c r="C510" i="3"/>
  <c r="D510" i="3"/>
  <c r="E510" i="3"/>
  <c r="F510" i="3"/>
  <c r="G510" i="3"/>
  <c r="H510" i="3"/>
  <c r="I510" i="3"/>
  <c r="J510" i="3"/>
  <c r="K510" i="3"/>
  <c r="B511" i="3"/>
  <c r="C511" i="3"/>
  <c r="D511" i="3"/>
  <c r="E511" i="3"/>
  <c r="F511" i="3"/>
  <c r="G511" i="3"/>
  <c r="H511" i="3"/>
  <c r="I511" i="3"/>
  <c r="J511" i="3"/>
  <c r="K511" i="3"/>
  <c r="B512" i="3"/>
  <c r="C512" i="3"/>
  <c r="D512" i="3"/>
  <c r="E512" i="3"/>
  <c r="F512" i="3"/>
  <c r="G512" i="3"/>
  <c r="H512" i="3"/>
  <c r="I512" i="3"/>
  <c r="J512" i="3"/>
  <c r="K512" i="3"/>
  <c r="B513" i="3"/>
  <c r="C513" i="3"/>
  <c r="D513" i="3"/>
  <c r="E513" i="3"/>
  <c r="F513" i="3"/>
  <c r="G513" i="3"/>
  <c r="H513" i="3"/>
  <c r="I513" i="3"/>
  <c r="J513" i="3"/>
  <c r="K513" i="3"/>
  <c r="B514" i="3"/>
  <c r="C514" i="3"/>
  <c r="D514" i="3"/>
  <c r="E514" i="3"/>
  <c r="F514" i="3"/>
  <c r="G514" i="3"/>
  <c r="H514" i="3"/>
  <c r="I514" i="3"/>
  <c r="J514" i="3"/>
  <c r="K514" i="3"/>
  <c r="B515" i="3"/>
  <c r="C515" i="3"/>
  <c r="D515" i="3"/>
  <c r="E515" i="3"/>
  <c r="F515" i="3"/>
  <c r="G515" i="3"/>
  <c r="H515" i="3"/>
  <c r="I515" i="3"/>
  <c r="J515" i="3"/>
  <c r="K515" i="3"/>
  <c r="B516" i="3"/>
  <c r="C516" i="3"/>
  <c r="D516" i="3"/>
  <c r="E516" i="3"/>
  <c r="F516" i="3"/>
  <c r="G516" i="3"/>
  <c r="H516" i="3"/>
  <c r="I516" i="3"/>
  <c r="J516" i="3"/>
  <c r="K516" i="3"/>
  <c r="B517" i="3"/>
  <c r="C517" i="3"/>
  <c r="D517" i="3"/>
  <c r="E517" i="3"/>
  <c r="F517" i="3"/>
  <c r="G517" i="3"/>
  <c r="H517" i="3"/>
  <c r="I517" i="3"/>
  <c r="J517" i="3"/>
  <c r="K517" i="3"/>
  <c r="B518" i="3"/>
  <c r="C518" i="3"/>
  <c r="D518" i="3"/>
  <c r="E518" i="3"/>
  <c r="F518" i="3"/>
  <c r="G518" i="3"/>
  <c r="H518" i="3"/>
  <c r="I518" i="3"/>
  <c r="J518" i="3"/>
  <c r="K518" i="3"/>
  <c r="B519" i="3"/>
  <c r="C519" i="3"/>
  <c r="D519" i="3"/>
  <c r="E519" i="3"/>
  <c r="F519" i="3"/>
  <c r="G519" i="3"/>
  <c r="H519" i="3"/>
  <c r="I519" i="3"/>
  <c r="J519" i="3"/>
  <c r="K519" i="3"/>
  <c r="B520" i="3"/>
  <c r="C520" i="3"/>
  <c r="D520" i="3"/>
  <c r="E520" i="3"/>
  <c r="F520" i="3"/>
  <c r="G520" i="3"/>
  <c r="H520" i="3"/>
  <c r="I520" i="3"/>
  <c r="J520" i="3"/>
  <c r="K520" i="3"/>
  <c r="B521" i="3"/>
  <c r="C521" i="3"/>
  <c r="D521" i="3"/>
  <c r="E521" i="3"/>
  <c r="F521" i="3"/>
  <c r="G521" i="3"/>
  <c r="H521" i="3"/>
  <c r="I521" i="3"/>
  <c r="J521" i="3"/>
  <c r="K521" i="3"/>
  <c r="B522" i="3"/>
  <c r="C522" i="3"/>
  <c r="D522" i="3"/>
  <c r="E522" i="3"/>
  <c r="F522" i="3"/>
  <c r="G522" i="3"/>
  <c r="H522" i="3"/>
  <c r="I522" i="3"/>
  <c r="J522" i="3"/>
  <c r="K522" i="3"/>
  <c r="B523" i="3"/>
  <c r="C523" i="3"/>
  <c r="D523" i="3"/>
  <c r="E523" i="3"/>
  <c r="F523" i="3"/>
  <c r="G523" i="3"/>
  <c r="H523" i="3"/>
  <c r="I523" i="3"/>
  <c r="J523" i="3"/>
  <c r="K523" i="3"/>
  <c r="B524" i="3"/>
  <c r="C524" i="3"/>
  <c r="D524" i="3"/>
  <c r="E524" i="3"/>
  <c r="F524" i="3"/>
  <c r="G524" i="3"/>
  <c r="H524" i="3"/>
  <c r="I524" i="3"/>
  <c r="J524" i="3"/>
  <c r="K524" i="3"/>
  <c r="B525" i="3"/>
  <c r="C525" i="3"/>
  <c r="D525" i="3"/>
  <c r="E525" i="3"/>
  <c r="F525" i="3"/>
  <c r="G525" i="3"/>
  <c r="H525" i="3"/>
  <c r="I525" i="3"/>
  <c r="J525" i="3"/>
  <c r="K525" i="3"/>
  <c r="B526" i="3"/>
  <c r="C526" i="3"/>
  <c r="D526" i="3"/>
  <c r="E526" i="3"/>
  <c r="F526" i="3"/>
  <c r="G526" i="3"/>
  <c r="H526" i="3"/>
  <c r="I526" i="3"/>
  <c r="J526" i="3"/>
  <c r="K526" i="3"/>
  <c r="B527" i="3"/>
  <c r="C527" i="3"/>
  <c r="D527" i="3"/>
  <c r="E527" i="3"/>
  <c r="F527" i="3"/>
  <c r="G527" i="3"/>
  <c r="H527" i="3"/>
  <c r="I527" i="3"/>
  <c r="J527" i="3"/>
  <c r="K527" i="3"/>
  <c r="B528" i="3"/>
  <c r="C528" i="3"/>
  <c r="D528" i="3"/>
  <c r="E528" i="3"/>
  <c r="F528" i="3"/>
  <c r="G528" i="3"/>
  <c r="H528" i="3"/>
  <c r="I528" i="3"/>
  <c r="J528" i="3"/>
  <c r="K528" i="3"/>
  <c r="B529" i="3"/>
  <c r="C529" i="3"/>
  <c r="D529" i="3"/>
  <c r="E529" i="3"/>
  <c r="F529" i="3"/>
  <c r="G529" i="3"/>
  <c r="H529" i="3"/>
  <c r="I529" i="3"/>
  <c r="J529" i="3"/>
  <c r="K529" i="3"/>
  <c r="B530" i="3"/>
  <c r="C530" i="3"/>
  <c r="D530" i="3"/>
  <c r="E530" i="3"/>
  <c r="F530" i="3"/>
  <c r="G530" i="3"/>
  <c r="H530" i="3"/>
  <c r="I530" i="3"/>
  <c r="J530" i="3"/>
  <c r="K530" i="3"/>
  <c r="B531" i="3"/>
  <c r="C531" i="3"/>
  <c r="D531" i="3"/>
  <c r="E531" i="3"/>
  <c r="F531" i="3"/>
  <c r="G531" i="3"/>
  <c r="H531" i="3"/>
  <c r="I531" i="3"/>
  <c r="J531" i="3"/>
  <c r="K531" i="3"/>
  <c r="B532" i="3"/>
  <c r="C532" i="3"/>
  <c r="D532" i="3"/>
  <c r="E532" i="3"/>
  <c r="F532" i="3"/>
  <c r="G532" i="3"/>
  <c r="H532" i="3"/>
  <c r="I532" i="3"/>
  <c r="J532" i="3"/>
  <c r="K532" i="3"/>
  <c r="B533" i="3"/>
  <c r="C533" i="3"/>
  <c r="D533" i="3"/>
  <c r="E533" i="3"/>
  <c r="F533" i="3"/>
  <c r="G533" i="3"/>
  <c r="H533" i="3"/>
  <c r="I533" i="3"/>
  <c r="J533" i="3"/>
  <c r="K533" i="3"/>
  <c r="B534" i="3"/>
  <c r="C534" i="3"/>
  <c r="D534" i="3"/>
  <c r="E534" i="3"/>
  <c r="F534" i="3"/>
  <c r="G534" i="3"/>
  <c r="H534" i="3"/>
  <c r="I534" i="3"/>
  <c r="J534" i="3"/>
  <c r="K534" i="3"/>
  <c r="B535" i="3"/>
  <c r="C535" i="3"/>
  <c r="D535" i="3"/>
  <c r="E535" i="3"/>
  <c r="F535" i="3"/>
  <c r="G535" i="3"/>
  <c r="H535" i="3"/>
  <c r="I535" i="3"/>
  <c r="J535" i="3"/>
  <c r="K535" i="3"/>
  <c r="B536" i="3"/>
  <c r="C536" i="3"/>
  <c r="D536" i="3"/>
  <c r="E536" i="3"/>
  <c r="F536" i="3"/>
  <c r="G536" i="3"/>
  <c r="H536" i="3"/>
  <c r="I536" i="3"/>
  <c r="J536" i="3"/>
  <c r="K536" i="3"/>
  <c r="B537" i="3"/>
  <c r="C537" i="3"/>
  <c r="D537" i="3"/>
  <c r="E537" i="3"/>
  <c r="F537" i="3"/>
  <c r="G537" i="3"/>
  <c r="H537" i="3"/>
  <c r="I537" i="3"/>
  <c r="J537" i="3"/>
  <c r="K537" i="3"/>
  <c r="B538" i="3"/>
  <c r="C538" i="3"/>
  <c r="D538" i="3"/>
  <c r="E538" i="3"/>
  <c r="F538" i="3"/>
  <c r="G538" i="3"/>
  <c r="H538" i="3"/>
  <c r="I538" i="3"/>
  <c r="J538" i="3"/>
  <c r="K538" i="3"/>
  <c r="B539" i="3"/>
  <c r="C539" i="3"/>
  <c r="D539" i="3"/>
  <c r="E539" i="3"/>
  <c r="F539" i="3"/>
  <c r="G539" i="3"/>
  <c r="H539" i="3"/>
  <c r="I539" i="3"/>
  <c r="J539" i="3"/>
  <c r="K539" i="3"/>
  <c r="B540" i="3"/>
  <c r="C540" i="3"/>
  <c r="D540" i="3"/>
  <c r="E540" i="3"/>
  <c r="F540" i="3"/>
  <c r="G540" i="3"/>
  <c r="H540" i="3"/>
  <c r="I540" i="3"/>
  <c r="J540" i="3"/>
  <c r="K540" i="3"/>
  <c r="B541" i="3"/>
  <c r="C541" i="3"/>
  <c r="D541" i="3"/>
  <c r="E541" i="3"/>
  <c r="F541" i="3"/>
  <c r="G541" i="3"/>
  <c r="H541" i="3"/>
  <c r="I541" i="3"/>
  <c r="J541" i="3"/>
  <c r="K541" i="3"/>
  <c r="B542" i="3"/>
  <c r="C542" i="3"/>
  <c r="D542" i="3"/>
  <c r="E542" i="3"/>
  <c r="F542" i="3"/>
  <c r="G542" i="3"/>
  <c r="H542" i="3"/>
  <c r="I542" i="3"/>
  <c r="J542" i="3"/>
  <c r="K542" i="3"/>
  <c r="B543" i="3"/>
  <c r="C543" i="3"/>
  <c r="D543" i="3"/>
  <c r="E543" i="3"/>
  <c r="F543" i="3"/>
  <c r="G543" i="3"/>
  <c r="H543" i="3"/>
  <c r="I543" i="3"/>
  <c r="J543" i="3"/>
  <c r="K543" i="3"/>
  <c r="B544" i="3"/>
  <c r="C544" i="3"/>
  <c r="D544" i="3"/>
  <c r="E544" i="3"/>
  <c r="F544" i="3"/>
  <c r="G544" i="3"/>
  <c r="H544" i="3"/>
  <c r="I544" i="3"/>
  <c r="J544" i="3"/>
  <c r="K544" i="3"/>
  <c r="B545" i="3"/>
  <c r="C545" i="3"/>
  <c r="D545" i="3"/>
  <c r="E545" i="3"/>
  <c r="F545" i="3"/>
  <c r="G545" i="3"/>
  <c r="H545" i="3"/>
  <c r="I545" i="3"/>
  <c r="J545" i="3"/>
  <c r="K545" i="3"/>
  <c r="B546" i="3"/>
  <c r="C546" i="3"/>
  <c r="D546" i="3"/>
  <c r="E546" i="3"/>
  <c r="F546" i="3"/>
  <c r="G546" i="3"/>
  <c r="H546" i="3"/>
  <c r="I546" i="3"/>
  <c r="J546" i="3"/>
  <c r="K546" i="3"/>
  <c r="B547" i="3"/>
  <c r="C547" i="3"/>
  <c r="D547" i="3"/>
  <c r="E547" i="3"/>
  <c r="F547" i="3"/>
  <c r="G547" i="3"/>
  <c r="H547" i="3"/>
  <c r="I547" i="3"/>
  <c r="J547" i="3"/>
  <c r="K547" i="3"/>
  <c r="B548" i="3"/>
  <c r="C548" i="3"/>
  <c r="D548" i="3"/>
  <c r="E548" i="3"/>
  <c r="F548" i="3"/>
  <c r="G548" i="3"/>
  <c r="H548" i="3"/>
  <c r="I548" i="3"/>
  <c r="J548" i="3"/>
  <c r="K548" i="3"/>
  <c r="B549" i="3"/>
  <c r="C549" i="3"/>
  <c r="D549" i="3"/>
  <c r="E549" i="3"/>
  <c r="F549" i="3"/>
  <c r="G549" i="3"/>
  <c r="H549" i="3"/>
  <c r="I549" i="3"/>
  <c r="J549" i="3"/>
  <c r="K549" i="3"/>
  <c r="B550" i="3"/>
  <c r="C550" i="3"/>
  <c r="D550" i="3"/>
  <c r="E550" i="3"/>
  <c r="F550" i="3"/>
  <c r="G550" i="3"/>
  <c r="H550" i="3"/>
  <c r="I550" i="3"/>
  <c r="J550" i="3"/>
  <c r="K550" i="3"/>
  <c r="B551" i="3"/>
  <c r="C551" i="3"/>
  <c r="D551" i="3"/>
  <c r="E551" i="3"/>
  <c r="F551" i="3"/>
  <c r="G551" i="3"/>
  <c r="H551" i="3"/>
  <c r="I551" i="3"/>
  <c r="J551" i="3"/>
  <c r="K551" i="3"/>
  <c r="B552" i="3"/>
  <c r="C552" i="3"/>
  <c r="D552" i="3"/>
  <c r="E552" i="3"/>
  <c r="F552" i="3"/>
  <c r="G552" i="3"/>
  <c r="H552" i="3"/>
  <c r="I552" i="3"/>
  <c r="J552" i="3"/>
  <c r="K552" i="3"/>
  <c r="B553" i="3"/>
  <c r="C553" i="3"/>
  <c r="D553" i="3"/>
  <c r="E553" i="3"/>
  <c r="F553" i="3"/>
  <c r="G553" i="3"/>
  <c r="H553" i="3"/>
  <c r="I553" i="3"/>
  <c r="J553" i="3"/>
  <c r="K553" i="3"/>
  <c r="B554" i="3"/>
  <c r="C554" i="3"/>
  <c r="D554" i="3"/>
  <c r="E554" i="3"/>
  <c r="F554" i="3"/>
  <c r="G554" i="3"/>
  <c r="H554" i="3"/>
  <c r="I554" i="3"/>
  <c r="J554" i="3"/>
  <c r="K554" i="3"/>
  <c r="B555" i="3"/>
  <c r="C555" i="3"/>
  <c r="D555" i="3"/>
  <c r="E555" i="3"/>
  <c r="F555" i="3"/>
  <c r="G555" i="3"/>
  <c r="H555" i="3"/>
  <c r="I555" i="3"/>
  <c r="J555" i="3"/>
  <c r="K555" i="3"/>
  <c r="B556" i="3"/>
  <c r="C556" i="3"/>
  <c r="D556" i="3"/>
  <c r="E556" i="3"/>
  <c r="F556" i="3"/>
  <c r="G556" i="3"/>
  <c r="H556" i="3"/>
  <c r="I556" i="3"/>
  <c r="J556" i="3"/>
  <c r="K556" i="3"/>
  <c r="B557" i="3"/>
  <c r="C557" i="3"/>
  <c r="D557" i="3"/>
  <c r="E557" i="3"/>
  <c r="F557" i="3"/>
  <c r="G557" i="3"/>
  <c r="H557" i="3"/>
  <c r="I557" i="3"/>
  <c r="J557" i="3"/>
  <c r="K557" i="3"/>
  <c r="B558" i="3"/>
  <c r="C558" i="3"/>
  <c r="D558" i="3"/>
  <c r="E558" i="3"/>
  <c r="F558" i="3"/>
  <c r="G558" i="3"/>
  <c r="H558" i="3"/>
  <c r="I558" i="3"/>
  <c r="J558" i="3"/>
  <c r="K558" i="3"/>
  <c r="B559" i="3"/>
  <c r="C559" i="3"/>
  <c r="D559" i="3"/>
  <c r="E559" i="3"/>
  <c r="F559" i="3"/>
  <c r="G559" i="3"/>
  <c r="H559" i="3"/>
  <c r="I559" i="3"/>
  <c r="J559" i="3"/>
  <c r="K559" i="3"/>
  <c r="B560" i="3"/>
  <c r="C560" i="3"/>
  <c r="D560" i="3"/>
  <c r="E560" i="3"/>
  <c r="F560" i="3"/>
  <c r="G560" i="3"/>
  <c r="H560" i="3"/>
  <c r="I560" i="3"/>
  <c r="J560" i="3"/>
  <c r="K560" i="3"/>
  <c r="B561" i="3"/>
  <c r="C561" i="3"/>
  <c r="D561" i="3"/>
  <c r="E561" i="3"/>
  <c r="F561" i="3"/>
  <c r="G561" i="3"/>
  <c r="H561" i="3"/>
  <c r="I561" i="3"/>
  <c r="J561" i="3"/>
  <c r="K561" i="3"/>
  <c r="B562" i="3"/>
  <c r="C562" i="3"/>
  <c r="D562" i="3"/>
  <c r="E562" i="3"/>
  <c r="F562" i="3"/>
  <c r="G562" i="3"/>
  <c r="H562" i="3"/>
  <c r="I562" i="3"/>
  <c r="J562" i="3"/>
  <c r="K562" i="3"/>
  <c r="B563" i="3"/>
  <c r="C563" i="3"/>
  <c r="D563" i="3"/>
  <c r="E563" i="3"/>
  <c r="F563" i="3"/>
  <c r="G563" i="3"/>
  <c r="H563" i="3"/>
  <c r="I563" i="3"/>
  <c r="J563" i="3"/>
  <c r="K563" i="3"/>
  <c r="B564" i="3"/>
  <c r="C564" i="3"/>
  <c r="D564" i="3"/>
  <c r="E564" i="3"/>
  <c r="F564" i="3"/>
  <c r="G564" i="3"/>
  <c r="H564" i="3"/>
  <c r="I564" i="3"/>
  <c r="J564" i="3"/>
  <c r="K564" i="3"/>
  <c r="B565" i="3"/>
  <c r="C565" i="3"/>
  <c r="D565" i="3"/>
  <c r="E565" i="3"/>
  <c r="F565" i="3"/>
  <c r="G565" i="3"/>
  <c r="H565" i="3"/>
  <c r="I565" i="3"/>
  <c r="J565" i="3"/>
  <c r="K565" i="3"/>
  <c r="B566" i="3"/>
  <c r="C566" i="3"/>
  <c r="D566" i="3"/>
  <c r="E566" i="3"/>
  <c r="F566" i="3"/>
  <c r="G566" i="3"/>
  <c r="H566" i="3"/>
  <c r="I566" i="3"/>
  <c r="J566" i="3"/>
  <c r="K566" i="3"/>
  <c r="B567" i="3"/>
  <c r="C567" i="3"/>
  <c r="D567" i="3"/>
  <c r="E567" i="3"/>
  <c r="F567" i="3"/>
  <c r="G567" i="3"/>
  <c r="H567" i="3"/>
  <c r="I567" i="3"/>
  <c r="J567" i="3"/>
  <c r="K567" i="3"/>
  <c r="B568" i="3"/>
  <c r="C568" i="3"/>
  <c r="D568" i="3"/>
  <c r="E568" i="3"/>
  <c r="F568" i="3"/>
  <c r="G568" i="3"/>
  <c r="H568" i="3"/>
  <c r="I568" i="3"/>
  <c r="J568" i="3"/>
  <c r="K568" i="3"/>
  <c r="B569" i="3"/>
  <c r="C569" i="3"/>
  <c r="D569" i="3"/>
  <c r="E569" i="3"/>
  <c r="F569" i="3"/>
  <c r="G569" i="3"/>
  <c r="H569" i="3"/>
  <c r="I569" i="3"/>
  <c r="J569" i="3"/>
  <c r="K569" i="3"/>
  <c r="B570" i="3"/>
  <c r="C570" i="3"/>
  <c r="D570" i="3"/>
  <c r="E570" i="3"/>
  <c r="F570" i="3"/>
  <c r="G570" i="3"/>
  <c r="H570" i="3"/>
  <c r="I570" i="3"/>
  <c r="J570" i="3"/>
  <c r="K570" i="3"/>
  <c r="B571" i="3"/>
  <c r="C571" i="3"/>
  <c r="D571" i="3"/>
  <c r="E571" i="3"/>
  <c r="F571" i="3"/>
  <c r="G571" i="3"/>
  <c r="H571" i="3"/>
  <c r="I571" i="3"/>
  <c r="J571" i="3"/>
  <c r="K571" i="3"/>
  <c r="B572" i="3"/>
  <c r="C572" i="3"/>
  <c r="D572" i="3"/>
  <c r="E572" i="3"/>
  <c r="F572" i="3"/>
  <c r="G572" i="3"/>
  <c r="H572" i="3"/>
  <c r="I572" i="3"/>
  <c r="J572" i="3"/>
  <c r="K572" i="3"/>
  <c r="B573" i="3"/>
  <c r="C573" i="3"/>
  <c r="D573" i="3"/>
  <c r="E573" i="3"/>
  <c r="F573" i="3"/>
  <c r="G573" i="3"/>
  <c r="H573" i="3"/>
  <c r="I573" i="3"/>
  <c r="J573" i="3"/>
  <c r="K573" i="3"/>
  <c r="B574" i="3"/>
  <c r="C574" i="3"/>
  <c r="D574" i="3"/>
  <c r="E574" i="3"/>
  <c r="F574" i="3"/>
  <c r="G574" i="3"/>
  <c r="H574" i="3"/>
  <c r="I574" i="3"/>
  <c r="J574" i="3"/>
  <c r="K574" i="3"/>
  <c r="B575" i="3"/>
  <c r="C575" i="3"/>
  <c r="D575" i="3"/>
  <c r="E575" i="3"/>
  <c r="F575" i="3"/>
  <c r="G575" i="3"/>
  <c r="H575" i="3"/>
  <c r="I575" i="3"/>
  <c r="J575" i="3"/>
  <c r="K575" i="3"/>
  <c r="B576" i="3"/>
  <c r="C576" i="3"/>
  <c r="D576" i="3"/>
  <c r="E576" i="3"/>
  <c r="F576" i="3"/>
  <c r="G576" i="3"/>
  <c r="H576" i="3"/>
  <c r="I576" i="3"/>
  <c r="J576" i="3"/>
  <c r="K576" i="3"/>
  <c r="B577" i="3"/>
  <c r="C577" i="3"/>
  <c r="D577" i="3"/>
  <c r="E577" i="3"/>
  <c r="F577" i="3"/>
  <c r="G577" i="3"/>
  <c r="H577" i="3"/>
  <c r="I577" i="3"/>
  <c r="J577" i="3"/>
  <c r="K577" i="3"/>
  <c r="B578" i="3"/>
  <c r="C578" i="3"/>
  <c r="D578" i="3"/>
  <c r="E578" i="3"/>
  <c r="F578" i="3"/>
  <c r="G578" i="3"/>
  <c r="H578" i="3"/>
  <c r="I578" i="3"/>
  <c r="J578" i="3"/>
  <c r="K578" i="3"/>
  <c r="B579" i="3"/>
  <c r="C579" i="3"/>
  <c r="D579" i="3"/>
  <c r="E579" i="3"/>
  <c r="F579" i="3"/>
  <c r="G579" i="3"/>
  <c r="H579" i="3"/>
  <c r="I579" i="3"/>
  <c r="J579" i="3"/>
  <c r="K579" i="3"/>
  <c r="B580" i="3"/>
  <c r="C580" i="3"/>
  <c r="D580" i="3"/>
  <c r="E580" i="3"/>
  <c r="F580" i="3"/>
  <c r="G580" i="3"/>
  <c r="H580" i="3"/>
  <c r="I580" i="3"/>
  <c r="J580" i="3"/>
  <c r="K580" i="3"/>
  <c r="B581" i="3"/>
  <c r="C581" i="3"/>
  <c r="D581" i="3"/>
  <c r="E581" i="3"/>
  <c r="F581" i="3"/>
  <c r="G581" i="3"/>
  <c r="H581" i="3"/>
  <c r="I581" i="3"/>
  <c r="J581" i="3"/>
  <c r="K581" i="3"/>
  <c r="B582" i="3"/>
  <c r="C582" i="3"/>
  <c r="D582" i="3"/>
  <c r="E582" i="3"/>
  <c r="F582" i="3"/>
  <c r="G582" i="3"/>
  <c r="H582" i="3"/>
  <c r="I582" i="3"/>
  <c r="J582" i="3"/>
  <c r="K582" i="3"/>
  <c r="B583" i="3"/>
  <c r="C583" i="3"/>
  <c r="D583" i="3"/>
  <c r="E583" i="3"/>
  <c r="F583" i="3"/>
  <c r="G583" i="3"/>
  <c r="H583" i="3"/>
  <c r="I583" i="3"/>
  <c r="J583" i="3"/>
  <c r="K583" i="3"/>
  <c r="B584" i="3"/>
  <c r="C584" i="3"/>
  <c r="D584" i="3"/>
  <c r="E584" i="3"/>
  <c r="F584" i="3"/>
  <c r="G584" i="3"/>
  <c r="H584" i="3"/>
  <c r="I584" i="3"/>
  <c r="J584" i="3"/>
  <c r="K584" i="3"/>
  <c r="B585" i="3"/>
  <c r="C585" i="3"/>
  <c r="D585" i="3"/>
  <c r="E585" i="3"/>
  <c r="F585" i="3"/>
  <c r="G585" i="3"/>
  <c r="H585" i="3"/>
  <c r="I585" i="3"/>
  <c r="J585" i="3"/>
  <c r="K585" i="3"/>
  <c r="B586" i="3"/>
  <c r="C586" i="3"/>
  <c r="D586" i="3"/>
  <c r="E586" i="3"/>
  <c r="F586" i="3"/>
  <c r="G586" i="3"/>
  <c r="H586" i="3"/>
  <c r="I586" i="3"/>
  <c r="J586" i="3"/>
  <c r="K586" i="3"/>
  <c r="B587" i="3"/>
  <c r="C587" i="3"/>
  <c r="D587" i="3"/>
  <c r="E587" i="3"/>
  <c r="F587" i="3"/>
  <c r="G587" i="3"/>
  <c r="H587" i="3"/>
  <c r="I587" i="3"/>
  <c r="J587" i="3"/>
  <c r="K587" i="3"/>
  <c r="B588" i="3"/>
  <c r="C588" i="3"/>
  <c r="D588" i="3"/>
  <c r="E588" i="3"/>
  <c r="F588" i="3"/>
  <c r="G588" i="3"/>
  <c r="H588" i="3"/>
  <c r="I588" i="3"/>
  <c r="J588" i="3"/>
  <c r="K588" i="3"/>
  <c r="B589" i="3"/>
  <c r="C589" i="3"/>
  <c r="D589" i="3"/>
  <c r="E589" i="3"/>
  <c r="F589" i="3"/>
  <c r="G589" i="3"/>
  <c r="H589" i="3"/>
  <c r="I589" i="3"/>
  <c r="J589" i="3"/>
  <c r="K589" i="3"/>
  <c r="B590" i="3"/>
  <c r="C590" i="3"/>
  <c r="D590" i="3"/>
  <c r="E590" i="3"/>
  <c r="F590" i="3"/>
  <c r="G590" i="3"/>
  <c r="H590" i="3"/>
  <c r="I590" i="3"/>
  <c r="J590" i="3"/>
  <c r="K590" i="3"/>
  <c r="B591" i="3"/>
  <c r="C591" i="3"/>
  <c r="D591" i="3"/>
  <c r="E591" i="3"/>
  <c r="F591" i="3"/>
  <c r="G591" i="3"/>
  <c r="H591" i="3"/>
  <c r="I591" i="3"/>
  <c r="J591" i="3"/>
  <c r="K591" i="3"/>
  <c r="B592" i="3"/>
  <c r="C592" i="3"/>
  <c r="D592" i="3"/>
  <c r="E592" i="3"/>
  <c r="F592" i="3"/>
  <c r="G592" i="3"/>
  <c r="H592" i="3"/>
  <c r="I592" i="3"/>
  <c r="J592" i="3"/>
  <c r="K592" i="3"/>
  <c r="B593" i="3"/>
  <c r="C593" i="3"/>
  <c r="D593" i="3"/>
  <c r="E593" i="3"/>
  <c r="F593" i="3"/>
  <c r="G593" i="3"/>
  <c r="H593" i="3"/>
  <c r="I593" i="3"/>
  <c r="J593" i="3"/>
  <c r="K593" i="3"/>
  <c r="B594" i="3"/>
  <c r="C594" i="3"/>
  <c r="D594" i="3"/>
  <c r="E594" i="3"/>
  <c r="F594" i="3"/>
  <c r="G594" i="3"/>
  <c r="H594" i="3"/>
  <c r="I594" i="3"/>
  <c r="J594" i="3"/>
  <c r="K594" i="3"/>
  <c r="B595" i="3"/>
  <c r="C595" i="3"/>
  <c r="D595" i="3"/>
  <c r="E595" i="3"/>
  <c r="F595" i="3"/>
  <c r="G595" i="3"/>
  <c r="H595" i="3"/>
  <c r="I595" i="3"/>
  <c r="J595" i="3"/>
  <c r="K595" i="3"/>
  <c r="B596" i="3"/>
  <c r="C596" i="3"/>
  <c r="D596" i="3"/>
  <c r="E596" i="3"/>
  <c r="F596" i="3"/>
  <c r="G596" i="3"/>
  <c r="H596" i="3"/>
  <c r="I596" i="3"/>
  <c r="J596" i="3"/>
  <c r="K596" i="3"/>
  <c r="B597" i="3"/>
  <c r="C597" i="3"/>
  <c r="D597" i="3"/>
  <c r="E597" i="3"/>
  <c r="F597" i="3"/>
  <c r="G597" i="3"/>
  <c r="H597" i="3"/>
  <c r="I597" i="3"/>
  <c r="J597" i="3"/>
  <c r="K597" i="3"/>
  <c r="B598" i="3"/>
  <c r="C598" i="3"/>
  <c r="D598" i="3"/>
  <c r="E598" i="3"/>
  <c r="F598" i="3"/>
  <c r="G598" i="3"/>
  <c r="H598" i="3"/>
  <c r="I598" i="3"/>
  <c r="J598" i="3"/>
  <c r="K598" i="3"/>
  <c r="B599" i="3"/>
  <c r="C599" i="3"/>
  <c r="D599" i="3"/>
  <c r="E599" i="3"/>
  <c r="F599" i="3"/>
  <c r="G599" i="3"/>
  <c r="H599" i="3"/>
  <c r="I599" i="3"/>
  <c r="J599" i="3"/>
  <c r="K599" i="3"/>
  <c r="B600" i="3"/>
  <c r="C600" i="3"/>
  <c r="D600" i="3"/>
  <c r="E600" i="3"/>
  <c r="F600" i="3"/>
  <c r="G600" i="3"/>
  <c r="H600" i="3"/>
  <c r="I600" i="3"/>
  <c r="J600" i="3"/>
  <c r="K600" i="3"/>
  <c r="B601" i="3"/>
  <c r="C601" i="3"/>
  <c r="D601" i="3"/>
  <c r="E601" i="3"/>
  <c r="F601" i="3"/>
  <c r="G601" i="3"/>
  <c r="H601" i="3"/>
  <c r="I601" i="3"/>
  <c r="J601" i="3"/>
  <c r="K601" i="3"/>
  <c r="B602" i="3"/>
  <c r="C602" i="3"/>
  <c r="D602" i="3"/>
  <c r="E602" i="3"/>
  <c r="F602" i="3"/>
  <c r="G602" i="3"/>
  <c r="H602" i="3"/>
  <c r="I602" i="3"/>
  <c r="J602" i="3"/>
  <c r="K602" i="3"/>
  <c r="B603" i="3"/>
  <c r="C603" i="3"/>
  <c r="D603" i="3"/>
  <c r="E603" i="3"/>
  <c r="F603" i="3"/>
  <c r="G603" i="3"/>
  <c r="H603" i="3"/>
  <c r="I603" i="3"/>
  <c r="J603" i="3"/>
  <c r="K603" i="3"/>
  <c r="B604" i="3"/>
  <c r="C604" i="3"/>
  <c r="D604" i="3"/>
  <c r="E604" i="3"/>
  <c r="F604" i="3"/>
  <c r="G604" i="3"/>
  <c r="H604" i="3"/>
  <c r="I604" i="3"/>
  <c r="J604" i="3"/>
  <c r="K604" i="3"/>
  <c r="B605" i="3"/>
  <c r="C605" i="3"/>
  <c r="D605" i="3"/>
  <c r="E605" i="3"/>
  <c r="F605" i="3"/>
  <c r="G605" i="3"/>
  <c r="H605" i="3"/>
  <c r="I605" i="3"/>
  <c r="J605" i="3"/>
  <c r="K605" i="3"/>
  <c r="B606" i="3"/>
  <c r="C606" i="3"/>
  <c r="D606" i="3"/>
  <c r="E606" i="3"/>
  <c r="F606" i="3"/>
  <c r="G606" i="3"/>
  <c r="H606" i="3"/>
  <c r="I606" i="3"/>
  <c r="J606" i="3"/>
  <c r="K606" i="3"/>
  <c r="B607" i="3"/>
  <c r="C607" i="3"/>
  <c r="D607" i="3"/>
  <c r="E607" i="3"/>
  <c r="F607" i="3"/>
  <c r="G607" i="3"/>
  <c r="H607" i="3"/>
  <c r="I607" i="3"/>
  <c r="J607" i="3"/>
  <c r="K607" i="3"/>
  <c r="B608" i="3"/>
  <c r="C608" i="3"/>
  <c r="D608" i="3"/>
  <c r="E608" i="3"/>
  <c r="F608" i="3"/>
  <c r="G608" i="3"/>
  <c r="H608" i="3"/>
  <c r="I608" i="3"/>
  <c r="J608" i="3"/>
  <c r="K608" i="3"/>
  <c r="B609" i="3"/>
  <c r="C609" i="3"/>
  <c r="D609" i="3"/>
  <c r="E609" i="3"/>
  <c r="F609" i="3"/>
  <c r="G609" i="3"/>
  <c r="H609" i="3"/>
  <c r="I609" i="3"/>
  <c r="J609" i="3"/>
  <c r="K609" i="3"/>
  <c r="B610" i="3"/>
  <c r="C610" i="3"/>
  <c r="D610" i="3"/>
  <c r="E610" i="3"/>
  <c r="F610" i="3"/>
  <c r="G610" i="3"/>
  <c r="H610" i="3"/>
  <c r="I610" i="3"/>
  <c r="J610" i="3"/>
  <c r="K610" i="3"/>
  <c r="B611" i="3"/>
  <c r="C611" i="3"/>
  <c r="D611" i="3"/>
  <c r="E611" i="3"/>
  <c r="F611" i="3"/>
  <c r="G611" i="3"/>
  <c r="H611" i="3"/>
  <c r="I611" i="3"/>
  <c r="J611" i="3"/>
  <c r="K611" i="3"/>
  <c r="B612" i="3"/>
  <c r="C612" i="3"/>
  <c r="D612" i="3"/>
  <c r="E612" i="3"/>
  <c r="F612" i="3"/>
  <c r="G612" i="3"/>
  <c r="H612" i="3"/>
  <c r="I612" i="3"/>
  <c r="J612" i="3"/>
  <c r="K612" i="3"/>
  <c r="B613" i="3"/>
  <c r="C613" i="3"/>
  <c r="D613" i="3"/>
  <c r="E613" i="3"/>
  <c r="F613" i="3"/>
  <c r="G613" i="3"/>
  <c r="H613" i="3"/>
  <c r="I613" i="3"/>
  <c r="J613" i="3"/>
  <c r="K613" i="3"/>
  <c r="B614" i="3"/>
  <c r="C614" i="3"/>
  <c r="D614" i="3"/>
  <c r="E614" i="3"/>
  <c r="F614" i="3"/>
  <c r="G614" i="3"/>
  <c r="H614" i="3"/>
  <c r="I614" i="3"/>
  <c r="J614" i="3"/>
  <c r="K614" i="3"/>
  <c r="B615" i="3"/>
  <c r="C615" i="3"/>
  <c r="D615" i="3"/>
  <c r="E615" i="3"/>
  <c r="F615" i="3"/>
  <c r="G615" i="3"/>
  <c r="H615" i="3"/>
  <c r="I615" i="3"/>
  <c r="J615" i="3"/>
  <c r="K615" i="3"/>
  <c r="B616" i="3"/>
  <c r="C616" i="3"/>
  <c r="D616" i="3"/>
  <c r="E616" i="3"/>
  <c r="F616" i="3"/>
  <c r="G616" i="3"/>
  <c r="H616" i="3"/>
  <c r="I616" i="3"/>
  <c r="J616" i="3"/>
  <c r="K616" i="3"/>
  <c r="B617" i="3"/>
  <c r="C617" i="3"/>
  <c r="D617" i="3"/>
  <c r="E617" i="3"/>
  <c r="F617" i="3"/>
  <c r="G617" i="3"/>
  <c r="H617" i="3"/>
  <c r="I617" i="3"/>
  <c r="J617" i="3"/>
  <c r="K617" i="3"/>
  <c r="B618" i="3"/>
  <c r="C618" i="3"/>
  <c r="D618" i="3"/>
  <c r="E618" i="3"/>
  <c r="F618" i="3"/>
  <c r="G618" i="3"/>
  <c r="H618" i="3"/>
  <c r="I618" i="3"/>
  <c r="J618" i="3"/>
  <c r="K618" i="3"/>
  <c r="B619" i="3"/>
  <c r="C619" i="3"/>
  <c r="D619" i="3"/>
  <c r="E619" i="3"/>
  <c r="F619" i="3"/>
  <c r="G619" i="3"/>
  <c r="H619" i="3"/>
  <c r="I619" i="3"/>
  <c r="J619" i="3"/>
  <c r="K619" i="3"/>
  <c r="B620" i="3"/>
  <c r="C620" i="3"/>
  <c r="D620" i="3"/>
  <c r="E620" i="3"/>
  <c r="F620" i="3"/>
  <c r="G620" i="3"/>
  <c r="H620" i="3"/>
  <c r="I620" i="3"/>
  <c r="J620" i="3"/>
  <c r="K620" i="3"/>
  <c r="B621" i="3"/>
  <c r="C621" i="3"/>
  <c r="D621" i="3"/>
  <c r="E621" i="3"/>
  <c r="F621" i="3"/>
  <c r="G621" i="3"/>
  <c r="H621" i="3"/>
  <c r="I621" i="3"/>
  <c r="J621" i="3"/>
  <c r="K621" i="3"/>
  <c r="B622" i="3"/>
  <c r="C622" i="3"/>
  <c r="D622" i="3"/>
  <c r="E622" i="3"/>
  <c r="F622" i="3"/>
  <c r="G622" i="3"/>
  <c r="H622" i="3"/>
  <c r="I622" i="3"/>
  <c r="J622" i="3"/>
  <c r="K622" i="3"/>
  <c r="B623" i="3"/>
  <c r="C623" i="3"/>
  <c r="D623" i="3"/>
  <c r="E623" i="3"/>
  <c r="F623" i="3"/>
  <c r="G623" i="3"/>
  <c r="H623" i="3"/>
  <c r="I623" i="3"/>
  <c r="J623" i="3"/>
  <c r="K623" i="3"/>
  <c r="B624" i="3"/>
  <c r="C624" i="3"/>
  <c r="D624" i="3"/>
  <c r="E624" i="3"/>
  <c r="F624" i="3"/>
  <c r="G624" i="3"/>
  <c r="H624" i="3"/>
  <c r="I624" i="3"/>
  <c r="J624" i="3"/>
  <c r="K624" i="3"/>
  <c r="B625" i="3"/>
  <c r="C625" i="3"/>
  <c r="D625" i="3"/>
  <c r="E625" i="3"/>
  <c r="F625" i="3"/>
  <c r="G625" i="3"/>
  <c r="H625" i="3"/>
  <c r="I625" i="3"/>
  <c r="J625" i="3"/>
  <c r="K625" i="3"/>
  <c r="B626" i="3"/>
  <c r="C626" i="3"/>
  <c r="D626" i="3"/>
  <c r="E626" i="3"/>
  <c r="F626" i="3"/>
  <c r="G626" i="3"/>
  <c r="H626" i="3"/>
  <c r="I626" i="3"/>
  <c r="J626" i="3"/>
  <c r="K626" i="3"/>
  <c r="B627" i="3"/>
  <c r="C627" i="3"/>
  <c r="D627" i="3"/>
  <c r="E627" i="3"/>
  <c r="F627" i="3"/>
  <c r="G627" i="3"/>
  <c r="H627" i="3"/>
  <c r="I627" i="3"/>
  <c r="J627" i="3"/>
  <c r="K627" i="3"/>
  <c r="B628" i="3"/>
  <c r="C628" i="3"/>
  <c r="D628" i="3"/>
  <c r="E628" i="3"/>
  <c r="F628" i="3"/>
  <c r="G628" i="3"/>
  <c r="H628" i="3"/>
  <c r="I628" i="3"/>
  <c r="J628" i="3"/>
  <c r="K628" i="3"/>
  <c r="B629" i="3"/>
  <c r="C629" i="3"/>
  <c r="D629" i="3"/>
  <c r="E629" i="3"/>
  <c r="F629" i="3"/>
  <c r="G629" i="3"/>
  <c r="H629" i="3"/>
  <c r="I629" i="3"/>
  <c r="J629" i="3"/>
  <c r="K629" i="3"/>
  <c r="B630" i="3"/>
  <c r="C630" i="3"/>
  <c r="D630" i="3"/>
  <c r="E630" i="3"/>
  <c r="F630" i="3"/>
  <c r="G630" i="3"/>
  <c r="H630" i="3"/>
  <c r="I630" i="3"/>
  <c r="J630" i="3"/>
  <c r="K630" i="3"/>
  <c r="B631" i="3"/>
  <c r="C631" i="3"/>
  <c r="D631" i="3"/>
  <c r="E631" i="3"/>
  <c r="F631" i="3"/>
  <c r="G631" i="3"/>
  <c r="H631" i="3"/>
  <c r="I631" i="3"/>
  <c r="J631" i="3"/>
  <c r="K631" i="3"/>
  <c r="B632" i="3"/>
  <c r="C632" i="3"/>
  <c r="D632" i="3"/>
  <c r="E632" i="3"/>
  <c r="F632" i="3"/>
  <c r="G632" i="3"/>
  <c r="H632" i="3"/>
  <c r="I632" i="3"/>
  <c r="J632" i="3"/>
  <c r="K632" i="3"/>
  <c r="B633" i="3"/>
  <c r="C633" i="3"/>
  <c r="D633" i="3"/>
  <c r="E633" i="3"/>
  <c r="F633" i="3"/>
  <c r="G633" i="3"/>
  <c r="H633" i="3"/>
  <c r="I633" i="3"/>
  <c r="J633" i="3"/>
  <c r="K633" i="3"/>
  <c r="B634" i="3"/>
  <c r="C634" i="3"/>
  <c r="D634" i="3"/>
  <c r="E634" i="3"/>
  <c r="F634" i="3"/>
  <c r="G634" i="3"/>
  <c r="H634" i="3"/>
  <c r="I634" i="3"/>
  <c r="J634" i="3"/>
  <c r="K634" i="3"/>
  <c r="B635" i="3"/>
  <c r="C635" i="3"/>
  <c r="D635" i="3"/>
  <c r="E635" i="3"/>
  <c r="F635" i="3"/>
  <c r="G635" i="3"/>
  <c r="H635" i="3"/>
  <c r="I635" i="3"/>
  <c r="J635" i="3"/>
  <c r="K635" i="3"/>
  <c r="B636" i="3"/>
  <c r="C636" i="3"/>
  <c r="D636" i="3"/>
  <c r="E636" i="3"/>
  <c r="F636" i="3"/>
  <c r="G636" i="3"/>
  <c r="H636" i="3"/>
  <c r="I636" i="3"/>
  <c r="J636" i="3"/>
  <c r="K636" i="3"/>
  <c r="B637" i="3"/>
  <c r="C637" i="3"/>
  <c r="D637" i="3"/>
  <c r="E637" i="3"/>
  <c r="F637" i="3"/>
  <c r="G637" i="3"/>
  <c r="H637" i="3"/>
  <c r="I637" i="3"/>
  <c r="J637" i="3"/>
  <c r="K637" i="3"/>
  <c r="B638" i="3"/>
  <c r="C638" i="3"/>
  <c r="D638" i="3"/>
  <c r="E638" i="3"/>
  <c r="F638" i="3"/>
  <c r="G638" i="3"/>
  <c r="H638" i="3"/>
  <c r="I638" i="3"/>
  <c r="J638" i="3"/>
  <c r="K638" i="3"/>
  <c r="B639" i="3"/>
  <c r="C639" i="3"/>
  <c r="D639" i="3"/>
  <c r="E639" i="3"/>
  <c r="F639" i="3"/>
  <c r="G639" i="3"/>
  <c r="H639" i="3"/>
  <c r="I639" i="3"/>
  <c r="J639" i="3"/>
  <c r="K639" i="3"/>
  <c r="B640" i="3"/>
  <c r="C640" i="3"/>
  <c r="D640" i="3"/>
  <c r="E640" i="3"/>
  <c r="F640" i="3"/>
  <c r="G640" i="3"/>
  <c r="H640" i="3"/>
  <c r="I640" i="3"/>
  <c r="J640" i="3"/>
  <c r="K640" i="3"/>
  <c r="B641" i="3"/>
  <c r="C641" i="3"/>
  <c r="D641" i="3"/>
  <c r="E641" i="3"/>
  <c r="F641" i="3"/>
  <c r="G641" i="3"/>
  <c r="H641" i="3"/>
  <c r="I641" i="3"/>
  <c r="J641" i="3"/>
  <c r="K641" i="3"/>
  <c r="B642" i="3"/>
  <c r="C642" i="3"/>
  <c r="D642" i="3"/>
  <c r="E642" i="3"/>
  <c r="F642" i="3"/>
  <c r="G642" i="3"/>
  <c r="H642" i="3"/>
  <c r="I642" i="3"/>
  <c r="J642" i="3"/>
  <c r="K642" i="3"/>
  <c r="B643" i="3"/>
  <c r="C643" i="3"/>
  <c r="D643" i="3"/>
  <c r="E643" i="3"/>
  <c r="F643" i="3"/>
  <c r="G643" i="3"/>
  <c r="H643" i="3"/>
  <c r="I643" i="3"/>
  <c r="J643" i="3"/>
  <c r="K643" i="3"/>
  <c r="B644" i="3"/>
  <c r="C644" i="3"/>
  <c r="D644" i="3"/>
  <c r="E644" i="3"/>
  <c r="F644" i="3"/>
  <c r="G644" i="3"/>
  <c r="H644" i="3"/>
  <c r="I644" i="3"/>
  <c r="J644" i="3"/>
  <c r="K644" i="3"/>
  <c r="B645" i="3"/>
  <c r="C645" i="3"/>
  <c r="D645" i="3"/>
  <c r="E645" i="3"/>
  <c r="F645" i="3"/>
  <c r="G645" i="3"/>
  <c r="H645" i="3"/>
  <c r="I645" i="3"/>
  <c r="J645" i="3"/>
  <c r="K645" i="3"/>
  <c r="B646" i="3"/>
  <c r="C646" i="3"/>
  <c r="D646" i="3"/>
  <c r="E646" i="3"/>
  <c r="F646" i="3"/>
  <c r="G646" i="3"/>
  <c r="H646" i="3"/>
  <c r="I646" i="3"/>
  <c r="J646" i="3"/>
  <c r="K646" i="3"/>
  <c r="B647" i="3"/>
  <c r="C647" i="3"/>
  <c r="D647" i="3"/>
  <c r="E647" i="3"/>
  <c r="F647" i="3"/>
  <c r="G647" i="3"/>
  <c r="H647" i="3"/>
  <c r="I647" i="3"/>
  <c r="J647" i="3"/>
  <c r="K647" i="3"/>
  <c r="B648" i="3"/>
  <c r="C648" i="3"/>
  <c r="D648" i="3"/>
  <c r="E648" i="3"/>
  <c r="F648" i="3"/>
  <c r="G648" i="3"/>
  <c r="H648" i="3"/>
  <c r="I648" i="3"/>
  <c r="J648" i="3"/>
  <c r="K648" i="3"/>
  <c r="B649" i="3"/>
  <c r="C649" i="3"/>
  <c r="D649" i="3"/>
  <c r="E649" i="3"/>
  <c r="F649" i="3"/>
  <c r="G649" i="3"/>
  <c r="H649" i="3"/>
  <c r="I649" i="3"/>
  <c r="J649" i="3"/>
  <c r="K649" i="3"/>
  <c r="B650" i="3"/>
  <c r="C650" i="3"/>
  <c r="D650" i="3"/>
  <c r="E650" i="3"/>
  <c r="F650" i="3"/>
  <c r="G650" i="3"/>
  <c r="H650" i="3"/>
  <c r="I650" i="3"/>
  <c r="J650" i="3"/>
  <c r="K650" i="3"/>
  <c r="B651" i="3"/>
  <c r="C651" i="3"/>
  <c r="D651" i="3"/>
  <c r="E651" i="3"/>
  <c r="F651" i="3"/>
  <c r="G651" i="3"/>
  <c r="H651" i="3"/>
  <c r="I651" i="3"/>
  <c r="J651" i="3"/>
  <c r="K651" i="3"/>
  <c r="B652" i="3"/>
  <c r="C652" i="3"/>
  <c r="D652" i="3"/>
  <c r="E652" i="3"/>
  <c r="F652" i="3"/>
  <c r="G652" i="3"/>
  <c r="H652" i="3"/>
  <c r="I652" i="3"/>
  <c r="J652" i="3"/>
  <c r="K652" i="3"/>
  <c r="B653" i="3"/>
  <c r="C653" i="3"/>
  <c r="D653" i="3"/>
  <c r="E653" i="3"/>
  <c r="F653" i="3"/>
  <c r="G653" i="3"/>
  <c r="H653" i="3"/>
  <c r="I653" i="3"/>
  <c r="J653" i="3"/>
  <c r="K653" i="3"/>
  <c r="B654" i="3"/>
  <c r="C654" i="3"/>
  <c r="D654" i="3"/>
  <c r="E654" i="3"/>
  <c r="F654" i="3"/>
  <c r="G654" i="3"/>
  <c r="H654" i="3"/>
  <c r="I654" i="3"/>
  <c r="J654" i="3"/>
  <c r="K654" i="3"/>
  <c r="B655" i="3"/>
  <c r="C655" i="3"/>
  <c r="D655" i="3"/>
  <c r="E655" i="3"/>
  <c r="F655" i="3"/>
  <c r="G655" i="3"/>
  <c r="H655" i="3"/>
  <c r="I655" i="3"/>
  <c r="J655" i="3"/>
  <c r="K655" i="3"/>
  <c r="B656" i="3"/>
  <c r="C656" i="3"/>
  <c r="D656" i="3"/>
  <c r="E656" i="3"/>
  <c r="F656" i="3"/>
  <c r="G656" i="3"/>
  <c r="H656" i="3"/>
  <c r="I656" i="3"/>
  <c r="J656" i="3"/>
  <c r="K656" i="3"/>
  <c r="B657" i="3"/>
  <c r="C657" i="3"/>
  <c r="D657" i="3"/>
  <c r="E657" i="3"/>
  <c r="F657" i="3"/>
  <c r="G657" i="3"/>
  <c r="H657" i="3"/>
  <c r="I657" i="3"/>
  <c r="J657" i="3"/>
  <c r="K657" i="3"/>
  <c r="B658" i="3"/>
  <c r="C658" i="3"/>
  <c r="D658" i="3"/>
  <c r="E658" i="3"/>
  <c r="F658" i="3"/>
  <c r="G658" i="3"/>
  <c r="H658" i="3"/>
  <c r="I658" i="3"/>
  <c r="J658" i="3"/>
  <c r="K658" i="3"/>
  <c r="B659" i="3"/>
  <c r="C659" i="3"/>
  <c r="D659" i="3"/>
  <c r="E659" i="3"/>
  <c r="F659" i="3"/>
  <c r="G659" i="3"/>
  <c r="H659" i="3"/>
  <c r="I659" i="3"/>
  <c r="J659" i="3"/>
  <c r="K659" i="3"/>
  <c r="B660" i="3"/>
  <c r="C660" i="3"/>
  <c r="D660" i="3"/>
  <c r="E660" i="3"/>
  <c r="F660" i="3"/>
  <c r="G660" i="3"/>
  <c r="H660" i="3"/>
  <c r="I660" i="3"/>
  <c r="J660" i="3"/>
  <c r="K660" i="3"/>
  <c r="B661" i="3"/>
  <c r="C661" i="3"/>
  <c r="D661" i="3"/>
  <c r="E661" i="3"/>
  <c r="F661" i="3"/>
  <c r="G661" i="3"/>
  <c r="H661" i="3"/>
  <c r="I661" i="3"/>
  <c r="J661" i="3"/>
  <c r="K661" i="3"/>
  <c r="B662" i="3"/>
  <c r="C662" i="3"/>
  <c r="D662" i="3"/>
  <c r="E662" i="3"/>
  <c r="F662" i="3"/>
  <c r="G662" i="3"/>
  <c r="H662" i="3"/>
  <c r="I662" i="3"/>
  <c r="J662" i="3"/>
  <c r="K662" i="3"/>
  <c r="B663" i="3"/>
  <c r="C663" i="3"/>
  <c r="D663" i="3"/>
  <c r="E663" i="3"/>
  <c r="F663" i="3"/>
  <c r="G663" i="3"/>
  <c r="H663" i="3"/>
  <c r="I663" i="3"/>
  <c r="J663" i="3"/>
  <c r="K663" i="3"/>
  <c r="B664" i="3"/>
  <c r="C664" i="3"/>
  <c r="D664" i="3"/>
  <c r="E664" i="3"/>
  <c r="F664" i="3"/>
  <c r="G664" i="3"/>
  <c r="H664" i="3"/>
  <c r="I664" i="3"/>
  <c r="J664" i="3"/>
  <c r="K664" i="3"/>
  <c r="B665" i="3"/>
  <c r="C665" i="3"/>
  <c r="D665" i="3"/>
  <c r="E665" i="3"/>
  <c r="F665" i="3"/>
  <c r="G665" i="3"/>
  <c r="H665" i="3"/>
  <c r="I665" i="3"/>
  <c r="J665" i="3"/>
  <c r="K665" i="3"/>
  <c r="B666" i="3"/>
  <c r="C666" i="3"/>
  <c r="D666" i="3"/>
  <c r="E666" i="3"/>
  <c r="F666" i="3"/>
  <c r="G666" i="3"/>
  <c r="H666" i="3"/>
  <c r="I666" i="3"/>
  <c r="J666" i="3"/>
  <c r="K666" i="3"/>
  <c r="B667" i="3"/>
  <c r="C667" i="3"/>
  <c r="D667" i="3"/>
  <c r="E667" i="3"/>
  <c r="F667" i="3"/>
  <c r="G667" i="3"/>
  <c r="H667" i="3"/>
  <c r="I667" i="3"/>
  <c r="J667" i="3"/>
  <c r="K667" i="3"/>
  <c r="B668" i="3"/>
  <c r="C668" i="3"/>
  <c r="D668" i="3"/>
  <c r="E668" i="3"/>
  <c r="F668" i="3"/>
  <c r="G668" i="3"/>
  <c r="H668" i="3"/>
  <c r="I668" i="3"/>
  <c r="J668" i="3"/>
  <c r="K668" i="3"/>
  <c r="B669" i="3"/>
  <c r="C669" i="3"/>
  <c r="D669" i="3"/>
  <c r="E669" i="3"/>
  <c r="F669" i="3"/>
  <c r="G669" i="3"/>
  <c r="H669" i="3"/>
  <c r="I669" i="3"/>
  <c r="J669" i="3"/>
  <c r="K669" i="3"/>
  <c r="B670" i="3"/>
  <c r="C670" i="3"/>
  <c r="D670" i="3"/>
  <c r="E670" i="3"/>
  <c r="F670" i="3"/>
  <c r="G670" i="3"/>
  <c r="H670" i="3"/>
  <c r="I670" i="3"/>
  <c r="J670" i="3"/>
  <c r="K670" i="3"/>
  <c r="B671" i="3"/>
  <c r="C671" i="3"/>
  <c r="D671" i="3"/>
  <c r="E671" i="3"/>
  <c r="F671" i="3"/>
  <c r="G671" i="3"/>
  <c r="H671" i="3"/>
  <c r="I671" i="3"/>
  <c r="J671" i="3"/>
  <c r="K671" i="3"/>
  <c r="B672" i="3"/>
  <c r="C672" i="3"/>
  <c r="D672" i="3"/>
  <c r="E672" i="3"/>
  <c r="F672" i="3"/>
  <c r="G672" i="3"/>
  <c r="H672" i="3"/>
  <c r="I672" i="3"/>
  <c r="J672" i="3"/>
  <c r="K672" i="3"/>
  <c r="B673" i="3"/>
  <c r="C673" i="3"/>
  <c r="D673" i="3"/>
  <c r="E673" i="3"/>
  <c r="F673" i="3"/>
  <c r="G673" i="3"/>
  <c r="H673" i="3"/>
  <c r="I673" i="3"/>
  <c r="J673" i="3"/>
  <c r="K673" i="3"/>
  <c r="B674" i="3"/>
  <c r="C674" i="3"/>
  <c r="D674" i="3"/>
  <c r="E674" i="3"/>
  <c r="F674" i="3"/>
  <c r="G674" i="3"/>
  <c r="H674" i="3"/>
  <c r="I674" i="3"/>
  <c r="J674" i="3"/>
  <c r="K674" i="3"/>
  <c r="B675" i="3"/>
  <c r="C675" i="3"/>
  <c r="D675" i="3"/>
  <c r="E675" i="3"/>
  <c r="F675" i="3"/>
  <c r="G675" i="3"/>
  <c r="H675" i="3"/>
  <c r="I675" i="3"/>
  <c r="J675" i="3"/>
  <c r="K675" i="3"/>
  <c r="B676" i="3"/>
  <c r="C676" i="3"/>
  <c r="D676" i="3"/>
  <c r="E676" i="3"/>
  <c r="F676" i="3"/>
  <c r="G676" i="3"/>
  <c r="H676" i="3"/>
  <c r="I676" i="3"/>
  <c r="J676" i="3"/>
  <c r="K676" i="3"/>
  <c r="B677" i="3"/>
  <c r="C677" i="3"/>
  <c r="D677" i="3"/>
  <c r="E677" i="3"/>
  <c r="F677" i="3"/>
  <c r="G677" i="3"/>
  <c r="H677" i="3"/>
  <c r="I677" i="3"/>
  <c r="J677" i="3"/>
  <c r="K677" i="3"/>
  <c r="B678" i="3"/>
  <c r="C678" i="3"/>
  <c r="D678" i="3"/>
  <c r="E678" i="3"/>
  <c r="F678" i="3"/>
  <c r="G678" i="3"/>
  <c r="H678" i="3"/>
  <c r="I678" i="3"/>
  <c r="J678" i="3"/>
  <c r="K678" i="3"/>
  <c r="B679" i="3"/>
  <c r="C679" i="3"/>
  <c r="D679" i="3"/>
  <c r="E679" i="3"/>
  <c r="F679" i="3"/>
  <c r="G679" i="3"/>
  <c r="H679" i="3"/>
  <c r="I679" i="3"/>
  <c r="J679" i="3"/>
  <c r="K679" i="3"/>
  <c r="B680" i="3"/>
  <c r="C680" i="3"/>
  <c r="D680" i="3"/>
  <c r="E680" i="3"/>
  <c r="F680" i="3"/>
  <c r="G680" i="3"/>
  <c r="H680" i="3"/>
  <c r="I680" i="3"/>
  <c r="J680" i="3"/>
  <c r="K680" i="3"/>
  <c r="B681" i="3"/>
  <c r="C681" i="3"/>
  <c r="D681" i="3"/>
  <c r="E681" i="3"/>
  <c r="F681" i="3"/>
  <c r="G681" i="3"/>
  <c r="H681" i="3"/>
  <c r="I681" i="3"/>
  <c r="J681" i="3"/>
  <c r="K681" i="3"/>
  <c r="B682" i="3"/>
  <c r="C682" i="3"/>
  <c r="D682" i="3"/>
  <c r="E682" i="3"/>
  <c r="F682" i="3"/>
  <c r="G682" i="3"/>
  <c r="H682" i="3"/>
  <c r="I682" i="3"/>
  <c r="J682" i="3"/>
  <c r="K682" i="3"/>
  <c r="B683" i="3"/>
  <c r="C683" i="3"/>
  <c r="D683" i="3"/>
  <c r="E683" i="3"/>
  <c r="F683" i="3"/>
  <c r="G683" i="3"/>
  <c r="H683" i="3"/>
  <c r="I683" i="3"/>
  <c r="J683" i="3"/>
  <c r="K683" i="3"/>
  <c r="B684" i="3"/>
  <c r="C684" i="3"/>
  <c r="D684" i="3"/>
  <c r="E684" i="3"/>
  <c r="F684" i="3"/>
  <c r="G684" i="3"/>
  <c r="H684" i="3"/>
  <c r="I684" i="3"/>
  <c r="J684" i="3"/>
  <c r="K684" i="3"/>
  <c r="B685" i="3"/>
  <c r="C685" i="3"/>
  <c r="D685" i="3"/>
  <c r="E685" i="3"/>
  <c r="F685" i="3"/>
  <c r="G685" i="3"/>
  <c r="H685" i="3"/>
  <c r="I685" i="3"/>
  <c r="J685" i="3"/>
  <c r="K685" i="3"/>
  <c r="B686" i="3"/>
  <c r="C686" i="3"/>
  <c r="D686" i="3"/>
  <c r="E686" i="3"/>
  <c r="F686" i="3"/>
  <c r="G686" i="3"/>
  <c r="H686" i="3"/>
  <c r="I686" i="3"/>
  <c r="J686" i="3"/>
  <c r="K686" i="3"/>
  <c r="B687" i="3"/>
  <c r="C687" i="3"/>
  <c r="D687" i="3"/>
  <c r="E687" i="3"/>
  <c r="F687" i="3"/>
  <c r="G687" i="3"/>
  <c r="H687" i="3"/>
  <c r="I687" i="3"/>
  <c r="J687" i="3"/>
  <c r="K687" i="3"/>
  <c r="B688" i="3"/>
  <c r="C688" i="3"/>
  <c r="D688" i="3"/>
  <c r="E688" i="3"/>
  <c r="F688" i="3"/>
  <c r="G688" i="3"/>
  <c r="H688" i="3"/>
  <c r="I688" i="3"/>
  <c r="J688" i="3"/>
  <c r="K688" i="3"/>
  <c r="B689" i="3"/>
  <c r="C689" i="3"/>
  <c r="D689" i="3"/>
  <c r="E689" i="3"/>
  <c r="F689" i="3"/>
  <c r="G689" i="3"/>
  <c r="H689" i="3"/>
  <c r="I689" i="3"/>
  <c r="J689" i="3"/>
  <c r="K689" i="3"/>
  <c r="B690" i="3"/>
  <c r="C690" i="3"/>
  <c r="D690" i="3"/>
  <c r="E690" i="3"/>
  <c r="F690" i="3"/>
  <c r="G690" i="3"/>
  <c r="H690" i="3"/>
  <c r="I690" i="3"/>
  <c r="J690" i="3"/>
  <c r="K690" i="3"/>
  <c r="B691" i="3"/>
  <c r="C691" i="3"/>
  <c r="D691" i="3"/>
  <c r="E691" i="3"/>
  <c r="F691" i="3"/>
  <c r="G691" i="3"/>
  <c r="H691" i="3"/>
  <c r="I691" i="3"/>
  <c r="J691" i="3"/>
  <c r="K691" i="3"/>
  <c r="B692" i="3"/>
  <c r="C692" i="3"/>
  <c r="D692" i="3"/>
  <c r="E692" i="3"/>
  <c r="F692" i="3"/>
  <c r="G692" i="3"/>
  <c r="H692" i="3"/>
  <c r="I692" i="3"/>
  <c r="J692" i="3"/>
  <c r="K692" i="3"/>
  <c r="B693" i="3"/>
  <c r="C693" i="3"/>
  <c r="D693" i="3"/>
  <c r="E693" i="3"/>
  <c r="F693" i="3"/>
  <c r="G693" i="3"/>
  <c r="H693" i="3"/>
  <c r="I693" i="3"/>
  <c r="J693" i="3"/>
  <c r="K693" i="3"/>
  <c r="B694" i="3"/>
  <c r="C694" i="3"/>
  <c r="D694" i="3"/>
  <c r="E694" i="3"/>
  <c r="F694" i="3"/>
  <c r="G694" i="3"/>
  <c r="H694" i="3"/>
  <c r="I694" i="3"/>
  <c r="J694" i="3"/>
  <c r="K694" i="3"/>
  <c r="B695" i="3"/>
  <c r="C695" i="3"/>
  <c r="D695" i="3"/>
  <c r="E695" i="3"/>
  <c r="F695" i="3"/>
  <c r="G695" i="3"/>
  <c r="H695" i="3"/>
  <c r="I695" i="3"/>
  <c r="J695" i="3"/>
  <c r="K695" i="3"/>
  <c r="B696" i="3"/>
  <c r="C696" i="3"/>
  <c r="D696" i="3"/>
  <c r="E696" i="3"/>
  <c r="F696" i="3"/>
  <c r="G696" i="3"/>
  <c r="H696" i="3"/>
  <c r="I696" i="3"/>
  <c r="J696" i="3"/>
  <c r="K696" i="3"/>
  <c r="B697" i="3"/>
  <c r="C697" i="3"/>
  <c r="D697" i="3"/>
  <c r="E697" i="3"/>
  <c r="F697" i="3"/>
  <c r="G697" i="3"/>
  <c r="H697" i="3"/>
  <c r="I697" i="3"/>
  <c r="J697" i="3"/>
  <c r="K697" i="3"/>
  <c r="B698" i="3"/>
  <c r="C698" i="3"/>
  <c r="D698" i="3"/>
  <c r="E698" i="3"/>
  <c r="F698" i="3"/>
  <c r="G698" i="3"/>
  <c r="H698" i="3"/>
  <c r="I698" i="3"/>
  <c r="J698" i="3"/>
  <c r="K698" i="3"/>
  <c r="B699" i="3"/>
  <c r="C699" i="3"/>
  <c r="D699" i="3"/>
  <c r="E699" i="3"/>
  <c r="F699" i="3"/>
  <c r="G699" i="3"/>
  <c r="H699" i="3"/>
  <c r="I699" i="3"/>
  <c r="J699" i="3"/>
  <c r="K699" i="3"/>
  <c r="B700" i="3"/>
  <c r="C700" i="3"/>
  <c r="D700" i="3"/>
  <c r="E700" i="3"/>
  <c r="F700" i="3"/>
  <c r="G700" i="3"/>
  <c r="H700" i="3"/>
  <c r="I700" i="3"/>
  <c r="J700" i="3"/>
  <c r="K700" i="3"/>
  <c r="B701" i="3"/>
  <c r="C701" i="3"/>
  <c r="D701" i="3"/>
  <c r="E701" i="3"/>
  <c r="F701" i="3"/>
  <c r="G701" i="3"/>
  <c r="H701" i="3"/>
  <c r="I701" i="3"/>
  <c r="J701" i="3"/>
  <c r="K701" i="3"/>
  <c r="B702" i="3"/>
  <c r="C702" i="3"/>
  <c r="D702" i="3"/>
  <c r="E702" i="3"/>
  <c r="F702" i="3"/>
  <c r="G702" i="3"/>
  <c r="H702" i="3"/>
  <c r="I702" i="3"/>
  <c r="J702" i="3"/>
  <c r="K702" i="3"/>
  <c r="B703" i="3"/>
  <c r="C703" i="3"/>
  <c r="D703" i="3"/>
  <c r="E703" i="3"/>
  <c r="F703" i="3"/>
  <c r="G703" i="3"/>
  <c r="H703" i="3"/>
  <c r="I703" i="3"/>
  <c r="J703" i="3"/>
  <c r="K703" i="3"/>
  <c r="B704" i="3"/>
  <c r="C704" i="3"/>
  <c r="D704" i="3"/>
  <c r="E704" i="3"/>
  <c r="F704" i="3"/>
  <c r="G704" i="3"/>
  <c r="H704" i="3"/>
  <c r="I704" i="3"/>
  <c r="J704" i="3"/>
  <c r="K704" i="3"/>
  <c r="B705" i="3"/>
  <c r="C705" i="3"/>
  <c r="D705" i="3"/>
  <c r="E705" i="3"/>
  <c r="F705" i="3"/>
  <c r="G705" i="3"/>
  <c r="H705" i="3"/>
  <c r="I705" i="3"/>
  <c r="J705" i="3"/>
  <c r="K705" i="3"/>
  <c r="B706" i="3"/>
  <c r="C706" i="3"/>
  <c r="D706" i="3"/>
  <c r="E706" i="3"/>
  <c r="F706" i="3"/>
  <c r="G706" i="3"/>
  <c r="H706" i="3"/>
  <c r="I706" i="3"/>
  <c r="J706" i="3"/>
  <c r="K706" i="3"/>
  <c r="B707" i="3"/>
  <c r="C707" i="3"/>
  <c r="D707" i="3"/>
  <c r="E707" i="3"/>
  <c r="F707" i="3"/>
  <c r="G707" i="3"/>
  <c r="H707" i="3"/>
  <c r="I707" i="3"/>
  <c r="J707" i="3"/>
  <c r="K707" i="3"/>
  <c r="B708" i="3"/>
  <c r="C708" i="3"/>
  <c r="D708" i="3"/>
  <c r="E708" i="3"/>
  <c r="F708" i="3"/>
  <c r="G708" i="3"/>
  <c r="H708" i="3"/>
  <c r="I708" i="3"/>
  <c r="J708" i="3"/>
  <c r="K708" i="3"/>
  <c r="B709" i="3"/>
  <c r="C709" i="3"/>
  <c r="D709" i="3"/>
  <c r="E709" i="3"/>
  <c r="F709" i="3"/>
  <c r="G709" i="3"/>
  <c r="H709" i="3"/>
  <c r="I709" i="3"/>
  <c r="J709" i="3"/>
  <c r="K709" i="3"/>
  <c r="B710" i="3"/>
  <c r="C710" i="3"/>
  <c r="D710" i="3"/>
  <c r="E710" i="3"/>
  <c r="F710" i="3"/>
  <c r="G710" i="3"/>
  <c r="H710" i="3"/>
  <c r="I710" i="3"/>
  <c r="J710" i="3"/>
  <c r="K710" i="3"/>
  <c r="B711" i="3"/>
  <c r="C711" i="3"/>
  <c r="D711" i="3"/>
  <c r="E711" i="3"/>
  <c r="F711" i="3"/>
  <c r="G711" i="3"/>
  <c r="H711" i="3"/>
  <c r="I711" i="3"/>
  <c r="J711" i="3"/>
  <c r="K711" i="3"/>
  <c r="B712" i="3"/>
  <c r="C712" i="3"/>
  <c r="D712" i="3"/>
  <c r="E712" i="3"/>
  <c r="F712" i="3"/>
  <c r="G712" i="3"/>
  <c r="H712" i="3"/>
  <c r="I712" i="3"/>
  <c r="J712" i="3"/>
  <c r="K712" i="3"/>
  <c r="B713" i="3"/>
  <c r="C713" i="3"/>
  <c r="D713" i="3"/>
  <c r="E713" i="3"/>
  <c r="F713" i="3"/>
  <c r="G713" i="3"/>
  <c r="H713" i="3"/>
  <c r="I713" i="3"/>
  <c r="J713" i="3"/>
  <c r="K713" i="3"/>
  <c r="B714" i="3"/>
  <c r="C714" i="3"/>
  <c r="D714" i="3"/>
  <c r="E714" i="3"/>
  <c r="F714" i="3"/>
  <c r="G714" i="3"/>
  <c r="H714" i="3"/>
  <c r="I714" i="3"/>
  <c r="J714" i="3"/>
  <c r="K714" i="3"/>
  <c r="B715" i="3"/>
  <c r="C715" i="3"/>
  <c r="D715" i="3"/>
  <c r="E715" i="3"/>
  <c r="F715" i="3"/>
  <c r="G715" i="3"/>
  <c r="H715" i="3"/>
  <c r="I715" i="3"/>
  <c r="J715" i="3"/>
  <c r="K715" i="3"/>
  <c r="B716" i="3"/>
  <c r="C716" i="3"/>
  <c r="D716" i="3"/>
  <c r="E716" i="3"/>
  <c r="F716" i="3"/>
  <c r="G716" i="3"/>
  <c r="H716" i="3"/>
  <c r="I716" i="3"/>
  <c r="J716" i="3"/>
  <c r="K716" i="3"/>
  <c r="B717" i="3"/>
  <c r="C717" i="3"/>
  <c r="D717" i="3"/>
  <c r="E717" i="3"/>
  <c r="F717" i="3"/>
  <c r="G717" i="3"/>
  <c r="H717" i="3"/>
  <c r="I717" i="3"/>
  <c r="J717" i="3"/>
  <c r="K717" i="3"/>
  <c r="B718" i="3"/>
  <c r="C718" i="3"/>
  <c r="D718" i="3"/>
  <c r="E718" i="3"/>
  <c r="F718" i="3"/>
  <c r="G718" i="3"/>
  <c r="H718" i="3"/>
  <c r="I718" i="3"/>
  <c r="J718" i="3"/>
  <c r="K718" i="3"/>
  <c r="B719" i="3"/>
  <c r="C719" i="3"/>
  <c r="D719" i="3"/>
  <c r="E719" i="3"/>
  <c r="F719" i="3"/>
  <c r="G719" i="3"/>
  <c r="H719" i="3"/>
  <c r="I719" i="3"/>
  <c r="J719" i="3"/>
  <c r="K719" i="3"/>
  <c r="B720" i="3"/>
  <c r="C720" i="3"/>
  <c r="D720" i="3"/>
  <c r="E720" i="3"/>
  <c r="F720" i="3"/>
  <c r="G720" i="3"/>
  <c r="H720" i="3"/>
  <c r="I720" i="3"/>
  <c r="J720" i="3"/>
  <c r="K720" i="3"/>
  <c r="B721" i="3"/>
  <c r="C721" i="3"/>
  <c r="D721" i="3"/>
  <c r="E721" i="3"/>
  <c r="F721" i="3"/>
  <c r="G721" i="3"/>
  <c r="H721" i="3"/>
  <c r="I721" i="3"/>
  <c r="J721" i="3"/>
  <c r="K721" i="3"/>
  <c r="B722" i="3"/>
  <c r="C722" i="3"/>
  <c r="D722" i="3"/>
  <c r="E722" i="3"/>
  <c r="F722" i="3"/>
  <c r="G722" i="3"/>
  <c r="H722" i="3"/>
  <c r="I722" i="3"/>
  <c r="J722" i="3"/>
  <c r="K722" i="3"/>
  <c r="B723" i="3"/>
  <c r="C723" i="3"/>
  <c r="D723" i="3"/>
  <c r="E723" i="3"/>
  <c r="F723" i="3"/>
  <c r="G723" i="3"/>
  <c r="H723" i="3"/>
  <c r="I723" i="3"/>
  <c r="J723" i="3"/>
  <c r="K723" i="3"/>
  <c r="B724" i="3"/>
  <c r="C724" i="3"/>
  <c r="D724" i="3"/>
  <c r="E724" i="3"/>
  <c r="F724" i="3"/>
  <c r="G724" i="3"/>
  <c r="H724" i="3"/>
  <c r="I724" i="3"/>
  <c r="J724" i="3"/>
  <c r="K724" i="3"/>
  <c r="B725" i="3"/>
  <c r="C725" i="3"/>
  <c r="D725" i="3"/>
  <c r="E725" i="3"/>
  <c r="F725" i="3"/>
  <c r="G725" i="3"/>
  <c r="H725" i="3"/>
  <c r="I725" i="3"/>
  <c r="J725" i="3"/>
  <c r="K725" i="3"/>
  <c r="B726" i="3"/>
  <c r="C726" i="3"/>
  <c r="D726" i="3"/>
  <c r="E726" i="3"/>
  <c r="F726" i="3"/>
  <c r="G726" i="3"/>
  <c r="H726" i="3"/>
  <c r="I726" i="3"/>
  <c r="J726" i="3"/>
  <c r="K726" i="3"/>
  <c r="B727" i="3"/>
  <c r="C727" i="3"/>
  <c r="D727" i="3"/>
  <c r="E727" i="3"/>
  <c r="F727" i="3"/>
  <c r="G727" i="3"/>
  <c r="H727" i="3"/>
  <c r="I727" i="3"/>
  <c r="J727" i="3"/>
  <c r="K727" i="3"/>
  <c r="B728" i="3"/>
  <c r="C728" i="3"/>
  <c r="D728" i="3"/>
  <c r="E728" i="3"/>
  <c r="F728" i="3"/>
  <c r="G728" i="3"/>
  <c r="H728" i="3"/>
  <c r="I728" i="3"/>
  <c r="J728" i="3"/>
  <c r="K728" i="3"/>
  <c r="B729" i="3"/>
  <c r="C729" i="3"/>
  <c r="D729" i="3"/>
  <c r="E729" i="3"/>
  <c r="F729" i="3"/>
  <c r="G729" i="3"/>
  <c r="H729" i="3"/>
  <c r="I729" i="3"/>
  <c r="J729" i="3"/>
  <c r="K729" i="3"/>
  <c r="B730" i="3"/>
  <c r="C730" i="3"/>
  <c r="D730" i="3"/>
  <c r="E730" i="3"/>
  <c r="F730" i="3"/>
  <c r="G730" i="3"/>
  <c r="H730" i="3"/>
  <c r="I730" i="3"/>
  <c r="J730" i="3"/>
  <c r="K730" i="3"/>
  <c r="B731" i="3"/>
  <c r="C731" i="3"/>
  <c r="D731" i="3"/>
  <c r="E731" i="3"/>
  <c r="F731" i="3"/>
  <c r="G731" i="3"/>
  <c r="H731" i="3"/>
  <c r="I731" i="3"/>
  <c r="J731" i="3"/>
  <c r="K731" i="3"/>
  <c r="B732" i="3"/>
  <c r="C732" i="3"/>
  <c r="D732" i="3"/>
  <c r="E732" i="3"/>
  <c r="F732" i="3"/>
  <c r="G732" i="3"/>
  <c r="H732" i="3"/>
  <c r="I732" i="3"/>
  <c r="J732" i="3"/>
  <c r="K732" i="3"/>
  <c r="B733" i="3"/>
  <c r="C733" i="3"/>
  <c r="D733" i="3"/>
  <c r="E733" i="3"/>
  <c r="F733" i="3"/>
  <c r="G733" i="3"/>
  <c r="H733" i="3"/>
  <c r="I733" i="3"/>
  <c r="J733" i="3"/>
  <c r="K733" i="3"/>
  <c r="B734" i="3"/>
  <c r="C734" i="3"/>
  <c r="D734" i="3"/>
  <c r="E734" i="3"/>
  <c r="F734" i="3"/>
  <c r="G734" i="3"/>
  <c r="H734" i="3"/>
  <c r="I734" i="3"/>
  <c r="J734" i="3"/>
  <c r="K734" i="3"/>
  <c r="B735" i="3"/>
  <c r="C735" i="3"/>
  <c r="D735" i="3"/>
  <c r="E735" i="3"/>
  <c r="F735" i="3"/>
  <c r="G735" i="3"/>
  <c r="H735" i="3"/>
  <c r="I735" i="3"/>
  <c r="J735" i="3"/>
  <c r="K735" i="3"/>
  <c r="B736" i="3"/>
  <c r="C736" i="3"/>
  <c r="D736" i="3"/>
  <c r="E736" i="3"/>
  <c r="F736" i="3"/>
  <c r="G736" i="3"/>
  <c r="H736" i="3"/>
  <c r="I736" i="3"/>
  <c r="J736" i="3"/>
  <c r="K736" i="3"/>
  <c r="B737" i="3"/>
  <c r="C737" i="3"/>
  <c r="D737" i="3"/>
  <c r="E737" i="3"/>
  <c r="F737" i="3"/>
  <c r="G737" i="3"/>
  <c r="H737" i="3"/>
  <c r="I737" i="3"/>
  <c r="J737" i="3"/>
  <c r="K737" i="3"/>
  <c r="B738" i="3"/>
  <c r="C738" i="3"/>
  <c r="D738" i="3"/>
  <c r="E738" i="3"/>
  <c r="F738" i="3"/>
  <c r="G738" i="3"/>
  <c r="H738" i="3"/>
  <c r="I738" i="3"/>
  <c r="J738" i="3"/>
  <c r="K738" i="3"/>
  <c r="B739" i="3"/>
  <c r="C739" i="3"/>
  <c r="D739" i="3"/>
  <c r="E739" i="3"/>
  <c r="F739" i="3"/>
  <c r="G739" i="3"/>
  <c r="H739" i="3"/>
  <c r="I739" i="3"/>
  <c r="J739" i="3"/>
  <c r="K739" i="3"/>
  <c r="B740" i="3"/>
  <c r="C740" i="3"/>
  <c r="D740" i="3"/>
  <c r="E740" i="3"/>
  <c r="F740" i="3"/>
  <c r="G740" i="3"/>
  <c r="H740" i="3"/>
  <c r="I740" i="3"/>
  <c r="J740" i="3"/>
  <c r="K740" i="3"/>
  <c r="B741" i="3"/>
  <c r="C741" i="3"/>
  <c r="D741" i="3"/>
  <c r="E741" i="3"/>
  <c r="F741" i="3"/>
  <c r="G741" i="3"/>
  <c r="H741" i="3"/>
  <c r="I741" i="3"/>
  <c r="J741" i="3"/>
  <c r="K741" i="3"/>
  <c r="B742" i="3"/>
  <c r="C742" i="3"/>
  <c r="D742" i="3"/>
  <c r="E742" i="3"/>
  <c r="F742" i="3"/>
  <c r="G742" i="3"/>
  <c r="H742" i="3"/>
  <c r="I742" i="3"/>
  <c r="J742" i="3"/>
  <c r="K742" i="3"/>
  <c r="B743" i="3"/>
  <c r="C743" i="3"/>
  <c r="D743" i="3"/>
  <c r="E743" i="3"/>
  <c r="F743" i="3"/>
  <c r="G743" i="3"/>
  <c r="H743" i="3"/>
  <c r="I743" i="3"/>
  <c r="J743" i="3"/>
  <c r="K743" i="3"/>
  <c r="B744" i="3"/>
  <c r="C744" i="3"/>
  <c r="D744" i="3"/>
  <c r="E744" i="3"/>
  <c r="F744" i="3"/>
  <c r="G744" i="3"/>
  <c r="H744" i="3"/>
  <c r="I744" i="3"/>
  <c r="J744" i="3"/>
  <c r="K744" i="3"/>
  <c r="B745" i="3"/>
  <c r="C745" i="3"/>
  <c r="D745" i="3"/>
  <c r="E745" i="3"/>
  <c r="F745" i="3"/>
  <c r="G745" i="3"/>
  <c r="H745" i="3"/>
  <c r="I745" i="3"/>
  <c r="J745" i="3"/>
  <c r="K745" i="3"/>
  <c r="B746" i="3"/>
  <c r="C746" i="3"/>
  <c r="D746" i="3"/>
  <c r="E746" i="3"/>
  <c r="F746" i="3"/>
  <c r="G746" i="3"/>
  <c r="H746" i="3"/>
  <c r="I746" i="3"/>
  <c r="J746" i="3"/>
  <c r="K746" i="3"/>
  <c r="B747" i="3"/>
  <c r="C747" i="3"/>
  <c r="D747" i="3"/>
  <c r="E747" i="3"/>
  <c r="F747" i="3"/>
  <c r="G747" i="3"/>
  <c r="H747" i="3"/>
  <c r="I747" i="3"/>
  <c r="J747" i="3"/>
  <c r="K747" i="3"/>
  <c r="B748" i="3"/>
  <c r="C748" i="3"/>
  <c r="D748" i="3"/>
  <c r="E748" i="3"/>
  <c r="F748" i="3"/>
  <c r="G748" i="3"/>
  <c r="H748" i="3"/>
  <c r="I748" i="3"/>
  <c r="J748" i="3"/>
  <c r="K748" i="3"/>
  <c r="B749" i="3"/>
  <c r="C749" i="3"/>
  <c r="D749" i="3"/>
  <c r="E749" i="3"/>
  <c r="F749" i="3"/>
  <c r="G749" i="3"/>
  <c r="H749" i="3"/>
  <c r="I749" i="3"/>
  <c r="J749" i="3"/>
  <c r="K749" i="3"/>
  <c r="B750" i="3"/>
  <c r="C750" i="3"/>
  <c r="D750" i="3"/>
  <c r="E750" i="3"/>
  <c r="F750" i="3"/>
  <c r="G750" i="3"/>
  <c r="H750" i="3"/>
  <c r="I750" i="3"/>
  <c r="J750" i="3"/>
  <c r="K750" i="3"/>
  <c r="B751" i="3"/>
  <c r="C751" i="3"/>
  <c r="D751" i="3"/>
  <c r="E751" i="3"/>
  <c r="F751" i="3"/>
  <c r="G751" i="3"/>
  <c r="H751" i="3"/>
  <c r="I751" i="3"/>
  <c r="J751" i="3"/>
  <c r="K751" i="3"/>
  <c r="B752" i="3"/>
  <c r="C752" i="3"/>
  <c r="D752" i="3"/>
  <c r="E752" i="3"/>
  <c r="F752" i="3"/>
  <c r="G752" i="3"/>
  <c r="H752" i="3"/>
  <c r="I752" i="3"/>
  <c r="J752" i="3"/>
  <c r="K752" i="3"/>
  <c r="B753" i="3"/>
  <c r="C753" i="3"/>
  <c r="D753" i="3"/>
  <c r="E753" i="3"/>
  <c r="F753" i="3"/>
  <c r="G753" i="3"/>
  <c r="H753" i="3"/>
  <c r="I753" i="3"/>
  <c r="J753" i="3"/>
  <c r="K753" i="3"/>
  <c r="B754" i="3"/>
  <c r="C754" i="3"/>
  <c r="D754" i="3"/>
  <c r="E754" i="3"/>
  <c r="F754" i="3"/>
  <c r="G754" i="3"/>
  <c r="H754" i="3"/>
  <c r="I754" i="3"/>
  <c r="J754" i="3"/>
  <c r="K754" i="3"/>
  <c r="B755" i="3"/>
  <c r="C755" i="3"/>
  <c r="D755" i="3"/>
  <c r="E755" i="3"/>
  <c r="F755" i="3"/>
  <c r="G755" i="3"/>
  <c r="H755" i="3"/>
  <c r="I755" i="3"/>
  <c r="J755" i="3"/>
  <c r="K755" i="3"/>
  <c r="B756" i="3"/>
  <c r="C756" i="3"/>
  <c r="D756" i="3"/>
  <c r="E756" i="3"/>
  <c r="F756" i="3"/>
  <c r="G756" i="3"/>
  <c r="H756" i="3"/>
  <c r="I756" i="3"/>
  <c r="J756" i="3"/>
  <c r="K756" i="3"/>
  <c r="B757" i="3"/>
  <c r="C757" i="3"/>
  <c r="D757" i="3"/>
  <c r="E757" i="3"/>
  <c r="F757" i="3"/>
  <c r="G757" i="3"/>
  <c r="H757" i="3"/>
  <c r="I757" i="3"/>
  <c r="J757" i="3"/>
  <c r="K757" i="3"/>
  <c r="B758" i="3"/>
  <c r="C758" i="3"/>
  <c r="D758" i="3"/>
  <c r="E758" i="3"/>
  <c r="F758" i="3"/>
  <c r="G758" i="3"/>
  <c r="H758" i="3"/>
  <c r="I758" i="3"/>
  <c r="J758" i="3"/>
  <c r="K758" i="3"/>
  <c r="B759" i="3"/>
  <c r="C759" i="3"/>
  <c r="D759" i="3"/>
  <c r="E759" i="3"/>
  <c r="F759" i="3"/>
  <c r="G759" i="3"/>
  <c r="H759" i="3"/>
  <c r="I759" i="3"/>
  <c r="J759" i="3"/>
  <c r="K759" i="3"/>
  <c r="B760" i="3"/>
  <c r="C760" i="3"/>
  <c r="D760" i="3"/>
  <c r="E760" i="3"/>
  <c r="F760" i="3"/>
  <c r="G760" i="3"/>
  <c r="H760" i="3"/>
  <c r="I760" i="3"/>
  <c r="J760" i="3"/>
  <c r="K760" i="3"/>
  <c r="B761" i="3"/>
  <c r="C761" i="3"/>
  <c r="D761" i="3"/>
  <c r="E761" i="3"/>
  <c r="F761" i="3"/>
  <c r="G761" i="3"/>
  <c r="H761" i="3"/>
  <c r="I761" i="3"/>
  <c r="J761" i="3"/>
  <c r="K761" i="3"/>
  <c r="B762" i="3"/>
  <c r="C762" i="3"/>
  <c r="D762" i="3"/>
  <c r="E762" i="3"/>
  <c r="F762" i="3"/>
  <c r="G762" i="3"/>
  <c r="H762" i="3"/>
  <c r="I762" i="3"/>
  <c r="J762" i="3"/>
  <c r="K762" i="3"/>
  <c r="B763" i="3"/>
  <c r="C763" i="3"/>
  <c r="D763" i="3"/>
  <c r="E763" i="3"/>
  <c r="F763" i="3"/>
  <c r="G763" i="3"/>
  <c r="H763" i="3"/>
  <c r="I763" i="3"/>
  <c r="J763" i="3"/>
  <c r="K763" i="3"/>
  <c r="B764" i="3"/>
  <c r="C764" i="3"/>
  <c r="D764" i="3"/>
  <c r="E764" i="3"/>
  <c r="F764" i="3"/>
  <c r="G764" i="3"/>
  <c r="H764" i="3"/>
  <c r="I764" i="3"/>
  <c r="J764" i="3"/>
  <c r="K764" i="3"/>
  <c r="B765" i="3"/>
  <c r="C765" i="3"/>
  <c r="D765" i="3"/>
  <c r="E765" i="3"/>
  <c r="F765" i="3"/>
  <c r="G765" i="3"/>
  <c r="H765" i="3"/>
  <c r="I765" i="3"/>
  <c r="J765" i="3"/>
  <c r="K765" i="3"/>
  <c r="B766" i="3"/>
  <c r="C766" i="3"/>
  <c r="D766" i="3"/>
  <c r="E766" i="3"/>
  <c r="F766" i="3"/>
  <c r="G766" i="3"/>
  <c r="H766" i="3"/>
  <c r="I766" i="3"/>
  <c r="J766" i="3"/>
  <c r="K766" i="3"/>
  <c r="B767" i="3"/>
  <c r="C767" i="3"/>
  <c r="D767" i="3"/>
  <c r="E767" i="3"/>
  <c r="F767" i="3"/>
  <c r="G767" i="3"/>
  <c r="H767" i="3"/>
  <c r="I767" i="3"/>
  <c r="J767" i="3"/>
  <c r="K767" i="3"/>
  <c r="B768" i="3"/>
  <c r="C768" i="3"/>
  <c r="D768" i="3"/>
  <c r="E768" i="3"/>
  <c r="F768" i="3"/>
  <c r="G768" i="3"/>
  <c r="H768" i="3"/>
  <c r="I768" i="3"/>
  <c r="J768" i="3"/>
  <c r="K768" i="3"/>
  <c r="B769" i="3"/>
  <c r="C769" i="3"/>
  <c r="D769" i="3"/>
  <c r="E769" i="3"/>
  <c r="F769" i="3"/>
  <c r="G769" i="3"/>
  <c r="H769" i="3"/>
  <c r="I769" i="3"/>
  <c r="J769" i="3"/>
  <c r="K769" i="3"/>
  <c r="B770" i="3"/>
  <c r="C770" i="3"/>
  <c r="D770" i="3"/>
  <c r="E770" i="3"/>
  <c r="F770" i="3"/>
  <c r="G770" i="3"/>
  <c r="H770" i="3"/>
  <c r="I770" i="3"/>
  <c r="J770" i="3"/>
  <c r="K770" i="3"/>
  <c r="B771" i="3"/>
  <c r="C771" i="3"/>
  <c r="D771" i="3"/>
  <c r="E771" i="3"/>
  <c r="F771" i="3"/>
  <c r="G771" i="3"/>
  <c r="H771" i="3"/>
  <c r="I771" i="3"/>
  <c r="J771" i="3"/>
  <c r="K771" i="3"/>
  <c r="B772" i="3"/>
  <c r="C772" i="3"/>
  <c r="D772" i="3"/>
  <c r="E772" i="3"/>
  <c r="F772" i="3"/>
  <c r="G772" i="3"/>
  <c r="H772" i="3"/>
  <c r="I772" i="3"/>
  <c r="J772" i="3"/>
  <c r="K772" i="3"/>
  <c r="B773" i="3"/>
  <c r="C773" i="3"/>
  <c r="D773" i="3"/>
  <c r="E773" i="3"/>
  <c r="F773" i="3"/>
  <c r="G773" i="3"/>
  <c r="H773" i="3"/>
  <c r="I773" i="3"/>
  <c r="J773" i="3"/>
  <c r="K773" i="3"/>
  <c r="B774" i="3"/>
  <c r="C774" i="3"/>
  <c r="D774" i="3"/>
  <c r="E774" i="3"/>
  <c r="F774" i="3"/>
  <c r="G774" i="3"/>
  <c r="H774" i="3"/>
  <c r="I774" i="3"/>
  <c r="J774" i="3"/>
  <c r="K774" i="3"/>
  <c r="B775" i="3"/>
  <c r="C775" i="3"/>
  <c r="D775" i="3"/>
  <c r="E775" i="3"/>
  <c r="F775" i="3"/>
  <c r="G775" i="3"/>
  <c r="H775" i="3"/>
  <c r="I775" i="3"/>
  <c r="J775" i="3"/>
  <c r="K775" i="3"/>
  <c r="B776" i="3"/>
  <c r="C776" i="3"/>
  <c r="D776" i="3"/>
  <c r="E776" i="3"/>
  <c r="F776" i="3"/>
  <c r="G776" i="3"/>
  <c r="H776" i="3"/>
  <c r="I776" i="3"/>
  <c r="J776" i="3"/>
  <c r="K776" i="3"/>
  <c r="B777" i="3"/>
  <c r="C777" i="3"/>
  <c r="D777" i="3"/>
  <c r="E777" i="3"/>
  <c r="F777" i="3"/>
  <c r="G777" i="3"/>
  <c r="H777" i="3"/>
  <c r="I777" i="3"/>
  <c r="J777" i="3"/>
  <c r="K777" i="3"/>
  <c r="B778" i="3"/>
  <c r="C778" i="3"/>
  <c r="D778" i="3"/>
  <c r="E778" i="3"/>
  <c r="F778" i="3"/>
  <c r="G778" i="3"/>
  <c r="H778" i="3"/>
  <c r="I778" i="3"/>
  <c r="J778" i="3"/>
  <c r="K778" i="3"/>
  <c r="B779" i="3"/>
  <c r="C779" i="3"/>
  <c r="D779" i="3"/>
  <c r="E779" i="3"/>
  <c r="F779" i="3"/>
  <c r="G779" i="3"/>
  <c r="H779" i="3"/>
  <c r="I779" i="3"/>
  <c r="J779" i="3"/>
  <c r="K779" i="3"/>
  <c r="B780" i="3"/>
  <c r="C780" i="3"/>
  <c r="D780" i="3"/>
  <c r="E780" i="3"/>
  <c r="F780" i="3"/>
  <c r="G780" i="3"/>
  <c r="H780" i="3"/>
  <c r="I780" i="3"/>
  <c r="J780" i="3"/>
  <c r="K780" i="3"/>
  <c r="B781" i="3"/>
  <c r="C781" i="3"/>
  <c r="D781" i="3"/>
  <c r="E781" i="3"/>
  <c r="F781" i="3"/>
  <c r="G781" i="3"/>
  <c r="H781" i="3"/>
  <c r="I781" i="3"/>
  <c r="J781" i="3"/>
  <c r="K781" i="3"/>
  <c r="B782" i="3"/>
  <c r="C782" i="3"/>
  <c r="D782" i="3"/>
  <c r="E782" i="3"/>
  <c r="F782" i="3"/>
  <c r="G782" i="3"/>
  <c r="H782" i="3"/>
  <c r="I782" i="3"/>
  <c r="J782" i="3"/>
  <c r="K782" i="3"/>
  <c r="B783" i="3"/>
  <c r="C783" i="3"/>
  <c r="D783" i="3"/>
  <c r="E783" i="3"/>
  <c r="F783" i="3"/>
  <c r="G783" i="3"/>
  <c r="H783" i="3"/>
  <c r="I783" i="3"/>
  <c r="J783" i="3"/>
  <c r="K783" i="3"/>
  <c r="B784" i="3"/>
  <c r="C784" i="3"/>
  <c r="D784" i="3"/>
  <c r="E784" i="3"/>
  <c r="F784" i="3"/>
  <c r="G784" i="3"/>
  <c r="H784" i="3"/>
  <c r="I784" i="3"/>
  <c r="J784" i="3"/>
  <c r="K784" i="3"/>
  <c r="B785" i="3"/>
  <c r="C785" i="3"/>
  <c r="D785" i="3"/>
  <c r="E785" i="3"/>
  <c r="F785" i="3"/>
  <c r="G785" i="3"/>
  <c r="H785" i="3"/>
  <c r="I785" i="3"/>
  <c r="J785" i="3"/>
  <c r="K785" i="3"/>
  <c r="B786" i="3"/>
  <c r="C786" i="3"/>
  <c r="D786" i="3"/>
  <c r="E786" i="3"/>
  <c r="F786" i="3"/>
  <c r="G786" i="3"/>
  <c r="H786" i="3"/>
  <c r="I786" i="3"/>
  <c r="J786" i="3"/>
  <c r="K786" i="3"/>
  <c r="B787" i="3"/>
  <c r="C787" i="3"/>
  <c r="D787" i="3"/>
  <c r="E787" i="3"/>
  <c r="F787" i="3"/>
  <c r="G787" i="3"/>
  <c r="H787" i="3"/>
  <c r="I787" i="3"/>
  <c r="J787" i="3"/>
  <c r="K787" i="3"/>
  <c r="B788" i="3"/>
  <c r="C788" i="3"/>
  <c r="D788" i="3"/>
  <c r="E788" i="3"/>
  <c r="F788" i="3"/>
  <c r="G788" i="3"/>
  <c r="H788" i="3"/>
  <c r="I788" i="3"/>
  <c r="J788" i="3"/>
  <c r="K788" i="3"/>
  <c r="B789" i="3"/>
  <c r="C789" i="3"/>
  <c r="D789" i="3"/>
  <c r="E789" i="3"/>
  <c r="F789" i="3"/>
  <c r="G789" i="3"/>
  <c r="H789" i="3"/>
  <c r="I789" i="3"/>
  <c r="J789" i="3"/>
  <c r="K789" i="3"/>
  <c r="B790" i="3"/>
  <c r="C790" i="3"/>
  <c r="D790" i="3"/>
  <c r="E790" i="3"/>
  <c r="F790" i="3"/>
  <c r="G790" i="3"/>
  <c r="H790" i="3"/>
  <c r="I790" i="3"/>
  <c r="J790" i="3"/>
  <c r="K790" i="3"/>
  <c r="B791" i="3"/>
  <c r="C791" i="3"/>
  <c r="D791" i="3"/>
  <c r="E791" i="3"/>
  <c r="F791" i="3"/>
  <c r="G791" i="3"/>
  <c r="H791" i="3"/>
  <c r="I791" i="3"/>
  <c r="J791" i="3"/>
  <c r="K791" i="3"/>
  <c r="B792" i="3"/>
  <c r="C792" i="3"/>
  <c r="D792" i="3"/>
  <c r="E792" i="3"/>
  <c r="F792" i="3"/>
  <c r="G792" i="3"/>
  <c r="H792" i="3"/>
  <c r="I792" i="3"/>
  <c r="J792" i="3"/>
  <c r="K792" i="3"/>
  <c r="B793" i="3"/>
  <c r="C793" i="3"/>
  <c r="D793" i="3"/>
  <c r="E793" i="3"/>
  <c r="F793" i="3"/>
  <c r="G793" i="3"/>
  <c r="H793" i="3"/>
  <c r="I793" i="3"/>
  <c r="J793" i="3"/>
  <c r="K793" i="3"/>
  <c r="B794" i="3"/>
  <c r="C794" i="3"/>
  <c r="D794" i="3"/>
  <c r="E794" i="3"/>
  <c r="F794" i="3"/>
  <c r="G794" i="3"/>
  <c r="H794" i="3"/>
  <c r="I794" i="3"/>
  <c r="J794" i="3"/>
  <c r="K794" i="3"/>
  <c r="B795" i="3"/>
  <c r="C795" i="3"/>
  <c r="D795" i="3"/>
  <c r="E795" i="3"/>
  <c r="F795" i="3"/>
  <c r="G795" i="3"/>
  <c r="H795" i="3"/>
  <c r="I795" i="3"/>
  <c r="J795" i="3"/>
  <c r="K795" i="3"/>
  <c r="B796" i="3"/>
  <c r="C796" i="3"/>
  <c r="D796" i="3"/>
  <c r="E796" i="3"/>
  <c r="F796" i="3"/>
  <c r="G796" i="3"/>
  <c r="H796" i="3"/>
  <c r="I796" i="3"/>
  <c r="J796" i="3"/>
  <c r="K796" i="3"/>
  <c r="B797" i="3"/>
  <c r="C797" i="3"/>
  <c r="D797" i="3"/>
  <c r="E797" i="3"/>
  <c r="F797" i="3"/>
  <c r="G797" i="3"/>
  <c r="H797" i="3"/>
  <c r="I797" i="3"/>
  <c r="J797" i="3"/>
  <c r="K797" i="3"/>
  <c r="B798" i="3"/>
  <c r="C798" i="3"/>
  <c r="D798" i="3"/>
  <c r="E798" i="3"/>
  <c r="F798" i="3"/>
  <c r="G798" i="3"/>
  <c r="H798" i="3"/>
  <c r="I798" i="3"/>
  <c r="J798" i="3"/>
  <c r="K798" i="3"/>
  <c r="B799" i="3"/>
  <c r="C799" i="3"/>
  <c r="D799" i="3"/>
  <c r="E799" i="3"/>
  <c r="F799" i="3"/>
  <c r="G799" i="3"/>
  <c r="H799" i="3"/>
  <c r="I799" i="3"/>
  <c r="J799" i="3"/>
  <c r="K799" i="3"/>
  <c r="B800" i="3"/>
  <c r="C800" i="3"/>
  <c r="D800" i="3"/>
  <c r="E800" i="3"/>
  <c r="F800" i="3"/>
  <c r="G800" i="3"/>
  <c r="H800" i="3"/>
  <c r="I800" i="3"/>
  <c r="J800" i="3"/>
  <c r="K800" i="3"/>
  <c r="B801" i="3"/>
  <c r="C801" i="3"/>
  <c r="D801" i="3"/>
  <c r="E801" i="3"/>
  <c r="F801" i="3"/>
  <c r="G801" i="3"/>
  <c r="H801" i="3"/>
  <c r="I801" i="3"/>
  <c r="J801" i="3"/>
  <c r="K801" i="3"/>
  <c r="B802" i="3"/>
  <c r="C802" i="3"/>
  <c r="D802" i="3"/>
  <c r="E802" i="3"/>
  <c r="F802" i="3"/>
  <c r="G802" i="3"/>
  <c r="H802" i="3"/>
  <c r="I802" i="3"/>
  <c r="J802" i="3"/>
  <c r="K802" i="3"/>
  <c r="B803" i="3"/>
  <c r="C803" i="3"/>
  <c r="D803" i="3"/>
  <c r="E803" i="3"/>
  <c r="F803" i="3"/>
  <c r="G803" i="3"/>
  <c r="H803" i="3"/>
  <c r="I803" i="3"/>
  <c r="J803" i="3"/>
  <c r="K803" i="3"/>
  <c r="B804" i="3"/>
  <c r="C804" i="3"/>
  <c r="D804" i="3"/>
  <c r="E804" i="3"/>
  <c r="F804" i="3"/>
  <c r="G804" i="3"/>
  <c r="H804" i="3"/>
  <c r="I804" i="3"/>
  <c r="J804" i="3"/>
  <c r="K804" i="3"/>
  <c r="B805" i="3"/>
  <c r="C805" i="3"/>
  <c r="D805" i="3"/>
  <c r="E805" i="3"/>
  <c r="F805" i="3"/>
  <c r="G805" i="3"/>
  <c r="H805" i="3"/>
  <c r="I805" i="3"/>
  <c r="J805" i="3"/>
  <c r="K805" i="3"/>
  <c r="B806" i="3"/>
  <c r="C806" i="3"/>
  <c r="D806" i="3"/>
  <c r="E806" i="3"/>
  <c r="F806" i="3"/>
  <c r="G806" i="3"/>
  <c r="H806" i="3"/>
  <c r="I806" i="3"/>
  <c r="J806" i="3"/>
  <c r="K806" i="3"/>
  <c r="B807" i="3"/>
  <c r="C807" i="3"/>
  <c r="D807" i="3"/>
  <c r="E807" i="3"/>
  <c r="F807" i="3"/>
  <c r="G807" i="3"/>
  <c r="H807" i="3"/>
  <c r="I807" i="3"/>
  <c r="J807" i="3"/>
  <c r="K807" i="3"/>
  <c r="B808" i="3"/>
  <c r="C808" i="3"/>
  <c r="D808" i="3"/>
  <c r="E808" i="3"/>
  <c r="F808" i="3"/>
  <c r="G808" i="3"/>
  <c r="H808" i="3"/>
  <c r="I808" i="3"/>
  <c r="J808" i="3"/>
  <c r="K808" i="3"/>
  <c r="B809" i="3"/>
  <c r="C809" i="3"/>
  <c r="D809" i="3"/>
  <c r="E809" i="3"/>
  <c r="F809" i="3"/>
  <c r="G809" i="3"/>
  <c r="H809" i="3"/>
  <c r="I809" i="3"/>
  <c r="J809" i="3"/>
  <c r="K809" i="3"/>
  <c r="B810" i="3"/>
  <c r="C810" i="3"/>
  <c r="D810" i="3"/>
  <c r="E810" i="3"/>
  <c r="F810" i="3"/>
  <c r="G810" i="3"/>
  <c r="H810" i="3"/>
  <c r="I810" i="3"/>
  <c r="J810" i="3"/>
  <c r="K810" i="3"/>
  <c r="B811" i="3"/>
  <c r="C811" i="3"/>
  <c r="D811" i="3"/>
  <c r="E811" i="3"/>
  <c r="F811" i="3"/>
  <c r="G811" i="3"/>
  <c r="H811" i="3"/>
  <c r="I811" i="3"/>
  <c r="J811" i="3"/>
  <c r="K811" i="3"/>
  <c r="B812" i="3"/>
  <c r="C812" i="3"/>
  <c r="D812" i="3"/>
  <c r="E812" i="3"/>
  <c r="F812" i="3"/>
  <c r="G812" i="3"/>
  <c r="H812" i="3"/>
  <c r="I812" i="3"/>
  <c r="J812" i="3"/>
  <c r="K812" i="3"/>
  <c r="B813" i="3"/>
  <c r="C813" i="3"/>
  <c r="D813" i="3"/>
  <c r="E813" i="3"/>
  <c r="F813" i="3"/>
  <c r="G813" i="3"/>
  <c r="H813" i="3"/>
  <c r="I813" i="3"/>
  <c r="J813" i="3"/>
  <c r="K813" i="3"/>
  <c r="B814" i="3"/>
  <c r="C814" i="3"/>
  <c r="D814" i="3"/>
  <c r="E814" i="3"/>
  <c r="F814" i="3"/>
  <c r="G814" i="3"/>
  <c r="H814" i="3"/>
  <c r="I814" i="3"/>
  <c r="J814" i="3"/>
  <c r="K814" i="3"/>
  <c r="B815" i="3"/>
  <c r="C815" i="3"/>
  <c r="D815" i="3"/>
  <c r="E815" i="3"/>
  <c r="F815" i="3"/>
  <c r="G815" i="3"/>
  <c r="H815" i="3"/>
  <c r="I815" i="3"/>
  <c r="J815" i="3"/>
  <c r="K815" i="3"/>
  <c r="B816" i="3"/>
  <c r="C816" i="3"/>
  <c r="D816" i="3"/>
  <c r="E816" i="3"/>
  <c r="F816" i="3"/>
  <c r="G816" i="3"/>
  <c r="H816" i="3"/>
  <c r="I816" i="3"/>
  <c r="J816" i="3"/>
  <c r="K816" i="3"/>
  <c r="B817" i="3"/>
  <c r="C817" i="3"/>
  <c r="D817" i="3"/>
  <c r="E817" i="3"/>
  <c r="F817" i="3"/>
  <c r="G817" i="3"/>
  <c r="H817" i="3"/>
  <c r="I817" i="3"/>
  <c r="J817" i="3"/>
  <c r="K817" i="3"/>
  <c r="B818" i="3"/>
  <c r="C818" i="3"/>
  <c r="D818" i="3"/>
  <c r="E818" i="3"/>
  <c r="F818" i="3"/>
  <c r="G818" i="3"/>
  <c r="H818" i="3"/>
  <c r="I818" i="3"/>
  <c r="J818" i="3"/>
  <c r="K818" i="3"/>
  <c r="B819" i="3"/>
  <c r="C819" i="3"/>
  <c r="D819" i="3"/>
  <c r="E819" i="3"/>
  <c r="F819" i="3"/>
  <c r="G819" i="3"/>
  <c r="H819" i="3"/>
  <c r="I819" i="3"/>
  <c r="J819" i="3"/>
  <c r="K819" i="3"/>
  <c r="B820" i="3"/>
  <c r="C820" i="3"/>
  <c r="D820" i="3"/>
  <c r="E820" i="3"/>
  <c r="F820" i="3"/>
  <c r="G820" i="3"/>
  <c r="H820" i="3"/>
  <c r="I820" i="3"/>
  <c r="J820" i="3"/>
  <c r="K820" i="3"/>
  <c r="B821" i="3"/>
  <c r="C821" i="3"/>
  <c r="D821" i="3"/>
  <c r="E821" i="3"/>
  <c r="F821" i="3"/>
  <c r="G821" i="3"/>
  <c r="H821" i="3"/>
  <c r="I821" i="3"/>
  <c r="J821" i="3"/>
  <c r="K821" i="3"/>
  <c r="B822" i="3"/>
  <c r="C822" i="3"/>
  <c r="D822" i="3"/>
  <c r="E822" i="3"/>
  <c r="F822" i="3"/>
  <c r="G822" i="3"/>
  <c r="H822" i="3"/>
  <c r="I822" i="3"/>
  <c r="J822" i="3"/>
  <c r="K822" i="3"/>
  <c r="B823" i="3"/>
  <c r="C823" i="3"/>
  <c r="D823" i="3"/>
  <c r="E823" i="3"/>
  <c r="F823" i="3"/>
  <c r="G823" i="3"/>
  <c r="H823" i="3"/>
  <c r="I823" i="3"/>
  <c r="J823" i="3"/>
  <c r="K823" i="3"/>
  <c r="B824" i="3"/>
  <c r="C824" i="3"/>
  <c r="D824" i="3"/>
  <c r="E824" i="3"/>
  <c r="F824" i="3"/>
  <c r="G824" i="3"/>
  <c r="H824" i="3"/>
  <c r="I824" i="3"/>
  <c r="J824" i="3"/>
  <c r="K824" i="3"/>
  <c r="B825" i="3"/>
  <c r="C825" i="3"/>
  <c r="D825" i="3"/>
  <c r="E825" i="3"/>
  <c r="F825" i="3"/>
  <c r="G825" i="3"/>
  <c r="H825" i="3"/>
  <c r="I825" i="3"/>
  <c r="J825" i="3"/>
  <c r="K825" i="3"/>
  <c r="B826" i="3"/>
  <c r="C826" i="3"/>
  <c r="D826" i="3"/>
  <c r="E826" i="3"/>
  <c r="F826" i="3"/>
  <c r="G826" i="3"/>
  <c r="H826" i="3"/>
  <c r="I826" i="3"/>
  <c r="J826" i="3"/>
  <c r="K826" i="3"/>
  <c r="B827" i="3"/>
  <c r="C827" i="3"/>
  <c r="D827" i="3"/>
  <c r="E827" i="3"/>
  <c r="F827" i="3"/>
  <c r="G827" i="3"/>
  <c r="H827" i="3"/>
  <c r="I827" i="3"/>
  <c r="J827" i="3"/>
  <c r="K827" i="3"/>
  <c r="B828" i="3"/>
  <c r="C828" i="3"/>
  <c r="D828" i="3"/>
  <c r="E828" i="3"/>
  <c r="F828" i="3"/>
  <c r="G828" i="3"/>
  <c r="H828" i="3"/>
  <c r="I828" i="3"/>
  <c r="J828" i="3"/>
  <c r="K828" i="3"/>
  <c r="B829" i="3"/>
  <c r="C829" i="3"/>
  <c r="D829" i="3"/>
  <c r="E829" i="3"/>
  <c r="F829" i="3"/>
  <c r="G829" i="3"/>
  <c r="H829" i="3"/>
  <c r="I829" i="3"/>
  <c r="J829" i="3"/>
  <c r="K829" i="3"/>
  <c r="B830" i="3"/>
  <c r="C830" i="3"/>
  <c r="D830" i="3"/>
  <c r="E830" i="3"/>
  <c r="F830" i="3"/>
  <c r="G830" i="3"/>
  <c r="H830" i="3"/>
  <c r="I830" i="3"/>
  <c r="J830" i="3"/>
  <c r="K830" i="3"/>
  <c r="B831" i="3"/>
  <c r="C831" i="3"/>
  <c r="D831" i="3"/>
  <c r="E831" i="3"/>
  <c r="F831" i="3"/>
  <c r="G831" i="3"/>
  <c r="H831" i="3"/>
  <c r="I831" i="3"/>
  <c r="J831" i="3"/>
  <c r="K831" i="3"/>
  <c r="B832" i="3"/>
  <c r="C832" i="3"/>
  <c r="D832" i="3"/>
  <c r="E832" i="3"/>
  <c r="F832" i="3"/>
  <c r="G832" i="3"/>
  <c r="H832" i="3"/>
  <c r="I832" i="3"/>
  <c r="J832" i="3"/>
  <c r="K832" i="3"/>
  <c r="B833" i="3"/>
  <c r="C833" i="3"/>
  <c r="D833" i="3"/>
  <c r="E833" i="3"/>
  <c r="F833" i="3"/>
  <c r="G833" i="3"/>
  <c r="H833" i="3"/>
  <c r="I833" i="3"/>
  <c r="J833" i="3"/>
  <c r="K833" i="3"/>
  <c r="B834" i="3"/>
  <c r="C834" i="3"/>
  <c r="D834" i="3"/>
  <c r="E834" i="3"/>
  <c r="F834" i="3"/>
  <c r="G834" i="3"/>
  <c r="H834" i="3"/>
  <c r="I834" i="3"/>
  <c r="J834" i="3"/>
  <c r="K834" i="3"/>
  <c r="B835" i="3"/>
  <c r="C835" i="3"/>
  <c r="D835" i="3"/>
  <c r="E835" i="3"/>
  <c r="F835" i="3"/>
  <c r="G835" i="3"/>
  <c r="H835" i="3"/>
  <c r="I835" i="3"/>
  <c r="J835" i="3"/>
  <c r="K835" i="3"/>
  <c r="B836" i="3"/>
  <c r="C836" i="3"/>
  <c r="D836" i="3"/>
  <c r="E836" i="3"/>
  <c r="F836" i="3"/>
  <c r="G836" i="3"/>
  <c r="H836" i="3"/>
  <c r="I836" i="3"/>
  <c r="J836" i="3"/>
  <c r="K836" i="3"/>
  <c r="B837" i="3"/>
  <c r="C837" i="3"/>
  <c r="D837" i="3"/>
  <c r="E837" i="3"/>
  <c r="F837" i="3"/>
  <c r="G837" i="3"/>
  <c r="H837" i="3"/>
  <c r="I837" i="3"/>
  <c r="J837" i="3"/>
  <c r="K837" i="3"/>
  <c r="B838" i="3"/>
  <c r="C838" i="3"/>
  <c r="D838" i="3"/>
  <c r="E838" i="3"/>
  <c r="F838" i="3"/>
  <c r="G838" i="3"/>
  <c r="H838" i="3"/>
  <c r="I838" i="3"/>
  <c r="J838" i="3"/>
  <c r="K838" i="3"/>
  <c r="B839" i="3"/>
  <c r="C839" i="3"/>
  <c r="D839" i="3"/>
  <c r="E839" i="3"/>
  <c r="F839" i="3"/>
  <c r="G839" i="3"/>
  <c r="H839" i="3"/>
  <c r="I839" i="3"/>
  <c r="J839" i="3"/>
  <c r="K839" i="3"/>
  <c r="B840" i="3"/>
  <c r="C840" i="3"/>
  <c r="D840" i="3"/>
  <c r="E840" i="3"/>
  <c r="F840" i="3"/>
  <c r="G840" i="3"/>
  <c r="H840" i="3"/>
  <c r="I840" i="3"/>
  <c r="J840" i="3"/>
  <c r="K840" i="3"/>
  <c r="B841" i="3"/>
  <c r="C841" i="3"/>
  <c r="D841" i="3"/>
  <c r="E841" i="3"/>
  <c r="F841" i="3"/>
  <c r="G841" i="3"/>
  <c r="H841" i="3"/>
  <c r="I841" i="3"/>
  <c r="J841" i="3"/>
  <c r="K841" i="3"/>
  <c r="B842" i="3"/>
  <c r="C842" i="3"/>
  <c r="C1138" i="3" s="1"/>
  <c r="D842" i="3"/>
  <c r="E842" i="3"/>
  <c r="F842" i="3"/>
  <c r="G842" i="3"/>
  <c r="H842" i="3"/>
  <c r="I842" i="3"/>
  <c r="J842" i="3"/>
  <c r="K842" i="3"/>
  <c r="B843" i="3"/>
  <c r="C843" i="3"/>
  <c r="D843" i="3"/>
  <c r="E843" i="3"/>
  <c r="E1138" i="3" s="1"/>
  <c r="F843" i="3"/>
  <c r="G843" i="3"/>
  <c r="H843" i="3"/>
  <c r="I843" i="3"/>
  <c r="I1138" i="3" s="1"/>
  <c r="J843" i="3"/>
  <c r="K843" i="3"/>
  <c r="B844" i="3"/>
  <c r="C844" i="3"/>
  <c r="D844" i="3"/>
  <c r="E844" i="3"/>
  <c r="F844" i="3"/>
  <c r="G844" i="3"/>
  <c r="H844" i="3"/>
  <c r="I844" i="3"/>
  <c r="J844" i="3"/>
  <c r="K844" i="3"/>
  <c r="B845" i="3"/>
  <c r="C845" i="3"/>
  <c r="D845" i="3"/>
  <c r="E845" i="3"/>
  <c r="F845" i="3"/>
  <c r="G845" i="3"/>
  <c r="H845" i="3"/>
  <c r="I845" i="3"/>
  <c r="J845" i="3"/>
  <c r="K845" i="3"/>
  <c r="B846" i="3"/>
  <c r="C846" i="3"/>
  <c r="D846" i="3"/>
  <c r="E846" i="3"/>
  <c r="F846" i="3"/>
  <c r="G846" i="3"/>
  <c r="H846" i="3"/>
  <c r="I846" i="3"/>
  <c r="J846" i="3"/>
  <c r="K846" i="3"/>
  <c r="B847" i="3"/>
  <c r="C847" i="3"/>
  <c r="D847" i="3"/>
  <c r="E847" i="3"/>
  <c r="F847" i="3"/>
  <c r="G847" i="3"/>
  <c r="H847" i="3"/>
  <c r="I847" i="3"/>
  <c r="J847" i="3"/>
  <c r="K847" i="3"/>
  <c r="B848" i="3"/>
  <c r="C848" i="3"/>
  <c r="D848" i="3"/>
  <c r="E848" i="3"/>
  <c r="F848" i="3"/>
  <c r="G848" i="3"/>
  <c r="G1138" i="3" s="1"/>
  <c r="H848" i="3"/>
  <c r="I848" i="3"/>
  <c r="J848" i="3"/>
  <c r="K848" i="3"/>
  <c r="B849" i="3"/>
  <c r="C849" i="3"/>
  <c r="D849" i="3"/>
  <c r="E849" i="3"/>
  <c r="F849" i="3"/>
  <c r="G849" i="3"/>
  <c r="H849" i="3"/>
  <c r="I849" i="3"/>
  <c r="J849" i="3"/>
  <c r="K849" i="3"/>
  <c r="B850" i="3"/>
  <c r="C850" i="3"/>
  <c r="D850" i="3"/>
  <c r="E850" i="3"/>
  <c r="F850" i="3"/>
  <c r="G850" i="3"/>
  <c r="H850" i="3"/>
  <c r="I850" i="3"/>
  <c r="J850" i="3"/>
  <c r="K850" i="3"/>
  <c r="K1138" i="3" s="1"/>
  <c r="B851" i="3"/>
  <c r="C851" i="3"/>
  <c r="D851" i="3"/>
  <c r="E851" i="3"/>
  <c r="F851" i="3"/>
  <c r="G851" i="3"/>
  <c r="H851" i="3"/>
  <c r="I851" i="3"/>
  <c r="J851" i="3"/>
  <c r="K851" i="3"/>
  <c r="B852" i="3"/>
  <c r="C852" i="3"/>
  <c r="D852" i="3"/>
  <c r="E852" i="3"/>
  <c r="F852" i="3"/>
  <c r="G852" i="3"/>
  <c r="H852" i="3"/>
  <c r="I852" i="3"/>
  <c r="J852" i="3"/>
  <c r="K852" i="3"/>
  <c r="B853" i="3"/>
  <c r="C853" i="3"/>
  <c r="D853" i="3"/>
  <c r="E853" i="3"/>
  <c r="F853" i="3"/>
  <c r="G853" i="3"/>
  <c r="H853" i="3"/>
  <c r="I853" i="3"/>
  <c r="J853" i="3"/>
  <c r="K853" i="3"/>
  <c r="B854" i="3"/>
  <c r="C854" i="3"/>
  <c r="D854" i="3"/>
  <c r="E854" i="3"/>
  <c r="F854" i="3"/>
  <c r="G854" i="3"/>
  <c r="H854" i="3"/>
  <c r="I854" i="3"/>
  <c r="J854" i="3"/>
  <c r="K854" i="3"/>
  <c r="B855" i="3"/>
  <c r="C855" i="3"/>
  <c r="D855" i="3"/>
  <c r="E855" i="3"/>
  <c r="F855" i="3"/>
  <c r="G855" i="3"/>
  <c r="H855" i="3"/>
  <c r="I855" i="3"/>
  <c r="J855" i="3"/>
  <c r="K855" i="3"/>
  <c r="B856" i="3"/>
  <c r="C856" i="3"/>
  <c r="C1139" i="3" s="1"/>
  <c r="D856" i="3"/>
  <c r="E856" i="3"/>
  <c r="F856" i="3"/>
  <c r="G856" i="3"/>
  <c r="H856" i="3"/>
  <c r="I856" i="3"/>
  <c r="J856" i="3"/>
  <c r="K856" i="3"/>
  <c r="B857" i="3"/>
  <c r="C857" i="3"/>
  <c r="D857" i="3"/>
  <c r="E857" i="3"/>
  <c r="F857" i="3"/>
  <c r="G857" i="3"/>
  <c r="H857" i="3"/>
  <c r="I857" i="3"/>
  <c r="J857" i="3"/>
  <c r="K857" i="3"/>
  <c r="B858" i="3"/>
  <c r="C858" i="3"/>
  <c r="D858" i="3"/>
  <c r="E858" i="3"/>
  <c r="F858" i="3"/>
  <c r="G858" i="3"/>
  <c r="H858" i="3"/>
  <c r="I858" i="3"/>
  <c r="J858" i="3"/>
  <c r="K858" i="3"/>
  <c r="B859" i="3"/>
  <c r="C859" i="3"/>
  <c r="D859" i="3"/>
  <c r="E859" i="3"/>
  <c r="F859" i="3"/>
  <c r="G859" i="3"/>
  <c r="H859" i="3"/>
  <c r="I859" i="3"/>
  <c r="J859" i="3"/>
  <c r="K859" i="3"/>
  <c r="B860" i="3"/>
  <c r="C860" i="3"/>
  <c r="D860" i="3"/>
  <c r="E860" i="3"/>
  <c r="F860" i="3"/>
  <c r="G860" i="3"/>
  <c r="H860" i="3"/>
  <c r="I860" i="3"/>
  <c r="J860" i="3"/>
  <c r="K860" i="3"/>
  <c r="B861" i="3"/>
  <c r="C861" i="3"/>
  <c r="D861" i="3"/>
  <c r="E861" i="3"/>
  <c r="F861" i="3"/>
  <c r="G861" i="3"/>
  <c r="H861" i="3"/>
  <c r="I861" i="3"/>
  <c r="J861" i="3"/>
  <c r="K861" i="3"/>
  <c r="B862" i="3"/>
  <c r="C862" i="3"/>
  <c r="D862" i="3"/>
  <c r="E862" i="3"/>
  <c r="F862" i="3"/>
  <c r="G862" i="3"/>
  <c r="H862" i="3"/>
  <c r="I862" i="3"/>
  <c r="J862" i="3"/>
  <c r="K862" i="3"/>
  <c r="B863" i="3"/>
  <c r="C863" i="3"/>
  <c r="D863" i="3"/>
  <c r="E863" i="3"/>
  <c r="F863" i="3"/>
  <c r="G863" i="3"/>
  <c r="H863" i="3"/>
  <c r="I863" i="3"/>
  <c r="J863" i="3"/>
  <c r="K863" i="3"/>
  <c r="B864" i="3"/>
  <c r="C864" i="3"/>
  <c r="D864" i="3"/>
  <c r="E864" i="3"/>
  <c r="F864" i="3"/>
  <c r="G864" i="3"/>
  <c r="H864" i="3"/>
  <c r="I864" i="3"/>
  <c r="J864" i="3"/>
  <c r="K864" i="3"/>
  <c r="B865" i="3"/>
  <c r="C865" i="3"/>
  <c r="D865" i="3"/>
  <c r="E865" i="3"/>
  <c r="F865" i="3"/>
  <c r="G865" i="3"/>
  <c r="H865" i="3"/>
  <c r="I865" i="3"/>
  <c r="J865" i="3"/>
  <c r="K865" i="3"/>
  <c r="B866" i="3"/>
  <c r="C866" i="3"/>
  <c r="D866" i="3"/>
  <c r="E866" i="3"/>
  <c r="F866" i="3"/>
  <c r="G866" i="3"/>
  <c r="H866" i="3"/>
  <c r="I866" i="3"/>
  <c r="J866" i="3"/>
  <c r="K866" i="3"/>
  <c r="B867" i="3"/>
  <c r="C867" i="3"/>
  <c r="D867" i="3"/>
  <c r="E867" i="3"/>
  <c r="F867" i="3"/>
  <c r="G867" i="3"/>
  <c r="H867" i="3"/>
  <c r="I867" i="3"/>
  <c r="J867" i="3"/>
  <c r="K867" i="3"/>
  <c r="B868" i="3"/>
  <c r="C868" i="3"/>
  <c r="D868" i="3"/>
  <c r="E868" i="3"/>
  <c r="F868" i="3"/>
  <c r="G868" i="3"/>
  <c r="H868" i="3"/>
  <c r="I868" i="3"/>
  <c r="J868" i="3"/>
  <c r="K868" i="3"/>
  <c r="B869" i="3"/>
  <c r="C869" i="3"/>
  <c r="D869" i="3"/>
  <c r="E869" i="3"/>
  <c r="F869" i="3"/>
  <c r="G869" i="3"/>
  <c r="H869" i="3"/>
  <c r="I869" i="3"/>
  <c r="J869" i="3"/>
  <c r="K869" i="3"/>
  <c r="B870" i="3"/>
  <c r="C870" i="3"/>
  <c r="D870" i="3"/>
  <c r="E870" i="3"/>
  <c r="F870" i="3"/>
  <c r="G870" i="3"/>
  <c r="H870" i="3"/>
  <c r="I870" i="3"/>
  <c r="J870" i="3"/>
  <c r="K870" i="3"/>
  <c r="B871" i="3"/>
  <c r="C871" i="3"/>
  <c r="D871" i="3"/>
  <c r="E871" i="3"/>
  <c r="F871" i="3"/>
  <c r="G871" i="3"/>
  <c r="H871" i="3"/>
  <c r="I871" i="3"/>
  <c r="J871" i="3"/>
  <c r="K871" i="3"/>
  <c r="B872" i="3"/>
  <c r="C872" i="3"/>
  <c r="D872" i="3"/>
  <c r="E872" i="3"/>
  <c r="F872" i="3"/>
  <c r="G872" i="3"/>
  <c r="H872" i="3"/>
  <c r="I872" i="3"/>
  <c r="J872" i="3"/>
  <c r="K872" i="3"/>
  <c r="B873" i="3"/>
  <c r="C873" i="3"/>
  <c r="D873" i="3"/>
  <c r="E873" i="3"/>
  <c r="F873" i="3"/>
  <c r="G873" i="3"/>
  <c r="H873" i="3"/>
  <c r="I873" i="3"/>
  <c r="J873" i="3"/>
  <c r="K873" i="3"/>
  <c r="B874" i="3"/>
  <c r="C874" i="3"/>
  <c r="D874" i="3"/>
  <c r="E874" i="3"/>
  <c r="F874" i="3"/>
  <c r="G874" i="3"/>
  <c r="H874" i="3"/>
  <c r="I874" i="3"/>
  <c r="J874" i="3"/>
  <c r="K874" i="3"/>
  <c r="B875" i="3"/>
  <c r="C875" i="3"/>
  <c r="D875" i="3"/>
  <c r="E875" i="3"/>
  <c r="F875" i="3"/>
  <c r="G875" i="3"/>
  <c r="H875" i="3"/>
  <c r="I875" i="3"/>
  <c r="J875" i="3"/>
  <c r="K875" i="3"/>
  <c r="B876" i="3"/>
  <c r="C876" i="3"/>
  <c r="C1141" i="3" s="1"/>
  <c r="D876" i="3"/>
  <c r="E876" i="3"/>
  <c r="F876" i="3"/>
  <c r="G876" i="3"/>
  <c r="H876" i="3"/>
  <c r="I876" i="3"/>
  <c r="J876" i="3"/>
  <c r="K876" i="3"/>
  <c r="B877" i="3"/>
  <c r="C877" i="3"/>
  <c r="D877" i="3"/>
  <c r="E877" i="3"/>
  <c r="F877" i="3"/>
  <c r="G877" i="3"/>
  <c r="H877" i="3"/>
  <c r="I877" i="3"/>
  <c r="J877" i="3"/>
  <c r="K877" i="3"/>
  <c r="B878" i="3"/>
  <c r="C878" i="3"/>
  <c r="D878" i="3"/>
  <c r="E878" i="3"/>
  <c r="F878" i="3"/>
  <c r="G878" i="3"/>
  <c r="H878" i="3"/>
  <c r="I878" i="3"/>
  <c r="J878" i="3"/>
  <c r="K878" i="3"/>
  <c r="B879" i="3"/>
  <c r="C879" i="3"/>
  <c r="D879" i="3"/>
  <c r="E879" i="3"/>
  <c r="F879" i="3"/>
  <c r="G879" i="3"/>
  <c r="H879" i="3"/>
  <c r="I879" i="3"/>
  <c r="J879" i="3"/>
  <c r="K879" i="3"/>
  <c r="B880" i="3"/>
  <c r="C880" i="3"/>
  <c r="D880" i="3"/>
  <c r="E880" i="3"/>
  <c r="F880" i="3"/>
  <c r="G880" i="3"/>
  <c r="H880" i="3"/>
  <c r="I880" i="3"/>
  <c r="J880" i="3"/>
  <c r="K880" i="3"/>
  <c r="B881" i="3"/>
  <c r="C881" i="3"/>
  <c r="D881" i="3"/>
  <c r="E881" i="3"/>
  <c r="F881" i="3"/>
  <c r="G881" i="3"/>
  <c r="H881" i="3"/>
  <c r="I881" i="3"/>
  <c r="J881" i="3"/>
  <c r="K881" i="3"/>
  <c r="B882" i="3"/>
  <c r="C882" i="3"/>
  <c r="D882" i="3"/>
  <c r="E882" i="3"/>
  <c r="F882" i="3"/>
  <c r="G882" i="3"/>
  <c r="H882" i="3"/>
  <c r="I882" i="3"/>
  <c r="J882" i="3"/>
  <c r="K882" i="3"/>
  <c r="B883" i="3"/>
  <c r="C883" i="3"/>
  <c r="D883" i="3"/>
  <c r="E883" i="3"/>
  <c r="F883" i="3"/>
  <c r="G883" i="3"/>
  <c r="H883" i="3"/>
  <c r="I883" i="3"/>
  <c r="J883" i="3"/>
  <c r="K883" i="3"/>
  <c r="B884" i="3"/>
  <c r="C884" i="3"/>
  <c r="D884" i="3"/>
  <c r="E884" i="3"/>
  <c r="F884" i="3"/>
  <c r="G884" i="3"/>
  <c r="H884" i="3"/>
  <c r="I884" i="3"/>
  <c r="J884" i="3"/>
  <c r="K884" i="3"/>
  <c r="B885" i="3"/>
  <c r="C885" i="3"/>
  <c r="D885" i="3"/>
  <c r="E885" i="3"/>
  <c r="F885" i="3"/>
  <c r="G885" i="3"/>
  <c r="H885" i="3"/>
  <c r="I885" i="3"/>
  <c r="J885" i="3"/>
  <c r="K885" i="3"/>
  <c r="B886" i="3"/>
  <c r="C886" i="3"/>
  <c r="D886" i="3"/>
  <c r="E886" i="3"/>
  <c r="F886" i="3"/>
  <c r="G886" i="3"/>
  <c r="H886" i="3"/>
  <c r="I886" i="3"/>
  <c r="J886" i="3"/>
  <c r="K886" i="3"/>
  <c r="B887" i="3"/>
  <c r="C887" i="3"/>
  <c r="D887" i="3"/>
  <c r="E887" i="3"/>
  <c r="F887" i="3"/>
  <c r="G887" i="3"/>
  <c r="H887" i="3"/>
  <c r="I887" i="3"/>
  <c r="J887" i="3"/>
  <c r="K887" i="3"/>
  <c r="B888" i="3"/>
  <c r="C888" i="3"/>
  <c r="D888" i="3"/>
  <c r="E888" i="3"/>
  <c r="F888" i="3"/>
  <c r="G888" i="3"/>
  <c r="H888" i="3"/>
  <c r="I888" i="3"/>
  <c r="J888" i="3"/>
  <c r="K888" i="3"/>
  <c r="B889" i="3"/>
  <c r="C889" i="3"/>
  <c r="D889" i="3"/>
  <c r="E889" i="3"/>
  <c r="F889" i="3"/>
  <c r="G889" i="3"/>
  <c r="H889" i="3"/>
  <c r="I889" i="3"/>
  <c r="J889" i="3"/>
  <c r="K889" i="3"/>
  <c r="B890" i="3"/>
  <c r="C890" i="3"/>
  <c r="D890" i="3"/>
  <c r="E890" i="3"/>
  <c r="F890" i="3"/>
  <c r="G890" i="3"/>
  <c r="H890" i="3"/>
  <c r="I890" i="3"/>
  <c r="J890" i="3"/>
  <c r="K890" i="3"/>
  <c r="B891" i="3"/>
  <c r="C891" i="3"/>
  <c r="D891" i="3"/>
  <c r="E891" i="3"/>
  <c r="F891" i="3"/>
  <c r="G891" i="3"/>
  <c r="H891" i="3"/>
  <c r="I891" i="3"/>
  <c r="J891" i="3"/>
  <c r="K891" i="3"/>
  <c r="B892" i="3"/>
  <c r="C892" i="3"/>
  <c r="D892" i="3"/>
  <c r="E892" i="3"/>
  <c r="F892" i="3"/>
  <c r="G892" i="3"/>
  <c r="H892" i="3"/>
  <c r="I892" i="3"/>
  <c r="J892" i="3"/>
  <c r="K892" i="3"/>
  <c r="B893" i="3"/>
  <c r="C893" i="3"/>
  <c r="D893" i="3"/>
  <c r="E893" i="3"/>
  <c r="F893" i="3"/>
  <c r="G893" i="3"/>
  <c r="H893" i="3"/>
  <c r="I893" i="3"/>
  <c r="J893" i="3"/>
  <c r="K893" i="3"/>
  <c r="B894" i="3"/>
  <c r="C894" i="3"/>
  <c r="D894" i="3"/>
  <c r="E894" i="3"/>
  <c r="F894" i="3"/>
  <c r="G894" i="3"/>
  <c r="H894" i="3"/>
  <c r="I894" i="3"/>
  <c r="J894" i="3"/>
  <c r="K894" i="3"/>
  <c r="B895" i="3"/>
  <c r="C895" i="3"/>
  <c r="D895" i="3"/>
  <c r="E895" i="3"/>
  <c r="F895" i="3"/>
  <c r="G895" i="3"/>
  <c r="H895" i="3"/>
  <c r="I895" i="3"/>
  <c r="J895" i="3"/>
  <c r="K895" i="3"/>
  <c r="B896" i="3"/>
  <c r="C896" i="3"/>
  <c r="D896" i="3"/>
  <c r="E896" i="3"/>
  <c r="F896" i="3"/>
  <c r="G896" i="3"/>
  <c r="H896" i="3"/>
  <c r="I896" i="3"/>
  <c r="J896" i="3"/>
  <c r="K896" i="3"/>
  <c r="B897" i="3"/>
  <c r="C897" i="3"/>
  <c r="D897" i="3"/>
  <c r="E897" i="3"/>
  <c r="F897" i="3"/>
  <c r="G897" i="3"/>
  <c r="H897" i="3"/>
  <c r="I897" i="3"/>
  <c r="J897" i="3"/>
  <c r="K897" i="3"/>
  <c r="B898" i="3"/>
  <c r="C898" i="3"/>
  <c r="D898" i="3"/>
  <c r="E898" i="3"/>
  <c r="F898" i="3"/>
  <c r="G898" i="3"/>
  <c r="H898" i="3"/>
  <c r="I898" i="3"/>
  <c r="J898" i="3"/>
  <c r="K898" i="3"/>
  <c r="B899" i="3"/>
  <c r="C899" i="3"/>
  <c r="D899" i="3"/>
  <c r="E899" i="3"/>
  <c r="F899" i="3"/>
  <c r="G899" i="3"/>
  <c r="H899" i="3"/>
  <c r="I899" i="3"/>
  <c r="J899" i="3"/>
  <c r="K899" i="3"/>
  <c r="B900" i="3"/>
  <c r="C900" i="3"/>
  <c r="C1143" i="3" s="1"/>
  <c r="D900" i="3"/>
  <c r="E900" i="3"/>
  <c r="F900" i="3"/>
  <c r="G900" i="3"/>
  <c r="H900" i="3"/>
  <c r="I900" i="3"/>
  <c r="J900" i="3"/>
  <c r="K900" i="3"/>
  <c r="B901" i="3"/>
  <c r="C901" i="3"/>
  <c r="D901" i="3"/>
  <c r="E901" i="3"/>
  <c r="F901" i="3"/>
  <c r="G901" i="3"/>
  <c r="H901" i="3"/>
  <c r="I901" i="3"/>
  <c r="I1143" i="3" s="1"/>
  <c r="J901" i="3"/>
  <c r="K901" i="3"/>
  <c r="B902" i="3"/>
  <c r="C902" i="3"/>
  <c r="D902" i="3"/>
  <c r="E902" i="3"/>
  <c r="F902" i="3"/>
  <c r="G902" i="3"/>
  <c r="H902" i="3"/>
  <c r="I902" i="3"/>
  <c r="J902" i="3"/>
  <c r="K902" i="3"/>
  <c r="B903" i="3"/>
  <c r="C903" i="3"/>
  <c r="D903" i="3"/>
  <c r="E903" i="3"/>
  <c r="F903" i="3"/>
  <c r="G903" i="3"/>
  <c r="H903" i="3"/>
  <c r="I903" i="3"/>
  <c r="J903" i="3"/>
  <c r="K903" i="3"/>
  <c r="B904" i="3"/>
  <c r="C904" i="3"/>
  <c r="D904" i="3"/>
  <c r="E904" i="3"/>
  <c r="F904" i="3"/>
  <c r="G904" i="3"/>
  <c r="H904" i="3"/>
  <c r="I904" i="3"/>
  <c r="J904" i="3"/>
  <c r="K904" i="3"/>
  <c r="B905" i="3"/>
  <c r="C905" i="3"/>
  <c r="D905" i="3"/>
  <c r="E905" i="3"/>
  <c r="F905" i="3"/>
  <c r="G905" i="3"/>
  <c r="H905" i="3"/>
  <c r="I905" i="3"/>
  <c r="J905" i="3"/>
  <c r="K905" i="3"/>
  <c r="B906" i="3"/>
  <c r="C906" i="3"/>
  <c r="D906" i="3"/>
  <c r="E906" i="3"/>
  <c r="F906" i="3"/>
  <c r="G906" i="3"/>
  <c r="H906" i="3"/>
  <c r="I906" i="3"/>
  <c r="J906" i="3"/>
  <c r="K906" i="3"/>
  <c r="B907" i="3"/>
  <c r="C907" i="3"/>
  <c r="D907" i="3"/>
  <c r="E907" i="3"/>
  <c r="F907" i="3"/>
  <c r="G907" i="3"/>
  <c r="H907" i="3"/>
  <c r="I907" i="3"/>
  <c r="J907" i="3"/>
  <c r="K907" i="3"/>
  <c r="B908" i="3"/>
  <c r="C908" i="3"/>
  <c r="D908" i="3"/>
  <c r="E908" i="3"/>
  <c r="F908" i="3"/>
  <c r="G908" i="3"/>
  <c r="H908" i="3"/>
  <c r="I908" i="3"/>
  <c r="J908" i="3"/>
  <c r="K908" i="3"/>
  <c r="B909" i="3"/>
  <c r="C909" i="3"/>
  <c r="D909" i="3"/>
  <c r="E909" i="3"/>
  <c r="F909" i="3"/>
  <c r="G909" i="3"/>
  <c r="H909" i="3"/>
  <c r="I909" i="3"/>
  <c r="J909" i="3"/>
  <c r="K909" i="3"/>
  <c r="B910" i="3"/>
  <c r="C910" i="3"/>
  <c r="D910" i="3"/>
  <c r="E910" i="3"/>
  <c r="F910" i="3"/>
  <c r="G910" i="3"/>
  <c r="H910" i="3"/>
  <c r="I910" i="3"/>
  <c r="J910" i="3"/>
  <c r="K910" i="3"/>
  <c r="B911" i="3"/>
  <c r="C911" i="3"/>
  <c r="D911" i="3"/>
  <c r="E911" i="3"/>
  <c r="F911" i="3"/>
  <c r="G911" i="3"/>
  <c r="H911" i="3"/>
  <c r="I911" i="3"/>
  <c r="J911" i="3"/>
  <c r="K911" i="3"/>
  <c r="B912" i="3"/>
  <c r="C912" i="3"/>
  <c r="D912" i="3"/>
  <c r="E912" i="3"/>
  <c r="F912" i="3"/>
  <c r="G912" i="3"/>
  <c r="H912" i="3"/>
  <c r="I912" i="3"/>
  <c r="J912" i="3"/>
  <c r="K912" i="3"/>
  <c r="K1144" i="3" s="1"/>
  <c r="B913" i="3"/>
  <c r="C913" i="3"/>
  <c r="D913" i="3"/>
  <c r="E913" i="3"/>
  <c r="F913" i="3"/>
  <c r="G913" i="3"/>
  <c r="H913" i="3"/>
  <c r="I913" i="3"/>
  <c r="J913" i="3"/>
  <c r="K913" i="3"/>
  <c r="B914" i="3"/>
  <c r="C914" i="3"/>
  <c r="D914" i="3"/>
  <c r="E914" i="3"/>
  <c r="F914" i="3"/>
  <c r="G914" i="3"/>
  <c r="H914" i="3"/>
  <c r="I914" i="3"/>
  <c r="J914" i="3"/>
  <c r="K914" i="3"/>
  <c r="B915" i="3"/>
  <c r="C915" i="3"/>
  <c r="D915" i="3"/>
  <c r="E915" i="3"/>
  <c r="F915" i="3"/>
  <c r="G915" i="3"/>
  <c r="H915" i="3"/>
  <c r="I915" i="3"/>
  <c r="J915" i="3"/>
  <c r="K915" i="3"/>
  <c r="B916" i="3"/>
  <c r="C916" i="3"/>
  <c r="D916" i="3"/>
  <c r="E916" i="3"/>
  <c r="F916" i="3"/>
  <c r="G916" i="3"/>
  <c r="H916" i="3"/>
  <c r="I916" i="3"/>
  <c r="J916" i="3"/>
  <c r="K916" i="3"/>
  <c r="B917" i="3"/>
  <c r="C917" i="3"/>
  <c r="D917" i="3"/>
  <c r="E917" i="3"/>
  <c r="F917" i="3"/>
  <c r="G917" i="3"/>
  <c r="H917" i="3"/>
  <c r="I917" i="3"/>
  <c r="J917" i="3"/>
  <c r="K917" i="3"/>
  <c r="B918" i="3"/>
  <c r="C918" i="3"/>
  <c r="D918" i="3"/>
  <c r="E918" i="3"/>
  <c r="F918" i="3"/>
  <c r="G918" i="3"/>
  <c r="H918" i="3"/>
  <c r="I918" i="3"/>
  <c r="J918" i="3"/>
  <c r="K918" i="3"/>
  <c r="B919" i="3"/>
  <c r="C919" i="3"/>
  <c r="D919" i="3"/>
  <c r="E919" i="3"/>
  <c r="F919" i="3"/>
  <c r="G919" i="3"/>
  <c r="H919" i="3"/>
  <c r="I919" i="3"/>
  <c r="J919" i="3"/>
  <c r="K919" i="3"/>
  <c r="B920" i="3"/>
  <c r="C920" i="3"/>
  <c r="D920" i="3"/>
  <c r="E920" i="3"/>
  <c r="F920" i="3"/>
  <c r="G920" i="3"/>
  <c r="H920" i="3"/>
  <c r="I920" i="3"/>
  <c r="J920" i="3"/>
  <c r="K920" i="3"/>
  <c r="B921" i="3"/>
  <c r="C921" i="3"/>
  <c r="D921" i="3"/>
  <c r="E921" i="3"/>
  <c r="F921" i="3"/>
  <c r="G921" i="3"/>
  <c r="H921" i="3"/>
  <c r="I921" i="3"/>
  <c r="J921" i="3"/>
  <c r="K921" i="3"/>
  <c r="B922" i="3"/>
  <c r="C922" i="3"/>
  <c r="D922" i="3"/>
  <c r="E922" i="3"/>
  <c r="F922" i="3"/>
  <c r="G922" i="3"/>
  <c r="H922" i="3"/>
  <c r="I922" i="3"/>
  <c r="J922" i="3"/>
  <c r="K922" i="3"/>
  <c r="B923" i="3"/>
  <c r="C923" i="3"/>
  <c r="D923" i="3"/>
  <c r="E923" i="3"/>
  <c r="F923" i="3"/>
  <c r="G923" i="3"/>
  <c r="H923" i="3"/>
  <c r="I923" i="3"/>
  <c r="J923" i="3"/>
  <c r="K923" i="3"/>
  <c r="B924" i="3"/>
  <c r="C924" i="3"/>
  <c r="C1145" i="3" s="1"/>
  <c r="D924" i="3"/>
  <c r="E924" i="3"/>
  <c r="F924" i="3"/>
  <c r="G924" i="3"/>
  <c r="H924" i="3"/>
  <c r="I924" i="3"/>
  <c r="J924" i="3"/>
  <c r="K924" i="3"/>
  <c r="B925" i="3"/>
  <c r="C925" i="3"/>
  <c r="D925" i="3"/>
  <c r="E925" i="3"/>
  <c r="E1145" i="3" s="1"/>
  <c r="F925" i="3"/>
  <c r="G925" i="3"/>
  <c r="H925" i="3"/>
  <c r="I925" i="3"/>
  <c r="I1145" i="3" s="1"/>
  <c r="J925" i="3"/>
  <c r="K925" i="3"/>
  <c r="B926" i="3"/>
  <c r="C926" i="3"/>
  <c r="D926" i="3"/>
  <c r="E926" i="3"/>
  <c r="F926" i="3"/>
  <c r="G926" i="3"/>
  <c r="H926" i="3"/>
  <c r="I926" i="3"/>
  <c r="J926" i="3"/>
  <c r="K926" i="3"/>
  <c r="B927" i="3"/>
  <c r="C927" i="3"/>
  <c r="D927" i="3"/>
  <c r="E927" i="3"/>
  <c r="F927" i="3"/>
  <c r="G927" i="3"/>
  <c r="H927" i="3"/>
  <c r="I927" i="3"/>
  <c r="J927" i="3"/>
  <c r="K927" i="3"/>
  <c r="B928" i="3"/>
  <c r="C928" i="3"/>
  <c r="D928" i="3"/>
  <c r="E928" i="3"/>
  <c r="F928" i="3"/>
  <c r="G928" i="3"/>
  <c r="H928" i="3"/>
  <c r="I928" i="3"/>
  <c r="J928" i="3"/>
  <c r="K928" i="3"/>
  <c r="B929" i="3"/>
  <c r="C929" i="3"/>
  <c r="D929" i="3"/>
  <c r="E929" i="3"/>
  <c r="F929" i="3"/>
  <c r="G929" i="3"/>
  <c r="H929" i="3"/>
  <c r="I929" i="3"/>
  <c r="J929" i="3"/>
  <c r="K929" i="3"/>
  <c r="B930" i="3"/>
  <c r="C930" i="3"/>
  <c r="D930" i="3"/>
  <c r="E930" i="3"/>
  <c r="F930" i="3"/>
  <c r="G930" i="3"/>
  <c r="H930" i="3"/>
  <c r="I930" i="3"/>
  <c r="J930" i="3"/>
  <c r="K930" i="3"/>
  <c r="B931" i="3"/>
  <c r="C931" i="3"/>
  <c r="D931" i="3"/>
  <c r="E931" i="3"/>
  <c r="F931" i="3"/>
  <c r="G931" i="3"/>
  <c r="H931" i="3"/>
  <c r="I931" i="3"/>
  <c r="J931" i="3"/>
  <c r="K931" i="3"/>
  <c r="B932" i="3"/>
  <c r="C932" i="3"/>
  <c r="D932" i="3"/>
  <c r="E932" i="3"/>
  <c r="F932" i="3"/>
  <c r="G932" i="3"/>
  <c r="H932" i="3"/>
  <c r="I932" i="3"/>
  <c r="J932" i="3"/>
  <c r="K932" i="3"/>
  <c r="B933" i="3"/>
  <c r="C933" i="3"/>
  <c r="D933" i="3"/>
  <c r="E933" i="3"/>
  <c r="F933" i="3"/>
  <c r="G933" i="3"/>
  <c r="H933" i="3"/>
  <c r="I933" i="3"/>
  <c r="J933" i="3"/>
  <c r="K933" i="3"/>
  <c r="B934" i="3"/>
  <c r="C934" i="3"/>
  <c r="D934" i="3"/>
  <c r="E934" i="3"/>
  <c r="F934" i="3"/>
  <c r="G934" i="3"/>
  <c r="H934" i="3"/>
  <c r="I934" i="3"/>
  <c r="J934" i="3"/>
  <c r="K934" i="3"/>
  <c r="B935" i="3"/>
  <c r="C935" i="3"/>
  <c r="D935" i="3"/>
  <c r="E935" i="3"/>
  <c r="F935" i="3"/>
  <c r="G935" i="3"/>
  <c r="H935" i="3"/>
  <c r="I935" i="3"/>
  <c r="J935" i="3"/>
  <c r="K935" i="3"/>
  <c r="B936" i="3"/>
  <c r="C936" i="3"/>
  <c r="D936" i="3"/>
  <c r="E936" i="3"/>
  <c r="F936" i="3"/>
  <c r="G936" i="3"/>
  <c r="G1146" i="3" s="1"/>
  <c r="H936" i="3"/>
  <c r="I936" i="3"/>
  <c r="J936" i="3"/>
  <c r="K936" i="3"/>
  <c r="K1146" i="3" s="1"/>
  <c r="B937" i="3"/>
  <c r="C937" i="3"/>
  <c r="D937" i="3"/>
  <c r="E937" i="3"/>
  <c r="E1146" i="3" s="1"/>
  <c r="F937" i="3"/>
  <c r="G937" i="3"/>
  <c r="H937" i="3"/>
  <c r="I937" i="3"/>
  <c r="I1146" i="3" s="1"/>
  <c r="J937" i="3"/>
  <c r="K937" i="3"/>
  <c r="B938" i="3"/>
  <c r="C938" i="3"/>
  <c r="D938" i="3"/>
  <c r="E938" i="3"/>
  <c r="F938" i="3"/>
  <c r="G938" i="3"/>
  <c r="H938" i="3"/>
  <c r="I938" i="3"/>
  <c r="J938" i="3"/>
  <c r="K938" i="3"/>
  <c r="B939" i="3"/>
  <c r="C939" i="3"/>
  <c r="D939" i="3"/>
  <c r="E939" i="3"/>
  <c r="F939" i="3"/>
  <c r="G939" i="3"/>
  <c r="H939" i="3"/>
  <c r="I939" i="3"/>
  <c r="J939" i="3"/>
  <c r="K939" i="3"/>
  <c r="B940" i="3"/>
  <c r="C940" i="3"/>
  <c r="D940" i="3"/>
  <c r="E940" i="3"/>
  <c r="F940" i="3"/>
  <c r="G940" i="3"/>
  <c r="H940" i="3"/>
  <c r="I940" i="3"/>
  <c r="J940" i="3"/>
  <c r="K940" i="3"/>
  <c r="B941" i="3"/>
  <c r="C941" i="3"/>
  <c r="D941" i="3"/>
  <c r="E941" i="3"/>
  <c r="F941" i="3"/>
  <c r="G941" i="3"/>
  <c r="H941" i="3"/>
  <c r="I941" i="3"/>
  <c r="J941" i="3"/>
  <c r="K941" i="3"/>
  <c r="B942" i="3"/>
  <c r="C942" i="3"/>
  <c r="D942" i="3"/>
  <c r="E942" i="3"/>
  <c r="F942" i="3"/>
  <c r="G942" i="3"/>
  <c r="H942" i="3"/>
  <c r="I942" i="3"/>
  <c r="J942" i="3"/>
  <c r="K942" i="3"/>
  <c r="B943" i="3"/>
  <c r="C943" i="3"/>
  <c r="D943" i="3"/>
  <c r="E943" i="3"/>
  <c r="F943" i="3"/>
  <c r="G943" i="3"/>
  <c r="H943" i="3"/>
  <c r="I943" i="3"/>
  <c r="J943" i="3"/>
  <c r="K943" i="3"/>
  <c r="B944" i="3"/>
  <c r="C944" i="3"/>
  <c r="D944" i="3"/>
  <c r="E944" i="3"/>
  <c r="F944" i="3"/>
  <c r="G944" i="3"/>
  <c r="H944" i="3"/>
  <c r="I944" i="3"/>
  <c r="J944" i="3"/>
  <c r="K944" i="3"/>
  <c r="B945" i="3"/>
  <c r="C945" i="3"/>
  <c r="D945" i="3"/>
  <c r="E945" i="3"/>
  <c r="F945" i="3"/>
  <c r="G945" i="3"/>
  <c r="H945" i="3"/>
  <c r="I945" i="3"/>
  <c r="J945" i="3"/>
  <c r="K945" i="3"/>
  <c r="B946" i="3"/>
  <c r="C946" i="3"/>
  <c r="D946" i="3"/>
  <c r="E946" i="3"/>
  <c r="F946" i="3"/>
  <c r="G946" i="3"/>
  <c r="H946" i="3"/>
  <c r="I946" i="3"/>
  <c r="J946" i="3"/>
  <c r="K946" i="3"/>
  <c r="B947" i="3"/>
  <c r="C947" i="3"/>
  <c r="D947" i="3"/>
  <c r="E947" i="3"/>
  <c r="F947" i="3"/>
  <c r="G947" i="3"/>
  <c r="H947" i="3"/>
  <c r="I947" i="3"/>
  <c r="J947" i="3"/>
  <c r="K947" i="3"/>
  <c r="B948" i="3"/>
  <c r="C948" i="3"/>
  <c r="D948" i="3"/>
  <c r="E948" i="3"/>
  <c r="F948" i="3"/>
  <c r="G948" i="3"/>
  <c r="G1147" i="3" s="1"/>
  <c r="H948" i="3"/>
  <c r="I948" i="3"/>
  <c r="J948" i="3"/>
  <c r="K948" i="3"/>
  <c r="K1147" i="3" s="1"/>
  <c r="B949" i="3"/>
  <c r="C949" i="3"/>
  <c r="D949" i="3"/>
  <c r="E949" i="3"/>
  <c r="E1147" i="3" s="1"/>
  <c r="F949" i="3"/>
  <c r="G949" i="3"/>
  <c r="H949" i="3"/>
  <c r="I949" i="3"/>
  <c r="I1147" i="3" s="1"/>
  <c r="J949" i="3"/>
  <c r="K949" i="3"/>
  <c r="B950" i="3"/>
  <c r="C950" i="3"/>
  <c r="D950" i="3"/>
  <c r="E950" i="3"/>
  <c r="F950" i="3"/>
  <c r="G950" i="3"/>
  <c r="H950" i="3"/>
  <c r="I950" i="3"/>
  <c r="J950" i="3"/>
  <c r="K950" i="3"/>
  <c r="B951" i="3"/>
  <c r="C951" i="3"/>
  <c r="D951" i="3"/>
  <c r="E951" i="3"/>
  <c r="F951" i="3"/>
  <c r="G951" i="3"/>
  <c r="H951" i="3"/>
  <c r="I951" i="3"/>
  <c r="J951" i="3"/>
  <c r="K951" i="3"/>
  <c r="B952" i="3"/>
  <c r="C952" i="3"/>
  <c r="D952" i="3"/>
  <c r="E952" i="3"/>
  <c r="F952" i="3"/>
  <c r="G952" i="3"/>
  <c r="H952" i="3"/>
  <c r="I952" i="3"/>
  <c r="J952" i="3"/>
  <c r="K952" i="3"/>
  <c r="B953" i="3"/>
  <c r="C953" i="3"/>
  <c r="D953" i="3"/>
  <c r="E953" i="3"/>
  <c r="F953" i="3"/>
  <c r="G953" i="3"/>
  <c r="H953" i="3"/>
  <c r="I953" i="3"/>
  <c r="J953" i="3"/>
  <c r="K953" i="3"/>
  <c r="B954" i="3"/>
  <c r="C954" i="3"/>
  <c r="D954" i="3"/>
  <c r="E954" i="3"/>
  <c r="F954" i="3"/>
  <c r="G954" i="3"/>
  <c r="H954" i="3"/>
  <c r="I954" i="3"/>
  <c r="J954" i="3"/>
  <c r="K954" i="3"/>
  <c r="B955" i="3"/>
  <c r="C955" i="3"/>
  <c r="D955" i="3"/>
  <c r="E955" i="3"/>
  <c r="F955" i="3"/>
  <c r="G955" i="3"/>
  <c r="H955" i="3"/>
  <c r="I955" i="3"/>
  <c r="J955" i="3"/>
  <c r="K955" i="3"/>
  <c r="B956" i="3"/>
  <c r="C956" i="3"/>
  <c r="D956" i="3"/>
  <c r="E956" i="3"/>
  <c r="F956" i="3"/>
  <c r="G956" i="3"/>
  <c r="H956" i="3"/>
  <c r="I956" i="3"/>
  <c r="J956" i="3"/>
  <c r="K956" i="3"/>
  <c r="B957" i="3"/>
  <c r="C957" i="3"/>
  <c r="D957" i="3"/>
  <c r="E957" i="3"/>
  <c r="F957" i="3"/>
  <c r="G957" i="3"/>
  <c r="H957" i="3"/>
  <c r="I957" i="3"/>
  <c r="J957" i="3"/>
  <c r="K957" i="3"/>
  <c r="B958" i="3"/>
  <c r="C958" i="3"/>
  <c r="D958" i="3"/>
  <c r="E958" i="3"/>
  <c r="F958" i="3"/>
  <c r="G958" i="3"/>
  <c r="H958" i="3"/>
  <c r="I958" i="3"/>
  <c r="J958" i="3"/>
  <c r="K958" i="3"/>
  <c r="B959" i="3"/>
  <c r="C959" i="3"/>
  <c r="D959" i="3"/>
  <c r="E959" i="3"/>
  <c r="F959" i="3"/>
  <c r="G959" i="3"/>
  <c r="H959" i="3"/>
  <c r="I959" i="3"/>
  <c r="J959" i="3"/>
  <c r="K959" i="3"/>
  <c r="B960" i="3"/>
  <c r="C960" i="3"/>
  <c r="C1148" i="3" s="1"/>
  <c r="D960" i="3"/>
  <c r="E960" i="3"/>
  <c r="F960" i="3"/>
  <c r="G960" i="3"/>
  <c r="G1148" i="3" s="1"/>
  <c r="H960" i="3"/>
  <c r="I960" i="3"/>
  <c r="J960" i="3"/>
  <c r="K960" i="3"/>
  <c r="K1148" i="3" s="1"/>
  <c r="B961" i="3"/>
  <c r="C961" i="3"/>
  <c r="D961" i="3"/>
  <c r="E961" i="3"/>
  <c r="E1148" i="3" s="1"/>
  <c r="F961" i="3"/>
  <c r="G961" i="3"/>
  <c r="H961" i="3"/>
  <c r="I961" i="3"/>
  <c r="I1148" i="3" s="1"/>
  <c r="J961" i="3"/>
  <c r="K961" i="3"/>
  <c r="B962" i="3"/>
  <c r="C962" i="3"/>
  <c r="D962" i="3"/>
  <c r="E962" i="3"/>
  <c r="F962" i="3"/>
  <c r="G962" i="3"/>
  <c r="H962" i="3"/>
  <c r="I962" i="3"/>
  <c r="J962" i="3"/>
  <c r="K962" i="3"/>
  <c r="B963" i="3"/>
  <c r="C963" i="3"/>
  <c r="D963" i="3"/>
  <c r="E963" i="3"/>
  <c r="F963" i="3"/>
  <c r="G963" i="3"/>
  <c r="H963" i="3"/>
  <c r="I963" i="3"/>
  <c r="J963" i="3"/>
  <c r="K963" i="3"/>
  <c r="B964" i="3"/>
  <c r="C964" i="3"/>
  <c r="D964" i="3"/>
  <c r="E964" i="3"/>
  <c r="F964" i="3"/>
  <c r="G964" i="3"/>
  <c r="H964" i="3"/>
  <c r="I964" i="3"/>
  <c r="J964" i="3"/>
  <c r="K964" i="3"/>
  <c r="B965" i="3"/>
  <c r="C965" i="3"/>
  <c r="D965" i="3"/>
  <c r="E965" i="3"/>
  <c r="F965" i="3"/>
  <c r="G965" i="3"/>
  <c r="H965" i="3"/>
  <c r="I965" i="3"/>
  <c r="J965" i="3"/>
  <c r="K965" i="3"/>
  <c r="B966" i="3"/>
  <c r="C966" i="3"/>
  <c r="D966" i="3"/>
  <c r="E966" i="3"/>
  <c r="F966" i="3"/>
  <c r="G966" i="3"/>
  <c r="H966" i="3"/>
  <c r="I966" i="3"/>
  <c r="J966" i="3"/>
  <c r="K966" i="3"/>
  <c r="B967" i="3"/>
  <c r="C967" i="3"/>
  <c r="D967" i="3"/>
  <c r="E967" i="3"/>
  <c r="F967" i="3"/>
  <c r="G967" i="3"/>
  <c r="H967" i="3"/>
  <c r="I967" i="3"/>
  <c r="J967" i="3"/>
  <c r="K967" i="3"/>
  <c r="B968" i="3"/>
  <c r="C968" i="3"/>
  <c r="D968" i="3"/>
  <c r="E968" i="3"/>
  <c r="F968" i="3"/>
  <c r="G968" i="3"/>
  <c r="H968" i="3"/>
  <c r="I968" i="3"/>
  <c r="J968" i="3"/>
  <c r="K968" i="3"/>
  <c r="B969" i="3"/>
  <c r="C969" i="3"/>
  <c r="D969" i="3"/>
  <c r="E969" i="3"/>
  <c r="F969" i="3"/>
  <c r="G969" i="3"/>
  <c r="H969" i="3"/>
  <c r="I969" i="3"/>
  <c r="J969" i="3"/>
  <c r="K969" i="3"/>
  <c r="B970" i="3"/>
  <c r="C970" i="3"/>
  <c r="D970" i="3"/>
  <c r="E970" i="3"/>
  <c r="F970" i="3"/>
  <c r="G970" i="3"/>
  <c r="H970" i="3"/>
  <c r="I970" i="3"/>
  <c r="J970" i="3"/>
  <c r="K970" i="3"/>
  <c r="B971" i="3"/>
  <c r="C971" i="3"/>
  <c r="D971" i="3"/>
  <c r="E971" i="3"/>
  <c r="F971" i="3"/>
  <c r="G971" i="3"/>
  <c r="H971" i="3"/>
  <c r="I971" i="3"/>
  <c r="J971" i="3"/>
  <c r="K971" i="3"/>
  <c r="B972" i="3"/>
  <c r="C972" i="3"/>
  <c r="D972" i="3"/>
  <c r="E972" i="3"/>
  <c r="F972" i="3"/>
  <c r="G972" i="3"/>
  <c r="G1149" i="3" s="1"/>
  <c r="H972" i="3"/>
  <c r="I972" i="3"/>
  <c r="J972" i="3"/>
  <c r="K972" i="3"/>
  <c r="K1149" i="3" s="1"/>
  <c r="B973" i="3"/>
  <c r="C973" i="3"/>
  <c r="D973" i="3"/>
  <c r="E973" i="3"/>
  <c r="E1149" i="3" s="1"/>
  <c r="F973" i="3"/>
  <c r="G973" i="3"/>
  <c r="H973" i="3"/>
  <c r="I973" i="3"/>
  <c r="I1149" i="3" s="1"/>
  <c r="J973" i="3"/>
  <c r="K973" i="3"/>
  <c r="B974" i="3"/>
  <c r="C974" i="3"/>
  <c r="D974" i="3"/>
  <c r="E974" i="3"/>
  <c r="F974" i="3"/>
  <c r="G974" i="3"/>
  <c r="H974" i="3"/>
  <c r="I974" i="3"/>
  <c r="J974" i="3"/>
  <c r="K974" i="3"/>
  <c r="B975" i="3"/>
  <c r="C975" i="3"/>
  <c r="D975" i="3"/>
  <c r="E975" i="3"/>
  <c r="F975" i="3"/>
  <c r="G975" i="3"/>
  <c r="H975" i="3"/>
  <c r="I975" i="3"/>
  <c r="J975" i="3"/>
  <c r="K975" i="3"/>
  <c r="B976" i="3"/>
  <c r="C976" i="3"/>
  <c r="D976" i="3"/>
  <c r="E976" i="3"/>
  <c r="F976" i="3"/>
  <c r="G976" i="3"/>
  <c r="H976" i="3"/>
  <c r="I976" i="3"/>
  <c r="J976" i="3"/>
  <c r="K976" i="3"/>
  <c r="B977" i="3"/>
  <c r="C977" i="3"/>
  <c r="D977" i="3"/>
  <c r="E977" i="3"/>
  <c r="F977" i="3"/>
  <c r="G977" i="3"/>
  <c r="H977" i="3"/>
  <c r="I977" i="3"/>
  <c r="J977" i="3"/>
  <c r="K977" i="3"/>
  <c r="B978" i="3"/>
  <c r="C978" i="3"/>
  <c r="D978" i="3"/>
  <c r="E978" i="3"/>
  <c r="F978" i="3"/>
  <c r="G978" i="3"/>
  <c r="H978" i="3"/>
  <c r="I978" i="3"/>
  <c r="J978" i="3"/>
  <c r="K978" i="3"/>
  <c r="B979" i="3"/>
  <c r="C979" i="3"/>
  <c r="D979" i="3"/>
  <c r="E979" i="3"/>
  <c r="F979" i="3"/>
  <c r="G979" i="3"/>
  <c r="H979" i="3"/>
  <c r="I979" i="3"/>
  <c r="J979" i="3"/>
  <c r="K979" i="3"/>
  <c r="B980" i="3"/>
  <c r="C980" i="3"/>
  <c r="D980" i="3"/>
  <c r="E980" i="3"/>
  <c r="F980" i="3"/>
  <c r="G980" i="3"/>
  <c r="H980" i="3"/>
  <c r="I980" i="3"/>
  <c r="J980" i="3"/>
  <c r="K980" i="3"/>
  <c r="B981" i="3"/>
  <c r="C981" i="3"/>
  <c r="D981" i="3"/>
  <c r="E981" i="3"/>
  <c r="F981" i="3"/>
  <c r="G981" i="3"/>
  <c r="H981" i="3"/>
  <c r="I981" i="3"/>
  <c r="J981" i="3"/>
  <c r="K981" i="3"/>
  <c r="B982" i="3"/>
  <c r="C982" i="3"/>
  <c r="D982" i="3"/>
  <c r="E982" i="3"/>
  <c r="F982" i="3"/>
  <c r="G982" i="3"/>
  <c r="H982" i="3"/>
  <c r="I982" i="3"/>
  <c r="J982" i="3"/>
  <c r="K982" i="3"/>
  <c r="B983" i="3"/>
  <c r="C983" i="3"/>
  <c r="D983" i="3"/>
  <c r="E983" i="3"/>
  <c r="F983" i="3"/>
  <c r="G983" i="3"/>
  <c r="H983" i="3"/>
  <c r="I983" i="3"/>
  <c r="J983" i="3"/>
  <c r="K983" i="3"/>
  <c r="B984" i="3"/>
  <c r="C984" i="3"/>
  <c r="C1150" i="3" s="1"/>
  <c r="D984" i="3"/>
  <c r="E984" i="3"/>
  <c r="F984" i="3"/>
  <c r="G984" i="3"/>
  <c r="G1150" i="3" s="1"/>
  <c r="H984" i="3"/>
  <c r="I984" i="3"/>
  <c r="J984" i="3"/>
  <c r="K984" i="3"/>
  <c r="K1150" i="3" s="1"/>
  <c r="B985" i="3"/>
  <c r="C985" i="3"/>
  <c r="D985" i="3"/>
  <c r="E985" i="3"/>
  <c r="E1150" i="3" s="1"/>
  <c r="F985" i="3"/>
  <c r="G985" i="3"/>
  <c r="H985" i="3"/>
  <c r="I985" i="3"/>
  <c r="I1150" i="3" s="1"/>
  <c r="J985" i="3"/>
  <c r="K985" i="3"/>
  <c r="B986" i="3"/>
  <c r="C986" i="3"/>
  <c r="D986" i="3"/>
  <c r="E986" i="3"/>
  <c r="F986" i="3"/>
  <c r="G986" i="3"/>
  <c r="H986" i="3"/>
  <c r="I986" i="3"/>
  <c r="J986" i="3"/>
  <c r="K986" i="3"/>
  <c r="B987" i="3"/>
  <c r="C987" i="3"/>
  <c r="D987" i="3"/>
  <c r="E987" i="3"/>
  <c r="F987" i="3"/>
  <c r="G987" i="3"/>
  <c r="H987" i="3"/>
  <c r="I987" i="3"/>
  <c r="J987" i="3"/>
  <c r="K987" i="3"/>
  <c r="B988" i="3"/>
  <c r="C988" i="3"/>
  <c r="D988" i="3"/>
  <c r="E988" i="3"/>
  <c r="F988" i="3"/>
  <c r="G988" i="3"/>
  <c r="H988" i="3"/>
  <c r="I988" i="3"/>
  <c r="J988" i="3"/>
  <c r="K988" i="3"/>
  <c r="B989" i="3"/>
  <c r="C989" i="3"/>
  <c r="D989" i="3"/>
  <c r="E989" i="3"/>
  <c r="F989" i="3"/>
  <c r="G989" i="3"/>
  <c r="H989" i="3"/>
  <c r="I989" i="3"/>
  <c r="J989" i="3"/>
  <c r="K989" i="3"/>
  <c r="B990" i="3"/>
  <c r="C990" i="3"/>
  <c r="D990" i="3"/>
  <c r="E990" i="3"/>
  <c r="F990" i="3"/>
  <c r="G990" i="3"/>
  <c r="H990" i="3"/>
  <c r="I990" i="3"/>
  <c r="J990" i="3"/>
  <c r="K990" i="3"/>
  <c r="B991" i="3"/>
  <c r="C991" i="3"/>
  <c r="D991" i="3"/>
  <c r="E991" i="3"/>
  <c r="F991" i="3"/>
  <c r="G991" i="3"/>
  <c r="H991" i="3"/>
  <c r="I991" i="3"/>
  <c r="J991" i="3"/>
  <c r="K991" i="3"/>
  <c r="B992" i="3"/>
  <c r="C992" i="3"/>
  <c r="D992" i="3"/>
  <c r="E992" i="3"/>
  <c r="F992" i="3"/>
  <c r="G992" i="3"/>
  <c r="H992" i="3"/>
  <c r="I992" i="3"/>
  <c r="J992" i="3"/>
  <c r="K992" i="3"/>
  <c r="B993" i="3"/>
  <c r="C993" i="3"/>
  <c r="D993" i="3"/>
  <c r="E993" i="3"/>
  <c r="F993" i="3"/>
  <c r="G993" i="3"/>
  <c r="H993" i="3"/>
  <c r="I993" i="3"/>
  <c r="J993" i="3"/>
  <c r="K993" i="3"/>
  <c r="B994" i="3"/>
  <c r="C994" i="3"/>
  <c r="D994" i="3"/>
  <c r="E994" i="3"/>
  <c r="F994" i="3"/>
  <c r="G994" i="3"/>
  <c r="H994" i="3"/>
  <c r="I994" i="3"/>
  <c r="J994" i="3"/>
  <c r="K994" i="3"/>
  <c r="B995" i="3"/>
  <c r="C995" i="3"/>
  <c r="D995" i="3"/>
  <c r="E995" i="3"/>
  <c r="F995" i="3"/>
  <c r="G995" i="3"/>
  <c r="H995" i="3"/>
  <c r="I995" i="3"/>
  <c r="J995" i="3"/>
  <c r="K995" i="3"/>
  <c r="B996" i="3"/>
  <c r="C996" i="3"/>
  <c r="D996" i="3"/>
  <c r="E996" i="3"/>
  <c r="F996" i="3"/>
  <c r="G996" i="3"/>
  <c r="G1151" i="3" s="1"/>
  <c r="H996" i="3"/>
  <c r="I996" i="3"/>
  <c r="J996" i="3"/>
  <c r="K996" i="3"/>
  <c r="K1151" i="3" s="1"/>
  <c r="B997" i="3"/>
  <c r="C997" i="3"/>
  <c r="D997" i="3"/>
  <c r="E997" i="3"/>
  <c r="E1151" i="3" s="1"/>
  <c r="F997" i="3"/>
  <c r="G997" i="3"/>
  <c r="H997" i="3"/>
  <c r="I997" i="3"/>
  <c r="I1151" i="3" s="1"/>
  <c r="J997" i="3"/>
  <c r="K997" i="3"/>
  <c r="B998" i="3"/>
  <c r="C998" i="3"/>
  <c r="D998" i="3"/>
  <c r="E998" i="3"/>
  <c r="F998" i="3"/>
  <c r="G998" i="3"/>
  <c r="H998" i="3"/>
  <c r="I998" i="3"/>
  <c r="J998" i="3"/>
  <c r="K998" i="3"/>
  <c r="B999" i="3"/>
  <c r="C999" i="3"/>
  <c r="D999" i="3"/>
  <c r="E999" i="3"/>
  <c r="F999" i="3"/>
  <c r="G999" i="3"/>
  <c r="H999" i="3"/>
  <c r="I999" i="3"/>
  <c r="J999" i="3"/>
  <c r="K999" i="3"/>
  <c r="B1000" i="3"/>
  <c r="C1000" i="3"/>
  <c r="D1000" i="3"/>
  <c r="E1000" i="3"/>
  <c r="F1000" i="3"/>
  <c r="G1000" i="3"/>
  <c r="H1000" i="3"/>
  <c r="I1000" i="3"/>
  <c r="J1000" i="3"/>
  <c r="K1000" i="3"/>
  <c r="B1001" i="3"/>
  <c r="C1001" i="3"/>
  <c r="D1001" i="3"/>
  <c r="E1001" i="3"/>
  <c r="F1001" i="3"/>
  <c r="G1001" i="3"/>
  <c r="H1001" i="3"/>
  <c r="I1001" i="3"/>
  <c r="J1001" i="3"/>
  <c r="K1001" i="3"/>
  <c r="B1002" i="3"/>
  <c r="C1002" i="3"/>
  <c r="D1002" i="3"/>
  <c r="E1002" i="3"/>
  <c r="F1002" i="3"/>
  <c r="G1002" i="3"/>
  <c r="H1002" i="3"/>
  <c r="I1002" i="3"/>
  <c r="J1002" i="3"/>
  <c r="K1002" i="3"/>
  <c r="B1003" i="3"/>
  <c r="C1003" i="3"/>
  <c r="D1003" i="3"/>
  <c r="E1003" i="3"/>
  <c r="F1003" i="3"/>
  <c r="G1003" i="3"/>
  <c r="H1003" i="3"/>
  <c r="I1003" i="3"/>
  <c r="J1003" i="3"/>
  <c r="K1003" i="3"/>
  <c r="B1004" i="3"/>
  <c r="C1004" i="3"/>
  <c r="D1004" i="3"/>
  <c r="E1004" i="3"/>
  <c r="F1004" i="3"/>
  <c r="G1004" i="3"/>
  <c r="H1004" i="3"/>
  <c r="I1004" i="3"/>
  <c r="J1004" i="3"/>
  <c r="K1004" i="3"/>
  <c r="B1005" i="3"/>
  <c r="C1005" i="3"/>
  <c r="D1005" i="3"/>
  <c r="E1005" i="3"/>
  <c r="F1005" i="3"/>
  <c r="G1005" i="3"/>
  <c r="H1005" i="3"/>
  <c r="I1005" i="3"/>
  <c r="J1005" i="3"/>
  <c r="K1005" i="3"/>
  <c r="B1006" i="3"/>
  <c r="C1006" i="3"/>
  <c r="D1006" i="3"/>
  <c r="E1006" i="3"/>
  <c r="F1006" i="3"/>
  <c r="G1006" i="3"/>
  <c r="H1006" i="3"/>
  <c r="I1006" i="3"/>
  <c r="J1006" i="3"/>
  <c r="K1006" i="3"/>
  <c r="B1007" i="3"/>
  <c r="C1007" i="3"/>
  <c r="D1007" i="3"/>
  <c r="E1007" i="3"/>
  <c r="F1007" i="3"/>
  <c r="G1007" i="3"/>
  <c r="H1007" i="3"/>
  <c r="I1007" i="3"/>
  <c r="J1007" i="3"/>
  <c r="K1007" i="3"/>
  <c r="B1008" i="3"/>
  <c r="C1008" i="3"/>
  <c r="C1152" i="3" s="1"/>
  <c r="D1008" i="3"/>
  <c r="E1008" i="3"/>
  <c r="F1008" i="3"/>
  <c r="G1008" i="3"/>
  <c r="G1152" i="3" s="1"/>
  <c r="H1008" i="3"/>
  <c r="I1008" i="3"/>
  <c r="J1008" i="3"/>
  <c r="K1008" i="3"/>
  <c r="K1152" i="3" s="1"/>
  <c r="B1009" i="3"/>
  <c r="C1009" i="3"/>
  <c r="D1009" i="3"/>
  <c r="E1009" i="3"/>
  <c r="E1152" i="3" s="1"/>
  <c r="F1009" i="3"/>
  <c r="G1009" i="3"/>
  <c r="H1009" i="3"/>
  <c r="I1009" i="3"/>
  <c r="I1152" i="3" s="1"/>
  <c r="J1009" i="3"/>
  <c r="K1009" i="3"/>
  <c r="B1010" i="3"/>
  <c r="C1010" i="3"/>
  <c r="D1010" i="3"/>
  <c r="E1010" i="3"/>
  <c r="F1010" i="3"/>
  <c r="G1010" i="3"/>
  <c r="H1010" i="3"/>
  <c r="I1010" i="3"/>
  <c r="J1010" i="3"/>
  <c r="K1010" i="3"/>
  <c r="B1011" i="3"/>
  <c r="C1011" i="3"/>
  <c r="D1011" i="3"/>
  <c r="E1011" i="3"/>
  <c r="F1011" i="3"/>
  <c r="G1011" i="3"/>
  <c r="H1011" i="3"/>
  <c r="I1011" i="3"/>
  <c r="J1011" i="3"/>
  <c r="K1011" i="3"/>
  <c r="B1012" i="3"/>
  <c r="C1012" i="3"/>
  <c r="D1012" i="3"/>
  <c r="E1012" i="3"/>
  <c r="F1012" i="3"/>
  <c r="G1012" i="3"/>
  <c r="H1012" i="3"/>
  <c r="I1012" i="3"/>
  <c r="J1012" i="3"/>
  <c r="K1012" i="3"/>
  <c r="B1013" i="3"/>
  <c r="C1013" i="3"/>
  <c r="D1013" i="3"/>
  <c r="E1013" i="3"/>
  <c r="F1013" i="3"/>
  <c r="G1013" i="3"/>
  <c r="H1013" i="3"/>
  <c r="I1013" i="3"/>
  <c r="J1013" i="3"/>
  <c r="K1013" i="3"/>
  <c r="B1014" i="3"/>
  <c r="C1014" i="3"/>
  <c r="D1014" i="3"/>
  <c r="E1014" i="3"/>
  <c r="F1014" i="3"/>
  <c r="G1014" i="3"/>
  <c r="H1014" i="3"/>
  <c r="I1014" i="3"/>
  <c r="J1014" i="3"/>
  <c r="K1014" i="3"/>
  <c r="B1015" i="3"/>
  <c r="C1015" i="3"/>
  <c r="D1015" i="3"/>
  <c r="E1015" i="3"/>
  <c r="F1015" i="3"/>
  <c r="G1015" i="3"/>
  <c r="H1015" i="3"/>
  <c r="I1015" i="3"/>
  <c r="J1015" i="3"/>
  <c r="K1015" i="3"/>
  <c r="B1016" i="3"/>
  <c r="C1016" i="3"/>
  <c r="D1016" i="3"/>
  <c r="E1016" i="3"/>
  <c r="F1016" i="3"/>
  <c r="G1016" i="3"/>
  <c r="H1016" i="3"/>
  <c r="I1016" i="3"/>
  <c r="J1016" i="3"/>
  <c r="K1016" i="3"/>
  <c r="B1017" i="3"/>
  <c r="C1017" i="3"/>
  <c r="D1017" i="3"/>
  <c r="E1017" i="3"/>
  <c r="F1017" i="3"/>
  <c r="G1017" i="3"/>
  <c r="H1017" i="3"/>
  <c r="I1017" i="3"/>
  <c r="J1017" i="3"/>
  <c r="K1017" i="3"/>
  <c r="B1018" i="3"/>
  <c r="C1018" i="3"/>
  <c r="D1018" i="3"/>
  <c r="E1018" i="3"/>
  <c r="F1018" i="3"/>
  <c r="G1018" i="3"/>
  <c r="H1018" i="3"/>
  <c r="I1018" i="3"/>
  <c r="J1018" i="3"/>
  <c r="K1018" i="3"/>
  <c r="B1019" i="3"/>
  <c r="C1019" i="3"/>
  <c r="D1019" i="3"/>
  <c r="E1019" i="3"/>
  <c r="F1019" i="3"/>
  <c r="G1019" i="3"/>
  <c r="H1019" i="3"/>
  <c r="I1019" i="3"/>
  <c r="J1019" i="3"/>
  <c r="K1019" i="3"/>
  <c r="B1020" i="3"/>
  <c r="C1020" i="3"/>
  <c r="D1020" i="3"/>
  <c r="E1020" i="3"/>
  <c r="F1020" i="3"/>
  <c r="G1020" i="3"/>
  <c r="G1153" i="3" s="1"/>
  <c r="H1020" i="3"/>
  <c r="I1020" i="3"/>
  <c r="J1020" i="3"/>
  <c r="K1020" i="3"/>
  <c r="K1153" i="3" s="1"/>
  <c r="B1021" i="3"/>
  <c r="C1021" i="3"/>
  <c r="D1021" i="3"/>
  <c r="E1021" i="3"/>
  <c r="E1153" i="3" s="1"/>
  <c r="F1021" i="3"/>
  <c r="G1021" i="3"/>
  <c r="H1021" i="3"/>
  <c r="I1021" i="3"/>
  <c r="I1153" i="3" s="1"/>
  <c r="J1021" i="3"/>
  <c r="K1021" i="3"/>
  <c r="B1022" i="3"/>
  <c r="C1022" i="3"/>
  <c r="D1022" i="3"/>
  <c r="E1022" i="3"/>
  <c r="F1022" i="3"/>
  <c r="G1022" i="3"/>
  <c r="H1022" i="3"/>
  <c r="I1022" i="3"/>
  <c r="J1022" i="3"/>
  <c r="K1022" i="3"/>
  <c r="B1023" i="3"/>
  <c r="C1023" i="3"/>
  <c r="D1023" i="3"/>
  <c r="E1023" i="3"/>
  <c r="F1023" i="3"/>
  <c r="G1023" i="3"/>
  <c r="H1023" i="3"/>
  <c r="I1023" i="3"/>
  <c r="J1023" i="3"/>
  <c r="K1023" i="3"/>
  <c r="B1024" i="3"/>
  <c r="C1024" i="3"/>
  <c r="D1024" i="3"/>
  <c r="E1024" i="3"/>
  <c r="F1024" i="3"/>
  <c r="G1024" i="3"/>
  <c r="H1024" i="3"/>
  <c r="I1024" i="3"/>
  <c r="J1024" i="3"/>
  <c r="K1024" i="3"/>
  <c r="B1025" i="3"/>
  <c r="C1025" i="3"/>
  <c r="D1025" i="3"/>
  <c r="E1025" i="3"/>
  <c r="F1025" i="3"/>
  <c r="G1025" i="3"/>
  <c r="H1025" i="3"/>
  <c r="I1025" i="3"/>
  <c r="J1025" i="3"/>
  <c r="K1025" i="3"/>
  <c r="B1026" i="3"/>
  <c r="C1026" i="3"/>
  <c r="D1026" i="3"/>
  <c r="E1026" i="3"/>
  <c r="F1026" i="3"/>
  <c r="G1026" i="3"/>
  <c r="H1026" i="3"/>
  <c r="I1026" i="3"/>
  <c r="J1026" i="3"/>
  <c r="K1026" i="3"/>
  <c r="B1027" i="3"/>
  <c r="C1027" i="3"/>
  <c r="D1027" i="3"/>
  <c r="E1027" i="3"/>
  <c r="F1027" i="3"/>
  <c r="G1027" i="3"/>
  <c r="H1027" i="3"/>
  <c r="I1027" i="3"/>
  <c r="J1027" i="3"/>
  <c r="K1027" i="3"/>
  <c r="B1028" i="3"/>
  <c r="C1028" i="3"/>
  <c r="D1028" i="3"/>
  <c r="E1028" i="3"/>
  <c r="F1028" i="3"/>
  <c r="G1028" i="3"/>
  <c r="H1028" i="3"/>
  <c r="I1028" i="3"/>
  <c r="J1028" i="3"/>
  <c r="K1028" i="3"/>
  <c r="B1029" i="3"/>
  <c r="C1029" i="3"/>
  <c r="D1029" i="3"/>
  <c r="E1029" i="3"/>
  <c r="F1029" i="3"/>
  <c r="G1029" i="3"/>
  <c r="H1029" i="3"/>
  <c r="I1029" i="3"/>
  <c r="J1029" i="3"/>
  <c r="K1029" i="3"/>
  <c r="B1030" i="3"/>
  <c r="C1030" i="3"/>
  <c r="D1030" i="3"/>
  <c r="E1030" i="3"/>
  <c r="F1030" i="3"/>
  <c r="G1030" i="3"/>
  <c r="H1030" i="3"/>
  <c r="I1030" i="3"/>
  <c r="J1030" i="3"/>
  <c r="K1030" i="3"/>
  <c r="B1031" i="3"/>
  <c r="C1031" i="3"/>
  <c r="D1031" i="3"/>
  <c r="E1031" i="3"/>
  <c r="F1031" i="3"/>
  <c r="G1031" i="3"/>
  <c r="H1031" i="3"/>
  <c r="I1031" i="3"/>
  <c r="J1031" i="3"/>
  <c r="K1031" i="3"/>
  <c r="B1032" i="3"/>
  <c r="C1032" i="3"/>
  <c r="C1154" i="3" s="1"/>
  <c r="D1032" i="3"/>
  <c r="E1032" i="3"/>
  <c r="F1032" i="3"/>
  <c r="G1032" i="3"/>
  <c r="G1154" i="3" s="1"/>
  <c r="H1032" i="3"/>
  <c r="I1032" i="3"/>
  <c r="J1032" i="3"/>
  <c r="K1032" i="3"/>
  <c r="K1154" i="3" s="1"/>
  <c r="B1033" i="3"/>
  <c r="C1033" i="3"/>
  <c r="D1033" i="3"/>
  <c r="E1033" i="3"/>
  <c r="E1154" i="3" s="1"/>
  <c r="F1033" i="3"/>
  <c r="G1033" i="3"/>
  <c r="H1033" i="3"/>
  <c r="I1033" i="3"/>
  <c r="I1154" i="3" s="1"/>
  <c r="J1033" i="3"/>
  <c r="K1033" i="3"/>
  <c r="B1034" i="3"/>
  <c r="C1034" i="3"/>
  <c r="D1034" i="3"/>
  <c r="E1034" i="3"/>
  <c r="F1034" i="3"/>
  <c r="G1034" i="3"/>
  <c r="H1034" i="3"/>
  <c r="I1034" i="3"/>
  <c r="J1034" i="3"/>
  <c r="K1034" i="3"/>
  <c r="B1035" i="3"/>
  <c r="C1035" i="3"/>
  <c r="D1035" i="3"/>
  <c r="E1035" i="3"/>
  <c r="F1035" i="3"/>
  <c r="G1035" i="3"/>
  <c r="H1035" i="3"/>
  <c r="I1035" i="3"/>
  <c r="J1035" i="3"/>
  <c r="K1035" i="3"/>
  <c r="B1036" i="3"/>
  <c r="C1036" i="3"/>
  <c r="D1036" i="3"/>
  <c r="E1036" i="3"/>
  <c r="F1036" i="3"/>
  <c r="G1036" i="3"/>
  <c r="H1036" i="3"/>
  <c r="I1036" i="3"/>
  <c r="J1036" i="3"/>
  <c r="K1036" i="3"/>
  <c r="B1037" i="3"/>
  <c r="C1037" i="3"/>
  <c r="D1037" i="3"/>
  <c r="E1037" i="3"/>
  <c r="F1037" i="3"/>
  <c r="G1037" i="3"/>
  <c r="H1037" i="3"/>
  <c r="I1037" i="3"/>
  <c r="J1037" i="3"/>
  <c r="K1037" i="3"/>
  <c r="B1038" i="3"/>
  <c r="C1038" i="3"/>
  <c r="D1038" i="3"/>
  <c r="E1038" i="3"/>
  <c r="F1038" i="3"/>
  <c r="G1038" i="3"/>
  <c r="H1038" i="3"/>
  <c r="I1038" i="3"/>
  <c r="J1038" i="3"/>
  <c r="K1038" i="3"/>
  <c r="B1039" i="3"/>
  <c r="C1039" i="3"/>
  <c r="D1039" i="3"/>
  <c r="E1039" i="3"/>
  <c r="F1039" i="3"/>
  <c r="G1039" i="3"/>
  <c r="H1039" i="3"/>
  <c r="I1039" i="3"/>
  <c r="J1039" i="3"/>
  <c r="K1039" i="3"/>
  <c r="B1040" i="3"/>
  <c r="C1040" i="3"/>
  <c r="D1040" i="3"/>
  <c r="E1040" i="3"/>
  <c r="F1040" i="3"/>
  <c r="G1040" i="3"/>
  <c r="H1040" i="3"/>
  <c r="I1040" i="3"/>
  <c r="J1040" i="3"/>
  <c r="K1040" i="3"/>
  <c r="B1041" i="3"/>
  <c r="C1041" i="3"/>
  <c r="D1041" i="3"/>
  <c r="E1041" i="3"/>
  <c r="F1041" i="3"/>
  <c r="G1041" i="3"/>
  <c r="H1041" i="3"/>
  <c r="I1041" i="3"/>
  <c r="J1041" i="3"/>
  <c r="K1041" i="3"/>
  <c r="B1042" i="3"/>
  <c r="C1042" i="3"/>
  <c r="D1042" i="3"/>
  <c r="E1042" i="3"/>
  <c r="F1042" i="3"/>
  <c r="G1042" i="3"/>
  <c r="H1042" i="3"/>
  <c r="I1042" i="3"/>
  <c r="J1042" i="3"/>
  <c r="K1042" i="3"/>
  <c r="B1043" i="3"/>
  <c r="C1043" i="3"/>
  <c r="D1043" i="3"/>
  <c r="E1043" i="3"/>
  <c r="F1043" i="3"/>
  <c r="G1043" i="3"/>
  <c r="H1043" i="3"/>
  <c r="I1043" i="3"/>
  <c r="J1043" i="3"/>
  <c r="K1043" i="3"/>
  <c r="B1044" i="3"/>
  <c r="C1044" i="3"/>
  <c r="D1044" i="3"/>
  <c r="E1044" i="3"/>
  <c r="F1044" i="3"/>
  <c r="G1044" i="3"/>
  <c r="G1155" i="3" s="1"/>
  <c r="H1044" i="3"/>
  <c r="I1044" i="3"/>
  <c r="J1044" i="3"/>
  <c r="K1044" i="3"/>
  <c r="K1155" i="3" s="1"/>
  <c r="B1045" i="3"/>
  <c r="C1045" i="3"/>
  <c r="D1045" i="3"/>
  <c r="E1045" i="3"/>
  <c r="E1155" i="3" s="1"/>
  <c r="F1045" i="3"/>
  <c r="G1045" i="3"/>
  <c r="H1045" i="3"/>
  <c r="I1045" i="3"/>
  <c r="I1155" i="3" s="1"/>
  <c r="J1045" i="3"/>
  <c r="K1045" i="3"/>
  <c r="B1046" i="3"/>
  <c r="C1046" i="3"/>
  <c r="D1046" i="3"/>
  <c r="E1046" i="3"/>
  <c r="F1046" i="3"/>
  <c r="G1046" i="3"/>
  <c r="H1046" i="3"/>
  <c r="I1046" i="3"/>
  <c r="J1046" i="3"/>
  <c r="K1046" i="3"/>
  <c r="B1047" i="3"/>
  <c r="C1047" i="3"/>
  <c r="D1047" i="3"/>
  <c r="E1047" i="3"/>
  <c r="F1047" i="3"/>
  <c r="G1047" i="3"/>
  <c r="H1047" i="3"/>
  <c r="I1047" i="3"/>
  <c r="J1047" i="3"/>
  <c r="K1047" i="3"/>
  <c r="B1048" i="3"/>
  <c r="C1048" i="3"/>
  <c r="D1048" i="3"/>
  <c r="E1048" i="3"/>
  <c r="F1048" i="3"/>
  <c r="G1048" i="3"/>
  <c r="H1048" i="3"/>
  <c r="I1048" i="3"/>
  <c r="J1048" i="3"/>
  <c r="K1048" i="3"/>
  <c r="B1049" i="3"/>
  <c r="C1049" i="3"/>
  <c r="D1049" i="3"/>
  <c r="E1049" i="3"/>
  <c r="F1049" i="3"/>
  <c r="G1049" i="3"/>
  <c r="H1049" i="3"/>
  <c r="I1049" i="3"/>
  <c r="J1049" i="3"/>
  <c r="K1049" i="3"/>
  <c r="B1050" i="3"/>
  <c r="C1050" i="3"/>
  <c r="D1050" i="3"/>
  <c r="E1050" i="3"/>
  <c r="F1050" i="3"/>
  <c r="G1050" i="3"/>
  <c r="H1050" i="3"/>
  <c r="I1050" i="3"/>
  <c r="J1050" i="3"/>
  <c r="K1050" i="3"/>
  <c r="B1051" i="3"/>
  <c r="C1051" i="3"/>
  <c r="D1051" i="3"/>
  <c r="E1051" i="3"/>
  <c r="F1051" i="3"/>
  <c r="G1051" i="3"/>
  <c r="H1051" i="3"/>
  <c r="I1051" i="3"/>
  <c r="J1051" i="3"/>
  <c r="K1051" i="3"/>
  <c r="B1052" i="3"/>
  <c r="C1052" i="3"/>
  <c r="D1052" i="3"/>
  <c r="E1052" i="3"/>
  <c r="F1052" i="3"/>
  <c r="G1052" i="3"/>
  <c r="H1052" i="3"/>
  <c r="I1052" i="3"/>
  <c r="J1052" i="3"/>
  <c r="K1052" i="3"/>
  <c r="B1053" i="3"/>
  <c r="C1053" i="3"/>
  <c r="D1053" i="3"/>
  <c r="E1053" i="3"/>
  <c r="F1053" i="3"/>
  <c r="G1053" i="3"/>
  <c r="H1053" i="3"/>
  <c r="I1053" i="3"/>
  <c r="J1053" i="3"/>
  <c r="K1053" i="3"/>
  <c r="B1054" i="3"/>
  <c r="C1054" i="3"/>
  <c r="D1054" i="3"/>
  <c r="E1054" i="3"/>
  <c r="F1054" i="3"/>
  <c r="G1054" i="3"/>
  <c r="H1054" i="3"/>
  <c r="I1054" i="3"/>
  <c r="J1054" i="3"/>
  <c r="K1054" i="3"/>
  <c r="B1055" i="3"/>
  <c r="C1055" i="3"/>
  <c r="D1055" i="3"/>
  <c r="E1055" i="3"/>
  <c r="F1055" i="3"/>
  <c r="G1055" i="3"/>
  <c r="H1055" i="3"/>
  <c r="I1055" i="3"/>
  <c r="J1055" i="3"/>
  <c r="K1055" i="3"/>
  <c r="B1056" i="3"/>
  <c r="C1056" i="3"/>
  <c r="C1156" i="3" s="1"/>
  <c r="D1056" i="3"/>
  <c r="E1056" i="3"/>
  <c r="F1056" i="3"/>
  <c r="G1056" i="3"/>
  <c r="G1156" i="3" s="1"/>
  <c r="H1056" i="3"/>
  <c r="I1056" i="3"/>
  <c r="J1056" i="3"/>
  <c r="K1056" i="3"/>
  <c r="K1156" i="3" s="1"/>
  <c r="B1057" i="3"/>
  <c r="C1057" i="3"/>
  <c r="D1057" i="3"/>
  <c r="E1057" i="3"/>
  <c r="E1156" i="3" s="1"/>
  <c r="F1057" i="3"/>
  <c r="G1057" i="3"/>
  <c r="H1057" i="3"/>
  <c r="I1057" i="3"/>
  <c r="I1156" i="3" s="1"/>
  <c r="J1057" i="3"/>
  <c r="K1057" i="3"/>
  <c r="B1058" i="3"/>
  <c r="C1058" i="3"/>
  <c r="D1058" i="3"/>
  <c r="E1058" i="3"/>
  <c r="F1058" i="3"/>
  <c r="G1058" i="3"/>
  <c r="H1058" i="3"/>
  <c r="I1058" i="3"/>
  <c r="J1058" i="3"/>
  <c r="K1058" i="3"/>
  <c r="B1059" i="3"/>
  <c r="C1059" i="3"/>
  <c r="D1059" i="3"/>
  <c r="E1059" i="3"/>
  <c r="F1059" i="3"/>
  <c r="G1059" i="3"/>
  <c r="H1059" i="3"/>
  <c r="I1059" i="3"/>
  <c r="J1059" i="3"/>
  <c r="K1059" i="3"/>
  <c r="B1060" i="3"/>
  <c r="C1060" i="3"/>
  <c r="D1060" i="3"/>
  <c r="E1060" i="3"/>
  <c r="F1060" i="3"/>
  <c r="G1060" i="3"/>
  <c r="H1060" i="3"/>
  <c r="I1060" i="3"/>
  <c r="J1060" i="3"/>
  <c r="K1060" i="3"/>
  <c r="B1061" i="3"/>
  <c r="C1061" i="3"/>
  <c r="D1061" i="3"/>
  <c r="E1061" i="3"/>
  <c r="F1061" i="3"/>
  <c r="G1061" i="3"/>
  <c r="H1061" i="3"/>
  <c r="I1061" i="3"/>
  <c r="J1061" i="3"/>
  <c r="K1061" i="3"/>
  <c r="B1062" i="3"/>
  <c r="C1062" i="3"/>
  <c r="D1062" i="3"/>
  <c r="E1062" i="3"/>
  <c r="F1062" i="3"/>
  <c r="G1062" i="3"/>
  <c r="H1062" i="3"/>
  <c r="I1062" i="3"/>
  <c r="J1062" i="3"/>
  <c r="K1062" i="3"/>
  <c r="B1063" i="3"/>
  <c r="C1063" i="3"/>
  <c r="D1063" i="3"/>
  <c r="E1063" i="3"/>
  <c r="F1063" i="3"/>
  <c r="G1063" i="3"/>
  <c r="H1063" i="3"/>
  <c r="I1063" i="3"/>
  <c r="J1063" i="3"/>
  <c r="K1063" i="3"/>
  <c r="B1064" i="3"/>
  <c r="C1064" i="3"/>
  <c r="D1064" i="3"/>
  <c r="E1064" i="3"/>
  <c r="F1064" i="3"/>
  <c r="G1064" i="3"/>
  <c r="H1064" i="3"/>
  <c r="I1064" i="3"/>
  <c r="J1064" i="3"/>
  <c r="K1064" i="3"/>
  <c r="B1065" i="3"/>
  <c r="C1065" i="3"/>
  <c r="D1065" i="3"/>
  <c r="E1065" i="3"/>
  <c r="F1065" i="3"/>
  <c r="G1065" i="3"/>
  <c r="H1065" i="3"/>
  <c r="I1065" i="3"/>
  <c r="J1065" i="3"/>
  <c r="K1065" i="3"/>
  <c r="B1066" i="3"/>
  <c r="C1066" i="3"/>
  <c r="D1066" i="3"/>
  <c r="E1066" i="3"/>
  <c r="F1066" i="3"/>
  <c r="G1066" i="3"/>
  <c r="H1066" i="3"/>
  <c r="I1066" i="3"/>
  <c r="J1066" i="3"/>
  <c r="K1066" i="3"/>
  <c r="B1067" i="3"/>
  <c r="C1067" i="3"/>
  <c r="D1067" i="3"/>
  <c r="E1067" i="3"/>
  <c r="F1067" i="3"/>
  <c r="G1067" i="3"/>
  <c r="H1067" i="3"/>
  <c r="I1067" i="3"/>
  <c r="J1067" i="3"/>
  <c r="K1067" i="3"/>
  <c r="B1069" i="3"/>
  <c r="C1069" i="3"/>
  <c r="E1069" i="3"/>
  <c r="F1069" i="3"/>
  <c r="G1069" i="3"/>
  <c r="H1069" i="3"/>
  <c r="I1069" i="3"/>
  <c r="J1069" i="3"/>
  <c r="K1069" i="3"/>
  <c r="B1070" i="3"/>
  <c r="C1070" i="3"/>
  <c r="E1070" i="3"/>
  <c r="F1070" i="3"/>
  <c r="G1070" i="3"/>
  <c r="H1070" i="3"/>
  <c r="I1070" i="3"/>
  <c r="J1070" i="3"/>
  <c r="K1070" i="3"/>
  <c r="B1071" i="3"/>
  <c r="C1071" i="3"/>
  <c r="E1071" i="3"/>
  <c r="F1071" i="3"/>
  <c r="G1071" i="3"/>
  <c r="H1071" i="3"/>
  <c r="I1071" i="3"/>
  <c r="J1071" i="3"/>
  <c r="K1071" i="3"/>
  <c r="B1072" i="3"/>
  <c r="C1072" i="3"/>
  <c r="E1072" i="3"/>
  <c r="F1072" i="3"/>
  <c r="G1072" i="3"/>
  <c r="H1072" i="3"/>
  <c r="I1072" i="3"/>
  <c r="J1072" i="3"/>
  <c r="K1072" i="3"/>
  <c r="B1073" i="3"/>
  <c r="C1073" i="3"/>
  <c r="E1073" i="3"/>
  <c r="F1073" i="3"/>
  <c r="G1073" i="3"/>
  <c r="H1073" i="3"/>
  <c r="I1073" i="3"/>
  <c r="J1073" i="3"/>
  <c r="K1073" i="3"/>
  <c r="B1074" i="3"/>
  <c r="C1074" i="3"/>
  <c r="E1074" i="3"/>
  <c r="F1074" i="3"/>
  <c r="G1074" i="3"/>
  <c r="H1074" i="3"/>
  <c r="I1074" i="3"/>
  <c r="J1074" i="3"/>
  <c r="K1074" i="3"/>
  <c r="B1075" i="3"/>
  <c r="C1075" i="3"/>
  <c r="E1075" i="3"/>
  <c r="F1075" i="3"/>
  <c r="G1075" i="3"/>
  <c r="H1075" i="3"/>
  <c r="I1075" i="3"/>
  <c r="J1075" i="3"/>
  <c r="K1075" i="3"/>
  <c r="B1076" i="3"/>
  <c r="C1076" i="3"/>
  <c r="E1076" i="3"/>
  <c r="F1076" i="3"/>
  <c r="G1076" i="3"/>
  <c r="H1076" i="3"/>
  <c r="I1076" i="3"/>
  <c r="J1076" i="3"/>
  <c r="K1076" i="3"/>
  <c r="B1077" i="3"/>
  <c r="C1077" i="3"/>
  <c r="E1077" i="3"/>
  <c r="F1077" i="3"/>
  <c r="G1077" i="3"/>
  <c r="H1077" i="3"/>
  <c r="I1077" i="3"/>
  <c r="J1077" i="3"/>
  <c r="K1077" i="3"/>
  <c r="B1078" i="3"/>
  <c r="C1078" i="3"/>
  <c r="E1078" i="3"/>
  <c r="F1078" i="3"/>
  <c r="G1078" i="3"/>
  <c r="H1078" i="3"/>
  <c r="I1078" i="3"/>
  <c r="J1078" i="3"/>
  <c r="K1078" i="3"/>
  <c r="B1079" i="3"/>
  <c r="C1079" i="3"/>
  <c r="E1079" i="3"/>
  <c r="F1079" i="3"/>
  <c r="G1079" i="3"/>
  <c r="H1079" i="3"/>
  <c r="I1079" i="3"/>
  <c r="J1079" i="3"/>
  <c r="K1079" i="3"/>
  <c r="B1080" i="3"/>
  <c r="C1080" i="3"/>
  <c r="E1080" i="3"/>
  <c r="F1080" i="3"/>
  <c r="G1080" i="3"/>
  <c r="H1080" i="3"/>
  <c r="I1080" i="3"/>
  <c r="J1080" i="3"/>
  <c r="K1080" i="3"/>
  <c r="B1081" i="3"/>
  <c r="C1081" i="3"/>
  <c r="E1081" i="3"/>
  <c r="F1081" i="3"/>
  <c r="G1081" i="3"/>
  <c r="H1081" i="3"/>
  <c r="I1081" i="3"/>
  <c r="J1081" i="3"/>
  <c r="K1081" i="3"/>
  <c r="B1082" i="3"/>
  <c r="C1082" i="3"/>
  <c r="E1082" i="3"/>
  <c r="F1082" i="3"/>
  <c r="G1082" i="3"/>
  <c r="H1082" i="3"/>
  <c r="I1082" i="3"/>
  <c r="J1082" i="3"/>
  <c r="K1082" i="3"/>
  <c r="B1083" i="3"/>
  <c r="C1083" i="3"/>
  <c r="E1083" i="3"/>
  <c r="F1083" i="3"/>
  <c r="G1083" i="3"/>
  <c r="H1083" i="3"/>
  <c r="I1083" i="3"/>
  <c r="J1083" i="3"/>
  <c r="K1083" i="3"/>
  <c r="B1084" i="3"/>
  <c r="C1084" i="3"/>
  <c r="E1084" i="3"/>
  <c r="F1084" i="3"/>
  <c r="G1084" i="3"/>
  <c r="H1084" i="3"/>
  <c r="I1084" i="3"/>
  <c r="J1084" i="3"/>
  <c r="K1084" i="3"/>
  <c r="B1085" i="3"/>
  <c r="C1085" i="3"/>
  <c r="E1085" i="3"/>
  <c r="F1085" i="3"/>
  <c r="G1085" i="3"/>
  <c r="H1085" i="3"/>
  <c r="I1085" i="3"/>
  <c r="J1085" i="3"/>
  <c r="K1085" i="3"/>
  <c r="B1086" i="3"/>
  <c r="C1086" i="3"/>
  <c r="E1086" i="3"/>
  <c r="F1086" i="3"/>
  <c r="G1086" i="3"/>
  <c r="H1086" i="3"/>
  <c r="I1086" i="3"/>
  <c r="J1086" i="3"/>
  <c r="K1086" i="3"/>
  <c r="B1087" i="3"/>
  <c r="C1087" i="3"/>
  <c r="E1087" i="3"/>
  <c r="F1087" i="3"/>
  <c r="G1087" i="3"/>
  <c r="H1087" i="3"/>
  <c r="I1087" i="3"/>
  <c r="J1087" i="3"/>
  <c r="K1087" i="3"/>
  <c r="B1088" i="3"/>
  <c r="C1088" i="3"/>
  <c r="E1088" i="3"/>
  <c r="F1088" i="3"/>
  <c r="G1088" i="3"/>
  <c r="H1088" i="3"/>
  <c r="I1088" i="3"/>
  <c r="J1088" i="3"/>
  <c r="K1088" i="3"/>
  <c r="B1089" i="3"/>
  <c r="C1089" i="3"/>
  <c r="E1089" i="3"/>
  <c r="F1089" i="3"/>
  <c r="G1089" i="3"/>
  <c r="H1089" i="3"/>
  <c r="I1089" i="3"/>
  <c r="J1089" i="3"/>
  <c r="K1089" i="3"/>
  <c r="B1090" i="3"/>
  <c r="C1090" i="3"/>
  <c r="E1090" i="3"/>
  <c r="F1090" i="3"/>
  <c r="G1090" i="3"/>
  <c r="H1090" i="3"/>
  <c r="I1090" i="3"/>
  <c r="J1090" i="3"/>
  <c r="K1090" i="3"/>
  <c r="B1091" i="3"/>
  <c r="C1091" i="3"/>
  <c r="E1091" i="3"/>
  <c r="F1091" i="3"/>
  <c r="G1091" i="3"/>
  <c r="H1091" i="3"/>
  <c r="I1091" i="3"/>
  <c r="J1091" i="3"/>
  <c r="K1091" i="3"/>
  <c r="B1092" i="3"/>
  <c r="C1092" i="3"/>
  <c r="E1092" i="3"/>
  <c r="F1092" i="3"/>
  <c r="G1092" i="3"/>
  <c r="H1092" i="3"/>
  <c r="I1092" i="3"/>
  <c r="J1092" i="3"/>
  <c r="K1092" i="3"/>
  <c r="B1093" i="3"/>
  <c r="C1093" i="3"/>
  <c r="E1093" i="3"/>
  <c r="F1093" i="3"/>
  <c r="G1093" i="3"/>
  <c r="H1093" i="3"/>
  <c r="I1093" i="3"/>
  <c r="J1093" i="3"/>
  <c r="K1093" i="3"/>
  <c r="A1094" i="3"/>
  <c r="B1094" i="3"/>
  <c r="C1094" i="3"/>
  <c r="E1094" i="3"/>
  <c r="F1094" i="3"/>
  <c r="G1094" i="3"/>
  <c r="H1094" i="3"/>
  <c r="I1094" i="3"/>
  <c r="J1094" i="3"/>
  <c r="K1094" i="3"/>
  <c r="A1095" i="3"/>
  <c r="B1095" i="3"/>
  <c r="C1095" i="3"/>
  <c r="E1095" i="3"/>
  <c r="F1095" i="3"/>
  <c r="G1095" i="3"/>
  <c r="H1095" i="3"/>
  <c r="I1095" i="3"/>
  <c r="J1095" i="3"/>
  <c r="K1095" i="3"/>
  <c r="A1096" i="3"/>
  <c r="B1096" i="3"/>
  <c r="C1096" i="3"/>
  <c r="E1096" i="3"/>
  <c r="F1096" i="3"/>
  <c r="G1096" i="3"/>
  <c r="H1096" i="3"/>
  <c r="I1096" i="3"/>
  <c r="J1096" i="3"/>
  <c r="K1096" i="3"/>
  <c r="A1097" i="3"/>
  <c r="B1097" i="3"/>
  <c r="C1097" i="3"/>
  <c r="E1097" i="3"/>
  <c r="F1097" i="3"/>
  <c r="G1097" i="3"/>
  <c r="H1097" i="3"/>
  <c r="I1097" i="3"/>
  <c r="J1097" i="3"/>
  <c r="K1097" i="3"/>
  <c r="A1098" i="3"/>
  <c r="B1098" i="3"/>
  <c r="C1098" i="3"/>
  <c r="E1098" i="3"/>
  <c r="F1098" i="3"/>
  <c r="G1098" i="3"/>
  <c r="H1098" i="3"/>
  <c r="I1098" i="3"/>
  <c r="J1098" i="3"/>
  <c r="K1098" i="3"/>
  <c r="A1099" i="3"/>
  <c r="B1099" i="3"/>
  <c r="C1099" i="3"/>
  <c r="E1099" i="3"/>
  <c r="F1099" i="3"/>
  <c r="G1099" i="3"/>
  <c r="H1099" i="3"/>
  <c r="I1099" i="3"/>
  <c r="J1099" i="3"/>
  <c r="K1099" i="3"/>
  <c r="A1100" i="3"/>
  <c r="B1100" i="3"/>
  <c r="C1100" i="3"/>
  <c r="E1100" i="3"/>
  <c r="F1100" i="3"/>
  <c r="G1100" i="3"/>
  <c r="H1100" i="3"/>
  <c r="I1100" i="3"/>
  <c r="J1100" i="3"/>
  <c r="K1100" i="3"/>
  <c r="A1101" i="3"/>
  <c r="B1101" i="3"/>
  <c r="C1101" i="3"/>
  <c r="E1101" i="3"/>
  <c r="F1101" i="3"/>
  <c r="G1101" i="3"/>
  <c r="H1101" i="3"/>
  <c r="I1101" i="3"/>
  <c r="J1101" i="3"/>
  <c r="K1101" i="3"/>
  <c r="A1102" i="3"/>
  <c r="B1102" i="3"/>
  <c r="C1102" i="3"/>
  <c r="E1102" i="3"/>
  <c r="F1102" i="3"/>
  <c r="G1102" i="3"/>
  <c r="H1102" i="3"/>
  <c r="I1102" i="3"/>
  <c r="J1102" i="3"/>
  <c r="K1102" i="3"/>
  <c r="A1103" i="3"/>
  <c r="B1103" i="3"/>
  <c r="C1103" i="3"/>
  <c r="E1103" i="3"/>
  <c r="F1103" i="3"/>
  <c r="G1103" i="3"/>
  <c r="H1103" i="3"/>
  <c r="I1103" i="3"/>
  <c r="J1103" i="3"/>
  <c r="K1103" i="3"/>
  <c r="A1104" i="3"/>
  <c r="B1104" i="3"/>
  <c r="C1104" i="3"/>
  <c r="E1104" i="3"/>
  <c r="F1104" i="3"/>
  <c r="G1104" i="3"/>
  <c r="H1104" i="3"/>
  <c r="I1104" i="3"/>
  <c r="J1104" i="3"/>
  <c r="K1104" i="3"/>
  <c r="A1105" i="3"/>
  <c r="B1105" i="3"/>
  <c r="C1105" i="3"/>
  <c r="E1105" i="3"/>
  <c r="F1105" i="3"/>
  <c r="G1105" i="3"/>
  <c r="H1105" i="3"/>
  <c r="I1105" i="3"/>
  <c r="J1105" i="3"/>
  <c r="K1105" i="3"/>
  <c r="A1106" i="3"/>
  <c r="B1106" i="3"/>
  <c r="C1106" i="3"/>
  <c r="E1106" i="3"/>
  <c r="F1106" i="3"/>
  <c r="G1106" i="3"/>
  <c r="H1106" i="3"/>
  <c r="I1106" i="3"/>
  <c r="J1106" i="3"/>
  <c r="K1106" i="3"/>
  <c r="A1107" i="3"/>
  <c r="B1107" i="3"/>
  <c r="C1107" i="3"/>
  <c r="E1107" i="3"/>
  <c r="F1107" i="3"/>
  <c r="G1107" i="3"/>
  <c r="H1107" i="3"/>
  <c r="I1107" i="3"/>
  <c r="J1107" i="3"/>
  <c r="K1107" i="3"/>
  <c r="A1108" i="3"/>
  <c r="B1108" i="3"/>
  <c r="C1108" i="3"/>
  <c r="E1108" i="3"/>
  <c r="F1108" i="3"/>
  <c r="G1108" i="3"/>
  <c r="H1108" i="3"/>
  <c r="I1108" i="3"/>
  <c r="J1108" i="3"/>
  <c r="K1108" i="3"/>
  <c r="A1109" i="3"/>
  <c r="B1109" i="3"/>
  <c r="C1109" i="3"/>
  <c r="E1109" i="3"/>
  <c r="F1109" i="3"/>
  <c r="G1109" i="3"/>
  <c r="H1109" i="3"/>
  <c r="I1109" i="3"/>
  <c r="J1109" i="3"/>
  <c r="K1109" i="3"/>
  <c r="A1110" i="3"/>
  <c r="B1110" i="3"/>
  <c r="C1110" i="3"/>
  <c r="E1110" i="3"/>
  <c r="F1110" i="3"/>
  <c r="G1110" i="3"/>
  <c r="H1110" i="3"/>
  <c r="I1110" i="3"/>
  <c r="J1110" i="3"/>
  <c r="K1110" i="3"/>
  <c r="A1111" i="3"/>
  <c r="B1111" i="3"/>
  <c r="C1111" i="3"/>
  <c r="E1111" i="3"/>
  <c r="F1111" i="3"/>
  <c r="G1111" i="3"/>
  <c r="H1111" i="3"/>
  <c r="I1111" i="3"/>
  <c r="J1111" i="3"/>
  <c r="K1111" i="3"/>
  <c r="A1112" i="3"/>
  <c r="B1112" i="3"/>
  <c r="C1112" i="3"/>
  <c r="E1112" i="3"/>
  <c r="F1112" i="3"/>
  <c r="G1112" i="3"/>
  <c r="H1112" i="3"/>
  <c r="I1112" i="3"/>
  <c r="J1112" i="3"/>
  <c r="K1112" i="3"/>
  <c r="A1113" i="3"/>
  <c r="B1113" i="3"/>
  <c r="C1113" i="3"/>
  <c r="E1113" i="3"/>
  <c r="F1113" i="3"/>
  <c r="G1113" i="3"/>
  <c r="H1113" i="3"/>
  <c r="I1113" i="3"/>
  <c r="J1113" i="3"/>
  <c r="K1113" i="3"/>
  <c r="A1114" i="3"/>
  <c r="B1114" i="3"/>
  <c r="C1114" i="3"/>
  <c r="E1114" i="3"/>
  <c r="F1114" i="3"/>
  <c r="G1114" i="3"/>
  <c r="H1114" i="3"/>
  <c r="I1114" i="3"/>
  <c r="J1114" i="3"/>
  <c r="K1114" i="3"/>
  <c r="A1115" i="3"/>
  <c r="B1115" i="3"/>
  <c r="C1115" i="3"/>
  <c r="E1115" i="3"/>
  <c r="F1115" i="3"/>
  <c r="G1115" i="3"/>
  <c r="H1115" i="3"/>
  <c r="I1115" i="3"/>
  <c r="J1115" i="3"/>
  <c r="K1115" i="3"/>
  <c r="A1116" i="3"/>
  <c r="B1116" i="3"/>
  <c r="C1116" i="3"/>
  <c r="E1116" i="3"/>
  <c r="F1116" i="3"/>
  <c r="G1116" i="3"/>
  <c r="H1116" i="3"/>
  <c r="I1116" i="3"/>
  <c r="J1116" i="3"/>
  <c r="K1116" i="3"/>
  <c r="A1117" i="3"/>
  <c r="B1117" i="3"/>
  <c r="C1117" i="3"/>
  <c r="E1117" i="3"/>
  <c r="F1117" i="3"/>
  <c r="G1117" i="3"/>
  <c r="H1117" i="3"/>
  <c r="I1117" i="3"/>
  <c r="J1117" i="3"/>
  <c r="K1117" i="3"/>
  <c r="A1118" i="3"/>
  <c r="B1118" i="3"/>
  <c r="C1118" i="3"/>
  <c r="E1118" i="3"/>
  <c r="F1118" i="3"/>
  <c r="G1118" i="3"/>
  <c r="H1118" i="3"/>
  <c r="I1118" i="3"/>
  <c r="J1118" i="3"/>
  <c r="K1118" i="3"/>
  <c r="A1119" i="3"/>
  <c r="B1119" i="3"/>
  <c r="C1119" i="3"/>
  <c r="E1119" i="3"/>
  <c r="F1119" i="3"/>
  <c r="G1119" i="3"/>
  <c r="H1119" i="3"/>
  <c r="I1119" i="3"/>
  <c r="J1119" i="3"/>
  <c r="K1119" i="3"/>
  <c r="A1120" i="3"/>
  <c r="B1120" i="3"/>
  <c r="C1120" i="3"/>
  <c r="E1120" i="3"/>
  <c r="F1120" i="3"/>
  <c r="G1120" i="3"/>
  <c r="H1120" i="3"/>
  <c r="I1120" i="3"/>
  <c r="J1120" i="3"/>
  <c r="K1120" i="3"/>
  <c r="A1121" i="3"/>
  <c r="B1121" i="3"/>
  <c r="C1121" i="3"/>
  <c r="E1121" i="3"/>
  <c r="F1121" i="3"/>
  <c r="G1121" i="3"/>
  <c r="H1121" i="3"/>
  <c r="I1121" i="3"/>
  <c r="J1121" i="3"/>
  <c r="K1121" i="3"/>
  <c r="A1122" i="3"/>
  <c r="B1122" i="3"/>
  <c r="C1122" i="3"/>
  <c r="E1122" i="3"/>
  <c r="F1122" i="3"/>
  <c r="G1122" i="3"/>
  <c r="H1122" i="3"/>
  <c r="I1122" i="3"/>
  <c r="J1122" i="3"/>
  <c r="K1122" i="3"/>
  <c r="A1123" i="3"/>
  <c r="B1123" i="3"/>
  <c r="C1123" i="3"/>
  <c r="E1123" i="3"/>
  <c r="F1123" i="3"/>
  <c r="G1123" i="3"/>
  <c r="H1123" i="3"/>
  <c r="I1123" i="3"/>
  <c r="J1123" i="3"/>
  <c r="K1123" i="3"/>
  <c r="A1124" i="3"/>
  <c r="B1124" i="3"/>
  <c r="C1124" i="3"/>
  <c r="E1124" i="3"/>
  <c r="F1124" i="3"/>
  <c r="G1124" i="3"/>
  <c r="H1124" i="3"/>
  <c r="I1124" i="3"/>
  <c r="J1124" i="3"/>
  <c r="K1124" i="3"/>
  <c r="A1125" i="3"/>
  <c r="B1125" i="3"/>
  <c r="C1125" i="3"/>
  <c r="E1125" i="3"/>
  <c r="F1125" i="3"/>
  <c r="G1125" i="3"/>
  <c r="H1125" i="3"/>
  <c r="I1125" i="3"/>
  <c r="J1125" i="3"/>
  <c r="K1125" i="3"/>
  <c r="A1126" i="3"/>
  <c r="B1126" i="3"/>
  <c r="C1126" i="3"/>
  <c r="E1126" i="3"/>
  <c r="F1126" i="3"/>
  <c r="G1126" i="3"/>
  <c r="H1126" i="3"/>
  <c r="I1126" i="3"/>
  <c r="J1126" i="3"/>
  <c r="K1126" i="3"/>
  <c r="A1127" i="3"/>
  <c r="B1127" i="3"/>
  <c r="C1127" i="3"/>
  <c r="E1127" i="3"/>
  <c r="F1127" i="3"/>
  <c r="G1127" i="3"/>
  <c r="H1127" i="3"/>
  <c r="I1127" i="3"/>
  <c r="J1127" i="3"/>
  <c r="K1127" i="3"/>
  <c r="A1128" i="3"/>
  <c r="B1128" i="3"/>
  <c r="C1128" i="3"/>
  <c r="E1128" i="3"/>
  <c r="F1128" i="3"/>
  <c r="G1128" i="3"/>
  <c r="H1128" i="3"/>
  <c r="I1128" i="3"/>
  <c r="J1128" i="3"/>
  <c r="K1128" i="3"/>
  <c r="A1129" i="3"/>
  <c r="B1129" i="3"/>
  <c r="C1129" i="3"/>
  <c r="E1129" i="3"/>
  <c r="F1129" i="3"/>
  <c r="G1129" i="3"/>
  <c r="H1129" i="3"/>
  <c r="I1129" i="3"/>
  <c r="J1129" i="3"/>
  <c r="K1129" i="3"/>
  <c r="A1130" i="3"/>
  <c r="B1130" i="3"/>
  <c r="C1130" i="3"/>
  <c r="E1130" i="3"/>
  <c r="F1130" i="3"/>
  <c r="G1130" i="3"/>
  <c r="H1130" i="3"/>
  <c r="I1130" i="3"/>
  <c r="J1130" i="3"/>
  <c r="K1130" i="3"/>
  <c r="A1131" i="3"/>
  <c r="B1131" i="3"/>
  <c r="C1131" i="3"/>
  <c r="E1131" i="3"/>
  <c r="F1131" i="3"/>
  <c r="G1131" i="3"/>
  <c r="H1131" i="3"/>
  <c r="I1131" i="3"/>
  <c r="J1131" i="3"/>
  <c r="K1131" i="3"/>
  <c r="A1132" i="3"/>
  <c r="B1132" i="3"/>
  <c r="C1132" i="3"/>
  <c r="E1132" i="3"/>
  <c r="F1132" i="3"/>
  <c r="G1132" i="3"/>
  <c r="H1132" i="3"/>
  <c r="I1132" i="3"/>
  <c r="J1132" i="3"/>
  <c r="K1132" i="3"/>
  <c r="A1133" i="3"/>
  <c r="B1133" i="3"/>
  <c r="C1133" i="3"/>
  <c r="E1133" i="3"/>
  <c r="F1133" i="3"/>
  <c r="G1133" i="3"/>
  <c r="H1133" i="3"/>
  <c r="I1133" i="3"/>
  <c r="J1133" i="3"/>
  <c r="K1133" i="3"/>
  <c r="A1134" i="3"/>
  <c r="B1134" i="3"/>
  <c r="C1134" i="3"/>
  <c r="E1134" i="3"/>
  <c r="F1134" i="3"/>
  <c r="G1134" i="3"/>
  <c r="H1134" i="3"/>
  <c r="I1134" i="3"/>
  <c r="J1134" i="3"/>
  <c r="K1134" i="3"/>
  <c r="A1135" i="3"/>
  <c r="B1135" i="3"/>
  <c r="C1135" i="3"/>
  <c r="E1135" i="3"/>
  <c r="F1135" i="3"/>
  <c r="G1135" i="3"/>
  <c r="H1135" i="3"/>
  <c r="I1135" i="3"/>
  <c r="J1135" i="3"/>
  <c r="K1135" i="3"/>
  <c r="A1136" i="3"/>
  <c r="B1136" i="3"/>
  <c r="C1136" i="3"/>
  <c r="E1136" i="3"/>
  <c r="F1136" i="3"/>
  <c r="G1136" i="3"/>
  <c r="H1136" i="3"/>
  <c r="I1136" i="3"/>
  <c r="J1136" i="3"/>
  <c r="K1136" i="3"/>
  <c r="A1137" i="3"/>
  <c r="B1137" i="3"/>
  <c r="C1137" i="3"/>
  <c r="E1137" i="3"/>
  <c r="F1137" i="3"/>
  <c r="G1137" i="3"/>
  <c r="H1137" i="3"/>
  <c r="I1137" i="3"/>
  <c r="J1137" i="3"/>
  <c r="K1137" i="3"/>
  <c r="A1138" i="3"/>
  <c r="B1138" i="3"/>
  <c r="F1138" i="3"/>
  <c r="H1138" i="3"/>
  <c r="J1138" i="3"/>
  <c r="A1139" i="3"/>
  <c r="B1139" i="3"/>
  <c r="F1139" i="3"/>
  <c r="H1139" i="3"/>
  <c r="J1139" i="3"/>
  <c r="A1140" i="3"/>
  <c r="B1140" i="3"/>
  <c r="F1140" i="3"/>
  <c r="H1140" i="3"/>
  <c r="J1140" i="3"/>
  <c r="A1141" i="3"/>
  <c r="B1141" i="3"/>
  <c r="F1141" i="3"/>
  <c r="H1141" i="3"/>
  <c r="J1141" i="3"/>
  <c r="A1142" i="3"/>
  <c r="B1142" i="3"/>
  <c r="F1142" i="3"/>
  <c r="G1142" i="3"/>
  <c r="H1142" i="3"/>
  <c r="J1142" i="3"/>
  <c r="K1142" i="3"/>
  <c r="A1143" i="3"/>
  <c r="B1143" i="3"/>
  <c r="E1143" i="3"/>
  <c r="F1143" i="3"/>
  <c r="H1143" i="3"/>
  <c r="J1143" i="3"/>
  <c r="A1144" i="3"/>
  <c r="B1144" i="3"/>
  <c r="F1144" i="3"/>
  <c r="G1144" i="3"/>
  <c r="H1144" i="3"/>
  <c r="J1144" i="3"/>
  <c r="A1145" i="3"/>
  <c r="B1145" i="3"/>
  <c r="F1145" i="3"/>
  <c r="H1145" i="3"/>
  <c r="J1145" i="3"/>
  <c r="K1145" i="3"/>
  <c r="A1146" i="3"/>
  <c r="B1146" i="3"/>
  <c r="F1146" i="3"/>
  <c r="H1146" i="3"/>
  <c r="J1146" i="3"/>
  <c r="A1147" i="3"/>
  <c r="B1147" i="3"/>
  <c r="C1147" i="3"/>
  <c r="F1147" i="3"/>
  <c r="H1147" i="3"/>
  <c r="J1147" i="3"/>
  <c r="A1148" i="3"/>
  <c r="B1148" i="3"/>
  <c r="F1148" i="3"/>
  <c r="H1148" i="3"/>
  <c r="J1148" i="3"/>
  <c r="A1149" i="3"/>
  <c r="B1149" i="3"/>
  <c r="C1149" i="3"/>
  <c r="F1149" i="3"/>
  <c r="H1149" i="3"/>
  <c r="J1149" i="3"/>
  <c r="A1150" i="3"/>
  <c r="B1150" i="3"/>
  <c r="F1150" i="3"/>
  <c r="H1150" i="3"/>
  <c r="J1150" i="3"/>
  <c r="A1151" i="3"/>
  <c r="B1151" i="3"/>
  <c r="C1151" i="3"/>
  <c r="F1151" i="3"/>
  <c r="H1151" i="3"/>
  <c r="J1151" i="3"/>
  <c r="A1152" i="3"/>
  <c r="B1152" i="3"/>
  <c r="F1152" i="3"/>
  <c r="H1152" i="3"/>
  <c r="J1152" i="3"/>
  <c r="A1153" i="3"/>
  <c r="B1153" i="3"/>
  <c r="C1153" i="3"/>
  <c r="F1153" i="3"/>
  <c r="H1153" i="3"/>
  <c r="J1153" i="3"/>
  <c r="A1154" i="3"/>
  <c r="B1154" i="3"/>
  <c r="F1154" i="3"/>
  <c r="H1154" i="3"/>
  <c r="J1154" i="3"/>
  <c r="A1155" i="3"/>
  <c r="B1155" i="3"/>
  <c r="C1155" i="3"/>
  <c r="F1155" i="3"/>
  <c r="H1155" i="3"/>
  <c r="J1155" i="3"/>
  <c r="A1156" i="3"/>
  <c r="B1156" i="3"/>
  <c r="F1156" i="3"/>
  <c r="H1156" i="3"/>
  <c r="J1156" i="3"/>
  <c r="C9" i="2"/>
  <c r="E9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B1058" i="2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B1103" i="2"/>
  <c r="C1103" i="2"/>
  <c r="D1103" i="2"/>
  <c r="E1103" i="2"/>
  <c r="F1103" i="2"/>
  <c r="G1103" i="2"/>
  <c r="H1103" i="2"/>
  <c r="I1103" i="2"/>
  <c r="J1103" i="2"/>
  <c r="K1103" i="2"/>
  <c r="L1103" i="2"/>
  <c r="M1103" i="2"/>
  <c r="N1103" i="2"/>
  <c r="O1103" i="2"/>
  <c r="B1104" i="2"/>
  <c r="C1104" i="2"/>
  <c r="D1104" i="2"/>
  <c r="E1104" i="2"/>
  <c r="F1104" i="2"/>
  <c r="G1104" i="2"/>
  <c r="H1104" i="2"/>
  <c r="I1104" i="2"/>
  <c r="J1104" i="2"/>
  <c r="K1104" i="2"/>
  <c r="L1104" i="2"/>
  <c r="M1104" i="2"/>
  <c r="N1104" i="2"/>
  <c r="O1104" i="2"/>
  <c r="B1105" i="2"/>
  <c r="C1105" i="2"/>
  <c r="D1105" i="2"/>
  <c r="E1105" i="2"/>
  <c r="F1105" i="2"/>
  <c r="G1105" i="2"/>
  <c r="H1105" i="2"/>
  <c r="I1105" i="2"/>
  <c r="J1105" i="2"/>
  <c r="K1105" i="2"/>
  <c r="L1105" i="2"/>
  <c r="M1105" i="2"/>
  <c r="N1105" i="2"/>
  <c r="O1105" i="2"/>
  <c r="B1106" i="2"/>
  <c r="C1106" i="2"/>
  <c r="D1106" i="2"/>
  <c r="E1106" i="2"/>
  <c r="F1106" i="2"/>
  <c r="G1106" i="2"/>
  <c r="H1106" i="2"/>
  <c r="I1106" i="2"/>
  <c r="J1106" i="2"/>
  <c r="K1106" i="2"/>
  <c r="L1106" i="2"/>
  <c r="M1106" i="2"/>
  <c r="N1106" i="2"/>
  <c r="O1106" i="2"/>
  <c r="B1107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B1108" i="2"/>
  <c r="C1108" i="2"/>
  <c r="D1108" i="2"/>
  <c r="E1108" i="2"/>
  <c r="F1108" i="2"/>
  <c r="G1108" i="2"/>
  <c r="H1108" i="2"/>
  <c r="I1108" i="2"/>
  <c r="J1108" i="2"/>
  <c r="K1108" i="2"/>
  <c r="L1108" i="2"/>
  <c r="M1108" i="2"/>
  <c r="N1108" i="2"/>
  <c r="O1108" i="2"/>
  <c r="B1109" i="2"/>
  <c r="C1109" i="2"/>
  <c r="D1109" i="2"/>
  <c r="E1109" i="2"/>
  <c r="F1109" i="2"/>
  <c r="G1109" i="2"/>
  <c r="H1109" i="2"/>
  <c r="I1109" i="2"/>
  <c r="J1109" i="2"/>
  <c r="K1109" i="2"/>
  <c r="L1109" i="2"/>
  <c r="M1109" i="2"/>
  <c r="N1109" i="2"/>
  <c r="O1109" i="2"/>
  <c r="B1110" i="2"/>
  <c r="C1110" i="2"/>
  <c r="D1110" i="2"/>
  <c r="E1110" i="2"/>
  <c r="F1110" i="2"/>
  <c r="G1110" i="2"/>
  <c r="H1110" i="2"/>
  <c r="I1110" i="2"/>
  <c r="J1110" i="2"/>
  <c r="K1110" i="2"/>
  <c r="L1110" i="2"/>
  <c r="M1110" i="2"/>
  <c r="N1110" i="2"/>
  <c r="O1110" i="2"/>
  <c r="B1111" i="2"/>
  <c r="C1111" i="2"/>
  <c r="D1111" i="2"/>
  <c r="E1111" i="2"/>
  <c r="F1111" i="2"/>
  <c r="G1111" i="2"/>
  <c r="H1111" i="2"/>
  <c r="I1111" i="2"/>
  <c r="J1111" i="2"/>
  <c r="K1111" i="2"/>
  <c r="L1111" i="2"/>
  <c r="M1111" i="2"/>
  <c r="N1111" i="2"/>
  <c r="O1111" i="2"/>
  <c r="B1112" i="2"/>
  <c r="C1112" i="2"/>
  <c r="D1112" i="2"/>
  <c r="E1112" i="2"/>
  <c r="F1112" i="2"/>
  <c r="G1112" i="2"/>
  <c r="H1112" i="2"/>
  <c r="I1112" i="2"/>
  <c r="J1112" i="2"/>
  <c r="K1112" i="2"/>
  <c r="L1112" i="2"/>
  <c r="M1112" i="2"/>
  <c r="N1112" i="2"/>
  <c r="O1112" i="2"/>
  <c r="B1113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B1114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B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B1116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B1117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B1118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B1119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B1120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B1121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B1122" i="2"/>
  <c r="C1122" i="2"/>
  <c r="D1122" i="2"/>
  <c r="E1122" i="2"/>
  <c r="F1122" i="2"/>
  <c r="G1122" i="2"/>
  <c r="H1122" i="2"/>
  <c r="I1122" i="2"/>
  <c r="J1122" i="2"/>
  <c r="K1122" i="2"/>
  <c r="L1122" i="2"/>
  <c r="M1122" i="2"/>
  <c r="N1122" i="2"/>
  <c r="O1122" i="2"/>
  <c r="B1123" i="2"/>
  <c r="C1123" i="2"/>
  <c r="D1123" i="2"/>
  <c r="E1123" i="2"/>
  <c r="F1123" i="2"/>
  <c r="G1123" i="2"/>
  <c r="H1123" i="2"/>
  <c r="I1123" i="2"/>
  <c r="J1123" i="2"/>
  <c r="K1123" i="2"/>
  <c r="L1123" i="2"/>
  <c r="M1123" i="2"/>
  <c r="N1123" i="2"/>
  <c r="O1123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B1125" i="2"/>
  <c r="C1125" i="2"/>
  <c r="D1125" i="2"/>
  <c r="E1125" i="2"/>
  <c r="F1125" i="2"/>
  <c r="G1125" i="2"/>
  <c r="H1125" i="2"/>
  <c r="I1125" i="2"/>
  <c r="J1125" i="2"/>
  <c r="K1125" i="2"/>
  <c r="L1125" i="2"/>
  <c r="M1125" i="2"/>
  <c r="N1125" i="2"/>
  <c r="O1125" i="2"/>
  <c r="B1126" i="2"/>
  <c r="C1126" i="2"/>
  <c r="D1126" i="2"/>
  <c r="E1126" i="2"/>
  <c r="F1126" i="2"/>
  <c r="G1126" i="2"/>
  <c r="H1126" i="2"/>
  <c r="I1126" i="2"/>
  <c r="J1126" i="2"/>
  <c r="K1126" i="2"/>
  <c r="L1126" i="2"/>
  <c r="M1126" i="2"/>
  <c r="N1126" i="2"/>
  <c r="O1126" i="2"/>
  <c r="B1127" i="2"/>
  <c r="C1127" i="2"/>
  <c r="D1127" i="2"/>
  <c r="E1127" i="2"/>
  <c r="F1127" i="2"/>
  <c r="G1127" i="2"/>
  <c r="H1127" i="2"/>
  <c r="I1127" i="2"/>
  <c r="J1127" i="2"/>
  <c r="K1127" i="2"/>
  <c r="L1127" i="2"/>
  <c r="M1127" i="2"/>
  <c r="N1127" i="2"/>
  <c r="O1127" i="2"/>
  <c r="B1128" i="2"/>
  <c r="C1128" i="2"/>
  <c r="D1128" i="2"/>
  <c r="E1128" i="2"/>
  <c r="F1128" i="2"/>
  <c r="G1128" i="2"/>
  <c r="H1128" i="2"/>
  <c r="I1128" i="2"/>
  <c r="J1128" i="2"/>
  <c r="K1128" i="2"/>
  <c r="L1128" i="2"/>
  <c r="M1128" i="2"/>
  <c r="N1128" i="2"/>
  <c r="O1128" i="2"/>
  <c r="B1129" i="2"/>
  <c r="C1129" i="2"/>
  <c r="D1129" i="2"/>
  <c r="E1129" i="2"/>
  <c r="F1129" i="2"/>
  <c r="G1129" i="2"/>
  <c r="H1129" i="2"/>
  <c r="I1129" i="2"/>
  <c r="J1129" i="2"/>
  <c r="K1129" i="2"/>
  <c r="L1129" i="2"/>
  <c r="M1129" i="2"/>
  <c r="N1129" i="2"/>
  <c r="O1129" i="2"/>
  <c r="B1130" i="2"/>
  <c r="C1130" i="2"/>
  <c r="D1130" i="2"/>
  <c r="E1130" i="2"/>
  <c r="F1130" i="2"/>
  <c r="G1130" i="2"/>
  <c r="H1130" i="2"/>
  <c r="I1130" i="2"/>
  <c r="J1130" i="2"/>
  <c r="K1130" i="2"/>
  <c r="L1130" i="2"/>
  <c r="M1130" i="2"/>
  <c r="N1130" i="2"/>
  <c r="O1130" i="2"/>
  <c r="B1131" i="2"/>
  <c r="C1131" i="2"/>
  <c r="D1131" i="2"/>
  <c r="E1131" i="2"/>
  <c r="F1131" i="2"/>
  <c r="G1131" i="2"/>
  <c r="H1131" i="2"/>
  <c r="I1131" i="2"/>
  <c r="J1131" i="2"/>
  <c r="K1131" i="2"/>
  <c r="L1131" i="2"/>
  <c r="M1131" i="2"/>
  <c r="N1131" i="2"/>
  <c r="O1131" i="2"/>
  <c r="B1132" i="2"/>
  <c r="C1132" i="2"/>
  <c r="D1132" i="2"/>
  <c r="E1132" i="2"/>
  <c r="F1132" i="2"/>
  <c r="G1132" i="2"/>
  <c r="H1132" i="2"/>
  <c r="I1132" i="2"/>
  <c r="J1132" i="2"/>
  <c r="K1132" i="2"/>
  <c r="L1132" i="2"/>
  <c r="M1132" i="2"/>
  <c r="N1132" i="2"/>
  <c r="O1132" i="2"/>
  <c r="B1133" i="2"/>
  <c r="C1133" i="2"/>
  <c r="D1133" i="2"/>
  <c r="E1133" i="2"/>
  <c r="F1133" i="2"/>
  <c r="G1133" i="2"/>
  <c r="H1133" i="2"/>
  <c r="I1133" i="2"/>
  <c r="J1133" i="2"/>
  <c r="K1133" i="2"/>
  <c r="L1133" i="2"/>
  <c r="M1133" i="2"/>
  <c r="N1133" i="2"/>
  <c r="O1133" i="2"/>
  <c r="B1134" i="2"/>
  <c r="C1134" i="2"/>
  <c r="D1134" i="2"/>
  <c r="E1134" i="2"/>
  <c r="F1134" i="2"/>
  <c r="G1134" i="2"/>
  <c r="H1134" i="2"/>
  <c r="I1134" i="2"/>
  <c r="J1134" i="2"/>
  <c r="K1134" i="2"/>
  <c r="L1134" i="2"/>
  <c r="M1134" i="2"/>
  <c r="N1134" i="2"/>
  <c r="O1134" i="2"/>
  <c r="B1135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B1136" i="2"/>
  <c r="C1136" i="2"/>
  <c r="D1136" i="2"/>
  <c r="E1136" i="2"/>
  <c r="F1136" i="2"/>
  <c r="G1136" i="2"/>
  <c r="H1136" i="2"/>
  <c r="I1136" i="2"/>
  <c r="J1136" i="2"/>
  <c r="K1136" i="2"/>
  <c r="L1136" i="2"/>
  <c r="M1136" i="2"/>
  <c r="N1136" i="2"/>
  <c r="O1136" i="2"/>
  <c r="B1137" i="2"/>
  <c r="C1137" i="2"/>
  <c r="D1137" i="2"/>
  <c r="E1137" i="2"/>
  <c r="F1137" i="2"/>
  <c r="G1137" i="2"/>
  <c r="H1137" i="2"/>
  <c r="I1137" i="2"/>
  <c r="J1137" i="2"/>
  <c r="K1137" i="2"/>
  <c r="L1137" i="2"/>
  <c r="M1137" i="2"/>
  <c r="N1137" i="2"/>
  <c r="O1137" i="2"/>
  <c r="B1138" i="2"/>
  <c r="C1138" i="2"/>
  <c r="D1138" i="2"/>
  <c r="E1138" i="2"/>
  <c r="F1138" i="2"/>
  <c r="G1138" i="2"/>
  <c r="H1138" i="2"/>
  <c r="I1138" i="2"/>
  <c r="J1138" i="2"/>
  <c r="K1138" i="2"/>
  <c r="L1138" i="2"/>
  <c r="M1138" i="2"/>
  <c r="N1138" i="2"/>
  <c r="O1138" i="2"/>
  <c r="B1139" i="2"/>
  <c r="C1139" i="2"/>
  <c r="D1139" i="2"/>
  <c r="E1139" i="2"/>
  <c r="F1139" i="2"/>
  <c r="G1139" i="2"/>
  <c r="H1139" i="2"/>
  <c r="I1139" i="2"/>
  <c r="J1139" i="2"/>
  <c r="K1139" i="2"/>
  <c r="L1139" i="2"/>
  <c r="M1139" i="2"/>
  <c r="N1139" i="2"/>
  <c r="O1139" i="2"/>
  <c r="B1140" i="2"/>
  <c r="C1140" i="2"/>
  <c r="D1140" i="2"/>
  <c r="E1140" i="2"/>
  <c r="F1140" i="2"/>
  <c r="G1140" i="2"/>
  <c r="H1140" i="2"/>
  <c r="I1140" i="2"/>
  <c r="J1140" i="2"/>
  <c r="K1140" i="2"/>
  <c r="L1140" i="2"/>
  <c r="M1140" i="2"/>
  <c r="N1140" i="2"/>
  <c r="O1140" i="2"/>
  <c r="B1141" i="2"/>
  <c r="C1141" i="2"/>
  <c r="D1141" i="2"/>
  <c r="E1141" i="2"/>
  <c r="F1141" i="2"/>
  <c r="G1141" i="2"/>
  <c r="H1141" i="2"/>
  <c r="I1141" i="2"/>
  <c r="J1141" i="2"/>
  <c r="K1141" i="2"/>
  <c r="L1141" i="2"/>
  <c r="M1141" i="2"/>
  <c r="N1141" i="2"/>
  <c r="O1141" i="2"/>
  <c r="B1142" i="2"/>
  <c r="C1142" i="2"/>
  <c r="D1142" i="2"/>
  <c r="E1142" i="2"/>
  <c r="F1142" i="2"/>
  <c r="G1142" i="2"/>
  <c r="H1142" i="2"/>
  <c r="I1142" i="2"/>
  <c r="J1142" i="2"/>
  <c r="K1142" i="2"/>
  <c r="L1142" i="2"/>
  <c r="M1142" i="2"/>
  <c r="N1142" i="2"/>
  <c r="O1142" i="2"/>
  <c r="B1143" i="2"/>
  <c r="C1143" i="2"/>
  <c r="D1143" i="2"/>
  <c r="E1143" i="2"/>
  <c r="F1143" i="2"/>
  <c r="G1143" i="2"/>
  <c r="H1143" i="2"/>
  <c r="I1143" i="2"/>
  <c r="J1143" i="2"/>
  <c r="K1143" i="2"/>
  <c r="L1143" i="2"/>
  <c r="M1143" i="2"/>
  <c r="N1143" i="2"/>
  <c r="O1143" i="2"/>
  <c r="B1144" i="2"/>
  <c r="C1144" i="2"/>
  <c r="D1144" i="2"/>
  <c r="E1144" i="2"/>
  <c r="F1144" i="2"/>
  <c r="G1144" i="2"/>
  <c r="H1144" i="2"/>
  <c r="I1144" i="2"/>
  <c r="J1144" i="2"/>
  <c r="K1144" i="2"/>
  <c r="L1144" i="2"/>
  <c r="M1144" i="2"/>
  <c r="N1144" i="2"/>
  <c r="O1144" i="2"/>
  <c r="B1145" i="2"/>
  <c r="C1145" i="2"/>
  <c r="D1145" i="2"/>
  <c r="E1145" i="2"/>
  <c r="F1145" i="2"/>
  <c r="G1145" i="2"/>
  <c r="H1145" i="2"/>
  <c r="I1145" i="2"/>
  <c r="J1145" i="2"/>
  <c r="K1145" i="2"/>
  <c r="L1145" i="2"/>
  <c r="M1145" i="2"/>
  <c r="N1145" i="2"/>
  <c r="O1145" i="2"/>
  <c r="B1146" i="2"/>
  <c r="C1146" i="2"/>
  <c r="D1146" i="2"/>
  <c r="E1146" i="2"/>
  <c r="F1146" i="2"/>
  <c r="G1146" i="2"/>
  <c r="H1146" i="2"/>
  <c r="I1146" i="2"/>
  <c r="J1146" i="2"/>
  <c r="K1146" i="2"/>
  <c r="L1146" i="2"/>
  <c r="M1146" i="2"/>
  <c r="N1146" i="2"/>
  <c r="O1146" i="2"/>
  <c r="B1147" i="2"/>
  <c r="C1147" i="2"/>
  <c r="D1147" i="2"/>
  <c r="E1147" i="2"/>
  <c r="F1147" i="2"/>
  <c r="G1147" i="2"/>
  <c r="H1147" i="2"/>
  <c r="I1147" i="2"/>
  <c r="J1147" i="2"/>
  <c r="K1147" i="2"/>
  <c r="L1147" i="2"/>
  <c r="M1147" i="2"/>
  <c r="N1147" i="2"/>
  <c r="O1147" i="2"/>
  <c r="B1148" i="2"/>
  <c r="C1148" i="2"/>
  <c r="D1148" i="2"/>
  <c r="E1148" i="2"/>
  <c r="F1148" i="2"/>
  <c r="G1148" i="2"/>
  <c r="H1148" i="2"/>
  <c r="I1148" i="2"/>
  <c r="J1148" i="2"/>
  <c r="K1148" i="2"/>
  <c r="L1148" i="2"/>
  <c r="M1148" i="2"/>
  <c r="N1148" i="2"/>
  <c r="O1148" i="2"/>
  <c r="B1149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B1150" i="2"/>
  <c r="C1150" i="2"/>
  <c r="D1150" i="2"/>
  <c r="E1150" i="2"/>
  <c r="F1150" i="2"/>
  <c r="G1150" i="2"/>
  <c r="H1150" i="2"/>
  <c r="I1150" i="2"/>
  <c r="J1150" i="2"/>
  <c r="K1150" i="2"/>
  <c r="L1150" i="2"/>
  <c r="M1150" i="2"/>
  <c r="N1150" i="2"/>
  <c r="O1150" i="2"/>
  <c r="B1151" i="2"/>
  <c r="C1151" i="2"/>
  <c r="D1151" i="2"/>
  <c r="E1151" i="2"/>
  <c r="F1151" i="2"/>
  <c r="G1151" i="2"/>
  <c r="H1151" i="2"/>
  <c r="I1151" i="2"/>
  <c r="J1151" i="2"/>
  <c r="K1151" i="2"/>
  <c r="L1151" i="2"/>
  <c r="M1151" i="2"/>
  <c r="N1151" i="2"/>
  <c r="O1151" i="2"/>
  <c r="B1152" i="2"/>
  <c r="C1152" i="2"/>
  <c r="D1152" i="2"/>
  <c r="E1152" i="2"/>
  <c r="F1152" i="2"/>
  <c r="G1152" i="2"/>
  <c r="H1152" i="2"/>
  <c r="I1152" i="2"/>
  <c r="J1152" i="2"/>
  <c r="K1152" i="2"/>
  <c r="L1152" i="2"/>
  <c r="M1152" i="2"/>
  <c r="N1152" i="2"/>
  <c r="O1152" i="2"/>
  <c r="B1153" i="2"/>
  <c r="C1153" i="2"/>
  <c r="D1153" i="2"/>
  <c r="E1153" i="2"/>
  <c r="F1153" i="2"/>
  <c r="G1153" i="2"/>
  <c r="H1153" i="2"/>
  <c r="I1153" i="2"/>
  <c r="J1153" i="2"/>
  <c r="K1153" i="2"/>
  <c r="L1153" i="2"/>
  <c r="M1153" i="2"/>
  <c r="N1153" i="2"/>
  <c r="O1153" i="2"/>
  <c r="B1154" i="2"/>
  <c r="C1154" i="2"/>
  <c r="D1154" i="2"/>
  <c r="E1154" i="2"/>
  <c r="F1154" i="2"/>
  <c r="G1154" i="2"/>
  <c r="H1154" i="2"/>
  <c r="I1154" i="2"/>
  <c r="J1154" i="2"/>
  <c r="K1154" i="2"/>
  <c r="L1154" i="2"/>
  <c r="M1154" i="2"/>
  <c r="N1154" i="2"/>
  <c r="O1154" i="2"/>
  <c r="B1155" i="2"/>
  <c r="C1155" i="2"/>
  <c r="D1155" i="2"/>
  <c r="E1155" i="2"/>
  <c r="F1155" i="2"/>
  <c r="G1155" i="2"/>
  <c r="H1155" i="2"/>
  <c r="I1155" i="2"/>
  <c r="J1155" i="2"/>
  <c r="K1155" i="2"/>
  <c r="L1155" i="2"/>
  <c r="M1155" i="2"/>
  <c r="N1155" i="2"/>
  <c r="O1155" i="2"/>
  <c r="B1156" i="2"/>
  <c r="C1156" i="2"/>
  <c r="D1156" i="2"/>
  <c r="E1156" i="2"/>
  <c r="F1156" i="2"/>
  <c r="G1156" i="2"/>
  <c r="H1156" i="2"/>
  <c r="I1156" i="2"/>
  <c r="J1156" i="2"/>
  <c r="K1156" i="2"/>
  <c r="L1156" i="2"/>
  <c r="M1156" i="2"/>
  <c r="N1156" i="2"/>
  <c r="O1156" i="2"/>
  <c r="B1157" i="2"/>
  <c r="C1157" i="2"/>
  <c r="D1157" i="2"/>
  <c r="E1157" i="2"/>
  <c r="F1157" i="2"/>
  <c r="G1157" i="2"/>
  <c r="H1157" i="2"/>
  <c r="I1157" i="2"/>
  <c r="J1157" i="2"/>
  <c r="K1157" i="2"/>
  <c r="L1157" i="2"/>
  <c r="M1157" i="2"/>
  <c r="N1157" i="2"/>
  <c r="O1157" i="2"/>
  <c r="B1158" i="2"/>
  <c r="C1158" i="2"/>
  <c r="D1158" i="2"/>
  <c r="E1158" i="2"/>
  <c r="F1158" i="2"/>
  <c r="G1158" i="2"/>
  <c r="H1158" i="2"/>
  <c r="I1158" i="2"/>
  <c r="J1158" i="2"/>
  <c r="K1158" i="2"/>
  <c r="L1158" i="2"/>
  <c r="M1158" i="2"/>
  <c r="N1158" i="2"/>
  <c r="O1158" i="2"/>
  <c r="C1146" i="3" l="1"/>
  <c r="G1145" i="3"/>
  <c r="I1144" i="3"/>
  <c r="E1144" i="3"/>
  <c r="C1144" i="3"/>
  <c r="K1143" i="3"/>
  <c r="G1143" i="3"/>
  <c r="I1142" i="3"/>
  <c r="E1142" i="3"/>
  <c r="C1142" i="3"/>
  <c r="I1141" i="3"/>
  <c r="E1141" i="3"/>
  <c r="K1141" i="3"/>
  <c r="G1141" i="3"/>
  <c r="I1140" i="3"/>
  <c r="E1140" i="3"/>
  <c r="K1140" i="3"/>
  <c r="G1140" i="3"/>
  <c r="C1140" i="3"/>
  <c r="I1139" i="3"/>
  <c r="E1139" i="3"/>
  <c r="K1139" i="3"/>
  <c r="G1139" i="3"/>
  <c r="B1153" i="4"/>
  <c r="B1149" i="4"/>
  <c r="B1145" i="4"/>
  <c r="B1141" i="4"/>
  <c r="B1137" i="4"/>
  <c r="B1133" i="4"/>
  <c r="B1129" i="4"/>
  <c r="B1125" i="4"/>
  <c r="B1121" i="4"/>
  <c r="B1156" i="4"/>
  <c r="B1152" i="4"/>
  <c r="B1148" i="4"/>
  <c r="B1144" i="4"/>
  <c r="B1140" i="4"/>
  <c r="B1136" i="4"/>
  <c r="B1132" i="4"/>
  <c r="B1128" i="4"/>
  <c r="B1124" i="4"/>
  <c r="B1120" i="4"/>
  <c r="B1155" i="4"/>
  <c r="B1151" i="4"/>
  <c r="B1147" i="4"/>
  <c r="B1143" i="4"/>
  <c r="B1139" i="4"/>
  <c r="B1135" i="4"/>
  <c r="B1131" i="4"/>
  <c r="B1127" i="4"/>
  <c r="B1123" i="4"/>
  <c r="B1119" i="4"/>
  <c r="M1147" i="5"/>
  <c r="AB1067" i="5"/>
  <c r="AB1065" i="5"/>
  <c r="AB1063" i="5"/>
  <c r="AB1061" i="5"/>
  <c r="AB1059" i="5"/>
  <c r="AB1057" i="5"/>
  <c r="AB1055" i="5"/>
  <c r="AB1053" i="5"/>
  <c r="AB1051" i="5"/>
  <c r="AB1049" i="5"/>
  <c r="AB1047" i="5"/>
  <c r="AB1045" i="5"/>
  <c r="AB1043" i="5"/>
  <c r="AB1041" i="5"/>
  <c r="AB1039" i="5"/>
  <c r="AB1037" i="5"/>
  <c r="AB1035" i="5"/>
  <c r="AB1033" i="5"/>
  <c r="AB1031" i="5"/>
  <c r="AB1029" i="5"/>
  <c r="AB1027" i="5"/>
  <c r="AB1025" i="5"/>
  <c r="AB1023" i="5"/>
  <c r="AB1021" i="5"/>
  <c r="AB1019" i="5"/>
  <c r="AB1017" i="5"/>
  <c r="AB1015" i="5"/>
  <c r="AB1013" i="5"/>
  <c r="AB1011" i="5"/>
  <c r="AB1009" i="5"/>
  <c r="AB1007" i="5"/>
  <c r="AB1005" i="5"/>
  <c r="AB1003" i="5"/>
  <c r="AB1001" i="5"/>
  <c r="AB999" i="5"/>
  <c r="AB997" i="5"/>
  <c r="AB995" i="5"/>
  <c r="AB993" i="5"/>
  <c r="AB991" i="5"/>
  <c r="AB989" i="5"/>
  <c r="AB987" i="5"/>
  <c r="AB985" i="5"/>
  <c r="AB983" i="5"/>
  <c r="AB981" i="5"/>
  <c r="AB979" i="5"/>
  <c r="AB977" i="5"/>
  <c r="AB975" i="5"/>
  <c r="AB973" i="5"/>
  <c r="AB971" i="5"/>
  <c r="AB969" i="5"/>
  <c r="AB967" i="5"/>
  <c r="AB965" i="5"/>
  <c r="AB963" i="5"/>
  <c r="AB961" i="5"/>
  <c r="AB959" i="5"/>
  <c r="AB957" i="5"/>
  <c r="AB955" i="5"/>
  <c r="AB953" i="5"/>
  <c r="AB951" i="5"/>
  <c r="AB949" i="5"/>
  <c r="AB947" i="5"/>
  <c r="AB945" i="5"/>
  <c r="AB943" i="5"/>
  <c r="AB941" i="5"/>
  <c r="AB939" i="5"/>
  <c r="AB937" i="5"/>
  <c r="AB935" i="5"/>
  <c r="AB933" i="5"/>
  <c r="AB931" i="5"/>
  <c r="AB929" i="5"/>
  <c r="AB927" i="5"/>
  <c r="AB925" i="5"/>
  <c r="AB923" i="5"/>
  <c r="AB921" i="5"/>
  <c r="AB919" i="5"/>
  <c r="AB917" i="5"/>
  <c r="AB915" i="5"/>
  <c r="AB913" i="5"/>
  <c r="AB911" i="5"/>
  <c r="AB909" i="5"/>
  <c r="AB907" i="5"/>
  <c r="AB905" i="5"/>
  <c r="AB903" i="5"/>
  <c r="AB901" i="5"/>
  <c r="AB899" i="5"/>
  <c r="AB897" i="5"/>
  <c r="AB895" i="5"/>
  <c r="AB893" i="5"/>
  <c r="AB891" i="5"/>
  <c r="AB889" i="5"/>
  <c r="AB887" i="5"/>
  <c r="AB885" i="5"/>
  <c r="AB883" i="5"/>
  <c r="AB881" i="5"/>
  <c r="AB879" i="5"/>
  <c r="AB877" i="5"/>
  <c r="AB875" i="5"/>
  <c r="AB873" i="5"/>
  <c r="AB871" i="5"/>
  <c r="AB869" i="5"/>
  <c r="AB867" i="5"/>
  <c r="AB865" i="5"/>
  <c r="AB863" i="5"/>
  <c r="AB861" i="5"/>
  <c r="AB859" i="5"/>
  <c r="AB857" i="5"/>
  <c r="AB855" i="5"/>
  <c r="AB853" i="5"/>
  <c r="AB851" i="5"/>
  <c r="AB849" i="5"/>
  <c r="AB847" i="5"/>
  <c r="AB845" i="5"/>
  <c r="AB843" i="5"/>
  <c r="AB841" i="5"/>
  <c r="AB839" i="5"/>
  <c r="AB837" i="5"/>
  <c r="AB835" i="5"/>
  <c r="AB833" i="5"/>
  <c r="AB831" i="5"/>
  <c r="AB829" i="5"/>
  <c r="AB827" i="5"/>
  <c r="AB825" i="5"/>
  <c r="AB823" i="5"/>
  <c r="AB821" i="5"/>
  <c r="AB819" i="5"/>
  <c r="AB817" i="5"/>
  <c r="AB815" i="5"/>
  <c r="AB813" i="5"/>
  <c r="AB811" i="5"/>
  <c r="AB809" i="5"/>
  <c r="AB807" i="5"/>
  <c r="AB805" i="5"/>
  <c r="AB803" i="5"/>
  <c r="AB801" i="5"/>
  <c r="AB799" i="5"/>
  <c r="AB797" i="5"/>
  <c r="AB795" i="5"/>
  <c r="AB793" i="5"/>
  <c r="AB791" i="5"/>
  <c r="AB789" i="5"/>
  <c r="AB787" i="5"/>
  <c r="AB785" i="5"/>
  <c r="AB783" i="5"/>
  <c r="AB781" i="5"/>
  <c r="AB779" i="5"/>
  <c r="AB777" i="5"/>
  <c r="AB775" i="5"/>
  <c r="AB773" i="5"/>
  <c r="AB771" i="5"/>
  <c r="AB769" i="5"/>
  <c r="AB767" i="5"/>
  <c r="AB765" i="5"/>
  <c r="AB763" i="5"/>
  <c r="AB761" i="5"/>
  <c r="AB759" i="5"/>
  <c r="AB757" i="5"/>
  <c r="AB755" i="5"/>
  <c r="AB753" i="5"/>
  <c r="AB751" i="5"/>
  <c r="AB749" i="5"/>
  <c r="AB747" i="5"/>
  <c r="AB745" i="5"/>
  <c r="AB743" i="5"/>
  <c r="AB741" i="5"/>
  <c r="AB739" i="5"/>
  <c r="AB737" i="5"/>
  <c r="AB735" i="5"/>
  <c r="AB733" i="5"/>
  <c r="AB731" i="5"/>
  <c r="AB729" i="5"/>
  <c r="AB727" i="5"/>
  <c r="AB725" i="5"/>
  <c r="AB723" i="5"/>
  <c r="AB721" i="5"/>
  <c r="AB719" i="5"/>
  <c r="AB717" i="5"/>
  <c r="AB715" i="5"/>
  <c r="AB713" i="5"/>
  <c r="AB711" i="5"/>
  <c r="AB709" i="5"/>
  <c r="AB707" i="5"/>
  <c r="AB705" i="5"/>
  <c r="AB703" i="5"/>
  <c r="AB701" i="5"/>
  <c r="AB699" i="5"/>
  <c r="AB697" i="5"/>
  <c r="AB695" i="5"/>
  <c r="AB693" i="5"/>
  <c r="AB691" i="5"/>
  <c r="AB689" i="5"/>
  <c r="AB687" i="5"/>
  <c r="AB685" i="5"/>
  <c r="AB683" i="5"/>
  <c r="AB681" i="5"/>
  <c r="AB679" i="5"/>
  <c r="AB677" i="5"/>
  <c r="AB675" i="5"/>
  <c r="AB673" i="5"/>
  <c r="AB671" i="5"/>
  <c r="AB669" i="5"/>
  <c r="AB667" i="5"/>
  <c r="AB665" i="5"/>
  <c r="AB663" i="5"/>
  <c r="AB661" i="5"/>
  <c r="AB659" i="5"/>
  <c r="AB657" i="5"/>
  <c r="AB655" i="5"/>
  <c r="AB653" i="5"/>
  <c r="AB651" i="5"/>
  <c r="AB649" i="5"/>
  <c r="AB647" i="5"/>
  <c r="AB645" i="5"/>
  <c r="AB643" i="5"/>
  <c r="AB641" i="5"/>
  <c r="AB639" i="5"/>
  <c r="AB637" i="5"/>
  <c r="AB635" i="5"/>
  <c r="AB633" i="5"/>
  <c r="AB631" i="5"/>
  <c r="AB629" i="5"/>
  <c r="AB627" i="5"/>
  <c r="AB625" i="5"/>
  <c r="AB623" i="5"/>
  <c r="AB621" i="5"/>
  <c r="AB619" i="5"/>
  <c r="AB617" i="5"/>
  <c r="AB615" i="5"/>
  <c r="AB613" i="5"/>
  <c r="AB611" i="5"/>
  <c r="AB609" i="5"/>
  <c r="AB607" i="5"/>
  <c r="AB605" i="5"/>
  <c r="AB603" i="5"/>
  <c r="AB601" i="5"/>
  <c r="AB599" i="5"/>
  <c r="AB597" i="5"/>
  <c r="AB595" i="5"/>
  <c r="AB593" i="5"/>
  <c r="AB591" i="5"/>
  <c r="AB589" i="5"/>
  <c r="AB587" i="5"/>
  <c r="AB585" i="5"/>
  <c r="AB583" i="5"/>
  <c r="AB581" i="5"/>
  <c r="AB579" i="5"/>
  <c r="AB577" i="5"/>
  <c r="AB575" i="5"/>
  <c r="AB573" i="5"/>
  <c r="AB571" i="5"/>
  <c r="AB569" i="5"/>
  <c r="AB567" i="5"/>
  <c r="AB565" i="5"/>
  <c r="AB563" i="5"/>
  <c r="AB561" i="5"/>
  <c r="AB559" i="5"/>
  <c r="AB557" i="5"/>
  <c r="AB555" i="5"/>
  <c r="AB553" i="5"/>
  <c r="AB551" i="5"/>
  <c r="AB549" i="5"/>
  <c r="AB547" i="5"/>
  <c r="AB545" i="5"/>
  <c r="AB543" i="5"/>
  <c r="AB541" i="5"/>
  <c r="AB539" i="5"/>
  <c r="AB537" i="5"/>
  <c r="AB535" i="5"/>
  <c r="AB533" i="5"/>
  <c r="AB531" i="5"/>
  <c r="AB529" i="5"/>
  <c r="AB527" i="5"/>
  <c r="AB525" i="5"/>
  <c r="AB523" i="5"/>
  <c r="AB521" i="5"/>
  <c r="AB519" i="5"/>
  <c r="AB517" i="5"/>
  <c r="AB515" i="5"/>
  <c r="AB513" i="5"/>
  <c r="AB511" i="5"/>
  <c r="AB509" i="5"/>
  <c r="AB507" i="5"/>
  <c r="AB505" i="5"/>
  <c r="AB503" i="5"/>
  <c r="AB501" i="5"/>
  <c r="AB499" i="5"/>
  <c r="AB497" i="5"/>
  <c r="AB495" i="5"/>
  <c r="AB493" i="5"/>
  <c r="AB491" i="5"/>
  <c r="AB489" i="5"/>
  <c r="AB487" i="5"/>
  <c r="AB485" i="5"/>
  <c r="AB483" i="5"/>
  <c r="AB481" i="5"/>
  <c r="AB479" i="5"/>
  <c r="AB477" i="5"/>
  <c r="AB475" i="5"/>
  <c r="AB473" i="5"/>
  <c r="AB471" i="5"/>
  <c r="AB469" i="5"/>
  <c r="AB467" i="5"/>
  <c r="AB465" i="5"/>
  <c r="AB463" i="5"/>
  <c r="AB461" i="5"/>
  <c r="AB459" i="5"/>
  <c r="AB457" i="5"/>
  <c r="AB455" i="5"/>
  <c r="AB453" i="5"/>
  <c r="AB451" i="5"/>
  <c r="AB449" i="5"/>
  <c r="AB447" i="5"/>
  <c r="AB445" i="5"/>
  <c r="AB443" i="5"/>
  <c r="AB441" i="5"/>
  <c r="AB439" i="5"/>
  <c r="AB437" i="5"/>
  <c r="AB435" i="5"/>
  <c r="AB433" i="5"/>
  <c r="AB431" i="5"/>
  <c r="AB429" i="5"/>
  <c r="AB427" i="5"/>
  <c r="AB425" i="5"/>
  <c r="AB423" i="5"/>
  <c r="AB421" i="5"/>
  <c r="AB419" i="5"/>
  <c r="AB417" i="5"/>
  <c r="AB415" i="5"/>
  <c r="AB413" i="5"/>
  <c r="AB411" i="5"/>
  <c r="AB409" i="5"/>
  <c r="AB407" i="5"/>
  <c r="AB405" i="5"/>
  <c r="AB403" i="5"/>
  <c r="AB401" i="5"/>
  <c r="AB399" i="5"/>
  <c r="AB397" i="5"/>
  <c r="AB395" i="5"/>
  <c r="AB393" i="5"/>
  <c r="AB391" i="5"/>
  <c r="AB389" i="5"/>
  <c r="AB387" i="5"/>
  <c r="AB385" i="5"/>
  <c r="AB383" i="5"/>
  <c r="AB381" i="5"/>
  <c r="AB379" i="5"/>
  <c r="AB377" i="5"/>
  <c r="AB375" i="5"/>
  <c r="AB373" i="5"/>
  <c r="AB371" i="5"/>
  <c r="AB369" i="5"/>
  <c r="AB367" i="5"/>
  <c r="AB365" i="5"/>
  <c r="AB363" i="5"/>
  <c r="AB361" i="5"/>
  <c r="AB359" i="5"/>
  <c r="AB357" i="5"/>
  <c r="AB355" i="5"/>
  <c r="AB353" i="5"/>
  <c r="AB351" i="5"/>
  <c r="AB349" i="5"/>
  <c r="AB347" i="5"/>
  <c r="AB345" i="5"/>
  <c r="AB343" i="5"/>
  <c r="AB341" i="5"/>
  <c r="AB339" i="5"/>
  <c r="AB337" i="5"/>
  <c r="AB335" i="5"/>
  <c r="AB333" i="5"/>
  <c r="AB331" i="5"/>
  <c r="AB329" i="5"/>
  <c r="AB327" i="5"/>
  <c r="AB325" i="5"/>
  <c r="AB323" i="5"/>
  <c r="AB321" i="5"/>
  <c r="AB319" i="5"/>
  <c r="AB317" i="5"/>
  <c r="AB315" i="5"/>
  <c r="AB313" i="5"/>
  <c r="AB311" i="5"/>
  <c r="AB309" i="5"/>
  <c r="AB307" i="5"/>
  <c r="AB305" i="5"/>
  <c r="AB303" i="5"/>
  <c r="AB301" i="5"/>
  <c r="AB299" i="5"/>
  <c r="AB297" i="5"/>
  <c r="AB295" i="5"/>
  <c r="AB293" i="5"/>
  <c r="AB291" i="5"/>
  <c r="AB289" i="5"/>
  <c r="AB287" i="5"/>
  <c r="AB285" i="5"/>
  <c r="AB283" i="5"/>
  <c r="AB281" i="5"/>
  <c r="AB279" i="5"/>
  <c r="AB277" i="5"/>
  <c r="AB275" i="5"/>
  <c r="AB273" i="5"/>
  <c r="AB271" i="5"/>
  <c r="AB269" i="5"/>
  <c r="AC58" i="5"/>
  <c r="AC54" i="5"/>
  <c r="AC50" i="5"/>
  <c r="AC48" i="5"/>
  <c r="AC44" i="5"/>
  <c r="AC40" i="5"/>
  <c r="AB32" i="5"/>
  <c r="AB28" i="5"/>
  <c r="AB24" i="5"/>
  <c r="AB22" i="5"/>
  <c r="AB20" i="5"/>
  <c r="AB267" i="5"/>
  <c r="AB265" i="5"/>
  <c r="AB263" i="5"/>
  <c r="AB261" i="5"/>
  <c r="AB259" i="5"/>
  <c r="AB257" i="5"/>
  <c r="AB255" i="5"/>
  <c r="AB253" i="5"/>
  <c r="AB251" i="5"/>
  <c r="AB249" i="5"/>
  <c r="AB247" i="5"/>
  <c r="AB245" i="5"/>
  <c r="AB243" i="5"/>
  <c r="AB241" i="5"/>
  <c r="AB239" i="5"/>
  <c r="AB237" i="5"/>
  <c r="AB235" i="5"/>
  <c r="AB233" i="5"/>
  <c r="AB231" i="5"/>
  <c r="AB229" i="5"/>
  <c r="AB227" i="5"/>
  <c r="AB225" i="5"/>
  <c r="AB223" i="5"/>
  <c r="AB221" i="5"/>
  <c r="AB219" i="5"/>
  <c r="AB217" i="5"/>
  <c r="AB215" i="5"/>
  <c r="AB213" i="5"/>
  <c r="AB211" i="5"/>
  <c r="AB209" i="5"/>
  <c r="AB207" i="5"/>
  <c r="AB205" i="5"/>
  <c r="AB203" i="5"/>
  <c r="AB201" i="5"/>
  <c r="AB199" i="5"/>
  <c r="AB197" i="5"/>
  <c r="AB195" i="5"/>
  <c r="AB193" i="5"/>
  <c r="AB191" i="5"/>
  <c r="AB189" i="5"/>
  <c r="AB187" i="5"/>
  <c r="AB185" i="5"/>
  <c r="AB183" i="5"/>
  <c r="AB181" i="5"/>
  <c r="AB179" i="5"/>
  <c r="AB177" i="5"/>
  <c r="AB175" i="5"/>
  <c r="AB173" i="5"/>
  <c r="AB171" i="5"/>
  <c r="AB169" i="5"/>
  <c r="AB167" i="5"/>
  <c r="AB165" i="5"/>
  <c r="AB163" i="5"/>
  <c r="AB161" i="5"/>
  <c r="AB159" i="5"/>
  <c r="AB157" i="5"/>
  <c r="AB155" i="5"/>
  <c r="AB153" i="5"/>
  <c r="AB151" i="5"/>
  <c r="AB149" i="5"/>
  <c r="AB147" i="5"/>
  <c r="AB145" i="5"/>
  <c r="AB143" i="5"/>
  <c r="AB141" i="5"/>
  <c r="AB139" i="5"/>
  <c r="AB137" i="5"/>
  <c r="AB135" i="5"/>
  <c r="AB133" i="5"/>
  <c r="AB131" i="5"/>
  <c r="AB129" i="5"/>
  <c r="AB127" i="5"/>
  <c r="AB71" i="5"/>
  <c r="AB69" i="5"/>
  <c r="AB67" i="5"/>
  <c r="AB65" i="5"/>
  <c r="AB63" i="5"/>
  <c r="AB61" i="5"/>
  <c r="AB1074" i="5" s="1"/>
  <c r="AC59" i="5"/>
  <c r="AC55" i="5"/>
  <c r="AC51" i="5"/>
  <c r="AC47" i="5"/>
  <c r="AC43" i="5"/>
  <c r="AB31" i="5"/>
  <c r="AB27" i="5"/>
  <c r="AB23" i="5"/>
  <c r="AC64" i="5"/>
  <c r="AC62" i="5"/>
  <c r="AC60" i="5"/>
  <c r="AC56" i="5"/>
  <c r="AC52" i="5"/>
  <c r="AC46" i="5"/>
  <c r="AC42" i="5"/>
  <c r="AB38" i="5"/>
  <c r="AB1072" i="5" s="1"/>
  <c r="AB36" i="5"/>
  <c r="AB34" i="5"/>
  <c r="AB30" i="5"/>
  <c r="AB26" i="5"/>
  <c r="AC35" i="5"/>
  <c r="AC1071" i="5" s="1"/>
  <c r="AB33" i="5"/>
  <c r="AB29" i="5"/>
  <c r="AB25" i="5"/>
  <c r="AB1071" i="5" s="1"/>
  <c r="AC21" i="5"/>
  <c r="AC1070" i="5" s="1"/>
  <c r="AC1157" i="5"/>
  <c r="AC1156" i="5"/>
  <c r="AC1155" i="5"/>
  <c r="AC1154" i="5"/>
  <c r="AC1153" i="5"/>
  <c r="AC1152" i="5"/>
  <c r="AC1151" i="5"/>
  <c r="AC1150" i="5"/>
  <c r="AC1149" i="5"/>
  <c r="AC1148" i="5"/>
  <c r="AC1147" i="5"/>
  <c r="AC1146" i="5"/>
  <c r="AC1145" i="5"/>
  <c r="AC1144" i="5"/>
  <c r="AC1143" i="5"/>
  <c r="AC1142" i="5"/>
  <c r="AC1141" i="5"/>
  <c r="AC1140" i="5"/>
  <c r="AC1139" i="5"/>
  <c r="AC1138" i="5"/>
  <c r="AC1137" i="5"/>
  <c r="AC1136" i="5"/>
  <c r="AC1135" i="5"/>
  <c r="AC1134" i="5"/>
  <c r="AC1133" i="5"/>
  <c r="AC1132" i="5"/>
  <c r="AC1131" i="5"/>
  <c r="AC1130" i="5"/>
  <c r="AC1129" i="5"/>
  <c r="AC1128" i="5"/>
  <c r="AC1127" i="5"/>
  <c r="AC1126" i="5"/>
  <c r="AC1125" i="5"/>
  <c r="AC1124" i="5"/>
  <c r="AC1123" i="5"/>
  <c r="AC1122" i="5"/>
  <c r="AC1121" i="5"/>
  <c r="AC1120" i="5"/>
  <c r="AC1119" i="5"/>
  <c r="AC1118" i="5"/>
  <c r="AC1117" i="5"/>
  <c r="AC1116" i="5"/>
  <c r="AC1115" i="5"/>
  <c r="AC1114" i="5"/>
  <c r="AC1113" i="5"/>
  <c r="AC1112" i="5"/>
  <c r="AC1111" i="5"/>
  <c r="AC1110" i="5"/>
  <c r="AC1109" i="5"/>
  <c r="AC1108" i="5"/>
  <c r="AC1107" i="5"/>
  <c r="AC1106" i="5"/>
  <c r="AC1105" i="5"/>
  <c r="AC1104" i="5"/>
  <c r="AC1103" i="5"/>
  <c r="AC1102" i="5"/>
  <c r="AC1101" i="5"/>
  <c r="AC1100" i="5"/>
  <c r="AC1099" i="5"/>
  <c r="AC1098" i="5"/>
  <c r="AC1097" i="5"/>
  <c r="AC1096" i="5"/>
  <c r="AC1095" i="5"/>
  <c r="AC1094" i="5"/>
  <c r="AC1093" i="5"/>
  <c r="AC1092" i="5"/>
  <c r="AC1091" i="5"/>
  <c r="AC1090" i="5"/>
  <c r="AC1089" i="5"/>
  <c r="AC1088" i="5"/>
  <c r="AC1087" i="5"/>
  <c r="AC1086" i="5"/>
  <c r="AC1085" i="5"/>
  <c r="AC1084" i="5"/>
  <c r="AC1083" i="5"/>
  <c r="AC1082" i="5"/>
  <c r="AC1081" i="5"/>
  <c r="AC1080" i="5"/>
  <c r="AB1157" i="5"/>
  <c r="AB1156" i="5"/>
  <c r="AB1155" i="5"/>
  <c r="AB1154" i="5"/>
  <c r="AB1153" i="5"/>
  <c r="AB1152" i="5"/>
  <c r="AB1151" i="5"/>
  <c r="AB1150" i="5"/>
  <c r="AB1149" i="5"/>
  <c r="AB1148" i="5"/>
  <c r="AB1147" i="5"/>
  <c r="AB1146" i="5"/>
  <c r="AB1145" i="5"/>
  <c r="AB1144" i="5"/>
  <c r="AB1143" i="5"/>
  <c r="AB1142" i="5"/>
  <c r="AB1141" i="5"/>
  <c r="AB1140" i="5"/>
  <c r="AB1139" i="5"/>
  <c r="AB1138" i="5"/>
  <c r="AB1137" i="5"/>
  <c r="AB1136" i="5"/>
  <c r="AB1135" i="5"/>
  <c r="AB1134" i="5"/>
  <c r="AB1133" i="5"/>
  <c r="AB1132" i="5"/>
  <c r="AB1131" i="5"/>
  <c r="AB1130" i="5"/>
  <c r="AB1129" i="5"/>
  <c r="AB1128" i="5"/>
  <c r="AB1127" i="5"/>
  <c r="AB1126" i="5"/>
  <c r="AB1125" i="5"/>
  <c r="AB1124" i="5"/>
  <c r="AB1123" i="5"/>
  <c r="AB1122" i="5"/>
  <c r="AB1121" i="5"/>
  <c r="AB1120" i="5"/>
  <c r="AB1119" i="5"/>
  <c r="AB1118" i="5"/>
  <c r="AB1117" i="5"/>
  <c r="AB1116" i="5"/>
  <c r="AB1115" i="5"/>
  <c r="AB1114" i="5"/>
  <c r="AB1113" i="5"/>
  <c r="AB1112" i="5"/>
  <c r="AB1111" i="5"/>
  <c r="AB1110" i="5"/>
  <c r="AB1109" i="5"/>
  <c r="AB1108" i="5"/>
  <c r="AB1107" i="5"/>
  <c r="AB1106" i="5"/>
  <c r="AB1105" i="5"/>
  <c r="AB1104" i="5"/>
  <c r="AB1103" i="5"/>
  <c r="AB1102" i="5"/>
  <c r="AB1101" i="5"/>
  <c r="AB1100" i="5"/>
  <c r="AB1099" i="5"/>
  <c r="AB1098" i="5"/>
  <c r="AB1097" i="5"/>
  <c r="AB1096" i="5"/>
  <c r="AB1095" i="5"/>
  <c r="AB1094" i="5"/>
  <c r="AB1093" i="5"/>
  <c r="AB1092" i="5"/>
  <c r="AB1091" i="5"/>
  <c r="AB1090" i="5"/>
  <c r="AB1089" i="5"/>
  <c r="AB1088" i="5"/>
  <c r="AB1087" i="5"/>
  <c r="AB1086" i="5"/>
  <c r="AB1085" i="5"/>
  <c r="AB1084" i="5"/>
  <c r="AB1083" i="5"/>
  <c r="AB1082" i="5"/>
  <c r="AB1081" i="5"/>
  <c r="AB1080" i="5"/>
  <c r="AC124" i="5"/>
  <c r="AC122" i="5"/>
  <c r="AC120" i="5"/>
  <c r="AC118" i="5"/>
  <c r="AC116" i="5"/>
  <c r="AC114" i="5"/>
  <c r="AC112" i="5"/>
  <c r="AC110" i="5"/>
  <c r="AC108" i="5"/>
  <c r="AC106" i="5"/>
  <c r="AC104" i="5"/>
  <c r="AC102" i="5"/>
  <c r="AC100" i="5"/>
  <c r="AC98" i="5"/>
  <c r="AC96" i="5"/>
  <c r="AC94" i="5"/>
  <c r="AC92" i="5"/>
  <c r="AC90" i="5"/>
  <c r="AC88" i="5"/>
  <c r="AC86" i="5"/>
  <c r="AC84" i="5"/>
  <c r="AC82" i="5"/>
  <c r="AC80" i="5"/>
  <c r="AC78" i="5"/>
  <c r="AC76" i="5"/>
  <c r="AC74" i="5"/>
  <c r="AC72" i="5"/>
  <c r="AC1074" i="5" s="1"/>
  <c r="J1156" i="4"/>
  <c r="H1156" i="4"/>
  <c r="F1156" i="4"/>
  <c r="D1156" i="4"/>
  <c r="J1155" i="4"/>
  <c r="H1155" i="4"/>
  <c r="F1155" i="4"/>
  <c r="D1155" i="4"/>
  <c r="J1154" i="4"/>
  <c r="H1154" i="4"/>
  <c r="F1154" i="4"/>
  <c r="D1154" i="4"/>
  <c r="J1153" i="4"/>
  <c r="H1153" i="4"/>
  <c r="F1153" i="4"/>
  <c r="D1153" i="4"/>
  <c r="J1152" i="4"/>
  <c r="H1152" i="4"/>
  <c r="F1152" i="4"/>
  <c r="D1152" i="4"/>
  <c r="J1151" i="4"/>
  <c r="H1151" i="4"/>
  <c r="F1151" i="4"/>
  <c r="D1151" i="4"/>
  <c r="J1150" i="4"/>
  <c r="H1150" i="4"/>
  <c r="F1150" i="4"/>
  <c r="D1150" i="4"/>
  <c r="J1149" i="4"/>
  <c r="H1149" i="4"/>
  <c r="F1149" i="4"/>
  <c r="D1149" i="4"/>
  <c r="J1148" i="4"/>
  <c r="H1148" i="4"/>
  <c r="F1148" i="4"/>
  <c r="D1148" i="4"/>
  <c r="J1147" i="4"/>
  <c r="H1147" i="4"/>
  <c r="F1147" i="4"/>
  <c r="D1147" i="4"/>
  <c r="J1146" i="4"/>
  <c r="H1146" i="4"/>
  <c r="F1146" i="4"/>
  <c r="D1146" i="4"/>
  <c r="J1145" i="4"/>
  <c r="H1145" i="4"/>
  <c r="F1145" i="4"/>
  <c r="D1145" i="4"/>
  <c r="J1144" i="4"/>
  <c r="H1144" i="4"/>
  <c r="F1144" i="4"/>
  <c r="D1144" i="4"/>
  <c r="J1143" i="4"/>
  <c r="H1143" i="4"/>
  <c r="F1143" i="4"/>
  <c r="D1143" i="4"/>
  <c r="J1142" i="4"/>
  <c r="H1142" i="4"/>
  <c r="F1142" i="4"/>
  <c r="D1142" i="4"/>
  <c r="J1141" i="4"/>
  <c r="H1141" i="4"/>
  <c r="F1141" i="4"/>
  <c r="D1141" i="4"/>
  <c r="J1140" i="4"/>
  <c r="H1140" i="4"/>
  <c r="F1140" i="4"/>
  <c r="D1140" i="4"/>
  <c r="J1139" i="4"/>
  <c r="H1139" i="4"/>
  <c r="F1139" i="4"/>
  <c r="D1139" i="4"/>
  <c r="J1138" i="4"/>
  <c r="H1138" i="4"/>
  <c r="F1138" i="4"/>
  <c r="D1138" i="4"/>
  <c r="J1137" i="4"/>
  <c r="H1137" i="4"/>
  <c r="F1137" i="4"/>
  <c r="D1137" i="4"/>
  <c r="J1136" i="4"/>
  <c r="H1136" i="4"/>
  <c r="F1136" i="4"/>
  <c r="D1136" i="4"/>
  <c r="J1135" i="4"/>
  <c r="H1135" i="4"/>
  <c r="F1135" i="4"/>
  <c r="D1135" i="4"/>
  <c r="J1134" i="4"/>
  <c r="H1134" i="4"/>
  <c r="F1134" i="4"/>
  <c r="D1134" i="4"/>
  <c r="J1133" i="4"/>
  <c r="H1133" i="4"/>
  <c r="F1133" i="4"/>
  <c r="D1133" i="4"/>
  <c r="J1132" i="4"/>
  <c r="H1132" i="4"/>
  <c r="F1132" i="4"/>
  <c r="D1132" i="4"/>
  <c r="J1131" i="4"/>
  <c r="H1131" i="4"/>
  <c r="F1131" i="4"/>
  <c r="D1131" i="4"/>
  <c r="J1130" i="4"/>
  <c r="H1130" i="4"/>
  <c r="F1130" i="4"/>
  <c r="D1130" i="4"/>
  <c r="J1129" i="4"/>
  <c r="H1129" i="4"/>
  <c r="F1129" i="4"/>
  <c r="D1129" i="4"/>
  <c r="J1128" i="4"/>
  <c r="H1128" i="4"/>
  <c r="F1128" i="4"/>
  <c r="D1128" i="4"/>
  <c r="J1127" i="4"/>
  <c r="H1127" i="4"/>
  <c r="F1127" i="4"/>
  <c r="D1127" i="4"/>
  <c r="J1126" i="4"/>
  <c r="H1126" i="4"/>
  <c r="F1126" i="4"/>
  <c r="D1126" i="4"/>
  <c r="J1125" i="4"/>
  <c r="H1125" i="4"/>
  <c r="F1125" i="4"/>
  <c r="D1125" i="4"/>
  <c r="J1124" i="4"/>
  <c r="H1124" i="4"/>
  <c r="F1124" i="4"/>
  <c r="D1124" i="4"/>
  <c r="J1123" i="4"/>
  <c r="H1123" i="4"/>
  <c r="F1123" i="4"/>
  <c r="D1123" i="4"/>
  <c r="J1122" i="4"/>
  <c r="H1122" i="4"/>
  <c r="F1122" i="4"/>
  <c r="D1122" i="4"/>
  <c r="J1121" i="4"/>
  <c r="H1121" i="4"/>
  <c r="F1121" i="4"/>
  <c r="D1121" i="4"/>
  <c r="J1120" i="4"/>
  <c r="H1120" i="4"/>
  <c r="F1120" i="4"/>
  <c r="D1120" i="4"/>
  <c r="J1119" i="4"/>
  <c r="H1119" i="4"/>
  <c r="F1119" i="4"/>
  <c r="D1119" i="4"/>
  <c r="J1118" i="4"/>
  <c r="H1118" i="4"/>
  <c r="F1118" i="4"/>
  <c r="D1118" i="4"/>
  <c r="AB125" i="5"/>
  <c r="AB123" i="5"/>
  <c r="AB121" i="5"/>
  <c r="AB119" i="5"/>
  <c r="AB117" i="5"/>
  <c r="AB115" i="5"/>
  <c r="AB113" i="5"/>
  <c r="AB111" i="5"/>
  <c r="AB109" i="5"/>
  <c r="AB107" i="5"/>
  <c r="AB105" i="5"/>
  <c r="AB103" i="5"/>
  <c r="AB101" i="5"/>
  <c r="AB99" i="5"/>
  <c r="AB97" i="5"/>
  <c r="AB95" i="5"/>
  <c r="AB93" i="5"/>
  <c r="AB91" i="5"/>
  <c r="AB89" i="5"/>
  <c r="AB87" i="5"/>
  <c r="AB85" i="5"/>
  <c r="AB83" i="5"/>
  <c r="AB81" i="5"/>
  <c r="AB79" i="5"/>
  <c r="AB77" i="5"/>
  <c r="AB75" i="5"/>
  <c r="AB73" i="5"/>
  <c r="S1057" i="6"/>
  <c r="S1156" i="6" s="1"/>
  <c r="Q1156" i="6"/>
  <c r="S1045" i="6"/>
  <c r="S1155" i="6" s="1"/>
  <c r="Q1155" i="6"/>
  <c r="S1033" i="6"/>
  <c r="S1154" i="6" s="1"/>
  <c r="Q1154" i="6"/>
  <c r="S1021" i="6"/>
  <c r="S1153" i="6" s="1"/>
  <c r="Q1153" i="6"/>
  <c r="S1009" i="6"/>
  <c r="S1152" i="6" s="1"/>
  <c r="Q1152" i="6"/>
  <c r="S997" i="6"/>
  <c r="S1151" i="6" s="1"/>
  <c r="Q1151" i="6"/>
  <c r="S985" i="6"/>
  <c r="S1150" i="6" s="1"/>
  <c r="Q1150" i="6"/>
  <c r="S973" i="6"/>
  <c r="S1149" i="6" s="1"/>
  <c r="Q1149" i="6"/>
  <c r="S969" i="6"/>
  <c r="S1148" i="6" s="1"/>
  <c r="Q1148" i="6"/>
  <c r="L967" i="6"/>
  <c r="L1148" i="6" s="1"/>
  <c r="T1156" i="6"/>
  <c r="R1156" i="6"/>
  <c r="P1156" i="6"/>
  <c r="N1156" i="6"/>
  <c r="L1156" i="6"/>
  <c r="J1156" i="6"/>
  <c r="H1156" i="6"/>
  <c r="F1156" i="6"/>
  <c r="D1156" i="6"/>
  <c r="T1155" i="6"/>
  <c r="R1155" i="6"/>
  <c r="P1155" i="6"/>
  <c r="N1155" i="6"/>
  <c r="L1155" i="6"/>
  <c r="J1155" i="6"/>
  <c r="H1155" i="6"/>
  <c r="F1155" i="6"/>
  <c r="D1155" i="6"/>
  <c r="T1154" i="6"/>
  <c r="R1154" i="6"/>
  <c r="P1154" i="6"/>
  <c r="N1154" i="6"/>
  <c r="L1154" i="6"/>
  <c r="J1154" i="6"/>
  <c r="H1154" i="6"/>
  <c r="F1154" i="6"/>
  <c r="D1154" i="6"/>
  <c r="T1153" i="6"/>
  <c r="R1153" i="6"/>
  <c r="P1153" i="6"/>
  <c r="N1153" i="6"/>
  <c r="L1153" i="6"/>
  <c r="J1153" i="6"/>
  <c r="H1153" i="6"/>
  <c r="F1153" i="6"/>
  <c r="D1153" i="6"/>
  <c r="T1152" i="6"/>
  <c r="R1152" i="6"/>
  <c r="P1152" i="6"/>
  <c r="N1152" i="6"/>
  <c r="L1152" i="6"/>
  <c r="J1152" i="6"/>
  <c r="H1152" i="6"/>
  <c r="F1152" i="6"/>
  <c r="D1152" i="6"/>
  <c r="T1151" i="6"/>
  <c r="R1151" i="6"/>
  <c r="P1151" i="6"/>
  <c r="N1151" i="6"/>
  <c r="L1151" i="6"/>
  <c r="J1151" i="6"/>
  <c r="H1151" i="6"/>
  <c r="F1151" i="6"/>
  <c r="D1151" i="6"/>
  <c r="T1150" i="6"/>
  <c r="R1150" i="6"/>
  <c r="P1150" i="6"/>
  <c r="N1150" i="6"/>
  <c r="L1150" i="6"/>
  <c r="J1150" i="6"/>
  <c r="H1150" i="6"/>
  <c r="F1150" i="6"/>
  <c r="D1150" i="6"/>
  <c r="T1149" i="6"/>
  <c r="R1149" i="6"/>
  <c r="P1149" i="6"/>
  <c r="N1149" i="6"/>
  <c r="L1149" i="6"/>
  <c r="J1149" i="6"/>
  <c r="H1149" i="6"/>
  <c r="F1149" i="6"/>
  <c r="D1149" i="6"/>
  <c r="T1148" i="6"/>
  <c r="R1148" i="6"/>
  <c r="P1148" i="6"/>
  <c r="N1148" i="6"/>
  <c r="J1148" i="6"/>
  <c r="H1148" i="6"/>
  <c r="F1148" i="6"/>
  <c r="D1148" i="6"/>
  <c r="T1147" i="6"/>
  <c r="R1147" i="6"/>
  <c r="P1147" i="6"/>
  <c r="N1147" i="6"/>
  <c r="L1147" i="6"/>
  <c r="J1147" i="6"/>
  <c r="H1147" i="6"/>
  <c r="F1147" i="6"/>
  <c r="D1147" i="6"/>
  <c r="T1146" i="6"/>
  <c r="R1146" i="6"/>
  <c r="P1146" i="6"/>
  <c r="N1146" i="6"/>
  <c r="L1146" i="6"/>
  <c r="J1146" i="6"/>
  <c r="H1146" i="6"/>
  <c r="F1146" i="6"/>
  <c r="D1146" i="6"/>
  <c r="T1145" i="6"/>
  <c r="R1145" i="6"/>
  <c r="P1145" i="6"/>
  <c r="N1145" i="6"/>
  <c r="L1145" i="6"/>
  <c r="J1145" i="6"/>
  <c r="H1145" i="6"/>
  <c r="F1145" i="6"/>
  <c r="D1145" i="6"/>
  <c r="T1144" i="6"/>
  <c r="R1144" i="6"/>
  <c r="P1144" i="6"/>
  <c r="N1144" i="6"/>
  <c r="J1144" i="6"/>
  <c r="H1144" i="6"/>
  <c r="F1144" i="6"/>
  <c r="D1144" i="6"/>
  <c r="T1143" i="6"/>
  <c r="R1143" i="6"/>
  <c r="P1143" i="6"/>
  <c r="N1143" i="6"/>
  <c r="J1143" i="6"/>
  <c r="H1143" i="6"/>
  <c r="F1143" i="6"/>
  <c r="D1143" i="6"/>
  <c r="T1142" i="6"/>
  <c r="R1142" i="6"/>
  <c r="P1142" i="6"/>
  <c r="N1142" i="6"/>
  <c r="L1142" i="6"/>
  <c r="J1142" i="6"/>
  <c r="H1142" i="6"/>
  <c r="F1142" i="6"/>
  <c r="D1142" i="6"/>
  <c r="T1141" i="6"/>
  <c r="R1141" i="6"/>
  <c r="P1141" i="6"/>
  <c r="N1141" i="6"/>
  <c r="L1141" i="6"/>
  <c r="J1141" i="6"/>
  <c r="H1141" i="6"/>
  <c r="F1141" i="6"/>
  <c r="D1141" i="6"/>
  <c r="T1140" i="6"/>
  <c r="R1140" i="6"/>
  <c r="P1140" i="6"/>
  <c r="N1140" i="6"/>
  <c r="L1140" i="6"/>
  <c r="J1140" i="6"/>
  <c r="H1140" i="6"/>
  <c r="F1140" i="6"/>
  <c r="D1140" i="6"/>
  <c r="T1139" i="6"/>
  <c r="R1139" i="6"/>
  <c r="P1139" i="6"/>
  <c r="N1139" i="6"/>
  <c r="L1139" i="6"/>
  <c r="J1139" i="6"/>
  <c r="H1139" i="6"/>
  <c r="F1139" i="6"/>
  <c r="D1139" i="6"/>
  <c r="T1138" i="6"/>
  <c r="R1138" i="6"/>
  <c r="P1138" i="6"/>
  <c r="N1138" i="6"/>
  <c r="L1138" i="6"/>
  <c r="J1138" i="6"/>
  <c r="H1138" i="6"/>
  <c r="F1138" i="6"/>
  <c r="D1138" i="6"/>
  <c r="T1137" i="6"/>
  <c r="R1137" i="6"/>
  <c r="P1137" i="6"/>
  <c r="N1137" i="6"/>
  <c r="L1137" i="6"/>
  <c r="J1137" i="6"/>
  <c r="H1137" i="6"/>
  <c r="F1137" i="6"/>
  <c r="D1137" i="6"/>
  <c r="T1136" i="6"/>
  <c r="R1136" i="6"/>
  <c r="P1136" i="6"/>
  <c r="N1136" i="6"/>
  <c r="L1136" i="6"/>
  <c r="J1136" i="6"/>
  <c r="H1136" i="6"/>
  <c r="F1136" i="6"/>
  <c r="D1136" i="6"/>
  <c r="T1135" i="6"/>
  <c r="R1135" i="6"/>
  <c r="P1135" i="6"/>
  <c r="N1135" i="6"/>
  <c r="L1135" i="6"/>
  <c r="J1135" i="6"/>
  <c r="H1135" i="6"/>
  <c r="F1135" i="6"/>
  <c r="D1135" i="6"/>
  <c r="T1134" i="6"/>
  <c r="R1134" i="6"/>
  <c r="P1134" i="6"/>
  <c r="N1134" i="6"/>
  <c r="L1134" i="6"/>
  <c r="J1134" i="6"/>
  <c r="H1134" i="6"/>
  <c r="F1134" i="6"/>
  <c r="D1134" i="6"/>
  <c r="T1133" i="6"/>
  <c r="R1133" i="6"/>
  <c r="P1133" i="6"/>
  <c r="N1133" i="6"/>
  <c r="L1133" i="6"/>
  <c r="J1133" i="6"/>
  <c r="H1133" i="6"/>
  <c r="F1133" i="6"/>
  <c r="D1133" i="6"/>
  <c r="T1132" i="6"/>
  <c r="R1132" i="6"/>
  <c r="P1132" i="6"/>
  <c r="N1132" i="6"/>
  <c r="L1132" i="6"/>
  <c r="J1132" i="6"/>
  <c r="H1132" i="6"/>
  <c r="F1132" i="6"/>
  <c r="D1132" i="6"/>
  <c r="T1131" i="6"/>
  <c r="R1131" i="6"/>
  <c r="P1131" i="6"/>
  <c r="N1131" i="6"/>
  <c r="L1131" i="6"/>
  <c r="J1131" i="6"/>
  <c r="H1131" i="6"/>
  <c r="F1131" i="6"/>
  <c r="D1131" i="6"/>
  <c r="T1130" i="6"/>
  <c r="R1130" i="6"/>
  <c r="P1130" i="6"/>
  <c r="N1130" i="6"/>
  <c r="L1130" i="6"/>
  <c r="J1130" i="6"/>
  <c r="H1130" i="6"/>
  <c r="F1130" i="6"/>
  <c r="D1130" i="6"/>
  <c r="T1129" i="6"/>
  <c r="R1129" i="6"/>
  <c r="P1129" i="6"/>
  <c r="N1129" i="6"/>
  <c r="L1129" i="6"/>
  <c r="J1129" i="6"/>
  <c r="H1129" i="6"/>
  <c r="F1129" i="6"/>
  <c r="D1129" i="6"/>
  <c r="T1128" i="6"/>
  <c r="R1128" i="6"/>
  <c r="P1128" i="6"/>
  <c r="N1128" i="6"/>
  <c r="L1128" i="6"/>
  <c r="J1128" i="6"/>
  <c r="H1128" i="6"/>
  <c r="F1128" i="6"/>
  <c r="D1128" i="6"/>
  <c r="T1127" i="6"/>
  <c r="R1127" i="6"/>
  <c r="P1127" i="6"/>
  <c r="N1127" i="6"/>
  <c r="L1127" i="6"/>
  <c r="J1127" i="6"/>
  <c r="H1127" i="6"/>
  <c r="F1127" i="6"/>
  <c r="D1127" i="6"/>
  <c r="T1126" i="6"/>
  <c r="R1126" i="6"/>
  <c r="P1126" i="6"/>
  <c r="N1126" i="6"/>
  <c r="J1126" i="6"/>
  <c r="H1126" i="6"/>
  <c r="F1126" i="6"/>
  <c r="D1126" i="6"/>
  <c r="T1125" i="6"/>
  <c r="R1125" i="6"/>
  <c r="P1125" i="6"/>
  <c r="N1125" i="6"/>
  <c r="J1125" i="6"/>
  <c r="H1125" i="6"/>
  <c r="F1125" i="6"/>
  <c r="D1125" i="6"/>
  <c r="T1124" i="6"/>
  <c r="R1124" i="6"/>
  <c r="P1124" i="6"/>
  <c r="N1124" i="6"/>
  <c r="J1124" i="6"/>
  <c r="H1124" i="6"/>
  <c r="F1124" i="6"/>
  <c r="D1124" i="6"/>
  <c r="T1123" i="6"/>
  <c r="R1123" i="6"/>
  <c r="P1123" i="6"/>
  <c r="N1123" i="6"/>
  <c r="J1123" i="6"/>
  <c r="H1123" i="6"/>
  <c r="F1123" i="6"/>
  <c r="D1123" i="6"/>
  <c r="T1122" i="6"/>
  <c r="R1122" i="6"/>
  <c r="P1122" i="6"/>
  <c r="N1122" i="6"/>
  <c r="J1122" i="6"/>
  <c r="H1122" i="6"/>
  <c r="F1122" i="6"/>
  <c r="D1122" i="6"/>
  <c r="T1121" i="6"/>
  <c r="R1121" i="6"/>
  <c r="P1121" i="6"/>
  <c r="N1121" i="6"/>
  <c r="J1121" i="6"/>
  <c r="H1121" i="6"/>
  <c r="F1121" i="6"/>
  <c r="D1121" i="6"/>
  <c r="T1120" i="6"/>
  <c r="R1120" i="6"/>
  <c r="P1120" i="6"/>
  <c r="N1120" i="6"/>
  <c r="J1120" i="6"/>
  <c r="H1120" i="6"/>
  <c r="F1120" i="6"/>
  <c r="D1120" i="6"/>
  <c r="T1119" i="6"/>
  <c r="R1119" i="6"/>
  <c r="P1119" i="6"/>
  <c r="N1119" i="6"/>
  <c r="L1119" i="6"/>
  <c r="J1119" i="6"/>
  <c r="H1119" i="6"/>
  <c r="F1119" i="6"/>
  <c r="D1119" i="6"/>
  <c r="T1118" i="6"/>
  <c r="R1118" i="6"/>
  <c r="P1118" i="6"/>
  <c r="N1118" i="6"/>
  <c r="L1118" i="6"/>
  <c r="J1118" i="6"/>
  <c r="H1118" i="6"/>
  <c r="F1118" i="6"/>
  <c r="D1118" i="6"/>
  <c r="L912" i="6"/>
  <c r="L1144" i="6" s="1"/>
  <c r="L908" i="6"/>
  <c r="L910" i="6"/>
  <c r="L1143" i="6" s="1"/>
  <c r="L906" i="6"/>
  <c r="L696" i="6"/>
  <c r="L1126" i="6" s="1"/>
  <c r="L692" i="6"/>
  <c r="L688" i="6"/>
  <c r="L684" i="6"/>
  <c r="L680" i="6"/>
  <c r="L676" i="6"/>
  <c r="L672" i="6"/>
  <c r="L1124" i="6" s="1"/>
  <c r="L668" i="6"/>
  <c r="L664" i="6"/>
  <c r="L660" i="6"/>
  <c r="L656" i="6"/>
  <c r="L652" i="6"/>
  <c r="L648" i="6"/>
  <c r="L1122" i="6" s="1"/>
  <c r="L644" i="6"/>
  <c r="L640" i="6"/>
  <c r="L636" i="6"/>
  <c r="L632" i="6"/>
  <c r="L628" i="6"/>
  <c r="L1120" i="6" s="1"/>
  <c r="L694" i="6"/>
  <c r="L690" i="6"/>
  <c r="L686" i="6"/>
  <c r="L1125" i="6" s="1"/>
  <c r="L682" i="6"/>
  <c r="L678" i="6"/>
  <c r="L674" i="6"/>
  <c r="L670" i="6"/>
  <c r="L666" i="6"/>
  <c r="L662" i="6"/>
  <c r="L1123" i="6" s="1"/>
  <c r="L658" i="6"/>
  <c r="L654" i="6"/>
  <c r="L650" i="6"/>
  <c r="L646" i="6"/>
  <c r="L642" i="6"/>
  <c r="L638" i="6"/>
  <c r="L1121" i="6" s="1"/>
  <c r="L634" i="6"/>
  <c r="L630" i="6"/>
  <c r="L61" i="6"/>
  <c r="L59" i="6"/>
  <c r="L57" i="6"/>
  <c r="L55" i="6"/>
  <c r="L53" i="6"/>
  <c r="L51" i="6"/>
  <c r="L47" i="6"/>
  <c r="L37" i="6"/>
  <c r="L35" i="6"/>
  <c r="L32" i="6"/>
  <c r="S31" i="6"/>
  <c r="L28" i="6"/>
  <c r="Q20" i="6"/>
  <c r="Q1069" i="6" s="1"/>
  <c r="L19" i="6"/>
  <c r="L1069" i="6" s="1"/>
  <c r="L62" i="6"/>
  <c r="L60" i="6"/>
  <c r="L1073" i="6" s="1"/>
  <c r="L58" i="6"/>
  <c r="L56" i="6"/>
  <c r="L54" i="6"/>
  <c r="L52" i="6"/>
  <c r="L49" i="6"/>
  <c r="Q45" i="6"/>
  <c r="S45" i="6" s="1"/>
  <c r="Q44" i="6"/>
  <c r="S44" i="6" s="1"/>
  <c r="Q43" i="6"/>
  <c r="S43" i="6" s="1"/>
  <c r="Q42" i="6"/>
  <c r="S42" i="6" s="1"/>
  <c r="Q41" i="6"/>
  <c r="S41" i="6" s="1"/>
  <c r="Q40" i="6"/>
  <c r="S40" i="6" s="1"/>
  <c r="Q39" i="6"/>
  <c r="Q1071" i="6" s="1"/>
  <c r="L38" i="6"/>
  <c r="L36" i="6"/>
  <c r="L1071" i="6" s="1"/>
  <c r="L34" i="6"/>
  <c r="S33" i="6"/>
  <c r="Q31" i="6"/>
  <c r="L30" i="6"/>
  <c r="S29" i="6"/>
  <c r="Q27" i="6"/>
  <c r="Q1070" i="6" s="1"/>
  <c r="L21" i="6"/>
  <c r="S20" i="6"/>
  <c r="S1069" i="6" s="1"/>
  <c r="AC1075" i="5" l="1"/>
  <c r="AC1077" i="5"/>
  <c r="AC1079" i="5"/>
  <c r="AB1070" i="5"/>
  <c r="AC1073" i="5"/>
  <c r="AC1072" i="5"/>
  <c r="AC1076" i="5"/>
  <c r="AC1078" i="5"/>
  <c r="S27" i="6"/>
  <c r="S1070" i="6" s="1"/>
  <c r="S39" i="6"/>
  <c r="S1071" i="6" s="1"/>
  <c r="L1072" i="6"/>
  <c r="L1070" i="6"/>
  <c r="AB1075" i="5"/>
  <c r="AB1076" i="5"/>
  <c r="AB1077" i="5"/>
  <c r="AB1078" i="5"/>
  <c r="AB1079" i="5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<sst xmlns="http://schemas.openxmlformats.org/spreadsheetml/2006/main" count="254" uniqueCount="102">
  <si>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</si>
  <si>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</si>
  <si>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</si>
  <si>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</si>
  <si>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</si>
  <si>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</si>
  <si>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</si>
  <si>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</si>
  <si>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</si>
  <si>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</si>
  <si>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</si>
  <si>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</si>
  <si>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</si>
  <si>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</si>
  <si>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</si>
  <si>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</si>
  <si>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</si>
  <si>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</si>
  <si>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</si>
  <si>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</si>
  <si>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</si>
  <si>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</si>
  <si>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</si>
  <si>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</si>
  <si>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>HIGH</t>
  </si>
  <si>
    <t>LOW</t>
  </si>
  <si>
    <t xml:space="preserve"> </t>
  </si>
  <si>
    <t>July 01, 2013 - LISA GORMAN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</si>
  <si>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</si>
  <si>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</si>
  <si>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</si>
  <si>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</si>
  <si>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</si>
  <si>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</si>
  <si>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</si>
  <si>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</si>
  <si>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</si>
  <si>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</si>
  <si>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</si>
  <si>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</si>
  <si>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</si>
  <si>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</si>
  <si>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</si>
  <si>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</si>
  <si>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</si>
  <si>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</si>
  <si>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</si>
  <si>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</si>
  <si>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</si>
  <si>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</si>
  <si>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</si>
  <si>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</si>
  <si>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</si>
  <si>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</si>
  <si>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</si>
  <si>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</si>
  <si>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</si>
  <si>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</si>
  <si>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</si>
  <si>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</si>
  <si>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</si>
  <si>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</si>
  <si>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</si>
  <si>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</si>
  <si>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</si>
  <si>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</si>
  <si>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</si>
  <si>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</si>
  <si>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</si>
  <si>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</si>
  <si>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</si>
  <si>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</si>
  <si>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</si>
  <si>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</si>
  <si>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</si>
  <si>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</si>
  <si>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</si>
  <si>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</si>
  <si>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</si>
  <si>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</si>
  <si>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</si>
  <si>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</si>
  <si>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</si>
  <si>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</si>
  <si>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</si>
  <si>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</si>
  <si>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</si>
  <si>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</si>
  <si>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</si>
  <si>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</si>
  <si>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</si>
  <si>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</si>
  <si>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</si>
  <si>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</si>
  <si>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</si>
  <si>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</si>
  <si>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18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</si>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</sst>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1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u val="singleAccounting"/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3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5" fillId="0" borderId="0"/>
  </cellStyleXfs>
  <cellXfs count="117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2"/>
    <xf numFmtId="166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165" fontId="6" fillId="0" borderId="0" xfId="0" applyNumberFormat="1" applyFont="1" applyAlignment="1"/>
    <xf numFmtId="17" fontId="6" fillId="0" borderId="0" xfId="0" applyNumberFormat="1" applyFont="1" applyAlignment="1">
      <alignment horizontal="center"/>
    </xf>
    <xf numFmtId="166" fontId="6" fillId="0" borderId="0" xfId="22" applyNumberFormat="1" applyFont="1" applyAlignment="1">
      <alignment horizontal="center"/>
    </xf>
    <xf numFmtId="44" fontId="7" fillId="0" borderId="0" xfId="1" applyFont="1" applyAlignment="1">
      <alignment horizontal="center"/>
    </xf>
    <xf numFmtId="0" fontId="8" fillId="0" borderId="0" xfId="22" applyFont="1" applyAlignment="1">
      <alignment horizontal="center"/>
    </xf>
    <xf numFmtId="165" fontId="9" fillId="0" borderId="0" xfId="0" quotePrefix="1" applyNumberFormat="1" applyFont="1" applyFill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5" fontId="9" fillId="2" borderId="0" xfId="0" quotePrefix="1" applyNumberFormat="1" applyFont="1" applyFill="1" applyAlignment="1">
      <alignment horizontal="center"/>
    </xf>
    <xf numFmtId="165" fontId="9" fillId="3" borderId="0" xfId="0" quotePrefix="1" applyNumberFormat="1" applyFont="1" applyFill="1" applyAlignment="1">
      <alignment horizontal="center"/>
    </xf>
    <xf numFmtId="165" fontId="9" fillId="4" borderId="0" xfId="0" quotePrefix="1" applyNumberFormat="1" applyFont="1" applyFill="1" applyAlignment="1">
      <alignment horizontal="center"/>
    </xf>
    <xf numFmtId="0" fontId="5" fillId="0" borderId="0" xfId="22" applyFill="1"/>
    <xf numFmtId="165" fontId="9" fillId="2" borderId="0" xfId="0" quotePrefix="1" applyNumberFormat="1" applyFont="1" applyFill="1" applyAlignment="1">
      <alignment horizontal="center" vertical="center" wrapText="1"/>
    </xf>
    <xf numFmtId="165" fontId="9" fillId="3" borderId="0" xfId="0" quotePrefix="1" applyNumberFormat="1" applyFont="1" applyFill="1" applyAlignment="1">
      <alignment horizontal="center" vertical="center" wrapText="1"/>
    </xf>
    <xf numFmtId="165" fontId="9" fillId="4" borderId="0" xfId="0" quotePrefix="1" applyNumberFormat="1" applyFont="1" applyFill="1" applyAlignment="1">
      <alignment horizontal="center" vertical="center" wrapText="1"/>
    </xf>
    <xf numFmtId="0" fontId="10" fillId="0" borderId="0" xfId="22" applyFont="1"/>
    <xf numFmtId="10" fontId="9" fillId="7" borderId="0" xfId="22" quotePrefix="1" applyNumberFormat="1" applyFont="1" applyFill="1" applyAlignment="1">
      <alignment horizontal="center"/>
    </xf>
    <xf numFmtId="15" fontId="9" fillId="7" borderId="0" xfId="22" applyNumberFormat="1" applyFont="1" applyFill="1" applyAlignment="1">
      <alignment horizontal="left"/>
    </xf>
    <xf numFmtId="15" fontId="9" fillId="0" borderId="0" xfId="22" quotePrefix="1" applyNumberFormat="1" applyFont="1" applyAlignment="1">
      <alignment horizontal="left"/>
    </xf>
    <xf numFmtId="0" fontId="11" fillId="0" borderId="0" xfId="22" applyFont="1"/>
    <xf numFmtId="0" fontId="5" fillId="0" borderId="0" xfId="22" applyAlignment="1">
      <alignment horizontal="center"/>
    </xf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8" fontId="5" fillId="0" borderId="0" xfId="22" applyNumberFormat="1"/>
    <xf numFmtId="0" fontId="5" fillId="0" borderId="0" xfId="22" applyAlignment="1">
      <alignment horizontal="center" wrapText="1"/>
    </xf>
    <xf numFmtId="0" fontId="9" fillId="0" borderId="0" xfId="22" applyFont="1" applyAlignment="1">
      <alignment horizontal="center" wrapText="1"/>
    </xf>
    <xf numFmtId="0" fontId="8" fillId="0" borderId="0" xfId="22" applyFont="1" applyAlignment="1">
      <alignment horizontal="center" wrapText="1"/>
    </xf>
    <xf numFmtId="0" fontId="9" fillId="0" borderId="0" xfId="22" quotePrefix="1" applyFont="1" applyAlignment="1">
      <alignment horizontal="center" wrapText="1"/>
    </xf>
    <xf numFmtId="10" fontId="12" fillId="7" borderId="0" xfId="22" applyNumberFormat="1" applyFont="1" applyFill="1" applyAlignment="1">
      <alignment horizontal="center"/>
    </xf>
    <xf numFmtId="0" fontId="9" fillId="7" borderId="0" xfId="22" applyFont="1" applyFill="1" applyAlignment="1">
      <alignment horizontal="center"/>
    </xf>
    <xf numFmtId="166" fontId="9" fillId="0" borderId="0" xfId="22" applyNumberFormat="1" applyFont="1" applyFill="1" applyAlignment="1">
      <alignment horizontal="center"/>
    </xf>
    <xf numFmtId="15" fontId="9" fillId="0" borderId="0" xfId="22" applyNumberFormat="1" applyFont="1" applyAlignment="1">
      <alignment horizontal="left"/>
    </xf>
    <xf numFmtId="8" fontId="6" fillId="0" borderId="0" xfId="22" applyNumberFormat="1" applyFont="1" applyAlignment="1">
      <alignment horizontal="center"/>
    </xf>
    <xf numFmtId="166" fontId="6" fillId="6" borderId="0" xfId="22" applyNumberFormat="1" applyFont="1" applyFill="1" applyAlignment="1">
      <alignment horizontal="center"/>
    </xf>
    <xf numFmtId="166" fontId="6" fillId="8" borderId="0" xfId="22" applyNumberFormat="1" applyFont="1" applyFill="1" applyAlignment="1">
      <alignment horizontal="center"/>
    </xf>
    <xf numFmtId="15" fontId="9" fillId="0" borderId="0" xfId="22" applyNumberFormat="1" applyFont="1" applyFill="1" applyAlignment="1">
      <alignment horizontal="left"/>
    </xf>
    <xf numFmtId="0" fontId="5" fillId="0" borderId="0" xfId="22" applyFill="1" applyAlignment="1">
      <alignment horizontal="center"/>
    </xf>
    <xf numFmtId="168" fontId="6" fillId="0" borderId="0" xfId="22" applyNumberFormat="1" applyFont="1" applyAlignment="1">
      <alignment horizontal="center"/>
    </xf>
    <xf numFmtId="166" fontId="6" fillId="3" borderId="0" xfId="22" applyNumberFormat="1" applyFont="1" applyFill="1" applyAlignment="1">
      <alignment horizontal="center"/>
    </xf>
    <xf numFmtId="168" fontId="5" fillId="0" borderId="0" xfId="22" applyNumberFormat="1"/>
    <xf numFmtId="166" fontId="5" fillId="0" borderId="0" xfId="22" applyNumberFormat="1"/>
    <xf numFmtId="166" fontId="9" fillId="5" borderId="0" xfId="22" applyNumberFormat="1" applyFont="1" applyFill="1" applyAlignment="1">
      <alignment horizontal="center"/>
    </xf>
    <xf numFmtId="168" fontId="6" fillId="0" borderId="0" xfId="22" applyNumberFormat="1" applyFont="1"/>
    <xf numFmtId="166" fontId="6" fillId="0" borderId="0" xfId="22" applyNumberFormat="1" applyFont="1"/>
    <xf numFmtId="168" fontId="15" fillId="0" borderId="0" xfId="22" applyNumberFormat="1" applyFont="1" applyAlignment="1">
      <alignment horizontal="center"/>
    </xf>
    <xf numFmtId="169" fontId="6" fillId="0" borderId="0" xfId="22" applyNumberFormat="1" applyFont="1" applyAlignment="1">
      <alignment horizontal="center"/>
    </xf>
    <xf numFmtId="169" fontId="6" fillId="5" borderId="0" xfId="22" applyNumberFormat="1" applyFont="1" applyFill="1" applyAlignment="1">
      <alignment horizontal="center"/>
    </xf>
    <xf numFmtId="166" fontId="6" fillId="5" borderId="0" xfId="22" applyNumberFormat="1" applyFont="1" applyFill="1" applyAlignment="1">
      <alignment horizontal="center"/>
    </xf>
    <xf numFmtId="166" fontId="16" fillId="6" borderId="0" xfId="22" applyNumberFormat="1" applyFont="1" applyFill="1" applyAlignment="1">
      <alignment horizontal="center"/>
    </xf>
    <xf numFmtId="166" fontId="16" fillId="3" borderId="0" xfId="22" applyNumberFormat="1" applyFont="1" applyFill="1" applyAlignment="1">
      <alignment horizontal="center"/>
    </xf>
    <xf numFmtId="168" fontId="16" fillId="0" borderId="0" xfId="22" applyNumberFormat="1" applyFont="1" applyAlignment="1">
      <alignment horizontal="center"/>
    </xf>
    <xf numFmtId="166" fontId="16" fillId="0" borderId="0" xfId="22" applyNumberFormat="1" applyFont="1" applyAlignment="1">
      <alignment horizontal="center"/>
    </xf>
    <xf numFmtId="169" fontId="16" fillId="0" borderId="0" xfId="22" applyNumberFormat="1" applyFont="1" applyAlignment="1">
      <alignment horizontal="center"/>
    </xf>
    <xf numFmtId="166" fontId="17" fillId="5" borderId="0" xfId="22" applyNumberFormat="1" applyFont="1" applyFill="1" applyAlignment="1">
      <alignment horizontal="center"/>
    </xf>
    <xf numFmtId="0" fontId="9" fillId="6" borderId="0" xfId="22" applyFont="1" applyFill="1" applyAlignment="1">
      <alignment horizontal="center" wrapText="1"/>
    </xf>
    <xf numFmtId="0" fontId="9" fillId="3" borderId="0" xfId="22" applyFont="1" applyFill="1" applyAlignment="1">
      <alignment horizontal="center" wrapText="1"/>
    </xf>
    <xf numFmtId="0" fontId="9" fillId="5" borderId="0" xfId="22" applyFont="1" applyFill="1" applyAlignment="1">
      <alignment horizontal="center" wrapText="1"/>
    </xf>
    <xf numFmtId="0" fontId="9" fillId="6" borderId="0" xfId="22" quotePrefix="1" applyFont="1" applyFill="1" applyAlignment="1">
      <alignment horizontal="center" wrapText="1"/>
    </xf>
    <xf numFmtId="0" fontId="9" fillId="2" borderId="0" xfId="22" quotePrefix="1" applyFont="1" applyFill="1" applyAlignment="1">
      <alignment horizontal="center" wrapText="1"/>
    </xf>
    <xf numFmtId="0" fontId="9" fillId="3" borderId="0" xfId="22" quotePrefix="1" applyFont="1" applyFill="1" applyAlignment="1">
      <alignment horizontal="center" wrapText="1"/>
    </xf>
    <xf numFmtId="0" fontId="9" fillId="0" borderId="0" xfId="22" applyFont="1" applyAlignment="1">
      <alignment horizontal="center"/>
    </xf>
    <xf numFmtId="10" fontId="9" fillId="0" borderId="0" xfId="22" applyNumberFormat="1" applyFont="1" applyFill="1" applyAlignment="1">
      <alignment horizontal="center"/>
    </xf>
    <xf numFmtId="0" fontId="9" fillId="0" borderId="0" xfId="22" applyFont="1" applyFill="1" applyAlignment="1">
      <alignment horizontal="center"/>
    </xf>
    <xf numFmtId="10" fontId="9" fillId="7" borderId="0" xfId="22" applyNumberFormat="1" applyFont="1" applyFill="1" applyAlignment="1">
      <alignment horizontal="center"/>
    </xf>
    <xf numFmtId="0" fontId="9" fillId="0" borderId="0" xfId="22" quotePrefix="1" applyFont="1" applyAlignment="1">
      <alignment horizontal="center"/>
    </xf>
    <xf numFmtId="1" fontId="6" fillId="0" borderId="0" xfId="22" applyNumberFormat="1" applyFont="1" applyAlignment="1">
      <alignment horizontal="center"/>
    </xf>
    <xf numFmtId="1" fontId="5" fillId="0" borderId="0" xfId="22" applyNumberFormat="1" applyAlignment="1">
      <alignment horizontal="center"/>
    </xf>
    <xf numFmtId="1" fontId="6" fillId="9" borderId="0" xfId="22" applyNumberFormat="1" applyFont="1" applyFill="1" applyAlignment="1">
      <alignment horizontal="center"/>
    </xf>
    <xf numFmtId="1" fontId="6" fillId="0" borderId="0" xfId="22" applyNumberFormat="1" applyFont="1" applyFill="1" applyAlignment="1">
      <alignment horizontal="center"/>
    </xf>
    <xf numFmtId="3" fontId="6" fillId="0" borderId="0" xfId="22" applyNumberFormat="1" applyFont="1" applyAlignment="1">
      <alignment horizontal="center"/>
    </xf>
    <xf numFmtId="3" fontId="6" fillId="0" borderId="0" xfId="22" applyNumberFormat="1" applyFont="1" applyFill="1" applyAlignment="1">
      <alignment horizontal="center"/>
    </xf>
    <xf numFmtId="3" fontId="6" fillId="9" borderId="0" xfId="22" applyNumberFormat="1" applyFont="1" applyFill="1" applyAlignment="1">
      <alignment horizontal="center"/>
    </xf>
    <xf numFmtId="170" fontId="9" fillId="5" borderId="0" xfId="22" applyNumberFormat="1" applyFont="1" applyFill="1" applyAlignment="1">
      <alignment horizontal="center"/>
    </xf>
    <xf numFmtId="3" fontId="6" fillId="5" borderId="0" xfId="22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9" fillId="5" borderId="0" xfId="22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5" borderId="0" xfId="22" applyNumberFormat="1" applyFont="1" applyFill="1" applyAlignment="1">
      <alignment horizontal="center"/>
    </xf>
    <xf numFmtId="0" fontId="8" fillId="5" borderId="0" xfId="22" applyFont="1" applyFill="1" applyAlignment="1">
      <alignment horizontal="center" wrapText="1"/>
    </xf>
    <xf numFmtId="0" fontId="9" fillId="2" borderId="0" xfId="22" applyFont="1" applyFill="1" applyAlignment="1">
      <alignment horizontal="center" wrapText="1"/>
    </xf>
    <xf numFmtId="0" fontId="6" fillId="0" borderId="0" xfId="22" applyFont="1" applyAlignment="1">
      <alignment horizontal="center" wrapText="1"/>
    </xf>
    <xf numFmtId="0" fontId="9" fillId="0" borderId="0" xfId="22" quotePrefix="1" applyFont="1" applyFill="1" applyAlignment="1">
      <alignment horizontal="center"/>
    </xf>
    <xf numFmtId="0" fontId="9" fillId="0" borderId="0" xfId="22" applyFont="1" applyFill="1" applyAlignment="1"/>
    <xf numFmtId="0" fontId="9" fillId="4" borderId="0" xfId="22" applyFont="1" applyFill="1" applyAlignment="1">
      <alignment horizontal="center"/>
    </xf>
    <xf numFmtId="0" fontId="9" fillId="6" borderId="0" xfId="22" quotePrefix="1" applyFont="1" applyFill="1" applyAlignment="1">
      <alignment horizontal="center"/>
    </xf>
    <xf numFmtId="0" fontId="9" fillId="0" borderId="0" xfId="22" applyFo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9" fillId="6" borderId="0" xfId="0" quotePrefix="1" applyNumberFormat="1" applyFont="1" applyFill="1" applyAlignment="1">
      <alignment horizontal="center"/>
    </xf>
    <xf numFmtId="0" fontId="9" fillId="0" borderId="0" xfId="22" applyFont="1" applyAlignment="1">
      <alignment horizontal="center"/>
    </xf>
    <xf numFmtId="0" fontId="9" fillId="5" borderId="0" xfId="22" quotePrefix="1" applyFont="1" applyFill="1" applyAlignment="1">
      <alignment horizontal="center"/>
    </xf>
    <xf numFmtId="0" fontId="9" fillId="5" borderId="0" xfId="22" applyFont="1" applyFill="1" applyAlignment="1">
      <alignment horizontal="center"/>
    </xf>
    <xf numFmtId="0" fontId="9" fillId="6" borderId="0" xfId="22" applyFont="1" applyFill="1" applyAlignment="1">
      <alignment horizontal="center"/>
    </xf>
    <xf numFmtId="0" fontId="9" fillId="6" borderId="0" xfId="22" quotePrefix="1" applyFont="1" applyFill="1" applyAlignment="1">
      <alignment horizontal="center"/>
    </xf>
    <xf numFmtId="0" fontId="20" fillId="6" borderId="7" xfId="22" quotePrefix="1" applyFont="1" applyFill="1" applyBorder="1" applyAlignment="1">
      <alignment horizontal="center"/>
    </xf>
    <xf numFmtId="0" fontId="20" fillId="6" borderId="6" xfId="22" quotePrefix="1" applyFont="1" applyFill="1" applyBorder="1" applyAlignment="1">
      <alignment horizontal="center"/>
    </xf>
    <xf numFmtId="0" fontId="20" fillId="6" borderId="5" xfId="22" quotePrefix="1" applyFont="1" applyFill="1" applyBorder="1" applyAlignment="1">
      <alignment horizontal="center"/>
    </xf>
    <xf numFmtId="0" fontId="9" fillId="0" borderId="0" xfId="22" quotePrefix="1" applyFont="1" applyFill="1" applyAlignment="1">
      <alignment horizontal="center"/>
    </xf>
    <xf numFmtId="0" fontId="9" fillId="4" borderId="0" xfId="22" quotePrefix="1" applyFont="1" applyFill="1" applyAlignment="1">
      <alignment horizontal="center"/>
    </xf>
    <xf numFmtId="0" fontId="9" fillId="4" borderId="0" xfId="22" applyFont="1" applyFill="1" applyAlignment="1">
      <alignment horizontal="center"/>
    </xf>
  </cellXfs>
  <cellStyles count="23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_060415 RAP Fuel Price Forecast Template - Case 1 (Historical Spread)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2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3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133350</xdr:rowOff>
        </xdr:from>
        <xdr:to>
          <xdr:col>12</xdr:col>
          <xdr:colOff>266700</xdr:colOff>
          <xdr:row>9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7.%20July\130701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sqref="A1: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1" t="s">
        <v>91</v>
      </c>
    </row>
    <row r="2" spans="1:3" x14ac:dyDescent="0.25">
      <c r="A2" s="101" t="s">
        <v>92</v>
      </c>
    </row>
    <row r="3" spans="1:3" x14ac:dyDescent="0.25">
      <c r="A3" s="101" t="s">
        <v>93</v>
      </c>
    </row>
    <row r="4" spans="1:3" x14ac:dyDescent="0.25">
      <c r="A4" s="101" t="s">
        <v>94</v>
      </c>
    </row>
    <row r="5" spans="1:3" x14ac:dyDescent="0.25">
      <c r="A5" s="101" t="s">
        <v>96</v>
      </c>
    </row>
    <row r="6" spans="1:3" x14ac:dyDescent="0.25">
      <c r="A6" s="101" t="s">
        <v>95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2">
        <v>2</v>
      </c>
    </row>
    <row r="10" spans="1:3" x14ac:dyDescent="0.25">
      <c r="B10" s="6" t="s">
        <v>8</v>
      </c>
      <c r="C10" s="104"/>
    </row>
    <row r="11" spans="1:3" x14ac:dyDescent="0.25">
      <c r="B11" s="5" t="s">
        <v>7</v>
      </c>
      <c r="C11" s="103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2">
        <v>2</v>
      </c>
    </row>
    <row r="16" spans="1:3" x14ac:dyDescent="0.25">
      <c r="B16" s="6" t="s">
        <v>8</v>
      </c>
      <c r="C16" s="104"/>
    </row>
    <row r="17" spans="2:3" x14ac:dyDescent="0.25">
      <c r="B17" s="5" t="s">
        <v>7</v>
      </c>
      <c r="C17" s="103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2">
        <v>2</v>
      </c>
    </row>
    <row r="22" spans="2:3" x14ac:dyDescent="0.25">
      <c r="B22" s="6" t="s">
        <v>8</v>
      </c>
      <c r="C22" s="104"/>
    </row>
    <row r="23" spans="2:3" x14ac:dyDescent="0.25">
      <c r="B23" s="5" t="s">
        <v>7</v>
      </c>
      <c r="C23" s="103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2">
        <v>1</v>
      </c>
    </row>
    <row r="28" spans="2:3" x14ac:dyDescent="0.25">
      <c r="B28" s="2" t="s">
        <v>4</v>
      </c>
      <c r="C28" s="103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2">
        <v>2</v>
      </c>
    </row>
    <row r="33" spans="2:3" x14ac:dyDescent="0.25">
      <c r="B33" s="6" t="s">
        <v>8</v>
      </c>
      <c r="C33" s="104"/>
    </row>
    <row r="34" spans="2:3" x14ac:dyDescent="0.25">
      <c r="B34" s="5" t="s">
        <v>7</v>
      </c>
      <c r="C34" s="103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2">
        <v>1</v>
      </c>
    </row>
    <row r="39" spans="2:3" x14ac:dyDescent="0.25">
      <c r="B39" s="2" t="s">
        <v>4</v>
      </c>
      <c r="C39" s="103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2">
        <v>1</v>
      </c>
    </row>
    <row r="43" spans="2:3" x14ac:dyDescent="0.25">
      <c r="B43" s="2" t="s">
        <v>0</v>
      </c>
      <c r="C43" s="103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0" zoomScaleNormal="70" workbookViewId="0">
      <pane xSplit="1" ySplit="13" topLeftCell="B14" activePane="bottomRight" state="frozen"/>
      <selection activeCell="A7" sqref="A7:B7"/>
      <selection pane="topRight" activeCell="A7" sqref="A7:B7"/>
      <selection pane="bottomLeft" activeCell="A7" sqref="A7:B7"/>
      <selection pane="bottomRight" activeCell="G15" sqref="G15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1" t="s">
        <v>91</v>
      </c>
    </row>
    <row r="2" spans="1:19" ht="15.75" x14ac:dyDescent="0.25">
      <c r="A2" s="101" t="s">
        <v>92</v>
      </c>
    </row>
    <row r="3" spans="1:19" ht="15.75" x14ac:dyDescent="0.25">
      <c r="A3" s="101" t="s">
        <v>93</v>
      </c>
    </row>
    <row r="4" spans="1:19" ht="15.75" x14ac:dyDescent="0.25">
      <c r="A4" s="101" t="s">
        <v>94</v>
      </c>
    </row>
    <row r="5" spans="1:19" ht="15.75" x14ac:dyDescent="0.25">
      <c r="A5" s="101" t="s">
        <v>96</v>
      </c>
    </row>
    <row r="6" spans="1:19" ht="15.75" x14ac:dyDescent="0.25">
      <c r="A6" s="101" t="s">
        <v>97</v>
      </c>
    </row>
    <row r="7" spans="1:19" ht="20.25" x14ac:dyDescent="0.3">
      <c r="A7" s="30"/>
    </row>
    <row r="8" spans="1:19" ht="18" x14ac:dyDescent="0.25">
      <c r="A8" s="29" t="s">
        <v>27</v>
      </c>
      <c r="B8" s="29"/>
      <c r="H8" s="26" t="s">
        <v>26</v>
      </c>
    </row>
    <row r="9" spans="1:19" ht="18" x14ac:dyDescent="0.25">
      <c r="A9" s="29"/>
      <c r="B9" s="28" t="s">
        <v>25</v>
      </c>
      <c r="C9" s="27">
        <f>1-0.154</f>
        <v>0.84599999999999997</v>
      </c>
      <c r="D9" s="28" t="s">
        <v>24</v>
      </c>
      <c r="E9" s="27">
        <f>1+0.154</f>
        <v>1.1539999999999999</v>
      </c>
      <c r="H9" s="26"/>
      <c r="P9" s="106"/>
      <c r="Q9" s="106"/>
      <c r="R9" s="106"/>
      <c r="S9" s="106"/>
    </row>
    <row r="10" spans="1:19" ht="15.75" x14ac:dyDescent="0.25">
      <c r="B10" s="105" t="s">
        <v>23</v>
      </c>
      <c r="C10" s="105"/>
      <c r="D10" s="105"/>
      <c r="E10" s="107" t="s">
        <v>22</v>
      </c>
      <c r="F10" s="107"/>
      <c r="G10" s="108"/>
      <c r="H10" s="109" t="s">
        <v>21</v>
      </c>
      <c r="I10" s="109"/>
      <c r="J10" s="109"/>
      <c r="K10" s="109"/>
      <c r="L10" s="108" t="s">
        <v>20</v>
      </c>
      <c r="M10" s="108"/>
      <c r="N10" s="108"/>
      <c r="O10" s="108"/>
      <c r="P10" s="106"/>
      <c r="Q10" s="106"/>
      <c r="R10" s="106"/>
      <c r="S10" s="106"/>
    </row>
    <row r="11" spans="1:19" ht="63" x14ac:dyDescent="0.25">
      <c r="B11" s="25" t="s">
        <v>19</v>
      </c>
      <c r="C11" s="24" t="s">
        <v>17</v>
      </c>
      <c r="D11" s="23" t="s">
        <v>16</v>
      </c>
      <c r="E11" s="25" t="s">
        <v>19</v>
      </c>
      <c r="F11" s="24" t="s">
        <v>17</v>
      </c>
      <c r="G11" s="23" t="s">
        <v>16</v>
      </c>
      <c r="H11" s="25" t="s">
        <v>19</v>
      </c>
      <c r="I11" s="25" t="s">
        <v>18</v>
      </c>
      <c r="J11" s="24" t="s">
        <v>17</v>
      </c>
      <c r="K11" s="23" t="s">
        <v>16</v>
      </c>
      <c r="L11" s="25" t="s">
        <v>19</v>
      </c>
      <c r="M11" s="25" t="s">
        <v>18</v>
      </c>
      <c r="N11" s="24" t="s">
        <v>17</v>
      </c>
      <c r="O11" s="23" t="s">
        <v>16</v>
      </c>
      <c r="P11" s="22"/>
      <c r="Q11" s="18"/>
      <c r="R11" s="18"/>
      <c r="S11" s="18"/>
    </row>
    <row r="12" spans="1:19" ht="13.5" customHeight="1" x14ac:dyDescent="0.25">
      <c r="B12" s="21"/>
      <c r="C12" s="20"/>
      <c r="D12" s="19"/>
      <c r="E12" s="21"/>
      <c r="F12" s="20"/>
      <c r="G12" s="19"/>
      <c r="H12" s="21"/>
      <c r="I12" s="21"/>
      <c r="J12" s="20"/>
      <c r="K12" s="19"/>
      <c r="L12" s="21"/>
      <c r="M12" s="21"/>
      <c r="N12" s="20"/>
      <c r="O12" s="19"/>
      <c r="P12" s="18"/>
      <c r="Q12" s="17"/>
      <c r="R12" s="17"/>
      <c r="S12" s="17"/>
    </row>
    <row r="13" spans="1:19" ht="20.25" x14ac:dyDescent="0.55000000000000004">
      <c r="A13" s="16" t="s">
        <v>15</v>
      </c>
      <c r="B13" s="15" t="s">
        <v>14</v>
      </c>
      <c r="C13" s="15" t="s">
        <v>14</v>
      </c>
      <c r="D13" s="15" t="s">
        <v>14</v>
      </c>
      <c r="E13" s="15" t="s">
        <v>14</v>
      </c>
      <c r="F13" s="15" t="s">
        <v>14</v>
      </c>
      <c r="G13" s="15" t="s">
        <v>14</v>
      </c>
      <c r="H13" s="15" t="s">
        <v>14</v>
      </c>
      <c r="I13" s="15" t="s">
        <v>14</v>
      </c>
      <c r="J13" s="15" t="s">
        <v>14</v>
      </c>
      <c r="K13" s="15" t="s">
        <v>14</v>
      </c>
      <c r="L13" s="15" t="s">
        <v>14</v>
      </c>
      <c r="M13" s="15" t="s">
        <v>14</v>
      </c>
      <c r="N13" s="15" t="s">
        <v>14</v>
      </c>
      <c r="O13" s="15" t="s">
        <v>14</v>
      </c>
      <c r="P13" s="15"/>
      <c r="Q13" s="15"/>
      <c r="R13" s="15"/>
      <c r="S13" s="15"/>
    </row>
    <row r="14" spans="1:19" ht="15" x14ac:dyDescent="0.2">
      <c r="A14" s="13">
        <v>41275</v>
      </c>
      <c r="B14" s="9">
        <f>2.2699 * CHOOSE(CONTROL!$C$32, $C$9, 100%, $E$9)</f>
        <v>2.2698999999999998</v>
      </c>
      <c r="C14" s="9">
        <f>2.2008 * CHOOSE(CONTROL!$C$32, $C$9, 100%, $E$9)</f>
        <v>2.2008000000000001</v>
      </c>
      <c r="D14" s="9">
        <f>2.2397 * CHOOSE(CONTROL!$C$32, $C$9, 100%, $E$9)</f>
        <v>2.2397</v>
      </c>
      <c r="E14" s="11">
        <f>3.5217 * CHOOSE(CONTROL!$C$32, $C$9, 100%, $E$9)</f>
        <v>3.5217000000000001</v>
      </c>
      <c r="F14" s="11">
        <f>3.0912 * CHOOSE(CONTROL!$C$32, $C$9, 100%, $E$9)</f>
        <v>3.0912000000000002</v>
      </c>
      <c r="G14" s="11">
        <f>3.1041 * CHOOSE(CONTROL!$C$32, $C$9, 100%, $E$9)</f>
        <v>3.1040999999999999</v>
      </c>
      <c r="H14" s="11">
        <f>5.79 * CHOOSE(CONTROL!$C$32, $C$9, 100%, $E$9)</f>
        <v>5.79</v>
      </c>
      <c r="I14" s="11">
        <f>5.8029 * CHOOSE(CONTROL!$C$32, $C$9, 100%, $E$9)</f>
        <v>5.8029000000000002</v>
      </c>
      <c r="J14" s="11">
        <f>5.79 * CHOOSE(CONTROL!$C$32, $C$9, 100%, $E$9)</f>
        <v>5.79</v>
      </c>
      <c r="K14" s="11">
        <f>5.8029 * CHOOSE(CONTROL!$C$32, $C$9, 100%, $E$9)</f>
        <v>5.8029000000000002</v>
      </c>
      <c r="L14" s="11">
        <f>3.5217 * CHOOSE(CONTROL!$C$32, $C$9, 100%, $E$9)</f>
        <v>3.5217000000000001</v>
      </c>
      <c r="M14" s="11">
        <f>3.5347 * CHOOSE(CONTROL!$C$32, $C$9, 100%, $E$9)</f>
        <v>3.5347</v>
      </c>
      <c r="N14" s="11">
        <f>3.5217 * CHOOSE(CONTROL!$C$32, $C$9, 100%, $E$9)</f>
        <v>3.5217000000000001</v>
      </c>
      <c r="O14" s="11">
        <f>3.5347 * CHOOSE(CONTROL!$C$32, $C$9, 100%, $E$9)</f>
        <v>3.5347</v>
      </c>
      <c r="P14" s="14"/>
      <c r="Q14" s="11"/>
      <c r="R14" s="11"/>
    </row>
    <row r="15" spans="1:19" ht="15" x14ac:dyDescent="0.2">
      <c r="A15" s="13">
        <v>41306</v>
      </c>
      <c r="B15" s="9">
        <f>2.2758 * CHOOSE(CONTROL!$C$32, $C$9, 100%, $E$9)</f>
        <v>2.2757999999999998</v>
      </c>
      <c r="C15" s="9">
        <f>2.2117 * CHOOSE(CONTROL!$C$32, $C$9, 100%, $E$9)</f>
        <v>2.2117</v>
      </c>
      <c r="D15" s="9">
        <f>2.2506 * CHOOSE(CONTROL!$C$32, $C$9, 100%, $E$9)</f>
        <v>2.2505999999999999</v>
      </c>
      <c r="E15" s="11">
        <f>3.4548 * CHOOSE(CONTROL!$C$32, $C$9, 100%, $E$9)</f>
        <v>3.4548000000000001</v>
      </c>
      <c r="F15" s="11">
        <f>3.0912 * CHOOSE(CONTROL!$C$32, $C$9, 100%, $E$9)</f>
        <v>3.0912000000000002</v>
      </c>
      <c r="G15" s="11">
        <f>3.1041 * CHOOSE(CONTROL!$C$32, $C$9, 100%, $E$9)</f>
        <v>3.1040999999999999</v>
      </c>
      <c r="H15" s="11">
        <f>5.79 * CHOOSE(CONTROL!$C$32, $C$9, 100%, $E$9)</f>
        <v>5.79</v>
      </c>
      <c r="I15" s="11">
        <f>5.8029 * CHOOSE(CONTROL!$C$32, $C$9, 100%, $E$9)</f>
        <v>5.8029000000000002</v>
      </c>
      <c r="J15" s="11">
        <f>5.79 * CHOOSE(CONTROL!$C$32, $C$9, 100%, $E$9)</f>
        <v>5.79</v>
      </c>
      <c r="K15" s="11">
        <f>5.8029 * CHOOSE(CONTROL!$C$32, $C$9, 100%, $E$9)</f>
        <v>5.8029000000000002</v>
      </c>
      <c r="L15" s="11">
        <f>3.4548 * CHOOSE(CONTROL!$C$32, $C$9, 100%, $E$9)</f>
        <v>3.4548000000000001</v>
      </c>
      <c r="M15" s="11">
        <f>3.4678 * CHOOSE(CONTROL!$C$32, $C$9, 100%, $E$9)</f>
        <v>3.4678</v>
      </c>
      <c r="N15" s="11">
        <f>3.4548 * CHOOSE(CONTROL!$C$32, $C$9, 100%, $E$9)</f>
        <v>3.4548000000000001</v>
      </c>
      <c r="O15" s="11">
        <f>3.4678 * CHOOSE(CONTROL!$C$32, $C$9, 100%, $E$9)</f>
        <v>3.4678</v>
      </c>
      <c r="P15" s="14"/>
      <c r="Q15" s="11"/>
      <c r="R15" s="11"/>
    </row>
    <row r="16" spans="1:19" ht="15" x14ac:dyDescent="0.2">
      <c r="A16" s="13">
        <v>41334</v>
      </c>
      <c r="B16" s="9">
        <f>2.2895 * CHOOSE(CONTROL!$C$32, $C$9, 100%, $E$9)</f>
        <v>2.2894999999999999</v>
      </c>
      <c r="C16" s="9">
        <f>2.2178 * CHOOSE(CONTROL!$C$32, $C$9, 100%, $E$9)</f>
        <v>2.2178</v>
      </c>
      <c r="D16" s="9">
        <f>2.2567 * CHOOSE(CONTROL!$C$32, $C$9, 100%, $E$9)</f>
        <v>2.2566999999999999</v>
      </c>
      <c r="E16" s="11">
        <f>3.4548 * CHOOSE(CONTROL!$C$32, $C$9, 100%, $E$9)</f>
        <v>3.4548000000000001</v>
      </c>
      <c r="F16" s="11">
        <f>3.0866 * CHOOSE(CONTROL!$C$32, $C$9, 100%, $E$9)</f>
        <v>3.0865999999999998</v>
      </c>
      <c r="G16" s="11">
        <f>3.0996 * CHOOSE(CONTROL!$C$32, $C$9, 100%, $E$9)</f>
        <v>3.0996000000000001</v>
      </c>
      <c r="H16" s="11">
        <f>5.79 * CHOOSE(CONTROL!$C$32, $C$9, 100%, $E$9)</f>
        <v>5.79</v>
      </c>
      <c r="I16" s="11">
        <f>5.8029 * CHOOSE(CONTROL!$C$32, $C$9, 100%, $E$9)</f>
        <v>5.8029000000000002</v>
      </c>
      <c r="J16" s="11">
        <f>5.79 * CHOOSE(CONTROL!$C$32, $C$9, 100%, $E$9)</f>
        <v>5.79</v>
      </c>
      <c r="K16" s="11">
        <f>5.8029 * CHOOSE(CONTROL!$C$32, $C$9, 100%, $E$9)</f>
        <v>5.8029000000000002</v>
      </c>
      <c r="L16" s="11">
        <f>3.4548 * CHOOSE(CONTROL!$C$32, $C$9, 100%, $E$9)</f>
        <v>3.4548000000000001</v>
      </c>
      <c r="M16" s="11">
        <f>3.4678 * CHOOSE(CONTROL!$C$32, $C$9, 100%, $E$9)</f>
        <v>3.4678</v>
      </c>
      <c r="N16" s="11">
        <f>3.4548 * CHOOSE(CONTROL!$C$32, $C$9, 100%, $E$9)</f>
        <v>3.4548000000000001</v>
      </c>
      <c r="O16" s="11">
        <f>3.4678 * CHOOSE(CONTROL!$C$32, $C$9, 100%, $E$9)</f>
        <v>3.4678</v>
      </c>
      <c r="P16" s="14"/>
      <c r="Q16" s="11"/>
      <c r="R16" s="11"/>
    </row>
    <row r="17" spans="1:18" ht="15" x14ac:dyDescent="0.2">
      <c r="A17" s="13">
        <v>41365</v>
      </c>
      <c r="B17" s="9">
        <f>2.2879 * CHOOSE(CONTROL!$C$32, $C$9, 100%, $E$9)</f>
        <v>2.2879</v>
      </c>
      <c r="C17" s="9">
        <f>2.1959 * CHOOSE(CONTROL!$C$32, $C$9, 100%, $E$9)</f>
        <v>2.1959</v>
      </c>
      <c r="D17" s="9">
        <f>2.2348 * CHOOSE(CONTROL!$C$32, $C$9, 100%, $E$9)</f>
        <v>2.2347999999999999</v>
      </c>
      <c r="E17" s="11">
        <f>3.4508 * CHOOSE(CONTROL!$C$32, $C$9, 100%, $E$9)</f>
        <v>3.4508000000000001</v>
      </c>
      <c r="F17" s="11">
        <f>3.0772 * CHOOSE(CONTROL!$C$32, $C$9, 100%, $E$9)</f>
        <v>3.0771999999999999</v>
      </c>
      <c r="G17" s="11">
        <f>3.0901 * CHOOSE(CONTROL!$C$32, $C$9, 100%, $E$9)</f>
        <v>3.0901000000000001</v>
      </c>
      <c r="H17" s="11">
        <f>5.829 * CHOOSE(CONTROL!$C$32, $C$9, 100%, $E$9)</f>
        <v>5.8289999999999997</v>
      </c>
      <c r="I17" s="11">
        <f>5.8419 * CHOOSE(CONTROL!$C$32, $C$9, 100%, $E$9)</f>
        <v>5.8418999999999999</v>
      </c>
      <c r="J17" s="11">
        <f>5.829 * CHOOSE(CONTROL!$C$32, $C$9, 100%, $E$9)</f>
        <v>5.8289999999999997</v>
      </c>
      <c r="K17" s="11">
        <f>5.8419 * CHOOSE(CONTROL!$C$32, $C$9, 100%, $E$9)</f>
        <v>5.8418999999999999</v>
      </c>
      <c r="L17" s="11">
        <f>3.4508 * CHOOSE(CONTROL!$C$32, $C$9, 100%, $E$9)</f>
        <v>3.4508000000000001</v>
      </c>
      <c r="M17" s="11">
        <f>3.4638 * CHOOSE(CONTROL!$C$32, $C$9, 100%, $E$9)</f>
        <v>3.4638</v>
      </c>
      <c r="N17" s="11">
        <f>3.4508 * CHOOSE(CONTROL!$C$32, $C$9, 100%, $E$9)</f>
        <v>3.4508000000000001</v>
      </c>
      <c r="O17" s="11">
        <f>3.4638 * CHOOSE(CONTROL!$C$32, $C$9, 100%, $E$9)</f>
        <v>3.4638</v>
      </c>
      <c r="P17" s="14"/>
      <c r="Q17" s="11"/>
      <c r="R17" s="11"/>
    </row>
    <row r="18" spans="1:18" ht="15" x14ac:dyDescent="0.2">
      <c r="A18" s="13">
        <v>41395</v>
      </c>
      <c r="B18" s="9">
        <f>2.2947 * CHOOSE(CONTROL!$C$32, $C$9, 100%, $E$9)</f>
        <v>2.2947000000000002</v>
      </c>
      <c r="C18" s="9">
        <f>2.19 * CHOOSE(CONTROL!$C$32, $C$9, 100%, $E$9)</f>
        <v>2.19</v>
      </c>
      <c r="D18" s="9">
        <f>2.2475 * CHOOSE(CONTROL!$C$32, $C$9, 100%, $E$9)</f>
        <v>2.2475000000000001</v>
      </c>
      <c r="E18" s="11">
        <f>3.4702 * CHOOSE(CONTROL!$C$32, $C$9, 100%, $E$9)</f>
        <v>3.4702000000000002</v>
      </c>
      <c r="F18" s="11">
        <f>3.084 * CHOOSE(CONTROL!$C$32, $C$9, 100%, $E$9)</f>
        <v>3.0840000000000001</v>
      </c>
      <c r="G18" s="11">
        <f>3.1031 * CHOOSE(CONTROL!$C$32, $C$9, 100%, $E$9)</f>
        <v>3.1031</v>
      </c>
      <c r="H18" s="11">
        <f>5.829 * CHOOSE(CONTROL!$C$32, $C$9, 100%, $E$9)</f>
        <v>5.8289999999999997</v>
      </c>
      <c r="I18" s="11">
        <f>5.8481 * CHOOSE(CONTROL!$C$32, $C$9, 100%, $E$9)</f>
        <v>5.8480999999999996</v>
      </c>
      <c r="J18" s="11">
        <f>5.829 * CHOOSE(CONTROL!$C$32, $C$9, 100%, $E$9)</f>
        <v>5.8289999999999997</v>
      </c>
      <c r="K18" s="11">
        <f>5.8481 * CHOOSE(CONTROL!$C$32, $C$9, 100%, $E$9)</f>
        <v>5.8480999999999996</v>
      </c>
      <c r="L18" s="11">
        <f>3.4702 * CHOOSE(CONTROL!$C$32, $C$9, 100%, $E$9)</f>
        <v>3.4702000000000002</v>
      </c>
      <c r="M18" s="11">
        <f>3.4892 * CHOOSE(CONTROL!$C$32, $C$9, 100%, $E$9)</f>
        <v>3.4891999999999999</v>
      </c>
      <c r="N18" s="11">
        <f>3.4702 * CHOOSE(CONTROL!$C$32, $C$9, 100%, $E$9)</f>
        <v>3.4702000000000002</v>
      </c>
      <c r="O18" s="11">
        <f>3.4892 * CHOOSE(CONTROL!$C$32, $C$9, 100%, $E$9)</f>
        <v>3.4891999999999999</v>
      </c>
      <c r="P18" s="14"/>
      <c r="Q18" s="11"/>
      <c r="R18" s="11"/>
    </row>
    <row r="19" spans="1:18" ht="15" x14ac:dyDescent="0.2">
      <c r="A19" s="13">
        <v>41426</v>
      </c>
      <c r="B19" s="9">
        <f>2.296 * CHOOSE(CONTROL!$C$32, $C$9, 100%, $E$9)</f>
        <v>2.2959999999999998</v>
      </c>
      <c r="C19" s="9">
        <f>2.1989 * CHOOSE(CONTROL!$C$32, $C$9, 100%, $E$9)</f>
        <v>2.1989000000000001</v>
      </c>
      <c r="D19" s="9">
        <f>2.2564 * CHOOSE(CONTROL!$C$32, $C$9, 100%, $E$9)</f>
        <v>2.2564000000000002</v>
      </c>
      <c r="E19" s="11">
        <f>3.4782 * CHOOSE(CONTROL!$C$32, $C$9, 100%, $E$9)</f>
        <v>3.4782000000000002</v>
      </c>
      <c r="F19" s="11">
        <f>3.109 * CHOOSE(CONTROL!$C$32, $C$9, 100%, $E$9)</f>
        <v>3.109</v>
      </c>
      <c r="G19" s="11">
        <f>3.1281 * CHOOSE(CONTROL!$C$32, $C$9, 100%, $E$9)</f>
        <v>3.1280999999999999</v>
      </c>
      <c r="H19" s="11">
        <f>5.829 * CHOOSE(CONTROL!$C$32, $C$9, 100%, $E$9)</f>
        <v>5.8289999999999997</v>
      </c>
      <c r="I19" s="11">
        <f>5.8481 * CHOOSE(CONTROL!$C$32, $C$9, 100%, $E$9)</f>
        <v>5.8480999999999996</v>
      </c>
      <c r="J19" s="11">
        <f>5.829 * CHOOSE(CONTROL!$C$32, $C$9, 100%, $E$9)</f>
        <v>5.8289999999999997</v>
      </c>
      <c r="K19" s="11">
        <f>5.8481 * CHOOSE(CONTROL!$C$32, $C$9, 100%, $E$9)</f>
        <v>5.8480999999999996</v>
      </c>
      <c r="L19" s="11">
        <f>3.4782 * CHOOSE(CONTROL!$C$32, $C$9, 100%, $E$9)</f>
        <v>3.4782000000000002</v>
      </c>
      <c r="M19" s="11">
        <f>3.4973 * CHOOSE(CONTROL!$C$32, $C$9, 100%, $E$9)</f>
        <v>3.4973000000000001</v>
      </c>
      <c r="N19" s="11">
        <f>3.4782 * CHOOSE(CONTROL!$C$32, $C$9, 100%, $E$9)</f>
        <v>3.4782000000000002</v>
      </c>
      <c r="O19" s="11">
        <f>3.4973 * CHOOSE(CONTROL!$C$32, $C$9, 100%, $E$9)</f>
        <v>3.4973000000000001</v>
      </c>
      <c r="P19" s="14"/>
      <c r="Q19" s="11"/>
      <c r="R19" s="11"/>
    </row>
    <row r="20" spans="1:18" ht="15" x14ac:dyDescent="0.2">
      <c r="A20" s="13">
        <v>41456</v>
      </c>
      <c r="B20" s="9">
        <f>2.3 * CHOOSE(CONTROL!$C$32, $C$9, 100%, $E$9)</f>
        <v>2.2999999999999998</v>
      </c>
      <c r="C20" s="9">
        <f>2.2233 * CHOOSE(CONTROL!$C$32, $C$9, 100%, $E$9)</f>
        <v>2.2233000000000001</v>
      </c>
      <c r="D20" s="9">
        <f>2.2808 * CHOOSE(CONTROL!$C$32, $C$9, 100%, $E$9)</f>
        <v>2.2808000000000002</v>
      </c>
      <c r="E20" s="11">
        <f>3.4973 * CHOOSE(CONTROL!$C$32, $C$9, 100%, $E$9)</f>
        <v>3.4973000000000001</v>
      </c>
      <c r="F20" s="11">
        <f>3.1418 * CHOOSE(CONTROL!$C$32, $C$9, 100%, $E$9)</f>
        <v>3.1417999999999999</v>
      </c>
      <c r="G20" s="11">
        <f>3.1609 * CHOOSE(CONTROL!$C$32, $C$9, 100%, $E$9)</f>
        <v>3.1608999999999998</v>
      </c>
      <c r="H20" s="11">
        <f>5.8411 * CHOOSE(CONTROL!$C$32, $C$9, 100%, $E$9)</f>
        <v>5.8411</v>
      </c>
      <c r="I20" s="11">
        <f>5.8602 * CHOOSE(CONTROL!$C$32, $C$9, 100%, $E$9)</f>
        <v>5.8601999999999999</v>
      </c>
      <c r="J20" s="11">
        <f>5.8411 * CHOOSE(CONTROL!$C$32, $C$9, 100%, $E$9)</f>
        <v>5.8411</v>
      </c>
      <c r="K20" s="11">
        <f>5.8602 * CHOOSE(CONTROL!$C$32, $C$9, 100%, $E$9)</f>
        <v>5.8601999999999999</v>
      </c>
      <c r="L20" s="11">
        <f>3.4973 * CHOOSE(CONTROL!$C$32, $C$9, 100%, $E$9)</f>
        <v>3.4973000000000001</v>
      </c>
      <c r="M20" s="11">
        <f>3.5163 * CHOOSE(CONTROL!$C$32, $C$9, 100%, $E$9)</f>
        <v>3.5163000000000002</v>
      </c>
      <c r="N20" s="11">
        <f>3.4973 * CHOOSE(CONTROL!$C$32, $C$9, 100%, $E$9)</f>
        <v>3.4973000000000001</v>
      </c>
      <c r="O20" s="11">
        <f>3.5163 * CHOOSE(CONTROL!$C$32, $C$9, 100%, $E$9)</f>
        <v>3.5163000000000002</v>
      </c>
      <c r="P20" s="14"/>
      <c r="Q20" s="11"/>
      <c r="R20" s="11"/>
    </row>
    <row r="21" spans="1:18" ht="15" x14ac:dyDescent="0.2">
      <c r="A21" s="13">
        <v>41487</v>
      </c>
      <c r="B21" s="9">
        <f>2.3085 * CHOOSE(CONTROL!$C$32, $C$9, 100%, $E$9)</f>
        <v>2.3085</v>
      </c>
      <c r="C21" s="9">
        <f>2.2521 * CHOOSE(CONTROL!$C$32, $C$9, 100%, $E$9)</f>
        <v>2.2521</v>
      </c>
      <c r="D21" s="9">
        <f>2.3096 * CHOOSE(CONTROL!$C$32, $C$9, 100%, $E$9)</f>
        <v>2.3096000000000001</v>
      </c>
      <c r="E21" s="11">
        <f>3.499 * CHOOSE(CONTROL!$C$32, $C$9, 100%, $E$9)</f>
        <v>3.4990000000000001</v>
      </c>
      <c r="F21" s="11">
        <f>3.1759 * CHOOSE(CONTROL!$C$32, $C$9, 100%, $E$9)</f>
        <v>3.1758999999999999</v>
      </c>
      <c r="G21" s="11">
        <f>3.195 * CHOOSE(CONTROL!$C$32, $C$9, 100%, $E$9)</f>
        <v>3.1949999999999998</v>
      </c>
      <c r="H21" s="11">
        <f>5.8533 * CHOOSE(CONTROL!$C$32, $C$9, 100%, $E$9)</f>
        <v>5.8532999999999999</v>
      </c>
      <c r="I21" s="11">
        <f>5.8724 * CHOOSE(CONTROL!$C$32, $C$9, 100%, $E$9)</f>
        <v>5.8723999999999998</v>
      </c>
      <c r="J21" s="11">
        <f>5.8533 * CHOOSE(CONTROL!$C$32, $C$9, 100%, $E$9)</f>
        <v>5.8532999999999999</v>
      </c>
      <c r="K21" s="11">
        <f>5.8724 * CHOOSE(CONTROL!$C$32, $C$9, 100%, $E$9)</f>
        <v>5.8723999999999998</v>
      </c>
      <c r="L21" s="11">
        <f>3.499 * CHOOSE(CONTROL!$C$32, $C$9, 100%, $E$9)</f>
        <v>3.4990000000000001</v>
      </c>
      <c r="M21" s="11">
        <f>3.518 * CHOOSE(CONTROL!$C$32, $C$9, 100%, $E$9)</f>
        <v>3.5179999999999998</v>
      </c>
      <c r="N21" s="11">
        <f>3.499 * CHOOSE(CONTROL!$C$32, $C$9, 100%, $E$9)</f>
        <v>3.4990000000000001</v>
      </c>
      <c r="O21" s="11">
        <f>3.518 * CHOOSE(CONTROL!$C$32, $C$9, 100%, $E$9)</f>
        <v>3.5179999999999998</v>
      </c>
      <c r="P21" s="14"/>
      <c r="Q21" s="11"/>
      <c r="R21" s="11"/>
    </row>
    <row r="22" spans="1:18" ht="15" x14ac:dyDescent="0.2">
      <c r="A22" s="13">
        <v>41518</v>
      </c>
      <c r="B22" s="9">
        <f>2.3073 * CHOOSE(CONTROL!$C$32, $C$9, 100%, $E$9)</f>
        <v>2.3073000000000001</v>
      </c>
      <c r="C22" s="9">
        <f>2.2458 * CHOOSE(CONTROL!$C$32, $C$9, 100%, $E$9)</f>
        <v>2.2458</v>
      </c>
      <c r="D22" s="9">
        <f>2.3033 * CHOOSE(CONTROL!$C$32, $C$9, 100%, $E$9)</f>
        <v>2.3033000000000001</v>
      </c>
      <c r="E22" s="11">
        <f>3.4957 * CHOOSE(CONTROL!$C$32, $C$9, 100%, $E$9)</f>
        <v>3.4956999999999998</v>
      </c>
      <c r="F22" s="11">
        <f>3.1918 * CHOOSE(CONTROL!$C$32, $C$9, 100%, $E$9)</f>
        <v>3.1918000000000002</v>
      </c>
      <c r="G22" s="11">
        <f>3.2109 * CHOOSE(CONTROL!$C$32, $C$9, 100%, $E$9)</f>
        <v>3.2109000000000001</v>
      </c>
      <c r="H22" s="11">
        <f>5.8655 * CHOOSE(CONTROL!$C$32, $C$9, 100%, $E$9)</f>
        <v>5.8654999999999999</v>
      </c>
      <c r="I22" s="11">
        <f>5.8846 * CHOOSE(CONTROL!$C$32, $C$9, 100%, $E$9)</f>
        <v>5.8845999999999998</v>
      </c>
      <c r="J22" s="11">
        <f>5.8655 * CHOOSE(CONTROL!$C$32, $C$9, 100%, $E$9)</f>
        <v>5.8654999999999999</v>
      </c>
      <c r="K22" s="11">
        <f>5.8846 * CHOOSE(CONTROL!$C$32, $C$9, 100%, $E$9)</f>
        <v>5.8845999999999998</v>
      </c>
      <c r="L22" s="11">
        <f>3.4957 * CHOOSE(CONTROL!$C$32, $C$9, 100%, $E$9)</f>
        <v>3.4956999999999998</v>
      </c>
      <c r="M22" s="11">
        <f>3.5147 * CHOOSE(CONTROL!$C$32, $C$9, 100%, $E$9)</f>
        <v>3.5146999999999999</v>
      </c>
      <c r="N22" s="11">
        <f>3.4957 * CHOOSE(CONTROL!$C$32, $C$9, 100%, $E$9)</f>
        <v>3.4956999999999998</v>
      </c>
      <c r="O22" s="11">
        <f>3.5147 * CHOOSE(CONTROL!$C$32, $C$9, 100%, $E$9)</f>
        <v>3.5146999999999999</v>
      </c>
      <c r="P22" s="14"/>
      <c r="Q22" s="11"/>
      <c r="R22" s="11"/>
    </row>
    <row r="23" spans="1:18" ht="15" x14ac:dyDescent="0.2">
      <c r="A23" s="13">
        <v>41548</v>
      </c>
      <c r="B23" s="9">
        <f>2.3058 * CHOOSE(CONTROL!$C$32, $C$9, 100%, $E$9)</f>
        <v>2.3058000000000001</v>
      </c>
      <c r="C23" s="9">
        <f>2.2367 * CHOOSE(CONTROL!$C$32, $C$9, 100%, $E$9)</f>
        <v>2.2366999999999999</v>
      </c>
      <c r="D23" s="9">
        <f>2.2756 * CHOOSE(CONTROL!$C$32, $C$9, 100%, $E$9)</f>
        <v>2.2755999999999998</v>
      </c>
      <c r="E23" s="11">
        <f>3.5106 * CHOOSE(CONTROL!$C$32, $C$9, 100%, $E$9)</f>
        <v>3.5106000000000002</v>
      </c>
      <c r="F23" s="11">
        <f>3.2177 * CHOOSE(CONTROL!$C$32, $C$9, 100%, $E$9)</f>
        <v>3.2176999999999998</v>
      </c>
      <c r="G23" s="11">
        <f>3.2307 * CHOOSE(CONTROL!$C$32, $C$9, 100%, $E$9)</f>
        <v>3.2307000000000001</v>
      </c>
      <c r="H23" s="11">
        <f>5.8777 * CHOOSE(CONTROL!$C$32, $C$9, 100%, $E$9)</f>
        <v>5.8776999999999999</v>
      </c>
      <c r="I23" s="11">
        <f>5.8907 * CHOOSE(CONTROL!$C$32, $C$9, 100%, $E$9)</f>
        <v>5.8906999999999998</v>
      </c>
      <c r="J23" s="11">
        <f>5.8777 * CHOOSE(CONTROL!$C$32, $C$9, 100%, $E$9)</f>
        <v>5.8776999999999999</v>
      </c>
      <c r="K23" s="11">
        <f>5.8907 * CHOOSE(CONTROL!$C$32, $C$9, 100%, $E$9)</f>
        <v>5.8906999999999998</v>
      </c>
      <c r="L23" s="11">
        <f>3.5106 * CHOOSE(CONTROL!$C$32, $C$9, 100%, $E$9)</f>
        <v>3.5106000000000002</v>
      </c>
      <c r="M23" s="11">
        <f>3.5235 * CHOOSE(CONTROL!$C$32, $C$9, 100%, $E$9)</f>
        <v>3.5234999999999999</v>
      </c>
      <c r="N23" s="11">
        <f>3.5106 * CHOOSE(CONTROL!$C$32, $C$9, 100%, $E$9)</f>
        <v>3.5106000000000002</v>
      </c>
      <c r="O23" s="11">
        <f>3.5235 * CHOOSE(CONTROL!$C$32, $C$9, 100%, $E$9)</f>
        <v>3.5234999999999999</v>
      </c>
      <c r="P23" s="14"/>
      <c r="Q23" s="11"/>
      <c r="R23" s="11"/>
    </row>
    <row r="24" spans="1:18" ht="15" x14ac:dyDescent="0.2">
      <c r="A24" s="13">
        <v>41579</v>
      </c>
      <c r="B24" s="9">
        <f>2.3113 * CHOOSE(CONTROL!$C$32, $C$9, 100%, $E$9)</f>
        <v>2.3113000000000001</v>
      </c>
      <c r="C24" s="9">
        <f>2.2472 * CHOOSE(CONTROL!$C$32, $C$9, 100%, $E$9)</f>
        <v>2.2471999999999999</v>
      </c>
      <c r="D24" s="9">
        <f>2.2862 * CHOOSE(CONTROL!$C$32, $C$9, 100%, $E$9)</f>
        <v>2.2862</v>
      </c>
      <c r="E24" s="11">
        <f>3.5106 * CHOOSE(CONTROL!$C$32, $C$9, 100%, $E$9)</f>
        <v>3.5106000000000002</v>
      </c>
      <c r="F24" s="11">
        <f>3.245 * CHOOSE(CONTROL!$C$32, $C$9, 100%, $E$9)</f>
        <v>3.2450000000000001</v>
      </c>
      <c r="G24" s="11">
        <f>3.258 * CHOOSE(CONTROL!$C$32, $C$9, 100%, $E$9)</f>
        <v>3.258</v>
      </c>
      <c r="H24" s="11">
        <f>5.89 * CHOOSE(CONTROL!$C$32, $C$9, 100%, $E$9)</f>
        <v>5.89</v>
      </c>
      <c r="I24" s="11">
        <f>5.9029 * CHOOSE(CONTROL!$C$32, $C$9, 100%, $E$9)</f>
        <v>5.9028999999999998</v>
      </c>
      <c r="J24" s="11">
        <f>5.89 * CHOOSE(CONTROL!$C$32, $C$9, 100%, $E$9)</f>
        <v>5.89</v>
      </c>
      <c r="K24" s="11">
        <f>5.9029 * CHOOSE(CONTROL!$C$32, $C$9, 100%, $E$9)</f>
        <v>5.9028999999999998</v>
      </c>
      <c r="L24" s="11">
        <f>3.5106 * CHOOSE(CONTROL!$C$32, $C$9, 100%, $E$9)</f>
        <v>3.5106000000000002</v>
      </c>
      <c r="M24" s="11">
        <f>3.5235 * CHOOSE(CONTROL!$C$32, $C$9, 100%, $E$9)</f>
        <v>3.5234999999999999</v>
      </c>
      <c r="N24" s="11">
        <f>3.5106 * CHOOSE(CONTROL!$C$32, $C$9, 100%, $E$9)</f>
        <v>3.5106000000000002</v>
      </c>
      <c r="O24" s="11">
        <f>3.5235 * CHOOSE(CONTROL!$C$32, $C$9, 100%, $E$9)</f>
        <v>3.5234999999999999</v>
      </c>
      <c r="P24" s="14"/>
      <c r="Q24" s="11"/>
      <c r="R24" s="11"/>
    </row>
    <row r="25" spans="1:18" ht="15" x14ac:dyDescent="0.2">
      <c r="A25" s="13">
        <v>41609</v>
      </c>
      <c r="B25" s="9">
        <f>2.3131 * CHOOSE(CONTROL!$C$32, $C$9, 100%, $E$9)</f>
        <v>2.3130999999999999</v>
      </c>
      <c r="C25" s="9">
        <f>2.2592 * CHOOSE(CONTROL!$C$32, $C$9, 100%, $E$9)</f>
        <v>2.2591999999999999</v>
      </c>
      <c r="D25" s="9">
        <f>2.2981 * CHOOSE(CONTROL!$C$32, $C$9, 100%, $E$9)</f>
        <v>2.2980999999999998</v>
      </c>
      <c r="E25" s="11">
        <f>3.5079 * CHOOSE(CONTROL!$C$32, $C$9, 100%, $E$9)</f>
        <v>3.5078999999999998</v>
      </c>
      <c r="F25" s="11">
        <f>3.2814 * CHOOSE(CONTROL!$C$32, $C$9, 100%, $E$9)</f>
        <v>3.2814000000000001</v>
      </c>
      <c r="G25" s="11">
        <f>3.2943 * CHOOSE(CONTROL!$C$32, $C$9, 100%, $E$9)</f>
        <v>3.2942999999999998</v>
      </c>
      <c r="H25" s="11">
        <f>5.9022 * CHOOSE(CONTROL!$C$32, $C$9, 100%, $E$9)</f>
        <v>5.9021999999999997</v>
      </c>
      <c r="I25" s="11">
        <f>5.9152 * CHOOSE(CONTROL!$C$32, $C$9, 100%, $E$9)</f>
        <v>5.9151999999999996</v>
      </c>
      <c r="J25" s="11">
        <f>5.9022 * CHOOSE(CONTROL!$C$32, $C$9, 100%, $E$9)</f>
        <v>5.9021999999999997</v>
      </c>
      <c r="K25" s="11">
        <f>5.9152 * CHOOSE(CONTROL!$C$32, $C$9, 100%, $E$9)</f>
        <v>5.9151999999999996</v>
      </c>
      <c r="L25" s="11">
        <f>3.5079 * CHOOSE(CONTROL!$C$32, $C$9, 100%, $E$9)</f>
        <v>3.5078999999999998</v>
      </c>
      <c r="M25" s="11">
        <f>3.5208 * CHOOSE(CONTROL!$C$32, $C$9, 100%, $E$9)</f>
        <v>3.5207999999999999</v>
      </c>
      <c r="N25" s="11">
        <f>3.5079 * CHOOSE(CONTROL!$C$32, $C$9, 100%, $E$9)</f>
        <v>3.5078999999999998</v>
      </c>
      <c r="O25" s="11">
        <f>3.5208 * CHOOSE(CONTROL!$C$32, $C$9, 100%, $E$9)</f>
        <v>3.5207999999999999</v>
      </c>
      <c r="P25" s="14"/>
      <c r="Q25" s="11"/>
      <c r="R25" s="11"/>
    </row>
    <row r="26" spans="1:18" ht="15" x14ac:dyDescent="0.2">
      <c r="A26" s="13">
        <v>41640</v>
      </c>
      <c r="B26" s="9">
        <f>2.326 * CHOOSE(CONTROL!$C$32, $C$9, 100%, $E$9)</f>
        <v>2.3260000000000001</v>
      </c>
      <c r="C26" s="9">
        <f>2.2882 * CHOOSE(CONTROL!$C$32, $C$9, 100%, $E$9)</f>
        <v>2.2881999999999998</v>
      </c>
      <c r="D26" s="9">
        <f>2.3271 * CHOOSE(CONTROL!$C$32, $C$9, 100%, $E$9)</f>
        <v>2.3271000000000002</v>
      </c>
      <c r="E26" s="11">
        <f>3.4998 * CHOOSE(CONTROL!$C$32, $C$9, 100%, $E$9)</f>
        <v>3.4998</v>
      </c>
      <c r="F26" s="11">
        <f>3.2737 * CHOOSE(CONTROL!$C$32, $C$9, 100%, $E$9)</f>
        <v>3.2736999999999998</v>
      </c>
      <c r="G26" s="11">
        <f>3.2867 * CHOOSE(CONTROL!$C$32, $C$9, 100%, $E$9)</f>
        <v>3.2867000000000002</v>
      </c>
      <c r="H26" s="11">
        <f>5.9145 * CHOOSE(CONTROL!$C$32, $C$9, 100%, $E$9)</f>
        <v>5.9145000000000003</v>
      </c>
      <c r="I26" s="11">
        <f>5.9275 * CHOOSE(CONTROL!$C$32, $C$9, 100%, $E$9)</f>
        <v>5.9275000000000002</v>
      </c>
      <c r="J26" s="11">
        <f>5.9145 * CHOOSE(CONTROL!$C$32, $C$9, 100%, $E$9)</f>
        <v>5.9145000000000003</v>
      </c>
      <c r="K26" s="11">
        <f>5.9275 * CHOOSE(CONTROL!$C$32, $C$9, 100%, $E$9)</f>
        <v>5.9275000000000002</v>
      </c>
      <c r="L26" s="11">
        <f>3.4998 * CHOOSE(CONTROL!$C$32, $C$9, 100%, $E$9)</f>
        <v>3.4998</v>
      </c>
      <c r="M26" s="11">
        <f>3.5127 * CHOOSE(CONTROL!$C$32, $C$9, 100%, $E$9)</f>
        <v>3.5127000000000002</v>
      </c>
      <c r="N26" s="11">
        <f>3.4998 * CHOOSE(CONTROL!$C$32, $C$9, 100%, $E$9)</f>
        <v>3.4998</v>
      </c>
      <c r="O26" s="11">
        <f>3.5127 * CHOOSE(CONTROL!$C$32, $C$9, 100%, $E$9)</f>
        <v>3.5127000000000002</v>
      </c>
      <c r="P26" s="14"/>
      <c r="Q26" s="11"/>
      <c r="R26" s="11"/>
    </row>
    <row r="27" spans="1:18" ht="15" x14ac:dyDescent="0.2">
      <c r="A27" s="13">
        <v>41671</v>
      </c>
      <c r="B27" s="9">
        <f>2.338 * CHOOSE(CONTROL!$C$32, $C$9, 100%, $E$9)</f>
        <v>2.3380000000000001</v>
      </c>
      <c r="C27" s="9">
        <f>2.3077 * CHOOSE(CONTROL!$C$32, $C$9, 100%, $E$9)</f>
        <v>2.3077000000000001</v>
      </c>
      <c r="D27" s="9">
        <f>2.3467 * CHOOSE(CONTROL!$C$32, $C$9, 100%, $E$9)</f>
        <v>2.3466999999999998</v>
      </c>
      <c r="E27" s="11">
        <f>3.5012 * CHOOSE(CONTROL!$C$32, $C$9, 100%, $E$9)</f>
        <v>3.5011999999999999</v>
      </c>
      <c r="F27" s="11">
        <f>3.2886 * CHOOSE(CONTROL!$C$32, $C$9, 100%, $E$9)</f>
        <v>3.2886000000000002</v>
      </c>
      <c r="G27" s="11">
        <f>3.3015 * CHOOSE(CONTROL!$C$32, $C$9, 100%, $E$9)</f>
        <v>3.3014999999999999</v>
      </c>
      <c r="H27" s="11">
        <f>5.9269 * CHOOSE(CONTROL!$C$32, $C$9, 100%, $E$9)</f>
        <v>5.9268999999999998</v>
      </c>
      <c r="I27" s="11">
        <f>5.9398 * CHOOSE(CONTROL!$C$32, $C$9, 100%, $E$9)</f>
        <v>5.9398</v>
      </c>
      <c r="J27" s="11">
        <f>5.9269 * CHOOSE(CONTROL!$C$32, $C$9, 100%, $E$9)</f>
        <v>5.9268999999999998</v>
      </c>
      <c r="K27" s="11">
        <f>5.9398 * CHOOSE(CONTROL!$C$32, $C$9, 100%, $E$9)</f>
        <v>5.9398</v>
      </c>
      <c r="L27" s="11">
        <f>3.5012 * CHOOSE(CONTROL!$C$32, $C$9, 100%, $E$9)</f>
        <v>3.5011999999999999</v>
      </c>
      <c r="M27" s="11">
        <f>3.5142 * CHOOSE(CONTROL!$C$32, $C$9, 100%, $E$9)</f>
        <v>3.5142000000000002</v>
      </c>
      <c r="N27" s="11">
        <f>3.5012 * CHOOSE(CONTROL!$C$32, $C$9, 100%, $E$9)</f>
        <v>3.5011999999999999</v>
      </c>
      <c r="O27" s="11">
        <f>3.5142 * CHOOSE(CONTROL!$C$32, $C$9, 100%, $E$9)</f>
        <v>3.5142000000000002</v>
      </c>
      <c r="P27" s="14"/>
      <c r="Q27" s="11"/>
      <c r="R27" s="11"/>
    </row>
    <row r="28" spans="1:18" ht="15" x14ac:dyDescent="0.2">
      <c r="A28" s="13">
        <v>41699</v>
      </c>
      <c r="B28" s="9">
        <f>2.3423 * CHOOSE(CONTROL!$C$32, $C$9, 100%, $E$9)</f>
        <v>2.3422999999999998</v>
      </c>
      <c r="C28" s="9">
        <f>2.3166 * CHOOSE(CONTROL!$C$32, $C$9, 100%, $E$9)</f>
        <v>2.3166000000000002</v>
      </c>
      <c r="D28" s="9">
        <f>2.3555 * CHOOSE(CONTROL!$C$32, $C$9, 100%, $E$9)</f>
        <v>2.3555000000000001</v>
      </c>
      <c r="E28" s="11">
        <f>3.4055 * CHOOSE(CONTROL!$C$32, $C$9, 100%, $E$9)</f>
        <v>3.4055</v>
      </c>
      <c r="F28" s="11">
        <f>3.2949 * CHOOSE(CONTROL!$C$32, $C$9, 100%, $E$9)</f>
        <v>3.2949000000000002</v>
      </c>
      <c r="G28" s="11">
        <f>3.3079 * CHOOSE(CONTROL!$C$32, $C$9, 100%, $E$9)</f>
        <v>3.3079000000000001</v>
      </c>
      <c r="H28" s="11">
        <f>5.9392 * CHOOSE(CONTROL!$C$32, $C$9, 100%, $E$9)</f>
        <v>5.9391999999999996</v>
      </c>
      <c r="I28" s="11">
        <f>5.9522 * CHOOSE(CONTROL!$C$32, $C$9, 100%, $E$9)</f>
        <v>5.9522000000000004</v>
      </c>
      <c r="J28" s="11">
        <f>5.9392 * CHOOSE(CONTROL!$C$32, $C$9, 100%, $E$9)</f>
        <v>5.9391999999999996</v>
      </c>
      <c r="K28" s="11">
        <f>5.9522 * CHOOSE(CONTROL!$C$32, $C$9, 100%, $E$9)</f>
        <v>5.9522000000000004</v>
      </c>
      <c r="L28" s="11">
        <f>3.4055 * CHOOSE(CONTROL!$C$32, $C$9, 100%, $E$9)</f>
        <v>3.4055</v>
      </c>
      <c r="M28" s="11">
        <f>3.4184 * CHOOSE(CONTROL!$C$32, $C$9, 100%, $E$9)</f>
        <v>3.4184000000000001</v>
      </c>
      <c r="N28" s="11">
        <f>3.4055 * CHOOSE(CONTROL!$C$32, $C$9, 100%, $E$9)</f>
        <v>3.4055</v>
      </c>
      <c r="O28" s="11">
        <f>3.4184 * CHOOSE(CONTROL!$C$32, $C$9, 100%, $E$9)</f>
        <v>3.4184000000000001</v>
      </c>
      <c r="P28" s="14"/>
      <c r="Q28" s="11"/>
      <c r="R28" s="11"/>
    </row>
    <row r="29" spans="1:18" ht="15" x14ac:dyDescent="0.2">
      <c r="A29" s="13">
        <v>41730</v>
      </c>
      <c r="B29" s="9">
        <f>2.3408 * CHOOSE(CONTROL!$C$32, $C$9, 100%, $E$9)</f>
        <v>2.3408000000000002</v>
      </c>
      <c r="C29" s="9">
        <f>2.3136 * CHOOSE(CONTROL!$C$32, $C$9, 100%, $E$9)</f>
        <v>2.3136000000000001</v>
      </c>
      <c r="D29" s="9">
        <f>2.3525 * CHOOSE(CONTROL!$C$32, $C$9, 100%, $E$9)</f>
        <v>2.3525</v>
      </c>
      <c r="E29" s="11">
        <f>3.4026 * CHOOSE(CONTROL!$C$32, $C$9, 100%, $E$9)</f>
        <v>3.4026000000000001</v>
      </c>
      <c r="F29" s="11">
        <f>3.3055 * CHOOSE(CONTROL!$C$32, $C$9, 100%, $E$9)</f>
        <v>3.3054999999999999</v>
      </c>
      <c r="G29" s="11">
        <f>3.3185 * CHOOSE(CONTROL!$C$32, $C$9, 100%, $E$9)</f>
        <v>3.3184999999999998</v>
      </c>
      <c r="H29" s="11">
        <f>5.9516 * CHOOSE(CONTROL!$C$32, $C$9, 100%, $E$9)</f>
        <v>5.9516</v>
      </c>
      <c r="I29" s="11">
        <f>5.9645 * CHOOSE(CONTROL!$C$32, $C$9, 100%, $E$9)</f>
        <v>5.9645000000000001</v>
      </c>
      <c r="J29" s="11">
        <f>5.9516 * CHOOSE(CONTROL!$C$32, $C$9, 100%, $E$9)</f>
        <v>5.9516</v>
      </c>
      <c r="K29" s="11">
        <f>5.9645 * CHOOSE(CONTROL!$C$32, $C$9, 100%, $E$9)</f>
        <v>5.9645000000000001</v>
      </c>
      <c r="L29" s="11">
        <f>3.4026 * CHOOSE(CONTROL!$C$32, $C$9, 100%, $E$9)</f>
        <v>3.4026000000000001</v>
      </c>
      <c r="M29" s="11">
        <f>3.4156 * CHOOSE(CONTROL!$C$32, $C$9, 100%, $E$9)</f>
        <v>3.4156</v>
      </c>
      <c r="N29" s="11">
        <f>3.4026 * CHOOSE(CONTROL!$C$32, $C$9, 100%, $E$9)</f>
        <v>3.4026000000000001</v>
      </c>
      <c r="O29" s="11">
        <f>3.4156 * CHOOSE(CONTROL!$C$32, $C$9, 100%, $E$9)</f>
        <v>3.4156</v>
      </c>
      <c r="P29" s="14"/>
      <c r="Q29" s="11"/>
      <c r="R29" s="11"/>
    </row>
    <row r="30" spans="1:18" ht="15" x14ac:dyDescent="0.2">
      <c r="A30" s="13">
        <v>41760</v>
      </c>
      <c r="B30" s="9">
        <f>2.3438 * CHOOSE(CONTROL!$C$32, $C$9, 100%, $E$9)</f>
        <v>2.3437999999999999</v>
      </c>
      <c r="C30" s="9">
        <f>2.3151 * CHOOSE(CONTROL!$C$32, $C$9, 100%, $E$9)</f>
        <v>2.3151000000000002</v>
      </c>
      <c r="D30" s="9">
        <f>2.3726 * CHOOSE(CONTROL!$C$32, $C$9, 100%, $E$9)</f>
        <v>2.3725999999999998</v>
      </c>
      <c r="E30" s="11">
        <f>3.4085 * CHOOSE(CONTROL!$C$32, $C$9, 100%, $E$9)</f>
        <v>3.4085000000000001</v>
      </c>
      <c r="F30" s="11">
        <f>3.3161 * CHOOSE(CONTROL!$C$32, $C$9, 100%, $E$9)</f>
        <v>3.3161</v>
      </c>
      <c r="G30" s="11">
        <f>3.3352 * CHOOSE(CONTROL!$C$32, $C$9, 100%, $E$9)</f>
        <v>3.3351999999999999</v>
      </c>
      <c r="H30" s="11">
        <f>5.964 * CHOOSE(CONTROL!$C$32, $C$9, 100%, $E$9)</f>
        <v>5.9640000000000004</v>
      </c>
      <c r="I30" s="11">
        <f>5.983 * CHOOSE(CONTROL!$C$32, $C$9, 100%, $E$9)</f>
        <v>5.9829999999999997</v>
      </c>
      <c r="J30" s="11">
        <f>5.964 * CHOOSE(CONTROL!$C$32, $C$9, 100%, $E$9)</f>
        <v>5.9640000000000004</v>
      </c>
      <c r="K30" s="11">
        <f>5.983 * CHOOSE(CONTROL!$C$32, $C$9, 100%, $E$9)</f>
        <v>5.9829999999999997</v>
      </c>
      <c r="L30" s="11">
        <f>3.4085 * CHOOSE(CONTROL!$C$32, $C$9, 100%, $E$9)</f>
        <v>3.4085000000000001</v>
      </c>
      <c r="M30" s="11">
        <f>3.4276 * CHOOSE(CONTROL!$C$32, $C$9, 100%, $E$9)</f>
        <v>3.4276</v>
      </c>
      <c r="N30" s="11">
        <f>3.4085 * CHOOSE(CONTROL!$C$32, $C$9, 100%, $E$9)</f>
        <v>3.4085000000000001</v>
      </c>
      <c r="O30" s="11">
        <f>3.4276 * CHOOSE(CONTROL!$C$32, $C$9, 100%, $E$9)</f>
        <v>3.4276</v>
      </c>
      <c r="P30" s="14"/>
      <c r="Q30" s="11"/>
      <c r="R30" s="11"/>
    </row>
    <row r="31" spans="1:18" ht="15" x14ac:dyDescent="0.2">
      <c r="A31" s="13">
        <v>41791</v>
      </c>
      <c r="B31" s="9">
        <f>2.3496 * CHOOSE(CONTROL!$C$32, $C$9, 100%, $E$9)</f>
        <v>2.3496000000000001</v>
      </c>
      <c r="C31" s="9">
        <f>2.327 * CHOOSE(CONTROL!$C$32, $C$9, 100%, $E$9)</f>
        <v>2.327</v>
      </c>
      <c r="D31" s="9">
        <f>2.3845 * CHOOSE(CONTROL!$C$32, $C$9, 100%, $E$9)</f>
        <v>2.3845000000000001</v>
      </c>
      <c r="E31" s="11">
        <f>3.4321 * CHOOSE(CONTROL!$C$32, $C$9, 100%, $E$9)</f>
        <v>3.4321000000000002</v>
      </c>
      <c r="F31" s="11">
        <f>3.3585 * CHOOSE(CONTROL!$C$32, $C$9, 100%, $E$9)</f>
        <v>3.3584999999999998</v>
      </c>
      <c r="G31" s="11">
        <f>3.3775 * CHOOSE(CONTROL!$C$32, $C$9, 100%, $E$9)</f>
        <v>3.3774999999999999</v>
      </c>
      <c r="H31" s="11">
        <f>5.9764 * CHOOSE(CONTROL!$C$32, $C$9, 100%, $E$9)</f>
        <v>5.9763999999999999</v>
      </c>
      <c r="I31" s="11">
        <f>5.9955 * CHOOSE(CONTROL!$C$32, $C$9, 100%, $E$9)</f>
        <v>5.9954999999999998</v>
      </c>
      <c r="J31" s="11">
        <f>5.9764 * CHOOSE(CONTROL!$C$32, $C$9, 100%, $E$9)</f>
        <v>5.9763999999999999</v>
      </c>
      <c r="K31" s="11">
        <f>5.9955 * CHOOSE(CONTROL!$C$32, $C$9, 100%, $E$9)</f>
        <v>5.9954999999999998</v>
      </c>
      <c r="L31" s="11">
        <f>3.4321 * CHOOSE(CONTROL!$C$32, $C$9, 100%, $E$9)</f>
        <v>3.4321000000000002</v>
      </c>
      <c r="M31" s="11">
        <f>3.4511 * CHOOSE(CONTROL!$C$32, $C$9, 100%, $E$9)</f>
        <v>3.4510999999999998</v>
      </c>
      <c r="N31" s="11">
        <f>3.4321 * CHOOSE(CONTROL!$C$32, $C$9, 100%, $E$9)</f>
        <v>3.4321000000000002</v>
      </c>
      <c r="O31" s="11">
        <f>3.4511 * CHOOSE(CONTROL!$C$32, $C$9, 100%, $E$9)</f>
        <v>3.4510999999999998</v>
      </c>
      <c r="P31" s="14"/>
      <c r="Q31" s="11"/>
      <c r="R31" s="11"/>
    </row>
    <row r="32" spans="1:18" ht="15" x14ac:dyDescent="0.2">
      <c r="A32" s="13">
        <v>41821</v>
      </c>
      <c r="B32" s="9">
        <f>2.3649 * CHOOSE(CONTROL!$C$32, $C$9, 100%, $E$9)</f>
        <v>2.3649</v>
      </c>
      <c r="C32" s="9">
        <f>2.3574 * CHOOSE(CONTROL!$C$32, $C$9, 100%, $E$9)</f>
        <v>2.3574000000000002</v>
      </c>
      <c r="D32" s="9">
        <f>2.4149 * CHOOSE(CONTROL!$C$32, $C$9, 100%, $E$9)</f>
        <v>2.4148999999999998</v>
      </c>
      <c r="E32" s="11">
        <f>3.4478 * CHOOSE(CONTROL!$C$32, $C$9, 100%, $E$9)</f>
        <v>3.4478</v>
      </c>
      <c r="F32" s="11">
        <f>3.4008 * CHOOSE(CONTROL!$C$32, $C$9, 100%, $E$9)</f>
        <v>3.4007999999999998</v>
      </c>
      <c r="G32" s="11">
        <f>3.4199 * CHOOSE(CONTROL!$C$32, $C$9, 100%, $E$9)</f>
        <v>3.4199000000000002</v>
      </c>
      <c r="H32" s="11">
        <f>5.9889 * CHOOSE(CONTROL!$C$32, $C$9, 100%, $E$9)</f>
        <v>5.9889000000000001</v>
      </c>
      <c r="I32" s="11">
        <f>6.0079 * CHOOSE(CONTROL!$C$32, $C$9, 100%, $E$9)</f>
        <v>6.0079000000000002</v>
      </c>
      <c r="J32" s="11">
        <f>5.9889 * CHOOSE(CONTROL!$C$32, $C$9, 100%, $E$9)</f>
        <v>5.9889000000000001</v>
      </c>
      <c r="K32" s="11">
        <f>6.0079 * CHOOSE(CONTROL!$C$32, $C$9, 100%, $E$9)</f>
        <v>6.0079000000000002</v>
      </c>
      <c r="L32" s="11">
        <f>3.4478 * CHOOSE(CONTROL!$C$32, $C$9, 100%, $E$9)</f>
        <v>3.4478</v>
      </c>
      <c r="M32" s="11">
        <f>3.4668 * CHOOSE(CONTROL!$C$32, $C$9, 100%, $E$9)</f>
        <v>3.4668000000000001</v>
      </c>
      <c r="N32" s="11">
        <f>3.4478 * CHOOSE(CONTROL!$C$32, $C$9, 100%, $E$9)</f>
        <v>3.4478</v>
      </c>
      <c r="O32" s="11">
        <f>3.4668 * CHOOSE(CONTROL!$C$32, $C$9, 100%, $E$9)</f>
        <v>3.4668000000000001</v>
      </c>
      <c r="P32" s="14"/>
      <c r="Q32" s="11"/>
      <c r="R32" s="11"/>
    </row>
    <row r="33" spans="1:18" ht="15" x14ac:dyDescent="0.2">
      <c r="A33" s="13">
        <v>41852</v>
      </c>
      <c r="B33" s="9">
        <f>2.3848 * CHOOSE(CONTROL!$C$32, $C$9, 100%, $E$9)</f>
        <v>2.3847999999999998</v>
      </c>
      <c r="C33" s="9">
        <f>2.3923 * CHOOSE(CONTROL!$C$32, $C$9, 100%, $E$9)</f>
        <v>2.3923000000000001</v>
      </c>
      <c r="D33" s="9">
        <f>2.4498 * CHOOSE(CONTROL!$C$32, $C$9, 100%, $E$9)</f>
        <v>2.4498000000000002</v>
      </c>
      <c r="E33" s="11">
        <f>3.4793 * CHOOSE(CONTROL!$C$32, $C$9, 100%, $E$9)</f>
        <v>3.4792999999999998</v>
      </c>
      <c r="F33" s="11">
        <f>3.4517 * CHOOSE(CONTROL!$C$32, $C$9, 100%, $E$9)</f>
        <v>3.4517000000000002</v>
      </c>
      <c r="G33" s="11">
        <f>3.4707 * CHOOSE(CONTROL!$C$32, $C$9, 100%, $E$9)</f>
        <v>3.4706999999999999</v>
      </c>
      <c r="H33" s="11">
        <f>6.0013 * CHOOSE(CONTROL!$C$32, $C$9, 100%, $E$9)</f>
        <v>6.0012999999999996</v>
      </c>
      <c r="I33" s="11">
        <f>6.0204 * CHOOSE(CONTROL!$C$32, $C$9, 100%, $E$9)</f>
        <v>6.0204000000000004</v>
      </c>
      <c r="J33" s="11">
        <f>6.0013 * CHOOSE(CONTROL!$C$32, $C$9, 100%, $E$9)</f>
        <v>6.0012999999999996</v>
      </c>
      <c r="K33" s="11">
        <f>6.0204 * CHOOSE(CONTROL!$C$32, $C$9, 100%, $E$9)</f>
        <v>6.0204000000000004</v>
      </c>
      <c r="L33" s="11">
        <f>3.4793 * CHOOSE(CONTROL!$C$32, $C$9, 100%, $E$9)</f>
        <v>3.4792999999999998</v>
      </c>
      <c r="M33" s="11">
        <f>3.4983 * CHOOSE(CONTROL!$C$32, $C$9, 100%, $E$9)</f>
        <v>3.4983</v>
      </c>
      <c r="N33" s="11">
        <f>3.4793 * CHOOSE(CONTROL!$C$32, $C$9, 100%, $E$9)</f>
        <v>3.4792999999999998</v>
      </c>
      <c r="O33" s="11">
        <f>3.4983 * CHOOSE(CONTROL!$C$32, $C$9, 100%, $E$9)</f>
        <v>3.4983</v>
      </c>
      <c r="P33" s="14"/>
      <c r="Q33" s="11"/>
      <c r="R33" s="11"/>
    </row>
    <row r="34" spans="1:18" ht="15" x14ac:dyDescent="0.2">
      <c r="A34" s="13">
        <v>41883</v>
      </c>
      <c r="B34" s="9">
        <f>2.3937 * CHOOSE(CONTROL!$C$32, $C$9, 100%, $E$9)</f>
        <v>2.3936999999999999</v>
      </c>
      <c r="C34" s="9">
        <f>2.4103 * CHOOSE(CONTROL!$C$32, $C$9, 100%, $E$9)</f>
        <v>2.4102999999999999</v>
      </c>
      <c r="D34" s="9">
        <f>2.4678 * CHOOSE(CONTROL!$C$32, $C$9, 100%, $E$9)</f>
        <v>2.4678</v>
      </c>
      <c r="E34" s="11">
        <f>3.4806 * CHOOSE(CONTROL!$C$32, $C$9, 100%, $E$9)</f>
        <v>3.4805999999999999</v>
      </c>
      <c r="F34" s="11">
        <f>3.4538 * CHOOSE(CONTROL!$C$32, $C$9, 100%, $E$9)</f>
        <v>3.4538000000000002</v>
      </c>
      <c r="G34" s="11">
        <f>3.4729 * CHOOSE(CONTROL!$C$32, $C$9, 100%, $E$9)</f>
        <v>3.4729000000000001</v>
      </c>
      <c r="H34" s="11">
        <f>6.0138 * CHOOSE(CONTROL!$C$32, $C$9, 100%, $E$9)</f>
        <v>6.0137999999999998</v>
      </c>
      <c r="I34" s="11">
        <f>6.0329 * CHOOSE(CONTROL!$C$32, $C$9, 100%, $E$9)</f>
        <v>6.0328999999999997</v>
      </c>
      <c r="J34" s="11">
        <f>6.0138 * CHOOSE(CONTROL!$C$32, $C$9, 100%, $E$9)</f>
        <v>6.0137999999999998</v>
      </c>
      <c r="K34" s="11">
        <f>6.0329 * CHOOSE(CONTROL!$C$32, $C$9, 100%, $E$9)</f>
        <v>6.0328999999999997</v>
      </c>
      <c r="L34" s="11">
        <f>3.4806 * CHOOSE(CONTROL!$C$32, $C$9, 100%, $E$9)</f>
        <v>3.4805999999999999</v>
      </c>
      <c r="M34" s="11">
        <f>3.4996 * CHOOSE(CONTROL!$C$32, $C$9, 100%, $E$9)</f>
        <v>3.4996</v>
      </c>
      <c r="N34" s="11">
        <f>3.4806 * CHOOSE(CONTROL!$C$32, $C$9, 100%, $E$9)</f>
        <v>3.4805999999999999</v>
      </c>
      <c r="O34" s="11">
        <f>3.4996 * CHOOSE(CONTROL!$C$32, $C$9, 100%, $E$9)</f>
        <v>3.4996</v>
      </c>
      <c r="P34" s="14"/>
      <c r="Q34" s="11"/>
      <c r="R34" s="11"/>
    </row>
    <row r="35" spans="1:18" ht="15" x14ac:dyDescent="0.2">
      <c r="A35" s="13">
        <v>41913</v>
      </c>
      <c r="B35" s="9">
        <f>2.3937 * CHOOSE(CONTROL!$C$32, $C$9, 100%, $E$9)</f>
        <v>2.3936999999999999</v>
      </c>
      <c r="C35" s="9">
        <f>2.4103 * CHOOSE(CONTROL!$C$32, $C$9, 100%, $E$9)</f>
        <v>2.4102999999999999</v>
      </c>
      <c r="D35" s="9">
        <f>2.4492 * CHOOSE(CONTROL!$C$32, $C$9, 100%, $E$9)</f>
        <v>2.4491999999999998</v>
      </c>
      <c r="E35" s="11">
        <f>3.4819 * CHOOSE(CONTROL!$C$32, $C$9, 100%, $E$9)</f>
        <v>3.4819</v>
      </c>
      <c r="F35" s="11">
        <f>3.4559 * CHOOSE(CONTROL!$C$32, $C$9, 100%, $E$9)</f>
        <v>3.4559000000000002</v>
      </c>
      <c r="G35" s="11">
        <f>3.4689 * CHOOSE(CONTROL!$C$32, $C$9, 100%, $E$9)</f>
        <v>3.4689000000000001</v>
      </c>
      <c r="H35" s="11">
        <f>6.0264 * CHOOSE(CONTROL!$C$32, $C$9, 100%, $E$9)</f>
        <v>6.0263999999999998</v>
      </c>
      <c r="I35" s="11">
        <f>6.0393 * CHOOSE(CONTROL!$C$32, $C$9, 100%, $E$9)</f>
        <v>6.0392999999999999</v>
      </c>
      <c r="J35" s="11">
        <f>6.0264 * CHOOSE(CONTROL!$C$32, $C$9, 100%, $E$9)</f>
        <v>6.0263999999999998</v>
      </c>
      <c r="K35" s="11">
        <f>6.0393 * CHOOSE(CONTROL!$C$32, $C$9, 100%, $E$9)</f>
        <v>6.0392999999999999</v>
      </c>
      <c r="L35" s="11">
        <f>3.4819 * CHOOSE(CONTROL!$C$32, $C$9, 100%, $E$9)</f>
        <v>3.4819</v>
      </c>
      <c r="M35" s="11">
        <f>3.4948 * CHOOSE(CONTROL!$C$32, $C$9, 100%, $E$9)</f>
        <v>3.4948000000000001</v>
      </c>
      <c r="N35" s="11">
        <f>3.4819 * CHOOSE(CONTROL!$C$32, $C$9, 100%, $E$9)</f>
        <v>3.4819</v>
      </c>
      <c r="O35" s="11">
        <f>3.4948 * CHOOSE(CONTROL!$C$32, $C$9, 100%, $E$9)</f>
        <v>3.4948000000000001</v>
      </c>
      <c r="P35" s="14"/>
      <c r="Q35" s="11"/>
      <c r="R35" s="11"/>
    </row>
    <row r="36" spans="1:18" ht="15" x14ac:dyDescent="0.2">
      <c r="A36" s="13">
        <v>41944</v>
      </c>
      <c r="B36" s="9">
        <f>2.4013 * CHOOSE(CONTROL!$C$32, $C$9, 100%, $E$9)</f>
        <v>2.4013</v>
      </c>
      <c r="C36" s="9">
        <f>2.421 * CHOOSE(CONTROL!$C$32, $C$9, 100%, $E$9)</f>
        <v>2.4209999999999998</v>
      </c>
      <c r="D36" s="9">
        <f>2.4599 * CHOOSE(CONTROL!$C$32, $C$9, 100%, $E$9)</f>
        <v>2.4599000000000002</v>
      </c>
      <c r="E36" s="11">
        <f>3.4897 * CHOOSE(CONTROL!$C$32, $C$9, 100%, $E$9)</f>
        <v>3.4897</v>
      </c>
      <c r="F36" s="11">
        <f>3.4623 * CHOOSE(CONTROL!$C$32, $C$9, 100%, $E$9)</f>
        <v>3.4622999999999999</v>
      </c>
      <c r="G36" s="11">
        <f>3.4752 * CHOOSE(CONTROL!$C$32, $C$9, 100%, $E$9)</f>
        <v>3.4752000000000001</v>
      </c>
      <c r="H36" s="11">
        <f>6.0389 * CHOOSE(CONTROL!$C$32, $C$9, 100%, $E$9)</f>
        <v>6.0388999999999999</v>
      </c>
      <c r="I36" s="11">
        <f>6.0519 * CHOOSE(CONTROL!$C$32, $C$9, 100%, $E$9)</f>
        <v>6.0518999999999998</v>
      </c>
      <c r="J36" s="11">
        <f>6.0389 * CHOOSE(CONTROL!$C$32, $C$9, 100%, $E$9)</f>
        <v>6.0388999999999999</v>
      </c>
      <c r="K36" s="11">
        <f>6.0519 * CHOOSE(CONTROL!$C$32, $C$9, 100%, $E$9)</f>
        <v>6.0518999999999998</v>
      </c>
      <c r="L36" s="11">
        <f>3.4897 * CHOOSE(CONTROL!$C$32, $C$9, 100%, $E$9)</f>
        <v>3.4897</v>
      </c>
      <c r="M36" s="11">
        <f>3.5027 * CHOOSE(CONTROL!$C$32, $C$9, 100%, $E$9)</f>
        <v>3.5026999999999999</v>
      </c>
      <c r="N36" s="11">
        <f>3.4897 * CHOOSE(CONTROL!$C$32, $C$9, 100%, $E$9)</f>
        <v>3.4897</v>
      </c>
      <c r="O36" s="11">
        <f>3.5027 * CHOOSE(CONTROL!$C$32, $C$9, 100%, $E$9)</f>
        <v>3.5026999999999999</v>
      </c>
      <c r="P36" s="14"/>
      <c r="Q36" s="11"/>
      <c r="R36" s="11"/>
    </row>
    <row r="37" spans="1:18" ht="15" x14ac:dyDescent="0.2">
      <c r="A37" s="13">
        <v>41974</v>
      </c>
      <c r="B37" s="9">
        <f>2.4071 * CHOOSE(CONTROL!$C$32, $C$9, 100%, $E$9)</f>
        <v>2.4070999999999998</v>
      </c>
      <c r="C37" s="9">
        <f>2.4328 * CHOOSE(CONTROL!$C$32, $C$9, 100%, $E$9)</f>
        <v>2.4327999999999999</v>
      </c>
      <c r="D37" s="9">
        <f>2.4717 * CHOOSE(CONTROL!$C$32, $C$9, 100%, $E$9)</f>
        <v>2.4716999999999998</v>
      </c>
      <c r="E37" s="11">
        <f>3.4979 * CHOOSE(CONTROL!$C$32, $C$9, 100%, $E$9)</f>
        <v>3.4979</v>
      </c>
      <c r="F37" s="11">
        <f>3.475 * CHOOSE(CONTROL!$C$32, $C$9, 100%, $E$9)</f>
        <v>3.4750000000000001</v>
      </c>
      <c r="G37" s="11">
        <f>3.4879 * CHOOSE(CONTROL!$C$32, $C$9, 100%, $E$9)</f>
        <v>3.4878999999999998</v>
      </c>
      <c r="H37" s="11">
        <f>6.0515 * CHOOSE(CONTROL!$C$32, $C$9, 100%, $E$9)</f>
        <v>6.0514999999999999</v>
      </c>
      <c r="I37" s="11">
        <f>6.0644 * CHOOSE(CONTROL!$C$32, $C$9, 100%, $E$9)</f>
        <v>6.0644</v>
      </c>
      <c r="J37" s="11">
        <f>6.0515 * CHOOSE(CONTROL!$C$32, $C$9, 100%, $E$9)</f>
        <v>6.0514999999999999</v>
      </c>
      <c r="K37" s="11">
        <f>6.0644 * CHOOSE(CONTROL!$C$32, $C$9, 100%, $E$9)</f>
        <v>6.0644</v>
      </c>
      <c r="L37" s="11">
        <f>3.4979 * CHOOSE(CONTROL!$C$32, $C$9, 100%, $E$9)</f>
        <v>3.4979</v>
      </c>
      <c r="M37" s="11">
        <f>3.5108 * CHOOSE(CONTROL!$C$32, $C$9, 100%, $E$9)</f>
        <v>3.5108000000000001</v>
      </c>
      <c r="N37" s="11">
        <f>3.4979 * CHOOSE(CONTROL!$C$32, $C$9, 100%, $E$9)</f>
        <v>3.4979</v>
      </c>
      <c r="O37" s="11">
        <f>3.5108 * CHOOSE(CONTROL!$C$32, $C$9, 100%, $E$9)</f>
        <v>3.5108000000000001</v>
      </c>
      <c r="P37" s="14"/>
      <c r="Q37" s="11"/>
      <c r="R37" s="11"/>
    </row>
    <row r="38" spans="1:18" ht="15" x14ac:dyDescent="0.2">
      <c r="A38" s="13">
        <v>42005</v>
      </c>
      <c r="B38" s="9">
        <f>2.4532 * CHOOSE(CONTROL!$C$32, $C$9, 100%, $E$9)</f>
        <v>2.4531999999999998</v>
      </c>
      <c r="C38" s="9">
        <f>2.4532 * CHOOSE(CONTROL!$C$32, $C$9, 100%, $E$9)</f>
        <v>2.4531999999999998</v>
      </c>
      <c r="D38" s="9">
        <f>2.4542 * CHOOSE(CONTROL!$C$32, $C$9, 100%, $E$9)</f>
        <v>2.4542000000000002</v>
      </c>
      <c r="E38" s="11">
        <f>3.8055 * CHOOSE(CONTROL!$C$32, $C$9, 100%, $E$9)</f>
        <v>3.8054999999999999</v>
      </c>
      <c r="F38" s="11">
        <f>3.5836 * CHOOSE(CONTROL!$C$32, $C$9, 100%, $E$9)</f>
        <v>3.5836000000000001</v>
      </c>
      <c r="G38" s="11">
        <f>3.5872 * CHOOSE(CONTROL!$C$32, $C$9, 100%, $E$9)</f>
        <v>3.5872000000000002</v>
      </c>
      <c r="H38" s="11">
        <f>6.0641 * CHOOSE(CONTROL!$C$32, $C$9, 100%, $E$9)</f>
        <v>6.0640999999999998</v>
      </c>
      <c r="I38" s="11">
        <f>6.0677 * CHOOSE(CONTROL!$C$32, $C$9, 100%, $E$9)</f>
        <v>6.0677000000000003</v>
      </c>
      <c r="J38" s="11">
        <f>6.0641 * CHOOSE(CONTROL!$C$32, $C$9, 100%, $E$9)</f>
        <v>6.0640999999999998</v>
      </c>
      <c r="K38" s="11">
        <f>6.0677 * CHOOSE(CONTROL!$C$32, $C$9, 100%, $E$9)</f>
        <v>6.0677000000000003</v>
      </c>
      <c r="L38" s="11">
        <f>3.8055 * CHOOSE(CONTROL!$C$32, $C$9, 100%, $E$9)</f>
        <v>3.8054999999999999</v>
      </c>
      <c r="M38" s="11">
        <f>3.8091 * CHOOSE(CONTROL!$C$32, $C$9, 100%, $E$9)</f>
        <v>3.8090999999999999</v>
      </c>
      <c r="N38" s="11">
        <f>3.8055 * CHOOSE(CONTROL!$C$32, $C$9, 100%, $E$9)</f>
        <v>3.8054999999999999</v>
      </c>
      <c r="O38" s="11">
        <f>3.8091 * CHOOSE(CONTROL!$C$32, $C$9, 100%, $E$9)</f>
        <v>3.8090999999999999</v>
      </c>
      <c r="P38" s="14"/>
      <c r="Q38" s="11"/>
      <c r="R38" s="11"/>
    </row>
    <row r="39" spans="1:18" ht="15" x14ac:dyDescent="0.2">
      <c r="A39" s="13">
        <v>42036</v>
      </c>
      <c r="B39" s="9">
        <f>2.4638 * CHOOSE(CONTROL!$C$32, $C$9, 100%, $E$9)</f>
        <v>2.4638</v>
      </c>
      <c r="C39" s="9">
        <f>2.4638 * CHOOSE(CONTROL!$C$32, $C$9, 100%, $E$9)</f>
        <v>2.4638</v>
      </c>
      <c r="D39" s="9">
        <f>2.4648 * CHOOSE(CONTROL!$C$32, $C$9, 100%, $E$9)</f>
        <v>2.4647999999999999</v>
      </c>
      <c r="E39" s="11">
        <f>3.7577 * CHOOSE(CONTROL!$C$32, $C$9, 100%, $E$9)</f>
        <v>3.7576999999999998</v>
      </c>
      <c r="F39" s="11">
        <f>3.5836 * CHOOSE(CONTROL!$C$32, $C$9, 100%, $E$9)</f>
        <v>3.5836000000000001</v>
      </c>
      <c r="G39" s="11">
        <f>3.5872 * CHOOSE(CONTROL!$C$32, $C$9, 100%, $E$9)</f>
        <v>3.5872000000000002</v>
      </c>
      <c r="H39" s="11">
        <f>6.0767 * CHOOSE(CONTROL!$C$32, $C$9, 100%, $E$9)</f>
        <v>6.0766999999999998</v>
      </c>
      <c r="I39" s="11">
        <f>6.0804 * CHOOSE(CONTROL!$C$32, $C$9, 100%, $E$9)</f>
        <v>6.0804</v>
      </c>
      <c r="J39" s="11">
        <f>6.0767 * CHOOSE(CONTROL!$C$32, $C$9, 100%, $E$9)</f>
        <v>6.0766999999999998</v>
      </c>
      <c r="K39" s="11">
        <f>6.0804 * CHOOSE(CONTROL!$C$32, $C$9, 100%, $E$9)</f>
        <v>6.0804</v>
      </c>
      <c r="L39" s="11">
        <f>3.7577 * CHOOSE(CONTROL!$C$32, $C$9, 100%, $E$9)</f>
        <v>3.7576999999999998</v>
      </c>
      <c r="M39" s="11">
        <f>3.7613 * CHOOSE(CONTROL!$C$32, $C$9, 100%, $E$9)</f>
        <v>3.7612999999999999</v>
      </c>
      <c r="N39" s="11">
        <f>3.7577 * CHOOSE(CONTROL!$C$32, $C$9, 100%, $E$9)</f>
        <v>3.7576999999999998</v>
      </c>
      <c r="O39" s="11">
        <f>3.7613 * CHOOSE(CONTROL!$C$32, $C$9, 100%, $E$9)</f>
        <v>3.7612999999999999</v>
      </c>
      <c r="P39" s="14"/>
      <c r="Q39" s="11"/>
      <c r="R39" s="11"/>
    </row>
    <row r="40" spans="1:18" ht="15" x14ac:dyDescent="0.2">
      <c r="A40" s="13">
        <v>42064</v>
      </c>
      <c r="B40" s="9">
        <f>2.4574 * CHOOSE(CONTROL!$C$32, $C$9, 100%, $E$9)</f>
        <v>2.4573999999999998</v>
      </c>
      <c r="C40" s="9">
        <f>2.4574 * CHOOSE(CONTROL!$C$32, $C$9, 100%, $E$9)</f>
        <v>2.4573999999999998</v>
      </c>
      <c r="D40" s="9">
        <f>2.4584 * CHOOSE(CONTROL!$C$32, $C$9, 100%, $E$9)</f>
        <v>2.4584000000000001</v>
      </c>
      <c r="E40" s="11">
        <f>3.686 * CHOOSE(CONTROL!$C$32, $C$9, 100%, $E$9)</f>
        <v>3.6859999999999999</v>
      </c>
      <c r="F40" s="11">
        <f>3.5836 * CHOOSE(CONTROL!$C$32, $C$9, 100%, $E$9)</f>
        <v>3.5836000000000001</v>
      </c>
      <c r="G40" s="11">
        <f>3.5872 * CHOOSE(CONTROL!$C$32, $C$9, 100%, $E$9)</f>
        <v>3.5872000000000002</v>
      </c>
      <c r="H40" s="11">
        <f>6.0894 * CHOOSE(CONTROL!$C$32, $C$9, 100%, $E$9)</f>
        <v>6.0894000000000004</v>
      </c>
      <c r="I40" s="11">
        <f>6.093 * CHOOSE(CONTROL!$C$32, $C$9, 100%, $E$9)</f>
        <v>6.093</v>
      </c>
      <c r="J40" s="11">
        <f>6.0894 * CHOOSE(CONTROL!$C$32, $C$9, 100%, $E$9)</f>
        <v>6.0894000000000004</v>
      </c>
      <c r="K40" s="11">
        <f>6.093 * CHOOSE(CONTROL!$C$32, $C$9, 100%, $E$9)</f>
        <v>6.093</v>
      </c>
      <c r="L40" s="11">
        <f>3.686 * CHOOSE(CONTROL!$C$32, $C$9, 100%, $E$9)</f>
        <v>3.6859999999999999</v>
      </c>
      <c r="M40" s="11">
        <f>3.6896 * CHOOSE(CONTROL!$C$32, $C$9, 100%, $E$9)</f>
        <v>3.6896</v>
      </c>
      <c r="N40" s="11">
        <f>3.686 * CHOOSE(CONTROL!$C$32, $C$9, 100%, $E$9)</f>
        <v>3.6859999999999999</v>
      </c>
      <c r="O40" s="11">
        <f>3.6896 * CHOOSE(CONTROL!$C$32, $C$9, 100%, $E$9)</f>
        <v>3.6896</v>
      </c>
      <c r="P40" s="14"/>
      <c r="Q40" s="11"/>
      <c r="R40" s="11"/>
    </row>
    <row r="41" spans="1:18" ht="15" x14ac:dyDescent="0.2">
      <c r="A41" s="13">
        <v>42095</v>
      </c>
      <c r="B41" s="9">
        <f>2.4574 * CHOOSE(CONTROL!$C$32, $C$9, 100%, $E$9)</f>
        <v>2.4573999999999998</v>
      </c>
      <c r="C41" s="9">
        <f>2.4574 * CHOOSE(CONTROL!$C$32, $C$9, 100%, $E$9)</f>
        <v>2.4573999999999998</v>
      </c>
      <c r="D41" s="9">
        <f>2.4584 * CHOOSE(CONTROL!$C$32, $C$9, 100%, $E$9)</f>
        <v>2.4584000000000001</v>
      </c>
      <c r="E41" s="11">
        <f>3.6986 * CHOOSE(CONTROL!$C$32, $C$9, 100%, $E$9)</f>
        <v>3.6985999999999999</v>
      </c>
      <c r="F41" s="11">
        <f>3.5836 * CHOOSE(CONTROL!$C$32, $C$9, 100%, $E$9)</f>
        <v>3.5836000000000001</v>
      </c>
      <c r="G41" s="11">
        <f>3.5872 * CHOOSE(CONTROL!$C$32, $C$9, 100%, $E$9)</f>
        <v>3.5872000000000002</v>
      </c>
      <c r="H41" s="11">
        <f>6.1021 * CHOOSE(CONTROL!$C$32, $C$9, 100%, $E$9)</f>
        <v>6.1021000000000001</v>
      </c>
      <c r="I41" s="11">
        <f>6.1057 * CHOOSE(CONTROL!$C$32, $C$9, 100%, $E$9)</f>
        <v>6.1056999999999997</v>
      </c>
      <c r="J41" s="11">
        <f>6.1021 * CHOOSE(CONTROL!$C$32, $C$9, 100%, $E$9)</f>
        <v>6.1021000000000001</v>
      </c>
      <c r="K41" s="11">
        <f>6.1057 * CHOOSE(CONTROL!$C$32, $C$9, 100%, $E$9)</f>
        <v>6.1056999999999997</v>
      </c>
      <c r="L41" s="11">
        <f>3.6986 * CHOOSE(CONTROL!$C$32, $C$9, 100%, $E$9)</f>
        <v>3.6985999999999999</v>
      </c>
      <c r="M41" s="11">
        <f>3.7022 * CHOOSE(CONTROL!$C$32, $C$9, 100%, $E$9)</f>
        <v>3.7021999999999999</v>
      </c>
      <c r="N41" s="11">
        <f>3.6986 * CHOOSE(CONTROL!$C$32, $C$9, 100%, $E$9)</f>
        <v>3.6985999999999999</v>
      </c>
      <c r="O41" s="11">
        <f>3.7022 * CHOOSE(CONTROL!$C$32, $C$9, 100%, $E$9)</f>
        <v>3.7021999999999999</v>
      </c>
      <c r="P41" s="14"/>
      <c r="Q41" s="11"/>
      <c r="R41" s="11"/>
    </row>
    <row r="42" spans="1:18" ht="15" x14ac:dyDescent="0.2">
      <c r="A42" s="13">
        <v>42125</v>
      </c>
      <c r="B42" s="9">
        <f>2.4559 * CHOOSE(CONTROL!$C$32, $C$9, 100%, $E$9)</f>
        <v>2.4559000000000002</v>
      </c>
      <c r="C42" s="9">
        <f>2.4559 * CHOOSE(CONTROL!$C$32, $C$9, 100%, $E$9)</f>
        <v>2.4559000000000002</v>
      </c>
      <c r="D42" s="9">
        <f>2.4575 * CHOOSE(CONTROL!$C$32, $C$9, 100%, $E$9)</f>
        <v>2.4575</v>
      </c>
      <c r="E42" s="11">
        <f>3.7718 * CHOOSE(CONTROL!$C$32, $C$9, 100%, $E$9)</f>
        <v>3.7717999999999998</v>
      </c>
      <c r="F42" s="11">
        <f>3.5836 * CHOOSE(CONTROL!$C$32, $C$9, 100%, $E$9)</f>
        <v>3.5836000000000001</v>
      </c>
      <c r="G42" s="11">
        <f>3.5889 * CHOOSE(CONTROL!$C$32, $C$9, 100%, $E$9)</f>
        <v>3.5889000000000002</v>
      </c>
      <c r="H42" s="11">
        <f>6.1148 * CHOOSE(CONTROL!$C$32, $C$9, 100%, $E$9)</f>
        <v>6.1147999999999998</v>
      </c>
      <c r="I42" s="11">
        <f>6.1201 * CHOOSE(CONTROL!$C$32, $C$9, 100%, $E$9)</f>
        <v>6.1200999999999999</v>
      </c>
      <c r="J42" s="11">
        <f>6.1148 * CHOOSE(CONTROL!$C$32, $C$9, 100%, $E$9)</f>
        <v>6.1147999999999998</v>
      </c>
      <c r="K42" s="11">
        <f>6.1201 * CHOOSE(CONTROL!$C$32, $C$9, 100%, $E$9)</f>
        <v>6.1200999999999999</v>
      </c>
      <c r="L42" s="11">
        <f>3.7718 * CHOOSE(CONTROL!$C$32, $C$9, 100%, $E$9)</f>
        <v>3.7717999999999998</v>
      </c>
      <c r="M42" s="11">
        <f>3.7771 * CHOOSE(CONTROL!$C$32, $C$9, 100%, $E$9)</f>
        <v>3.7770999999999999</v>
      </c>
      <c r="N42" s="11">
        <f>3.7718 * CHOOSE(CONTROL!$C$32, $C$9, 100%, $E$9)</f>
        <v>3.7717999999999998</v>
      </c>
      <c r="O42" s="11">
        <f>3.7771 * CHOOSE(CONTROL!$C$32, $C$9, 100%, $E$9)</f>
        <v>3.7770999999999999</v>
      </c>
      <c r="P42" s="14"/>
      <c r="Q42" s="11"/>
      <c r="R42" s="11"/>
    </row>
    <row r="43" spans="1:18" ht="15" x14ac:dyDescent="0.2">
      <c r="A43" s="13">
        <v>42156</v>
      </c>
      <c r="B43" s="9">
        <f>2.4775 * CHOOSE(CONTROL!$C$32, $C$9, 100%, $E$9)</f>
        <v>2.4775</v>
      </c>
      <c r="C43" s="9">
        <f>2.4775 * CHOOSE(CONTROL!$C$32, $C$9, 100%, $E$9)</f>
        <v>2.4775</v>
      </c>
      <c r="D43" s="9">
        <f>2.4791 * CHOOSE(CONTROL!$C$32, $C$9, 100%, $E$9)</f>
        <v>2.4790999999999999</v>
      </c>
      <c r="E43" s="11">
        <f>3.8167 * CHOOSE(CONTROL!$C$32, $C$9, 100%, $E$9)</f>
        <v>3.8167</v>
      </c>
      <c r="F43" s="11">
        <f>3.5836 * CHOOSE(CONTROL!$C$32, $C$9, 100%, $E$9)</f>
        <v>3.5836000000000001</v>
      </c>
      <c r="G43" s="11">
        <f>3.5889 * CHOOSE(CONTROL!$C$32, $C$9, 100%, $E$9)</f>
        <v>3.5889000000000002</v>
      </c>
      <c r="H43" s="11">
        <f>6.1275 * CHOOSE(CONTROL!$C$32, $C$9, 100%, $E$9)</f>
        <v>6.1275000000000004</v>
      </c>
      <c r="I43" s="11">
        <f>6.1328 * CHOOSE(CONTROL!$C$32, $C$9, 100%, $E$9)</f>
        <v>6.1327999999999996</v>
      </c>
      <c r="J43" s="11">
        <f>6.1275 * CHOOSE(CONTROL!$C$32, $C$9, 100%, $E$9)</f>
        <v>6.1275000000000004</v>
      </c>
      <c r="K43" s="11">
        <f>6.1328 * CHOOSE(CONTROL!$C$32, $C$9, 100%, $E$9)</f>
        <v>6.1327999999999996</v>
      </c>
      <c r="L43" s="11">
        <f>3.8167 * CHOOSE(CONTROL!$C$32, $C$9, 100%, $E$9)</f>
        <v>3.8167</v>
      </c>
      <c r="M43" s="11">
        <f>3.822 * CHOOSE(CONTROL!$C$32, $C$9, 100%, $E$9)</f>
        <v>3.8220000000000001</v>
      </c>
      <c r="N43" s="11">
        <f>3.8167 * CHOOSE(CONTROL!$C$32, $C$9, 100%, $E$9)</f>
        <v>3.8167</v>
      </c>
      <c r="O43" s="11">
        <f>3.822 * CHOOSE(CONTROL!$C$32, $C$9, 100%, $E$9)</f>
        <v>3.8220000000000001</v>
      </c>
      <c r="P43" s="14"/>
      <c r="Q43" s="11"/>
      <c r="R43" s="11"/>
    </row>
    <row r="44" spans="1:18" ht="15" x14ac:dyDescent="0.2">
      <c r="A44" s="13">
        <v>42186</v>
      </c>
      <c r="B44" s="9">
        <f>2.5019 * CHOOSE(CONTROL!$C$32, $C$9, 100%, $E$9)</f>
        <v>2.5019</v>
      </c>
      <c r="C44" s="9">
        <f>2.5019 * CHOOSE(CONTROL!$C$32, $C$9, 100%, $E$9)</f>
        <v>2.5019</v>
      </c>
      <c r="D44" s="9">
        <f>2.5034 * CHOOSE(CONTROL!$C$32, $C$9, 100%, $E$9)</f>
        <v>2.5034000000000001</v>
      </c>
      <c r="E44" s="11">
        <f>3.8864 * CHOOSE(CONTROL!$C$32, $C$9, 100%, $E$9)</f>
        <v>3.8864000000000001</v>
      </c>
      <c r="F44" s="11">
        <f>3.5836 * CHOOSE(CONTROL!$C$32, $C$9, 100%, $E$9)</f>
        <v>3.5836000000000001</v>
      </c>
      <c r="G44" s="11">
        <f>3.5889 * CHOOSE(CONTROL!$C$32, $C$9, 100%, $E$9)</f>
        <v>3.5889000000000002</v>
      </c>
      <c r="H44" s="11">
        <f>6.1403 * CHOOSE(CONTROL!$C$32, $C$9, 100%, $E$9)</f>
        <v>6.1402999999999999</v>
      </c>
      <c r="I44" s="11">
        <f>6.1456 * CHOOSE(CONTROL!$C$32, $C$9, 100%, $E$9)</f>
        <v>6.1456</v>
      </c>
      <c r="J44" s="11">
        <f>6.1403 * CHOOSE(CONTROL!$C$32, $C$9, 100%, $E$9)</f>
        <v>6.1402999999999999</v>
      </c>
      <c r="K44" s="11">
        <f>6.1456 * CHOOSE(CONTROL!$C$32, $C$9, 100%, $E$9)</f>
        <v>6.1456</v>
      </c>
      <c r="L44" s="11">
        <f>3.8864 * CHOOSE(CONTROL!$C$32, $C$9, 100%, $E$9)</f>
        <v>3.8864000000000001</v>
      </c>
      <c r="M44" s="11">
        <f>3.8917 * CHOOSE(CONTROL!$C$32, $C$9, 100%, $E$9)</f>
        <v>3.8917000000000002</v>
      </c>
      <c r="N44" s="11">
        <f>3.8864 * CHOOSE(CONTROL!$C$32, $C$9, 100%, $E$9)</f>
        <v>3.8864000000000001</v>
      </c>
      <c r="O44" s="11">
        <f>3.8917 * CHOOSE(CONTROL!$C$32, $C$9, 100%, $E$9)</f>
        <v>3.8917000000000002</v>
      </c>
      <c r="P44" s="14"/>
      <c r="Q44" s="11"/>
      <c r="R44" s="11"/>
    </row>
    <row r="45" spans="1:18" ht="15" x14ac:dyDescent="0.2">
      <c r="A45" s="13">
        <v>42217</v>
      </c>
      <c r="B45" s="9">
        <f>2.5126 * CHOOSE(CONTROL!$C$32, $C$9, 100%, $E$9)</f>
        <v>2.5125999999999999</v>
      </c>
      <c r="C45" s="9">
        <f>2.5126 * CHOOSE(CONTROL!$C$32, $C$9, 100%, $E$9)</f>
        <v>2.5125999999999999</v>
      </c>
      <c r="D45" s="9">
        <f>2.5142 * CHOOSE(CONTROL!$C$32, $C$9, 100%, $E$9)</f>
        <v>2.5142000000000002</v>
      </c>
      <c r="E45" s="11">
        <f>3.8864 * CHOOSE(CONTROL!$C$32, $C$9, 100%, $E$9)</f>
        <v>3.8864000000000001</v>
      </c>
      <c r="F45" s="11">
        <f>3.5836 * CHOOSE(CONTROL!$C$32, $C$9, 100%, $E$9)</f>
        <v>3.5836000000000001</v>
      </c>
      <c r="G45" s="11">
        <f>3.5889 * CHOOSE(CONTROL!$C$32, $C$9, 100%, $E$9)</f>
        <v>3.5889000000000002</v>
      </c>
      <c r="H45" s="11">
        <f>6.1531 * CHOOSE(CONTROL!$C$32, $C$9, 100%, $E$9)</f>
        <v>6.1531000000000002</v>
      </c>
      <c r="I45" s="11">
        <f>6.1584 * CHOOSE(CONTROL!$C$32, $C$9, 100%, $E$9)</f>
        <v>6.1584000000000003</v>
      </c>
      <c r="J45" s="11">
        <f>6.1531 * CHOOSE(CONTROL!$C$32, $C$9, 100%, $E$9)</f>
        <v>6.1531000000000002</v>
      </c>
      <c r="K45" s="11">
        <f>6.1584 * CHOOSE(CONTROL!$C$32, $C$9, 100%, $E$9)</f>
        <v>6.1584000000000003</v>
      </c>
      <c r="L45" s="11">
        <f>3.8864 * CHOOSE(CONTROL!$C$32, $C$9, 100%, $E$9)</f>
        <v>3.8864000000000001</v>
      </c>
      <c r="M45" s="11">
        <f>3.8917 * CHOOSE(CONTROL!$C$32, $C$9, 100%, $E$9)</f>
        <v>3.8917000000000002</v>
      </c>
      <c r="N45" s="11">
        <f>3.8864 * CHOOSE(CONTROL!$C$32, $C$9, 100%, $E$9)</f>
        <v>3.8864000000000001</v>
      </c>
      <c r="O45" s="11">
        <f>3.8917 * CHOOSE(CONTROL!$C$32, $C$9, 100%, $E$9)</f>
        <v>3.8917000000000002</v>
      </c>
      <c r="P45" s="14"/>
      <c r="Q45" s="11"/>
      <c r="R45" s="11"/>
    </row>
    <row r="46" spans="1:18" ht="15" x14ac:dyDescent="0.2">
      <c r="A46" s="13">
        <v>42248</v>
      </c>
      <c r="B46" s="9">
        <f>2.5129 * CHOOSE(CONTROL!$C$32, $C$9, 100%, $E$9)</f>
        <v>2.5129000000000001</v>
      </c>
      <c r="C46" s="9">
        <f>2.5129 * CHOOSE(CONTROL!$C$32, $C$9, 100%, $E$9)</f>
        <v>2.5129000000000001</v>
      </c>
      <c r="D46" s="9">
        <f>2.5145 * CHOOSE(CONTROL!$C$32, $C$9, 100%, $E$9)</f>
        <v>2.5145</v>
      </c>
      <c r="E46" s="11">
        <f>3.7811 * CHOOSE(CONTROL!$C$32, $C$9, 100%, $E$9)</f>
        <v>3.7810999999999999</v>
      </c>
      <c r="F46" s="11">
        <f>3.5836 * CHOOSE(CONTROL!$C$32, $C$9, 100%, $E$9)</f>
        <v>3.5836000000000001</v>
      </c>
      <c r="G46" s="11">
        <f>3.5889 * CHOOSE(CONTROL!$C$32, $C$9, 100%, $E$9)</f>
        <v>3.5889000000000002</v>
      </c>
      <c r="H46" s="11">
        <f>6.1659 * CHOOSE(CONTROL!$C$32, $C$9, 100%, $E$9)</f>
        <v>6.1658999999999997</v>
      </c>
      <c r="I46" s="11">
        <f>6.1712 * CHOOSE(CONTROL!$C$32, $C$9, 100%, $E$9)</f>
        <v>6.1711999999999998</v>
      </c>
      <c r="J46" s="11">
        <f>6.1659 * CHOOSE(CONTROL!$C$32, $C$9, 100%, $E$9)</f>
        <v>6.1658999999999997</v>
      </c>
      <c r="K46" s="11">
        <f>6.1712 * CHOOSE(CONTROL!$C$32, $C$9, 100%, $E$9)</f>
        <v>6.1711999999999998</v>
      </c>
      <c r="L46" s="11">
        <f>3.7811 * CHOOSE(CONTROL!$C$32, $C$9, 100%, $E$9)</f>
        <v>3.7810999999999999</v>
      </c>
      <c r="M46" s="11">
        <f>3.7864 * CHOOSE(CONTROL!$C$32, $C$9, 100%, $E$9)</f>
        <v>3.7864</v>
      </c>
      <c r="N46" s="11">
        <f>3.7811 * CHOOSE(CONTROL!$C$32, $C$9, 100%, $E$9)</f>
        <v>3.7810999999999999</v>
      </c>
      <c r="O46" s="11">
        <f>3.7864 * CHOOSE(CONTROL!$C$32, $C$9, 100%, $E$9)</f>
        <v>3.7864</v>
      </c>
      <c r="P46" s="14"/>
      <c r="Q46" s="11"/>
      <c r="R46" s="11"/>
    </row>
    <row r="47" spans="1:18" ht="15" x14ac:dyDescent="0.2">
      <c r="A47" s="13">
        <v>42278</v>
      </c>
      <c r="B47" s="9">
        <f>2.5008 * CHOOSE(CONTROL!$C$32, $C$9, 100%, $E$9)</f>
        <v>2.5007999999999999</v>
      </c>
      <c r="C47" s="9">
        <f>2.5008 * CHOOSE(CONTROL!$C$32, $C$9, 100%, $E$9)</f>
        <v>2.5007999999999999</v>
      </c>
      <c r="D47" s="9">
        <f>2.5019 * CHOOSE(CONTROL!$C$32, $C$9, 100%, $E$9)</f>
        <v>2.5019</v>
      </c>
      <c r="E47" s="11">
        <f>3.865 * CHOOSE(CONTROL!$C$32, $C$9, 100%, $E$9)</f>
        <v>3.8650000000000002</v>
      </c>
      <c r="F47" s="11">
        <f>3.5836 * CHOOSE(CONTROL!$C$32, $C$9, 100%, $E$9)</f>
        <v>3.5836000000000001</v>
      </c>
      <c r="G47" s="11">
        <f>3.5872 * CHOOSE(CONTROL!$C$32, $C$9, 100%, $E$9)</f>
        <v>3.5872000000000002</v>
      </c>
      <c r="H47" s="11">
        <f>6.1788 * CHOOSE(CONTROL!$C$32, $C$9, 100%, $E$9)</f>
        <v>6.1787999999999998</v>
      </c>
      <c r="I47" s="11">
        <f>6.1824 * CHOOSE(CONTROL!$C$32, $C$9, 100%, $E$9)</f>
        <v>6.1824000000000003</v>
      </c>
      <c r="J47" s="11">
        <f>6.1788 * CHOOSE(CONTROL!$C$32, $C$9, 100%, $E$9)</f>
        <v>6.1787999999999998</v>
      </c>
      <c r="K47" s="11">
        <f>6.1824 * CHOOSE(CONTROL!$C$32, $C$9, 100%, $E$9)</f>
        <v>6.1824000000000003</v>
      </c>
      <c r="L47" s="11">
        <f>3.865 * CHOOSE(CONTROL!$C$32, $C$9, 100%, $E$9)</f>
        <v>3.8650000000000002</v>
      </c>
      <c r="M47" s="11">
        <f>3.8686 * CHOOSE(CONTROL!$C$32, $C$9, 100%, $E$9)</f>
        <v>3.8685999999999998</v>
      </c>
      <c r="N47" s="11">
        <f>3.865 * CHOOSE(CONTROL!$C$32, $C$9, 100%, $E$9)</f>
        <v>3.8650000000000002</v>
      </c>
      <c r="O47" s="11">
        <f>3.8686 * CHOOSE(CONTROL!$C$32, $C$9, 100%, $E$9)</f>
        <v>3.8685999999999998</v>
      </c>
      <c r="P47" s="14"/>
      <c r="Q47" s="11"/>
      <c r="R47" s="11"/>
    </row>
    <row r="48" spans="1:18" ht="15" x14ac:dyDescent="0.2">
      <c r="A48" s="13">
        <v>42309</v>
      </c>
      <c r="B48" s="9">
        <f>2.5055 * CHOOSE(CONTROL!$C$32, $C$9, 100%, $E$9)</f>
        <v>2.5055000000000001</v>
      </c>
      <c r="C48" s="9">
        <f>2.5055 * CHOOSE(CONTROL!$C$32, $C$9, 100%, $E$9)</f>
        <v>2.5055000000000001</v>
      </c>
      <c r="D48" s="9">
        <f>2.5065 * CHOOSE(CONTROL!$C$32, $C$9, 100%, $E$9)</f>
        <v>2.5065</v>
      </c>
      <c r="E48" s="11">
        <f>3.865 * CHOOSE(CONTROL!$C$32, $C$9, 100%, $E$9)</f>
        <v>3.8650000000000002</v>
      </c>
      <c r="F48" s="11">
        <f>3.5836 * CHOOSE(CONTROL!$C$32, $C$9, 100%, $E$9)</f>
        <v>3.5836000000000001</v>
      </c>
      <c r="G48" s="11">
        <f>3.5872 * CHOOSE(CONTROL!$C$32, $C$9, 100%, $E$9)</f>
        <v>3.5872000000000002</v>
      </c>
      <c r="H48" s="11">
        <f>6.1916 * CHOOSE(CONTROL!$C$32, $C$9, 100%, $E$9)</f>
        <v>6.1916000000000002</v>
      </c>
      <c r="I48" s="11">
        <f>6.1953 * CHOOSE(CONTROL!$C$32, $C$9, 100%, $E$9)</f>
        <v>6.1952999999999996</v>
      </c>
      <c r="J48" s="11">
        <f>6.1916 * CHOOSE(CONTROL!$C$32, $C$9, 100%, $E$9)</f>
        <v>6.1916000000000002</v>
      </c>
      <c r="K48" s="11">
        <f>6.1953 * CHOOSE(CONTROL!$C$32, $C$9, 100%, $E$9)</f>
        <v>6.1952999999999996</v>
      </c>
      <c r="L48" s="11">
        <f>3.865 * CHOOSE(CONTROL!$C$32, $C$9, 100%, $E$9)</f>
        <v>3.8650000000000002</v>
      </c>
      <c r="M48" s="11">
        <f>3.8686 * CHOOSE(CONTROL!$C$32, $C$9, 100%, $E$9)</f>
        <v>3.8685999999999998</v>
      </c>
      <c r="N48" s="11">
        <f>3.865 * CHOOSE(CONTROL!$C$32, $C$9, 100%, $E$9)</f>
        <v>3.8650000000000002</v>
      </c>
      <c r="O48" s="11">
        <f>3.8686 * CHOOSE(CONTROL!$C$32, $C$9, 100%, $E$9)</f>
        <v>3.8685999999999998</v>
      </c>
      <c r="P48" s="14"/>
      <c r="Q48" s="11"/>
      <c r="R48" s="11"/>
    </row>
    <row r="49" spans="1:18" ht="15" x14ac:dyDescent="0.2">
      <c r="A49" s="13">
        <v>42339</v>
      </c>
      <c r="B49" s="9">
        <f>2.5088 * CHOOSE(CONTROL!$C$32, $C$9, 100%, $E$9)</f>
        <v>2.5087999999999999</v>
      </c>
      <c r="C49" s="9">
        <f>2.5088 * CHOOSE(CONTROL!$C$32, $C$9, 100%, $E$9)</f>
        <v>2.5087999999999999</v>
      </c>
      <c r="D49" s="9">
        <f>2.5099 * CHOOSE(CONTROL!$C$32, $C$9, 100%, $E$9)</f>
        <v>2.5099</v>
      </c>
      <c r="E49" s="11">
        <f>3.8041 * CHOOSE(CONTROL!$C$32, $C$9, 100%, $E$9)</f>
        <v>3.8041</v>
      </c>
      <c r="F49" s="11">
        <f>3.5836 * CHOOSE(CONTROL!$C$32, $C$9, 100%, $E$9)</f>
        <v>3.5836000000000001</v>
      </c>
      <c r="G49" s="11">
        <f>3.5872 * CHOOSE(CONTROL!$C$32, $C$9, 100%, $E$9)</f>
        <v>3.5872000000000002</v>
      </c>
      <c r="H49" s="11">
        <f>6.2045 * CHOOSE(CONTROL!$C$32, $C$9, 100%, $E$9)</f>
        <v>6.2045000000000003</v>
      </c>
      <c r="I49" s="11">
        <f>6.2082 * CHOOSE(CONTROL!$C$32, $C$9, 100%, $E$9)</f>
        <v>6.2081999999999997</v>
      </c>
      <c r="J49" s="11">
        <f>6.2045 * CHOOSE(CONTROL!$C$32, $C$9, 100%, $E$9)</f>
        <v>6.2045000000000003</v>
      </c>
      <c r="K49" s="11">
        <f>6.2082 * CHOOSE(CONTROL!$C$32, $C$9, 100%, $E$9)</f>
        <v>6.2081999999999997</v>
      </c>
      <c r="L49" s="11">
        <f>3.8041 * CHOOSE(CONTROL!$C$32, $C$9, 100%, $E$9)</f>
        <v>3.8041</v>
      </c>
      <c r="M49" s="11">
        <f>3.8077 * CHOOSE(CONTROL!$C$32, $C$9, 100%, $E$9)</f>
        <v>3.8077000000000001</v>
      </c>
      <c r="N49" s="11">
        <f>3.8041 * CHOOSE(CONTROL!$C$32, $C$9, 100%, $E$9)</f>
        <v>3.8041</v>
      </c>
      <c r="O49" s="11">
        <f>3.8077 * CHOOSE(CONTROL!$C$32, $C$9, 100%, $E$9)</f>
        <v>3.8077000000000001</v>
      </c>
      <c r="P49" s="14"/>
      <c r="Q49" s="11"/>
      <c r="R49" s="11"/>
    </row>
    <row r="50" spans="1:18" ht="15" x14ac:dyDescent="0.2">
      <c r="A50" s="13">
        <v>42370</v>
      </c>
      <c r="B50" s="9">
        <f>3.2679 * CHOOSE(CONTROL!$C$32, $C$9, 100%, $E$9)</f>
        <v>3.2679</v>
      </c>
      <c r="C50" s="9">
        <f>3.2679 * CHOOSE(CONTROL!$C$32, $C$9, 100%, $E$9)</f>
        <v>3.2679</v>
      </c>
      <c r="D50" s="9">
        <f>3.269 * CHOOSE(CONTROL!$C$32, $C$9, 100%, $E$9)</f>
        <v>3.2690000000000001</v>
      </c>
      <c r="E50" s="11">
        <f>3.9546 * CHOOSE(CONTROL!$C$32, $C$9, 100%, $E$9)</f>
        <v>3.9546000000000001</v>
      </c>
      <c r="F50" s="11">
        <f>3.6856 * CHOOSE(CONTROL!$C$32, $C$9, 100%, $E$9)</f>
        <v>3.6856</v>
      </c>
      <c r="G50" s="11">
        <f>3.6892 * CHOOSE(CONTROL!$C$32, $C$9, 100%, $E$9)</f>
        <v>3.6892</v>
      </c>
      <c r="H50" s="11">
        <f>6.2175 * CHOOSE(CONTROL!$C$32, $C$9, 100%, $E$9)</f>
        <v>6.2175000000000002</v>
      </c>
      <c r="I50" s="11">
        <f>6.2211 * CHOOSE(CONTROL!$C$32, $C$9, 100%, $E$9)</f>
        <v>6.2210999999999999</v>
      </c>
      <c r="J50" s="11">
        <f>6.2175 * CHOOSE(CONTROL!$C$32, $C$9, 100%, $E$9)</f>
        <v>6.2175000000000002</v>
      </c>
      <c r="K50" s="11">
        <f>6.2211 * CHOOSE(CONTROL!$C$32, $C$9, 100%, $E$9)</f>
        <v>6.2210999999999999</v>
      </c>
      <c r="L50" s="11">
        <f>3.9546 * CHOOSE(CONTROL!$C$32, $C$9, 100%, $E$9)</f>
        <v>3.9546000000000001</v>
      </c>
      <c r="M50" s="11">
        <f>3.9582 * CHOOSE(CONTROL!$C$32, $C$9, 100%, $E$9)</f>
        <v>3.9582000000000002</v>
      </c>
      <c r="N50" s="11">
        <f>3.9546 * CHOOSE(CONTROL!$C$32, $C$9, 100%, $E$9)</f>
        <v>3.9546000000000001</v>
      </c>
      <c r="O50" s="11">
        <f>3.9582 * CHOOSE(CONTROL!$C$32, $C$9, 100%, $E$9)</f>
        <v>3.9582000000000002</v>
      </c>
      <c r="P50" s="14"/>
      <c r="Q50" s="11"/>
      <c r="R50" s="11"/>
    </row>
    <row r="51" spans="1:18" ht="15" x14ac:dyDescent="0.2">
      <c r="A51" s="13">
        <v>42401</v>
      </c>
      <c r="B51" s="9">
        <f>3.2731 * CHOOSE(CONTROL!$C$32, $C$9, 100%, $E$9)</f>
        <v>3.2730999999999999</v>
      </c>
      <c r="C51" s="9">
        <f>3.2731 * CHOOSE(CONTROL!$C$32, $C$9, 100%, $E$9)</f>
        <v>3.2730999999999999</v>
      </c>
      <c r="D51" s="9">
        <f>3.2741 * CHOOSE(CONTROL!$C$32, $C$9, 100%, $E$9)</f>
        <v>3.2740999999999998</v>
      </c>
      <c r="E51" s="11">
        <f>3.8942 * CHOOSE(CONTROL!$C$32, $C$9, 100%, $E$9)</f>
        <v>3.8942000000000001</v>
      </c>
      <c r="F51" s="11">
        <f>3.6856 * CHOOSE(CONTROL!$C$32, $C$9, 100%, $E$9)</f>
        <v>3.6856</v>
      </c>
      <c r="G51" s="11">
        <f>3.6892 * CHOOSE(CONTROL!$C$32, $C$9, 100%, $E$9)</f>
        <v>3.6892</v>
      </c>
      <c r="H51" s="11">
        <f>6.2304 * CHOOSE(CONTROL!$C$32, $C$9, 100%, $E$9)</f>
        <v>6.2304000000000004</v>
      </c>
      <c r="I51" s="11">
        <f>6.234 * CHOOSE(CONTROL!$C$32, $C$9, 100%, $E$9)</f>
        <v>6.234</v>
      </c>
      <c r="J51" s="11">
        <f>6.2304 * CHOOSE(CONTROL!$C$32, $C$9, 100%, $E$9)</f>
        <v>6.2304000000000004</v>
      </c>
      <c r="K51" s="11">
        <f>6.234 * CHOOSE(CONTROL!$C$32, $C$9, 100%, $E$9)</f>
        <v>6.234</v>
      </c>
      <c r="L51" s="11">
        <f>3.8942 * CHOOSE(CONTROL!$C$32, $C$9, 100%, $E$9)</f>
        <v>3.8942000000000001</v>
      </c>
      <c r="M51" s="11">
        <f>3.8978 * CHOOSE(CONTROL!$C$32, $C$9, 100%, $E$9)</f>
        <v>3.8978000000000002</v>
      </c>
      <c r="N51" s="11">
        <f>3.8942 * CHOOSE(CONTROL!$C$32, $C$9, 100%, $E$9)</f>
        <v>3.8942000000000001</v>
      </c>
      <c r="O51" s="11">
        <f>3.8978 * CHOOSE(CONTROL!$C$32, $C$9, 100%, $E$9)</f>
        <v>3.8978000000000002</v>
      </c>
      <c r="P51" s="14"/>
      <c r="Q51" s="11"/>
      <c r="R51" s="11"/>
    </row>
    <row r="52" spans="1:18" ht="15" x14ac:dyDescent="0.2">
      <c r="A52" s="13">
        <v>42430</v>
      </c>
      <c r="B52" s="9">
        <f>3.2698 * CHOOSE(CONTROL!$C$32, $C$9, 100%, $E$9)</f>
        <v>3.2698</v>
      </c>
      <c r="C52" s="9">
        <f>3.2698 * CHOOSE(CONTROL!$C$32, $C$9, 100%, $E$9)</f>
        <v>3.2698</v>
      </c>
      <c r="D52" s="9">
        <f>3.2709 * CHOOSE(CONTROL!$C$32, $C$9, 100%, $E$9)</f>
        <v>3.2709000000000001</v>
      </c>
      <c r="E52" s="11">
        <f>3.8028 * CHOOSE(CONTROL!$C$32, $C$9, 100%, $E$9)</f>
        <v>3.8028</v>
      </c>
      <c r="F52" s="11">
        <f>3.6856 * CHOOSE(CONTROL!$C$32, $C$9, 100%, $E$9)</f>
        <v>3.6856</v>
      </c>
      <c r="G52" s="11">
        <f>3.6892 * CHOOSE(CONTROL!$C$32, $C$9, 100%, $E$9)</f>
        <v>3.6892</v>
      </c>
      <c r="H52" s="11">
        <f>6.2434 * CHOOSE(CONTROL!$C$32, $C$9, 100%, $E$9)</f>
        <v>6.2434000000000003</v>
      </c>
      <c r="I52" s="11">
        <f>6.247 * CHOOSE(CONTROL!$C$32, $C$9, 100%, $E$9)</f>
        <v>6.2469999999999999</v>
      </c>
      <c r="J52" s="11">
        <f>6.2434 * CHOOSE(CONTROL!$C$32, $C$9, 100%, $E$9)</f>
        <v>6.2434000000000003</v>
      </c>
      <c r="K52" s="11">
        <f>6.247 * CHOOSE(CONTROL!$C$32, $C$9, 100%, $E$9)</f>
        <v>6.2469999999999999</v>
      </c>
      <c r="L52" s="11">
        <f>3.8028 * CHOOSE(CONTROL!$C$32, $C$9, 100%, $E$9)</f>
        <v>3.8028</v>
      </c>
      <c r="M52" s="11">
        <f>3.8064 * CHOOSE(CONTROL!$C$32, $C$9, 100%, $E$9)</f>
        <v>3.8064</v>
      </c>
      <c r="N52" s="11">
        <f>3.8028 * CHOOSE(CONTROL!$C$32, $C$9, 100%, $E$9)</f>
        <v>3.8028</v>
      </c>
      <c r="O52" s="11">
        <f>3.8064 * CHOOSE(CONTROL!$C$32, $C$9, 100%, $E$9)</f>
        <v>3.8064</v>
      </c>
      <c r="P52" s="14"/>
      <c r="Q52" s="11"/>
      <c r="R52" s="11"/>
    </row>
    <row r="53" spans="1:18" ht="15" x14ac:dyDescent="0.2">
      <c r="A53" s="13">
        <v>42461</v>
      </c>
      <c r="B53" s="9">
        <f>3.2637 * CHOOSE(CONTROL!$C$32, $C$9, 100%, $E$9)</f>
        <v>3.2637</v>
      </c>
      <c r="C53" s="9">
        <f>3.2637 * CHOOSE(CONTROL!$C$32, $C$9, 100%, $E$9)</f>
        <v>3.2637</v>
      </c>
      <c r="D53" s="9">
        <f>3.2648 * CHOOSE(CONTROL!$C$32, $C$9, 100%, $E$9)</f>
        <v>3.2648000000000001</v>
      </c>
      <c r="E53" s="11">
        <f>3.8942 * CHOOSE(CONTROL!$C$32, $C$9, 100%, $E$9)</f>
        <v>3.8942000000000001</v>
      </c>
      <c r="F53" s="11">
        <f>3.6856 * CHOOSE(CONTROL!$C$32, $C$9, 100%, $E$9)</f>
        <v>3.6856</v>
      </c>
      <c r="G53" s="11">
        <f>3.6892 * CHOOSE(CONTROL!$C$32, $C$9, 100%, $E$9)</f>
        <v>3.6892</v>
      </c>
      <c r="H53" s="11">
        <f>6.2564 * CHOOSE(CONTROL!$C$32, $C$9, 100%, $E$9)</f>
        <v>6.2564000000000002</v>
      </c>
      <c r="I53" s="11">
        <f>6.26 * CHOOSE(CONTROL!$C$32, $C$9, 100%, $E$9)</f>
        <v>6.26</v>
      </c>
      <c r="J53" s="11">
        <f>6.2564 * CHOOSE(CONTROL!$C$32, $C$9, 100%, $E$9)</f>
        <v>6.2564000000000002</v>
      </c>
      <c r="K53" s="11">
        <f>6.26 * CHOOSE(CONTROL!$C$32, $C$9, 100%, $E$9)</f>
        <v>6.26</v>
      </c>
      <c r="L53" s="11">
        <f>3.8942 * CHOOSE(CONTROL!$C$32, $C$9, 100%, $E$9)</f>
        <v>3.8942000000000001</v>
      </c>
      <c r="M53" s="11">
        <f>3.8978 * CHOOSE(CONTROL!$C$32, $C$9, 100%, $E$9)</f>
        <v>3.8978000000000002</v>
      </c>
      <c r="N53" s="11">
        <f>3.8942 * CHOOSE(CONTROL!$C$32, $C$9, 100%, $E$9)</f>
        <v>3.8942000000000001</v>
      </c>
      <c r="O53" s="11">
        <f>3.8978 * CHOOSE(CONTROL!$C$32, $C$9, 100%, $E$9)</f>
        <v>3.8978000000000002</v>
      </c>
      <c r="P53" s="14"/>
      <c r="Q53" s="11"/>
      <c r="R53" s="11"/>
    </row>
    <row r="54" spans="1:18" ht="15" x14ac:dyDescent="0.2">
      <c r="A54" s="13">
        <v>42491</v>
      </c>
      <c r="B54" s="9">
        <f>3.2722 * CHOOSE(CONTROL!$C$32, $C$9, 100%, $E$9)</f>
        <v>3.2722000000000002</v>
      </c>
      <c r="C54" s="9">
        <f>3.2722 * CHOOSE(CONTROL!$C$32, $C$9, 100%, $E$9)</f>
        <v>3.2722000000000002</v>
      </c>
      <c r="D54" s="9">
        <f>3.2738 * CHOOSE(CONTROL!$C$32, $C$9, 100%, $E$9)</f>
        <v>3.2738</v>
      </c>
      <c r="E54" s="11">
        <f>3.9546 * CHOOSE(CONTROL!$C$32, $C$9, 100%, $E$9)</f>
        <v>3.9546000000000001</v>
      </c>
      <c r="F54" s="11">
        <f>3.6856 * CHOOSE(CONTROL!$C$32, $C$9, 100%, $E$9)</f>
        <v>3.6856</v>
      </c>
      <c r="G54" s="11">
        <f>3.6909 * CHOOSE(CONTROL!$C$32, $C$9, 100%, $E$9)</f>
        <v>3.6909000000000001</v>
      </c>
      <c r="H54" s="11">
        <f>6.2694 * CHOOSE(CONTROL!$C$32, $C$9, 100%, $E$9)</f>
        <v>6.2694000000000001</v>
      </c>
      <c r="I54" s="11">
        <f>6.2747 * CHOOSE(CONTROL!$C$32, $C$9, 100%, $E$9)</f>
        <v>6.2747000000000002</v>
      </c>
      <c r="J54" s="11">
        <f>6.2694 * CHOOSE(CONTROL!$C$32, $C$9, 100%, $E$9)</f>
        <v>6.2694000000000001</v>
      </c>
      <c r="K54" s="11">
        <f>6.2747 * CHOOSE(CONTROL!$C$32, $C$9, 100%, $E$9)</f>
        <v>6.2747000000000002</v>
      </c>
      <c r="L54" s="11">
        <f>3.9546 * CHOOSE(CONTROL!$C$32, $C$9, 100%, $E$9)</f>
        <v>3.9546000000000001</v>
      </c>
      <c r="M54" s="11">
        <f>3.9599 * CHOOSE(CONTROL!$C$32, $C$9, 100%, $E$9)</f>
        <v>3.9599000000000002</v>
      </c>
      <c r="N54" s="11">
        <f>3.9546 * CHOOSE(CONTROL!$C$32, $C$9, 100%, $E$9)</f>
        <v>3.9546000000000001</v>
      </c>
      <c r="O54" s="11">
        <f>3.9599 * CHOOSE(CONTROL!$C$32, $C$9, 100%, $E$9)</f>
        <v>3.9599000000000002</v>
      </c>
      <c r="P54" s="14"/>
      <c r="Q54" s="11"/>
      <c r="R54" s="11"/>
    </row>
    <row r="55" spans="1:18" ht="15" x14ac:dyDescent="0.2">
      <c r="A55" s="13">
        <v>42522</v>
      </c>
      <c r="B55" s="9">
        <f>3.2786 * CHOOSE(CONTROL!$C$32, $C$9, 100%, $E$9)</f>
        <v>3.2786</v>
      </c>
      <c r="C55" s="9">
        <f>3.2786 * CHOOSE(CONTROL!$C$32, $C$9, 100%, $E$9)</f>
        <v>3.2786</v>
      </c>
      <c r="D55" s="9">
        <f>3.2801 * CHOOSE(CONTROL!$C$32, $C$9, 100%, $E$9)</f>
        <v>3.2801</v>
      </c>
      <c r="E55" s="11">
        <f>3.9458 * CHOOSE(CONTROL!$C$32, $C$9, 100%, $E$9)</f>
        <v>3.9458000000000002</v>
      </c>
      <c r="F55" s="11">
        <f>3.6856 * CHOOSE(CONTROL!$C$32, $C$9, 100%, $E$9)</f>
        <v>3.6856</v>
      </c>
      <c r="G55" s="11">
        <f>3.6909 * CHOOSE(CONTROL!$C$32, $C$9, 100%, $E$9)</f>
        <v>3.6909000000000001</v>
      </c>
      <c r="H55" s="11">
        <f>6.2825 * CHOOSE(CONTROL!$C$32, $C$9, 100%, $E$9)</f>
        <v>6.2824999999999998</v>
      </c>
      <c r="I55" s="11">
        <f>6.2878 * CHOOSE(CONTROL!$C$32, $C$9, 100%, $E$9)</f>
        <v>6.2877999999999998</v>
      </c>
      <c r="J55" s="11">
        <f>6.2825 * CHOOSE(CONTROL!$C$32, $C$9, 100%, $E$9)</f>
        <v>6.2824999999999998</v>
      </c>
      <c r="K55" s="11">
        <f>6.2878 * CHOOSE(CONTROL!$C$32, $C$9, 100%, $E$9)</f>
        <v>6.2877999999999998</v>
      </c>
      <c r="L55" s="11">
        <f>3.9458 * CHOOSE(CONTROL!$C$32, $C$9, 100%, $E$9)</f>
        <v>3.9458000000000002</v>
      </c>
      <c r="M55" s="11">
        <f>3.9511 * CHOOSE(CONTROL!$C$32, $C$9, 100%, $E$9)</f>
        <v>3.9510999999999998</v>
      </c>
      <c r="N55" s="11">
        <f>3.9458 * CHOOSE(CONTROL!$C$32, $C$9, 100%, $E$9)</f>
        <v>3.9458000000000002</v>
      </c>
      <c r="O55" s="11">
        <f>3.9511 * CHOOSE(CONTROL!$C$32, $C$9, 100%, $E$9)</f>
        <v>3.9510999999999998</v>
      </c>
      <c r="P55" s="14"/>
      <c r="Q55" s="11"/>
      <c r="R55" s="11"/>
    </row>
    <row r="56" spans="1:18" ht="15" x14ac:dyDescent="0.2">
      <c r="A56" s="13">
        <v>42552</v>
      </c>
      <c r="B56" s="9">
        <f>3.2759 * CHOOSE(CONTROL!$C$32, $C$9, 100%, $E$9)</f>
        <v>3.2759</v>
      </c>
      <c r="C56" s="9">
        <f>3.2759 * CHOOSE(CONTROL!$C$32, $C$9, 100%, $E$9)</f>
        <v>3.2759</v>
      </c>
      <c r="D56" s="9">
        <f>3.2774 * CHOOSE(CONTROL!$C$32, $C$9, 100%, $E$9)</f>
        <v>3.2774000000000001</v>
      </c>
      <c r="E56" s="11">
        <f>3.9546 * CHOOSE(CONTROL!$C$32, $C$9, 100%, $E$9)</f>
        <v>3.9546000000000001</v>
      </c>
      <c r="F56" s="11">
        <f>3.6856 * CHOOSE(CONTROL!$C$32, $C$9, 100%, $E$9)</f>
        <v>3.6856</v>
      </c>
      <c r="G56" s="11">
        <f>3.6909 * CHOOSE(CONTROL!$C$32, $C$9, 100%, $E$9)</f>
        <v>3.6909000000000001</v>
      </c>
      <c r="H56" s="11">
        <f>6.2956 * CHOOSE(CONTROL!$C$32, $C$9, 100%, $E$9)</f>
        <v>6.2956000000000003</v>
      </c>
      <c r="I56" s="11">
        <f>6.3009 * CHOOSE(CONTROL!$C$32, $C$9, 100%, $E$9)</f>
        <v>6.3009000000000004</v>
      </c>
      <c r="J56" s="11">
        <f>6.2956 * CHOOSE(CONTROL!$C$32, $C$9, 100%, $E$9)</f>
        <v>6.2956000000000003</v>
      </c>
      <c r="K56" s="11">
        <f>6.3009 * CHOOSE(CONTROL!$C$32, $C$9, 100%, $E$9)</f>
        <v>6.3009000000000004</v>
      </c>
      <c r="L56" s="11">
        <f>3.9546 * CHOOSE(CONTROL!$C$32, $C$9, 100%, $E$9)</f>
        <v>3.9546000000000001</v>
      </c>
      <c r="M56" s="11">
        <f>3.9599 * CHOOSE(CONTROL!$C$32, $C$9, 100%, $E$9)</f>
        <v>3.9599000000000002</v>
      </c>
      <c r="N56" s="11">
        <f>3.9546 * CHOOSE(CONTROL!$C$32, $C$9, 100%, $E$9)</f>
        <v>3.9546000000000001</v>
      </c>
      <c r="O56" s="11">
        <f>3.9599 * CHOOSE(CONTROL!$C$32, $C$9, 100%, $E$9)</f>
        <v>3.9599000000000002</v>
      </c>
      <c r="P56" s="14"/>
      <c r="Q56" s="14"/>
      <c r="R56" s="14"/>
    </row>
    <row r="57" spans="1:18" ht="15" x14ac:dyDescent="0.2">
      <c r="A57" s="13">
        <v>42583</v>
      </c>
      <c r="B57" s="9">
        <f>3.2911 * CHOOSE(CONTROL!$C$32, $C$9, 100%, $E$9)</f>
        <v>3.2911000000000001</v>
      </c>
      <c r="C57" s="9">
        <f>3.2911 * CHOOSE(CONTROL!$C$32, $C$9, 100%, $E$9)</f>
        <v>3.2911000000000001</v>
      </c>
      <c r="D57" s="9">
        <f>3.2926 * CHOOSE(CONTROL!$C$32, $C$9, 100%, $E$9)</f>
        <v>3.2926000000000002</v>
      </c>
      <c r="E57" s="11">
        <f>3.9996 * CHOOSE(CONTROL!$C$32, $C$9, 100%, $E$9)</f>
        <v>3.9996</v>
      </c>
      <c r="F57" s="11">
        <f>3.6856 * CHOOSE(CONTROL!$C$32, $C$9, 100%, $E$9)</f>
        <v>3.6856</v>
      </c>
      <c r="G57" s="11">
        <f>3.6909 * CHOOSE(CONTROL!$C$32, $C$9, 100%, $E$9)</f>
        <v>3.6909000000000001</v>
      </c>
      <c r="H57" s="11">
        <f>6.3087 * CHOOSE(CONTROL!$C$32, $C$9, 100%, $E$9)</f>
        <v>6.3087</v>
      </c>
      <c r="I57" s="11">
        <f>6.314 * CHOOSE(CONTROL!$C$32, $C$9, 100%, $E$9)</f>
        <v>6.3140000000000001</v>
      </c>
      <c r="J57" s="11">
        <f>6.3087 * CHOOSE(CONTROL!$C$32, $C$9, 100%, $E$9)</f>
        <v>6.3087</v>
      </c>
      <c r="K57" s="11">
        <f>6.314 * CHOOSE(CONTROL!$C$32, $C$9, 100%, $E$9)</f>
        <v>6.3140000000000001</v>
      </c>
      <c r="L57" s="11">
        <f>3.9996 * CHOOSE(CONTROL!$C$32, $C$9, 100%, $E$9)</f>
        <v>3.9996</v>
      </c>
      <c r="M57" s="11">
        <f>4.0049 * CHOOSE(CONTROL!$C$32, $C$9, 100%, $E$9)</f>
        <v>4.0049000000000001</v>
      </c>
      <c r="N57" s="11">
        <f>3.9996 * CHOOSE(CONTROL!$C$32, $C$9, 100%, $E$9)</f>
        <v>3.9996</v>
      </c>
      <c r="O57" s="11">
        <f>4.0049 * CHOOSE(CONTROL!$C$32, $C$9, 100%, $E$9)</f>
        <v>4.0049000000000001</v>
      </c>
      <c r="P57" s="14"/>
      <c r="Q57" s="14"/>
      <c r="R57" s="14"/>
    </row>
    <row r="58" spans="1:18" ht="15" x14ac:dyDescent="0.2">
      <c r="A58" s="13">
        <v>42614</v>
      </c>
      <c r="B58" s="9">
        <f>3.2883 * CHOOSE(CONTROL!$C$32, $C$9, 100%, $E$9)</f>
        <v>3.2883</v>
      </c>
      <c r="C58" s="9">
        <f>3.2883 * CHOOSE(CONTROL!$C$32, $C$9, 100%, $E$9)</f>
        <v>3.2883</v>
      </c>
      <c r="D58" s="9">
        <f>3.2898 * CHOOSE(CONTROL!$C$32, $C$9, 100%, $E$9)</f>
        <v>3.2898000000000001</v>
      </c>
      <c r="E58" s="11">
        <f>3.9458 * CHOOSE(CONTROL!$C$32, $C$9, 100%, $E$9)</f>
        <v>3.9458000000000002</v>
      </c>
      <c r="F58" s="11">
        <f>3.6856 * CHOOSE(CONTROL!$C$32, $C$9, 100%, $E$9)</f>
        <v>3.6856</v>
      </c>
      <c r="G58" s="11">
        <f>3.6909 * CHOOSE(CONTROL!$C$32, $C$9, 100%, $E$9)</f>
        <v>3.6909000000000001</v>
      </c>
      <c r="H58" s="11">
        <f>6.3218 * CHOOSE(CONTROL!$C$32, $C$9, 100%, $E$9)</f>
        <v>6.3217999999999996</v>
      </c>
      <c r="I58" s="11">
        <f>6.3271 * CHOOSE(CONTROL!$C$32, $C$9, 100%, $E$9)</f>
        <v>6.3270999999999997</v>
      </c>
      <c r="J58" s="11">
        <f>6.3218 * CHOOSE(CONTROL!$C$32, $C$9, 100%, $E$9)</f>
        <v>6.3217999999999996</v>
      </c>
      <c r="K58" s="11">
        <f>6.3271 * CHOOSE(CONTROL!$C$32, $C$9, 100%, $E$9)</f>
        <v>6.3270999999999997</v>
      </c>
      <c r="L58" s="11">
        <f>3.9458 * CHOOSE(CONTROL!$C$32, $C$9, 100%, $E$9)</f>
        <v>3.9458000000000002</v>
      </c>
      <c r="M58" s="11">
        <f>3.9511 * CHOOSE(CONTROL!$C$32, $C$9, 100%, $E$9)</f>
        <v>3.9510999999999998</v>
      </c>
      <c r="N58" s="11">
        <f>3.9458 * CHOOSE(CONTROL!$C$32, $C$9, 100%, $E$9)</f>
        <v>3.9458000000000002</v>
      </c>
      <c r="O58" s="11">
        <f>3.9511 * CHOOSE(CONTROL!$C$32, $C$9, 100%, $E$9)</f>
        <v>3.9510999999999998</v>
      </c>
      <c r="P58" s="14"/>
      <c r="Q58" s="14"/>
      <c r="R58" s="14"/>
    </row>
    <row r="59" spans="1:18" ht="15" x14ac:dyDescent="0.2">
      <c r="A59" s="13">
        <v>42644</v>
      </c>
      <c r="B59" s="9">
        <f>3.269 * CHOOSE(CONTROL!$C$32, $C$9, 100%, $E$9)</f>
        <v>3.2690000000000001</v>
      </c>
      <c r="C59" s="9">
        <f>3.269 * CHOOSE(CONTROL!$C$32, $C$9, 100%, $E$9)</f>
        <v>3.2690000000000001</v>
      </c>
      <c r="D59" s="9">
        <f>3.2701 * CHOOSE(CONTROL!$C$32, $C$9, 100%, $E$9)</f>
        <v>3.2700999999999998</v>
      </c>
      <c r="E59" s="11">
        <f>4.0035 * CHOOSE(CONTROL!$C$32, $C$9, 100%, $E$9)</f>
        <v>4.0034999999999998</v>
      </c>
      <c r="F59" s="11">
        <f>3.6856 * CHOOSE(CONTROL!$C$32, $C$9, 100%, $E$9)</f>
        <v>3.6856</v>
      </c>
      <c r="G59" s="11">
        <f>3.6892 * CHOOSE(CONTROL!$C$32, $C$9, 100%, $E$9)</f>
        <v>3.6892</v>
      </c>
      <c r="H59" s="11">
        <f>6.335 * CHOOSE(CONTROL!$C$32, $C$9, 100%, $E$9)</f>
        <v>6.335</v>
      </c>
      <c r="I59" s="11">
        <f>6.3386 * CHOOSE(CONTROL!$C$32, $C$9, 100%, $E$9)</f>
        <v>6.3385999999999996</v>
      </c>
      <c r="J59" s="11">
        <f>6.335 * CHOOSE(CONTROL!$C$32, $C$9, 100%, $E$9)</f>
        <v>6.335</v>
      </c>
      <c r="K59" s="11">
        <f>6.3386 * CHOOSE(CONTROL!$C$32, $C$9, 100%, $E$9)</f>
        <v>6.3385999999999996</v>
      </c>
      <c r="L59" s="11">
        <f>4.0035 * CHOOSE(CONTROL!$C$32, $C$9, 100%, $E$9)</f>
        <v>4.0034999999999998</v>
      </c>
      <c r="M59" s="11">
        <f>4.0071 * CHOOSE(CONTROL!$C$32, $C$9, 100%, $E$9)</f>
        <v>4.0071000000000003</v>
      </c>
      <c r="N59" s="11">
        <f>4.0035 * CHOOSE(CONTROL!$C$32, $C$9, 100%, $E$9)</f>
        <v>4.0034999999999998</v>
      </c>
      <c r="O59" s="11">
        <f>4.0071 * CHOOSE(CONTROL!$C$32, $C$9, 100%, $E$9)</f>
        <v>4.0071000000000003</v>
      </c>
      <c r="P59" s="14"/>
      <c r="Q59" s="14"/>
      <c r="R59" s="14"/>
    </row>
    <row r="60" spans="1:18" ht="15" x14ac:dyDescent="0.2">
      <c r="A60" s="13">
        <v>42675</v>
      </c>
      <c r="B60" s="9">
        <f>3.2806 * CHOOSE(CONTROL!$C$32, $C$9, 100%, $E$9)</f>
        <v>3.2806000000000002</v>
      </c>
      <c r="C60" s="9">
        <f>3.2806 * CHOOSE(CONTROL!$C$32, $C$9, 100%, $E$9)</f>
        <v>3.2806000000000002</v>
      </c>
      <c r="D60" s="9">
        <f>3.2817 * CHOOSE(CONTROL!$C$32, $C$9, 100%, $E$9)</f>
        <v>3.2816999999999998</v>
      </c>
      <c r="E60" s="11">
        <f>3.9579 * CHOOSE(CONTROL!$C$32, $C$9, 100%, $E$9)</f>
        <v>3.9579</v>
      </c>
      <c r="F60" s="11">
        <f>3.6856 * CHOOSE(CONTROL!$C$32, $C$9, 100%, $E$9)</f>
        <v>3.6856</v>
      </c>
      <c r="G60" s="11">
        <f>3.6892 * CHOOSE(CONTROL!$C$32, $C$9, 100%, $E$9)</f>
        <v>3.6892</v>
      </c>
      <c r="H60" s="11">
        <f>6.3482 * CHOOSE(CONTROL!$C$32, $C$9, 100%, $E$9)</f>
        <v>6.3482000000000003</v>
      </c>
      <c r="I60" s="11">
        <f>6.3518 * CHOOSE(CONTROL!$C$32, $C$9, 100%, $E$9)</f>
        <v>6.3517999999999999</v>
      </c>
      <c r="J60" s="11">
        <f>6.3482 * CHOOSE(CONTROL!$C$32, $C$9, 100%, $E$9)</f>
        <v>6.3482000000000003</v>
      </c>
      <c r="K60" s="11">
        <f>6.3518 * CHOOSE(CONTROL!$C$32, $C$9, 100%, $E$9)</f>
        <v>6.3517999999999999</v>
      </c>
      <c r="L60" s="11">
        <f>3.9579 * CHOOSE(CONTROL!$C$32, $C$9, 100%, $E$9)</f>
        <v>3.9579</v>
      </c>
      <c r="M60" s="11">
        <f>3.9615 * CHOOSE(CONTROL!$C$32, $C$9, 100%, $E$9)</f>
        <v>3.9615</v>
      </c>
      <c r="N60" s="11">
        <f>3.9579 * CHOOSE(CONTROL!$C$32, $C$9, 100%, $E$9)</f>
        <v>3.9579</v>
      </c>
      <c r="O60" s="11">
        <f>3.9615 * CHOOSE(CONTROL!$C$32, $C$9, 100%, $E$9)</f>
        <v>3.9615</v>
      </c>
      <c r="P60" s="14"/>
      <c r="Q60" s="14"/>
      <c r="R60" s="14"/>
    </row>
    <row r="61" spans="1:18" ht="15" x14ac:dyDescent="0.2">
      <c r="A61" s="13">
        <v>42705</v>
      </c>
      <c r="B61" s="9">
        <f>3.2808 * CHOOSE(CONTROL!$C$32, $C$9, 100%, $E$9)</f>
        <v>3.2808000000000002</v>
      </c>
      <c r="C61" s="9">
        <f>3.2808 * CHOOSE(CONTROL!$C$32, $C$9, 100%, $E$9)</f>
        <v>3.2808000000000002</v>
      </c>
      <c r="D61" s="9">
        <f>3.2819 * CHOOSE(CONTROL!$C$32, $C$9, 100%, $E$9)</f>
        <v>3.2818999999999998</v>
      </c>
      <c r="E61" s="11">
        <f>3.8968 * CHOOSE(CONTROL!$C$32, $C$9, 100%, $E$9)</f>
        <v>3.8967999999999998</v>
      </c>
      <c r="F61" s="11">
        <f>3.6856 * CHOOSE(CONTROL!$C$32, $C$9, 100%, $E$9)</f>
        <v>3.6856</v>
      </c>
      <c r="G61" s="11">
        <f>3.6892 * CHOOSE(CONTROL!$C$32, $C$9, 100%, $E$9)</f>
        <v>3.6892</v>
      </c>
      <c r="H61" s="11">
        <f>6.3614 * CHOOSE(CONTROL!$C$32, $C$9, 100%, $E$9)</f>
        <v>6.3613999999999997</v>
      </c>
      <c r="I61" s="11">
        <f>6.3651 * CHOOSE(CONTROL!$C$32, $C$9, 100%, $E$9)</f>
        <v>6.3651</v>
      </c>
      <c r="J61" s="11">
        <f>6.3614 * CHOOSE(CONTROL!$C$32, $C$9, 100%, $E$9)</f>
        <v>6.3613999999999997</v>
      </c>
      <c r="K61" s="11">
        <f>6.3651 * CHOOSE(CONTROL!$C$32, $C$9, 100%, $E$9)</f>
        <v>6.3651</v>
      </c>
      <c r="L61" s="11">
        <f>3.8968 * CHOOSE(CONTROL!$C$32, $C$9, 100%, $E$9)</f>
        <v>3.8967999999999998</v>
      </c>
      <c r="M61" s="11">
        <f>3.9004 * CHOOSE(CONTROL!$C$32, $C$9, 100%, $E$9)</f>
        <v>3.9003999999999999</v>
      </c>
      <c r="N61" s="11">
        <f>3.8968 * CHOOSE(CONTROL!$C$32, $C$9, 100%, $E$9)</f>
        <v>3.8967999999999998</v>
      </c>
      <c r="O61" s="11">
        <f>3.9004 * CHOOSE(CONTROL!$C$32, $C$9, 100%, $E$9)</f>
        <v>3.9003999999999999</v>
      </c>
      <c r="P61" s="14"/>
      <c r="Q61" s="14"/>
      <c r="R61" s="14"/>
    </row>
    <row r="62" spans="1:18" ht="15" x14ac:dyDescent="0.2">
      <c r="A62" s="13">
        <v>42736</v>
      </c>
      <c r="B62" s="9">
        <f>3.2762 * CHOOSE(CONTROL!$C$32, $C$9, 100%, $E$9)</f>
        <v>3.2761999999999998</v>
      </c>
      <c r="C62" s="9">
        <f>3.2762 * CHOOSE(CONTROL!$C$32, $C$9, 100%, $E$9)</f>
        <v>3.2761999999999998</v>
      </c>
      <c r="D62" s="9">
        <f>3.2773 * CHOOSE(CONTROL!$C$32, $C$9, 100%, $E$9)</f>
        <v>3.2772999999999999</v>
      </c>
      <c r="E62" s="11">
        <f>3.8371 * CHOOSE(CONTROL!$C$32, $C$9, 100%, $E$9)</f>
        <v>3.8371</v>
      </c>
      <c r="F62" s="11">
        <f>3.8371 * CHOOSE(CONTROL!$C$32, $C$9, 100%, $E$9)</f>
        <v>3.8371</v>
      </c>
      <c r="G62" s="11">
        <f>3.8407 * CHOOSE(CONTROL!$C$32, $C$9, 100%, $E$9)</f>
        <v>3.8407</v>
      </c>
      <c r="H62" s="11">
        <f>6.3747 * CHOOSE(CONTROL!$C$32, $C$9, 100%, $E$9)</f>
        <v>6.3746999999999998</v>
      </c>
      <c r="I62" s="11">
        <f>6.3783 * CHOOSE(CONTROL!$C$32, $C$9, 100%, $E$9)</f>
        <v>6.3783000000000003</v>
      </c>
      <c r="J62" s="11">
        <f>6.3747 * CHOOSE(CONTROL!$C$32, $C$9, 100%, $E$9)</f>
        <v>6.3746999999999998</v>
      </c>
      <c r="K62" s="11">
        <f>6.3783 * CHOOSE(CONTROL!$C$32, $C$9, 100%, $E$9)</f>
        <v>6.3783000000000003</v>
      </c>
      <c r="L62" s="11">
        <f>3.8371 * CHOOSE(CONTROL!$C$32, $C$9, 100%, $E$9)</f>
        <v>3.8371</v>
      </c>
      <c r="M62" s="11">
        <f>3.8407 * CHOOSE(CONTROL!$C$32, $C$9, 100%, $E$9)</f>
        <v>3.8407</v>
      </c>
      <c r="N62" s="11">
        <f>3.8371 * CHOOSE(CONTROL!$C$32, $C$9, 100%, $E$9)</f>
        <v>3.8371</v>
      </c>
      <c r="O62" s="11">
        <f>3.8407 * CHOOSE(CONTROL!$C$32, $C$9, 100%, $E$9)</f>
        <v>3.8407</v>
      </c>
      <c r="P62" s="14"/>
      <c r="Q62" s="14"/>
      <c r="R62" s="14"/>
    </row>
    <row r="63" spans="1:18" ht="15" x14ac:dyDescent="0.2">
      <c r="A63" s="13">
        <v>42767</v>
      </c>
      <c r="B63" s="9">
        <f>3.2814 * CHOOSE(CONTROL!$C$32, $C$9, 100%, $E$9)</f>
        <v>3.2814000000000001</v>
      </c>
      <c r="C63" s="9">
        <f>3.2814 * CHOOSE(CONTROL!$C$32, $C$9, 100%, $E$9)</f>
        <v>3.2814000000000001</v>
      </c>
      <c r="D63" s="9">
        <f>3.2825 * CHOOSE(CONTROL!$C$32, $C$9, 100%, $E$9)</f>
        <v>3.2825000000000002</v>
      </c>
      <c r="E63" s="11">
        <f>3.8351 * CHOOSE(CONTROL!$C$32, $C$9, 100%, $E$9)</f>
        <v>3.8351000000000002</v>
      </c>
      <c r="F63" s="11">
        <f>3.8351 * CHOOSE(CONTROL!$C$32, $C$9, 100%, $E$9)</f>
        <v>3.8351000000000002</v>
      </c>
      <c r="G63" s="11">
        <f>3.8387 * CHOOSE(CONTROL!$C$32, $C$9, 100%, $E$9)</f>
        <v>3.8386999999999998</v>
      </c>
      <c r="H63" s="11">
        <f>6.388 * CHOOSE(CONTROL!$C$32, $C$9, 100%, $E$9)</f>
        <v>6.3879999999999999</v>
      </c>
      <c r="I63" s="11">
        <f>6.3916 * CHOOSE(CONTROL!$C$32, $C$9, 100%, $E$9)</f>
        <v>6.3916000000000004</v>
      </c>
      <c r="J63" s="11">
        <f>6.388 * CHOOSE(CONTROL!$C$32, $C$9, 100%, $E$9)</f>
        <v>6.3879999999999999</v>
      </c>
      <c r="K63" s="11">
        <f>6.3916 * CHOOSE(CONTROL!$C$32, $C$9, 100%, $E$9)</f>
        <v>6.3916000000000004</v>
      </c>
      <c r="L63" s="11">
        <f>3.8351 * CHOOSE(CONTROL!$C$32, $C$9, 100%, $E$9)</f>
        <v>3.8351000000000002</v>
      </c>
      <c r="M63" s="11">
        <f>3.8387 * CHOOSE(CONTROL!$C$32, $C$9, 100%, $E$9)</f>
        <v>3.8386999999999998</v>
      </c>
      <c r="N63" s="11">
        <f>3.8351 * CHOOSE(CONTROL!$C$32, $C$9, 100%, $E$9)</f>
        <v>3.8351000000000002</v>
      </c>
      <c r="O63" s="11">
        <f>3.8387 * CHOOSE(CONTROL!$C$32, $C$9, 100%, $E$9)</f>
        <v>3.8386999999999998</v>
      </c>
      <c r="P63" s="14"/>
      <c r="Q63" s="14"/>
      <c r="R63" s="14"/>
    </row>
    <row r="64" spans="1:18" ht="15" x14ac:dyDescent="0.2">
      <c r="A64" s="13">
        <v>42795</v>
      </c>
      <c r="B64" s="9">
        <f>3.2785 * CHOOSE(CONTROL!$C$32, $C$9, 100%, $E$9)</f>
        <v>3.2785000000000002</v>
      </c>
      <c r="C64" s="9">
        <f>3.2785 * CHOOSE(CONTROL!$C$32, $C$9, 100%, $E$9)</f>
        <v>3.2785000000000002</v>
      </c>
      <c r="D64" s="9">
        <f>3.2796 * CHOOSE(CONTROL!$C$32, $C$9, 100%, $E$9)</f>
        <v>3.2795999999999998</v>
      </c>
      <c r="E64" s="11">
        <f>3.8331 * CHOOSE(CONTROL!$C$32, $C$9, 100%, $E$9)</f>
        <v>3.8331</v>
      </c>
      <c r="F64" s="11">
        <f>3.8331 * CHOOSE(CONTROL!$C$32, $C$9, 100%, $E$9)</f>
        <v>3.8331</v>
      </c>
      <c r="G64" s="11">
        <f>3.8367 * CHOOSE(CONTROL!$C$32, $C$9, 100%, $E$9)</f>
        <v>3.8367</v>
      </c>
      <c r="H64" s="11">
        <f>6.4013 * CHOOSE(CONTROL!$C$32, $C$9, 100%, $E$9)</f>
        <v>6.4013</v>
      </c>
      <c r="I64" s="11">
        <f>6.4049 * CHOOSE(CONTROL!$C$32, $C$9, 100%, $E$9)</f>
        <v>6.4048999999999996</v>
      </c>
      <c r="J64" s="11">
        <f>6.4013 * CHOOSE(CONTROL!$C$32, $C$9, 100%, $E$9)</f>
        <v>6.4013</v>
      </c>
      <c r="K64" s="11">
        <f>6.4049 * CHOOSE(CONTROL!$C$32, $C$9, 100%, $E$9)</f>
        <v>6.4048999999999996</v>
      </c>
      <c r="L64" s="11">
        <f>3.8331 * CHOOSE(CONTROL!$C$32, $C$9, 100%, $E$9)</f>
        <v>3.8331</v>
      </c>
      <c r="M64" s="11">
        <f>3.8367 * CHOOSE(CONTROL!$C$32, $C$9, 100%, $E$9)</f>
        <v>3.8367</v>
      </c>
      <c r="N64" s="11">
        <f>3.8331 * CHOOSE(CONTROL!$C$32, $C$9, 100%, $E$9)</f>
        <v>3.8331</v>
      </c>
      <c r="O64" s="11">
        <f>3.8367 * CHOOSE(CONTROL!$C$32, $C$9, 100%, $E$9)</f>
        <v>3.8367</v>
      </c>
      <c r="P64" s="14"/>
      <c r="Q64" s="14"/>
      <c r="R64" s="14"/>
    </row>
    <row r="65" spans="1:18" ht="15" x14ac:dyDescent="0.2">
      <c r="A65" s="13">
        <v>42826</v>
      </c>
      <c r="B65" s="9">
        <f>3.2725 * CHOOSE(CONTROL!$C$32, $C$9, 100%, $E$9)</f>
        <v>3.2725</v>
      </c>
      <c r="C65" s="9">
        <f>3.2725 * CHOOSE(CONTROL!$C$32, $C$9, 100%, $E$9)</f>
        <v>3.2725</v>
      </c>
      <c r="D65" s="9">
        <f>3.2735 * CHOOSE(CONTROL!$C$32, $C$9, 100%, $E$9)</f>
        <v>3.2734999999999999</v>
      </c>
      <c r="E65" s="11">
        <f>3.8305 * CHOOSE(CONTROL!$C$32, $C$9, 100%, $E$9)</f>
        <v>3.8304999999999998</v>
      </c>
      <c r="F65" s="11">
        <f>3.8305 * CHOOSE(CONTROL!$C$32, $C$9, 100%, $E$9)</f>
        <v>3.8304999999999998</v>
      </c>
      <c r="G65" s="11">
        <f>3.8342 * CHOOSE(CONTROL!$C$32, $C$9, 100%, $E$9)</f>
        <v>3.8342000000000001</v>
      </c>
      <c r="H65" s="11">
        <f>6.4146 * CHOOSE(CONTROL!$C$32, $C$9, 100%, $E$9)</f>
        <v>6.4146000000000001</v>
      </c>
      <c r="I65" s="11">
        <f>6.4182 * CHOOSE(CONTROL!$C$32, $C$9, 100%, $E$9)</f>
        <v>6.4181999999999997</v>
      </c>
      <c r="J65" s="11">
        <f>6.4146 * CHOOSE(CONTROL!$C$32, $C$9, 100%, $E$9)</f>
        <v>6.4146000000000001</v>
      </c>
      <c r="K65" s="11">
        <f>6.4182 * CHOOSE(CONTROL!$C$32, $C$9, 100%, $E$9)</f>
        <v>6.4181999999999997</v>
      </c>
      <c r="L65" s="11">
        <f>3.8305 * CHOOSE(CONTROL!$C$32, $C$9, 100%, $E$9)</f>
        <v>3.8304999999999998</v>
      </c>
      <c r="M65" s="11">
        <f>3.8342 * CHOOSE(CONTROL!$C$32, $C$9, 100%, $E$9)</f>
        <v>3.8342000000000001</v>
      </c>
      <c r="N65" s="11">
        <f>3.8305 * CHOOSE(CONTROL!$C$32, $C$9, 100%, $E$9)</f>
        <v>3.8304999999999998</v>
      </c>
      <c r="O65" s="11">
        <f>3.8342 * CHOOSE(CONTROL!$C$32, $C$9, 100%, $E$9)</f>
        <v>3.8342000000000001</v>
      </c>
      <c r="P65" s="14"/>
      <c r="Q65" s="14"/>
      <c r="R65" s="14"/>
    </row>
    <row r="66" spans="1:18" ht="15" x14ac:dyDescent="0.2">
      <c r="A66" s="13">
        <v>42856</v>
      </c>
      <c r="B66" s="9">
        <f>3.2809 * CHOOSE(CONTROL!$C$32, $C$9, 100%, $E$9)</f>
        <v>3.2808999999999999</v>
      </c>
      <c r="C66" s="9">
        <f>3.2809 * CHOOSE(CONTROL!$C$32, $C$9, 100%, $E$9)</f>
        <v>3.2808999999999999</v>
      </c>
      <c r="D66" s="9">
        <f>3.2825 * CHOOSE(CONTROL!$C$32, $C$9, 100%, $E$9)</f>
        <v>3.2825000000000002</v>
      </c>
      <c r="E66" s="11">
        <f>3.8305 * CHOOSE(CONTROL!$C$32, $C$9, 100%, $E$9)</f>
        <v>3.8304999999999998</v>
      </c>
      <c r="F66" s="11">
        <f>3.8305 * CHOOSE(CONTROL!$C$32, $C$9, 100%, $E$9)</f>
        <v>3.8304999999999998</v>
      </c>
      <c r="G66" s="11">
        <f>3.8358 * CHOOSE(CONTROL!$C$32, $C$9, 100%, $E$9)</f>
        <v>3.8357999999999999</v>
      </c>
      <c r="H66" s="11">
        <f>6.428 * CHOOSE(CONTROL!$C$32, $C$9, 100%, $E$9)</f>
        <v>6.4279999999999999</v>
      </c>
      <c r="I66" s="11">
        <f>6.4333 * CHOOSE(CONTROL!$C$32, $C$9, 100%, $E$9)</f>
        <v>6.4333</v>
      </c>
      <c r="J66" s="11">
        <f>6.428 * CHOOSE(CONTROL!$C$32, $C$9, 100%, $E$9)</f>
        <v>6.4279999999999999</v>
      </c>
      <c r="K66" s="11">
        <f>6.4333 * CHOOSE(CONTROL!$C$32, $C$9, 100%, $E$9)</f>
        <v>6.4333</v>
      </c>
      <c r="L66" s="11">
        <f>3.8305 * CHOOSE(CONTROL!$C$32, $C$9, 100%, $E$9)</f>
        <v>3.8304999999999998</v>
      </c>
      <c r="M66" s="11">
        <f>3.8358 * CHOOSE(CONTROL!$C$32, $C$9, 100%, $E$9)</f>
        <v>3.8357999999999999</v>
      </c>
      <c r="N66" s="11">
        <f>3.8305 * CHOOSE(CONTROL!$C$32, $C$9, 100%, $E$9)</f>
        <v>3.8304999999999998</v>
      </c>
      <c r="O66" s="11">
        <f>3.8358 * CHOOSE(CONTROL!$C$32, $C$9, 100%, $E$9)</f>
        <v>3.8357999999999999</v>
      </c>
      <c r="P66" s="14"/>
      <c r="Q66" s="14"/>
      <c r="R66" s="14"/>
    </row>
    <row r="67" spans="1:18" ht="15" x14ac:dyDescent="0.2">
      <c r="A67" s="13">
        <v>42887</v>
      </c>
      <c r="B67" s="9">
        <f>3.2871 * CHOOSE(CONTROL!$C$32, $C$9, 100%, $E$9)</f>
        <v>3.2871000000000001</v>
      </c>
      <c r="C67" s="9">
        <f>3.2871 * CHOOSE(CONTROL!$C$32, $C$9, 100%, $E$9)</f>
        <v>3.2871000000000001</v>
      </c>
      <c r="D67" s="9">
        <f>3.2887 * CHOOSE(CONTROL!$C$32, $C$9, 100%, $E$9)</f>
        <v>3.2887</v>
      </c>
      <c r="E67" s="11">
        <f>3.8345 * CHOOSE(CONTROL!$C$32, $C$9, 100%, $E$9)</f>
        <v>3.8344999999999998</v>
      </c>
      <c r="F67" s="11">
        <f>3.8345 * CHOOSE(CONTROL!$C$32, $C$9, 100%, $E$9)</f>
        <v>3.8344999999999998</v>
      </c>
      <c r="G67" s="11">
        <f>3.8398 * CHOOSE(CONTROL!$C$32, $C$9, 100%, $E$9)</f>
        <v>3.8397999999999999</v>
      </c>
      <c r="H67" s="11">
        <f>6.4414 * CHOOSE(CONTROL!$C$32, $C$9, 100%, $E$9)</f>
        <v>6.4413999999999998</v>
      </c>
      <c r="I67" s="11">
        <f>6.4467 * CHOOSE(CONTROL!$C$32, $C$9, 100%, $E$9)</f>
        <v>6.4466999999999999</v>
      </c>
      <c r="J67" s="11">
        <f>6.4414 * CHOOSE(CONTROL!$C$32, $C$9, 100%, $E$9)</f>
        <v>6.4413999999999998</v>
      </c>
      <c r="K67" s="11">
        <f>6.4467 * CHOOSE(CONTROL!$C$32, $C$9, 100%, $E$9)</f>
        <v>6.4466999999999999</v>
      </c>
      <c r="L67" s="11">
        <f>3.8345 * CHOOSE(CONTROL!$C$32, $C$9, 100%, $E$9)</f>
        <v>3.8344999999999998</v>
      </c>
      <c r="M67" s="11">
        <f>3.8398 * CHOOSE(CONTROL!$C$32, $C$9, 100%, $E$9)</f>
        <v>3.8397999999999999</v>
      </c>
      <c r="N67" s="11">
        <f>3.8345 * CHOOSE(CONTROL!$C$32, $C$9, 100%, $E$9)</f>
        <v>3.8344999999999998</v>
      </c>
      <c r="O67" s="11">
        <f>3.8398 * CHOOSE(CONTROL!$C$32, $C$9, 100%, $E$9)</f>
        <v>3.8397999999999999</v>
      </c>
      <c r="P67" s="14"/>
      <c r="Q67" s="14"/>
      <c r="R67" s="14"/>
    </row>
    <row r="68" spans="1:18" ht="15" x14ac:dyDescent="0.2">
      <c r="A68" s="13">
        <v>42917</v>
      </c>
      <c r="B68" s="9">
        <f>3.3418 * CHOOSE(CONTROL!$C$32, $C$9, 100%, $E$9)</f>
        <v>3.3418000000000001</v>
      </c>
      <c r="C68" s="9">
        <f>3.3418 * CHOOSE(CONTROL!$C$32, $C$9, 100%, $E$9)</f>
        <v>3.3418000000000001</v>
      </c>
      <c r="D68" s="9">
        <f>3.3434 * CHOOSE(CONTROL!$C$32, $C$9, 100%, $E$9)</f>
        <v>3.3433999999999999</v>
      </c>
      <c r="E68" s="11">
        <f>3.9255 * CHOOSE(CONTROL!$C$32, $C$9, 100%, $E$9)</f>
        <v>3.9255</v>
      </c>
      <c r="F68" s="11">
        <f>3.9255 * CHOOSE(CONTROL!$C$32, $C$9, 100%, $E$9)</f>
        <v>3.9255</v>
      </c>
      <c r="G68" s="11">
        <f>3.9308 * CHOOSE(CONTROL!$C$32, $C$9, 100%, $E$9)</f>
        <v>3.9308000000000001</v>
      </c>
      <c r="H68" s="11">
        <f>6.4548 * CHOOSE(CONTROL!$C$32, $C$9, 100%, $E$9)</f>
        <v>6.4547999999999996</v>
      </c>
      <c r="I68" s="11">
        <f>6.4601 * CHOOSE(CONTROL!$C$32, $C$9, 100%, $E$9)</f>
        <v>6.4600999999999997</v>
      </c>
      <c r="J68" s="11">
        <f>6.4548 * CHOOSE(CONTROL!$C$32, $C$9, 100%, $E$9)</f>
        <v>6.4547999999999996</v>
      </c>
      <c r="K68" s="11">
        <f>6.4601 * CHOOSE(CONTROL!$C$32, $C$9, 100%, $E$9)</f>
        <v>6.4600999999999997</v>
      </c>
      <c r="L68" s="11">
        <f>3.9255 * CHOOSE(CONTROL!$C$32, $C$9, 100%, $E$9)</f>
        <v>3.9255</v>
      </c>
      <c r="M68" s="11">
        <f>3.9308 * CHOOSE(CONTROL!$C$32, $C$9, 100%, $E$9)</f>
        <v>3.9308000000000001</v>
      </c>
      <c r="N68" s="11">
        <f>3.9255 * CHOOSE(CONTROL!$C$32, $C$9, 100%, $E$9)</f>
        <v>3.9255</v>
      </c>
      <c r="O68" s="11">
        <f>3.9308 * CHOOSE(CONTROL!$C$32, $C$9, 100%, $E$9)</f>
        <v>3.9308000000000001</v>
      </c>
      <c r="P68" s="14"/>
      <c r="Q68" s="14"/>
      <c r="R68" s="14"/>
    </row>
    <row r="69" spans="1:18" ht="15" x14ac:dyDescent="0.2">
      <c r="A69" s="13">
        <v>42948</v>
      </c>
      <c r="B69" s="9">
        <f>3.357 * CHOOSE(CONTROL!$C$32, $C$9, 100%, $E$9)</f>
        <v>3.3570000000000002</v>
      </c>
      <c r="C69" s="9">
        <f>3.357 * CHOOSE(CONTROL!$C$32, $C$9, 100%, $E$9)</f>
        <v>3.3570000000000002</v>
      </c>
      <c r="D69" s="9">
        <f>3.3586 * CHOOSE(CONTROL!$C$32, $C$9, 100%, $E$9)</f>
        <v>3.3586</v>
      </c>
      <c r="E69" s="11">
        <f>3.9299 * CHOOSE(CONTROL!$C$32, $C$9, 100%, $E$9)</f>
        <v>3.9298999999999999</v>
      </c>
      <c r="F69" s="11">
        <f>3.9299 * CHOOSE(CONTROL!$C$32, $C$9, 100%, $E$9)</f>
        <v>3.9298999999999999</v>
      </c>
      <c r="G69" s="11">
        <f>3.9352 * CHOOSE(CONTROL!$C$32, $C$9, 100%, $E$9)</f>
        <v>3.9352</v>
      </c>
      <c r="H69" s="11">
        <f>6.4682 * CHOOSE(CONTROL!$C$32, $C$9, 100%, $E$9)</f>
        <v>6.4682000000000004</v>
      </c>
      <c r="I69" s="11">
        <f>6.4735 * CHOOSE(CONTROL!$C$32, $C$9, 100%, $E$9)</f>
        <v>6.4734999999999996</v>
      </c>
      <c r="J69" s="11">
        <f>6.4682 * CHOOSE(CONTROL!$C$32, $C$9, 100%, $E$9)</f>
        <v>6.4682000000000004</v>
      </c>
      <c r="K69" s="11">
        <f>6.4735 * CHOOSE(CONTROL!$C$32, $C$9, 100%, $E$9)</f>
        <v>6.4734999999999996</v>
      </c>
      <c r="L69" s="11">
        <f>3.9299 * CHOOSE(CONTROL!$C$32, $C$9, 100%, $E$9)</f>
        <v>3.9298999999999999</v>
      </c>
      <c r="M69" s="11">
        <f>3.9352 * CHOOSE(CONTROL!$C$32, $C$9, 100%, $E$9)</f>
        <v>3.9352</v>
      </c>
      <c r="N69" s="11">
        <f>3.9299 * CHOOSE(CONTROL!$C$32, $C$9, 100%, $E$9)</f>
        <v>3.9298999999999999</v>
      </c>
      <c r="O69" s="11">
        <f>3.9352 * CHOOSE(CONTROL!$C$32, $C$9, 100%, $E$9)</f>
        <v>3.9352</v>
      </c>
      <c r="P69" s="14"/>
      <c r="Q69" s="14"/>
      <c r="R69" s="14"/>
    </row>
    <row r="70" spans="1:18" ht="15" x14ac:dyDescent="0.2">
      <c r="A70" s="13">
        <v>42979</v>
      </c>
      <c r="B70" s="9">
        <f>3.354 * CHOOSE(CONTROL!$C$32, $C$9, 100%, $E$9)</f>
        <v>3.3540000000000001</v>
      </c>
      <c r="C70" s="9">
        <f>3.354 * CHOOSE(CONTROL!$C$32, $C$9, 100%, $E$9)</f>
        <v>3.3540000000000001</v>
      </c>
      <c r="D70" s="9">
        <f>3.3556 * CHOOSE(CONTROL!$C$32, $C$9, 100%, $E$9)</f>
        <v>3.3555999999999999</v>
      </c>
      <c r="E70" s="11">
        <f>3.9279 * CHOOSE(CONTROL!$C$32, $C$9, 100%, $E$9)</f>
        <v>3.9279000000000002</v>
      </c>
      <c r="F70" s="11">
        <f>3.9279 * CHOOSE(CONTROL!$C$32, $C$9, 100%, $E$9)</f>
        <v>3.9279000000000002</v>
      </c>
      <c r="G70" s="11">
        <f>3.9332 * CHOOSE(CONTROL!$C$32, $C$9, 100%, $E$9)</f>
        <v>3.9331999999999998</v>
      </c>
      <c r="H70" s="11">
        <f>6.4817 * CHOOSE(CONTROL!$C$32, $C$9, 100%, $E$9)</f>
        <v>6.4817</v>
      </c>
      <c r="I70" s="11">
        <f>6.487 * CHOOSE(CONTROL!$C$32, $C$9, 100%, $E$9)</f>
        <v>6.4870000000000001</v>
      </c>
      <c r="J70" s="11">
        <f>6.4817 * CHOOSE(CONTROL!$C$32, $C$9, 100%, $E$9)</f>
        <v>6.4817</v>
      </c>
      <c r="K70" s="11">
        <f>6.487 * CHOOSE(CONTROL!$C$32, $C$9, 100%, $E$9)</f>
        <v>6.4870000000000001</v>
      </c>
      <c r="L70" s="11">
        <f>3.9279 * CHOOSE(CONTROL!$C$32, $C$9, 100%, $E$9)</f>
        <v>3.9279000000000002</v>
      </c>
      <c r="M70" s="11">
        <f>3.9332 * CHOOSE(CONTROL!$C$32, $C$9, 100%, $E$9)</f>
        <v>3.9331999999999998</v>
      </c>
      <c r="N70" s="11">
        <f>3.9279 * CHOOSE(CONTROL!$C$32, $C$9, 100%, $E$9)</f>
        <v>3.9279000000000002</v>
      </c>
      <c r="O70" s="11">
        <f>3.9332 * CHOOSE(CONTROL!$C$32, $C$9, 100%, $E$9)</f>
        <v>3.9331999999999998</v>
      </c>
      <c r="P70" s="14"/>
      <c r="Q70" s="14"/>
      <c r="R70" s="14"/>
    </row>
    <row r="71" spans="1:18" ht="15" x14ac:dyDescent="0.2">
      <c r="A71" s="13">
        <v>43009</v>
      </c>
      <c r="B71" s="9">
        <f>3.3348 * CHOOSE(CONTROL!$C$32, $C$9, 100%, $E$9)</f>
        <v>3.3348</v>
      </c>
      <c r="C71" s="9">
        <f>3.3348 * CHOOSE(CONTROL!$C$32, $C$9, 100%, $E$9)</f>
        <v>3.3348</v>
      </c>
      <c r="D71" s="9">
        <f>3.3358 * CHOOSE(CONTROL!$C$32, $C$9, 100%, $E$9)</f>
        <v>3.3357999999999999</v>
      </c>
      <c r="E71" s="11">
        <f>3.9209 * CHOOSE(CONTROL!$C$32, $C$9, 100%, $E$9)</f>
        <v>3.9209000000000001</v>
      </c>
      <c r="F71" s="11">
        <f>3.9209 * CHOOSE(CONTROL!$C$32, $C$9, 100%, $E$9)</f>
        <v>3.9209000000000001</v>
      </c>
      <c r="G71" s="11">
        <f>3.9245 * CHOOSE(CONTROL!$C$32, $C$9, 100%, $E$9)</f>
        <v>3.9245000000000001</v>
      </c>
      <c r="H71" s="11">
        <f>6.4952 * CHOOSE(CONTROL!$C$32, $C$9, 100%, $E$9)</f>
        <v>6.4951999999999996</v>
      </c>
      <c r="I71" s="11">
        <f>6.4988 * CHOOSE(CONTROL!$C$32, $C$9, 100%, $E$9)</f>
        <v>6.4988000000000001</v>
      </c>
      <c r="J71" s="11">
        <f>6.4952 * CHOOSE(CONTROL!$C$32, $C$9, 100%, $E$9)</f>
        <v>6.4951999999999996</v>
      </c>
      <c r="K71" s="11">
        <f>6.4988 * CHOOSE(CONTROL!$C$32, $C$9, 100%, $E$9)</f>
        <v>6.4988000000000001</v>
      </c>
      <c r="L71" s="11">
        <f>3.9209 * CHOOSE(CONTROL!$C$32, $C$9, 100%, $E$9)</f>
        <v>3.9209000000000001</v>
      </c>
      <c r="M71" s="11">
        <f>3.9245 * CHOOSE(CONTROL!$C$32, $C$9, 100%, $E$9)</f>
        <v>3.9245000000000001</v>
      </c>
      <c r="N71" s="11">
        <f>3.9209 * CHOOSE(CONTROL!$C$32, $C$9, 100%, $E$9)</f>
        <v>3.9209000000000001</v>
      </c>
      <c r="O71" s="11">
        <f>3.9245 * CHOOSE(CONTROL!$C$32, $C$9, 100%, $E$9)</f>
        <v>3.9245000000000001</v>
      </c>
      <c r="P71" s="14"/>
      <c r="Q71" s="14"/>
      <c r="R71" s="14"/>
    </row>
    <row r="72" spans="1:18" ht="15" x14ac:dyDescent="0.2">
      <c r="A72" s="13">
        <v>43040</v>
      </c>
      <c r="B72" s="9">
        <f>3.3463 * CHOOSE(CONTROL!$C$32, $C$9, 100%, $E$9)</f>
        <v>3.3462999999999998</v>
      </c>
      <c r="C72" s="9">
        <f>3.3463 * CHOOSE(CONTROL!$C$32, $C$9, 100%, $E$9)</f>
        <v>3.3462999999999998</v>
      </c>
      <c r="D72" s="9">
        <f>3.3474 * CHOOSE(CONTROL!$C$32, $C$9, 100%, $E$9)</f>
        <v>3.3473999999999999</v>
      </c>
      <c r="E72" s="11">
        <f>3.9229 * CHOOSE(CONTROL!$C$32, $C$9, 100%, $E$9)</f>
        <v>3.9228999999999998</v>
      </c>
      <c r="F72" s="11">
        <f>3.9229 * CHOOSE(CONTROL!$C$32, $C$9, 100%, $E$9)</f>
        <v>3.9228999999999998</v>
      </c>
      <c r="G72" s="11">
        <f>3.9265 * CHOOSE(CONTROL!$C$32, $C$9, 100%, $E$9)</f>
        <v>3.9264999999999999</v>
      </c>
      <c r="H72" s="11">
        <f>6.5087 * CHOOSE(CONTROL!$C$32, $C$9, 100%, $E$9)</f>
        <v>6.5087000000000002</v>
      </c>
      <c r="I72" s="11">
        <f>6.5124 * CHOOSE(CONTROL!$C$32, $C$9, 100%, $E$9)</f>
        <v>6.5124000000000004</v>
      </c>
      <c r="J72" s="11">
        <f>6.5087 * CHOOSE(CONTROL!$C$32, $C$9, 100%, $E$9)</f>
        <v>6.5087000000000002</v>
      </c>
      <c r="K72" s="11">
        <f>6.5124 * CHOOSE(CONTROL!$C$32, $C$9, 100%, $E$9)</f>
        <v>6.5124000000000004</v>
      </c>
      <c r="L72" s="11">
        <f>3.9229 * CHOOSE(CONTROL!$C$32, $C$9, 100%, $E$9)</f>
        <v>3.9228999999999998</v>
      </c>
      <c r="M72" s="11">
        <f>3.9265 * CHOOSE(CONTROL!$C$32, $C$9, 100%, $E$9)</f>
        <v>3.9264999999999999</v>
      </c>
      <c r="N72" s="11">
        <f>3.9229 * CHOOSE(CONTROL!$C$32, $C$9, 100%, $E$9)</f>
        <v>3.9228999999999998</v>
      </c>
      <c r="O72" s="11">
        <f>3.9265 * CHOOSE(CONTROL!$C$32, $C$9, 100%, $E$9)</f>
        <v>3.9264999999999999</v>
      </c>
      <c r="P72" s="14"/>
      <c r="Q72" s="14"/>
      <c r="R72" s="14"/>
    </row>
    <row r="73" spans="1:18" ht="15" x14ac:dyDescent="0.2">
      <c r="A73" s="13">
        <v>43070</v>
      </c>
      <c r="B73" s="9">
        <f>3.3463 * CHOOSE(CONTROL!$C$32, $C$9, 100%, $E$9)</f>
        <v>3.3462999999999998</v>
      </c>
      <c r="C73" s="9">
        <f>3.3463 * CHOOSE(CONTROL!$C$32, $C$9, 100%, $E$9)</f>
        <v>3.3462999999999998</v>
      </c>
      <c r="D73" s="9">
        <f>3.3474 * CHOOSE(CONTROL!$C$32, $C$9, 100%, $E$9)</f>
        <v>3.3473999999999999</v>
      </c>
      <c r="E73" s="11">
        <f>3.9229 * CHOOSE(CONTROL!$C$32, $C$9, 100%, $E$9)</f>
        <v>3.9228999999999998</v>
      </c>
      <c r="F73" s="11">
        <f>3.9229 * CHOOSE(CONTROL!$C$32, $C$9, 100%, $E$9)</f>
        <v>3.9228999999999998</v>
      </c>
      <c r="G73" s="11">
        <f>3.9265 * CHOOSE(CONTROL!$C$32, $C$9, 100%, $E$9)</f>
        <v>3.9264999999999999</v>
      </c>
      <c r="H73" s="11">
        <f>6.5223 * CHOOSE(CONTROL!$C$32, $C$9, 100%, $E$9)</f>
        <v>6.5223000000000004</v>
      </c>
      <c r="I73" s="11">
        <f>6.5259 * CHOOSE(CONTROL!$C$32, $C$9, 100%, $E$9)</f>
        <v>6.5259</v>
      </c>
      <c r="J73" s="11">
        <f>6.5223 * CHOOSE(CONTROL!$C$32, $C$9, 100%, $E$9)</f>
        <v>6.5223000000000004</v>
      </c>
      <c r="K73" s="11">
        <f>6.5259 * CHOOSE(CONTROL!$C$32, $C$9, 100%, $E$9)</f>
        <v>6.5259</v>
      </c>
      <c r="L73" s="11">
        <f>3.9229 * CHOOSE(CONTROL!$C$32, $C$9, 100%, $E$9)</f>
        <v>3.9228999999999998</v>
      </c>
      <c r="M73" s="11">
        <f>3.9265 * CHOOSE(CONTROL!$C$32, $C$9, 100%, $E$9)</f>
        <v>3.9264999999999999</v>
      </c>
      <c r="N73" s="11">
        <f>3.9229 * CHOOSE(CONTROL!$C$32, $C$9, 100%, $E$9)</f>
        <v>3.9228999999999998</v>
      </c>
      <c r="O73" s="11">
        <f>3.9265 * CHOOSE(CONTROL!$C$32, $C$9, 100%, $E$9)</f>
        <v>3.9264999999999999</v>
      </c>
      <c r="P73" s="14"/>
      <c r="Q73" s="14"/>
      <c r="R73" s="14"/>
    </row>
    <row r="74" spans="1:18" ht="15" x14ac:dyDescent="0.2">
      <c r="A74" s="13">
        <v>43101</v>
      </c>
      <c r="B74" s="9">
        <f>3.3747 * CHOOSE(CONTROL!$C$32, $C$9, 100%, $E$9)</f>
        <v>3.3746999999999998</v>
      </c>
      <c r="C74" s="9">
        <f>3.3747 * CHOOSE(CONTROL!$C$32, $C$9, 100%, $E$9)</f>
        <v>3.3746999999999998</v>
      </c>
      <c r="D74" s="9">
        <f>3.3758 * CHOOSE(CONTROL!$C$32, $C$9, 100%, $E$9)</f>
        <v>3.3757999999999999</v>
      </c>
      <c r="E74" s="11">
        <f>3.9606 * CHOOSE(CONTROL!$C$32, $C$9, 100%, $E$9)</f>
        <v>3.9605999999999999</v>
      </c>
      <c r="F74" s="11">
        <f>3.9606 * CHOOSE(CONTROL!$C$32, $C$9, 100%, $E$9)</f>
        <v>3.9605999999999999</v>
      </c>
      <c r="G74" s="11">
        <f>3.9642 * CHOOSE(CONTROL!$C$32, $C$9, 100%, $E$9)</f>
        <v>3.9641999999999999</v>
      </c>
      <c r="H74" s="11">
        <f>6.5359 * CHOOSE(CONTROL!$C$32, $C$9, 100%, $E$9)</f>
        <v>6.5358999999999998</v>
      </c>
      <c r="I74" s="11">
        <f>6.5395 * CHOOSE(CONTROL!$C$32, $C$9, 100%, $E$9)</f>
        <v>6.5395000000000003</v>
      </c>
      <c r="J74" s="11">
        <f>6.5359 * CHOOSE(CONTROL!$C$32, $C$9, 100%, $E$9)</f>
        <v>6.5358999999999998</v>
      </c>
      <c r="K74" s="11">
        <f>6.5395 * CHOOSE(CONTROL!$C$32, $C$9, 100%, $E$9)</f>
        <v>6.5395000000000003</v>
      </c>
      <c r="L74" s="11">
        <f>3.9606 * CHOOSE(CONTROL!$C$32, $C$9, 100%, $E$9)</f>
        <v>3.9605999999999999</v>
      </c>
      <c r="M74" s="11">
        <f>3.9642 * CHOOSE(CONTROL!$C$32, $C$9, 100%, $E$9)</f>
        <v>3.9641999999999999</v>
      </c>
      <c r="N74" s="11">
        <f>3.9606 * CHOOSE(CONTROL!$C$32, $C$9, 100%, $E$9)</f>
        <v>3.9605999999999999</v>
      </c>
      <c r="O74" s="11">
        <f>3.9642 * CHOOSE(CONTROL!$C$32, $C$9, 100%, $E$9)</f>
        <v>3.9641999999999999</v>
      </c>
      <c r="P74" s="14"/>
      <c r="Q74" s="14"/>
      <c r="R74" s="14"/>
    </row>
    <row r="75" spans="1:18" ht="15" x14ac:dyDescent="0.2">
      <c r="A75" s="13">
        <v>43132</v>
      </c>
      <c r="B75" s="9">
        <f>3.3805 * CHOOSE(CONTROL!$C$32, $C$9, 100%, $E$9)</f>
        <v>3.3805000000000001</v>
      </c>
      <c r="C75" s="9">
        <f>3.3805 * CHOOSE(CONTROL!$C$32, $C$9, 100%, $E$9)</f>
        <v>3.3805000000000001</v>
      </c>
      <c r="D75" s="9">
        <f>3.3816 * CHOOSE(CONTROL!$C$32, $C$9, 100%, $E$9)</f>
        <v>3.3816000000000002</v>
      </c>
      <c r="E75" s="11">
        <f>3.9586 * CHOOSE(CONTROL!$C$32, $C$9, 100%, $E$9)</f>
        <v>3.9586000000000001</v>
      </c>
      <c r="F75" s="11">
        <f>3.9586 * CHOOSE(CONTROL!$C$32, $C$9, 100%, $E$9)</f>
        <v>3.9586000000000001</v>
      </c>
      <c r="G75" s="11">
        <f>3.9622 * CHOOSE(CONTROL!$C$32, $C$9, 100%, $E$9)</f>
        <v>3.9622000000000002</v>
      </c>
      <c r="H75" s="11">
        <f>6.5495 * CHOOSE(CONTROL!$C$32, $C$9, 100%, $E$9)</f>
        <v>6.5495000000000001</v>
      </c>
      <c r="I75" s="11">
        <f>6.5531 * CHOOSE(CONTROL!$C$32, $C$9, 100%, $E$9)</f>
        <v>6.5530999999999997</v>
      </c>
      <c r="J75" s="11">
        <f>6.5495 * CHOOSE(CONTROL!$C$32, $C$9, 100%, $E$9)</f>
        <v>6.5495000000000001</v>
      </c>
      <c r="K75" s="11">
        <f>6.5531 * CHOOSE(CONTROL!$C$32, $C$9, 100%, $E$9)</f>
        <v>6.5530999999999997</v>
      </c>
      <c r="L75" s="11">
        <f>3.9586 * CHOOSE(CONTROL!$C$32, $C$9, 100%, $E$9)</f>
        <v>3.9586000000000001</v>
      </c>
      <c r="M75" s="11">
        <f>3.9622 * CHOOSE(CONTROL!$C$32, $C$9, 100%, $E$9)</f>
        <v>3.9622000000000002</v>
      </c>
      <c r="N75" s="11">
        <f>3.9586 * CHOOSE(CONTROL!$C$32, $C$9, 100%, $E$9)</f>
        <v>3.9586000000000001</v>
      </c>
      <c r="O75" s="11">
        <f>3.9622 * CHOOSE(CONTROL!$C$32, $C$9, 100%, $E$9)</f>
        <v>3.9622000000000002</v>
      </c>
      <c r="P75" s="14"/>
      <c r="Q75" s="14"/>
      <c r="R75" s="14"/>
    </row>
    <row r="76" spans="1:18" ht="15" x14ac:dyDescent="0.2">
      <c r="A76" s="13">
        <v>43160</v>
      </c>
      <c r="B76" s="9">
        <f>3.3774 * CHOOSE(CONTROL!$C$32, $C$9, 100%, $E$9)</f>
        <v>3.3774000000000002</v>
      </c>
      <c r="C76" s="9">
        <f>3.3774 * CHOOSE(CONTROL!$C$32, $C$9, 100%, $E$9)</f>
        <v>3.3774000000000002</v>
      </c>
      <c r="D76" s="9">
        <f>3.3785 * CHOOSE(CONTROL!$C$32, $C$9, 100%, $E$9)</f>
        <v>3.3784999999999998</v>
      </c>
      <c r="E76" s="11">
        <f>3.9566 * CHOOSE(CONTROL!$C$32, $C$9, 100%, $E$9)</f>
        <v>3.9565999999999999</v>
      </c>
      <c r="F76" s="11">
        <f>3.9566 * CHOOSE(CONTROL!$C$32, $C$9, 100%, $E$9)</f>
        <v>3.9565999999999999</v>
      </c>
      <c r="G76" s="11">
        <f>3.9602 * CHOOSE(CONTROL!$C$32, $C$9, 100%, $E$9)</f>
        <v>3.9601999999999999</v>
      </c>
      <c r="H76" s="11">
        <f>6.5632 * CHOOSE(CONTROL!$C$32, $C$9, 100%, $E$9)</f>
        <v>6.5632000000000001</v>
      </c>
      <c r="I76" s="11">
        <f>6.5668 * CHOOSE(CONTROL!$C$32, $C$9, 100%, $E$9)</f>
        <v>6.5667999999999997</v>
      </c>
      <c r="J76" s="11">
        <f>6.5632 * CHOOSE(CONTROL!$C$32, $C$9, 100%, $E$9)</f>
        <v>6.5632000000000001</v>
      </c>
      <c r="K76" s="11">
        <f>6.5668 * CHOOSE(CONTROL!$C$32, $C$9, 100%, $E$9)</f>
        <v>6.5667999999999997</v>
      </c>
      <c r="L76" s="11">
        <f>3.9566 * CHOOSE(CONTROL!$C$32, $C$9, 100%, $E$9)</f>
        <v>3.9565999999999999</v>
      </c>
      <c r="M76" s="11">
        <f>3.9602 * CHOOSE(CONTROL!$C$32, $C$9, 100%, $E$9)</f>
        <v>3.9601999999999999</v>
      </c>
      <c r="N76" s="11">
        <f>3.9566 * CHOOSE(CONTROL!$C$32, $C$9, 100%, $E$9)</f>
        <v>3.9565999999999999</v>
      </c>
      <c r="O76" s="11">
        <f>3.9602 * CHOOSE(CONTROL!$C$32, $C$9, 100%, $E$9)</f>
        <v>3.9601999999999999</v>
      </c>
      <c r="P76" s="14"/>
      <c r="Q76" s="14"/>
      <c r="R76" s="14"/>
    </row>
    <row r="77" spans="1:18" ht="15" x14ac:dyDescent="0.2">
      <c r="A77" s="13">
        <v>43191</v>
      </c>
      <c r="B77" s="9">
        <f>3.3713 * CHOOSE(CONTROL!$C$32, $C$9, 100%, $E$9)</f>
        <v>3.3713000000000002</v>
      </c>
      <c r="C77" s="9">
        <f>3.3713 * CHOOSE(CONTROL!$C$32, $C$9, 100%, $E$9)</f>
        <v>3.3713000000000002</v>
      </c>
      <c r="D77" s="9">
        <f>3.3724 * CHOOSE(CONTROL!$C$32, $C$9, 100%, $E$9)</f>
        <v>3.3723999999999998</v>
      </c>
      <c r="E77" s="11">
        <f>3.9541 * CHOOSE(CONTROL!$C$32, $C$9, 100%, $E$9)</f>
        <v>3.9540999999999999</v>
      </c>
      <c r="F77" s="11">
        <f>3.9541 * CHOOSE(CONTROL!$C$32, $C$9, 100%, $E$9)</f>
        <v>3.9540999999999999</v>
      </c>
      <c r="G77" s="11">
        <f>3.9577 * CHOOSE(CONTROL!$C$32, $C$9, 100%, $E$9)</f>
        <v>3.9577</v>
      </c>
      <c r="H77" s="11">
        <f>6.5768 * CHOOSE(CONTROL!$C$32, $C$9, 100%, $E$9)</f>
        <v>6.5768000000000004</v>
      </c>
      <c r="I77" s="11">
        <f>6.5804 * CHOOSE(CONTROL!$C$32, $C$9, 100%, $E$9)</f>
        <v>6.5804</v>
      </c>
      <c r="J77" s="11">
        <f>6.5768 * CHOOSE(CONTROL!$C$32, $C$9, 100%, $E$9)</f>
        <v>6.5768000000000004</v>
      </c>
      <c r="K77" s="11">
        <f>6.5804 * CHOOSE(CONTROL!$C$32, $C$9, 100%, $E$9)</f>
        <v>6.5804</v>
      </c>
      <c r="L77" s="11">
        <f>3.9541 * CHOOSE(CONTROL!$C$32, $C$9, 100%, $E$9)</f>
        <v>3.9540999999999999</v>
      </c>
      <c r="M77" s="11">
        <f>3.9577 * CHOOSE(CONTROL!$C$32, $C$9, 100%, $E$9)</f>
        <v>3.9577</v>
      </c>
      <c r="N77" s="11">
        <f>3.9541 * CHOOSE(CONTROL!$C$32, $C$9, 100%, $E$9)</f>
        <v>3.9540999999999999</v>
      </c>
      <c r="O77" s="11">
        <f>3.9577 * CHOOSE(CONTROL!$C$32, $C$9, 100%, $E$9)</f>
        <v>3.9577</v>
      </c>
      <c r="P77" s="14"/>
      <c r="Q77" s="14"/>
      <c r="R77" s="14"/>
    </row>
    <row r="78" spans="1:18" ht="15" x14ac:dyDescent="0.2">
      <c r="A78" s="13">
        <v>43221</v>
      </c>
      <c r="B78" s="9">
        <f>3.38 * CHOOSE(CONTROL!$C$32, $C$9, 100%, $E$9)</f>
        <v>3.38</v>
      </c>
      <c r="C78" s="9">
        <f>3.38 * CHOOSE(CONTROL!$C$32, $C$9, 100%, $E$9)</f>
        <v>3.38</v>
      </c>
      <c r="D78" s="9">
        <f>3.3815 * CHOOSE(CONTROL!$C$32, $C$9, 100%, $E$9)</f>
        <v>3.3815</v>
      </c>
      <c r="E78" s="11">
        <f>3.9541 * CHOOSE(CONTROL!$C$32, $C$9, 100%, $E$9)</f>
        <v>3.9540999999999999</v>
      </c>
      <c r="F78" s="11">
        <f>3.9541 * CHOOSE(CONTROL!$C$32, $C$9, 100%, $E$9)</f>
        <v>3.9540999999999999</v>
      </c>
      <c r="G78" s="11">
        <f>3.9594 * CHOOSE(CONTROL!$C$32, $C$9, 100%, $E$9)</f>
        <v>3.9594</v>
      </c>
      <c r="H78" s="11">
        <f>6.5905 * CHOOSE(CONTROL!$C$32, $C$9, 100%, $E$9)</f>
        <v>6.5904999999999996</v>
      </c>
      <c r="I78" s="11">
        <f>6.5958 * CHOOSE(CONTROL!$C$32, $C$9, 100%, $E$9)</f>
        <v>6.5957999999999997</v>
      </c>
      <c r="J78" s="11">
        <f>6.5905 * CHOOSE(CONTROL!$C$32, $C$9, 100%, $E$9)</f>
        <v>6.5904999999999996</v>
      </c>
      <c r="K78" s="11">
        <f>6.5958 * CHOOSE(CONTROL!$C$32, $C$9, 100%, $E$9)</f>
        <v>6.5957999999999997</v>
      </c>
      <c r="L78" s="11">
        <f>3.9541 * CHOOSE(CONTROL!$C$32, $C$9, 100%, $E$9)</f>
        <v>3.9540999999999999</v>
      </c>
      <c r="M78" s="11">
        <f>3.9594 * CHOOSE(CONTROL!$C$32, $C$9, 100%, $E$9)</f>
        <v>3.9594</v>
      </c>
      <c r="N78" s="11">
        <f>3.9541 * CHOOSE(CONTROL!$C$32, $C$9, 100%, $E$9)</f>
        <v>3.9540999999999999</v>
      </c>
      <c r="O78" s="11">
        <f>3.9594 * CHOOSE(CONTROL!$C$32, $C$9, 100%, $E$9)</f>
        <v>3.9594</v>
      </c>
      <c r="P78" s="14"/>
      <c r="Q78" s="14"/>
      <c r="R78" s="14"/>
    </row>
    <row r="79" spans="1:18" ht="15" x14ac:dyDescent="0.2">
      <c r="A79" s="13">
        <v>43252</v>
      </c>
      <c r="B79" s="9">
        <f>3.386 * CHOOSE(CONTROL!$C$32, $C$9, 100%, $E$9)</f>
        <v>3.3860000000000001</v>
      </c>
      <c r="C79" s="9">
        <f>3.386 * CHOOSE(CONTROL!$C$32, $C$9, 100%, $E$9)</f>
        <v>3.3860000000000001</v>
      </c>
      <c r="D79" s="9">
        <f>3.3876 * CHOOSE(CONTROL!$C$32, $C$9, 100%, $E$9)</f>
        <v>3.3875999999999999</v>
      </c>
      <c r="E79" s="11">
        <f>3.9581 * CHOOSE(CONTROL!$C$32, $C$9, 100%, $E$9)</f>
        <v>3.9581</v>
      </c>
      <c r="F79" s="11">
        <f>3.9581 * CHOOSE(CONTROL!$C$32, $C$9, 100%, $E$9)</f>
        <v>3.9581</v>
      </c>
      <c r="G79" s="11">
        <f>3.9634 * CHOOSE(CONTROL!$C$32, $C$9, 100%, $E$9)</f>
        <v>3.9634</v>
      </c>
      <c r="H79" s="11">
        <f>6.6043 * CHOOSE(CONTROL!$C$32, $C$9, 100%, $E$9)</f>
        <v>6.6043000000000003</v>
      </c>
      <c r="I79" s="11">
        <f>6.6096 * CHOOSE(CONTROL!$C$32, $C$9, 100%, $E$9)</f>
        <v>6.6096000000000004</v>
      </c>
      <c r="J79" s="11">
        <f>6.6043 * CHOOSE(CONTROL!$C$32, $C$9, 100%, $E$9)</f>
        <v>6.6043000000000003</v>
      </c>
      <c r="K79" s="11">
        <f>6.6096 * CHOOSE(CONTROL!$C$32, $C$9, 100%, $E$9)</f>
        <v>6.6096000000000004</v>
      </c>
      <c r="L79" s="11">
        <f>3.9581 * CHOOSE(CONTROL!$C$32, $C$9, 100%, $E$9)</f>
        <v>3.9581</v>
      </c>
      <c r="M79" s="11">
        <f>3.9634 * CHOOSE(CONTROL!$C$32, $C$9, 100%, $E$9)</f>
        <v>3.9634</v>
      </c>
      <c r="N79" s="11">
        <f>3.9581 * CHOOSE(CONTROL!$C$32, $C$9, 100%, $E$9)</f>
        <v>3.9581</v>
      </c>
      <c r="O79" s="11">
        <f>3.9634 * CHOOSE(CONTROL!$C$32, $C$9, 100%, $E$9)</f>
        <v>3.9634</v>
      </c>
      <c r="P79" s="14"/>
      <c r="Q79" s="14"/>
      <c r="R79" s="14"/>
    </row>
    <row r="80" spans="1:18" ht="15" x14ac:dyDescent="0.2">
      <c r="A80" s="13">
        <v>43282</v>
      </c>
      <c r="B80" s="9">
        <f>3.4206 * CHOOSE(CONTROL!$C$32, $C$9, 100%, $E$9)</f>
        <v>3.4205999999999999</v>
      </c>
      <c r="C80" s="9">
        <f>3.4206 * CHOOSE(CONTROL!$C$32, $C$9, 100%, $E$9)</f>
        <v>3.4205999999999999</v>
      </c>
      <c r="D80" s="9">
        <f>3.4222 * CHOOSE(CONTROL!$C$32, $C$9, 100%, $E$9)</f>
        <v>3.4222000000000001</v>
      </c>
      <c r="E80" s="11">
        <f>4.0414 * CHOOSE(CONTROL!$C$32, $C$9, 100%, $E$9)</f>
        <v>4.0414000000000003</v>
      </c>
      <c r="F80" s="11">
        <f>4.0414 * CHOOSE(CONTROL!$C$32, $C$9, 100%, $E$9)</f>
        <v>4.0414000000000003</v>
      </c>
      <c r="G80" s="11">
        <f>4.0467 * CHOOSE(CONTROL!$C$32, $C$9, 100%, $E$9)</f>
        <v>4.0467000000000004</v>
      </c>
      <c r="H80" s="11">
        <f>6.618 * CHOOSE(CONTROL!$C$32, $C$9, 100%, $E$9)</f>
        <v>6.6180000000000003</v>
      </c>
      <c r="I80" s="11">
        <f>6.6233 * CHOOSE(CONTROL!$C$32, $C$9, 100%, $E$9)</f>
        <v>6.6233000000000004</v>
      </c>
      <c r="J80" s="11">
        <f>6.618 * CHOOSE(CONTROL!$C$32, $C$9, 100%, $E$9)</f>
        <v>6.6180000000000003</v>
      </c>
      <c r="K80" s="11">
        <f>6.6233 * CHOOSE(CONTROL!$C$32, $C$9, 100%, $E$9)</f>
        <v>6.6233000000000004</v>
      </c>
      <c r="L80" s="11">
        <f>4.0414 * CHOOSE(CONTROL!$C$32, $C$9, 100%, $E$9)</f>
        <v>4.0414000000000003</v>
      </c>
      <c r="M80" s="11">
        <f>4.0467 * CHOOSE(CONTROL!$C$32, $C$9, 100%, $E$9)</f>
        <v>4.0467000000000004</v>
      </c>
      <c r="N80" s="11">
        <f>4.0414 * CHOOSE(CONTROL!$C$32, $C$9, 100%, $E$9)</f>
        <v>4.0414000000000003</v>
      </c>
      <c r="O80" s="11">
        <f>4.0467 * CHOOSE(CONTROL!$C$32, $C$9, 100%, $E$9)</f>
        <v>4.0467000000000004</v>
      </c>
      <c r="P80" s="14"/>
      <c r="Q80" s="14"/>
      <c r="R80" s="14"/>
    </row>
    <row r="81" spans="1:18" ht="15" x14ac:dyDescent="0.2">
      <c r="A81" s="13">
        <v>43313</v>
      </c>
      <c r="B81" s="9">
        <f>3.4359 * CHOOSE(CONTROL!$C$32, $C$9, 100%, $E$9)</f>
        <v>3.4359000000000002</v>
      </c>
      <c r="C81" s="9">
        <f>3.4359 * CHOOSE(CONTROL!$C$32, $C$9, 100%, $E$9)</f>
        <v>3.4359000000000002</v>
      </c>
      <c r="D81" s="9">
        <f>3.4375 * CHOOSE(CONTROL!$C$32, $C$9, 100%, $E$9)</f>
        <v>3.4375</v>
      </c>
      <c r="E81" s="11">
        <f>4.0458 * CHOOSE(CONTROL!$C$32, $C$9, 100%, $E$9)</f>
        <v>4.0457999999999998</v>
      </c>
      <c r="F81" s="11">
        <f>4.0458 * CHOOSE(CONTROL!$C$32, $C$9, 100%, $E$9)</f>
        <v>4.0457999999999998</v>
      </c>
      <c r="G81" s="11">
        <f>4.0511 * CHOOSE(CONTROL!$C$32, $C$9, 100%, $E$9)</f>
        <v>4.0510999999999999</v>
      </c>
      <c r="H81" s="11">
        <f>6.6318 * CHOOSE(CONTROL!$C$32, $C$9, 100%, $E$9)</f>
        <v>6.6318000000000001</v>
      </c>
      <c r="I81" s="11">
        <f>6.6371 * CHOOSE(CONTROL!$C$32, $C$9, 100%, $E$9)</f>
        <v>6.6371000000000002</v>
      </c>
      <c r="J81" s="11">
        <f>6.6318 * CHOOSE(CONTROL!$C$32, $C$9, 100%, $E$9)</f>
        <v>6.6318000000000001</v>
      </c>
      <c r="K81" s="11">
        <f>6.6371 * CHOOSE(CONTROL!$C$32, $C$9, 100%, $E$9)</f>
        <v>6.6371000000000002</v>
      </c>
      <c r="L81" s="11">
        <f>4.0458 * CHOOSE(CONTROL!$C$32, $C$9, 100%, $E$9)</f>
        <v>4.0457999999999998</v>
      </c>
      <c r="M81" s="11">
        <f>4.0511 * CHOOSE(CONTROL!$C$32, $C$9, 100%, $E$9)</f>
        <v>4.0510999999999999</v>
      </c>
      <c r="N81" s="11">
        <f>4.0458 * CHOOSE(CONTROL!$C$32, $C$9, 100%, $E$9)</f>
        <v>4.0457999999999998</v>
      </c>
      <c r="O81" s="11">
        <f>4.0511 * CHOOSE(CONTROL!$C$32, $C$9, 100%, $E$9)</f>
        <v>4.0510999999999999</v>
      </c>
      <c r="P81" s="14"/>
      <c r="Q81" s="14"/>
      <c r="R81" s="14"/>
    </row>
    <row r="82" spans="1:18" ht="15" x14ac:dyDescent="0.2">
      <c r="A82" s="13">
        <v>43344</v>
      </c>
      <c r="B82" s="9">
        <f>3.4328 * CHOOSE(CONTROL!$C$32, $C$9, 100%, $E$9)</f>
        <v>3.4327999999999999</v>
      </c>
      <c r="C82" s="9">
        <f>3.4328 * CHOOSE(CONTROL!$C$32, $C$9, 100%, $E$9)</f>
        <v>3.4327999999999999</v>
      </c>
      <c r="D82" s="9">
        <f>3.4344 * CHOOSE(CONTROL!$C$32, $C$9, 100%, $E$9)</f>
        <v>3.4344000000000001</v>
      </c>
      <c r="E82" s="11">
        <f>4.0438 * CHOOSE(CONTROL!$C$32, $C$9, 100%, $E$9)</f>
        <v>4.0438000000000001</v>
      </c>
      <c r="F82" s="11">
        <f>4.0438 * CHOOSE(CONTROL!$C$32, $C$9, 100%, $E$9)</f>
        <v>4.0438000000000001</v>
      </c>
      <c r="G82" s="11">
        <f>4.0491 * CHOOSE(CONTROL!$C$32, $C$9, 100%, $E$9)</f>
        <v>4.0491000000000001</v>
      </c>
      <c r="H82" s="11">
        <f>6.6456 * CHOOSE(CONTROL!$C$32, $C$9, 100%, $E$9)</f>
        <v>6.6456</v>
      </c>
      <c r="I82" s="11">
        <f>6.6509 * CHOOSE(CONTROL!$C$32, $C$9, 100%, $E$9)</f>
        <v>6.6509</v>
      </c>
      <c r="J82" s="11">
        <f>6.6456 * CHOOSE(CONTROL!$C$32, $C$9, 100%, $E$9)</f>
        <v>6.6456</v>
      </c>
      <c r="K82" s="11">
        <f>6.6509 * CHOOSE(CONTROL!$C$32, $C$9, 100%, $E$9)</f>
        <v>6.6509</v>
      </c>
      <c r="L82" s="11">
        <f>4.0438 * CHOOSE(CONTROL!$C$32, $C$9, 100%, $E$9)</f>
        <v>4.0438000000000001</v>
      </c>
      <c r="M82" s="11">
        <f>4.0491 * CHOOSE(CONTROL!$C$32, $C$9, 100%, $E$9)</f>
        <v>4.0491000000000001</v>
      </c>
      <c r="N82" s="11">
        <f>4.0438 * CHOOSE(CONTROL!$C$32, $C$9, 100%, $E$9)</f>
        <v>4.0438000000000001</v>
      </c>
      <c r="O82" s="11">
        <f>4.0491 * CHOOSE(CONTROL!$C$32, $C$9, 100%, $E$9)</f>
        <v>4.0491000000000001</v>
      </c>
      <c r="P82" s="14"/>
      <c r="Q82" s="14"/>
      <c r="R82" s="14"/>
    </row>
    <row r="83" spans="1:18" ht="15" x14ac:dyDescent="0.2">
      <c r="A83" s="13">
        <v>43374</v>
      </c>
      <c r="B83" s="9">
        <f>3.4135 * CHOOSE(CONTROL!$C$32, $C$9, 100%, $E$9)</f>
        <v>3.4135</v>
      </c>
      <c r="C83" s="9">
        <f>3.4135 * CHOOSE(CONTROL!$C$32, $C$9, 100%, $E$9)</f>
        <v>3.4135</v>
      </c>
      <c r="D83" s="9">
        <f>3.4146 * CHOOSE(CONTROL!$C$32, $C$9, 100%, $E$9)</f>
        <v>3.4146000000000001</v>
      </c>
      <c r="E83" s="11">
        <f>4.0369 * CHOOSE(CONTROL!$C$32, $C$9, 100%, $E$9)</f>
        <v>4.0369000000000002</v>
      </c>
      <c r="F83" s="11">
        <f>4.0369 * CHOOSE(CONTROL!$C$32, $C$9, 100%, $E$9)</f>
        <v>4.0369000000000002</v>
      </c>
      <c r="G83" s="11">
        <f>4.0406 * CHOOSE(CONTROL!$C$32, $C$9, 100%, $E$9)</f>
        <v>4.0406000000000004</v>
      </c>
      <c r="H83" s="11">
        <f>6.6595 * CHOOSE(CONTROL!$C$32, $C$9, 100%, $E$9)</f>
        <v>6.6595000000000004</v>
      </c>
      <c r="I83" s="11">
        <f>6.6631 * CHOOSE(CONTROL!$C$32, $C$9, 100%, $E$9)</f>
        <v>6.6631</v>
      </c>
      <c r="J83" s="11">
        <f>6.6595 * CHOOSE(CONTROL!$C$32, $C$9, 100%, $E$9)</f>
        <v>6.6595000000000004</v>
      </c>
      <c r="K83" s="11">
        <f>6.6631 * CHOOSE(CONTROL!$C$32, $C$9, 100%, $E$9)</f>
        <v>6.6631</v>
      </c>
      <c r="L83" s="11">
        <f>4.0369 * CHOOSE(CONTROL!$C$32, $C$9, 100%, $E$9)</f>
        <v>4.0369000000000002</v>
      </c>
      <c r="M83" s="11">
        <f>4.0406 * CHOOSE(CONTROL!$C$32, $C$9, 100%, $E$9)</f>
        <v>4.0406000000000004</v>
      </c>
      <c r="N83" s="11">
        <f>4.0369 * CHOOSE(CONTROL!$C$32, $C$9, 100%, $E$9)</f>
        <v>4.0369000000000002</v>
      </c>
      <c r="O83" s="11">
        <f>4.0406 * CHOOSE(CONTROL!$C$32, $C$9, 100%, $E$9)</f>
        <v>4.0406000000000004</v>
      </c>
      <c r="P83" s="14"/>
      <c r="Q83" s="14"/>
      <c r="R83" s="14"/>
    </row>
    <row r="84" spans="1:18" ht="15" x14ac:dyDescent="0.2">
      <c r="A84" s="13">
        <v>43405</v>
      </c>
      <c r="B84" s="9">
        <f>3.4253 * CHOOSE(CONTROL!$C$32, $C$9, 100%, $E$9)</f>
        <v>3.4253</v>
      </c>
      <c r="C84" s="9">
        <f>3.4253 * CHOOSE(CONTROL!$C$32, $C$9, 100%, $E$9)</f>
        <v>3.4253</v>
      </c>
      <c r="D84" s="9">
        <f>3.4263 * CHOOSE(CONTROL!$C$32, $C$9, 100%, $E$9)</f>
        <v>3.4262999999999999</v>
      </c>
      <c r="E84" s="11">
        <f>4.0389 * CHOOSE(CONTROL!$C$32, $C$9, 100%, $E$9)</f>
        <v>4.0388999999999999</v>
      </c>
      <c r="F84" s="11">
        <f>4.0389 * CHOOSE(CONTROL!$C$32, $C$9, 100%, $E$9)</f>
        <v>4.0388999999999999</v>
      </c>
      <c r="G84" s="11">
        <f>4.0426 * CHOOSE(CONTROL!$C$32, $C$9, 100%, $E$9)</f>
        <v>4.0426000000000002</v>
      </c>
      <c r="H84" s="11">
        <f>6.6733 * CHOOSE(CONTROL!$C$32, $C$9, 100%, $E$9)</f>
        <v>6.6733000000000002</v>
      </c>
      <c r="I84" s="11">
        <f>6.677 * CHOOSE(CONTROL!$C$32, $C$9, 100%, $E$9)</f>
        <v>6.6769999999999996</v>
      </c>
      <c r="J84" s="11">
        <f>6.6733 * CHOOSE(CONTROL!$C$32, $C$9, 100%, $E$9)</f>
        <v>6.6733000000000002</v>
      </c>
      <c r="K84" s="11">
        <f>6.677 * CHOOSE(CONTROL!$C$32, $C$9, 100%, $E$9)</f>
        <v>6.6769999999999996</v>
      </c>
      <c r="L84" s="11">
        <f>4.0389 * CHOOSE(CONTROL!$C$32, $C$9, 100%, $E$9)</f>
        <v>4.0388999999999999</v>
      </c>
      <c r="M84" s="11">
        <f>4.0426 * CHOOSE(CONTROL!$C$32, $C$9, 100%, $E$9)</f>
        <v>4.0426000000000002</v>
      </c>
      <c r="N84" s="11">
        <f>4.0389 * CHOOSE(CONTROL!$C$32, $C$9, 100%, $E$9)</f>
        <v>4.0388999999999999</v>
      </c>
      <c r="O84" s="11">
        <f>4.0426 * CHOOSE(CONTROL!$C$32, $C$9, 100%, $E$9)</f>
        <v>4.0426000000000002</v>
      </c>
      <c r="P84" s="14"/>
      <c r="Q84" s="14"/>
      <c r="R84" s="14"/>
    </row>
    <row r="85" spans="1:18" ht="15" x14ac:dyDescent="0.2">
      <c r="A85" s="13">
        <v>43435</v>
      </c>
      <c r="B85" s="9">
        <f>3.4251 * CHOOSE(CONTROL!$C$32, $C$9, 100%, $E$9)</f>
        <v>3.4251</v>
      </c>
      <c r="C85" s="9">
        <f>3.4251 * CHOOSE(CONTROL!$C$32, $C$9, 100%, $E$9)</f>
        <v>3.4251</v>
      </c>
      <c r="D85" s="9">
        <f>3.4262 * CHOOSE(CONTROL!$C$32, $C$9, 100%, $E$9)</f>
        <v>3.4262000000000001</v>
      </c>
      <c r="E85" s="11">
        <f>4.0389 * CHOOSE(CONTROL!$C$32, $C$9, 100%, $E$9)</f>
        <v>4.0388999999999999</v>
      </c>
      <c r="F85" s="11">
        <f>4.0389 * CHOOSE(CONTROL!$C$32, $C$9, 100%, $E$9)</f>
        <v>4.0388999999999999</v>
      </c>
      <c r="G85" s="11">
        <f>4.0426 * CHOOSE(CONTROL!$C$32, $C$9, 100%, $E$9)</f>
        <v>4.0426000000000002</v>
      </c>
      <c r="H85" s="11">
        <f>6.6872 * CHOOSE(CONTROL!$C$32, $C$9, 100%, $E$9)</f>
        <v>6.6871999999999998</v>
      </c>
      <c r="I85" s="11">
        <f>6.6909 * CHOOSE(CONTROL!$C$32, $C$9, 100%, $E$9)</f>
        <v>6.6909000000000001</v>
      </c>
      <c r="J85" s="11">
        <f>6.6872 * CHOOSE(CONTROL!$C$32, $C$9, 100%, $E$9)</f>
        <v>6.6871999999999998</v>
      </c>
      <c r="K85" s="11">
        <f>6.6909 * CHOOSE(CONTROL!$C$32, $C$9, 100%, $E$9)</f>
        <v>6.6909000000000001</v>
      </c>
      <c r="L85" s="11">
        <f>4.0389 * CHOOSE(CONTROL!$C$32, $C$9, 100%, $E$9)</f>
        <v>4.0388999999999999</v>
      </c>
      <c r="M85" s="11">
        <f>4.0426 * CHOOSE(CONTROL!$C$32, $C$9, 100%, $E$9)</f>
        <v>4.0426000000000002</v>
      </c>
      <c r="N85" s="11">
        <f>4.0389 * CHOOSE(CONTROL!$C$32, $C$9, 100%, $E$9)</f>
        <v>4.0388999999999999</v>
      </c>
      <c r="O85" s="11">
        <f>4.0426 * CHOOSE(CONTROL!$C$32, $C$9, 100%, $E$9)</f>
        <v>4.0426000000000002</v>
      </c>
      <c r="P85" s="14"/>
      <c r="Q85" s="14"/>
      <c r="R85" s="14"/>
    </row>
    <row r="86" spans="1:18" ht="15" x14ac:dyDescent="0.2">
      <c r="A86" s="13">
        <v>43466</v>
      </c>
      <c r="B86" s="9">
        <f>3.206 * CHOOSE(CONTROL!$C$32, $C$9, 100%, $E$9)</f>
        <v>3.206</v>
      </c>
      <c r="C86" s="9">
        <f>3.206 * CHOOSE(CONTROL!$C$32, $C$9, 100%, $E$9)</f>
        <v>3.206</v>
      </c>
      <c r="D86" s="9">
        <f>3.2071 * CHOOSE(CONTROL!$C$32, $C$9, 100%, $E$9)</f>
        <v>3.2071000000000001</v>
      </c>
      <c r="E86" s="11">
        <f>4.0646 * CHOOSE(CONTROL!$C$32, $C$9, 100%, $E$9)</f>
        <v>4.0646000000000004</v>
      </c>
      <c r="F86" s="11">
        <f>4.0646 * CHOOSE(CONTROL!$C$32, $C$9, 100%, $E$9)</f>
        <v>4.0646000000000004</v>
      </c>
      <c r="G86" s="11">
        <f>4.0682 * CHOOSE(CONTROL!$C$32, $C$9, 100%, $E$9)</f>
        <v>4.0682</v>
      </c>
      <c r="H86" s="11">
        <f>6.7012 * CHOOSE(CONTROL!$C$32, $C$9, 100%, $E$9)</f>
        <v>6.7012</v>
      </c>
      <c r="I86" s="11">
        <f>6.7048 * CHOOSE(CONTROL!$C$32, $C$9, 100%, $E$9)</f>
        <v>6.7047999999999996</v>
      </c>
      <c r="J86" s="11">
        <f>6.7012 * CHOOSE(CONTROL!$C$32, $C$9, 100%, $E$9)</f>
        <v>6.7012</v>
      </c>
      <c r="K86" s="11">
        <f>6.7048 * CHOOSE(CONTROL!$C$32, $C$9, 100%, $E$9)</f>
        <v>6.7047999999999996</v>
      </c>
      <c r="L86" s="11">
        <f>4.0646 * CHOOSE(CONTROL!$C$32, $C$9, 100%, $E$9)</f>
        <v>4.0646000000000004</v>
      </c>
      <c r="M86" s="11">
        <f>4.0682 * CHOOSE(CONTROL!$C$32, $C$9, 100%, $E$9)</f>
        <v>4.0682</v>
      </c>
      <c r="N86" s="11">
        <f>4.0646 * CHOOSE(CONTROL!$C$32, $C$9, 100%, $E$9)</f>
        <v>4.0646000000000004</v>
      </c>
      <c r="O86" s="11">
        <f>4.0682 * CHOOSE(CONTROL!$C$32, $C$9, 100%, $E$9)</f>
        <v>4.0682</v>
      </c>
      <c r="P86" s="14"/>
      <c r="Q86" s="14"/>
      <c r="R86" s="14"/>
    </row>
    <row r="87" spans="1:18" ht="15" x14ac:dyDescent="0.2">
      <c r="A87" s="13">
        <v>43497</v>
      </c>
      <c r="B87" s="9">
        <f>3.2029 * CHOOSE(CONTROL!$C$32, $C$9, 100%, $E$9)</f>
        <v>3.2029000000000001</v>
      </c>
      <c r="C87" s="9">
        <f>3.2029 * CHOOSE(CONTROL!$C$32, $C$9, 100%, $E$9)</f>
        <v>3.2029000000000001</v>
      </c>
      <c r="D87" s="9">
        <f>3.204 * CHOOSE(CONTROL!$C$32, $C$9, 100%, $E$9)</f>
        <v>3.2040000000000002</v>
      </c>
      <c r="E87" s="11">
        <f>4.0626 * CHOOSE(CONTROL!$C$32, $C$9, 100%, $E$9)</f>
        <v>4.0625999999999998</v>
      </c>
      <c r="F87" s="11">
        <f>4.0626 * CHOOSE(CONTROL!$C$32, $C$9, 100%, $E$9)</f>
        <v>4.0625999999999998</v>
      </c>
      <c r="G87" s="11">
        <f>4.0662 * CHOOSE(CONTROL!$C$32, $C$9, 100%, $E$9)</f>
        <v>4.0662000000000003</v>
      </c>
      <c r="H87" s="11">
        <f>6.7151 * CHOOSE(CONTROL!$C$32, $C$9, 100%, $E$9)</f>
        <v>6.7150999999999996</v>
      </c>
      <c r="I87" s="11">
        <f>6.7188 * CHOOSE(CONTROL!$C$32, $C$9, 100%, $E$9)</f>
        <v>6.7187999999999999</v>
      </c>
      <c r="J87" s="11">
        <f>6.7151 * CHOOSE(CONTROL!$C$32, $C$9, 100%, $E$9)</f>
        <v>6.7150999999999996</v>
      </c>
      <c r="K87" s="11">
        <f>6.7188 * CHOOSE(CONTROL!$C$32, $C$9, 100%, $E$9)</f>
        <v>6.7187999999999999</v>
      </c>
      <c r="L87" s="11">
        <f>4.0626 * CHOOSE(CONTROL!$C$32, $C$9, 100%, $E$9)</f>
        <v>4.0625999999999998</v>
      </c>
      <c r="M87" s="11">
        <f>4.0662 * CHOOSE(CONTROL!$C$32, $C$9, 100%, $E$9)</f>
        <v>4.0662000000000003</v>
      </c>
      <c r="N87" s="11">
        <f>4.0626 * CHOOSE(CONTROL!$C$32, $C$9, 100%, $E$9)</f>
        <v>4.0625999999999998</v>
      </c>
      <c r="O87" s="11">
        <f>4.0662 * CHOOSE(CONTROL!$C$32, $C$9, 100%, $E$9)</f>
        <v>4.0662000000000003</v>
      </c>
      <c r="P87" s="14"/>
      <c r="Q87" s="14"/>
      <c r="R87" s="14"/>
    </row>
    <row r="88" spans="1:18" ht="15" x14ac:dyDescent="0.2">
      <c r="A88" s="13">
        <v>43525</v>
      </c>
      <c r="B88" s="9">
        <f>3.1999 * CHOOSE(CONTROL!$C$32, $C$9, 100%, $E$9)</f>
        <v>3.1999</v>
      </c>
      <c r="C88" s="9">
        <f>3.1999 * CHOOSE(CONTROL!$C$32, $C$9, 100%, $E$9)</f>
        <v>3.1999</v>
      </c>
      <c r="D88" s="9">
        <f>3.201 * CHOOSE(CONTROL!$C$32, $C$9, 100%, $E$9)</f>
        <v>3.2010000000000001</v>
      </c>
      <c r="E88" s="11">
        <f>4.0606 * CHOOSE(CONTROL!$C$32, $C$9, 100%, $E$9)</f>
        <v>4.0606</v>
      </c>
      <c r="F88" s="11">
        <f>4.0606 * CHOOSE(CONTROL!$C$32, $C$9, 100%, $E$9)</f>
        <v>4.0606</v>
      </c>
      <c r="G88" s="11">
        <f>4.0642 * CHOOSE(CONTROL!$C$32, $C$9, 100%, $E$9)</f>
        <v>4.0641999999999996</v>
      </c>
      <c r="H88" s="11">
        <f>6.7291 * CHOOSE(CONTROL!$C$32, $C$9, 100%, $E$9)</f>
        <v>6.7290999999999999</v>
      </c>
      <c r="I88" s="11">
        <f>6.7327 * CHOOSE(CONTROL!$C$32, $C$9, 100%, $E$9)</f>
        <v>6.7327000000000004</v>
      </c>
      <c r="J88" s="11">
        <f>6.7291 * CHOOSE(CONTROL!$C$32, $C$9, 100%, $E$9)</f>
        <v>6.7290999999999999</v>
      </c>
      <c r="K88" s="11">
        <f>6.7327 * CHOOSE(CONTROL!$C$32, $C$9, 100%, $E$9)</f>
        <v>6.7327000000000004</v>
      </c>
      <c r="L88" s="11">
        <f>4.0606 * CHOOSE(CONTROL!$C$32, $C$9, 100%, $E$9)</f>
        <v>4.0606</v>
      </c>
      <c r="M88" s="11">
        <f>4.0642 * CHOOSE(CONTROL!$C$32, $C$9, 100%, $E$9)</f>
        <v>4.0641999999999996</v>
      </c>
      <c r="N88" s="11">
        <f>4.0606 * CHOOSE(CONTROL!$C$32, $C$9, 100%, $E$9)</f>
        <v>4.0606</v>
      </c>
      <c r="O88" s="11">
        <f>4.0642 * CHOOSE(CONTROL!$C$32, $C$9, 100%, $E$9)</f>
        <v>4.0641999999999996</v>
      </c>
      <c r="P88" s="14"/>
      <c r="Q88" s="14"/>
      <c r="R88" s="14"/>
    </row>
    <row r="89" spans="1:18" ht="15" x14ac:dyDescent="0.2">
      <c r="A89" s="13">
        <v>43556</v>
      </c>
      <c r="B89" s="9">
        <f>3.1968 * CHOOSE(CONTROL!$C$32, $C$9, 100%, $E$9)</f>
        <v>3.1968000000000001</v>
      </c>
      <c r="C89" s="9">
        <f>3.1968 * CHOOSE(CONTROL!$C$32, $C$9, 100%, $E$9)</f>
        <v>3.1968000000000001</v>
      </c>
      <c r="D89" s="9">
        <f>3.1979 * CHOOSE(CONTROL!$C$32, $C$9, 100%, $E$9)</f>
        <v>3.1979000000000002</v>
      </c>
      <c r="E89" s="11">
        <f>4.0581 * CHOOSE(CONTROL!$C$32, $C$9, 100%, $E$9)</f>
        <v>4.0580999999999996</v>
      </c>
      <c r="F89" s="11">
        <f>4.0581 * CHOOSE(CONTROL!$C$32, $C$9, 100%, $E$9)</f>
        <v>4.0580999999999996</v>
      </c>
      <c r="G89" s="11">
        <f>4.0617 * CHOOSE(CONTROL!$C$32, $C$9, 100%, $E$9)</f>
        <v>4.0617000000000001</v>
      </c>
      <c r="H89" s="11">
        <f>6.7431 * CHOOSE(CONTROL!$C$32, $C$9, 100%, $E$9)</f>
        <v>6.7431000000000001</v>
      </c>
      <c r="I89" s="11">
        <f>6.7468 * CHOOSE(CONTROL!$C$32, $C$9, 100%, $E$9)</f>
        <v>6.7468000000000004</v>
      </c>
      <c r="J89" s="11">
        <f>6.7431 * CHOOSE(CONTROL!$C$32, $C$9, 100%, $E$9)</f>
        <v>6.7431000000000001</v>
      </c>
      <c r="K89" s="11">
        <f>6.7468 * CHOOSE(CONTROL!$C$32, $C$9, 100%, $E$9)</f>
        <v>6.7468000000000004</v>
      </c>
      <c r="L89" s="11">
        <f>4.0581 * CHOOSE(CONTROL!$C$32, $C$9, 100%, $E$9)</f>
        <v>4.0580999999999996</v>
      </c>
      <c r="M89" s="11">
        <f>4.0617 * CHOOSE(CONTROL!$C$32, $C$9, 100%, $E$9)</f>
        <v>4.0617000000000001</v>
      </c>
      <c r="N89" s="11">
        <f>4.0581 * CHOOSE(CONTROL!$C$32, $C$9, 100%, $E$9)</f>
        <v>4.0580999999999996</v>
      </c>
      <c r="O89" s="11">
        <f>4.0617 * CHOOSE(CONTROL!$C$32, $C$9, 100%, $E$9)</f>
        <v>4.0617000000000001</v>
      </c>
      <c r="P89" s="14"/>
      <c r="Q89" s="14"/>
      <c r="R89" s="14"/>
    </row>
    <row r="90" spans="1:18" ht="15" x14ac:dyDescent="0.2">
      <c r="A90" s="13">
        <v>43586</v>
      </c>
      <c r="B90" s="9">
        <f>3.1968 * CHOOSE(CONTROL!$C$32, $C$9, 100%, $E$9)</f>
        <v>3.1968000000000001</v>
      </c>
      <c r="C90" s="9">
        <f>3.1968 * CHOOSE(CONTROL!$C$32, $C$9, 100%, $E$9)</f>
        <v>3.1968000000000001</v>
      </c>
      <c r="D90" s="9">
        <f>3.1984 * CHOOSE(CONTROL!$C$32, $C$9, 100%, $E$9)</f>
        <v>3.1983999999999999</v>
      </c>
      <c r="E90" s="11">
        <f>4.0581 * CHOOSE(CONTROL!$C$32, $C$9, 100%, $E$9)</f>
        <v>4.0580999999999996</v>
      </c>
      <c r="F90" s="11">
        <f>4.0581 * CHOOSE(CONTROL!$C$32, $C$9, 100%, $E$9)</f>
        <v>4.0580999999999996</v>
      </c>
      <c r="G90" s="11">
        <f>4.0634 * CHOOSE(CONTROL!$C$32, $C$9, 100%, $E$9)</f>
        <v>4.0633999999999997</v>
      </c>
      <c r="H90" s="11">
        <f>6.7572 * CHOOSE(CONTROL!$C$32, $C$9, 100%, $E$9)</f>
        <v>6.7572000000000001</v>
      </c>
      <c r="I90" s="11">
        <f>6.7625 * CHOOSE(CONTROL!$C$32, $C$9, 100%, $E$9)</f>
        <v>6.7625000000000002</v>
      </c>
      <c r="J90" s="11">
        <f>6.7572 * CHOOSE(CONTROL!$C$32, $C$9, 100%, $E$9)</f>
        <v>6.7572000000000001</v>
      </c>
      <c r="K90" s="11">
        <f>6.7625 * CHOOSE(CONTROL!$C$32, $C$9, 100%, $E$9)</f>
        <v>6.7625000000000002</v>
      </c>
      <c r="L90" s="11">
        <f>4.0581 * CHOOSE(CONTROL!$C$32, $C$9, 100%, $E$9)</f>
        <v>4.0580999999999996</v>
      </c>
      <c r="M90" s="11">
        <f>4.0634 * CHOOSE(CONTROL!$C$32, $C$9, 100%, $E$9)</f>
        <v>4.0633999999999997</v>
      </c>
      <c r="N90" s="11">
        <f>4.0581 * CHOOSE(CONTROL!$C$32, $C$9, 100%, $E$9)</f>
        <v>4.0580999999999996</v>
      </c>
      <c r="O90" s="11">
        <f>4.0634 * CHOOSE(CONTROL!$C$32, $C$9, 100%, $E$9)</f>
        <v>4.0633999999999997</v>
      </c>
      <c r="P90" s="14"/>
      <c r="Q90" s="14"/>
      <c r="R90" s="14"/>
    </row>
    <row r="91" spans="1:18" ht="15" x14ac:dyDescent="0.2">
      <c r="A91" s="13">
        <v>43617</v>
      </c>
      <c r="B91" s="9">
        <f>3.2029 * CHOOSE(CONTROL!$C$32, $C$9, 100%, $E$9)</f>
        <v>3.2029000000000001</v>
      </c>
      <c r="C91" s="9">
        <f>3.2029 * CHOOSE(CONTROL!$C$32, $C$9, 100%, $E$9)</f>
        <v>3.2029000000000001</v>
      </c>
      <c r="D91" s="9">
        <f>3.2045 * CHOOSE(CONTROL!$C$32, $C$9, 100%, $E$9)</f>
        <v>3.2044999999999999</v>
      </c>
      <c r="E91" s="11">
        <f>4.0621 * CHOOSE(CONTROL!$C$32, $C$9, 100%, $E$9)</f>
        <v>4.0621</v>
      </c>
      <c r="F91" s="11">
        <f>4.0621 * CHOOSE(CONTROL!$C$32, $C$9, 100%, $E$9)</f>
        <v>4.0621</v>
      </c>
      <c r="G91" s="11">
        <f>4.0674 * CHOOSE(CONTROL!$C$32, $C$9, 100%, $E$9)</f>
        <v>4.0674000000000001</v>
      </c>
      <c r="H91" s="11">
        <f>6.7713 * CHOOSE(CONTROL!$C$32, $C$9, 100%, $E$9)</f>
        <v>6.7713000000000001</v>
      </c>
      <c r="I91" s="11">
        <f>6.7766 * CHOOSE(CONTROL!$C$32, $C$9, 100%, $E$9)</f>
        <v>6.7766000000000002</v>
      </c>
      <c r="J91" s="11">
        <f>6.7713 * CHOOSE(CONTROL!$C$32, $C$9, 100%, $E$9)</f>
        <v>6.7713000000000001</v>
      </c>
      <c r="K91" s="11">
        <f>6.7766 * CHOOSE(CONTROL!$C$32, $C$9, 100%, $E$9)</f>
        <v>6.7766000000000002</v>
      </c>
      <c r="L91" s="11">
        <f>4.0621 * CHOOSE(CONTROL!$C$32, $C$9, 100%, $E$9)</f>
        <v>4.0621</v>
      </c>
      <c r="M91" s="11">
        <f>4.0674 * CHOOSE(CONTROL!$C$32, $C$9, 100%, $E$9)</f>
        <v>4.0674000000000001</v>
      </c>
      <c r="N91" s="11">
        <f>4.0621 * CHOOSE(CONTROL!$C$32, $C$9, 100%, $E$9)</f>
        <v>4.0621</v>
      </c>
      <c r="O91" s="11">
        <f>4.0674 * CHOOSE(CONTROL!$C$32, $C$9, 100%, $E$9)</f>
        <v>4.0674000000000001</v>
      </c>
      <c r="P91" s="14"/>
      <c r="Q91" s="14"/>
      <c r="R91" s="14"/>
    </row>
    <row r="92" spans="1:18" ht="15" x14ac:dyDescent="0.2">
      <c r="A92" s="13">
        <v>43647</v>
      </c>
      <c r="B92" s="9">
        <f>3.243 * CHOOSE(CONTROL!$C$32, $C$9, 100%, $E$9)</f>
        <v>3.2429999999999999</v>
      </c>
      <c r="C92" s="9">
        <f>3.243 * CHOOSE(CONTROL!$C$32, $C$9, 100%, $E$9)</f>
        <v>3.2429999999999999</v>
      </c>
      <c r="D92" s="9">
        <f>3.2446 * CHOOSE(CONTROL!$C$32, $C$9, 100%, $E$9)</f>
        <v>3.2446000000000002</v>
      </c>
      <c r="E92" s="11">
        <f>4.1173 * CHOOSE(CONTROL!$C$32, $C$9, 100%, $E$9)</f>
        <v>4.1173000000000002</v>
      </c>
      <c r="F92" s="11">
        <f>4.1173 * CHOOSE(CONTROL!$C$32, $C$9, 100%, $E$9)</f>
        <v>4.1173000000000002</v>
      </c>
      <c r="G92" s="11">
        <f>4.1226 * CHOOSE(CONTROL!$C$32, $C$9, 100%, $E$9)</f>
        <v>4.1226000000000003</v>
      </c>
      <c r="H92" s="11">
        <f>6.7854 * CHOOSE(CONTROL!$C$32, $C$9, 100%, $E$9)</f>
        <v>6.7854000000000001</v>
      </c>
      <c r="I92" s="11">
        <f>6.7907 * CHOOSE(CONTROL!$C$32, $C$9, 100%, $E$9)</f>
        <v>6.7907000000000002</v>
      </c>
      <c r="J92" s="11">
        <f>6.7854 * CHOOSE(CONTROL!$C$32, $C$9, 100%, $E$9)</f>
        <v>6.7854000000000001</v>
      </c>
      <c r="K92" s="11">
        <f>6.7907 * CHOOSE(CONTROL!$C$32, $C$9, 100%, $E$9)</f>
        <v>6.7907000000000002</v>
      </c>
      <c r="L92" s="11">
        <f>4.1173 * CHOOSE(CONTROL!$C$32, $C$9, 100%, $E$9)</f>
        <v>4.1173000000000002</v>
      </c>
      <c r="M92" s="11">
        <f>4.1226 * CHOOSE(CONTROL!$C$32, $C$9, 100%, $E$9)</f>
        <v>4.1226000000000003</v>
      </c>
      <c r="N92" s="11">
        <f>4.1173 * CHOOSE(CONTROL!$C$32, $C$9, 100%, $E$9)</f>
        <v>4.1173000000000002</v>
      </c>
      <c r="O92" s="11">
        <f>4.1226 * CHOOSE(CONTROL!$C$32, $C$9, 100%, $E$9)</f>
        <v>4.1226000000000003</v>
      </c>
      <c r="P92" s="14"/>
      <c r="Q92" s="14"/>
      <c r="R92" s="14"/>
    </row>
    <row r="93" spans="1:18" ht="15" x14ac:dyDescent="0.2">
      <c r="A93" s="13">
        <v>43678</v>
      </c>
      <c r="B93" s="9">
        <f>3.2497 * CHOOSE(CONTROL!$C$32, $C$9, 100%, $E$9)</f>
        <v>3.2496999999999998</v>
      </c>
      <c r="C93" s="9">
        <f>3.2497 * CHOOSE(CONTROL!$C$32, $C$9, 100%, $E$9)</f>
        <v>3.2496999999999998</v>
      </c>
      <c r="D93" s="9">
        <f>3.2512 * CHOOSE(CONTROL!$C$32, $C$9, 100%, $E$9)</f>
        <v>3.2511999999999999</v>
      </c>
      <c r="E93" s="11">
        <f>4.1217 * CHOOSE(CONTROL!$C$32, $C$9, 100%, $E$9)</f>
        <v>4.1216999999999997</v>
      </c>
      <c r="F93" s="11">
        <f>4.1217 * CHOOSE(CONTROL!$C$32, $C$9, 100%, $E$9)</f>
        <v>4.1216999999999997</v>
      </c>
      <c r="G93" s="11">
        <f>4.127 * CHOOSE(CONTROL!$C$32, $C$9, 100%, $E$9)</f>
        <v>4.1269999999999998</v>
      </c>
      <c r="H93" s="11">
        <f>6.7995 * CHOOSE(CONTROL!$C$32, $C$9, 100%, $E$9)</f>
        <v>6.7995000000000001</v>
      </c>
      <c r="I93" s="11">
        <f>6.8048 * CHOOSE(CONTROL!$C$32, $C$9, 100%, $E$9)</f>
        <v>6.8048000000000002</v>
      </c>
      <c r="J93" s="11">
        <f>6.7995 * CHOOSE(CONTROL!$C$32, $C$9, 100%, $E$9)</f>
        <v>6.7995000000000001</v>
      </c>
      <c r="K93" s="11">
        <f>6.8048 * CHOOSE(CONTROL!$C$32, $C$9, 100%, $E$9)</f>
        <v>6.8048000000000002</v>
      </c>
      <c r="L93" s="11">
        <f>4.1217 * CHOOSE(CONTROL!$C$32, $C$9, 100%, $E$9)</f>
        <v>4.1216999999999997</v>
      </c>
      <c r="M93" s="11">
        <f>4.127 * CHOOSE(CONTROL!$C$32, $C$9, 100%, $E$9)</f>
        <v>4.1269999999999998</v>
      </c>
      <c r="N93" s="11">
        <f>4.1217 * CHOOSE(CONTROL!$C$32, $C$9, 100%, $E$9)</f>
        <v>4.1216999999999997</v>
      </c>
      <c r="O93" s="11">
        <f>4.127 * CHOOSE(CONTROL!$C$32, $C$9, 100%, $E$9)</f>
        <v>4.1269999999999998</v>
      </c>
      <c r="P93" s="14"/>
      <c r="Q93" s="14"/>
      <c r="R93" s="14"/>
    </row>
    <row r="94" spans="1:18" ht="15" x14ac:dyDescent="0.2">
      <c r="A94" s="13">
        <v>43709</v>
      </c>
      <c r="B94" s="9">
        <f>3.2466 * CHOOSE(CONTROL!$C$32, $C$9, 100%, $E$9)</f>
        <v>3.2465999999999999</v>
      </c>
      <c r="C94" s="9">
        <f>3.2466 * CHOOSE(CONTROL!$C$32, $C$9, 100%, $E$9)</f>
        <v>3.2465999999999999</v>
      </c>
      <c r="D94" s="9">
        <f>3.2482 * CHOOSE(CONTROL!$C$32, $C$9, 100%, $E$9)</f>
        <v>3.2482000000000002</v>
      </c>
      <c r="E94" s="11">
        <f>4.1197 * CHOOSE(CONTROL!$C$32, $C$9, 100%, $E$9)</f>
        <v>4.1196999999999999</v>
      </c>
      <c r="F94" s="11">
        <f>4.1197 * CHOOSE(CONTROL!$C$32, $C$9, 100%, $E$9)</f>
        <v>4.1196999999999999</v>
      </c>
      <c r="G94" s="11">
        <f>4.125 * CHOOSE(CONTROL!$C$32, $C$9, 100%, $E$9)</f>
        <v>4.125</v>
      </c>
      <c r="H94" s="11">
        <f>6.8137 * CHOOSE(CONTROL!$C$32, $C$9, 100%, $E$9)</f>
        <v>6.8136999999999999</v>
      </c>
      <c r="I94" s="11">
        <f>6.819 * CHOOSE(CONTROL!$C$32, $C$9, 100%, $E$9)</f>
        <v>6.819</v>
      </c>
      <c r="J94" s="11">
        <f>6.8137 * CHOOSE(CONTROL!$C$32, $C$9, 100%, $E$9)</f>
        <v>6.8136999999999999</v>
      </c>
      <c r="K94" s="11">
        <f>6.819 * CHOOSE(CONTROL!$C$32, $C$9, 100%, $E$9)</f>
        <v>6.819</v>
      </c>
      <c r="L94" s="11">
        <f>4.1197 * CHOOSE(CONTROL!$C$32, $C$9, 100%, $E$9)</f>
        <v>4.1196999999999999</v>
      </c>
      <c r="M94" s="11">
        <f>4.125 * CHOOSE(CONTROL!$C$32, $C$9, 100%, $E$9)</f>
        <v>4.125</v>
      </c>
      <c r="N94" s="11">
        <f>4.1197 * CHOOSE(CONTROL!$C$32, $C$9, 100%, $E$9)</f>
        <v>4.1196999999999999</v>
      </c>
      <c r="O94" s="11">
        <f>4.125 * CHOOSE(CONTROL!$C$32, $C$9, 100%, $E$9)</f>
        <v>4.125</v>
      </c>
      <c r="P94" s="14"/>
      <c r="Q94" s="14"/>
      <c r="R94" s="14"/>
    </row>
    <row r="95" spans="1:18" ht="15" x14ac:dyDescent="0.2">
      <c r="A95" s="13">
        <v>43739</v>
      </c>
      <c r="B95" s="9">
        <f>3.239 * CHOOSE(CONTROL!$C$32, $C$9, 100%, $E$9)</f>
        <v>3.2389999999999999</v>
      </c>
      <c r="C95" s="9">
        <f>3.239 * CHOOSE(CONTROL!$C$32, $C$9, 100%, $E$9)</f>
        <v>3.2389999999999999</v>
      </c>
      <c r="D95" s="9">
        <f>3.24 * CHOOSE(CONTROL!$C$32, $C$9, 100%, $E$9)</f>
        <v>3.24</v>
      </c>
      <c r="E95" s="11">
        <f>4.113 * CHOOSE(CONTROL!$C$32, $C$9, 100%, $E$9)</f>
        <v>4.1130000000000004</v>
      </c>
      <c r="F95" s="11">
        <f>4.113 * CHOOSE(CONTROL!$C$32, $C$9, 100%, $E$9)</f>
        <v>4.1130000000000004</v>
      </c>
      <c r="G95" s="11">
        <f>4.1166 * CHOOSE(CONTROL!$C$32, $C$9, 100%, $E$9)</f>
        <v>4.1166</v>
      </c>
      <c r="H95" s="11">
        <f>6.8279 * CHOOSE(CONTROL!$C$32, $C$9, 100%, $E$9)</f>
        <v>6.8278999999999996</v>
      </c>
      <c r="I95" s="11">
        <f>6.8315 * CHOOSE(CONTROL!$C$32, $C$9, 100%, $E$9)</f>
        <v>6.8315000000000001</v>
      </c>
      <c r="J95" s="11">
        <f>6.8279 * CHOOSE(CONTROL!$C$32, $C$9, 100%, $E$9)</f>
        <v>6.8278999999999996</v>
      </c>
      <c r="K95" s="11">
        <f>6.8315 * CHOOSE(CONTROL!$C$32, $C$9, 100%, $E$9)</f>
        <v>6.8315000000000001</v>
      </c>
      <c r="L95" s="11">
        <f>4.113 * CHOOSE(CONTROL!$C$32, $C$9, 100%, $E$9)</f>
        <v>4.1130000000000004</v>
      </c>
      <c r="M95" s="11">
        <f>4.1166 * CHOOSE(CONTROL!$C$32, $C$9, 100%, $E$9)</f>
        <v>4.1166</v>
      </c>
      <c r="N95" s="11">
        <f>4.113 * CHOOSE(CONTROL!$C$32, $C$9, 100%, $E$9)</f>
        <v>4.1130000000000004</v>
      </c>
      <c r="O95" s="11">
        <f>4.1166 * CHOOSE(CONTROL!$C$32, $C$9, 100%, $E$9)</f>
        <v>4.1166</v>
      </c>
      <c r="P95" s="14"/>
      <c r="Q95" s="14"/>
      <c r="R95" s="14"/>
    </row>
    <row r="96" spans="1:18" ht="15" x14ac:dyDescent="0.2">
      <c r="A96" s="13">
        <v>43770</v>
      </c>
      <c r="B96" s="9">
        <f>3.242 * CHOOSE(CONTROL!$C$32, $C$9, 100%, $E$9)</f>
        <v>3.242</v>
      </c>
      <c r="C96" s="9">
        <f>3.242 * CHOOSE(CONTROL!$C$32, $C$9, 100%, $E$9)</f>
        <v>3.242</v>
      </c>
      <c r="D96" s="9">
        <f>3.2431 * CHOOSE(CONTROL!$C$32, $C$9, 100%, $E$9)</f>
        <v>3.2431000000000001</v>
      </c>
      <c r="E96" s="11">
        <f>4.115 * CHOOSE(CONTROL!$C$32, $C$9, 100%, $E$9)</f>
        <v>4.1150000000000002</v>
      </c>
      <c r="F96" s="11">
        <f>4.115 * CHOOSE(CONTROL!$C$32, $C$9, 100%, $E$9)</f>
        <v>4.1150000000000002</v>
      </c>
      <c r="G96" s="11">
        <f>4.1186 * CHOOSE(CONTROL!$C$32, $C$9, 100%, $E$9)</f>
        <v>4.1185999999999998</v>
      </c>
      <c r="H96" s="11">
        <f>6.8421 * CHOOSE(CONTROL!$C$32, $C$9, 100%, $E$9)</f>
        <v>6.8421000000000003</v>
      </c>
      <c r="I96" s="11">
        <f>6.8457 * CHOOSE(CONTROL!$C$32, $C$9, 100%, $E$9)</f>
        <v>6.8456999999999999</v>
      </c>
      <c r="J96" s="11">
        <f>6.8421 * CHOOSE(CONTROL!$C$32, $C$9, 100%, $E$9)</f>
        <v>6.8421000000000003</v>
      </c>
      <c r="K96" s="11">
        <f>6.8457 * CHOOSE(CONTROL!$C$32, $C$9, 100%, $E$9)</f>
        <v>6.8456999999999999</v>
      </c>
      <c r="L96" s="11">
        <f>4.115 * CHOOSE(CONTROL!$C$32, $C$9, 100%, $E$9)</f>
        <v>4.1150000000000002</v>
      </c>
      <c r="M96" s="11">
        <f>4.1186 * CHOOSE(CONTROL!$C$32, $C$9, 100%, $E$9)</f>
        <v>4.1185999999999998</v>
      </c>
      <c r="N96" s="11">
        <f>4.115 * CHOOSE(CONTROL!$C$32, $C$9, 100%, $E$9)</f>
        <v>4.1150000000000002</v>
      </c>
      <c r="O96" s="11">
        <f>4.1186 * CHOOSE(CONTROL!$C$32, $C$9, 100%, $E$9)</f>
        <v>4.1185999999999998</v>
      </c>
      <c r="P96" s="14"/>
      <c r="Q96" s="14"/>
      <c r="R96" s="14"/>
    </row>
    <row r="97" spans="1:18" ht="15" x14ac:dyDescent="0.2">
      <c r="A97" s="13">
        <v>43800</v>
      </c>
      <c r="B97" s="9">
        <f>3.242 * CHOOSE(CONTROL!$C$32, $C$9, 100%, $E$9)</f>
        <v>3.242</v>
      </c>
      <c r="C97" s="9">
        <f>3.242 * CHOOSE(CONTROL!$C$32, $C$9, 100%, $E$9)</f>
        <v>3.242</v>
      </c>
      <c r="D97" s="9">
        <f>3.2431 * CHOOSE(CONTROL!$C$32, $C$9, 100%, $E$9)</f>
        <v>3.2431000000000001</v>
      </c>
      <c r="E97" s="11">
        <f>4.115 * CHOOSE(CONTROL!$C$32, $C$9, 100%, $E$9)</f>
        <v>4.1150000000000002</v>
      </c>
      <c r="F97" s="11">
        <f>4.115 * CHOOSE(CONTROL!$C$32, $C$9, 100%, $E$9)</f>
        <v>4.1150000000000002</v>
      </c>
      <c r="G97" s="11">
        <f>4.1186 * CHOOSE(CONTROL!$C$32, $C$9, 100%, $E$9)</f>
        <v>4.1185999999999998</v>
      </c>
      <c r="H97" s="11">
        <f>6.8564 * CHOOSE(CONTROL!$C$32, $C$9, 100%, $E$9)</f>
        <v>6.8563999999999998</v>
      </c>
      <c r="I97" s="11">
        <f>6.86 * CHOOSE(CONTROL!$C$32, $C$9, 100%, $E$9)</f>
        <v>6.86</v>
      </c>
      <c r="J97" s="11">
        <f>6.8564 * CHOOSE(CONTROL!$C$32, $C$9, 100%, $E$9)</f>
        <v>6.8563999999999998</v>
      </c>
      <c r="K97" s="11">
        <f>6.86 * CHOOSE(CONTROL!$C$32, $C$9, 100%, $E$9)</f>
        <v>6.86</v>
      </c>
      <c r="L97" s="11">
        <f>4.115 * CHOOSE(CONTROL!$C$32, $C$9, 100%, $E$9)</f>
        <v>4.1150000000000002</v>
      </c>
      <c r="M97" s="11">
        <f>4.1186 * CHOOSE(CONTROL!$C$32, $C$9, 100%, $E$9)</f>
        <v>4.1185999999999998</v>
      </c>
      <c r="N97" s="11">
        <f>4.115 * CHOOSE(CONTROL!$C$32, $C$9, 100%, $E$9)</f>
        <v>4.1150000000000002</v>
      </c>
      <c r="O97" s="11">
        <f>4.1186 * CHOOSE(CONTROL!$C$32, $C$9, 100%, $E$9)</f>
        <v>4.1185999999999998</v>
      </c>
      <c r="P97" s="14"/>
      <c r="Q97" s="14"/>
      <c r="R97" s="14"/>
    </row>
    <row r="98" spans="1:18" ht="15" x14ac:dyDescent="0.2">
      <c r="A98" s="13">
        <v>43831</v>
      </c>
      <c r="B98" s="9">
        <f>3.2675 * CHOOSE(CONTROL!$C$32, $C$9, 100%, $E$9)</f>
        <v>3.2675000000000001</v>
      </c>
      <c r="C98" s="9">
        <f>3.2675 * CHOOSE(CONTROL!$C$32, $C$9, 100%, $E$9)</f>
        <v>3.2675000000000001</v>
      </c>
      <c r="D98" s="9">
        <f>3.2686 * CHOOSE(CONTROL!$C$32, $C$9, 100%, $E$9)</f>
        <v>3.2686000000000002</v>
      </c>
      <c r="E98" s="11">
        <f>4.148 * CHOOSE(CONTROL!$C$32, $C$9, 100%, $E$9)</f>
        <v>4.1479999999999997</v>
      </c>
      <c r="F98" s="11">
        <f>4.148 * CHOOSE(CONTROL!$C$32, $C$9, 100%, $E$9)</f>
        <v>4.1479999999999997</v>
      </c>
      <c r="G98" s="11">
        <f>4.1516 * CHOOSE(CONTROL!$C$32, $C$9, 100%, $E$9)</f>
        <v>4.1516000000000002</v>
      </c>
      <c r="H98" s="11">
        <f>6.8706 * CHOOSE(CONTROL!$C$32, $C$9, 100%, $E$9)</f>
        <v>6.8705999999999996</v>
      </c>
      <c r="I98" s="11">
        <f>6.8743 * CHOOSE(CONTROL!$C$32, $C$9, 100%, $E$9)</f>
        <v>6.8742999999999999</v>
      </c>
      <c r="J98" s="11">
        <f>6.8706 * CHOOSE(CONTROL!$C$32, $C$9, 100%, $E$9)</f>
        <v>6.8705999999999996</v>
      </c>
      <c r="K98" s="11">
        <f>6.8743 * CHOOSE(CONTROL!$C$32, $C$9, 100%, $E$9)</f>
        <v>6.8742999999999999</v>
      </c>
      <c r="L98" s="11">
        <f>4.148 * CHOOSE(CONTROL!$C$32, $C$9, 100%, $E$9)</f>
        <v>4.1479999999999997</v>
      </c>
      <c r="M98" s="11">
        <f>4.1516 * CHOOSE(CONTROL!$C$32, $C$9, 100%, $E$9)</f>
        <v>4.1516000000000002</v>
      </c>
      <c r="N98" s="11">
        <f>4.148 * CHOOSE(CONTROL!$C$32, $C$9, 100%, $E$9)</f>
        <v>4.1479999999999997</v>
      </c>
      <c r="O98" s="11">
        <f>4.1516 * CHOOSE(CONTROL!$C$32, $C$9, 100%, $E$9)</f>
        <v>4.1516000000000002</v>
      </c>
      <c r="P98" s="14"/>
      <c r="Q98" s="14"/>
      <c r="R98" s="14"/>
    </row>
    <row r="99" spans="1:18" ht="15" x14ac:dyDescent="0.2">
      <c r="A99" s="13">
        <v>43862</v>
      </c>
      <c r="B99" s="9">
        <f>3.2644 * CHOOSE(CONTROL!$C$32, $C$9, 100%, $E$9)</f>
        <v>3.2644000000000002</v>
      </c>
      <c r="C99" s="9">
        <f>3.2644 * CHOOSE(CONTROL!$C$32, $C$9, 100%, $E$9)</f>
        <v>3.2644000000000002</v>
      </c>
      <c r="D99" s="9">
        <f>3.2655 * CHOOSE(CONTROL!$C$32, $C$9, 100%, $E$9)</f>
        <v>3.2654999999999998</v>
      </c>
      <c r="E99" s="11">
        <f>4.146 * CHOOSE(CONTROL!$C$32, $C$9, 100%, $E$9)</f>
        <v>4.1459999999999999</v>
      </c>
      <c r="F99" s="11">
        <f>4.146 * CHOOSE(CONTROL!$C$32, $C$9, 100%, $E$9)</f>
        <v>4.1459999999999999</v>
      </c>
      <c r="G99" s="11">
        <f>4.1496 * CHOOSE(CONTROL!$C$32, $C$9, 100%, $E$9)</f>
        <v>4.1496000000000004</v>
      </c>
      <c r="H99" s="11">
        <f>6.885 * CHOOSE(CONTROL!$C$32, $C$9, 100%, $E$9)</f>
        <v>6.8849999999999998</v>
      </c>
      <c r="I99" s="11">
        <f>6.8886 * CHOOSE(CONTROL!$C$32, $C$9, 100%, $E$9)</f>
        <v>6.8886000000000003</v>
      </c>
      <c r="J99" s="11">
        <f>6.885 * CHOOSE(CONTROL!$C$32, $C$9, 100%, $E$9)</f>
        <v>6.8849999999999998</v>
      </c>
      <c r="K99" s="11">
        <f>6.8886 * CHOOSE(CONTROL!$C$32, $C$9, 100%, $E$9)</f>
        <v>6.8886000000000003</v>
      </c>
      <c r="L99" s="11">
        <f>4.146 * CHOOSE(CONTROL!$C$32, $C$9, 100%, $E$9)</f>
        <v>4.1459999999999999</v>
      </c>
      <c r="M99" s="11">
        <f>4.1496 * CHOOSE(CONTROL!$C$32, $C$9, 100%, $E$9)</f>
        <v>4.1496000000000004</v>
      </c>
      <c r="N99" s="11">
        <f>4.146 * CHOOSE(CONTROL!$C$32, $C$9, 100%, $E$9)</f>
        <v>4.1459999999999999</v>
      </c>
      <c r="O99" s="11">
        <f>4.1496 * CHOOSE(CONTROL!$C$32, $C$9, 100%, $E$9)</f>
        <v>4.1496000000000004</v>
      </c>
      <c r="P99" s="14"/>
      <c r="Q99" s="14"/>
      <c r="R99" s="14"/>
    </row>
    <row r="100" spans="1:18" ht="15" x14ac:dyDescent="0.2">
      <c r="A100" s="13">
        <v>43891</v>
      </c>
      <c r="B100" s="9">
        <f>3.2614 * CHOOSE(CONTROL!$C$32, $C$9, 100%, $E$9)</f>
        <v>3.2614000000000001</v>
      </c>
      <c r="C100" s="9">
        <f>3.2614 * CHOOSE(CONTROL!$C$32, $C$9, 100%, $E$9)</f>
        <v>3.2614000000000001</v>
      </c>
      <c r="D100" s="9">
        <f>3.2625 * CHOOSE(CONTROL!$C$32, $C$9, 100%, $E$9)</f>
        <v>3.2625000000000002</v>
      </c>
      <c r="E100" s="11">
        <f>4.144 * CHOOSE(CONTROL!$C$32, $C$9, 100%, $E$9)</f>
        <v>4.1440000000000001</v>
      </c>
      <c r="F100" s="11">
        <f>4.144 * CHOOSE(CONTROL!$C$32, $C$9, 100%, $E$9)</f>
        <v>4.1440000000000001</v>
      </c>
      <c r="G100" s="11">
        <f>4.1476 * CHOOSE(CONTROL!$C$32, $C$9, 100%, $E$9)</f>
        <v>4.1475999999999997</v>
      </c>
      <c r="H100" s="11">
        <f>6.8993 * CHOOSE(CONTROL!$C$32, $C$9, 100%, $E$9)</f>
        <v>6.8993000000000002</v>
      </c>
      <c r="I100" s="11">
        <f>6.9029 * CHOOSE(CONTROL!$C$32, $C$9, 100%, $E$9)</f>
        <v>6.9028999999999998</v>
      </c>
      <c r="J100" s="11">
        <f>6.8993 * CHOOSE(CONTROL!$C$32, $C$9, 100%, $E$9)</f>
        <v>6.8993000000000002</v>
      </c>
      <c r="K100" s="11">
        <f>6.9029 * CHOOSE(CONTROL!$C$32, $C$9, 100%, $E$9)</f>
        <v>6.9028999999999998</v>
      </c>
      <c r="L100" s="11">
        <f>4.144 * CHOOSE(CONTROL!$C$32, $C$9, 100%, $E$9)</f>
        <v>4.1440000000000001</v>
      </c>
      <c r="M100" s="11">
        <f>4.1476 * CHOOSE(CONTROL!$C$32, $C$9, 100%, $E$9)</f>
        <v>4.1475999999999997</v>
      </c>
      <c r="N100" s="11">
        <f>4.144 * CHOOSE(CONTROL!$C$32, $C$9, 100%, $E$9)</f>
        <v>4.1440000000000001</v>
      </c>
      <c r="O100" s="11">
        <f>4.1476 * CHOOSE(CONTROL!$C$32, $C$9, 100%, $E$9)</f>
        <v>4.1475999999999997</v>
      </c>
      <c r="P100" s="14"/>
      <c r="Q100" s="14"/>
      <c r="R100" s="14"/>
    </row>
    <row r="101" spans="1:18" ht="15" x14ac:dyDescent="0.2">
      <c r="A101" s="13">
        <v>43922</v>
      </c>
      <c r="B101" s="9">
        <f>3.2584 * CHOOSE(CONTROL!$C$32, $C$9, 100%, $E$9)</f>
        <v>3.2584</v>
      </c>
      <c r="C101" s="9">
        <f>3.2584 * CHOOSE(CONTROL!$C$32, $C$9, 100%, $E$9)</f>
        <v>3.2584</v>
      </c>
      <c r="D101" s="9">
        <f>3.2594 * CHOOSE(CONTROL!$C$32, $C$9, 100%, $E$9)</f>
        <v>3.2593999999999999</v>
      </c>
      <c r="E101" s="11">
        <f>4.1415 * CHOOSE(CONTROL!$C$32, $C$9, 100%, $E$9)</f>
        <v>4.1414999999999997</v>
      </c>
      <c r="F101" s="11">
        <f>4.1415 * CHOOSE(CONTROL!$C$32, $C$9, 100%, $E$9)</f>
        <v>4.1414999999999997</v>
      </c>
      <c r="G101" s="11">
        <f>4.1451 * CHOOSE(CONTROL!$C$32, $C$9, 100%, $E$9)</f>
        <v>4.1451000000000002</v>
      </c>
      <c r="H101" s="11">
        <f>6.9137 * CHOOSE(CONTROL!$C$32, $C$9, 100%, $E$9)</f>
        <v>6.9137000000000004</v>
      </c>
      <c r="I101" s="11">
        <f>6.9173 * CHOOSE(CONTROL!$C$32, $C$9, 100%, $E$9)</f>
        <v>6.9173</v>
      </c>
      <c r="J101" s="11">
        <f>6.9137 * CHOOSE(CONTROL!$C$32, $C$9, 100%, $E$9)</f>
        <v>6.9137000000000004</v>
      </c>
      <c r="K101" s="11">
        <f>6.9173 * CHOOSE(CONTROL!$C$32, $C$9, 100%, $E$9)</f>
        <v>6.9173</v>
      </c>
      <c r="L101" s="11">
        <f>4.1415 * CHOOSE(CONTROL!$C$32, $C$9, 100%, $E$9)</f>
        <v>4.1414999999999997</v>
      </c>
      <c r="M101" s="11">
        <f>4.1451 * CHOOSE(CONTROL!$C$32, $C$9, 100%, $E$9)</f>
        <v>4.1451000000000002</v>
      </c>
      <c r="N101" s="11">
        <f>4.1415 * CHOOSE(CONTROL!$C$32, $C$9, 100%, $E$9)</f>
        <v>4.1414999999999997</v>
      </c>
      <c r="O101" s="11">
        <f>4.1451 * CHOOSE(CONTROL!$C$32, $C$9, 100%, $E$9)</f>
        <v>4.1451000000000002</v>
      </c>
      <c r="P101" s="14"/>
      <c r="Q101" s="14"/>
      <c r="R101" s="14"/>
    </row>
    <row r="102" spans="1:18" ht="15" x14ac:dyDescent="0.2">
      <c r="A102" s="13">
        <v>43952</v>
      </c>
      <c r="B102" s="9">
        <f>3.2584 * CHOOSE(CONTROL!$C$32, $C$9, 100%, $E$9)</f>
        <v>3.2584</v>
      </c>
      <c r="C102" s="9">
        <f>3.2584 * CHOOSE(CONTROL!$C$32, $C$9, 100%, $E$9)</f>
        <v>3.2584</v>
      </c>
      <c r="D102" s="9">
        <f>3.2599 * CHOOSE(CONTROL!$C$32, $C$9, 100%, $E$9)</f>
        <v>3.2599</v>
      </c>
      <c r="E102" s="11">
        <f>4.1415 * CHOOSE(CONTROL!$C$32, $C$9, 100%, $E$9)</f>
        <v>4.1414999999999997</v>
      </c>
      <c r="F102" s="11">
        <f>4.1415 * CHOOSE(CONTROL!$C$32, $C$9, 100%, $E$9)</f>
        <v>4.1414999999999997</v>
      </c>
      <c r="G102" s="11">
        <f>4.1468 * CHOOSE(CONTROL!$C$32, $C$9, 100%, $E$9)</f>
        <v>4.1467999999999998</v>
      </c>
      <c r="H102" s="11">
        <f>6.9281 * CHOOSE(CONTROL!$C$32, $C$9, 100%, $E$9)</f>
        <v>6.9280999999999997</v>
      </c>
      <c r="I102" s="11">
        <f>6.9334 * CHOOSE(CONTROL!$C$32, $C$9, 100%, $E$9)</f>
        <v>6.9333999999999998</v>
      </c>
      <c r="J102" s="11">
        <f>6.9281 * CHOOSE(CONTROL!$C$32, $C$9, 100%, $E$9)</f>
        <v>6.9280999999999997</v>
      </c>
      <c r="K102" s="11">
        <f>6.9334 * CHOOSE(CONTROL!$C$32, $C$9, 100%, $E$9)</f>
        <v>6.9333999999999998</v>
      </c>
      <c r="L102" s="11">
        <f>4.1415 * CHOOSE(CONTROL!$C$32, $C$9, 100%, $E$9)</f>
        <v>4.1414999999999997</v>
      </c>
      <c r="M102" s="11">
        <f>4.1468 * CHOOSE(CONTROL!$C$32, $C$9, 100%, $E$9)</f>
        <v>4.1467999999999998</v>
      </c>
      <c r="N102" s="11">
        <f>4.1415 * CHOOSE(CONTROL!$C$32, $C$9, 100%, $E$9)</f>
        <v>4.1414999999999997</v>
      </c>
      <c r="O102" s="11">
        <f>4.1468 * CHOOSE(CONTROL!$C$32, $C$9, 100%, $E$9)</f>
        <v>4.1467999999999998</v>
      </c>
      <c r="P102" s="14"/>
      <c r="Q102" s="14"/>
      <c r="R102" s="14"/>
    </row>
    <row r="103" spans="1:18" ht="15" x14ac:dyDescent="0.2">
      <c r="A103" s="13">
        <v>43983</v>
      </c>
      <c r="B103" s="9">
        <f>3.2644 * CHOOSE(CONTROL!$C$32, $C$9, 100%, $E$9)</f>
        <v>3.2644000000000002</v>
      </c>
      <c r="C103" s="9">
        <f>3.2644 * CHOOSE(CONTROL!$C$32, $C$9, 100%, $E$9)</f>
        <v>3.2644000000000002</v>
      </c>
      <c r="D103" s="9">
        <f>3.266 * CHOOSE(CONTROL!$C$32, $C$9, 100%, $E$9)</f>
        <v>3.266</v>
      </c>
      <c r="E103" s="11">
        <f>4.1455 * CHOOSE(CONTROL!$C$32, $C$9, 100%, $E$9)</f>
        <v>4.1455000000000002</v>
      </c>
      <c r="F103" s="11">
        <f>4.1455 * CHOOSE(CONTROL!$C$32, $C$9, 100%, $E$9)</f>
        <v>4.1455000000000002</v>
      </c>
      <c r="G103" s="11">
        <f>4.1508 * CHOOSE(CONTROL!$C$32, $C$9, 100%, $E$9)</f>
        <v>4.1508000000000003</v>
      </c>
      <c r="H103" s="11">
        <f>6.9425 * CHOOSE(CONTROL!$C$32, $C$9, 100%, $E$9)</f>
        <v>6.9424999999999999</v>
      </c>
      <c r="I103" s="11">
        <f>6.9478 * CHOOSE(CONTROL!$C$32, $C$9, 100%, $E$9)</f>
        <v>6.9478</v>
      </c>
      <c r="J103" s="11">
        <f>6.9425 * CHOOSE(CONTROL!$C$32, $C$9, 100%, $E$9)</f>
        <v>6.9424999999999999</v>
      </c>
      <c r="K103" s="11">
        <f>6.9478 * CHOOSE(CONTROL!$C$32, $C$9, 100%, $E$9)</f>
        <v>6.9478</v>
      </c>
      <c r="L103" s="11">
        <f>4.1455 * CHOOSE(CONTROL!$C$32, $C$9, 100%, $E$9)</f>
        <v>4.1455000000000002</v>
      </c>
      <c r="M103" s="11">
        <f>4.1508 * CHOOSE(CONTROL!$C$32, $C$9, 100%, $E$9)</f>
        <v>4.1508000000000003</v>
      </c>
      <c r="N103" s="11">
        <f>4.1455 * CHOOSE(CONTROL!$C$32, $C$9, 100%, $E$9)</f>
        <v>4.1455000000000002</v>
      </c>
      <c r="O103" s="11">
        <f>4.1508 * CHOOSE(CONTROL!$C$32, $C$9, 100%, $E$9)</f>
        <v>4.1508000000000003</v>
      </c>
      <c r="P103" s="14"/>
      <c r="Q103" s="14"/>
      <c r="R103" s="14"/>
    </row>
    <row r="104" spans="1:18" ht="15" x14ac:dyDescent="0.2">
      <c r="A104" s="13">
        <v>44013</v>
      </c>
      <c r="B104" s="9">
        <f>3.3098 * CHOOSE(CONTROL!$C$32, $C$9, 100%, $E$9)</f>
        <v>3.3098000000000001</v>
      </c>
      <c r="C104" s="9">
        <f>3.3098 * CHOOSE(CONTROL!$C$32, $C$9, 100%, $E$9)</f>
        <v>3.3098000000000001</v>
      </c>
      <c r="D104" s="9">
        <f>3.3114 * CHOOSE(CONTROL!$C$32, $C$9, 100%, $E$9)</f>
        <v>3.3113999999999999</v>
      </c>
      <c r="E104" s="11">
        <f>4.2176 * CHOOSE(CONTROL!$C$32, $C$9, 100%, $E$9)</f>
        <v>4.2176</v>
      </c>
      <c r="F104" s="11">
        <f>4.2176 * CHOOSE(CONTROL!$C$32, $C$9, 100%, $E$9)</f>
        <v>4.2176</v>
      </c>
      <c r="G104" s="11">
        <f>4.2229 * CHOOSE(CONTROL!$C$32, $C$9, 100%, $E$9)</f>
        <v>4.2229000000000001</v>
      </c>
      <c r="H104" s="11">
        <f>6.957 * CHOOSE(CONTROL!$C$32, $C$9, 100%, $E$9)</f>
        <v>6.9569999999999999</v>
      </c>
      <c r="I104" s="11">
        <f>6.9623 * CHOOSE(CONTROL!$C$32, $C$9, 100%, $E$9)</f>
        <v>6.9622999999999999</v>
      </c>
      <c r="J104" s="11">
        <f>6.957 * CHOOSE(CONTROL!$C$32, $C$9, 100%, $E$9)</f>
        <v>6.9569999999999999</v>
      </c>
      <c r="K104" s="11">
        <f>6.9623 * CHOOSE(CONTROL!$C$32, $C$9, 100%, $E$9)</f>
        <v>6.9622999999999999</v>
      </c>
      <c r="L104" s="11">
        <f>4.2176 * CHOOSE(CONTROL!$C$32, $C$9, 100%, $E$9)</f>
        <v>4.2176</v>
      </c>
      <c r="M104" s="11">
        <f>4.2229 * CHOOSE(CONTROL!$C$32, $C$9, 100%, $E$9)</f>
        <v>4.2229000000000001</v>
      </c>
      <c r="N104" s="11">
        <f>4.2176 * CHOOSE(CONTROL!$C$32, $C$9, 100%, $E$9)</f>
        <v>4.2176</v>
      </c>
      <c r="O104" s="11">
        <f>4.2229 * CHOOSE(CONTROL!$C$32, $C$9, 100%, $E$9)</f>
        <v>4.2229000000000001</v>
      </c>
      <c r="P104" s="14"/>
      <c r="Q104" s="14"/>
      <c r="R104" s="14"/>
    </row>
    <row r="105" spans="1:18" ht="15" x14ac:dyDescent="0.2">
      <c r="A105" s="13">
        <v>44044</v>
      </c>
      <c r="B105" s="9">
        <f>3.3165 * CHOOSE(CONTROL!$C$32, $C$9, 100%, $E$9)</f>
        <v>3.3165</v>
      </c>
      <c r="C105" s="9">
        <f>3.3165 * CHOOSE(CONTROL!$C$32, $C$9, 100%, $E$9)</f>
        <v>3.3165</v>
      </c>
      <c r="D105" s="9">
        <f>3.3181 * CHOOSE(CONTROL!$C$32, $C$9, 100%, $E$9)</f>
        <v>3.3180999999999998</v>
      </c>
      <c r="E105" s="11">
        <f>4.222 * CHOOSE(CONTROL!$C$32, $C$9, 100%, $E$9)</f>
        <v>4.2220000000000004</v>
      </c>
      <c r="F105" s="11">
        <f>4.222 * CHOOSE(CONTROL!$C$32, $C$9, 100%, $E$9)</f>
        <v>4.2220000000000004</v>
      </c>
      <c r="G105" s="11">
        <f>4.2273 * CHOOSE(CONTROL!$C$32, $C$9, 100%, $E$9)</f>
        <v>4.2272999999999996</v>
      </c>
      <c r="H105" s="11">
        <f>6.9715 * CHOOSE(CONTROL!$C$32, $C$9, 100%, $E$9)</f>
        <v>6.9714999999999998</v>
      </c>
      <c r="I105" s="11">
        <f>6.9768 * CHOOSE(CONTROL!$C$32, $C$9, 100%, $E$9)</f>
        <v>6.9767999999999999</v>
      </c>
      <c r="J105" s="11">
        <f>6.9715 * CHOOSE(CONTROL!$C$32, $C$9, 100%, $E$9)</f>
        <v>6.9714999999999998</v>
      </c>
      <c r="K105" s="11">
        <f>6.9768 * CHOOSE(CONTROL!$C$32, $C$9, 100%, $E$9)</f>
        <v>6.9767999999999999</v>
      </c>
      <c r="L105" s="11">
        <f>4.222 * CHOOSE(CONTROL!$C$32, $C$9, 100%, $E$9)</f>
        <v>4.2220000000000004</v>
      </c>
      <c r="M105" s="11">
        <f>4.2273 * CHOOSE(CONTROL!$C$32, $C$9, 100%, $E$9)</f>
        <v>4.2272999999999996</v>
      </c>
      <c r="N105" s="11">
        <f>4.222 * CHOOSE(CONTROL!$C$32, $C$9, 100%, $E$9)</f>
        <v>4.2220000000000004</v>
      </c>
      <c r="O105" s="11">
        <f>4.2273 * CHOOSE(CONTROL!$C$32, $C$9, 100%, $E$9)</f>
        <v>4.2272999999999996</v>
      </c>
      <c r="P105" s="14"/>
      <c r="Q105" s="14"/>
      <c r="R105" s="14"/>
    </row>
    <row r="106" spans="1:18" ht="15" x14ac:dyDescent="0.2">
      <c r="A106" s="13">
        <v>44075</v>
      </c>
      <c r="B106" s="9">
        <f>3.3135 * CHOOSE(CONTROL!$C$32, $C$9, 100%, $E$9)</f>
        <v>3.3134999999999999</v>
      </c>
      <c r="C106" s="9">
        <f>3.3135 * CHOOSE(CONTROL!$C$32, $C$9, 100%, $E$9)</f>
        <v>3.3134999999999999</v>
      </c>
      <c r="D106" s="9">
        <f>3.3151 * CHOOSE(CONTROL!$C$32, $C$9, 100%, $E$9)</f>
        <v>3.3151000000000002</v>
      </c>
      <c r="E106" s="11">
        <f>4.22 * CHOOSE(CONTROL!$C$32, $C$9, 100%, $E$9)</f>
        <v>4.22</v>
      </c>
      <c r="F106" s="11">
        <f>4.22 * CHOOSE(CONTROL!$C$32, $C$9, 100%, $E$9)</f>
        <v>4.22</v>
      </c>
      <c r="G106" s="11">
        <f>4.2253 * CHOOSE(CONTROL!$C$32, $C$9, 100%, $E$9)</f>
        <v>4.2252999999999998</v>
      </c>
      <c r="H106" s="11">
        <f>6.986 * CHOOSE(CONTROL!$C$32, $C$9, 100%, $E$9)</f>
        <v>6.9859999999999998</v>
      </c>
      <c r="I106" s="11">
        <f>6.9913 * CHOOSE(CONTROL!$C$32, $C$9, 100%, $E$9)</f>
        <v>6.9912999999999998</v>
      </c>
      <c r="J106" s="11">
        <f>6.986 * CHOOSE(CONTROL!$C$32, $C$9, 100%, $E$9)</f>
        <v>6.9859999999999998</v>
      </c>
      <c r="K106" s="11">
        <f>6.9913 * CHOOSE(CONTROL!$C$32, $C$9, 100%, $E$9)</f>
        <v>6.9912999999999998</v>
      </c>
      <c r="L106" s="11">
        <f>4.22 * CHOOSE(CONTROL!$C$32, $C$9, 100%, $E$9)</f>
        <v>4.22</v>
      </c>
      <c r="M106" s="11">
        <f>4.2253 * CHOOSE(CONTROL!$C$32, $C$9, 100%, $E$9)</f>
        <v>4.2252999999999998</v>
      </c>
      <c r="N106" s="11">
        <f>4.22 * CHOOSE(CONTROL!$C$32, $C$9, 100%, $E$9)</f>
        <v>4.22</v>
      </c>
      <c r="O106" s="11">
        <f>4.2253 * CHOOSE(CONTROL!$C$32, $C$9, 100%, $E$9)</f>
        <v>4.2252999999999998</v>
      </c>
      <c r="P106" s="14"/>
      <c r="Q106" s="14"/>
      <c r="R106" s="14"/>
    </row>
    <row r="107" spans="1:18" ht="15" x14ac:dyDescent="0.2">
      <c r="A107" s="13">
        <v>44105</v>
      </c>
      <c r="B107" s="9">
        <f>3.3061 * CHOOSE(CONTROL!$C$32, $C$9, 100%, $E$9)</f>
        <v>3.3060999999999998</v>
      </c>
      <c r="C107" s="9">
        <f>3.3061 * CHOOSE(CONTROL!$C$32, $C$9, 100%, $E$9)</f>
        <v>3.3060999999999998</v>
      </c>
      <c r="D107" s="9">
        <f>3.3072 * CHOOSE(CONTROL!$C$32, $C$9, 100%, $E$9)</f>
        <v>3.3071999999999999</v>
      </c>
      <c r="E107" s="11">
        <f>4.2135 * CHOOSE(CONTROL!$C$32, $C$9, 100%, $E$9)</f>
        <v>4.2134999999999998</v>
      </c>
      <c r="F107" s="11">
        <f>4.2135 * CHOOSE(CONTROL!$C$32, $C$9, 100%, $E$9)</f>
        <v>4.2134999999999998</v>
      </c>
      <c r="G107" s="11">
        <f>4.2171 * CHOOSE(CONTROL!$C$32, $C$9, 100%, $E$9)</f>
        <v>4.2171000000000003</v>
      </c>
      <c r="H107" s="11">
        <f>7.0005 * CHOOSE(CONTROL!$C$32, $C$9, 100%, $E$9)</f>
        <v>7.0004999999999997</v>
      </c>
      <c r="I107" s="11">
        <f>7.0042 * CHOOSE(CONTROL!$C$32, $C$9, 100%, $E$9)</f>
        <v>7.0042</v>
      </c>
      <c r="J107" s="11">
        <f>7.0005 * CHOOSE(CONTROL!$C$32, $C$9, 100%, $E$9)</f>
        <v>7.0004999999999997</v>
      </c>
      <c r="K107" s="11">
        <f>7.0042 * CHOOSE(CONTROL!$C$32, $C$9, 100%, $E$9)</f>
        <v>7.0042</v>
      </c>
      <c r="L107" s="11">
        <f>4.2135 * CHOOSE(CONTROL!$C$32, $C$9, 100%, $E$9)</f>
        <v>4.2134999999999998</v>
      </c>
      <c r="M107" s="11">
        <f>4.2171 * CHOOSE(CONTROL!$C$32, $C$9, 100%, $E$9)</f>
        <v>4.2171000000000003</v>
      </c>
      <c r="N107" s="11">
        <f>4.2135 * CHOOSE(CONTROL!$C$32, $C$9, 100%, $E$9)</f>
        <v>4.2134999999999998</v>
      </c>
      <c r="O107" s="11">
        <f>4.2171 * CHOOSE(CONTROL!$C$32, $C$9, 100%, $E$9)</f>
        <v>4.2171000000000003</v>
      </c>
      <c r="P107" s="14"/>
      <c r="Q107" s="14"/>
      <c r="R107" s="14"/>
    </row>
    <row r="108" spans="1:18" ht="15" x14ac:dyDescent="0.2">
      <c r="A108" s="13">
        <v>44136</v>
      </c>
      <c r="B108" s="9">
        <f>3.3092 * CHOOSE(CONTROL!$C$32, $C$9, 100%, $E$9)</f>
        <v>3.3092000000000001</v>
      </c>
      <c r="C108" s="9">
        <f>3.3092 * CHOOSE(CONTROL!$C$32, $C$9, 100%, $E$9)</f>
        <v>3.3092000000000001</v>
      </c>
      <c r="D108" s="9">
        <f>3.3103 * CHOOSE(CONTROL!$C$32, $C$9, 100%, $E$9)</f>
        <v>3.3102999999999998</v>
      </c>
      <c r="E108" s="11">
        <f>4.2155 * CHOOSE(CONTROL!$C$32, $C$9, 100%, $E$9)</f>
        <v>4.2154999999999996</v>
      </c>
      <c r="F108" s="11">
        <f>4.2155 * CHOOSE(CONTROL!$C$32, $C$9, 100%, $E$9)</f>
        <v>4.2154999999999996</v>
      </c>
      <c r="G108" s="11">
        <f>4.2191 * CHOOSE(CONTROL!$C$32, $C$9, 100%, $E$9)</f>
        <v>4.2191000000000001</v>
      </c>
      <c r="H108" s="11">
        <f>7.0151 * CHOOSE(CONTROL!$C$32, $C$9, 100%, $E$9)</f>
        <v>7.0151000000000003</v>
      </c>
      <c r="I108" s="11">
        <f>7.0187 * CHOOSE(CONTROL!$C$32, $C$9, 100%, $E$9)</f>
        <v>7.0186999999999999</v>
      </c>
      <c r="J108" s="11">
        <f>7.0151 * CHOOSE(CONTROL!$C$32, $C$9, 100%, $E$9)</f>
        <v>7.0151000000000003</v>
      </c>
      <c r="K108" s="11">
        <f>7.0187 * CHOOSE(CONTROL!$C$32, $C$9, 100%, $E$9)</f>
        <v>7.0186999999999999</v>
      </c>
      <c r="L108" s="11">
        <f>4.2155 * CHOOSE(CONTROL!$C$32, $C$9, 100%, $E$9)</f>
        <v>4.2154999999999996</v>
      </c>
      <c r="M108" s="11">
        <f>4.2191 * CHOOSE(CONTROL!$C$32, $C$9, 100%, $E$9)</f>
        <v>4.2191000000000001</v>
      </c>
      <c r="N108" s="11">
        <f>4.2155 * CHOOSE(CONTROL!$C$32, $C$9, 100%, $E$9)</f>
        <v>4.2154999999999996</v>
      </c>
      <c r="O108" s="11">
        <f>4.2191 * CHOOSE(CONTROL!$C$32, $C$9, 100%, $E$9)</f>
        <v>4.2191000000000001</v>
      </c>
      <c r="P108" s="14"/>
      <c r="Q108" s="14"/>
      <c r="R108" s="14"/>
    </row>
    <row r="109" spans="1:18" ht="15" x14ac:dyDescent="0.2">
      <c r="A109" s="13">
        <v>44166</v>
      </c>
      <c r="B109" s="9">
        <f>3.3092 * CHOOSE(CONTROL!$C$32, $C$9, 100%, $E$9)</f>
        <v>3.3092000000000001</v>
      </c>
      <c r="C109" s="9">
        <f>3.3092 * CHOOSE(CONTROL!$C$32, $C$9, 100%, $E$9)</f>
        <v>3.3092000000000001</v>
      </c>
      <c r="D109" s="9">
        <f>3.3103 * CHOOSE(CONTROL!$C$32, $C$9, 100%, $E$9)</f>
        <v>3.3102999999999998</v>
      </c>
      <c r="E109" s="11">
        <f>4.2155 * CHOOSE(CONTROL!$C$32, $C$9, 100%, $E$9)</f>
        <v>4.2154999999999996</v>
      </c>
      <c r="F109" s="11">
        <f>4.2155 * CHOOSE(CONTROL!$C$32, $C$9, 100%, $E$9)</f>
        <v>4.2154999999999996</v>
      </c>
      <c r="G109" s="11">
        <f>4.2191 * CHOOSE(CONTROL!$C$32, $C$9, 100%, $E$9)</f>
        <v>4.2191000000000001</v>
      </c>
      <c r="H109" s="11">
        <f>7.0297 * CHOOSE(CONTROL!$C$32, $C$9, 100%, $E$9)</f>
        <v>7.0297000000000001</v>
      </c>
      <c r="I109" s="11">
        <f>7.0334 * CHOOSE(CONTROL!$C$32, $C$9, 100%, $E$9)</f>
        <v>7.0334000000000003</v>
      </c>
      <c r="J109" s="11">
        <f>7.0297 * CHOOSE(CONTROL!$C$32, $C$9, 100%, $E$9)</f>
        <v>7.0297000000000001</v>
      </c>
      <c r="K109" s="11">
        <f>7.0334 * CHOOSE(CONTROL!$C$32, $C$9, 100%, $E$9)</f>
        <v>7.0334000000000003</v>
      </c>
      <c r="L109" s="11">
        <f>4.2155 * CHOOSE(CONTROL!$C$32, $C$9, 100%, $E$9)</f>
        <v>4.2154999999999996</v>
      </c>
      <c r="M109" s="11">
        <f>4.2191 * CHOOSE(CONTROL!$C$32, $C$9, 100%, $E$9)</f>
        <v>4.2191000000000001</v>
      </c>
      <c r="N109" s="11">
        <f>4.2155 * CHOOSE(CONTROL!$C$32, $C$9, 100%, $E$9)</f>
        <v>4.2154999999999996</v>
      </c>
      <c r="O109" s="11">
        <f>4.2191 * CHOOSE(CONTROL!$C$32, $C$9, 100%, $E$9)</f>
        <v>4.2191000000000001</v>
      </c>
      <c r="P109" s="14"/>
      <c r="Q109" s="14"/>
      <c r="R109" s="14"/>
    </row>
    <row r="110" spans="1:18" ht="15" x14ac:dyDescent="0.2">
      <c r="A110" s="13">
        <v>44197</v>
      </c>
      <c r="B110" s="9">
        <f>3.3407 * CHOOSE(CONTROL!$C$32, $C$9, 100%, $E$9)</f>
        <v>3.3407</v>
      </c>
      <c r="C110" s="9">
        <f>3.3407 * CHOOSE(CONTROL!$C$32, $C$9, 100%, $E$9)</f>
        <v>3.3407</v>
      </c>
      <c r="D110" s="9">
        <f>3.3417 * CHOOSE(CONTROL!$C$32, $C$9, 100%, $E$9)</f>
        <v>3.3416999999999999</v>
      </c>
      <c r="E110" s="11">
        <f>4.2457 * CHOOSE(CONTROL!$C$32, $C$9, 100%, $E$9)</f>
        <v>4.2457000000000003</v>
      </c>
      <c r="F110" s="11">
        <f>4.2457 * CHOOSE(CONTROL!$C$32, $C$9, 100%, $E$9)</f>
        <v>4.2457000000000003</v>
      </c>
      <c r="G110" s="11">
        <f>4.2494 * CHOOSE(CONTROL!$C$32, $C$9, 100%, $E$9)</f>
        <v>4.2493999999999996</v>
      </c>
      <c r="H110" s="11">
        <f>7.0444 * CHOOSE(CONTROL!$C$32, $C$9, 100%, $E$9)</f>
        <v>7.0444000000000004</v>
      </c>
      <c r="I110" s="11">
        <f>7.048 * CHOOSE(CONTROL!$C$32, $C$9, 100%, $E$9)</f>
        <v>7.048</v>
      </c>
      <c r="J110" s="11">
        <f>7.0444 * CHOOSE(CONTROL!$C$32, $C$9, 100%, $E$9)</f>
        <v>7.0444000000000004</v>
      </c>
      <c r="K110" s="11">
        <f>7.048 * CHOOSE(CONTROL!$C$32, $C$9, 100%, $E$9)</f>
        <v>7.048</v>
      </c>
      <c r="L110" s="11">
        <f>4.2457 * CHOOSE(CONTROL!$C$32, $C$9, 100%, $E$9)</f>
        <v>4.2457000000000003</v>
      </c>
      <c r="M110" s="11">
        <f>4.2494 * CHOOSE(CONTROL!$C$32, $C$9, 100%, $E$9)</f>
        <v>4.2493999999999996</v>
      </c>
      <c r="N110" s="11">
        <f>4.2457 * CHOOSE(CONTROL!$C$32, $C$9, 100%, $E$9)</f>
        <v>4.2457000000000003</v>
      </c>
      <c r="O110" s="11">
        <f>4.2494 * CHOOSE(CONTROL!$C$32, $C$9, 100%, $E$9)</f>
        <v>4.2493999999999996</v>
      </c>
      <c r="P110" s="14"/>
      <c r="Q110" s="14"/>
      <c r="R110" s="14"/>
    </row>
    <row r="111" spans="1:18" ht="15" x14ac:dyDescent="0.2">
      <c r="A111" s="13">
        <v>44228</v>
      </c>
      <c r="B111" s="9">
        <f>3.3376 * CHOOSE(CONTROL!$C$32, $C$9, 100%, $E$9)</f>
        <v>3.3376000000000001</v>
      </c>
      <c r="C111" s="9">
        <f>3.3376 * CHOOSE(CONTROL!$C$32, $C$9, 100%, $E$9)</f>
        <v>3.3376000000000001</v>
      </c>
      <c r="D111" s="9">
        <f>3.3387 * CHOOSE(CONTROL!$C$32, $C$9, 100%, $E$9)</f>
        <v>3.3386999999999998</v>
      </c>
      <c r="E111" s="11">
        <f>4.2437 * CHOOSE(CONTROL!$C$32, $C$9, 100%, $E$9)</f>
        <v>4.2436999999999996</v>
      </c>
      <c r="F111" s="11">
        <f>4.2437 * CHOOSE(CONTROL!$C$32, $C$9, 100%, $E$9)</f>
        <v>4.2436999999999996</v>
      </c>
      <c r="G111" s="11">
        <f>4.2474 * CHOOSE(CONTROL!$C$32, $C$9, 100%, $E$9)</f>
        <v>4.2473999999999998</v>
      </c>
      <c r="H111" s="11">
        <f>7.0591 * CHOOSE(CONTROL!$C$32, $C$9, 100%, $E$9)</f>
        <v>7.0590999999999999</v>
      </c>
      <c r="I111" s="11">
        <f>7.0627 * CHOOSE(CONTROL!$C$32, $C$9, 100%, $E$9)</f>
        <v>7.0627000000000004</v>
      </c>
      <c r="J111" s="11">
        <f>7.0591 * CHOOSE(CONTROL!$C$32, $C$9, 100%, $E$9)</f>
        <v>7.0590999999999999</v>
      </c>
      <c r="K111" s="11">
        <f>7.0627 * CHOOSE(CONTROL!$C$32, $C$9, 100%, $E$9)</f>
        <v>7.0627000000000004</v>
      </c>
      <c r="L111" s="11">
        <f>4.2437 * CHOOSE(CONTROL!$C$32, $C$9, 100%, $E$9)</f>
        <v>4.2436999999999996</v>
      </c>
      <c r="M111" s="11">
        <f>4.2474 * CHOOSE(CONTROL!$C$32, $C$9, 100%, $E$9)</f>
        <v>4.2473999999999998</v>
      </c>
      <c r="N111" s="11">
        <f>4.2437 * CHOOSE(CONTROL!$C$32, $C$9, 100%, $E$9)</f>
        <v>4.2436999999999996</v>
      </c>
      <c r="O111" s="11">
        <f>4.2474 * CHOOSE(CONTROL!$C$32, $C$9, 100%, $E$9)</f>
        <v>4.2473999999999998</v>
      </c>
      <c r="P111" s="14"/>
      <c r="Q111" s="14"/>
      <c r="R111" s="14"/>
    </row>
    <row r="112" spans="1:18" ht="15" x14ac:dyDescent="0.2">
      <c r="A112" s="13">
        <v>44256</v>
      </c>
      <c r="B112" s="9">
        <f>3.3346 * CHOOSE(CONTROL!$C$32, $C$9, 100%, $E$9)</f>
        <v>3.3346</v>
      </c>
      <c r="C112" s="9">
        <f>3.3346 * CHOOSE(CONTROL!$C$32, $C$9, 100%, $E$9)</f>
        <v>3.3346</v>
      </c>
      <c r="D112" s="9">
        <f>3.3357 * CHOOSE(CONTROL!$C$32, $C$9, 100%, $E$9)</f>
        <v>3.3357000000000001</v>
      </c>
      <c r="E112" s="11">
        <f>4.2417 * CHOOSE(CONTROL!$C$32, $C$9, 100%, $E$9)</f>
        <v>4.2416999999999998</v>
      </c>
      <c r="F112" s="11">
        <f>4.2417 * CHOOSE(CONTROL!$C$32, $C$9, 100%, $E$9)</f>
        <v>4.2416999999999998</v>
      </c>
      <c r="G112" s="11">
        <f>4.2454 * CHOOSE(CONTROL!$C$32, $C$9, 100%, $E$9)</f>
        <v>4.2454000000000001</v>
      </c>
      <c r="H112" s="11">
        <f>7.0738 * CHOOSE(CONTROL!$C$32, $C$9, 100%, $E$9)</f>
        <v>7.0738000000000003</v>
      </c>
      <c r="I112" s="11">
        <f>7.0774 * CHOOSE(CONTROL!$C$32, $C$9, 100%, $E$9)</f>
        <v>7.0773999999999999</v>
      </c>
      <c r="J112" s="11">
        <f>7.0738 * CHOOSE(CONTROL!$C$32, $C$9, 100%, $E$9)</f>
        <v>7.0738000000000003</v>
      </c>
      <c r="K112" s="11">
        <f>7.0774 * CHOOSE(CONTROL!$C$32, $C$9, 100%, $E$9)</f>
        <v>7.0773999999999999</v>
      </c>
      <c r="L112" s="11">
        <f>4.2417 * CHOOSE(CONTROL!$C$32, $C$9, 100%, $E$9)</f>
        <v>4.2416999999999998</v>
      </c>
      <c r="M112" s="11">
        <f>4.2454 * CHOOSE(CONTROL!$C$32, $C$9, 100%, $E$9)</f>
        <v>4.2454000000000001</v>
      </c>
      <c r="N112" s="11">
        <f>4.2417 * CHOOSE(CONTROL!$C$32, $C$9, 100%, $E$9)</f>
        <v>4.2416999999999998</v>
      </c>
      <c r="O112" s="11">
        <f>4.2454 * CHOOSE(CONTROL!$C$32, $C$9, 100%, $E$9)</f>
        <v>4.2454000000000001</v>
      </c>
      <c r="P112" s="14"/>
      <c r="Q112" s="14"/>
      <c r="R112" s="14"/>
    </row>
    <row r="113" spans="1:18" ht="15" x14ac:dyDescent="0.2">
      <c r="A113" s="13">
        <v>44287</v>
      </c>
      <c r="B113" s="9">
        <f>3.3316 * CHOOSE(CONTROL!$C$32, $C$9, 100%, $E$9)</f>
        <v>3.3315999999999999</v>
      </c>
      <c r="C113" s="9">
        <f>3.3316 * CHOOSE(CONTROL!$C$32, $C$9, 100%, $E$9)</f>
        <v>3.3315999999999999</v>
      </c>
      <c r="D113" s="9">
        <f>3.3327 * CHOOSE(CONTROL!$C$32, $C$9, 100%, $E$9)</f>
        <v>3.3327</v>
      </c>
      <c r="E113" s="11">
        <f>4.2394 * CHOOSE(CONTROL!$C$32, $C$9, 100%, $E$9)</f>
        <v>4.2393999999999998</v>
      </c>
      <c r="F113" s="11">
        <f>4.2394 * CHOOSE(CONTROL!$C$32, $C$9, 100%, $E$9)</f>
        <v>4.2393999999999998</v>
      </c>
      <c r="G113" s="11">
        <f>4.243 * CHOOSE(CONTROL!$C$32, $C$9, 100%, $E$9)</f>
        <v>4.2430000000000003</v>
      </c>
      <c r="H113" s="11">
        <f>7.0885 * CHOOSE(CONTROL!$C$32, $C$9, 100%, $E$9)</f>
        <v>7.0884999999999998</v>
      </c>
      <c r="I113" s="11">
        <f>7.0921 * CHOOSE(CONTROL!$C$32, $C$9, 100%, $E$9)</f>
        <v>7.0921000000000003</v>
      </c>
      <c r="J113" s="11">
        <f>7.0885 * CHOOSE(CONTROL!$C$32, $C$9, 100%, $E$9)</f>
        <v>7.0884999999999998</v>
      </c>
      <c r="K113" s="11">
        <f>7.0921 * CHOOSE(CONTROL!$C$32, $C$9, 100%, $E$9)</f>
        <v>7.0921000000000003</v>
      </c>
      <c r="L113" s="11">
        <f>4.2394 * CHOOSE(CONTROL!$C$32, $C$9, 100%, $E$9)</f>
        <v>4.2393999999999998</v>
      </c>
      <c r="M113" s="11">
        <f>4.243 * CHOOSE(CONTROL!$C$32, $C$9, 100%, $E$9)</f>
        <v>4.2430000000000003</v>
      </c>
      <c r="N113" s="11">
        <f>4.2394 * CHOOSE(CONTROL!$C$32, $C$9, 100%, $E$9)</f>
        <v>4.2393999999999998</v>
      </c>
      <c r="O113" s="11">
        <f>4.243 * CHOOSE(CONTROL!$C$32, $C$9, 100%, $E$9)</f>
        <v>4.2430000000000003</v>
      </c>
      <c r="P113" s="14"/>
      <c r="Q113" s="14"/>
      <c r="R113" s="14"/>
    </row>
    <row r="114" spans="1:18" ht="15" x14ac:dyDescent="0.2">
      <c r="A114" s="13">
        <v>44317</v>
      </c>
      <c r="B114" s="9">
        <f>3.3316 * CHOOSE(CONTROL!$C$32, $C$9, 100%, $E$9)</f>
        <v>3.3315999999999999</v>
      </c>
      <c r="C114" s="9">
        <f>3.3316 * CHOOSE(CONTROL!$C$32, $C$9, 100%, $E$9)</f>
        <v>3.3315999999999999</v>
      </c>
      <c r="D114" s="9">
        <f>3.3332 * CHOOSE(CONTROL!$C$32, $C$9, 100%, $E$9)</f>
        <v>3.3332000000000002</v>
      </c>
      <c r="E114" s="11">
        <f>4.2394 * CHOOSE(CONTROL!$C$32, $C$9, 100%, $E$9)</f>
        <v>4.2393999999999998</v>
      </c>
      <c r="F114" s="11">
        <f>4.2394 * CHOOSE(CONTROL!$C$32, $C$9, 100%, $E$9)</f>
        <v>4.2393999999999998</v>
      </c>
      <c r="G114" s="11">
        <f>4.2447 * CHOOSE(CONTROL!$C$32, $C$9, 100%, $E$9)</f>
        <v>4.2446999999999999</v>
      </c>
      <c r="H114" s="11">
        <f>7.1033 * CHOOSE(CONTROL!$C$32, $C$9, 100%, $E$9)</f>
        <v>7.1032999999999999</v>
      </c>
      <c r="I114" s="11">
        <f>7.1086 * CHOOSE(CONTROL!$C$32, $C$9, 100%, $E$9)</f>
        <v>7.1086</v>
      </c>
      <c r="J114" s="11">
        <f>7.1033 * CHOOSE(CONTROL!$C$32, $C$9, 100%, $E$9)</f>
        <v>7.1032999999999999</v>
      </c>
      <c r="K114" s="11">
        <f>7.1086 * CHOOSE(CONTROL!$C$32, $C$9, 100%, $E$9)</f>
        <v>7.1086</v>
      </c>
      <c r="L114" s="11">
        <f>4.2394 * CHOOSE(CONTROL!$C$32, $C$9, 100%, $E$9)</f>
        <v>4.2393999999999998</v>
      </c>
      <c r="M114" s="11">
        <f>4.2447 * CHOOSE(CONTROL!$C$32, $C$9, 100%, $E$9)</f>
        <v>4.2446999999999999</v>
      </c>
      <c r="N114" s="11">
        <f>4.2394 * CHOOSE(CONTROL!$C$32, $C$9, 100%, $E$9)</f>
        <v>4.2393999999999998</v>
      </c>
      <c r="O114" s="11">
        <f>4.2447 * CHOOSE(CONTROL!$C$32, $C$9, 100%, $E$9)</f>
        <v>4.2446999999999999</v>
      </c>
      <c r="P114" s="14"/>
      <c r="Q114" s="14"/>
      <c r="R114" s="14"/>
    </row>
    <row r="115" spans="1:18" ht="15" x14ac:dyDescent="0.2">
      <c r="A115" s="13">
        <v>44348</v>
      </c>
      <c r="B115" s="9">
        <f>3.3377 * CHOOSE(CONTROL!$C$32, $C$9, 100%, $E$9)</f>
        <v>3.3376999999999999</v>
      </c>
      <c r="C115" s="9">
        <f>3.3377 * CHOOSE(CONTROL!$C$32, $C$9, 100%, $E$9)</f>
        <v>3.3376999999999999</v>
      </c>
      <c r="D115" s="9">
        <f>3.3393 * CHOOSE(CONTROL!$C$32, $C$9, 100%, $E$9)</f>
        <v>3.3393000000000002</v>
      </c>
      <c r="E115" s="11">
        <f>4.2434 * CHOOSE(CONTROL!$C$32, $C$9, 100%, $E$9)</f>
        <v>4.2434000000000003</v>
      </c>
      <c r="F115" s="11">
        <f>4.2434 * CHOOSE(CONTROL!$C$32, $C$9, 100%, $E$9)</f>
        <v>4.2434000000000003</v>
      </c>
      <c r="G115" s="11">
        <f>4.2487 * CHOOSE(CONTROL!$C$32, $C$9, 100%, $E$9)</f>
        <v>4.2487000000000004</v>
      </c>
      <c r="H115" s="11">
        <f>7.1181 * CHOOSE(CONTROL!$C$32, $C$9, 100%, $E$9)</f>
        <v>7.1181000000000001</v>
      </c>
      <c r="I115" s="11">
        <f>7.1234 * CHOOSE(CONTROL!$C$32, $C$9, 100%, $E$9)</f>
        <v>7.1234000000000002</v>
      </c>
      <c r="J115" s="11">
        <f>7.1181 * CHOOSE(CONTROL!$C$32, $C$9, 100%, $E$9)</f>
        <v>7.1181000000000001</v>
      </c>
      <c r="K115" s="11">
        <f>7.1234 * CHOOSE(CONTROL!$C$32, $C$9, 100%, $E$9)</f>
        <v>7.1234000000000002</v>
      </c>
      <c r="L115" s="11">
        <f>4.2434 * CHOOSE(CONTROL!$C$32, $C$9, 100%, $E$9)</f>
        <v>4.2434000000000003</v>
      </c>
      <c r="M115" s="11">
        <f>4.2487 * CHOOSE(CONTROL!$C$32, $C$9, 100%, $E$9)</f>
        <v>4.2487000000000004</v>
      </c>
      <c r="N115" s="11">
        <f>4.2434 * CHOOSE(CONTROL!$C$32, $C$9, 100%, $E$9)</f>
        <v>4.2434000000000003</v>
      </c>
      <c r="O115" s="11">
        <f>4.2487 * CHOOSE(CONTROL!$C$32, $C$9, 100%, $E$9)</f>
        <v>4.2487000000000004</v>
      </c>
      <c r="P115" s="14"/>
      <c r="Q115" s="14"/>
      <c r="R115" s="14"/>
    </row>
    <row r="116" spans="1:18" ht="15" x14ac:dyDescent="0.2">
      <c r="A116" s="13">
        <v>44378</v>
      </c>
      <c r="B116" s="9">
        <f>3.3976 * CHOOSE(CONTROL!$C$32, $C$9, 100%, $E$9)</f>
        <v>3.3976000000000002</v>
      </c>
      <c r="C116" s="9">
        <f>3.3976 * CHOOSE(CONTROL!$C$32, $C$9, 100%, $E$9)</f>
        <v>3.3976000000000002</v>
      </c>
      <c r="D116" s="9">
        <f>3.3992 * CHOOSE(CONTROL!$C$32, $C$9, 100%, $E$9)</f>
        <v>3.3992</v>
      </c>
      <c r="E116" s="11">
        <f>4.3089 * CHOOSE(CONTROL!$C$32, $C$9, 100%, $E$9)</f>
        <v>4.3089000000000004</v>
      </c>
      <c r="F116" s="11">
        <f>4.3089 * CHOOSE(CONTROL!$C$32, $C$9, 100%, $E$9)</f>
        <v>4.3089000000000004</v>
      </c>
      <c r="G116" s="11">
        <f>4.3142 * CHOOSE(CONTROL!$C$32, $C$9, 100%, $E$9)</f>
        <v>4.3141999999999996</v>
      </c>
      <c r="H116" s="11">
        <f>7.1329 * CHOOSE(CONTROL!$C$32, $C$9, 100%, $E$9)</f>
        <v>7.1329000000000002</v>
      </c>
      <c r="I116" s="11">
        <f>7.1382 * CHOOSE(CONTROL!$C$32, $C$9, 100%, $E$9)</f>
        <v>7.1382000000000003</v>
      </c>
      <c r="J116" s="11">
        <f>7.1329 * CHOOSE(CONTROL!$C$32, $C$9, 100%, $E$9)</f>
        <v>7.1329000000000002</v>
      </c>
      <c r="K116" s="11">
        <f>7.1382 * CHOOSE(CONTROL!$C$32, $C$9, 100%, $E$9)</f>
        <v>7.1382000000000003</v>
      </c>
      <c r="L116" s="11">
        <f>4.3089 * CHOOSE(CONTROL!$C$32, $C$9, 100%, $E$9)</f>
        <v>4.3089000000000004</v>
      </c>
      <c r="M116" s="11">
        <f>4.3142 * CHOOSE(CONTROL!$C$32, $C$9, 100%, $E$9)</f>
        <v>4.3141999999999996</v>
      </c>
      <c r="N116" s="11">
        <f>4.3089 * CHOOSE(CONTROL!$C$32, $C$9, 100%, $E$9)</f>
        <v>4.3089000000000004</v>
      </c>
      <c r="O116" s="11">
        <f>4.3142 * CHOOSE(CONTROL!$C$32, $C$9, 100%, $E$9)</f>
        <v>4.3141999999999996</v>
      </c>
      <c r="P116" s="14"/>
      <c r="Q116" s="14"/>
      <c r="R116" s="14"/>
    </row>
    <row r="117" spans="1:18" ht="15" x14ac:dyDescent="0.2">
      <c r="A117" s="13">
        <v>44409</v>
      </c>
      <c r="B117" s="9">
        <f>3.4043 * CHOOSE(CONTROL!$C$32, $C$9, 100%, $E$9)</f>
        <v>3.4043000000000001</v>
      </c>
      <c r="C117" s="9">
        <f>3.4043 * CHOOSE(CONTROL!$C$32, $C$9, 100%, $E$9)</f>
        <v>3.4043000000000001</v>
      </c>
      <c r="D117" s="9">
        <f>3.4059 * CHOOSE(CONTROL!$C$32, $C$9, 100%, $E$9)</f>
        <v>3.4058999999999999</v>
      </c>
      <c r="E117" s="11">
        <f>4.3133 * CHOOSE(CONTROL!$C$32, $C$9, 100%, $E$9)</f>
        <v>4.3132999999999999</v>
      </c>
      <c r="F117" s="11">
        <f>4.3133 * CHOOSE(CONTROL!$C$32, $C$9, 100%, $E$9)</f>
        <v>4.3132999999999999</v>
      </c>
      <c r="G117" s="11">
        <f>4.3186 * CHOOSE(CONTROL!$C$32, $C$9, 100%, $E$9)</f>
        <v>4.3186</v>
      </c>
      <c r="H117" s="11">
        <f>7.1478 * CHOOSE(CONTROL!$C$32, $C$9, 100%, $E$9)</f>
        <v>7.1478000000000002</v>
      </c>
      <c r="I117" s="11">
        <f>7.1531 * CHOOSE(CONTROL!$C$32, $C$9, 100%, $E$9)</f>
        <v>7.1531000000000002</v>
      </c>
      <c r="J117" s="11">
        <f>7.1478 * CHOOSE(CONTROL!$C$32, $C$9, 100%, $E$9)</f>
        <v>7.1478000000000002</v>
      </c>
      <c r="K117" s="11">
        <f>7.1531 * CHOOSE(CONTROL!$C$32, $C$9, 100%, $E$9)</f>
        <v>7.1531000000000002</v>
      </c>
      <c r="L117" s="11">
        <f>4.3133 * CHOOSE(CONTROL!$C$32, $C$9, 100%, $E$9)</f>
        <v>4.3132999999999999</v>
      </c>
      <c r="M117" s="11">
        <f>4.3186 * CHOOSE(CONTROL!$C$32, $C$9, 100%, $E$9)</f>
        <v>4.3186</v>
      </c>
      <c r="N117" s="11">
        <f>4.3133 * CHOOSE(CONTROL!$C$32, $C$9, 100%, $E$9)</f>
        <v>4.3132999999999999</v>
      </c>
      <c r="O117" s="11">
        <f>4.3186 * CHOOSE(CONTROL!$C$32, $C$9, 100%, $E$9)</f>
        <v>4.3186</v>
      </c>
      <c r="P117" s="14"/>
      <c r="Q117" s="14"/>
      <c r="R117" s="14"/>
    </row>
    <row r="118" spans="1:18" ht="15" x14ac:dyDescent="0.2">
      <c r="A118" s="13">
        <v>44440</v>
      </c>
      <c r="B118" s="9">
        <f>3.4012 * CHOOSE(CONTROL!$C$32, $C$9, 100%, $E$9)</f>
        <v>3.4011999999999998</v>
      </c>
      <c r="C118" s="9">
        <f>3.4012 * CHOOSE(CONTROL!$C$32, $C$9, 100%, $E$9)</f>
        <v>3.4011999999999998</v>
      </c>
      <c r="D118" s="9">
        <f>3.4028 * CHOOSE(CONTROL!$C$32, $C$9, 100%, $E$9)</f>
        <v>3.4028</v>
      </c>
      <c r="E118" s="11">
        <f>4.3113 * CHOOSE(CONTROL!$C$32, $C$9, 100%, $E$9)</f>
        <v>4.3113000000000001</v>
      </c>
      <c r="F118" s="11">
        <f>4.3113 * CHOOSE(CONTROL!$C$32, $C$9, 100%, $E$9)</f>
        <v>4.3113000000000001</v>
      </c>
      <c r="G118" s="11">
        <f>4.3166 * CHOOSE(CONTROL!$C$32, $C$9, 100%, $E$9)</f>
        <v>4.3166000000000002</v>
      </c>
      <c r="H118" s="11">
        <f>7.1627 * CHOOSE(CONTROL!$C$32, $C$9, 100%, $E$9)</f>
        <v>7.1627000000000001</v>
      </c>
      <c r="I118" s="11">
        <f>7.168 * CHOOSE(CONTROL!$C$32, $C$9, 100%, $E$9)</f>
        <v>7.1680000000000001</v>
      </c>
      <c r="J118" s="11">
        <f>7.1627 * CHOOSE(CONTROL!$C$32, $C$9, 100%, $E$9)</f>
        <v>7.1627000000000001</v>
      </c>
      <c r="K118" s="11">
        <f>7.168 * CHOOSE(CONTROL!$C$32, $C$9, 100%, $E$9)</f>
        <v>7.1680000000000001</v>
      </c>
      <c r="L118" s="11">
        <f>4.3113 * CHOOSE(CONTROL!$C$32, $C$9, 100%, $E$9)</f>
        <v>4.3113000000000001</v>
      </c>
      <c r="M118" s="11">
        <f>4.3166 * CHOOSE(CONTROL!$C$32, $C$9, 100%, $E$9)</f>
        <v>4.3166000000000002</v>
      </c>
      <c r="N118" s="11">
        <f>4.3113 * CHOOSE(CONTROL!$C$32, $C$9, 100%, $E$9)</f>
        <v>4.3113000000000001</v>
      </c>
      <c r="O118" s="11">
        <f>4.3166 * CHOOSE(CONTROL!$C$32, $C$9, 100%, $E$9)</f>
        <v>4.3166000000000002</v>
      </c>
      <c r="P118" s="14"/>
      <c r="Q118" s="14"/>
      <c r="R118" s="14"/>
    </row>
    <row r="119" spans="1:18" ht="15" x14ac:dyDescent="0.2">
      <c r="A119" s="13">
        <v>44470</v>
      </c>
      <c r="B119" s="9">
        <f>3.3942 * CHOOSE(CONTROL!$C$32, $C$9, 100%, $E$9)</f>
        <v>3.3942000000000001</v>
      </c>
      <c r="C119" s="9">
        <f>3.3942 * CHOOSE(CONTROL!$C$32, $C$9, 100%, $E$9)</f>
        <v>3.3942000000000001</v>
      </c>
      <c r="D119" s="9">
        <f>3.3953 * CHOOSE(CONTROL!$C$32, $C$9, 100%, $E$9)</f>
        <v>3.3953000000000002</v>
      </c>
      <c r="E119" s="11">
        <f>4.3049 * CHOOSE(CONTROL!$C$32, $C$9, 100%, $E$9)</f>
        <v>4.3048999999999999</v>
      </c>
      <c r="F119" s="11">
        <f>4.3049 * CHOOSE(CONTROL!$C$32, $C$9, 100%, $E$9)</f>
        <v>4.3048999999999999</v>
      </c>
      <c r="G119" s="11">
        <f>4.3085 * CHOOSE(CONTROL!$C$32, $C$9, 100%, $E$9)</f>
        <v>4.3085000000000004</v>
      </c>
      <c r="H119" s="11">
        <f>7.1776 * CHOOSE(CONTROL!$C$32, $C$9, 100%, $E$9)</f>
        <v>7.1776</v>
      </c>
      <c r="I119" s="11">
        <f>7.1812 * CHOOSE(CONTROL!$C$32, $C$9, 100%, $E$9)</f>
        <v>7.1811999999999996</v>
      </c>
      <c r="J119" s="11">
        <f>7.1776 * CHOOSE(CONTROL!$C$32, $C$9, 100%, $E$9)</f>
        <v>7.1776</v>
      </c>
      <c r="K119" s="11">
        <f>7.1812 * CHOOSE(CONTROL!$C$32, $C$9, 100%, $E$9)</f>
        <v>7.1811999999999996</v>
      </c>
      <c r="L119" s="11">
        <f>4.3049 * CHOOSE(CONTROL!$C$32, $C$9, 100%, $E$9)</f>
        <v>4.3048999999999999</v>
      </c>
      <c r="M119" s="11">
        <f>4.3085 * CHOOSE(CONTROL!$C$32, $C$9, 100%, $E$9)</f>
        <v>4.3085000000000004</v>
      </c>
      <c r="N119" s="11">
        <f>4.3049 * CHOOSE(CONTROL!$C$32, $C$9, 100%, $E$9)</f>
        <v>4.3048999999999999</v>
      </c>
      <c r="O119" s="11">
        <f>4.3085 * CHOOSE(CONTROL!$C$32, $C$9, 100%, $E$9)</f>
        <v>4.3085000000000004</v>
      </c>
      <c r="P119" s="14"/>
      <c r="Q119" s="14"/>
      <c r="R119" s="14"/>
    </row>
    <row r="120" spans="1:18" ht="15" x14ac:dyDescent="0.2">
      <c r="A120" s="13">
        <v>44501</v>
      </c>
      <c r="B120" s="9">
        <f>3.3972 * CHOOSE(CONTROL!$C$32, $C$9, 100%, $E$9)</f>
        <v>3.3972000000000002</v>
      </c>
      <c r="C120" s="9">
        <f>3.3972 * CHOOSE(CONTROL!$C$32, $C$9, 100%, $E$9)</f>
        <v>3.3972000000000002</v>
      </c>
      <c r="D120" s="9">
        <f>3.3983 * CHOOSE(CONTROL!$C$32, $C$9, 100%, $E$9)</f>
        <v>3.3982999999999999</v>
      </c>
      <c r="E120" s="11">
        <f>4.3069 * CHOOSE(CONTROL!$C$32, $C$9, 100%, $E$9)</f>
        <v>4.3068999999999997</v>
      </c>
      <c r="F120" s="11">
        <f>4.3069 * CHOOSE(CONTROL!$C$32, $C$9, 100%, $E$9)</f>
        <v>4.3068999999999997</v>
      </c>
      <c r="G120" s="11">
        <f>4.3105 * CHOOSE(CONTROL!$C$32, $C$9, 100%, $E$9)</f>
        <v>4.3105000000000002</v>
      </c>
      <c r="H120" s="11">
        <f>7.1925 * CHOOSE(CONTROL!$C$32, $C$9, 100%, $E$9)</f>
        <v>7.1924999999999999</v>
      </c>
      <c r="I120" s="11">
        <f>7.1961 * CHOOSE(CONTROL!$C$32, $C$9, 100%, $E$9)</f>
        <v>7.1961000000000004</v>
      </c>
      <c r="J120" s="11">
        <f>7.1925 * CHOOSE(CONTROL!$C$32, $C$9, 100%, $E$9)</f>
        <v>7.1924999999999999</v>
      </c>
      <c r="K120" s="11">
        <f>7.1961 * CHOOSE(CONTROL!$C$32, $C$9, 100%, $E$9)</f>
        <v>7.1961000000000004</v>
      </c>
      <c r="L120" s="11">
        <f>4.3069 * CHOOSE(CONTROL!$C$32, $C$9, 100%, $E$9)</f>
        <v>4.3068999999999997</v>
      </c>
      <c r="M120" s="11">
        <f>4.3105 * CHOOSE(CONTROL!$C$32, $C$9, 100%, $E$9)</f>
        <v>4.3105000000000002</v>
      </c>
      <c r="N120" s="11">
        <f>4.3069 * CHOOSE(CONTROL!$C$32, $C$9, 100%, $E$9)</f>
        <v>4.3068999999999997</v>
      </c>
      <c r="O120" s="11">
        <f>4.3105 * CHOOSE(CONTROL!$C$32, $C$9, 100%, $E$9)</f>
        <v>4.3105000000000002</v>
      </c>
      <c r="P120" s="14"/>
      <c r="Q120" s="14"/>
      <c r="R120" s="14"/>
    </row>
    <row r="121" spans="1:18" ht="15" x14ac:dyDescent="0.2">
      <c r="A121" s="13">
        <v>44531</v>
      </c>
      <c r="B121" s="9">
        <f>3.3972 * CHOOSE(CONTROL!$C$32, $C$9, 100%, $E$9)</f>
        <v>3.3972000000000002</v>
      </c>
      <c r="C121" s="9">
        <f>3.3972 * CHOOSE(CONTROL!$C$32, $C$9, 100%, $E$9)</f>
        <v>3.3972000000000002</v>
      </c>
      <c r="D121" s="9">
        <f>3.3983 * CHOOSE(CONTROL!$C$32, $C$9, 100%, $E$9)</f>
        <v>3.3982999999999999</v>
      </c>
      <c r="E121" s="11">
        <f>4.3069 * CHOOSE(CONTROL!$C$32, $C$9, 100%, $E$9)</f>
        <v>4.3068999999999997</v>
      </c>
      <c r="F121" s="11">
        <f>4.3069 * CHOOSE(CONTROL!$C$32, $C$9, 100%, $E$9)</f>
        <v>4.3068999999999997</v>
      </c>
      <c r="G121" s="11">
        <f>4.3105 * CHOOSE(CONTROL!$C$32, $C$9, 100%, $E$9)</f>
        <v>4.3105000000000002</v>
      </c>
      <c r="H121" s="11">
        <f>7.2075 * CHOOSE(CONTROL!$C$32, $C$9, 100%, $E$9)</f>
        <v>7.2074999999999996</v>
      </c>
      <c r="I121" s="11">
        <f>7.2111 * CHOOSE(CONTROL!$C$32, $C$9, 100%, $E$9)</f>
        <v>7.2111000000000001</v>
      </c>
      <c r="J121" s="11">
        <f>7.2075 * CHOOSE(CONTROL!$C$32, $C$9, 100%, $E$9)</f>
        <v>7.2074999999999996</v>
      </c>
      <c r="K121" s="11">
        <f>7.2111 * CHOOSE(CONTROL!$C$32, $C$9, 100%, $E$9)</f>
        <v>7.2111000000000001</v>
      </c>
      <c r="L121" s="11">
        <f>4.3069 * CHOOSE(CONTROL!$C$32, $C$9, 100%, $E$9)</f>
        <v>4.3068999999999997</v>
      </c>
      <c r="M121" s="11">
        <f>4.3105 * CHOOSE(CONTROL!$C$32, $C$9, 100%, $E$9)</f>
        <v>4.3105000000000002</v>
      </c>
      <c r="N121" s="11">
        <f>4.3069 * CHOOSE(CONTROL!$C$32, $C$9, 100%, $E$9)</f>
        <v>4.3068999999999997</v>
      </c>
      <c r="O121" s="11">
        <f>4.3105 * CHOOSE(CONTROL!$C$32, $C$9, 100%, $E$9)</f>
        <v>4.3105000000000002</v>
      </c>
      <c r="P121" s="14"/>
      <c r="Q121" s="14"/>
      <c r="R121" s="14"/>
    </row>
    <row r="122" spans="1:18" ht="15" x14ac:dyDescent="0.2">
      <c r="A122" s="13">
        <v>44562</v>
      </c>
      <c r="B122" s="9">
        <f>3.4251 * CHOOSE(CONTROL!$C$32, $C$9, 100%, $E$9)</f>
        <v>3.4251</v>
      </c>
      <c r="C122" s="9">
        <f>3.4251 * CHOOSE(CONTROL!$C$32, $C$9, 100%, $E$9)</f>
        <v>3.4251</v>
      </c>
      <c r="D122" s="9">
        <f>3.4261 * CHOOSE(CONTROL!$C$32, $C$9, 100%, $E$9)</f>
        <v>3.4260999999999999</v>
      </c>
      <c r="E122" s="11">
        <f>4.3439 * CHOOSE(CONTROL!$C$32, $C$9, 100%, $E$9)</f>
        <v>4.3438999999999997</v>
      </c>
      <c r="F122" s="11">
        <f>4.3439 * CHOOSE(CONTROL!$C$32, $C$9, 100%, $E$9)</f>
        <v>4.3438999999999997</v>
      </c>
      <c r="G122" s="11">
        <f>4.3475 * CHOOSE(CONTROL!$C$32, $C$9, 100%, $E$9)</f>
        <v>4.3475000000000001</v>
      </c>
      <c r="H122" s="11">
        <f>7.2225 * CHOOSE(CONTROL!$C$32, $C$9, 100%, $E$9)</f>
        <v>7.2225000000000001</v>
      </c>
      <c r="I122" s="11">
        <f>7.2261 * CHOOSE(CONTROL!$C$32, $C$9, 100%, $E$9)</f>
        <v>7.2260999999999997</v>
      </c>
      <c r="J122" s="11">
        <f>7.2225 * CHOOSE(CONTROL!$C$32, $C$9, 100%, $E$9)</f>
        <v>7.2225000000000001</v>
      </c>
      <c r="K122" s="11">
        <f>7.2261 * CHOOSE(CONTROL!$C$32, $C$9, 100%, $E$9)</f>
        <v>7.2260999999999997</v>
      </c>
      <c r="L122" s="11">
        <f>4.3439 * CHOOSE(CONTROL!$C$32, $C$9, 100%, $E$9)</f>
        <v>4.3438999999999997</v>
      </c>
      <c r="M122" s="11">
        <f>4.3475 * CHOOSE(CONTROL!$C$32, $C$9, 100%, $E$9)</f>
        <v>4.3475000000000001</v>
      </c>
      <c r="N122" s="11">
        <f>4.3439 * CHOOSE(CONTROL!$C$32, $C$9, 100%, $E$9)</f>
        <v>4.3438999999999997</v>
      </c>
      <c r="O122" s="11">
        <f>4.3475 * CHOOSE(CONTROL!$C$32, $C$9, 100%, $E$9)</f>
        <v>4.3475000000000001</v>
      </c>
      <c r="P122" s="14"/>
      <c r="Q122" s="14"/>
      <c r="R122" s="14"/>
    </row>
    <row r="123" spans="1:18" ht="15" x14ac:dyDescent="0.2">
      <c r="A123" s="13">
        <v>44593</v>
      </c>
      <c r="B123" s="9">
        <f>3.422 * CHOOSE(CONTROL!$C$32, $C$9, 100%, $E$9)</f>
        <v>3.4220000000000002</v>
      </c>
      <c r="C123" s="9">
        <f>3.422 * CHOOSE(CONTROL!$C$32, $C$9, 100%, $E$9)</f>
        <v>3.4220000000000002</v>
      </c>
      <c r="D123" s="9">
        <f>3.4231 * CHOOSE(CONTROL!$C$32, $C$9, 100%, $E$9)</f>
        <v>3.4230999999999998</v>
      </c>
      <c r="E123" s="11">
        <f>4.3419 * CHOOSE(CONTROL!$C$32, $C$9, 100%, $E$9)</f>
        <v>4.3418999999999999</v>
      </c>
      <c r="F123" s="11">
        <f>4.3419 * CHOOSE(CONTROL!$C$32, $C$9, 100%, $E$9)</f>
        <v>4.3418999999999999</v>
      </c>
      <c r="G123" s="11">
        <f>4.3455 * CHOOSE(CONTROL!$C$32, $C$9, 100%, $E$9)</f>
        <v>4.3455000000000004</v>
      </c>
      <c r="H123" s="11">
        <f>7.2376 * CHOOSE(CONTROL!$C$32, $C$9, 100%, $E$9)</f>
        <v>7.2375999999999996</v>
      </c>
      <c r="I123" s="11">
        <f>7.2412 * CHOOSE(CONTROL!$C$32, $C$9, 100%, $E$9)</f>
        <v>7.2412000000000001</v>
      </c>
      <c r="J123" s="11">
        <f>7.2376 * CHOOSE(CONTROL!$C$32, $C$9, 100%, $E$9)</f>
        <v>7.2375999999999996</v>
      </c>
      <c r="K123" s="11">
        <f>7.2412 * CHOOSE(CONTROL!$C$32, $C$9, 100%, $E$9)</f>
        <v>7.2412000000000001</v>
      </c>
      <c r="L123" s="11">
        <f>4.3419 * CHOOSE(CONTROL!$C$32, $C$9, 100%, $E$9)</f>
        <v>4.3418999999999999</v>
      </c>
      <c r="M123" s="11">
        <f>4.3455 * CHOOSE(CONTROL!$C$32, $C$9, 100%, $E$9)</f>
        <v>4.3455000000000004</v>
      </c>
      <c r="N123" s="11">
        <f>4.3419 * CHOOSE(CONTROL!$C$32, $C$9, 100%, $E$9)</f>
        <v>4.3418999999999999</v>
      </c>
      <c r="O123" s="11">
        <f>4.3455 * CHOOSE(CONTROL!$C$32, $C$9, 100%, $E$9)</f>
        <v>4.3455000000000004</v>
      </c>
      <c r="P123" s="14"/>
      <c r="Q123" s="14"/>
      <c r="R123" s="14"/>
    </row>
    <row r="124" spans="1:18" ht="15" x14ac:dyDescent="0.2">
      <c r="A124" s="13">
        <v>44621</v>
      </c>
      <c r="B124" s="9">
        <f>3.419 * CHOOSE(CONTROL!$C$32, $C$9, 100%, $E$9)</f>
        <v>3.419</v>
      </c>
      <c r="C124" s="9">
        <f>3.419 * CHOOSE(CONTROL!$C$32, $C$9, 100%, $E$9)</f>
        <v>3.419</v>
      </c>
      <c r="D124" s="9">
        <f>3.4201 * CHOOSE(CONTROL!$C$32, $C$9, 100%, $E$9)</f>
        <v>3.4201000000000001</v>
      </c>
      <c r="E124" s="11">
        <f>4.3399 * CHOOSE(CONTROL!$C$32, $C$9, 100%, $E$9)</f>
        <v>4.3399000000000001</v>
      </c>
      <c r="F124" s="11">
        <f>4.3399 * CHOOSE(CONTROL!$C$32, $C$9, 100%, $E$9)</f>
        <v>4.3399000000000001</v>
      </c>
      <c r="G124" s="11">
        <f>4.3435 * CHOOSE(CONTROL!$C$32, $C$9, 100%, $E$9)</f>
        <v>4.3434999999999997</v>
      </c>
      <c r="H124" s="11">
        <f>7.2527 * CHOOSE(CONTROL!$C$32, $C$9, 100%, $E$9)</f>
        <v>7.2526999999999999</v>
      </c>
      <c r="I124" s="11">
        <f>7.2563 * CHOOSE(CONTROL!$C$32, $C$9, 100%, $E$9)</f>
        <v>7.2563000000000004</v>
      </c>
      <c r="J124" s="11">
        <f>7.2527 * CHOOSE(CONTROL!$C$32, $C$9, 100%, $E$9)</f>
        <v>7.2526999999999999</v>
      </c>
      <c r="K124" s="11">
        <f>7.2563 * CHOOSE(CONTROL!$C$32, $C$9, 100%, $E$9)</f>
        <v>7.2563000000000004</v>
      </c>
      <c r="L124" s="11">
        <f>4.3399 * CHOOSE(CONTROL!$C$32, $C$9, 100%, $E$9)</f>
        <v>4.3399000000000001</v>
      </c>
      <c r="M124" s="11">
        <f>4.3435 * CHOOSE(CONTROL!$C$32, $C$9, 100%, $E$9)</f>
        <v>4.3434999999999997</v>
      </c>
      <c r="N124" s="11">
        <f>4.3399 * CHOOSE(CONTROL!$C$32, $C$9, 100%, $E$9)</f>
        <v>4.3399000000000001</v>
      </c>
      <c r="O124" s="11">
        <f>4.3435 * CHOOSE(CONTROL!$C$32, $C$9, 100%, $E$9)</f>
        <v>4.3434999999999997</v>
      </c>
      <c r="P124" s="14"/>
      <c r="Q124" s="14"/>
      <c r="R124" s="14"/>
    </row>
    <row r="125" spans="1:18" ht="15" x14ac:dyDescent="0.2">
      <c r="A125" s="13">
        <v>44652</v>
      </c>
      <c r="B125" s="9">
        <f>3.4161 * CHOOSE(CONTROL!$C$32, $C$9, 100%, $E$9)</f>
        <v>3.4161000000000001</v>
      </c>
      <c r="C125" s="9">
        <f>3.4161 * CHOOSE(CONTROL!$C$32, $C$9, 100%, $E$9)</f>
        <v>3.4161000000000001</v>
      </c>
      <c r="D125" s="9">
        <f>3.4172 * CHOOSE(CONTROL!$C$32, $C$9, 100%, $E$9)</f>
        <v>3.4171999999999998</v>
      </c>
      <c r="E125" s="11">
        <f>4.3376 * CHOOSE(CONTROL!$C$32, $C$9, 100%, $E$9)</f>
        <v>4.3376000000000001</v>
      </c>
      <c r="F125" s="11">
        <f>4.3376 * CHOOSE(CONTROL!$C$32, $C$9, 100%, $E$9)</f>
        <v>4.3376000000000001</v>
      </c>
      <c r="G125" s="11">
        <f>4.3412 * CHOOSE(CONTROL!$C$32, $C$9, 100%, $E$9)</f>
        <v>4.3411999999999997</v>
      </c>
      <c r="H125" s="11">
        <f>7.2678 * CHOOSE(CONTROL!$C$32, $C$9, 100%, $E$9)</f>
        <v>7.2678000000000003</v>
      </c>
      <c r="I125" s="11">
        <f>7.2714 * CHOOSE(CONTROL!$C$32, $C$9, 100%, $E$9)</f>
        <v>7.2713999999999999</v>
      </c>
      <c r="J125" s="11">
        <f>7.2678 * CHOOSE(CONTROL!$C$32, $C$9, 100%, $E$9)</f>
        <v>7.2678000000000003</v>
      </c>
      <c r="K125" s="11">
        <f>7.2714 * CHOOSE(CONTROL!$C$32, $C$9, 100%, $E$9)</f>
        <v>7.2713999999999999</v>
      </c>
      <c r="L125" s="11">
        <f>4.3376 * CHOOSE(CONTROL!$C$32, $C$9, 100%, $E$9)</f>
        <v>4.3376000000000001</v>
      </c>
      <c r="M125" s="11">
        <f>4.3412 * CHOOSE(CONTROL!$C$32, $C$9, 100%, $E$9)</f>
        <v>4.3411999999999997</v>
      </c>
      <c r="N125" s="11">
        <f>4.3376 * CHOOSE(CONTROL!$C$32, $C$9, 100%, $E$9)</f>
        <v>4.3376000000000001</v>
      </c>
      <c r="O125" s="11">
        <f>4.3412 * CHOOSE(CONTROL!$C$32, $C$9, 100%, $E$9)</f>
        <v>4.3411999999999997</v>
      </c>
      <c r="P125" s="14"/>
      <c r="Q125" s="14"/>
      <c r="R125" s="14"/>
    </row>
    <row r="126" spans="1:18" ht="15" x14ac:dyDescent="0.2">
      <c r="A126" s="13">
        <v>44682</v>
      </c>
      <c r="B126" s="9">
        <f>3.4161 * CHOOSE(CONTROL!$C$32, $C$9, 100%, $E$9)</f>
        <v>3.4161000000000001</v>
      </c>
      <c r="C126" s="9">
        <f>3.4161 * CHOOSE(CONTROL!$C$32, $C$9, 100%, $E$9)</f>
        <v>3.4161000000000001</v>
      </c>
      <c r="D126" s="9">
        <f>3.4177 * CHOOSE(CONTROL!$C$32, $C$9, 100%, $E$9)</f>
        <v>3.4177</v>
      </c>
      <c r="E126" s="11">
        <f>4.3376 * CHOOSE(CONTROL!$C$32, $C$9, 100%, $E$9)</f>
        <v>4.3376000000000001</v>
      </c>
      <c r="F126" s="11">
        <f>4.3376 * CHOOSE(CONTROL!$C$32, $C$9, 100%, $E$9)</f>
        <v>4.3376000000000001</v>
      </c>
      <c r="G126" s="11">
        <f>4.3429 * CHOOSE(CONTROL!$C$32, $C$9, 100%, $E$9)</f>
        <v>4.3429000000000002</v>
      </c>
      <c r="H126" s="11">
        <f>7.2829 * CHOOSE(CONTROL!$C$32, $C$9, 100%, $E$9)</f>
        <v>7.2828999999999997</v>
      </c>
      <c r="I126" s="11">
        <f>7.2882 * CHOOSE(CONTROL!$C$32, $C$9, 100%, $E$9)</f>
        <v>7.2881999999999998</v>
      </c>
      <c r="J126" s="11">
        <f>7.2829 * CHOOSE(CONTROL!$C$32, $C$9, 100%, $E$9)</f>
        <v>7.2828999999999997</v>
      </c>
      <c r="K126" s="11">
        <f>7.2882 * CHOOSE(CONTROL!$C$32, $C$9, 100%, $E$9)</f>
        <v>7.2881999999999998</v>
      </c>
      <c r="L126" s="11">
        <f>4.3376 * CHOOSE(CONTROL!$C$32, $C$9, 100%, $E$9)</f>
        <v>4.3376000000000001</v>
      </c>
      <c r="M126" s="11">
        <f>4.3429 * CHOOSE(CONTROL!$C$32, $C$9, 100%, $E$9)</f>
        <v>4.3429000000000002</v>
      </c>
      <c r="N126" s="11">
        <f>4.3376 * CHOOSE(CONTROL!$C$32, $C$9, 100%, $E$9)</f>
        <v>4.3376000000000001</v>
      </c>
      <c r="O126" s="11">
        <f>4.3429 * CHOOSE(CONTROL!$C$32, $C$9, 100%, $E$9)</f>
        <v>4.3429000000000002</v>
      </c>
      <c r="P126" s="14"/>
      <c r="Q126" s="14"/>
      <c r="R126" s="14"/>
    </row>
    <row r="127" spans="1:18" ht="15" x14ac:dyDescent="0.2">
      <c r="A127" s="13">
        <v>44713</v>
      </c>
      <c r="B127" s="9">
        <f>3.4222 * CHOOSE(CONTROL!$C$32, $C$9, 100%, $E$9)</f>
        <v>3.4222000000000001</v>
      </c>
      <c r="C127" s="9">
        <f>3.4222 * CHOOSE(CONTROL!$C$32, $C$9, 100%, $E$9)</f>
        <v>3.4222000000000001</v>
      </c>
      <c r="D127" s="9">
        <f>3.4238 * CHOOSE(CONTROL!$C$32, $C$9, 100%, $E$9)</f>
        <v>3.4238</v>
      </c>
      <c r="E127" s="11">
        <f>4.3416 * CHOOSE(CONTROL!$C$32, $C$9, 100%, $E$9)</f>
        <v>4.3415999999999997</v>
      </c>
      <c r="F127" s="11">
        <f>4.3416 * CHOOSE(CONTROL!$C$32, $C$9, 100%, $E$9)</f>
        <v>4.3415999999999997</v>
      </c>
      <c r="G127" s="11">
        <f>4.3469 * CHOOSE(CONTROL!$C$32, $C$9, 100%, $E$9)</f>
        <v>4.3468999999999998</v>
      </c>
      <c r="H127" s="11">
        <f>7.2981 * CHOOSE(CONTROL!$C$32, $C$9, 100%, $E$9)</f>
        <v>7.2980999999999998</v>
      </c>
      <c r="I127" s="11">
        <f>7.3034 * CHOOSE(CONTROL!$C$32, $C$9, 100%, $E$9)</f>
        <v>7.3033999999999999</v>
      </c>
      <c r="J127" s="11">
        <f>7.2981 * CHOOSE(CONTROL!$C$32, $C$9, 100%, $E$9)</f>
        <v>7.2980999999999998</v>
      </c>
      <c r="K127" s="11">
        <f>7.3034 * CHOOSE(CONTROL!$C$32, $C$9, 100%, $E$9)</f>
        <v>7.3033999999999999</v>
      </c>
      <c r="L127" s="11">
        <f>4.3416 * CHOOSE(CONTROL!$C$32, $C$9, 100%, $E$9)</f>
        <v>4.3415999999999997</v>
      </c>
      <c r="M127" s="11">
        <f>4.3469 * CHOOSE(CONTROL!$C$32, $C$9, 100%, $E$9)</f>
        <v>4.3468999999999998</v>
      </c>
      <c r="N127" s="11">
        <f>4.3416 * CHOOSE(CONTROL!$C$32, $C$9, 100%, $E$9)</f>
        <v>4.3415999999999997</v>
      </c>
      <c r="O127" s="11">
        <f>4.3469 * CHOOSE(CONTROL!$C$32, $C$9, 100%, $E$9)</f>
        <v>4.3468999999999998</v>
      </c>
      <c r="P127" s="14"/>
      <c r="Q127" s="14"/>
      <c r="R127" s="14"/>
    </row>
    <row r="128" spans="1:18" ht="15" x14ac:dyDescent="0.2">
      <c r="A128" s="13">
        <v>44743</v>
      </c>
      <c r="B128" s="9">
        <f>3.4729 * CHOOSE(CONTROL!$C$32, $C$9, 100%, $E$9)</f>
        <v>3.4729000000000001</v>
      </c>
      <c r="C128" s="9">
        <f>3.4729 * CHOOSE(CONTROL!$C$32, $C$9, 100%, $E$9)</f>
        <v>3.4729000000000001</v>
      </c>
      <c r="D128" s="9">
        <f>3.4745 * CHOOSE(CONTROL!$C$32, $C$9, 100%, $E$9)</f>
        <v>3.4744999999999999</v>
      </c>
      <c r="E128" s="11">
        <f>4.4233 * CHOOSE(CONTROL!$C$32, $C$9, 100%, $E$9)</f>
        <v>4.4233000000000002</v>
      </c>
      <c r="F128" s="11">
        <f>4.4233 * CHOOSE(CONTROL!$C$32, $C$9, 100%, $E$9)</f>
        <v>4.4233000000000002</v>
      </c>
      <c r="G128" s="11">
        <f>4.4286 * CHOOSE(CONTROL!$C$32, $C$9, 100%, $E$9)</f>
        <v>4.4286000000000003</v>
      </c>
      <c r="H128" s="11">
        <f>7.3133 * CHOOSE(CONTROL!$C$32, $C$9, 100%, $E$9)</f>
        <v>7.3132999999999999</v>
      </c>
      <c r="I128" s="11">
        <f>7.3186 * CHOOSE(CONTROL!$C$32, $C$9, 100%, $E$9)</f>
        <v>7.3186</v>
      </c>
      <c r="J128" s="11">
        <f>7.3133 * CHOOSE(CONTROL!$C$32, $C$9, 100%, $E$9)</f>
        <v>7.3132999999999999</v>
      </c>
      <c r="K128" s="11">
        <f>7.3186 * CHOOSE(CONTROL!$C$32, $C$9, 100%, $E$9)</f>
        <v>7.3186</v>
      </c>
      <c r="L128" s="11">
        <f>4.4233 * CHOOSE(CONTROL!$C$32, $C$9, 100%, $E$9)</f>
        <v>4.4233000000000002</v>
      </c>
      <c r="M128" s="11">
        <f>4.4286 * CHOOSE(CONTROL!$C$32, $C$9, 100%, $E$9)</f>
        <v>4.4286000000000003</v>
      </c>
      <c r="N128" s="11">
        <f>4.4233 * CHOOSE(CONTROL!$C$32, $C$9, 100%, $E$9)</f>
        <v>4.4233000000000002</v>
      </c>
      <c r="O128" s="11">
        <f>4.4286 * CHOOSE(CONTROL!$C$32, $C$9, 100%, $E$9)</f>
        <v>4.4286000000000003</v>
      </c>
      <c r="P128" s="14"/>
      <c r="Q128" s="14"/>
      <c r="R128" s="14"/>
    </row>
    <row r="129" spans="1:18" ht="15" x14ac:dyDescent="0.2">
      <c r="A129" s="13">
        <v>44774</v>
      </c>
      <c r="B129" s="9">
        <f>3.4796 * CHOOSE(CONTROL!$C$32, $C$9, 100%, $E$9)</f>
        <v>3.4796</v>
      </c>
      <c r="C129" s="9">
        <f>3.4796 * CHOOSE(CONTROL!$C$32, $C$9, 100%, $E$9)</f>
        <v>3.4796</v>
      </c>
      <c r="D129" s="9">
        <f>3.4811 * CHOOSE(CONTROL!$C$32, $C$9, 100%, $E$9)</f>
        <v>3.4811000000000001</v>
      </c>
      <c r="E129" s="11">
        <f>4.4277 * CHOOSE(CONTROL!$C$32, $C$9, 100%, $E$9)</f>
        <v>4.4276999999999997</v>
      </c>
      <c r="F129" s="11">
        <f>4.4277 * CHOOSE(CONTROL!$C$32, $C$9, 100%, $E$9)</f>
        <v>4.4276999999999997</v>
      </c>
      <c r="G129" s="11">
        <f>4.433 * CHOOSE(CONTROL!$C$32, $C$9, 100%, $E$9)</f>
        <v>4.4329999999999998</v>
      </c>
      <c r="H129" s="11">
        <f>7.3285 * CHOOSE(CONTROL!$C$32, $C$9, 100%, $E$9)</f>
        <v>7.3285</v>
      </c>
      <c r="I129" s="11">
        <f>7.3338 * CHOOSE(CONTROL!$C$32, $C$9, 100%, $E$9)</f>
        <v>7.3338000000000001</v>
      </c>
      <c r="J129" s="11">
        <f>7.3285 * CHOOSE(CONTROL!$C$32, $C$9, 100%, $E$9)</f>
        <v>7.3285</v>
      </c>
      <c r="K129" s="11">
        <f>7.3338 * CHOOSE(CONTROL!$C$32, $C$9, 100%, $E$9)</f>
        <v>7.3338000000000001</v>
      </c>
      <c r="L129" s="11">
        <f>4.4277 * CHOOSE(CONTROL!$C$32, $C$9, 100%, $E$9)</f>
        <v>4.4276999999999997</v>
      </c>
      <c r="M129" s="11">
        <f>4.433 * CHOOSE(CONTROL!$C$32, $C$9, 100%, $E$9)</f>
        <v>4.4329999999999998</v>
      </c>
      <c r="N129" s="11">
        <f>4.4277 * CHOOSE(CONTROL!$C$32, $C$9, 100%, $E$9)</f>
        <v>4.4276999999999997</v>
      </c>
      <c r="O129" s="11">
        <f>4.433 * CHOOSE(CONTROL!$C$32, $C$9, 100%, $E$9)</f>
        <v>4.4329999999999998</v>
      </c>
      <c r="P129" s="14"/>
      <c r="Q129" s="14"/>
      <c r="R129" s="14"/>
    </row>
    <row r="130" spans="1:18" ht="15" x14ac:dyDescent="0.2">
      <c r="A130" s="13">
        <v>44805</v>
      </c>
      <c r="B130" s="9">
        <f>3.4765 * CHOOSE(CONTROL!$C$32, $C$9, 100%, $E$9)</f>
        <v>3.4765000000000001</v>
      </c>
      <c r="C130" s="9">
        <f>3.4765 * CHOOSE(CONTROL!$C$32, $C$9, 100%, $E$9)</f>
        <v>3.4765000000000001</v>
      </c>
      <c r="D130" s="9">
        <f>3.4781 * CHOOSE(CONTROL!$C$32, $C$9, 100%, $E$9)</f>
        <v>3.4781</v>
      </c>
      <c r="E130" s="11">
        <f>4.4257 * CHOOSE(CONTROL!$C$32, $C$9, 100%, $E$9)</f>
        <v>4.4257</v>
      </c>
      <c r="F130" s="11">
        <f>4.4257 * CHOOSE(CONTROL!$C$32, $C$9, 100%, $E$9)</f>
        <v>4.4257</v>
      </c>
      <c r="G130" s="11">
        <f>4.431 * CHOOSE(CONTROL!$C$32, $C$9, 100%, $E$9)</f>
        <v>4.431</v>
      </c>
      <c r="H130" s="11">
        <f>7.3438 * CHOOSE(CONTROL!$C$32, $C$9, 100%, $E$9)</f>
        <v>7.3437999999999999</v>
      </c>
      <c r="I130" s="11">
        <f>7.3491 * CHOOSE(CONTROL!$C$32, $C$9, 100%, $E$9)</f>
        <v>7.3491</v>
      </c>
      <c r="J130" s="11">
        <f>7.3438 * CHOOSE(CONTROL!$C$32, $C$9, 100%, $E$9)</f>
        <v>7.3437999999999999</v>
      </c>
      <c r="K130" s="11">
        <f>7.3491 * CHOOSE(CONTROL!$C$32, $C$9, 100%, $E$9)</f>
        <v>7.3491</v>
      </c>
      <c r="L130" s="11">
        <f>4.4257 * CHOOSE(CONTROL!$C$32, $C$9, 100%, $E$9)</f>
        <v>4.4257</v>
      </c>
      <c r="M130" s="11">
        <f>4.431 * CHOOSE(CONTROL!$C$32, $C$9, 100%, $E$9)</f>
        <v>4.431</v>
      </c>
      <c r="N130" s="11">
        <f>4.4257 * CHOOSE(CONTROL!$C$32, $C$9, 100%, $E$9)</f>
        <v>4.4257</v>
      </c>
      <c r="O130" s="11">
        <f>4.431 * CHOOSE(CONTROL!$C$32, $C$9, 100%, $E$9)</f>
        <v>4.431</v>
      </c>
      <c r="P130" s="14"/>
      <c r="Q130" s="14"/>
      <c r="R130" s="14"/>
    </row>
    <row r="131" spans="1:18" ht="15" x14ac:dyDescent="0.2">
      <c r="A131" s="13">
        <v>44835</v>
      </c>
      <c r="B131" s="9">
        <f>3.4698 * CHOOSE(CONTROL!$C$32, $C$9, 100%, $E$9)</f>
        <v>3.4698000000000002</v>
      </c>
      <c r="C131" s="9">
        <f>3.4698 * CHOOSE(CONTROL!$C$32, $C$9, 100%, $E$9)</f>
        <v>3.4698000000000002</v>
      </c>
      <c r="D131" s="9">
        <f>3.4709 * CHOOSE(CONTROL!$C$32, $C$9, 100%, $E$9)</f>
        <v>3.4708999999999999</v>
      </c>
      <c r="E131" s="11">
        <f>4.4195 * CHOOSE(CONTROL!$C$32, $C$9, 100%, $E$9)</f>
        <v>4.4195000000000002</v>
      </c>
      <c r="F131" s="11">
        <f>4.4195 * CHOOSE(CONTROL!$C$32, $C$9, 100%, $E$9)</f>
        <v>4.4195000000000002</v>
      </c>
      <c r="G131" s="11">
        <f>4.4231 * CHOOSE(CONTROL!$C$32, $C$9, 100%, $E$9)</f>
        <v>4.4230999999999998</v>
      </c>
      <c r="H131" s="11">
        <f>7.3591 * CHOOSE(CONTROL!$C$32, $C$9, 100%, $E$9)</f>
        <v>7.3590999999999998</v>
      </c>
      <c r="I131" s="11">
        <f>7.3627 * CHOOSE(CONTROL!$C$32, $C$9, 100%, $E$9)</f>
        <v>7.3627000000000002</v>
      </c>
      <c r="J131" s="11">
        <f>7.3591 * CHOOSE(CONTROL!$C$32, $C$9, 100%, $E$9)</f>
        <v>7.3590999999999998</v>
      </c>
      <c r="K131" s="11">
        <f>7.3627 * CHOOSE(CONTROL!$C$32, $C$9, 100%, $E$9)</f>
        <v>7.3627000000000002</v>
      </c>
      <c r="L131" s="11">
        <f>4.4195 * CHOOSE(CONTROL!$C$32, $C$9, 100%, $E$9)</f>
        <v>4.4195000000000002</v>
      </c>
      <c r="M131" s="11">
        <f>4.4231 * CHOOSE(CONTROL!$C$32, $C$9, 100%, $E$9)</f>
        <v>4.4230999999999998</v>
      </c>
      <c r="N131" s="11">
        <f>4.4195 * CHOOSE(CONTROL!$C$32, $C$9, 100%, $E$9)</f>
        <v>4.4195000000000002</v>
      </c>
      <c r="O131" s="11">
        <f>4.4231 * CHOOSE(CONTROL!$C$32, $C$9, 100%, $E$9)</f>
        <v>4.4230999999999998</v>
      </c>
      <c r="P131" s="14"/>
      <c r="Q131" s="14"/>
      <c r="R131" s="14"/>
    </row>
    <row r="132" spans="1:18" ht="15" x14ac:dyDescent="0.2">
      <c r="A132" s="13">
        <v>44866</v>
      </c>
      <c r="B132" s="9">
        <f>3.4728 * CHOOSE(CONTROL!$C$32, $C$9, 100%, $E$9)</f>
        <v>3.4727999999999999</v>
      </c>
      <c r="C132" s="9">
        <f>3.4728 * CHOOSE(CONTROL!$C$32, $C$9, 100%, $E$9)</f>
        <v>3.4727999999999999</v>
      </c>
      <c r="D132" s="9">
        <f>3.4739 * CHOOSE(CONTROL!$C$32, $C$9, 100%, $E$9)</f>
        <v>3.4739</v>
      </c>
      <c r="E132" s="11">
        <f>4.4215 * CHOOSE(CONTROL!$C$32, $C$9, 100%, $E$9)</f>
        <v>4.4215</v>
      </c>
      <c r="F132" s="11">
        <f>4.4215 * CHOOSE(CONTROL!$C$32, $C$9, 100%, $E$9)</f>
        <v>4.4215</v>
      </c>
      <c r="G132" s="11">
        <f>4.4251 * CHOOSE(CONTROL!$C$32, $C$9, 100%, $E$9)</f>
        <v>4.4250999999999996</v>
      </c>
      <c r="H132" s="11">
        <f>7.3744 * CHOOSE(CONTROL!$C$32, $C$9, 100%, $E$9)</f>
        <v>7.3743999999999996</v>
      </c>
      <c r="I132" s="11">
        <f>7.378 * CHOOSE(CONTROL!$C$32, $C$9, 100%, $E$9)</f>
        <v>7.3780000000000001</v>
      </c>
      <c r="J132" s="11">
        <f>7.3744 * CHOOSE(CONTROL!$C$32, $C$9, 100%, $E$9)</f>
        <v>7.3743999999999996</v>
      </c>
      <c r="K132" s="11">
        <f>7.378 * CHOOSE(CONTROL!$C$32, $C$9, 100%, $E$9)</f>
        <v>7.3780000000000001</v>
      </c>
      <c r="L132" s="11">
        <f>4.4215 * CHOOSE(CONTROL!$C$32, $C$9, 100%, $E$9)</f>
        <v>4.4215</v>
      </c>
      <c r="M132" s="11">
        <f>4.4251 * CHOOSE(CONTROL!$C$32, $C$9, 100%, $E$9)</f>
        <v>4.4250999999999996</v>
      </c>
      <c r="N132" s="11">
        <f>4.4215 * CHOOSE(CONTROL!$C$32, $C$9, 100%, $E$9)</f>
        <v>4.4215</v>
      </c>
      <c r="O132" s="11">
        <f>4.4251 * CHOOSE(CONTROL!$C$32, $C$9, 100%, $E$9)</f>
        <v>4.4250999999999996</v>
      </c>
      <c r="P132" s="14"/>
      <c r="Q132" s="14"/>
      <c r="R132" s="14"/>
    </row>
    <row r="133" spans="1:18" ht="15" x14ac:dyDescent="0.2">
      <c r="A133" s="13">
        <v>44896</v>
      </c>
      <c r="B133" s="9">
        <f>3.4728 * CHOOSE(CONTROL!$C$32, $C$9, 100%, $E$9)</f>
        <v>3.4727999999999999</v>
      </c>
      <c r="C133" s="9">
        <f>3.4728 * CHOOSE(CONTROL!$C$32, $C$9, 100%, $E$9)</f>
        <v>3.4727999999999999</v>
      </c>
      <c r="D133" s="9">
        <f>3.4739 * CHOOSE(CONTROL!$C$32, $C$9, 100%, $E$9)</f>
        <v>3.4739</v>
      </c>
      <c r="E133" s="11">
        <f>4.4215 * CHOOSE(CONTROL!$C$32, $C$9, 100%, $E$9)</f>
        <v>4.4215</v>
      </c>
      <c r="F133" s="11">
        <f>4.4215 * CHOOSE(CONTROL!$C$32, $C$9, 100%, $E$9)</f>
        <v>4.4215</v>
      </c>
      <c r="G133" s="11">
        <f>4.4251 * CHOOSE(CONTROL!$C$32, $C$9, 100%, $E$9)</f>
        <v>4.4250999999999996</v>
      </c>
      <c r="H133" s="11">
        <f>7.3898 * CHOOSE(CONTROL!$C$32, $C$9, 100%, $E$9)</f>
        <v>7.3898000000000001</v>
      </c>
      <c r="I133" s="11">
        <f>7.3934 * CHOOSE(CONTROL!$C$32, $C$9, 100%, $E$9)</f>
        <v>7.3933999999999997</v>
      </c>
      <c r="J133" s="11">
        <f>7.3898 * CHOOSE(CONTROL!$C$32, $C$9, 100%, $E$9)</f>
        <v>7.3898000000000001</v>
      </c>
      <c r="K133" s="11">
        <f>7.3934 * CHOOSE(CONTROL!$C$32, $C$9, 100%, $E$9)</f>
        <v>7.3933999999999997</v>
      </c>
      <c r="L133" s="11">
        <f>4.4215 * CHOOSE(CONTROL!$C$32, $C$9, 100%, $E$9)</f>
        <v>4.4215</v>
      </c>
      <c r="M133" s="11">
        <f>4.4251 * CHOOSE(CONTROL!$C$32, $C$9, 100%, $E$9)</f>
        <v>4.4250999999999996</v>
      </c>
      <c r="N133" s="11">
        <f>4.4215 * CHOOSE(CONTROL!$C$32, $C$9, 100%, $E$9)</f>
        <v>4.4215</v>
      </c>
      <c r="O133" s="11">
        <f>4.4251 * CHOOSE(CONTROL!$C$32, $C$9, 100%, $E$9)</f>
        <v>4.4250999999999996</v>
      </c>
      <c r="P133" s="14"/>
      <c r="Q133" s="14"/>
      <c r="R133" s="14"/>
    </row>
    <row r="134" spans="1:18" ht="15" x14ac:dyDescent="0.2">
      <c r="A134" s="13">
        <v>44927</v>
      </c>
      <c r="B134" s="9">
        <f>3.5089 * CHOOSE(CONTROL!$C$32, $C$9, 100%, $E$9)</f>
        <v>3.5089000000000001</v>
      </c>
      <c r="C134" s="9">
        <f>3.5089 * CHOOSE(CONTROL!$C$32, $C$9, 100%, $E$9)</f>
        <v>3.5089000000000001</v>
      </c>
      <c r="D134" s="9">
        <f>3.5099 * CHOOSE(CONTROL!$C$32, $C$9, 100%, $E$9)</f>
        <v>3.5099</v>
      </c>
      <c r="E134" s="11">
        <f>4.4558 * CHOOSE(CONTROL!$C$32, $C$9, 100%, $E$9)</f>
        <v>4.4558</v>
      </c>
      <c r="F134" s="11">
        <f>4.4558 * CHOOSE(CONTROL!$C$32, $C$9, 100%, $E$9)</f>
        <v>4.4558</v>
      </c>
      <c r="G134" s="11">
        <f>4.4594 * CHOOSE(CONTROL!$C$32, $C$9, 100%, $E$9)</f>
        <v>4.4593999999999996</v>
      </c>
      <c r="H134" s="11">
        <f>7.4052 * CHOOSE(CONTROL!$C$32, $C$9, 100%, $E$9)</f>
        <v>7.4051999999999998</v>
      </c>
      <c r="I134" s="11">
        <f>7.4088 * CHOOSE(CONTROL!$C$32, $C$9, 100%, $E$9)</f>
        <v>7.4088000000000003</v>
      </c>
      <c r="J134" s="11">
        <f>7.4052 * CHOOSE(CONTROL!$C$32, $C$9, 100%, $E$9)</f>
        <v>7.4051999999999998</v>
      </c>
      <c r="K134" s="11">
        <f>7.4088 * CHOOSE(CONTROL!$C$32, $C$9, 100%, $E$9)</f>
        <v>7.4088000000000003</v>
      </c>
      <c r="L134" s="11">
        <f>4.4558 * CHOOSE(CONTROL!$C$32, $C$9, 100%, $E$9)</f>
        <v>4.4558</v>
      </c>
      <c r="M134" s="11">
        <f>4.4594 * CHOOSE(CONTROL!$C$32, $C$9, 100%, $E$9)</f>
        <v>4.4593999999999996</v>
      </c>
      <c r="N134" s="11">
        <f>4.4558 * CHOOSE(CONTROL!$C$32, $C$9, 100%, $E$9)</f>
        <v>4.4558</v>
      </c>
      <c r="O134" s="11">
        <f>4.4594 * CHOOSE(CONTROL!$C$32, $C$9, 100%, $E$9)</f>
        <v>4.4593999999999996</v>
      </c>
      <c r="P134" s="14"/>
      <c r="Q134" s="14"/>
      <c r="R134" s="14"/>
    </row>
    <row r="135" spans="1:18" ht="15" x14ac:dyDescent="0.2">
      <c r="A135" s="13">
        <v>44958</v>
      </c>
      <c r="B135" s="9">
        <f>3.5058 * CHOOSE(CONTROL!$C$32, $C$9, 100%, $E$9)</f>
        <v>3.5057999999999998</v>
      </c>
      <c r="C135" s="9">
        <f>3.5058 * CHOOSE(CONTROL!$C$32, $C$9, 100%, $E$9)</f>
        <v>3.5057999999999998</v>
      </c>
      <c r="D135" s="9">
        <f>3.5069 * CHOOSE(CONTROL!$C$32, $C$9, 100%, $E$9)</f>
        <v>3.5068999999999999</v>
      </c>
      <c r="E135" s="11">
        <f>4.4538 * CHOOSE(CONTROL!$C$32, $C$9, 100%, $E$9)</f>
        <v>4.4538000000000002</v>
      </c>
      <c r="F135" s="11">
        <f>4.4538 * CHOOSE(CONTROL!$C$32, $C$9, 100%, $E$9)</f>
        <v>4.4538000000000002</v>
      </c>
      <c r="G135" s="11">
        <f>4.4574 * CHOOSE(CONTROL!$C$32, $C$9, 100%, $E$9)</f>
        <v>4.4573999999999998</v>
      </c>
      <c r="H135" s="11">
        <f>7.4206 * CHOOSE(CONTROL!$C$32, $C$9, 100%, $E$9)</f>
        <v>7.4206000000000003</v>
      </c>
      <c r="I135" s="11">
        <f>7.4242 * CHOOSE(CONTROL!$C$32, $C$9, 100%, $E$9)</f>
        <v>7.4241999999999999</v>
      </c>
      <c r="J135" s="11">
        <f>7.4206 * CHOOSE(CONTROL!$C$32, $C$9, 100%, $E$9)</f>
        <v>7.4206000000000003</v>
      </c>
      <c r="K135" s="11">
        <f>7.4242 * CHOOSE(CONTROL!$C$32, $C$9, 100%, $E$9)</f>
        <v>7.4241999999999999</v>
      </c>
      <c r="L135" s="11">
        <f>4.4538 * CHOOSE(CONTROL!$C$32, $C$9, 100%, $E$9)</f>
        <v>4.4538000000000002</v>
      </c>
      <c r="M135" s="11">
        <f>4.4574 * CHOOSE(CONTROL!$C$32, $C$9, 100%, $E$9)</f>
        <v>4.4573999999999998</v>
      </c>
      <c r="N135" s="11">
        <f>4.4538 * CHOOSE(CONTROL!$C$32, $C$9, 100%, $E$9)</f>
        <v>4.4538000000000002</v>
      </c>
      <c r="O135" s="11">
        <f>4.4574 * CHOOSE(CONTROL!$C$32, $C$9, 100%, $E$9)</f>
        <v>4.4573999999999998</v>
      </c>
      <c r="P135" s="14"/>
      <c r="Q135" s="14"/>
      <c r="R135" s="14"/>
    </row>
    <row r="136" spans="1:18" ht="15" x14ac:dyDescent="0.2">
      <c r="A136" s="13">
        <v>44986</v>
      </c>
      <c r="B136" s="9">
        <f>3.5028 * CHOOSE(CONTROL!$C$32, $C$9, 100%, $E$9)</f>
        <v>3.5028000000000001</v>
      </c>
      <c r="C136" s="9">
        <f>3.5028 * CHOOSE(CONTROL!$C$32, $C$9, 100%, $E$9)</f>
        <v>3.5028000000000001</v>
      </c>
      <c r="D136" s="9">
        <f>3.5039 * CHOOSE(CONTROL!$C$32, $C$9, 100%, $E$9)</f>
        <v>3.5038999999999998</v>
      </c>
      <c r="E136" s="11">
        <f>4.4518 * CHOOSE(CONTROL!$C$32, $C$9, 100%, $E$9)</f>
        <v>4.4518000000000004</v>
      </c>
      <c r="F136" s="11">
        <f>4.4518 * CHOOSE(CONTROL!$C$32, $C$9, 100%, $E$9)</f>
        <v>4.4518000000000004</v>
      </c>
      <c r="G136" s="11">
        <f>4.4554 * CHOOSE(CONTROL!$C$32, $C$9, 100%, $E$9)</f>
        <v>4.4554</v>
      </c>
      <c r="H136" s="11">
        <f>7.4361 * CHOOSE(CONTROL!$C$32, $C$9, 100%, $E$9)</f>
        <v>7.4360999999999997</v>
      </c>
      <c r="I136" s="11">
        <f>7.4397 * CHOOSE(CONTROL!$C$32, $C$9, 100%, $E$9)</f>
        <v>7.4397000000000002</v>
      </c>
      <c r="J136" s="11">
        <f>7.4361 * CHOOSE(CONTROL!$C$32, $C$9, 100%, $E$9)</f>
        <v>7.4360999999999997</v>
      </c>
      <c r="K136" s="11">
        <f>7.4397 * CHOOSE(CONTROL!$C$32, $C$9, 100%, $E$9)</f>
        <v>7.4397000000000002</v>
      </c>
      <c r="L136" s="11">
        <f>4.4518 * CHOOSE(CONTROL!$C$32, $C$9, 100%, $E$9)</f>
        <v>4.4518000000000004</v>
      </c>
      <c r="M136" s="11">
        <f>4.4554 * CHOOSE(CONTROL!$C$32, $C$9, 100%, $E$9)</f>
        <v>4.4554</v>
      </c>
      <c r="N136" s="11">
        <f>4.4518 * CHOOSE(CONTROL!$C$32, $C$9, 100%, $E$9)</f>
        <v>4.4518000000000004</v>
      </c>
      <c r="O136" s="11">
        <f>4.4554 * CHOOSE(CONTROL!$C$32, $C$9, 100%, $E$9)</f>
        <v>4.4554</v>
      </c>
      <c r="P136" s="14"/>
      <c r="Q136" s="14"/>
      <c r="R136" s="14"/>
    </row>
    <row r="137" spans="1:18" ht="15" x14ac:dyDescent="0.2">
      <c r="A137" s="13">
        <v>45017</v>
      </c>
      <c r="B137" s="9">
        <f>3.5 * CHOOSE(CONTROL!$C$32, $C$9, 100%, $E$9)</f>
        <v>3.5</v>
      </c>
      <c r="C137" s="9">
        <f>3.5 * CHOOSE(CONTROL!$C$32, $C$9, 100%, $E$9)</f>
        <v>3.5</v>
      </c>
      <c r="D137" s="9">
        <f>3.5011 * CHOOSE(CONTROL!$C$32, $C$9, 100%, $E$9)</f>
        <v>3.5011000000000001</v>
      </c>
      <c r="E137" s="11">
        <f>4.4495 * CHOOSE(CONTROL!$C$32, $C$9, 100%, $E$9)</f>
        <v>4.4494999999999996</v>
      </c>
      <c r="F137" s="11">
        <f>4.4495 * CHOOSE(CONTROL!$C$32, $C$9, 100%, $E$9)</f>
        <v>4.4494999999999996</v>
      </c>
      <c r="G137" s="11">
        <f>4.4531 * CHOOSE(CONTROL!$C$32, $C$9, 100%, $E$9)</f>
        <v>4.4531000000000001</v>
      </c>
      <c r="H137" s="11">
        <f>7.4516 * CHOOSE(CONTROL!$C$32, $C$9, 100%, $E$9)</f>
        <v>7.4516</v>
      </c>
      <c r="I137" s="11">
        <f>7.4552 * CHOOSE(CONTROL!$C$32, $C$9, 100%, $E$9)</f>
        <v>7.4551999999999996</v>
      </c>
      <c r="J137" s="11">
        <f>7.4516 * CHOOSE(CONTROL!$C$32, $C$9, 100%, $E$9)</f>
        <v>7.4516</v>
      </c>
      <c r="K137" s="11">
        <f>7.4552 * CHOOSE(CONTROL!$C$32, $C$9, 100%, $E$9)</f>
        <v>7.4551999999999996</v>
      </c>
      <c r="L137" s="11">
        <f>4.4495 * CHOOSE(CONTROL!$C$32, $C$9, 100%, $E$9)</f>
        <v>4.4494999999999996</v>
      </c>
      <c r="M137" s="11">
        <f>4.4531 * CHOOSE(CONTROL!$C$32, $C$9, 100%, $E$9)</f>
        <v>4.4531000000000001</v>
      </c>
      <c r="N137" s="11">
        <f>4.4495 * CHOOSE(CONTROL!$C$32, $C$9, 100%, $E$9)</f>
        <v>4.4494999999999996</v>
      </c>
      <c r="O137" s="11">
        <f>4.4531 * CHOOSE(CONTROL!$C$32, $C$9, 100%, $E$9)</f>
        <v>4.4531000000000001</v>
      </c>
      <c r="P137" s="14"/>
      <c r="Q137" s="14"/>
      <c r="R137" s="14"/>
    </row>
    <row r="138" spans="1:18" ht="15" x14ac:dyDescent="0.2">
      <c r="A138" s="13">
        <v>45047</v>
      </c>
      <c r="B138" s="9">
        <f>3.5 * CHOOSE(CONTROL!$C$32, $C$9, 100%, $E$9)</f>
        <v>3.5</v>
      </c>
      <c r="C138" s="9">
        <f>3.5 * CHOOSE(CONTROL!$C$32, $C$9, 100%, $E$9)</f>
        <v>3.5</v>
      </c>
      <c r="D138" s="9">
        <f>3.5016 * CHOOSE(CONTROL!$C$32, $C$9, 100%, $E$9)</f>
        <v>3.5015999999999998</v>
      </c>
      <c r="E138" s="11">
        <f>4.4495 * CHOOSE(CONTROL!$C$32, $C$9, 100%, $E$9)</f>
        <v>4.4494999999999996</v>
      </c>
      <c r="F138" s="11">
        <f>4.4495 * CHOOSE(CONTROL!$C$32, $C$9, 100%, $E$9)</f>
        <v>4.4494999999999996</v>
      </c>
      <c r="G138" s="11">
        <f>4.4548 * CHOOSE(CONTROL!$C$32, $C$9, 100%, $E$9)</f>
        <v>4.4547999999999996</v>
      </c>
      <c r="H138" s="11">
        <f>7.4671 * CHOOSE(CONTROL!$C$32, $C$9, 100%, $E$9)</f>
        <v>7.4671000000000003</v>
      </c>
      <c r="I138" s="11">
        <f>7.4724 * CHOOSE(CONTROL!$C$32, $C$9, 100%, $E$9)</f>
        <v>7.4724000000000004</v>
      </c>
      <c r="J138" s="11">
        <f>7.4671 * CHOOSE(CONTROL!$C$32, $C$9, 100%, $E$9)</f>
        <v>7.4671000000000003</v>
      </c>
      <c r="K138" s="11">
        <f>7.4724 * CHOOSE(CONTROL!$C$32, $C$9, 100%, $E$9)</f>
        <v>7.4724000000000004</v>
      </c>
      <c r="L138" s="11">
        <f>4.4495 * CHOOSE(CONTROL!$C$32, $C$9, 100%, $E$9)</f>
        <v>4.4494999999999996</v>
      </c>
      <c r="M138" s="11">
        <f>4.4548 * CHOOSE(CONTROL!$C$32, $C$9, 100%, $E$9)</f>
        <v>4.4547999999999996</v>
      </c>
      <c r="N138" s="11">
        <f>4.4495 * CHOOSE(CONTROL!$C$32, $C$9, 100%, $E$9)</f>
        <v>4.4494999999999996</v>
      </c>
      <c r="O138" s="11">
        <f>4.4548 * CHOOSE(CONTROL!$C$32, $C$9, 100%, $E$9)</f>
        <v>4.4547999999999996</v>
      </c>
      <c r="P138" s="14"/>
      <c r="Q138" s="14"/>
      <c r="R138" s="14"/>
    </row>
    <row r="139" spans="1:18" ht="15" x14ac:dyDescent="0.2">
      <c r="A139" s="13">
        <v>45078</v>
      </c>
      <c r="B139" s="9">
        <f>3.5061 * CHOOSE(CONTROL!$C$32, $C$9, 100%, $E$9)</f>
        <v>3.5061</v>
      </c>
      <c r="C139" s="9">
        <f>3.5061 * CHOOSE(CONTROL!$C$32, $C$9, 100%, $E$9)</f>
        <v>3.5061</v>
      </c>
      <c r="D139" s="9">
        <f>3.5077 * CHOOSE(CONTROL!$C$32, $C$9, 100%, $E$9)</f>
        <v>3.5076999999999998</v>
      </c>
      <c r="E139" s="11">
        <f>4.4535 * CHOOSE(CONTROL!$C$32, $C$9, 100%, $E$9)</f>
        <v>4.4535</v>
      </c>
      <c r="F139" s="11">
        <f>4.4535 * CHOOSE(CONTROL!$C$32, $C$9, 100%, $E$9)</f>
        <v>4.4535</v>
      </c>
      <c r="G139" s="11">
        <f>4.4588 * CHOOSE(CONTROL!$C$32, $C$9, 100%, $E$9)</f>
        <v>4.4588000000000001</v>
      </c>
      <c r="H139" s="11">
        <f>7.4826 * CHOOSE(CONTROL!$C$32, $C$9, 100%, $E$9)</f>
        <v>7.4825999999999997</v>
      </c>
      <c r="I139" s="11">
        <f>7.4879 * CHOOSE(CONTROL!$C$32, $C$9, 100%, $E$9)</f>
        <v>7.4878999999999998</v>
      </c>
      <c r="J139" s="11">
        <f>7.4826 * CHOOSE(CONTROL!$C$32, $C$9, 100%, $E$9)</f>
        <v>7.4825999999999997</v>
      </c>
      <c r="K139" s="11">
        <f>7.4879 * CHOOSE(CONTROL!$C$32, $C$9, 100%, $E$9)</f>
        <v>7.4878999999999998</v>
      </c>
      <c r="L139" s="11">
        <f>4.4535 * CHOOSE(CONTROL!$C$32, $C$9, 100%, $E$9)</f>
        <v>4.4535</v>
      </c>
      <c r="M139" s="11">
        <f>4.4588 * CHOOSE(CONTROL!$C$32, $C$9, 100%, $E$9)</f>
        <v>4.4588000000000001</v>
      </c>
      <c r="N139" s="11">
        <f>4.4535 * CHOOSE(CONTROL!$C$32, $C$9, 100%, $E$9)</f>
        <v>4.4535</v>
      </c>
      <c r="O139" s="11">
        <f>4.4588 * CHOOSE(CONTROL!$C$32, $C$9, 100%, $E$9)</f>
        <v>4.4588000000000001</v>
      </c>
      <c r="P139" s="14"/>
      <c r="Q139" s="14"/>
      <c r="R139" s="14"/>
    </row>
    <row r="140" spans="1:18" ht="15" x14ac:dyDescent="0.2">
      <c r="A140" s="13">
        <v>45108</v>
      </c>
      <c r="B140" s="9">
        <f>3.5764 * CHOOSE(CONTROL!$C$32, $C$9, 100%, $E$9)</f>
        <v>3.5764</v>
      </c>
      <c r="C140" s="9">
        <f>3.5764 * CHOOSE(CONTROL!$C$32, $C$9, 100%, $E$9)</f>
        <v>3.5764</v>
      </c>
      <c r="D140" s="9">
        <f>3.578 * CHOOSE(CONTROL!$C$32, $C$9, 100%, $E$9)</f>
        <v>3.5779999999999998</v>
      </c>
      <c r="E140" s="11">
        <f>4.5283 * CHOOSE(CONTROL!$C$32, $C$9, 100%, $E$9)</f>
        <v>4.5282999999999998</v>
      </c>
      <c r="F140" s="11">
        <f>4.5283 * CHOOSE(CONTROL!$C$32, $C$9, 100%, $E$9)</f>
        <v>4.5282999999999998</v>
      </c>
      <c r="G140" s="11">
        <f>4.5336 * CHOOSE(CONTROL!$C$32, $C$9, 100%, $E$9)</f>
        <v>4.5335999999999999</v>
      </c>
      <c r="H140" s="11">
        <f>7.4982 * CHOOSE(CONTROL!$C$32, $C$9, 100%, $E$9)</f>
        <v>7.4981999999999998</v>
      </c>
      <c r="I140" s="11">
        <f>7.5035 * CHOOSE(CONTROL!$C$32, $C$9, 100%, $E$9)</f>
        <v>7.5034999999999998</v>
      </c>
      <c r="J140" s="11">
        <f>7.4982 * CHOOSE(CONTROL!$C$32, $C$9, 100%, $E$9)</f>
        <v>7.4981999999999998</v>
      </c>
      <c r="K140" s="11">
        <f>7.5035 * CHOOSE(CONTROL!$C$32, $C$9, 100%, $E$9)</f>
        <v>7.5034999999999998</v>
      </c>
      <c r="L140" s="11">
        <f>4.5283 * CHOOSE(CONTROL!$C$32, $C$9, 100%, $E$9)</f>
        <v>4.5282999999999998</v>
      </c>
      <c r="M140" s="11">
        <f>4.5336 * CHOOSE(CONTROL!$C$32, $C$9, 100%, $E$9)</f>
        <v>4.5335999999999999</v>
      </c>
      <c r="N140" s="11">
        <f>4.5283 * CHOOSE(CONTROL!$C$32, $C$9, 100%, $E$9)</f>
        <v>4.5282999999999998</v>
      </c>
      <c r="O140" s="11">
        <f>4.5336 * CHOOSE(CONTROL!$C$32, $C$9, 100%, $E$9)</f>
        <v>4.5335999999999999</v>
      </c>
      <c r="P140" s="14"/>
      <c r="Q140" s="14"/>
      <c r="R140" s="14"/>
    </row>
    <row r="141" spans="1:18" ht="15" x14ac:dyDescent="0.2">
      <c r="A141" s="13">
        <v>45139</v>
      </c>
      <c r="B141" s="9">
        <f>3.5831 * CHOOSE(CONTROL!$C$32, $C$9, 100%, $E$9)</f>
        <v>3.5831</v>
      </c>
      <c r="C141" s="9">
        <f>3.5831 * CHOOSE(CONTROL!$C$32, $C$9, 100%, $E$9)</f>
        <v>3.5831</v>
      </c>
      <c r="D141" s="9">
        <f>3.5846 * CHOOSE(CONTROL!$C$32, $C$9, 100%, $E$9)</f>
        <v>3.5846</v>
      </c>
      <c r="E141" s="11">
        <f>4.5327 * CHOOSE(CONTROL!$C$32, $C$9, 100%, $E$9)</f>
        <v>4.5327000000000002</v>
      </c>
      <c r="F141" s="11">
        <f>4.5327 * CHOOSE(CONTROL!$C$32, $C$9, 100%, $E$9)</f>
        <v>4.5327000000000002</v>
      </c>
      <c r="G141" s="11">
        <f>4.538 * CHOOSE(CONTROL!$C$32, $C$9, 100%, $E$9)</f>
        <v>4.5380000000000003</v>
      </c>
      <c r="H141" s="11">
        <f>7.5138 * CHOOSE(CONTROL!$C$32, $C$9, 100%, $E$9)</f>
        <v>7.5137999999999998</v>
      </c>
      <c r="I141" s="11">
        <f>7.5191 * CHOOSE(CONTROL!$C$32, $C$9, 100%, $E$9)</f>
        <v>7.5190999999999999</v>
      </c>
      <c r="J141" s="11">
        <f>7.5138 * CHOOSE(CONTROL!$C$32, $C$9, 100%, $E$9)</f>
        <v>7.5137999999999998</v>
      </c>
      <c r="K141" s="11">
        <f>7.5191 * CHOOSE(CONTROL!$C$32, $C$9, 100%, $E$9)</f>
        <v>7.5190999999999999</v>
      </c>
      <c r="L141" s="11">
        <f>4.5327 * CHOOSE(CONTROL!$C$32, $C$9, 100%, $E$9)</f>
        <v>4.5327000000000002</v>
      </c>
      <c r="M141" s="11">
        <f>4.538 * CHOOSE(CONTROL!$C$32, $C$9, 100%, $E$9)</f>
        <v>4.5380000000000003</v>
      </c>
      <c r="N141" s="11">
        <f>4.5327 * CHOOSE(CONTROL!$C$32, $C$9, 100%, $E$9)</f>
        <v>4.5327000000000002</v>
      </c>
      <c r="O141" s="11">
        <f>4.538 * CHOOSE(CONTROL!$C$32, $C$9, 100%, $E$9)</f>
        <v>4.5380000000000003</v>
      </c>
      <c r="P141" s="14"/>
      <c r="Q141" s="14"/>
      <c r="R141" s="14"/>
    </row>
    <row r="142" spans="1:18" ht="15" x14ac:dyDescent="0.2">
      <c r="A142" s="13">
        <v>45170</v>
      </c>
      <c r="B142" s="9">
        <f>3.58 * CHOOSE(CONTROL!$C$32, $C$9, 100%, $E$9)</f>
        <v>3.58</v>
      </c>
      <c r="C142" s="9">
        <f>3.58 * CHOOSE(CONTROL!$C$32, $C$9, 100%, $E$9)</f>
        <v>3.58</v>
      </c>
      <c r="D142" s="9">
        <f>3.5816 * CHOOSE(CONTROL!$C$32, $C$9, 100%, $E$9)</f>
        <v>3.5815999999999999</v>
      </c>
      <c r="E142" s="11">
        <f>4.5307 * CHOOSE(CONTROL!$C$32, $C$9, 100%, $E$9)</f>
        <v>4.5307000000000004</v>
      </c>
      <c r="F142" s="11">
        <f>4.5307 * CHOOSE(CONTROL!$C$32, $C$9, 100%, $E$9)</f>
        <v>4.5307000000000004</v>
      </c>
      <c r="G142" s="11">
        <f>4.536 * CHOOSE(CONTROL!$C$32, $C$9, 100%, $E$9)</f>
        <v>4.5359999999999996</v>
      </c>
      <c r="H142" s="11">
        <f>7.5295 * CHOOSE(CONTROL!$C$32, $C$9, 100%, $E$9)</f>
        <v>7.5294999999999996</v>
      </c>
      <c r="I142" s="11">
        <f>7.5348 * CHOOSE(CONTROL!$C$32, $C$9, 100%, $E$9)</f>
        <v>7.5347999999999997</v>
      </c>
      <c r="J142" s="11">
        <f>7.5295 * CHOOSE(CONTROL!$C$32, $C$9, 100%, $E$9)</f>
        <v>7.5294999999999996</v>
      </c>
      <c r="K142" s="11">
        <f>7.5348 * CHOOSE(CONTROL!$C$32, $C$9, 100%, $E$9)</f>
        <v>7.5347999999999997</v>
      </c>
      <c r="L142" s="11">
        <f>4.5307 * CHOOSE(CONTROL!$C$32, $C$9, 100%, $E$9)</f>
        <v>4.5307000000000004</v>
      </c>
      <c r="M142" s="11">
        <f>4.536 * CHOOSE(CONTROL!$C$32, $C$9, 100%, $E$9)</f>
        <v>4.5359999999999996</v>
      </c>
      <c r="N142" s="11">
        <f>4.5307 * CHOOSE(CONTROL!$C$32, $C$9, 100%, $E$9)</f>
        <v>4.5307000000000004</v>
      </c>
      <c r="O142" s="11">
        <f>4.536 * CHOOSE(CONTROL!$C$32, $C$9, 100%, $E$9)</f>
        <v>4.5359999999999996</v>
      </c>
      <c r="P142" s="14"/>
      <c r="Q142" s="14"/>
      <c r="R142" s="14"/>
    </row>
    <row r="143" spans="1:18" ht="15" x14ac:dyDescent="0.2">
      <c r="A143" s="13">
        <v>45200</v>
      </c>
      <c r="B143" s="9">
        <f>3.5736 * CHOOSE(CONTROL!$C$32, $C$9, 100%, $E$9)</f>
        <v>3.5735999999999999</v>
      </c>
      <c r="C143" s="9">
        <f>3.5736 * CHOOSE(CONTROL!$C$32, $C$9, 100%, $E$9)</f>
        <v>3.5735999999999999</v>
      </c>
      <c r="D143" s="9">
        <f>3.5747 * CHOOSE(CONTROL!$C$32, $C$9, 100%, $E$9)</f>
        <v>3.5747</v>
      </c>
      <c r="E143" s="11">
        <f>4.5247 * CHOOSE(CONTROL!$C$32, $C$9, 100%, $E$9)</f>
        <v>4.5247000000000002</v>
      </c>
      <c r="F143" s="11">
        <f>4.5247 * CHOOSE(CONTROL!$C$32, $C$9, 100%, $E$9)</f>
        <v>4.5247000000000002</v>
      </c>
      <c r="G143" s="11">
        <f>4.5283 * CHOOSE(CONTROL!$C$32, $C$9, 100%, $E$9)</f>
        <v>4.5282999999999998</v>
      </c>
      <c r="H143" s="11">
        <f>7.5452 * CHOOSE(CONTROL!$C$32, $C$9, 100%, $E$9)</f>
        <v>7.5452000000000004</v>
      </c>
      <c r="I143" s="11">
        <f>7.5488 * CHOOSE(CONTROL!$C$32, $C$9, 100%, $E$9)</f>
        <v>7.5488</v>
      </c>
      <c r="J143" s="11">
        <f>7.5452 * CHOOSE(CONTROL!$C$32, $C$9, 100%, $E$9)</f>
        <v>7.5452000000000004</v>
      </c>
      <c r="K143" s="11">
        <f>7.5488 * CHOOSE(CONTROL!$C$32, $C$9, 100%, $E$9)</f>
        <v>7.5488</v>
      </c>
      <c r="L143" s="11">
        <f>4.5247 * CHOOSE(CONTROL!$C$32, $C$9, 100%, $E$9)</f>
        <v>4.5247000000000002</v>
      </c>
      <c r="M143" s="11">
        <f>4.5283 * CHOOSE(CONTROL!$C$32, $C$9, 100%, $E$9)</f>
        <v>4.5282999999999998</v>
      </c>
      <c r="N143" s="11">
        <f>4.5247 * CHOOSE(CONTROL!$C$32, $C$9, 100%, $E$9)</f>
        <v>4.5247000000000002</v>
      </c>
      <c r="O143" s="11">
        <f>4.5283 * CHOOSE(CONTROL!$C$32, $C$9, 100%, $E$9)</f>
        <v>4.5282999999999998</v>
      </c>
      <c r="P143" s="14"/>
      <c r="Q143" s="14"/>
      <c r="R143" s="14"/>
    </row>
    <row r="144" spans="1:18" ht="15" x14ac:dyDescent="0.2">
      <c r="A144" s="13">
        <v>45231</v>
      </c>
      <c r="B144" s="9">
        <f>3.5766 * CHOOSE(CONTROL!$C$32, $C$9, 100%, $E$9)</f>
        <v>3.5766</v>
      </c>
      <c r="C144" s="9">
        <f>3.5766 * CHOOSE(CONTROL!$C$32, $C$9, 100%, $E$9)</f>
        <v>3.5766</v>
      </c>
      <c r="D144" s="9">
        <f>3.5777 * CHOOSE(CONTROL!$C$32, $C$9, 100%, $E$9)</f>
        <v>3.5777000000000001</v>
      </c>
      <c r="E144" s="11">
        <f>4.5267 * CHOOSE(CONTROL!$C$32, $C$9, 100%, $E$9)</f>
        <v>4.5266999999999999</v>
      </c>
      <c r="F144" s="11">
        <f>4.5267 * CHOOSE(CONTROL!$C$32, $C$9, 100%, $E$9)</f>
        <v>4.5266999999999999</v>
      </c>
      <c r="G144" s="11">
        <f>4.5303 * CHOOSE(CONTROL!$C$32, $C$9, 100%, $E$9)</f>
        <v>4.5303000000000004</v>
      </c>
      <c r="H144" s="11">
        <f>7.5609 * CHOOSE(CONTROL!$C$32, $C$9, 100%, $E$9)</f>
        <v>7.5609000000000002</v>
      </c>
      <c r="I144" s="11">
        <f>7.5645 * CHOOSE(CONTROL!$C$32, $C$9, 100%, $E$9)</f>
        <v>7.5644999999999998</v>
      </c>
      <c r="J144" s="11">
        <f>7.5609 * CHOOSE(CONTROL!$C$32, $C$9, 100%, $E$9)</f>
        <v>7.5609000000000002</v>
      </c>
      <c r="K144" s="11">
        <f>7.5645 * CHOOSE(CONTROL!$C$32, $C$9, 100%, $E$9)</f>
        <v>7.5644999999999998</v>
      </c>
      <c r="L144" s="11">
        <f>4.5267 * CHOOSE(CONTROL!$C$32, $C$9, 100%, $E$9)</f>
        <v>4.5266999999999999</v>
      </c>
      <c r="M144" s="11">
        <f>4.5303 * CHOOSE(CONTROL!$C$32, $C$9, 100%, $E$9)</f>
        <v>4.5303000000000004</v>
      </c>
      <c r="N144" s="11">
        <f>4.5267 * CHOOSE(CONTROL!$C$32, $C$9, 100%, $E$9)</f>
        <v>4.5266999999999999</v>
      </c>
      <c r="O144" s="11">
        <f>4.5303 * CHOOSE(CONTROL!$C$32, $C$9, 100%, $E$9)</f>
        <v>4.5303000000000004</v>
      </c>
      <c r="P144" s="14"/>
      <c r="Q144" s="14"/>
      <c r="R144" s="14"/>
    </row>
    <row r="145" spans="1:18" ht="15" x14ac:dyDescent="0.2">
      <c r="A145" s="13">
        <v>45261</v>
      </c>
      <c r="B145" s="9">
        <f>3.5766 * CHOOSE(CONTROL!$C$32, $C$9, 100%, $E$9)</f>
        <v>3.5766</v>
      </c>
      <c r="C145" s="9">
        <f>3.5766 * CHOOSE(CONTROL!$C$32, $C$9, 100%, $E$9)</f>
        <v>3.5766</v>
      </c>
      <c r="D145" s="9">
        <f>3.5777 * CHOOSE(CONTROL!$C$32, $C$9, 100%, $E$9)</f>
        <v>3.5777000000000001</v>
      </c>
      <c r="E145" s="11">
        <f>4.5267 * CHOOSE(CONTROL!$C$32, $C$9, 100%, $E$9)</f>
        <v>4.5266999999999999</v>
      </c>
      <c r="F145" s="11">
        <f>4.5267 * CHOOSE(CONTROL!$C$32, $C$9, 100%, $E$9)</f>
        <v>4.5266999999999999</v>
      </c>
      <c r="G145" s="11">
        <f>4.5303 * CHOOSE(CONTROL!$C$32, $C$9, 100%, $E$9)</f>
        <v>4.5303000000000004</v>
      </c>
      <c r="H145" s="11">
        <f>7.5767 * CHOOSE(CONTROL!$C$32, $C$9, 100%, $E$9)</f>
        <v>7.5766999999999998</v>
      </c>
      <c r="I145" s="11">
        <f>7.5803 * CHOOSE(CONTROL!$C$32, $C$9, 100%, $E$9)</f>
        <v>7.5803000000000003</v>
      </c>
      <c r="J145" s="11">
        <f>7.5767 * CHOOSE(CONTROL!$C$32, $C$9, 100%, $E$9)</f>
        <v>7.5766999999999998</v>
      </c>
      <c r="K145" s="11">
        <f>7.5803 * CHOOSE(CONTROL!$C$32, $C$9, 100%, $E$9)</f>
        <v>7.5803000000000003</v>
      </c>
      <c r="L145" s="11">
        <f>4.5267 * CHOOSE(CONTROL!$C$32, $C$9, 100%, $E$9)</f>
        <v>4.5266999999999999</v>
      </c>
      <c r="M145" s="11">
        <f>4.5303 * CHOOSE(CONTROL!$C$32, $C$9, 100%, $E$9)</f>
        <v>4.5303000000000004</v>
      </c>
      <c r="N145" s="11">
        <f>4.5267 * CHOOSE(CONTROL!$C$32, $C$9, 100%, $E$9)</f>
        <v>4.5266999999999999</v>
      </c>
      <c r="O145" s="11">
        <f>4.5303 * CHOOSE(CONTROL!$C$32, $C$9, 100%, $E$9)</f>
        <v>4.5303000000000004</v>
      </c>
      <c r="P145" s="14"/>
      <c r="Q145" s="14"/>
      <c r="R145" s="14"/>
    </row>
    <row r="146" spans="1:18" ht="15" x14ac:dyDescent="0.2">
      <c r="A146" s="13">
        <v>45292</v>
      </c>
      <c r="B146" s="9">
        <f>3.6058 * CHOOSE(CONTROL!$C$32, $C$9, 100%, $E$9)</f>
        <v>3.6057999999999999</v>
      </c>
      <c r="C146" s="9">
        <f>3.6058 * CHOOSE(CONTROL!$C$32, $C$9, 100%, $E$9)</f>
        <v>3.6057999999999999</v>
      </c>
      <c r="D146" s="9">
        <f>3.6069 * CHOOSE(CONTROL!$C$32, $C$9, 100%, $E$9)</f>
        <v>3.6069</v>
      </c>
      <c r="E146" s="11">
        <f>4.5664 * CHOOSE(CONTROL!$C$32, $C$9, 100%, $E$9)</f>
        <v>4.5663999999999998</v>
      </c>
      <c r="F146" s="11">
        <f>4.5664 * CHOOSE(CONTROL!$C$32, $C$9, 100%, $E$9)</f>
        <v>4.5663999999999998</v>
      </c>
      <c r="G146" s="11">
        <f>4.57 * CHOOSE(CONTROL!$C$32, $C$9, 100%, $E$9)</f>
        <v>4.57</v>
      </c>
      <c r="H146" s="11">
        <f>7.5924 * CHOOSE(CONTROL!$C$32, $C$9, 100%, $E$9)</f>
        <v>7.5923999999999996</v>
      </c>
      <c r="I146" s="11">
        <f>7.5961 * CHOOSE(CONTROL!$C$32, $C$9, 100%, $E$9)</f>
        <v>7.5960999999999999</v>
      </c>
      <c r="J146" s="11">
        <f>7.5924 * CHOOSE(CONTROL!$C$32, $C$9, 100%, $E$9)</f>
        <v>7.5923999999999996</v>
      </c>
      <c r="K146" s="11">
        <f>7.5961 * CHOOSE(CONTROL!$C$32, $C$9, 100%, $E$9)</f>
        <v>7.5960999999999999</v>
      </c>
      <c r="L146" s="11">
        <f>4.5664 * CHOOSE(CONTROL!$C$32, $C$9, 100%, $E$9)</f>
        <v>4.5663999999999998</v>
      </c>
      <c r="M146" s="11">
        <f>4.57 * CHOOSE(CONTROL!$C$32, $C$9, 100%, $E$9)</f>
        <v>4.57</v>
      </c>
      <c r="N146" s="11">
        <f>4.5664 * CHOOSE(CONTROL!$C$32, $C$9, 100%, $E$9)</f>
        <v>4.5663999999999998</v>
      </c>
      <c r="O146" s="11">
        <f>4.57 * CHOOSE(CONTROL!$C$32, $C$9, 100%, $E$9)</f>
        <v>4.57</v>
      </c>
      <c r="P146" s="14"/>
      <c r="Q146" s="14"/>
      <c r="R146" s="14"/>
    </row>
    <row r="147" spans="1:18" ht="15" x14ac:dyDescent="0.2">
      <c r="A147" s="13">
        <v>45323</v>
      </c>
      <c r="B147" s="9">
        <f>3.6028 * CHOOSE(CONTROL!$C$32, $C$9, 100%, $E$9)</f>
        <v>3.6027999999999998</v>
      </c>
      <c r="C147" s="9">
        <f>3.6028 * CHOOSE(CONTROL!$C$32, $C$9, 100%, $E$9)</f>
        <v>3.6027999999999998</v>
      </c>
      <c r="D147" s="9">
        <f>3.6038 * CHOOSE(CONTROL!$C$32, $C$9, 100%, $E$9)</f>
        <v>3.6038000000000001</v>
      </c>
      <c r="E147" s="11">
        <f>4.5644 * CHOOSE(CONTROL!$C$32, $C$9, 100%, $E$9)</f>
        <v>4.5644</v>
      </c>
      <c r="F147" s="11">
        <f>4.5644 * CHOOSE(CONTROL!$C$32, $C$9, 100%, $E$9)</f>
        <v>4.5644</v>
      </c>
      <c r="G147" s="11">
        <f>4.568 * CHOOSE(CONTROL!$C$32, $C$9, 100%, $E$9)</f>
        <v>4.5679999999999996</v>
      </c>
      <c r="H147" s="11">
        <f>7.6083 * CHOOSE(CONTROL!$C$32, $C$9, 100%, $E$9)</f>
        <v>7.6082999999999998</v>
      </c>
      <c r="I147" s="11">
        <f>7.6119 * CHOOSE(CONTROL!$C$32, $C$9, 100%, $E$9)</f>
        <v>7.6119000000000003</v>
      </c>
      <c r="J147" s="11">
        <f>7.6083 * CHOOSE(CONTROL!$C$32, $C$9, 100%, $E$9)</f>
        <v>7.6082999999999998</v>
      </c>
      <c r="K147" s="11">
        <f>7.6119 * CHOOSE(CONTROL!$C$32, $C$9, 100%, $E$9)</f>
        <v>7.6119000000000003</v>
      </c>
      <c r="L147" s="11">
        <f>4.5644 * CHOOSE(CONTROL!$C$32, $C$9, 100%, $E$9)</f>
        <v>4.5644</v>
      </c>
      <c r="M147" s="11">
        <f>4.568 * CHOOSE(CONTROL!$C$32, $C$9, 100%, $E$9)</f>
        <v>4.5679999999999996</v>
      </c>
      <c r="N147" s="11">
        <f>4.5644 * CHOOSE(CONTROL!$C$32, $C$9, 100%, $E$9)</f>
        <v>4.5644</v>
      </c>
      <c r="O147" s="11">
        <f>4.568 * CHOOSE(CONTROL!$C$32, $C$9, 100%, $E$9)</f>
        <v>4.5679999999999996</v>
      </c>
      <c r="P147" s="14"/>
      <c r="Q147" s="14"/>
      <c r="R147" s="14"/>
    </row>
    <row r="148" spans="1:18" ht="15" x14ac:dyDescent="0.2">
      <c r="A148" s="13">
        <v>45352</v>
      </c>
      <c r="B148" s="9">
        <f>3.5997 * CHOOSE(CONTROL!$C$32, $C$9, 100%, $E$9)</f>
        <v>3.5996999999999999</v>
      </c>
      <c r="C148" s="9">
        <f>3.5997 * CHOOSE(CONTROL!$C$32, $C$9, 100%, $E$9)</f>
        <v>3.5996999999999999</v>
      </c>
      <c r="D148" s="9">
        <f>3.6008 * CHOOSE(CONTROL!$C$32, $C$9, 100%, $E$9)</f>
        <v>3.6008</v>
      </c>
      <c r="E148" s="11">
        <f>4.5624 * CHOOSE(CONTROL!$C$32, $C$9, 100%, $E$9)</f>
        <v>4.5624000000000002</v>
      </c>
      <c r="F148" s="11">
        <f>4.5624 * CHOOSE(CONTROL!$C$32, $C$9, 100%, $E$9)</f>
        <v>4.5624000000000002</v>
      </c>
      <c r="G148" s="11">
        <f>4.566 * CHOOSE(CONTROL!$C$32, $C$9, 100%, $E$9)</f>
        <v>4.5659999999999998</v>
      </c>
      <c r="H148" s="11">
        <f>7.6241 * CHOOSE(CONTROL!$C$32, $C$9, 100%, $E$9)</f>
        <v>7.6241000000000003</v>
      </c>
      <c r="I148" s="11">
        <f>7.6277 * CHOOSE(CONTROL!$C$32, $C$9, 100%, $E$9)</f>
        <v>7.6276999999999999</v>
      </c>
      <c r="J148" s="11">
        <f>7.6241 * CHOOSE(CONTROL!$C$32, $C$9, 100%, $E$9)</f>
        <v>7.6241000000000003</v>
      </c>
      <c r="K148" s="11">
        <f>7.6277 * CHOOSE(CONTROL!$C$32, $C$9, 100%, $E$9)</f>
        <v>7.6276999999999999</v>
      </c>
      <c r="L148" s="11">
        <f>4.5624 * CHOOSE(CONTROL!$C$32, $C$9, 100%, $E$9)</f>
        <v>4.5624000000000002</v>
      </c>
      <c r="M148" s="11">
        <f>4.566 * CHOOSE(CONTROL!$C$32, $C$9, 100%, $E$9)</f>
        <v>4.5659999999999998</v>
      </c>
      <c r="N148" s="11">
        <f>4.5624 * CHOOSE(CONTROL!$C$32, $C$9, 100%, $E$9)</f>
        <v>4.5624000000000002</v>
      </c>
      <c r="O148" s="11">
        <f>4.566 * CHOOSE(CONTROL!$C$32, $C$9, 100%, $E$9)</f>
        <v>4.5659999999999998</v>
      </c>
      <c r="P148" s="14"/>
      <c r="Q148" s="14"/>
      <c r="R148" s="14"/>
    </row>
    <row r="149" spans="1:18" ht="15" x14ac:dyDescent="0.2">
      <c r="A149" s="13">
        <v>45383</v>
      </c>
      <c r="B149" s="9">
        <f>3.597 * CHOOSE(CONTROL!$C$32, $C$9, 100%, $E$9)</f>
        <v>3.597</v>
      </c>
      <c r="C149" s="9">
        <f>3.597 * CHOOSE(CONTROL!$C$32, $C$9, 100%, $E$9)</f>
        <v>3.597</v>
      </c>
      <c r="D149" s="9">
        <f>3.5981 * CHOOSE(CONTROL!$C$32, $C$9, 100%, $E$9)</f>
        <v>3.5981000000000001</v>
      </c>
      <c r="E149" s="11">
        <f>4.5602 * CHOOSE(CONTROL!$C$32, $C$9, 100%, $E$9)</f>
        <v>4.5602</v>
      </c>
      <c r="F149" s="11">
        <f>4.5602 * CHOOSE(CONTROL!$C$32, $C$9, 100%, $E$9)</f>
        <v>4.5602</v>
      </c>
      <c r="G149" s="11">
        <f>4.5638 * CHOOSE(CONTROL!$C$32, $C$9, 100%, $E$9)</f>
        <v>4.5637999999999996</v>
      </c>
      <c r="H149" s="11">
        <f>7.64 * CHOOSE(CONTROL!$C$32, $C$9, 100%, $E$9)</f>
        <v>7.64</v>
      </c>
      <c r="I149" s="11">
        <f>7.6436 * CHOOSE(CONTROL!$C$32, $C$9, 100%, $E$9)</f>
        <v>7.6436000000000002</v>
      </c>
      <c r="J149" s="11">
        <f>7.64 * CHOOSE(CONTROL!$C$32, $C$9, 100%, $E$9)</f>
        <v>7.64</v>
      </c>
      <c r="K149" s="11">
        <f>7.6436 * CHOOSE(CONTROL!$C$32, $C$9, 100%, $E$9)</f>
        <v>7.6436000000000002</v>
      </c>
      <c r="L149" s="11">
        <f>4.5602 * CHOOSE(CONTROL!$C$32, $C$9, 100%, $E$9)</f>
        <v>4.5602</v>
      </c>
      <c r="M149" s="11">
        <f>4.5638 * CHOOSE(CONTROL!$C$32, $C$9, 100%, $E$9)</f>
        <v>4.5637999999999996</v>
      </c>
      <c r="N149" s="11">
        <f>4.5602 * CHOOSE(CONTROL!$C$32, $C$9, 100%, $E$9)</f>
        <v>4.5602</v>
      </c>
      <c r="O149" s="11">
        <f>4.5638 * CHOOSE(CONTROL!$C$32, $C$9, 100%, $E$9)</f>
        <v>4.5637999999999996</v>
      </c>
      <c r="P149" s="14"/>
      <c r="Q149" s="14"/>
      <c r="R149" s="14"/>
    </row>
    <row r="150" spans="1:18" ht="15" x14ac:dyDescent="0.2">
      <c r="A150" s="13">
        <v>45413</v>
      </c>
      <c r="B150" s="9">
        <f>3.597 * CHOOSE(CONTROL!$C$32, $C$9, 100%, $E$9)</f>
        <v>3.597</v>
      </c>
      <c r="C150" s="9">
        <f>3.597 * CHOOSE(CONTROL!$C$32, $C$9, 100%, $E$9)</f>
        <v>3.597</v>
      </c>
      <c r="D150" s="9">
        <f>3.5986 * CHOOSE(CONTROL!$C$32, $C$9, 100%, $E$9)</f>
        <v>3.5985999999999998</v>
      </c>
      <c r="E150" s="11">
        <f>4.5602 * CHOOSE(CONTROL!$C$32, $C$9, 100%, $E$9)</f>
        <v>4.5602</v>
      </c>
      <c r="F150" s="11">
        <f>4.5602 * CHOOSE(CONTROL!$C$32, $C$9, 100%, $E$9)</f>
        <v>4.5602</v>
      </c>
      <c r="G150" s="11">
        <f>4.5654 * CHOOSE(CONTROL!$C$32, $C$9, 100%, $E$9)</f>
        <v>4.5654000000000003</v>
      </c>
      <c r="H150" s="11">
        <f>7.6559 * CHOOSE(CONTROL!$C$32, $C$9, 100%, $E$9)</f>
        <v>7.6558999999999999</v>
      </c>
      <c r="I150" s="11">
        <f>7.6612 * CHOOSE(CONTROL!$C$32, $C$9, 100%, $E$9)</f>
        <v>7.6612</v>
      </c>
      <c r="J150" s="11">
        <f>7.6559 * CHOOSE(CONTROL!$C$32, $C$9, 100%, $E$9)</f>
        <v>7.6558999999999999</v>
      </c>
      <c r="K150" s="11">
        <f>7.6612 * CHOOSE(CONTROL!$C$32, $C$9, 100%, $E$9)</f>
        <v>7.6612</v>
      </c>
      <c r="L150" s="11">
        <f>4.5602 * CHOOSE(CONTROL!$C$32, $C$9, 100%, $E$9)</f>
        <v>4.5602</v>
      </c>
      <c r="M150" s="11">
        <f>4.5654 * CHOOSE(CONTROL!$C$32, $C$9, 100%, $E$9)</f>
        <v>4.5654000000000003</v>
      </c>
      <c r="N150" s="11">
        <f>4.5602 * CHOOSE(CONTROL!$C$32, $C$9, 100%, $E$9)</f>
        <v>4.5602</v>
      </c>
      <c r="O150" s="11">
        <f>4.5654 * CHOOSE(CONTROL!$C$32, $C$9, 100%, $E$9)</f>
        <v>4.5654000000000003</v>
      </c>
      <c r="P150" s="14"/>
      <c r="Q150" s="14"/>
      <c r="R150" s="14"/>
    </row>
    <row r="151" spans="1:18" ht="15" x14ac:dyDescent="0.2">
      <c r="A151" s="13">
        <v>45444</v>
      </c>
      <c r="B151" s="9">
        <f>3.6031 * CHOOSE(CONTROL!$C$32, $C$9, 100%, $E$9)</f>
        <v>3.6031</v>
      </c>
      <c r="C151" s="9">
        <f>3.6031 * CHOOSE(CONTROL!$C$32, $C$9, 100%, $E$9)</f>
        <v>3.6031</v>
      </c>
      <c r="D151" s="9">
        <f>3.6047 * CHOOSE(CONTROL!$C$32, $C$9, 100%, $E$9)</f>
        <v>3.6046999999999998</v>
      </c>
      <c r="E151" s="11">
        <f>4.5642 * CHOOSE(CONTROL!$C$32, $C$9, 100%, $E$9)</f>
        <v>4.5641999999999996</v>
      </c>
      <c r="F151" s="11">
        <f>4.5642 * CHOOSE(CONTROL!$C$32, $C$9, 100%, $E$9)</f>
        <v>4.5641999999999996</v>
      </c>
      <c r="G151" s="11">
        <f>4.5694 * CHOOSE(CONTROL!$C$32, $C$9, 100%, $E$9)</f>
        <v>4.5693999999999999</v>
      </c>
      <c r="H151" s="11">
        <f>7.6719 * CHOOSE(CONTROL!$C$32, $C$9, 100%, $E$9)</f>
        <v>7.6718999999999999</v>
      </c>
      <c r="I151" s="11">
        <f>7.6772 * CHOOSE(CONTROL!$C$32, $C$9, 100%, $E$9)</f>
        <v>7.6772</v>
      </c>
      <c r="J151" s="11">
        <f>7.6719 * CHOOSE(CONTROL!$C$32, $C$9, 100%, $E$9)</f>
        <v>7.6718999999999999</v>
      </c>
      <c r="K151" s="11">
        <f>7.6772 * CHOOSE(CONTROL!$C$32, $C$9, 100%, $E$9)</f>
        <v>7.6772</v>
      </c>
      <c r="L151" s="11">
        <f>4.5642 * CHOOSE(CONTROL!$C$32, $C$9, 100%, $E$9)</f>
        <v>4.5641999999999996</v>
      </c>
      <c r="M151" s="11">
        <f>4.5694 * CHOOSE(CONTROL!$C$32, $C$9, 100%, $E$9)</f>
        <v>4.5693999999999999</v>
      </c>
      <c r="N151" s="11">
        <f>4.5642 * CHOOSE(CONTROL!$C$32, $C$9, 100%, $E$9)</f>
        <v>4.5641999999999996</v>
      </c>
      <c r="O151" s="11">
        <f>4.5694 * CHOOSE(CONTROL!$C$32, $C$9, 100%, $E$9)</f>
        <v>4.5693999999999999</v>
      </c>
      <c r="P151" s="14"/>
      <c r="Q151" s="14"/>
      <c r="R151" s="14"/>
    </row>
    <row r="152" spans="1:18" ht="15" x14ac:dyDescent="0.2">
      <c r="A152" s="13">
        <v>45474</v>
      </c>
      <c r="B152" s="9">
        <f>3.6559 * CHOOSE(CONTROL!$C$32, $C$9, 100%, $E$9)</f>
        <v>3.6558999999999999</v>
      </c>
      <c r="C152" s="9">
        <f>3.6559 * CHOOSE(CONTROL!$C$32, $C$9, 100%, $E$9)</f>
        <v>3.6558999999999999</v>
      </c>
      <c r="D152" s="9">
        <f>3.6575 * CHOOSE(CONTROL!$C$32, $C$9, 100%, $E$9)</f>
        <v>3.6575000000000002</v>
      </c>
      <c r="E152" s="11">
        <f>4.6521 * CHOOSE(CONTROL!$C$32, $C$9, 100%, $E$9)</f>
        <v>4.6520999999999999</v>
      </c>
      <c r="F152" s="11">
        <f>4.6521 * CHOOSE(CONTROL!$C$32, $C$9, 100%, $E$9)</f>
        <v>4.6520999999999999</v>
      </c>
      <c r="G152" s="11">
        <f>4.6574 * CHOOSE(CONTROL!$C$32, $C$9, 100%, $E$9)</f>
        <v>4.6574</v>
      </c>
      <c r="H152" s="11">
        <f>7.6878 * CHOOSE(CONTROL!$C$32, $C$9, 100%, $E$9)</f>
        <v>7.6878000000000002</v>
      </c>
      <c r="I152" s="11">
        <f>7.6931 * CHOOSE(CONTROL!$C$32, $C$9, 100%, $E$9)</f>
        <v>7.6931000000000003</v>
      </c>
      <c r="J152" s="11">
        <f>7.6878 * CHOOSE(CONTROL!$C$32, $C$9, 100%, $E$9)</f>
        <v>7.6878000000000002</v>
      </c>
      <c r="K152" s="11">
        <f>7.6931 * CHOOSE(CONTROL!$C$32, $C$9, 100%, $E$9)</f>
        <v>7.6931000000000003</v>
      </c>
      <c r="L152" s="11">
        <f>4.6521 * CHOOSE(CONTROL!$C$32, $C$9, 100%, $E$9)</f>
        <v>4.6520999999999999</v>
      </c>
      <c r="M152" s="11">
        <f>4.6574 * CHOOSE(CONTROL!$C$32, $C$9, 100%, $E$9)</f>
        <v>4.6574</v>
      </c>
      <c r="N152" s="11">
        <f>4.6521 * CHOOSE(CONTROL!$C$32, $C$9, 100%, $E$9)</f>
        <v>4.6520999999999999</v>
      </c>
      <c r="O152" s="11">
        <f>4.6574 * CHOOSE(CONTROL!$C$32, $C$9, 100%, $E$9)</f>
        <v>4.6574</v>
      </c>
      <c r="P152" s="14"/>
      <c r="Q152" s="14"/>
      <c r="R152" s="14"/>
    </row>
    <row r="153" spans="1:18" ht="15" x14ac:dyDescent="0.2">
      <c r="A153" s="13">
        <v>45505</v>
      </c>
      <c r="B153" s="9">
        <f>3.6626 * CHOOSE(CONTROL!$C$32, $C$9, 100%, $E$9)</f>
        <v>3.6625999999999999</v>
      </c>
      <c r="C153" s="9">
        <f>3.6626 * CHOOSE(CONTROL!$C$32, $C$9, 100%, $E$9)</f>
        <v>3.6625999999999999</v>
      </c>
      <c r="D153" s="9">
        <f>3.6642 * CHOOSE(CONTROL!$C$32, $C$9, 100%, $E$9)</f>
        <v>3.6642000000000001</v>
      </c>
      <c r="E153" s="11">
        <f>4.6565 * CHOOSE(CONTROL!$C$32, $C$9, 100%, $E$9)</f>
        <v>4.6565000000000003</v>
      </c>
      <c r="F153" s="11">
        <f>4.6565 * CHOOSE(CONTROL!$C$32, $C$9, 100%, $E$9)</f>
        <v>4.6565000000000003</v>
      </c>
      <c r="G153" s="11">
        <f>4.6618 * CHOOSE(CONTROL!$C$32, $C$9, 100%, $E$9)</f>
        <v>4.6618000000000004</v>
      </c>
      <c r="H153" s="11">
        <f>7.7039 * CHOOSE(CONTROL!$C$32, $C$9, 100%, $E$9)</f>
        <v>7.7039</v>
      </c>
      <c r="I153" s="11">
        <f>7.7092 * CHOOSE(CONTROL!$C$32, $C$9, 100%, $E$9)</f>
        <v>7.7092000000000001</v>
      </c>
      <c r="J153" s="11">
        <f>7.7039 * CHOOSE(CONTROL!$C$32, $C$9, 100%, $E$9)</f>
        <v>7.7039</v>
      </c>
      <c r="K153" s="11">
        <f>7.7092 * CHOOSE(CONTROL!$C$32, $C$9, 100%, $E$9)</f>
        <v>7.7092000000000001</v>
      </c>
      <c r="L153" s="11">
        <f>4.6565 * CHOOSE(CONTROL!$C$32, $C$9, 100%, $E$9)</f>
        <v>4.6565000000000003</v>
      </c>
      <c r="M153" s="11">
        <f>4.6618 * CHOOSE(CONTROL!$C$32, $C$9, 100%, $E$9)</f>
        <v>4.6618000000000004</v>
      </c>
      <c r="N153" s="11">
        <f>4.6565 * CHOOSE(CONTROL!$C$32, $C$9, 100%, $E$9)</f>
        <v>4.6565000000000003</v>
      </c>
      <c r="O153" s="11">
        <f>4.6618 * CHOOSE(CONTROL!$C$32, $C$9, 100%, $E$9)</f>
        <v>4.6618000000000004</v>
      </c>
      <c r="P153" s="14"/>
      <c r="Q153" s="14"/>
      <c r="R153" s="14"/>
    </row>
    <row r="154" spans="1:18" ht="15" x14ac:dyDescent="0.2">
      <c r="A154" s="13">
        <v>45536</v>
      </c>
      <c r="B154" s="9">
        <f>3.6595 * CHOOSE(CONTROL!$C$32, $C$9, 100%, $E$9)</f>
        <v>3.6595</v>
      </c>
      <c r="C154" s="9">
        <f>3.6595 * CHOOSE(CONTROL!$C$32, $C$9, 100%, $E$9)</f>
        <v>3.6595</v>
      </c>
      <c r="D154" s="9">
        <f>3.6611 * CHOOSE(CONTROL!$C$32, $C$9, 100%, $E$9)</f>
        <v>3.6610999999999998</v>
      </c>
      <c r="E154" s="11">
        <f>4.6545 * CHOOSE(CONTROL!$C$32, $C$9, 100%, $E$9)</f>
        <v>4.6544999999999996</v>
      </c>
      <c r="F154" s="11">
        <f>4.6545 * CHOOSE(CONTROL!$C$32, $C$9, 100%, $E$9)</f>
        <v>4.6544999999999996</v>
      </c>
      <c r="G154" s="11">
        <f>4.6598 * CHOOSE(CONTROL!$C$32, $C$9, 100%, $E$9)</f>
        <v>4.6597999999999997</v>
      </c>
      <c r="H154" s="11">
        <f>7.7199 * CHOOSE(CONTROL!$C$32, $C$9, 100%, $E$9)</f>
        <v>7.7199</v>
      </c>
      <c r="I154" s="11">
        <f>7.7252 * CHOOSE(CONTROL!$C$32, $C$9, 100%, $E$9)</f>
        <v>7.7252000000000001</v>
      </c>
      <c r="J154" s="11">
        <f>7.7199 * CHOOSE(CONTROL!$C$32, $C$9, 100%, $E$9)</f>
        <v>7.7199</v>
      </c>
      <c r="K154" s="11">
        <f>7.7252 * CHOOSE(CONTROL!$C$32, $C$9, 100%, $E$9)</f>
        <v>7.7252000000000001</v>
      </c>
      <c r="L154" s="11">
        <f>4.6545 * CHOOSE(CONTROL!$C$32, $C$9, 100%, $E$9)</f>
        <v>4.6544999999999996</v>
      </c>
      <c r="M154" s="11">
        <f>4.6598 * CHOOSE(CONTROL!$C$32, $C$9, 100%, $E$9)</f>
        <v>4.6597999999999997</v>
      </c>
      <c r="N154" s="11">
        <f>4.6545 * CHOOSE(CONTROL!$C$32, $C$9, 100%, $E$9)</f>
        <v>4.6544999999999996</v>
      </c>
      <c r="O154" s="11">
        <f>4.6598 * CHOOSE(CONTROL!$C$32, $C$9, 100%, $E$9)</f>
        <v>4.6597999999999997</v>
      </c>
      <c r="P154" s="14"/>
      <c r="Q154" s="14"/>
      <c r="R154" s="14"/>
    </row>
    <row r="155" spans="1:18" ht="15" x14ac:dyDescent="0.2">
      <c r="A155" s="13">
        <v>45566</v>
      </c>
      <c r="B155" s="9">
        <f>3.6534 * CHOOSE(CONTROL!$C$32, $C$9, 100%, $E$9)</f>
        <v>3.6534</v>
      </c>
      <c r="C155" s="9">
        <f>3.6534 * CHOOSE(CONTROL!$C$32, $C$9, 100%, $E$9)</f>
        <v>3.6534</v>
      </c>
      <c r="D155" s="9">
        <f>3.6545 * CHOOSE(CONTROL!$C$32, $C$9, 100%, $E$9)</f>
        <v>3.6545000000000001</v>
      </c>
      <c r="E155" s="11">
        <f>4.6486 * CHOOSE(CONTROL!$C$32, $C$9, 100%, $E$9)</f>
        <v>4.6486000000000001</v>
      </c>
      <c r="F155" s="11">
        <f>4.6486 * CHOOSE(CONTROL!$C$32, $C$9, 100%, $E$9)</f>
        <v>4.6486000000000001</v>
      </c>
      <c r="G155" s="11">
        <f>4.6522 * CHOOSE(CONTROL!$C$32, $C$9, 100%, $E$9)</f>
        <v>4.6521999999999997</v>
      </c>
      <c r="H155" s="11">
        <f>7.736 * CHOOSE(CONTROL!$C$32, $C$9, 100%, $E$9)</f>
        <v>7.7359999999999998</v>
      </c>
      <c r="I155" s="11">
        <f>7.7396 * CHOOSE(CONTROL!$C$32, $C$9, 100%, $E$9)</f>
        <v>7.7396000000000003</v>
      </c>
      <c r="J155" s="11">
        <f>7.736 * CHOOSE(CONTROL!$C$32, $C$9, 100%, $E$9)</f>
        <v>7.7359999999999998</v>
      </c>
      <c r="K155" s="11">
        <f>7.7396 * CHOOSE(CONTROL!$C$32, $C$9, 100%, $E$9)</f>
        <v>7.7396000000000003</v>
      </c>
      <c r="L155" s="11">
        <f>4.6486 * CHOOSE(CONTROL!$C$32, $C$9, 100%, $E$9)</f>
        <v>4.6486000000000001</v>
      </c>
      <c r="M155" s="11">
        <f>4.6522 * CHOOSE(CONTROL!$C$32, $C$9, 100%, $E$9)</f>
        <v>4.6521999999999997</v>
      </c>
      <c r="N155" s="11">
        <f>4.6486 * CHOOSE(CONTROL!$C$32, $C$9, 100%, $E$9)</f>
        <v>4.6486000000000001</v>
      </c>
      <c r="O155" s="11">
        <f>4.6522 * CHOOSE(CONTROL!$C$32, $C$9, 100%, $E$9)</f>
        <v>4.6521999999999997</v>
      </c>
      <c r="P155" s="14"/>
      <c r="Q155" s="14"/>
      <c r="R155" s="14"/>
    </row>
    <row r="156" spans="1:18" ht="15" x14ac:dyDescent="0.2">
      <c r="A156" s="13">
        <v>45597</v>
      </c>
      <c r="B156" s="9">
        <f>3.6565 * CHOOSE(CONTROL!$C$32, $C$9, 100%, $E$9)</f>
        <v>3.6564999999999999</v>
      </c>
      <c r="C156" s="9">
        <f>3.6565 * CHOOSE(CONTROL!$C$32, $C$9, 100%, $E$9)</f>
        <v>3.6564999999999999</v>
      </c>
      <c r="D156" s="9">
        <f>3.6576 * CHOOSE(CONTROL!$C$32, $C$9, 100%, $E$9)</f>
        <v>3.6576</v>
      </c>
      <c r="E156" s="11">
        <f>4.6506 * CHOOSE(CONTROL!$C$32, $C$9, 100%, $E$9)</f>
        <v>4.6505999999999998</v>
      </c>
      <c r="F156" s="11">
        <f>4.6506 * CHOOSE(CONTROL!$C$32, $C$9, 100%, $E$9)</f>
        <v>4.6505999999999998</v>
      </c>
      <c r="G156" s="11">
        <f>4.6542 * CHOOSE(CONTROL!$C$32, $C$9, 100%, $E$9)</f>
        <v>4.6542000000000003</v>
      </c>
      <c r="H156" s="11">
        <f>7.7521 * CHOOSE(CONTROL!$C$32, $C$9, 100%, $E$9)</f>
        <v>7.7521000000000004</v>
      </c>
      <c r="I156" s="11">
        <f>7.7557 * CHOOSE(CONTROL!$C$32, $C$9, 100%, $E$9)</f>
        <v>7.7557</v>
      </c>
      <c r="J156" s="11">
        <f>7.7521 * CHOOSE(CONTROL!$C$32, $C$9, 100%, $E$9)</f>
        <v>7.7521000000000004</v>
      </c>
      <c r="K156" s="11">
        <f>7.7557 * CHOOSE(CONTROL!$C$32, $C$9, 100%, $E$9)</f>
        <v>7.7557</v>
      </c>
      <c r="L156" s="11">
        <f>4.6506 * CHOOSE(CONTROL!$C$32, $C$9, 100%, $E$9)</f>
        <v>4.6505999999999998</v>
      </c>
      <c r="M156" s="11">
        <f>4.6542 * CHOOSE(CONTROL!$C$32, $C$9, 100%, $E$9)</f>
        <v>4.6542000000000003</v>
      </c>
      <c r="N156" s="11">
        <f>4.6506 * CHOOSE(CONTROL!$C$32, $C$9, 100%, $E$9)</f>
        <v>4.6505999999999998</v>
      </c>
      <c r="O156" s="11">
        <f>4.6542 * CHOOSE(CONTROL!$C$32, $C$9, 100%, $E$9)</f>
        <v>4.6542000000000003</v>
      </c>
      <c r="P156" s="14"/>
      <c r="Q156" s="14"/>
      <c r="R156" s="14"/>
    </row>
    <row r="157" spans="1:18" ht="15" x14ac:dyDescent="0.2">
      <c r="A157" s="13">
        <v>45627</v>
      </c>
      <c r="B157" s="9">
        <f>3.6565 * CHOOSE(CONTROL!$C$32, $C$9, 100%, $E$9)</f>
        <v>3.6564999999999999</v>
      </c>
      <c r="C157" s="9">
        <f>3.6565 * CHOOSE(CONTROL!$C$32, $C$9, 100%, $E$9)</f>
        <v>3.6564999999999999</v>
      </c>
      <c r="D157" s="9">
        <f>3.6576 * CHOOSE(CONTROL!$C$32, $C$9, 100%, $E$9)</f>
        <v>3.6576</v>
      </c>
      <c r="E157" s="11">
        <f>4.6506 * CHOOSE(CONTROL!$C$32, $C$9, 100%, $E$9)</f>
        <v>4.6505999999999998</v>
      </c>
      <c r="F157" s="11">
        <f>4.6506 * CHOOSE(CONTROL!$C$32, $C$9, 100%, $E$9)</f>
        <v>4.6505999999999998</v>
      </c>
      <c r="G157" s="11">
        <f>4.6542 * CHOOSE(CONTROL!$C$32, $C$9, 100%, $E$9)</f>
        <v>4.6542000000000003</v>
      </c>
      <c r="H157" s="11">
        <f>7.7683 * CHOOSE(CONTROL!$C$32, $C$9, 100%, $E$9)</f>
        <v>7.7683</v>
      </c>
      <c r="I157" s="11">
        <f>7.7719 * CHOOSE(CONTROL!$C$32, $C$9, 100%, $E$9)</f>
        <v>7.7718999999999996</v>
      </c>
      <c r="J157" s="11">
        <f>7.7683 * CHOOSE(CONTROL!$C$32, $C$9, 100%, $E$9)</f>
        <v>7.7683</v>
      </c>
      <c r="K157" s="11">
        <f>7.7719 * CHOOSE(CONTROL!$C$32, $C$9, 100%, $E$9)</f>
        <v>7.7718999999999996</v>
      </c>
      <c r="L157" s="11">
        <f>4.6506 * CHOOSE(CONTROL!$C$32, $C$9, 100%, $E$9)</f>
        <v>4.6505999999999998</v>
      </c>
      <c r="M157" s="11">
        <f>4.6542 * CHOOSE(CONTROL!$C$32, $C$9, 100%, $E$9)</f>
        <v>4.6542000000000003</v>
      </c>
      <c r="N157" s="11">
        <f>4.6506 * CHOOSE(CONTROL!$C$32, $C$9, 100%, $E$9)</f>
        <v>4.6505999999999998</v>
      </c>
      <c r="O157" s="11">
        <f>4.6542 * CHOOSE(CONTROL!$C$32, $C$9, 100%, $E$9)</f>
        <v>4.6542000000000003</v>
      </c>
      <c r="P157" s="14"/>
      <c r="Q157" s="14"/>
      <c r="R157" s="14"/>
    </row>
    <row r="158" spans="1:18" ht="15" x14ac:dyDescent="0.2">
      <c r="A158" s="13">
        <v>45658</v>
      </c>
      <c r="B158" s="9">
        <f>3.691 * CHOOSE(CONTROL!$C$32, $C$9, 100%, $E$9)</f>
        <v>3.6909999999999998</v>
      </c>
      <c r="C158" s="9">
        <f>3.691 * CHOOSE(CONTROL!$C$32, $C$9, 100%, $E$9)</f>
        <v>3.6909999999999998</v>
      </c>
      <c r="D158" s="9">
        <f>3.6921 * CHOOSE(CONTROL!$C$32, $C$9, 100%, $E$9)</f>
        <v>3.6920999999999999</v>
      </c>
      <c r="E158" s="11">
        <f>4.6908 * CHOOSE(CONTROL!$C$32, $C$9, 100%, $E$9)</f>
        <v>4.6908000000000003</v>
      </c>
      <c r="F158" s="11">
        <f>4.6908 * CHOOSE(CONTROL!$C$32, $C$9, 100%, $E$9)</f>
        <v>4.6908000000000003</v>
      </c>
      <c r="G158" s="11">
        <f>4.6945 * CHOOSE(CONTROL!$C$32, $C$9, 100%, $E$9)</f>
        <v>4.6944999999999997</v>
      </c>
      <c r="H158" s="11">
        <f>7.7844 * CHOOSE(CONTROL!$C$32, $C$9, 100%, $E$9)</f>
        <v>7.7843999999999998</v>
      </c>
      <c r="I158" s="11">
        <f>7.7881 * CHOOSE(CONTROL!$C$32, $C$9, 100%, $E$9)</f>
        <v>7.7881</v>
      </c>
      <c r="J158" s="11">
        <f>7.7844 * CHOOSE(CONTROL!$C$32, $C$9, 100%, $E$9)</f>
        <v>7.7843999999999998</v>
      </c>
      <c r="K158" s="11">
        <f>7.7881 * CHOOSE(CONTROL!$C$32, $C$9, 100%, $E$9)</f>
        <v>7.7881</v>
      </c>
      <c r="L158" s="11">
        <f>4.6908 * CHOOSE(CONTROL!$C$32, $C$9, 100%, $E$9)</f>
        <v>4.6908000000000003</v>
      </c>
      <c r="M158" s="11">
        <f>4.6945 * CHOOSE(CONTROL!$C$32, $C$9, 100%, $E$9)</f>
        <v>4.6944999999999997</v>
      </c>
      <c r="N158" s="11">
        <f>4.6908 * CHOOSE(CONTROL!$C$32, $C$9, 100%, $E$9)</f>
        <v>4.6908000000000003</v>
      </c>
      <c r="O158" s="11">
        <f>4.6945 * CHOOSE(CONTROL!$C$32, $C$9, 100%, $E$9)</f>
        <v>4.6944999999999997</v>
      </c>
      <c r="P158" s="14"/>
      <c r="Q158" s="14"/>
      <c r="R158" s="14"/>
    </row>
    <row r="159" spans="1:18" ht="15" x14ac:dyDescent="0.2">
      <c r="A159" s="13">
        <v>45689</v>
      </c>
      <c r="B159" s="9">
        <f>3.688 * CHOOSE(CONTROL!$C$32, $C$9, 100%, $E$9)</f>
        <v>3.6880000000000002</v>
      </c>
      <c r="C159" s="9">
        <f>3.688 * CHOOSE(CONTROL!$C$32, $C$9, 100%, $E$9)</f>
        <v>3.6880000000000002</v>
      </c>
      <c r="D159" s="9">
        <f>3.6891 * CHOOSE(CONTROL!$C$32, $C$9, 100%, $E$9)</f>
        <v>3.6890999999999998</v>
      </c>
      <c r="E159" s="11">
        <f>4.6888 * CHOOSE(CONTROL!$C$32, $C$9, 100%, $E$9)</f>
        <v>4.6887999999999996</v>
      </c>
      <c r="F159" s="11">
        <f>4.6888 * CHOOSE(CONTROL!$C$32, $C$9, 100%, $E$9)</f>
        <v>4.6887999999999996</v>
      </c>
      <c r="G159" s="11">
        <f>4.6925 * CHOOSE(CONTROL!$C$32, $C$9, 100%, $E$9)</f>
        <v>4.6924999999999999</v>
      </c>
      <c r="H159" s="11">
        <f>7.8007 * CHOOSE(CONTROL!$C$32, $C$9, 100%, $E$9)</f>
        <v>7.8007</v>
      </c>
      <c r="I159" s="11">
        <f>7.8043 * CHOOSE(CONTROL!$C$32, $C$9, 100%, $E$9)</f>
        <v>7.8042999999999996</v>
      </c>
      <c r="J159" s="11">
        <f>7.8007 * CHOOSE(CONTROL!$C$32, $C$9, 100%, $E$9)</f>
        <v>7.8007</v>
      </c>
      <c r="K159" s="11">
        <f>7.8043 * CHOOSE(CONTROL!$C$32, $C$9, 100%, $E$9)</f>
        <v>7.8042999999999996</v>
      </c>
      <c r="L159" s="11">
        <f>4.6888 * CHOOSE(CONTROL!$C$32, $C$9, 100%, $E$9)</f>
        <v>4.6887999999999996</v>
      </c>
      <c r="M159" s="11">
        <f>4.6925 * CHOOSE(CONTROL!$C$32, $C$9, 100%, $E$9)</f>
        <v>4.6924999999999999</v>
      </c>
      <c r="N159" s="11">
        <f>4.6888 * CHOOSE(CONTROL!$C$32, $C$9, 100%, $E$9)</f>
        <v>4.6887999999999996</v>
      </c>
      <c r="O159" s="11">
        <f>4.6925 * CHOOSE(CONTROL!$C$32, $C$9, 100%, $E$9)</f>
        <v>4.6924999999999999</v>
      </c>
      <c r="P159" s="14"/>
      <c r="Q159" s="14"/>
      <c r="R159" s="14"/>
    </row>
    <row r="160" spans="1:18" ht="15" x14ac:dyDescent="0.2">
      <c r="A160" s="13">
        <v>45717</v>
      </c>
      <c r="B160" s="9">
        <f>3.685 * CHOOSE(CONTROL!$C$32, $C$9, 100%, $E$9)</f>
        <v>3.6850000000000001</v>
      </c>
      <c r="C160" s="9">
        <f>3.685 * CHOOSE(CONTROL!$C$32, $C$9, 100%, $E$9)</f>
        <v>3.6850000000000001</v>
      </c>
      <c r="D160" s="9">
        <f>3.686 * CHOOSE(CONTROL!$C$32, $C$9, 100%, $E$9)</f>
        <v>3.6859999999999999</v>
      </c>
      <c r="E160" s="11">
        <f>4.6868 * CHOOSE(CONTROL!$C$32, $C$9, 100%, $E$9)</f>
        <v>4.6867999999999999</v>
      </c>
      <c r="F160" s="11">
        <f>4.6868 * CHOOSE(CONTROL!$C$32, $C$9, 100%, $E$9)</f>
        <v>4.6867999999999999</v>
      </c>
      <c r="G160" s="11">
        <f>4.6905 * CHOOSE(CONTROL!$C$32, $C$9, 100%, $E$9)</f>
        <v>4.6905000000000001</v>
      </c>
      <c r="H160" s="11">
        <f>7.8169 * CHOOSE(CONTROL!$C$32, $C$9, 100%, $E$9)</f>
        <v>7.8169000000000004</v>
      </c>
      <c r="I160" s="11">
        <f>7.8205 * CHOOSE(CONTROL!$C$32, $C$9, 100%, $E$9)</f>
        <v>7.8205</v>
      </c>
      <c r="J160" s="11">
        <f>7.8169 * CHOOSE(CONTROL!$C$32, $C$9, 100%, $E$9)</f>
        <v>7.8169000000000004</v>
      </c>
      <c r="K160" s="11">
        <f>7.8205 * CHOOSE(CONTROL!$C$32, $C$9, 100%, $E$9)</f>
        <v>7.8205</v>
      </c>
      <c r="L160" s="11">
        <f>4.6868 * CHOOSE(CONTROL!$C$32, $C$9, 100%, $E$9)</f>
        <v>4.6867999999999999</v>
      </c>
      <c r="M160" s="11">
        <f>4.6905 * CHOOSE(CONTROL!$C$32, $C$9, 100%, $E$9)</f>
        <v>4.6905000000000001</v>
      </c>
      <c r="N160" s="11">
        <f>4.6868 * CHOOSE(CONTROL!$C$32, $C$9, 100%, $E$9)</f>
        <v>4.6867999999999999</v>
      </c>
      <c r="O160" s="11">
        <f>4.6905 * CHOOSE(CONTROL!$C$32, $C$9, 100%, $E$9)</f>
        <v>4.6905000000000001</v>
      </c>
      <c r="P160" s="14"/>
      <c r="Q160" s="14"/>
      <c r="R160" s="14"/>
    </row>
    <row r="161" spans="1:18" ht="15" x14ac:dyDescent="0.2">
      <c r="A161" s="13">
        <v>45748</v>
      </c>
      <c r="B161" s="9">
        <f>3.6823 * CHOOSE(CONTROL!$C$32, $C$9, 100%, $E$9)</f>
        <v>3.6823000000000001</v>
      </c>
      <c r="C161" s="9">
        <f>3.6823 * CHOOSE(CONTROL!$C$32, $C$9, 100%, $E$9)</f>
        <v>3.6823000000000001</v>
      </c>
      <c r="D161" s="9">
        <f>3.6834 * CHOOSE(CONTROL!$C$32, $C$9, 100%, $E$9)</f>
        <v>3.6833999999999998</v>
      </c>
      <c r="E161" s="11">
        <f>4.6846 * CHOOSE(CONTROL!$C$32, $C$9, 100%, $E$9)</f>
        <v>4.6845999999999997</v>
      </c>
      <c r="F161" s="11">
        <f>4.6846 * CHOOSE(CONTROL!$C$32, $C$9, 100%, $E$9)</f>
        <v>4.6845999999999997</v>
      </c>
      <c r="G161" s="11">
        <f>4.6882 * CHOOSE(CONTROL!$C$32, $C$9, 100%, $E$9)</f>
        <v>4.6882000000000001</v>
      </c>
      <c r="H161" s="11">
        <f>7.8332 * CHOOSE(CONTROL!$C$32, $C$9, 100%, $E$9)</f>
        <v>7.8331999999999997</v>
      </c>
      <c r="I161" s="11">
        <f>7.8368 * CHOOSE(CONTROL!$C$32, $C$9, 100%, $E$9)</f>
        <v>7.8368000000000002</v>
      </c>
      <c r="J161" s="11">
        <f>7.8332 * CHOOSE(CONTROL!$C$32, $C$9, 100%, $E$9)</f>
        <v>7.8331999999999997</v>
      </c>
      <c r="K161" s="11">
        <f>7.8368 * CHOOSE(CONTROL!$C$32, $C$9, 100%, $E$9)</f>
        <v>7.8368000000000002</v>
      </c>
      <c r="L161" s="11">
        <f>4.6846 * CHOOSE(CONTROL!$C$32, $C$9, 100%, $E$9)</f>
        <v>4.6845999999999997</v>
      </c>
      <c r="M161" s="11">
        <f>4.6882 * CHOOSE(CONTROL!$C$32, $C$9, 100%, $E$9)</f>
        <v>4.6882000000000001</v>
      </c>
      <c r="N161" s="11">
        <f>4.6846 * CHOOSE(CONTROL!$C$32, $C$9, 100%, $E$9)</f>
        <v>4.6845999999999997</v>
      </c>
      <c r="O161" s="11">
        <f>4.6882 * CHOOSE(CONTROL!$C$32, $C$9, 100%, $E$9)</f>
        <v>4.6882000000000001</v>
      </c>
      <c r="P161" s="14"/>
      <c r="Q161" s="14"/>
      <c r="R161" s="14"/>
    </row>
    <row r="162" spans="1:18" ht="15" x14ac:dyDescent="0.2">
      <c r="A162" s="13">
        <v>45778</v>
      </c>
      <c r="B162" s="9">
        <f>3.6823 * CHOOSE(CONTROL!$C$32, $C$9, 100%, $E$9)</f>
        <v>3.6823000000000001</v>
      </c>
      <c r="C162" s="9">
        <f>3.6823 * CHOOSE(CONTROL!$C$32, $C$9, 100%, $E$9)</f>
        <v>3.6823000000000001</v>
      </c>
      <c r="D162" s="9">
        <f>3.6839 * CHOOSE(CONTROL!$C$32, $C$9, 100%, $E$9)</f>
        <v>3.6839</v>
      </c>
      <c r="E162" s="11">
        <f>4.6846 * CHOOSE(CONTROL!$C$32, $C$9, 100%, $E$9)</f>
        <v>4.6845999999999997</v>
      </c>
      <c r="F162" s="11">
        <f>4.6846 * CHOOSE(CONTROL!$C$32, $C$9, 100%, $E$9)</f>
        <v>4.6845999999999997</v>
      </c>
      <c r="G162" s="11">
        <f>4.6899 * CHOOSE(CONTROL!$C$32, $C$9, 100%, $E$9)</f>
        <v>4.6898999999999997</v>
      </c>
      <c r="H162" s="11">
        <f>7.8495 * CHOOSE(CONTROL!$C$32, $C$9, 100%, $E$9)</f>
        <v>7.8494999999999999</v>
      </c>
      <c r="I162" s="11">
        <f>7.8548 * CHOOSE(CONTROL!$C$32, $C$9, 100%, $E$9)</f>
        <v>7.8548</v>
      </c>
      <c r="J162" s="11">
        <f>7.8495 * CHOOSE(CONTROL!$C$32, $C$9, 100%, $E$9)</f>
        <v>7.8494999999999999</v>
      </c>
      <c r="K162" s="11">
        <f>7.8548 * CHOOSE(CONTROL!$C$32, $C$9, 100%, $E$9)</f>
        <v>7.8548</v>
      </c>
      <c r="L162" s="11">
        <f>4.6846 * CHOOSE(CONTROL!$C$32, $C$9, 100%, $E$9)</f>
        <v>4.6845999999999997</v>
      </c>
      <c r="M162" s="11">
        <f>4.6899 * CHOOSE(CONTROL!$C$32, $C$9, 100%, $E$9)</f>
        <v>4.6898999999999997</v>
      </c>
      <c r="N162" s="11">
        <f>4.6846 * CHOOSE(CONTROL!$C$32, $C$9, 100%, $E$9)</f>
        <v>4.6845999999999997</v>
      </c>
      <c r="O162" s="11">
        <f>4.6899 * CHOOSE(CONTROL!$C$32, $C$9, 100%, $E$9)</f>
        <v>4.6898999999999997</v>
      </c>
      <c r="P162" s="14"/>
      <c r="Q162" s="14"/>
      <c r="R162" s="14"/>
    </row>
    <row r="163" spans="1:18" ht="15" x14ac:dyDescent="0.2">
      <c r="A163" s="13">
        <v>45809</v>
      </c>
      <c r="B163" s="9">
        <f>3.6884 * CHOOSE(CONTROL!$C$32, $C$9, 100%, $E$9)</f>
        <v>3.6884000000000001</v>
      </c>
      <c r="C163" s="9">
        <f>3.6884 * CHOOSE(CONTROL!$C$32, $C$9, 100%, $E$9)</f>
        <v>3.6884000000000001</v>
      </c>
      <c r="D163" s="9">
        <f>3.69 * CHOOSE(CONTROL!$C$32, $C$9, 100%, $E$9)</f>
        <v>3.69</v>
      </c>
      <c r="E163" s="11">
        <f>4.6886 * CHOOSE(CONTROL!$C$32, $C$9, 100%, $E$9)</f>
        <v>4.6886000000000001</v>
      </c>
      <c r="F163" s="11">
        <f>4.6886 * CHOOSE(CONTROL!$C$32, $C$9, 100%, $E$9)</f>
        <v>4.6886000000000001</v>
      </c>
      <c r="G163" s="11">
        <f>4.6939 * CHOOSE(CONTROL!$C$32, $C$9, 100%, $E$9)</f>
        <v>4.6939000000000002</v>
      </c>
      <c r="H163" s="11">
        <f>7.8659 * CHOOSE(CONTROL!$C$32, $C$9, 100%, $E$9)</f>
        <v>7.8658999999999999</v>
      </c>
      <c r="I163" s="11">
        <f>7.8712 * CHOOSE(CONTROL!$C$32, $C$9, 100%, $E$9)</f>
        <v>7.8712</v>
      </c>
      <c r="J163" s="11">
        <f>7.8659 * CHOOSE(CONTROL!$C$32, $C$9, 100%, $E$9)</f>
        <v>7.8658999999999999</v>
      </c>
      <c r="K163" s="11">
        <f>7.8712 * CHOOSE(CONTROL!$C$32, $C$9, 100%, $E$9)</f>
        <v>7.8712</v>
      </c>
      <c r="L163" s="11">
        <f>4.6886 * CHOOSE(CONTROL!$C$32, $C$9, 100%, $E$9)</f>
        <v>4.6886000000000001</v>
      </c>
      <c r="M163" s="11">
        <f>4.6939 * CHOOSE(CONTROL!$C$32, $C$9, 100%, $E$9)</f>
        <v>4.6939000000000002</v>
      </c>
      <c r="N163" s="11">
        <f>4.6886 * CHOOSE(CONTROL!$C$32, $C$9, 100%, $E$9)</f>
        <v>4.6886000000000001</v>
      </c>
      <c r="O163" s="11">
        <f>4.6939 * CHOOSE(CONTROL!$C$32, $C$9, 100%, $E$9)</f>
        <v>4.6939000000000002</v>
      </c>
      <c r="P163" s="14"/>
      <c r="Q163" s="14"/>
      <c r="R163" s="14"/>
    </row>
    <row r="164" spans="1:18" ht="15" x14ac:dyDescent="0.2">
      <c r="A164" s="13">
        <v>45839</v>
      </c>
      <c r="B164" s="9">
        <f>3.7541 * CHOOSE(CONTROL!$C$32, $C$9, 100%, $E$9)</f>
        <v>3.7541000000000002</v>
      </c>
      <c r="C164" s="9">
        <f>3.7541 * CHOOSE(CONTROL!$C$32, $C$9, 100%, $E$9)</f>
        <v>3.7541000000000002</v>
      </c>
      <c r="D164" s="9">
        <f>3.7556 * CHOOSE(CONTROL!$C$32, $C$9, 100%, $E$9)</f>
        <v>3.7555999999999998</v>
      </c>
      <c r="E164" s="11">
        <f>4.7776 * CHOOSE(CONTROL!$C$32, $C$9, 100%, $E$9)</f>
        <v>4.7775999999999996</v>
      </c>
      <c r="F164" s="11">
        <f>4.7776 * CHOOSE(CONTROL!$C$32, $C$9, 100%, $E$9)</f>
        <v>4.7775999999999996</v>
      </c>
      <c r="G164" s="11">
        <f>4.7829 * CHOOSE(CONTROL!$C$32, $C$9, 100%, $E$9)</f>
        <v>4.7828999999999997</v>
      </c>
      <c r="H164" s="11">
        <f>7.8823 * CHOOSE(CONTROL!$C$32, $C$9, 100%, $E$9)</f>
        <v>7.8822999999999999</v>
      </c>
      <c r="I164" s="11">
        <f>7.8876 * CHOOSE(CONTROL!$C$32, $C$9, 100%, $E$9)</f>
        <v>7.8875999999999999</v>
      </c>
      <c r="J164" s="11">
        <f>7.8823 * CHOOSE(CONTROL!$C$32, $C$9, 100%, $E$9)</f>
        <v>7.8822999999999999</v>
      </c>
      <c r="K164" s="11">
        <f>7.8876 * CHOOSE(CONTROL!$C$32, $C$9, 100%, $E$9)</f>
        <v>7.8875999999999999</v>
      </c>
      <c r="L164" s="11">
        <f>4.7776 * CHOOSE(CONTROL!$C$32, $C$9, 100%, $E$9)</f>
        <v>4.7775999999999996</v>
      </c>
      <c r="M164" s="11">
        <f>4.7829 * CHOOSE(CONTROL!$C$32, $C$9, 100%, $E$9)</f>
        <v>4.7828999999999997</v>
      </c>
      <c r="N164" s="11">
        <f>4.7776 * CHOOSE(CONTROL!$C$32, $C$9, 100%, $E$9)</f>
        <v>4.7775999999999996</v>
      </c>
      <c r="O164" s="11">
        <f>4.7829 * CHOOSE(CONTROL!$C$32, $C$9, 100%, $E$9)</f>
        <v>4.7828999999999997</v>
      </c>
      <c r="P164" s="14"/>
      <c r="Q164" s="14"/>
      <c r="R164" s="14"/>
    </row>
    <row r="165" spans="1:18" ht="15" x14ac:dyDescent="0.2">
      <c r="A165" s="13">
        <v>45870</v>
      </c>
      <c r="B165" s="9">
        <f>3.7607 * CHOOSE(CONTROL!$C$32, $C$9, 100%, $E$9)</f>
        <v>3.7606999999999999</v>
      </c>
      <c r="C165" s="9">
        <f>3.7607 * CHOOSE(CONTROL!$C$32, $C$9, 100%, $E$9)</f>
        <v>3.7606999999999999</v>
      </c>
      <c r="D165" s="9">
        <f>3.7623 * CHOOSE(CONTROL!$C$32, $C$9, 100%, $E$9)</f>
        <v>3.7623000000000002</v>
      </c>
      <c r="E165" s="11">
        <f>4.782 * CHOOSE(CONTROL!$C$32, $C$9, 100%, $E$9)</f>
        <v>4.782</v>
      </c>
      <c r="F165" s="11">
        <f>4.782 * CHOOSE(CONTROL!$C$32, $C$9, 100%, $E$9)</f>
        <v>4.782</v>
      </c>
      <c r="G165" s="11">
        <f>4.7873 * CHOOSE(CONTROL!$C$32, $C$9, 100%, $E$9)</f>
        <v>4.7873000000000001</v>
      </c>
      <c r="H165" s="11">
        <f>7.8987 * CHOOSE(CONTROL!$C$32, $C$9, 100%, $E$9)</f>
        <v>7.8986999999999998</v>
      </c>
      <c r="I165" s="11">
        <f>7.904 * CHOOSE(CONTROL!$C$32, $C$9, 100%, $E$9)</f>
        <v>7.9039999999999999</v>
      </c>
      <c r="J165" s="11">
        <f>7.8987 * CHOOSE(CONTROL!$C$32, $C$9, 100%, $E$9)</f>
        <v>7.8986999999999998</v>
      </c>
      <c r="K165" s="11">
        <f>7.904 * CHOOSE(CONTROL!$C$32, $C$9, 100%, $E$9)</f>
        <v>7.9039999999999999</v>
      </c>
      <c r="L165" s="11">
        <f>4.782 * CHOOSE(CONTROL!$C$32, $C$9, 100%, $E$9)</f>
        <v>4.782</v>
      </c>
      <c r="M165" s="11">
        <f>4.7873 * CHOOSE(CONTROL!$C$32, $C$9, 100%, $E$9)</f>
        <v>4.7873000000000001</v>
      </c>
      <c r="N165" s="11">
        <f>4.782 * CHOOSE(CONTROL!$C$32, $C$9, 100%, $E$9)</f>
        <v>4.782</v>
      </c>
      <c r="O165" s="11">
        <f>4.7873 * CHOOSE(CONTROL!$C$32, $C$9, 100%, $E$9)</f>
        <v>4.7873000000000001</v>
      </c>
      <c r="P165" s="14"/>
      <c r="Q165" s="14"/>
      <c r="R165" s="14"/>
    </row>
    <row r="166" spans="1:18" ht="15" x14ac:dyDescent="0.2">
      <c r="A166" s="13">
        <v>45901</v>
      </c>
      <c r="B166" s="9">
        <f>3.7577 * CHOOSE(CONTROL!$C$32, $C$9, 100%, $E$9)</f>
        <v>3.7576999999999998</v>
      </c>
      <c r="C166" s="9">
        <f>3.7577 * CHOOSE(CONTROL!$C$32, $C$9, 100%, $E$9)</f>
        <v>3.7576999999999998</v>
      </c>
      <c r="D166" s="9">
        <f>3.7593 * CHOOSE(CONTROL!$C$32, $C$9, 100%, $E$9)</f>
        <v>3.7593000000000001</v>
      </c>
      <c r="E166" s="11">
        <f>4.78 * CHOOSE(CONTROL!$C$32, $C$9, 100%, $E$9)</f>
        <v>4.78</v>
      </c>
      <c r="F166" s="11">
        <f>4.78 * CHOOSE(CONTROL!$C$32, $C$9, 100%, $E$9)</f>
        <v>4.78</v>
      </c>
      <c r="G166" s="11">
        <f>4.7853 * CHOOSE(CONTROL!$C$32, $C$9, 100%, $E$9)</f>
        <v>4.7853000000000003</v>
      </c>
      <c r="H166" s="11">
        <f>7.9151 * CHOOSE(CONTROL!$C$32, $C$9, 100%, $E$9)</f>
        <v>7.9150999999999998</v>
      </c>
      <c r="I166" s="11">
        <f>7.9204 * CHOOSE(CONTROL!$C$32, $C$9, 100%, $E$9)</f>
        <v>7.9203999999999999</v>
      </c>
      <c r="J166" s="11">
        <f>7.9151 * CHOOSE(CONTROL!$C$32, $C$9, 100%, $E$9)</f>
        <v>7.9150999999999998</v>
      </c>
      <c r="K166" s="11">
        <f>7.9204 * CHOOSE(CONTROL!$C$32, $C$9, 100%, $E$9)</f>
        <v>7.9203999999999999</v>
      </c>
      <c r="L166" s="11">
        <f>4.78 * CHOOSE(CONTROL!$C$32, $C$9, 100%, $E$9)</f>
        <v>4.78</v>
      </c>
      <c r="M166" s="11">
        <f>4.7853 * CHOOSE(CONTROL!$C$32, $C$9, 100%, $E$9)</f>
        <v>4.7853000000000003</v>
      </c>
      <c r="N166" s="11">
        <f>4.78 * CHOOSE(CONTROL!$C$32, $C$9, 100%, $E$9)</f>
        <v>4.78</v>
      </c>
      <c r="O166" s="11">
        <f>4.7853 * CHOOSE(CONTROL!$C$32, $C$9, 100%, $E$9)</f>
        <v>4.7853000000000003</v>
      </c>
      <c r="P166" s="14"/>
      <c r="Q166" s="14"/>
      <c r="R166" s="14"/>
    </row>
    <row r="167" spans="1:18" ht="15" x14ac:dyDescent="0.2">
      <c r="A167" s="13">
        <v>45931</v>
      </c>
      <c r="B167" s="9">
        <f>3.7519 * CHOOSE(CONTROL!$C$32, $C$9, 100%, $E$9)</f>
        <v>3.7519</v>
      </c>
      <c r="C167" s="9">
        <f>3.7519 * CHOOSE(CONTROL!$C$32, $C$9, 100%, $E$9)</f>
        <v>3.7519</v>
      </c>
      <c r="D167" s="9">
        <f>3.753 * CHOOSE(CONTROL!$C$32, $C$9, 100%, $E$9)</f>
        <v>3.7530000000000001</v>
      </c>
      <c r="E167" s="11">
        <f>4.7743 * CHOOSE(CONTROL!$C$32, $C$9, 100%, $E$9)</f>
        <v>4.7743000000000002</v>
      </c>
      <c r="F167" s="11">
        <f>4.7743 * CHOOSE(CONTROL!$C$32, $C$9, 100%, $E$9)</f>
        <v>4.7743000000000002</v>
      </c>
      <c r="G167" s="11">
        <f>4.7779 * CHOOSE(CONTROL!$C$32, $C$9, 100%, $E$9)</f>
        <v>4.7778999999999998</v>
      </c>
      <c r="H167" s="11">
        <f>7.9316 * CHOOSE(CONTROL!$C$32, $C$9, 100%, $E$9)</f>
        <v>7.9316000000000004</v>
      </c>
      <c r="I167" s="11">
        <f>7.9352 * CHOOSE(CONTROL!$C$32, $C$9, 100%, $E$9)</f>
        <v>7.9352</v>
      </c>
      <c r="J167" s="11">
        <f>7.9316 * CHOOSE(CONTROL!$C$32, $C$9, 100%, $E$9)</f>
        <v>7.9316000000000004</v>
      </c>
      <c r="K167" s="11">
        <f>7.9352 * CHOOSE(CONTROL!$C$32, $C$9, 100%, $E$9)</f>
        <v>7.9352</v>
      </c>
      <c r="L167" s="11">
        <f>4.7743 * CHOOSE(CONTROL!$C$32, $C$9, 100%, $E$9)</f>
        <v>4.7743000000000002</v>
      </c>
      <c r="M167" s="11">
        <f>4.7779 * CHOOSE(CONTROL!$C$32, $C$9, 100%, $E$9)</f>
        <v>4.7778999999999998</v>
      </c>
      <c r="N167" s="11">
        <f>4.7743 * CHOOSE(CONTROL!$C$32, $C$9, 100%, $E$9)</f>
        <v>4.7743000000000002</v>
      </c>
      <c r="O167" s="11">
        <f>4.7779 * CHOOSE(CONTROL!$C$32, $C$9, 100%, $E$9)</f>
        <v>4.7778999999999998</v>
      </c>
      <c r="P167" s="14"/>
      <c r="Q167" s="14"/>
      <c r="R167" s="14"/>
    </row>
    <row r="168" spans="1:18" ht="15" x14ac:dyDescent="0.2">
      <c r="A168" s="13">
        <v>45962</v>
      </c>
      <c r="B168" s="9">
        <f>3.755 * CHOOSE(CONTROL!$C$32, $C$9, 100%, $E$9)</f>
        <v>3.7549999999999999</v>
      </c>
      <c r="C168" s="9">
        <f>3.755 * CHOOSE(CONTROL!$C$32, $C$9, 100%, $E$9)</f>
        <v>3.7549999999999999</v>
      </c>
      <c r="D168" s="9">
        <f>3.7561 * CHOOSE(CONTROL!$C$32, $C$9, 100%, $E$9)</f>
        <v>3.7561</v>
      </c>
      <c r="E168" s="11">
        <f>4.7763 * CHOOSE(CONTROL!$C$32, $C$9, 100%, $E$9)</f>
        <v>4.7763</v>
      </c>
      <c r="F168" s="11">
        <f>4.7763 * CHOOSE(CONTROL!$C$32, $C$9, 100%, $E$9)</f>
        <v>4.7763</v>
      </c>
      <c r="G168" s="11">
        <f>4.7799 * CHOOSE(CONTROL!$C$32, $C$9, 100%, $E$9)</f>
        <v>4.7798999999999996</v>
      </c>
      <c r="H168" s="11">
        <f>7.9482 * CHOOSE(CONTROL!$C$32, $C$9, 100%, $E$9)</f>
        <v>7.9481999999999999</v>
      </c>
      <c r="I168" s="11">
        <f>7.9518 * CHOOSE(CONTROL!$C$32, $C$9, 100%, $E$9)</f>
        <v>7.9518000000000004</v>
      </c>
      <c r="J168" s="11">
        <f>7.9482 * CHOOSE(CONTROL!$C$32, $C$9, 100%, $E$9)</f>
        <v>7.9481999999999999</v>
      </c>
      <c r="K168" s="11">
        <f>7.9518 * CHOOSE(CONTROL!$C$32, $C$9, 100%, $E$9)</f>
        <v>7.9518000000000004</v>
      </c>
      <c r="L168" s="11">
        <f>4.7763 * CHOOSE(CONTROL!$C$32, $C$9, 100%, $E$9)</f>
        <v>4.7763</v>
      </c>
      <c r="M168" s="11">
        <f>4.7799 * CHOOSE(CONTROL!$C$32, $C$9, 100%, $E$9)</f>
        <v>4.7798999999999996</v>
      </c>
      <c r="N168" s="11">
        <f>4.7763 * CHOOSE(CONTROL!$C$32, $C$9, 100%, $E$9)</f>
        <v>4.7763</v>
      </c>
      <c r="O168" s="11">
        <f>4.7799 * CHOOSE(CONTROL!$C$32, $C$9, 100%, $E$9)</f>
        <v>4.7798999999999996</v>
      </c>
    </row>
    <row r="169" spans="1:18" ht="15" x14ac:dyDescent="0.2">
      <c r="A169" s="13">
        <v>45992</v>
      </c>
      <c r="B169" s="9">
        <f>3.755 * CHOOSE(CONTROL!$C$32, $C$9, 100%, $E$9)</f>
        <v>3.7549999999999999</v>
      </c>
      <c r="C169" s="9">
        <f>3.755 * CHOOSE(CONTROL!$C$32, $C$9, 100%, $E$9)</f>
        <v>3.7549999999999999</v>
      </c>
      <c r="D169" s="9">
        <f>3.7561 * CHOOSE(CONTROL!$C$32, $C$9, 100%, $E$9)</f>
        <v>3.7561</v>
      </c>
      <c r="E169" s="11">
        <f>4.7763 * CHOOSE(CONTROL!$C$32, $C$9, 100%, $E$9)</f>
        <v>4.7763</v>
      </c>
      <c r="F169" s="11">
        <f>4.7763 * CHOOSE(CONTROL!$C$32, $C$9, 100%, $E$9)</f>
        <v>4.7763</v>
      </c>
      <c r="G169" s="11">
        <f>4.7799 * CHOOSE(CONTROL!$C$32, $C$9, 100%, $E$9)</f>
        <v>4.7798999999999996</v>
      </c>
      <c r="H169" s="11">
        <f>7.9647 * CHOOSE(CONTROL!$C$32, $C$9, 100%, $E$9)</f>
        <v>7.9646999999999997</v>
      </c>
      <c r="I169" s="11">
        <f>7.9683 * CHOOSE(CONTROL!$C$32, $C$9, 100%, $E$9)</f>
        <v>7.9683000000000002</v>
      </c>
      <c r="J169" s="11">
        <f>7.9647 * CHOOSE(CONTROL!$C$32, $C$9, 100%, $E$9)</f>
        <v>7.9646999999999997</v>
      </c>
      <c r="K169" s="11">
        <f>7.9683 * CHOOSE(CONTROL!$C$32, $C$9, 100%, $E$9)</f>
        <v>7.9683000000000002</v>
      </c>
      <c r="L169" s="11">
        <f>4.7763 * CHOOSE(CONTROL!$C$32, $C$9, 100%, $E$9)</f>
        <v>4.7763</v>
      </c>
      <c r="M169" s="11">
        <f>4.7799 * CHOOSE(CONTROL!$C$32, $C$9, 100%, $E$9)</f>
        <v>4.7798999999999996</v>
      </c>
      <c r="N169" s="11">
        <f>4.7763 * CHOOSE(CONTROL!$C$32, $C$9, 100%, $E$9)</f>
        <v>4.7763</v>
      </c>
      <c r="O169" s="11">
        <f>4.7799 * CHOOSE(CONTROL!$C$32, $C$9, 100%, $E$9)</f>
        <v>4.7798999999999996</v>
      </c>
    </row>
    <row r="170" spans="1:18" ht="15" x14ac:dyDescent="0.2">
      <c r="A170" s="13">
        <v>46023</v>
      </c>
      <c r="B170" s="9">
        <f>3.7892 * CHOOSE(CONTROL!$C$32, $C$9, 100%, $E$9)</f>
        <v>3.7892000000000001</v>
      </c>
      <c r="C170" s="9">
        <f>3.7892 * CHOOSE(CONTROL!$C$32, $C$9, 100%, $E$9)</f>
        <v>3.7892000000000001</v>
      </c>
      <c r="D170" s="9">
        <f>3.7902 * CHOOSE(CONTROL!$C$32, $C$9, 100%, $E$9)</f>
        <v>3.7902</v>
      </c>
      <c r="E170" s="11">
        <f>4.8185 * CHOOSE(CONTROL!$C$32, $C$9, 100%, $E$9)</f>
        <v>4.8185000000000002</v>
      </c>
      <c r="F170" s="11">
        <f>4.8185 * CHOOSE(CONTROL!$C$32, $C$9, 100%, $E$9)</f>
        <v>4.8185000000000002</v>
      </c>
      <c r="G170" s="11">
        <f>4.8221 * CHOOSE(CONTROL!$C$32, $C$9, 100%, $E$9)</f>
        <v>4.8220999999999998</v>
      </c>
      <c r="H170" s="11">
        <f>7.9813 * CHOOSE(CONTROL!$C$32, $C$9, 100%, $E$9)</f>
        <v>7.9813000000000001</v>
      </c>
      <c r="I170" s="11">
        <f>7.9849 * CHOOSE(CONTROL!$C$32, $C$9, 100%, $E$9)</f>
        <v>7.9848999999999997</v>
      </c>
      <c r="J170" s="11">
        <f>7.9813 * CHOOSE(CONTROL!$C$32, $C$9, 100%, $E$9)</f>
        <v>7.9813000000000001</v>
      </c>
      <c r="K170" s="11">
        <f>7.9849 * CHOOSE(CONTROL!$C$32, $C$9, 100%, $E$9)</f>
        <v>7.9848999999999997</v>
      </c>
      <c r="L170" s="11">
        <f>4.8185 * CHOOSE(CONTROL!$C$32, $C$9, 100%, $E$9)</f>
        <v>4.8185000000000002</v>
      </c>
      <c r="M170" s="11">
        <f>4.8221 * CHOOSE(CONTROL!$C$32, $C$9, 100%, $E$9)</f>
        <v>4.8220999999999998</v>
      </c>
      <c r="N170" s="11">
        <f>4.8185 * CHOOSE(CONTROL!$C$32, $C$9, 100%, $E$9)</f>
        <v>4.8185000000000002</v>
      </c>
      <c r="O170" s="11">
        <f>4.8221 * CHOOSE(CONTROL!$C$32, $C$9, 100%, $E$9)</f>
        <v>4.8220999999999998</v>
      </c>
    </row>
    <row r="171" spans="1:18" ht="15" x14ac:dyDescent="0.2">
      <c r="A171" s="13">
        <v>46054</v>
      </c>
      <c r="B171" s="9">
        <f>3.7861 * CHOOSE(CONTROL!$C$32, $C$9, 100%, $E$9)</f>
        <v>3.7860999999999998</v>
      </c>
      <c r="C171" s="9">
        <f>3.7861 * CHOOSE(CONTROL!$C$32, $C$9, 100%, $E$9)</f>
        <v>3.7860999999999998</v>
      </c>
      <c r="D171" s="9">
        <f>3.7872 * CHOOSE(CONTROL!$C$32, $C$9, 100%, $E$9)</f>
        <v>3.7871999999999999</v>
      </c>
      <c r="E171" s="11">
        <f>4.8165 * CHOOSE(CONTROL!$C$32, $C$9, 100%, $E$9)</f>
        <v>4.8164999999999996</v>
      </c>
      <c r="F171" s="11">
        <f>4.8165 * CHOOSE(CONTROL!$C$32, $C$9, 100%, $E$9)</f>
        <v>4.8164999999999996</v>
      </c>
      <c r="G171" s="11">
        <f>4.8201 * CHOOSE(CONTROL!$C$32, $C$9, 100%, $E$9)</f>
        <v>4.8201000000000001</v>
      </c>
      <c r="H171" s="11">
        <f>7.9979 * CHOOSE(CONTROL!$C$32, $C$9, 100%, $E$9)</f>
        <v>7.9978999999999996</v>
      </c>
      <c r="I171" s="11">
        <f>8.0015 * CHOOSE(CONTROL!$C$32, $C$9, 100%, $E$9)</f>
        <v>8.0015000000000001</v>
      </c>
      <c r="J171" s="11">
        <f>7.9979 * CHOOSE(CONTROL!$C$32, $C$9, 100%, $E$9)</f>
        <v>7.9978999999999996</v>
      </c>
      <c r="K171" s="11">
        <f>8.0015 * CHOOSE(CONTROL!$C$32, $C$9, 100%, $E$9)</f>
        <v>8.0015000000000001</v>
      </c>
      <c r="L171" s="11">
        <f>4.8165 * CHOOSE(CONTROL!$C$32, $C$9, 100%, $E$9)</f>
        <v>4.8164999999999996</v>
      </c>
      <c r="M171" s="11">
        <f>4.8201 * CHOOSE(CONTROL!$C$32, $C$9, 100%, $E$9)</f>
        <v>4.8201000000000001</v>
      </c>
      <c r="N171" s="11">
        <f>4.8165 * CHOOSE(CONTROL!$C$32, $C$9, 100%, $E$9)</f>
        <v>4.8164999999999996</v>
      </c>
      <c r="O171" s="11">
        <f>4.8201 * CHOOSE(CONTROL!$C$32, $C$9, 100%, $E$9)</f>
        <v>4.8201000000000001</v>
      </c>
    </row>
    <row r="172" spans="1:18" ht="15" x14ac:dyDescent="0.2">
      <c r="A172" s="13">
        <v>46082</v>
      </c>
      <c r="B172" s="9">
        <f>3.7831 * CHOOSE(CONTROL!$C$32, $C$9, 100%, $E$9)</f>
        <v>3.7831000000000001</v>
      </c>
      <c r="C172" s="9">
        <f>3.7831 * CHOOSE(CONTROL!$C$32, $C$9, 100%, $E$9)</f>
        <v>3.7831000000000001</v>
      </c>
      <c r="D172" s="9">
        <f>3.7842 * CHOOSE(CONTROL!$C$32, $C$9, 100%, $E$9)</f>
        <v>3.7841999999999998</v>
      </c>
      <c r="E172" s="11">
        <f>4.8145 * CHOOSE(CONTROL!$C$32, $C$9, 100%, $E$9)</f>
        <v>4.8144999999999998</v>
      </c>
      <c r="F172" s="11">
        <f>4.8145 * CHOOSE(CONTROL!$C$32, $C$9, 100%, $E$9)</f>
        <v>4.8144999999999998</v>
      </c>
      <c r="G172" s="11">
        <f>4.8181 * CHOOSE(CONTROL!$C$32, $C$9, 100%, $E$9)</f>
        <v>4.8181000000000003</v>
      </c>
      <c r="H172" s="11">
        <f>8.0146 * CHOOSE(CONTROL!$C$32, $C$9, 100%, $E$9)</f>
        <v>8.0145999999999997</v>
      </c>
      <c r="I172" s="11">
        <f>8.0182 * CHOOSE(CONTROL!$C$32, $C$9, 100%, $E$9)</f>
        <v>8.0182000000000002</v>
      </c>
      <c r="J172" s="11">
        <f>8.0146 * CHOOSE(CONTROL!$C$32, $C$9, 100%, $E$9)</f>
        <v>8.0145999999999997</v>
      </c>
      <c r="K172" s="11">
        <f>8.0182 * CHOOSE(CONTROL!$C$32, $C$9, 100%, $E$9)</f>
        <v>8.0182000000000002</v>
      </c>
      <c r="L172" s="11">
        <f>4.8145 * CHOOSE(CONTROL!$C$32, $C$9, 100%, $E$9)</f>
        <v>4.8144999999999998</v>
      </c>
      <c r="M172" s="11">
        <f>4.8181 * CHOOSE(CONTROL!$C$32, $C$9, 100%, $E$9)</f>
        <v>4.8181000000000003</v>
      </c>
      <c r="N172" s="11">
        <f>4.8145 * CHOOSE(CONTROL!$C$32, $C$9, 100%, $E$9)</f>
        <v>4.8144999999999998</v>
      </c>
      <c r="O172" s="11">
        <f>4.8181 * CHOOSE(CONTROL!$C$32, $C$9, 100%, $E$9)</f>
        <v>4.8181000000000003</v>
      </c>
    </row>
    <row r="173" spans="1:18" ht="15" x14ac:dyDescent="0.2">
      <c r="A173" s="13">
        <v>46113</v>
      </c>
      <c r="B173" s="9">
        <f>3.7805 * CHOOSE(CONTROL!$C$32, $C$9, 100%, $E$9)</f>
        <v>3.7805</v>
      </c>
      <c r="C173" s="9">
        <f>3.7805 * CHOOSE(CONTROL!$C$32, $C$9, 100%, $E$9)</f>
        <v>3.7805</v>
      </c>
      <c r="D173" s="9">
        <f>3.7816 * CHOOSE(CONTROL!$C$32, $C$9, 100%, $E$9)</f>
        <v>3.7816000000000001</v>
      </c>
      <c r="E173" s="11">
        <f>4.8123 * CHOOSE(CONTROL!$C$32, $C$9, 100%, $E$9)</f>
        <v>4.8122999999999996</v>
      </c>
      <c r="F173" s="11">
        <f>4.8123 * CHOOSE(CONTROL!$C$32, $C$9, 100%, $E$9)</f>
        <v>4.8122999999999996</v>
      </c>
      <c r="G173" s="11">
        <f>4.816 * CHOOSE(CONTROL!$C$32, $C$9, 100%, $E$9)</f>
        <v>4.8159999999999998</v>
      </c>
      <c r="H173" s="11">
        <f>8.0313 * CHOOSE(CONTROL!$C$32, $C$9, 100%, $E$9)</f>
        <v>8.0312999999999999</v>
      </c>
      <c r="I173" s="11">
        <f>8.0349 * CHOOSE(CONTROL!$C$32, $C$9, 100%, $E$9)</f>
        <v>8.0349000000000004</v>
      </c>
      <c r="J173" s="11">
        <f>8.0313 * CHOOSE(CONTROL!$C$32, $C$9, 100%, $E$9)</f>
        <v>8.0312999999999999</v>
      </c>
      <c r="K173" s="11">
        <f>8.0349 * CHOOSE(CONTROL!$C$32, $C$9, 100%, $E$9)</f>
        <v>8.0349000000000004</v>
      </c>
      <c r="L173" s="11">
        <f>4.8123 * CHOOSE(CONTROL!$C$32, $C$9, 100%, $E$9)</f>
        <v>4.8122999999999996</v>
      </c>
      <c r="M173" s="11">
        <f>4.816 * CHOOSE(CONTROL!$C$32, $C$9, 100%, $E$9)</f>
        <v>4.8159999999999998</v>
      </c>
      <c r="N173" s="11">
        <f>4.8123 * CHOOSE(CONTROL!$C$32, $C$9, 100%, $E$9)</f>
        <v>4.8122999999999996</v>
      </c>
      <c r="O173" s="11">
        <f>4.816 * CHOOSE(CONTROL!$C$32, $C$9, 100%, $E$9)</f>
        <v>4.8159999999999998</v>
      </c>
    </row>
    <row r="174" spans="1:18" ht="15" x14ac:dyDescent="0.2">
      <c r="A174" s="13">
        <v>46143</v>
      </c>
      <c r="B174" s="9">
        <f>3.7805 * CHOOSE(CONTROL!$C$32, $C$9, 100%, $E$9)</f>
        <v>3.7805</v>
      </c>
      <c r="C174" s="9">
        <f>3.7805 * CHOOSE(CONTROL!$C$32, $C$9, 100%, $E$9)</f>
        <v>3.7805</v>
      </c>
      <c r="D174" s="9">
        <f>3.7821 * CHOOSE(CONTROL!$C$32, $C$9, 100%, $E$9)</f>
        <v>3.7820999999999998</v>
      </c>
      <c r="E174" s="11">
        <f>4.8123 * CHOOSE(CONTROL!$C$32, $C$9, 100%, $E$9)</f>
        <v>4.8122999999999996</v>
      </c>
      <c r="F174" s="11">
        <f>4.8123 * CHOOSE(CONTROL!$C$32, $C$9, 100%, $E$9)</f>
        <v>4.8122999999999996</v>
      </c>
      <c r="G174" s="11">
        <f>4.8176 * CHOOSE(CONTROL!$C$32, $C$9, 100%, $E$9)</f>
        <v>4.8175999999999997</v>
      </c>
      <c r="H174" s="11">
        <f>8.048 * CHOOSE(CONTROL!$C$32, $C$9, 100%, $E$9)</f>
        <v>8.048</v>
      </c>
      <c r="I174" s="11">
        <f>8.0533 * CHOOSE(CONTROL!$C$32, $C$9, 100%, $E$9)</f>
        <v>8.0533000000000001</v>
      </c>
      <c r="J174" s="11">
        <f>8.048 * CHOOSE(CONTROL!$C$32, $C$9, 100%, $E$9)</f>
        <v>8.048</v>
      </c>
      <c r="K174" s="11">
        <f>8.0533 * CHOOSE(CONTROL!$C$32, $C$9, 100%, $E$9)</f>
        <v>8.0533000000000001</v>
      </c>
      <c r="L174" s="11">
        <f>4.8123 * CHOOSE(CONTROL!$C$32, $C$9, 100%, $E$9)</f>
        <v>4.8122999999999996</v>
      </c>
      <c r="M174" s="11">
        <f>4.8176 * CHOOSE(CONTROL!$C$32, $C$9, 100%, $E$9)</f>
        <v>4.8175999999999997</v>
      </c>
      <c r="N174" s="11">
        <f>4.8123 * CHOOSE(CONTROL!$C$32, $C$9, 100%, $E$9)</f>
        <v>4.8122999999999996</v>
      </c>
      <c r="O174" s="11">
        <f>4.8176 * CHOOSE(CONTROL!$C$32, $C$9, 100%, $E$9)</f>
        <v>4.8175999999999997</v>
      </c>
    </row>
    <row r="175" spans="1:18" ht="15" x14ac:dyDescent="0.2">
      <c r="A175" s="13">
        <v>46174</v>
      </c>
      <c r="B175" s="9">
        <f>3.7866 * CHOOSE(CONTROL!$C$32, $C$9, 100%, $E$9)</f>
        <v>3.7866</v>
      </c>
      <c r="C175" s="9">
        <f>3.7866 * CHOOSE(CONTROL!$C$32, $C$9, 100%, $E$9)</f>
        <v>3.7866</v>
      </c>
      <c r="D175" s="9">
        <f>3.7882 * CHOOSE(CONTROL!$C$32, $C$9, 100%, $E$9)</f>
        <v>3.7881999999999998</v>
      </c>
      <c r="E175" s="11">
        <f>4.8163 * CHOOSE(CONTROL!$C$32, $C$9, 100%, $E$9)</f>
        <v>4.8163</v>
      </c>
      <c r="F175" s="11">
        <f>4.8163 * CHOOSE(CONTROL!$C$32, $C$9, 100%, $E$9)</f>
        <v>4.8163</v>
      </c>
      <c r="G175" s="11">
        <f>4.8216 * CHOOSE(CONTROL!$C$32, $C$9, 100%, $E$9)</f>
        <v>4.8216000000000001</v>
      </c>
      <c r="H175" s="11">
        <f>8.0648 * CHOOSE(CONTROL!$C$32, $C$9, 100%, $E$9)</f>
        <v>8.0648</v>
      </c>
      <c r="I175" s="11">
        <f>8.0701 * CHOOSE(CONTROL!$C$32, $C$9, 100%, $E$9)</f>
        <v>8.0701000000000001</v>
      </c>
      <c r="J175" s="11">
        <f>8.0648 * CHOOSE(CONTROL!$C$32, $C$9, 100%, $E$9)</f>
        <v>8.0648</v>
      </c>
      <c r="K175" s="11">
        <f>8.0701 * CHOOSE(CONTROL!$C$32, $C$9, 100%, $E$9)</f>
        <v>8.0701000000000001</v>
      </c>
      <c r="L175" s="11">
        <f>4.8163 * CHOOSE(CONTROL!$C$32, $C$9, 100%, $E$9)</f>
        <v>4.8163</v>
      </c>
      <c r="M175" s="11">
        <f>4.8216 * CHOOSE(CONTROL!$C$32, $C$9, 100%, $E$9)</f>
        <v>4.8216000000000001</v>
      </c>
      <c r="N175" s="11">
        <f>4.8163 * CHOOSE(CONTROL!$C$32, $C$9, 100%, $E$9)</f>
        <v>4.8163</v>
      </c>
      <c r="O175" s="11">
        <f>4.8216 * CHOOSE(CONTROL!$C$32, $C$9, 100%, $E$9)</f>
        <v>4.8216000000000001</v>
      </c>
    </row>
    <row r="176" spans="1:18" ht="15" x14ac:dyDescent="0.2">
      <c r="A176" s="13">
        <v>46204</v>
      </c>
      <c r="B176" s="9">
        <f>3.8506 * CHOOSE(CONTROL!$C$32, $C$9, 100%, $E$9)</f>
        <v>3.8506</v>
      </c>
      <c r="C176" s="9">
        <f>3.8506 * CHOOSE(CONTROL!$C$32, $C$9, 100%, $E$9)</f>
        <v>3.8506</v>
      </c>
      <c r="D176" s="9">
        <f>3.8522 * CHOOSE(CONTROL!$C$32, $C$9, 100%, $E$9)</f>
        <v>3.8521999999999998</v>
      </c>
      <c r="E176" s="11">
        <f>4.9098 * CHOOSE(CONTROL!$C$32, $C$9, 100%, $E$9)</f>
        <v>4.9097999999999997</v>
      </c>
      <c r="F176" s="11">
        <f>4.9098 * CHOOSE(CONTROL!$C$32, $C$9, 100%, $E$9)</f>
        <v>4.9097999999999997</v>
      </c>
      <c r="G176" s="11">
        <f>4.9151 * CHOOSE(CONTROL!$C$32, $C$9, 100%, $E$9)</f>
        <v>4.9150999999999998</v>
      </c>
      <c r="H176" s="11">
        <f>8.0816 * CHOOSE(CONTROL!$C$32, $C$9, 100%, $E$9)</f>
        <v>8.0815999999999999</v>
      </c>
      <c r="I176" s="11">
        <f>8.0869 * CHOOSE(CONTROL!$C$32, $C$9, 100%, $E$9)</f>
        <v>8.0869</v>
      </c>
      <c r="J176" s="11">
        <f>8.0816 * CHOOSE(CONTROL!$C$32, $C$9, 100%, $E$9)</f>
        <v>8.0815999999999999</v>
      </c>
      <c r="K176" s="11">
        <f>8.0869 * CHOOSE(CONTROL!$C$32, $C$9, 100%, $E$9)</f>
        <v>8.0869</v>
      </c>
      <c r="L176" s="11">
        <f>4.9098 * CHOOSE(CONTROL!$C$32, $C$9, 100%, $E$9)</f>
        <v>4.9097999999999997</v>
      </c>
      <c r="M176" s="11">
        <f>4.9151 * CHOOSE(CONTROL!$C$32, $C$9, 100%, $E$9)</f>
        <v>4.9150999999999998</v>
      </c>
      <c r="N176" s="11">
        <f>4.9098 * CHOOSE(CONTROL!$C$32, $C$9, 100%, $E$9)</f>
        <v>4.9097999999999997</v>
      </c>
      <c r="O176" s="11">
        <f>4.9151 * CHOOSE(CONTROL!$C$32, $C$9, 100%, $E$9)</f>
        <v>4.9150999999999998</v>
      </c>
    </row>
    <row r="177" spans="1:15" ht="15" x14ac:dyDescent="0.2">
      <c r="A177" s="13">
        <v>46235</v>
      </c>
      <c r="B177" s="9">
        <f>3.8573 * CHOOSE(CONTROL!$C$32, $C$9, 100%, $E$9)</f>
        <v>3.8573</v>
      </c>
      <c r="C177" s="9">
        <f>3.8573 * CHOOSE(CONTROL!$C$32, $C$9, 100%, $E$9)</f>
        <v>3.8573</v>
      </c>
      <c r="D177" s="9">
        <f>3.8589 * CHOOSE(CONTROL!$C$32, $C$9, 100%, $E$9)</f>
        <v>3.8589000000000002</v>
      </c>
      <c r="E177" s="11">
        <f>4.9142 * CHOOSE(CONTROL!$C$32, $C$9, 100%, $E$9)</f>
        <v>4.9142000000000001</v>
      </c>
      <c r="F177" s="11">
        <f>4.9142 * CHOOSE(CONTROL!$C$32, $C$9, 100%, $E$9)</f>
        <v>4.9142000000000001</v>
      </c>
      <c r="G177" s="11">
        <f>4.9195 * CHOOSE(CONTROL!$C$32, $C$9, 100%, $E$9)</f>
        <v>4.9195000000000002</v>
      </c>
      <c r="H177" s="11">
        <f>8.0984 * CHOOSE(CONTROL!$C$32, $C$9, 100%, $E$9)</f>
        <v>8.0983999999999998</v>
      </c>
      <c r="I177" s="11">
        <f>8.1037 * CHOOSE(CONTROL!$C$32, $C$9, 100%, $E$9)</f>
        <v>8.1036999999999999</v>
      </c>
      <c r="J177" s="11">
        <f>8.0984 * CHOOSE(CONTROL!$C$32, $C$9, 100%, $E$9)</f>
        <v>8.0983999999999998</v>
      </c>
      <c r="K177" s="11">
        <f>8.1037 * CHOOSE(CONTROL!$C$32, $C$9, 100%, $E$9)</f>
        <v>8.1036999999999999</v>
      </c>
      <c r="L177" s="11">
        <f>4.9142 * CHOOSE(CONTROL!$C$32, $C$9, 100%, $E$9)</f>
        <v>4.9142000000000001</v>
      </c>
      <c r="M177" s="11">
        <f>4.9195 * CHOOSE(CONTROL!$C$32, $C$9, 100%, $E$9)</f>
        <v>4.9195000000000002</v>
      </c>
      <c r="N177" s="11">
        <f>4.9142 * CHOOSE(CONTROL!$C$32, $C$9, 100%, $E$9)</f>
        <v>4.9142000000000001</v>
      </c>
      <c r="O177" s="11">
        <f>4.9195 * CHOOSE(CONTROL!$C$32, $C$9, 100%, $E$9)</f>
        <v>4.9195000000000002</v>
      </c>
    </row>
    <row r="178" spans="1:15" ht="15" x14ac:dyDescent="0.2">
      <c r="A178" s="13">
        <v>46266</v>
      </c>
      <c r="B178" s="9">
        <f>3.8543 * CHOOSE(CONTROL!$C$32, $C$9, 100%, $E$9)</f>
        <v>3.8542999999999998</v>
      </c>
      <c r="C178" s="9">
        <f>3.8543 * CHOOSE(CONTROL!$C$32, $C$9, 100%, $E$9)</f>
        <v>3.8542999999999998</v>
      </c>
      <c r="D178" s="9">
        <f>3.8558 * CHOOSE(CONTROL!$C$32, $C$9, 100%, $E$9)</f>
        <v>3.8557999999999999</v>
      </c>
      <c r="E178" s="11">
        <f>4.9122 * CHOOSE(CONTROL!$C$32, $C$9, 100%, $E$9)</f>
        <v>4.9122000000000003</v>
      </c>
      <c r="F178" s="11">
        <f>4.9122 * CHOOSE(CONTROL!$C$32, $C$9, 100%, $E$9)</f>
        <v>4.9122000000000003</v>
      </c>
      <c r="G178" s="11">
        <f>4.9175 * CHOOSE(CONTROL!$C$32, $C$9, 100%, $E$9)</f>
        <v>4.9175000000000004</v>
      </c>
      <c r="H178" s="11">
        <f>8.1153 * CHOOSE(CONTROL!$C$32, $C$9, 100%, $E$9)</f>
        <v>8.1152999999999995</v>
      </c>
      <c r="I178" s="11">
        <f>8.1206 * CHOOSE(CONTROL!$C$32, $C$9, 100%, $E$9)</f>
        <v>8.1205999999999996</v>
      </c>
      <c r="J178" s="11">
        <f>8.1153 * CHOOSE(CONTROL!$C$32, $C$9, 100%, $E$9)</f>
        <v>8.1152999999999995</v>
      </c>
      <c r="K178" s="11">
        <f>8.1206 * CHOOSE(CONTROL!$C$32, $C$9, 100%, $E$9)</f>
        <v>8.1205999999999996</v>
      </c>
      <c r="L178" s="11">
        <f>4.9122 * CHOOSE(CONTROL!$C$32, $C$9, 100%, $E$9)</f>
        <v>4.9122000000000003</v>
      </c>
      <c r="M178" s="11">
        <f>4.9175 * CHOOSE(CONTROL!$C$32, $C$9, 100%, $E$9)</f>
        <v>4.9175000000000004</v>
      </c>
      <c r="N178" s="11">
        <f>4.9122 * CHOOSE(CONTROL!$C$32, $C$9, 100%, $E$9)</f>
        <v>4.9122000000000003</v>
      </c>
      <c r="O178" s="11">
        <f>4.9175 * CHOOSE(CONTROL!$C$32, $C$9, 100%, $E$9)</f>
        <v>4.9175000000000004</v>
      </c>
    </row>
    <row r="179" spans="1:15" ht="15" x14ac:dyDescent="0.2">
      <c r="A179" s="13">
        <v>46296</v>
      </c>
      <c r="B179" s="9">
        <f>3.8489 * CHOOSE(CONTROL!$C$32, $C$9, 100%, $E$9)</f>
        <v>3.8489</v>
      </c>
      <c r="C179" s="9">
        <f>3.8489 * CHOOSE(CONTROL!$C$32, $C$9, 100%, $E$9)</f>
        <v>3.8489</v>
      </c>
      <c r="D179" s="9">
        <f>3.8499 * CHOOSE(CONTROL!$C$32, $C$9, 100%, $E$9)</f>
        <v>3.8498999999999999</v>
      </c>
      <c r="E179" s="11">
        <f>4.9067 * CHOOSE(CONTROL!$C$32, $C$9, 100%, $E$9)</f>
        <v>4.9066999999999998</v>
      </c>
      <c r="F179" s="11">
        <f>4.9067 * CHOOSE(CONTROL!$C$32, $C$9, 100%, $E$9)</f>
        <v>4.9066999999999998</v>
      </c>
      <c r="G179" s="11">
        <f>4.9103 * CHOOSE(CONTROL!$C$32, $C$9, 100%, $E$9)</f>
        <v>4.9103000000000003</v>
      </c>
      <c r="H179" s="11">
        <f>8.1322 * CHOOSE(CONTROL!$C$32, $C$9, 100%, $E$9)</f>
        <v>8.1321999999999992</v>
      </c>
      <c r="I179" s="11">
        <f>8.1358 * CHOOSE(CONTROL!$C$32, $C$9, 100%, $E$9)</f>
        <v>8.1357999999999997</v>
      </c>
      <c r="J179" s="11">
        <f>8.1322 * CHOOSE(CONTROL!$C$32, $C$9, 100%, $E$9)</f>
        <v>8.1321999999999992</v>
      </c>
      <c r="K179" s="11">
        <f>8.1358 * CHOOSE(CONTROL!$C$32, $C$9, 100%, $E$9)</f>
        <v>8.1357999999999997</v>
      </c>
      <c r="L179" s="11">
        <f>4.9067 * CHOOSE(CONTROL!$C$32, $C$9, 100%, $E$9)</f>
        <v>4.9066999999999998</v>
      </c>
      <c r="M179" s="11">
        <f>4.9103 * CHOOSE(CONTROL!$C$32, $C$9, 100%, $E$9)</f>
        <v>4.9103000000000003</v>
      </c>
      <c r="N179" s="11">
        <f>4.9067 * CHOOSE(CONTROL!$C$32, $C$9, 100%, $E$9)</f>
        <v>4.9066999999999998</v>
      </c>
      <c r="O179" s="11">
        <f>4.9103 * CHOOSE(CONTROL!$C$32, $C$9, 100%, $E$9)</f>
        <v>4.9103000000000003</v>
      </c>
    </row>
    <row r="180" spans="1:15" ht="15" x14ac:dyDescent="0.2">
      <c r="A180" s="13">
        <v>46327</v>
      </c>
      <c r="B180" s="9">
        <f>3.8519 * CHOOSE(CONTROL!$C$32, $C$9, 100%, $E$9)</f>
        <v>3.8519000000000001</v>
      </c>
      <c r="C180" s="9">
        <f>3.8519 * CHOOSE(CONTROL!$C$32, $C$9, 100%, $E$9)</f>
        <v>3.8519000000000001</v>
      </c>
      <c r="D180" s="9">
        <f>3.853 * CHOOSE(CONTROL!$C$32, $C$9, 100%, $E$9)</f>
        <v>3.8530000000000002</v>
      </c>
      <c r="E180" s="11">
        <f>4.9087 * CHOOSE(CONTROL!$C$32, $C$9, 100%, $E$9)</f>
        <v>4.9086999999999996</v>
      </c>
      <c r="F180" s="11">
        <f>4.9087 * CHOOSE(CONTROL!$C$32, $C$9, 100%, $E$9)</f>
        <v>4.9086999999999996</v>
      </c>
      <c r="G180" s="11">
        <f>4.9123 * CHOOSE(CONTROL!$C$32, $C$9, 100%, $E$9)</f>
        <v>4.9123000000000001</v>
      </c>
      <c r="H180" s="11">
        <f>8.1491 * CHOOSE(CONTROL!$C$32, $C$9, 100%, $E$9)</f>
        <v>8.1491000000000007</v>
      </c>
      <c r="I180" s="11">
        <f>8.1528 * CHOOSE(CONTROL!$C$32, $C$9, 100%, $E$9)</f>
        <v>8.1527999999999992</v>
      </c>
      <c r="J180" s="11">
        <f>8.1491 * CHOOSE(CONTROL!$C$32, $C$9, 100%, $E$9)</f>
        <v>8.1491000000000007</v>
      </c>
      <c r="K180" s="11">
        <f>8.1528 * CHOOSE(CONTROL!$C$32, $C$9, 100%, $E$9)</f>
        <v>8.1527999999999992</v>
      </c>
      <c r="L180" s="11">
        <f>4.9087 * CHOOSE(CONTROL!$C$32, $C$9, 100%, $E$9)</f>
        <v>4.9086999999999996</v>
      </c>
      <c r="M180" s="11">
        <f>4.9123 * CHOOSE(CONTROL!$C$32, $C$9, 100%, $E$9)</f>
        <v>4.9123000000000001</v>
      </c>
      <c r="N180" s="11">
        <f>4.9087 * CHOOSE(CONTROL!$C$32, $C$9, 100%, $E$9)</f>
        <v>4.9086999999999996</v>
      </c>
      <c r="O180" s="11">
        <f>4.9123 * CHOOSE(CONTROL!$C$32, $C$9, 100%, $E$9)</f>
        <v>4.9123000000000001</v>
      </c>
    </row>
    <row r="181" spans="1:15" ht="15" x14ac:dyDescent="0.2">
      <c r="A181" s="13">
        <v>46357</v>
      </c>
      <c r="B181" s="9">
        <f>3.8519 * CHOOSE(CONTROL!$C$32, $C$9, 100%, $E$9)</f>
        <v>3.8519000000000001</v>
      </c>
      <c r="C181" s="9">
        <f>3.8519 * CHOOSE(CONTROL!$C$32, $C$9, 100%, $E$9)</f>
        <v>3.8519000000000001</v>
      </c>
      <c r="D181" s="9">
        <f>3.853 * CHOOSE(CONTROL!$C$32, $C$9, 100%, $E$9)</f>
        <v>3.8530000000000002</v>
      </c>
      <c r="E181" s="11">
        <f>4.9087 * CHOOSE(CONTROL!$C$32, $C$9, 100%, $E$9)</f>
        <v>4.9086999999999996</v>
      </c>
      <c r="F181" s="11">
        <f>4.9087 * CHOOSE(CONTROL!$C$32, $C$9, 100%, $E$9)</f>
        <v>4.9086999999999996</v>
      </c>
      <c r="G181" s="11">
        <f>4.9123 * CHOOSE(CONTROL!$C$32, $C$9, 100%, $E$9)</f>
        <v>4.9123000000000001</v>
      </c>
      <c r="H181" s="11">
        <f>8.1661 * CHOOSE(CONTROL!$C$32, $C$9, 100%, $E$9)</f>
        <v>8.1661000000000001</v>
      </c>
      <c r="I181" s="11">
        <f>8.1697 * CHOOSE(CONTROL!$C$32, $C$9, 100%, $E$9)</f>
        <v>8.1697000000000006</v>
      </c>
      <c r="J181" s="11">
        <f>8.1661 * CHOOSE(CONTROL!$C$32, $C$9, 100%, $E$9)</f>
        <v>8.1661000000000001</v>
      </c>
      <c r="K181" s="11">
        <f>8.1697 * CHOOSE(CONTROL!$C$32, $C$9, 100%, $E$9)</f>
        <v>8.1697000000000006</v>
      </c>
      <c r="L181" s="11">
        <f>4.9087 * CHOOSE(CONTROL!$C$32, $C$9, 100%, $E$9)</f>
        <v>4.9086999999999996</v>
      </c>
      <c r="M181" s="11">
        <f>4.9123 * CHOOSE(CONTROL!$C$32, $C$9, 100%, $E$9)</f>
        <v>4.9123000000000001</v>
      </c>
      <c r="N181" s="11">
        <f>4.9087 * CHOOSE(CONTROL!$C$32, $C$9, 100%, $E$9)</f>
        <v>4.9086999999999996</v>
      </c>
      <c r="O181" s="11">
        <f>4.9123 * CHOOSE(CONTROL!$C$32, $C$9, 100%, $E$9)</f>
        <v>4.9123000000000001</v>
      </c>
    </row>
    <row r="182" spans="1:15" ht="15" x14ac:dyDescent="0.2">
      <c r="A182" s="13">
        <v>46388</v>
      </c>
      <c r="B182" s="9">
        <f>3.8871 * CHOOSE(CONTROL!$C$32, $C$9, 100%, $E$9)</f>
        <v>3.8871000000000002</v>
      </c>
      <c r="C182" s="9">
        <f>3.8871 * CHOOSE(CONTROL!$C$32, $C$9, 100%, $E$9)</f>
        <v>3.8871000000000002</v>
      </c>
      <c r="D182" s="9">
        <f>3.8882 * CHOOSE(CONTROL!$C$32, $C$9, 100%, $E$9)</f>
        <v>3.8881999999999999</v>
      </c>
      <c r="E182" s="11">
        <f>4.9479 * CHOOSE(CONTROL!$C$32, $C$9, 100%, $E$9)</f>
        <v>4.9478999999999997</v>
      </c>
      <c r="F182" s="11">
        <f>4.9479 * CHOOSE(CONTROL!$C$32, $C$9, 100%, $E$9)</f>
        <v>4.9478999999999997</v>
      </c>
      <c r="G182" s="11">
        <f>4.9515 * CHOOSE(CONTROL!$C$32, $C$9, 100%, $E$9)</f>
        <v>4.9515000000000002</v>
      </c>
      <c r="H182" s="11">
        <f>8.1831 * CHOOSE(CONTROL!$C$32, $C$9, 100%, $E$9)</f>
        <v>8.1830999999999996</v>
      </c>
      <c r="I182" s="11">
        <f>8.1868 * CHOOSE(CONTROL!$C$32, $C$9, 100%, $E$9)</f>
        <v>8.1867999999999999</v>
      </c>
      <c r="J182" s="11">
        <f>8.1831 * CHOOSE(CONTROL!$C$32, $C$9, 100%, $E$9)</f>
        <v>8.1830999999999996</v>
      </c>
      <c r="K182" s="11">
        <f>8.1868 * CHOOSE(CONTROL!$C$32, $C$9, 100%, $E$9)</f>
        <v>8.1867999999999999</v>
      </c>
      <c r="L182" s="11">
        <f>4.9479 * CHOOSE(CONTROL!$C$32, $C$9, 100%, $E$9)</f>
        <v>4.9478999999999997</v>
      </c>
      <c r="M182" s="11">
        <f>4.9515 * CHOOSE(CONTROL!$C$32, $C$9, 100%, $E$9)</f>
        <v>4.9515000000000002</v>
      </c>
      <c r="N182" s="11">
        <f>4.9479 * CHOOSE(CONTROL!$C$32, $C$9, 100%, $E$9)</f>
        <v>4.9478999999999997</v>
      </c>
      <c r="O182" s="11">
        <f>4.9515 * CHOOSE(CONTROL!$C$32, $C$9, 100%, $E$9)</f>
        <v>4.9515000000000002</v>
      </c>
    </row>
    <row r="183" spans="1:15" ht="15" x14ac:dyDescent="0.2">
      <c r="A183" s="13">
        <v>46419</v>
      </c>
      <c r="B183" s="9">
        <f>3.884 * CHOOSE(CONTROL!$C$32, $C$9, 100%, $E$9)</f>
        <v>3.8839999999999999</v>
      </c>
      <c r="C183" s="9">
        <f>3.884 * CHOOSE(CONTROL!$C$32, $C$9, 100%, $E$9)</f>
        <v>3.8839999999999999</v>
      </c>
      <c r="D183" s="9">
        <f>3.8851 * CHOOSE(CONTROL!$C$32, $C$9, 100%, $E$9)</f>
        <v>3.8851</v>
      </c>
      <c r="E183" s="11">
        <f>4.9459 * CHOOSE(CONTROL!$C$32, $C$9, 100%, $E$9)</f>
        <v>4.9459</v>
      </c>
      <c r="F183" s="11">
        <f>4.9459 * CHOOSE(CONTROL!$C$32, $C$9, 100%, $E$9)</f>
        <v>4.9459</v>
      </c>
      <c r="G183" s="11">
        <f>4.9495 * CHOOSE(CONTROL!$C$32, $C$9, 100%, $E$9)</f>
        <v>4.9494999999999996</v>
      </c>
      <c r="H183" s="11">
        <f>8.2002 * CHOOSE(CONTROL!$C$32, $C$9, 100%, $E$9)</f>
        <v>8.2002000000000006</v>
      </c>
      <c r="I183" s="11">
        <f>8.2038 * CHOOSE(CONTROL!$C$32, $C$9, 100%, $E$9)</f>
        <v>8.2037999999999993</v>
      </c>
      <c r="J183" s="11">
        <f>8.2002 * CHOOSE(CONTROL!$C$32, $C$9, 100%, $E$9)</f>
        <v>8.2002000000000006</v>
      </c>
      <c r="K183" s="11">
        <f>8.2038 * CHOOSE(CONTROL!$C$32, $C$9, 100%, $E$9)</f>
        <v>8.2037999999999993</v>
      </c>
      <c r="L183" s="11">
        <f>4.9459 * CHOOSE(CONTROL!$C$32, $C$9, 100%, $E$9)</f>
        <v>4.9459</v>
      </c>
      <c r="M183" s="11">
        <f>4.9495 * CHOOSE(CONTROL!$C$32, $C$9, 100%, $E$9)</f>
        <v>4.9494999999999996</v>
      </c>
      <c r="N183" s="11">
        <f>4.9459 * CHOOSE(CONTROL!$C$32, $C$9, 100%, $E$9)</f>
        <v>4.9459</v>
      </c>
      <c r="O183" s="11">
        <f>4.9495 * CHOOSE(CONTROL!$C$32, $C$9, 100%, $E$9)</f>
        <v>4.9494999999999996</v>
      </c>
    </row>
    <row r="184" spans="1:15" ht="15" x14ac:dyDescent="0.2">
      <c r="A184" s="13">
        <v>46447</v>
      </c>
      <c r="B184" s="9">
        <f>3.881 * CHOOSE(CONTROL!$C$32, $C$9, 100%, $E$9)</f>
        <v>3.8809999999999998</v>
      </c>
      <c r="C184" s="9">
        <f>3.881 * CHOOSE(CONTROL!$C$32, $C$9, 100%, $E$9)</f>
        <v>3.8809999999999998</v>
      </c>
      <c r="D184" s="9">
        <f>3.8821 * CHOOSE(CONTROL!$C$32, $C$9, 100%, $E$9)</f>
        <v>3.8820999999999999</v>
      </c>
      <c r="E184" s="11">
        <f>4.9439 * CHOOSE(CONTROL!$C$32, $C$9, 100%, $E$9)</f>
        <v>4.9439000000000002</v>
      </c>
      <c r="F184" s="11">
        <f>4.9439 * CHOOSE(CONTROL!$C$32, $C$9, 100%, $E$9)</f>
        <v>4.9439000000000002</v>
      </c>
      <c r="G184" s="11">
        <f>4.9475 * CHOOSE(CONTROL!$C$32, $C$9, 100%, $E$9)</f>
        <v>4.9474999999999998</v>
      </c>
      <c r="H184" s="11">
        <f>8.2173 * CHOOSE(CONTROL!$C$32, $C$9, 100%, $E$9)</f>
        <v>8.2172999999999998</v>
      </c>
      <c r="I184" s="11">
        <f>8.2209 * CHOOSE(CONTROL!$C$32, $C$9, 100%, $E$9)</f>
        <v>8.2209000000000003</v>
      </c>
      <c r="J184" s="11">
        <f>8.2173 * CHOOSE(CONTROL!$C$32, $C$9, 100%, $E$9)</f>
        <v>8.2172999999999998</v>
      </c>
      <c r="K184" s="11">
        <f>8.2209 * CHOOSE(CONTROL!$C$32, $C$9, 100%, $E$9)</f>
        <v>8.2209000000000003</v>
      </c>
      <c r="L184" s="11">
        <f>4.9439 * CHOOSE(CONTROL!$C$32, $C$9, 100%, $E$9)</f>
        <v>4.9439000000000002</v>
      </c>
      <c r="M184" s="11">
        <f>4.9475 * CHOOSE(CONTROL!$C$32, $C$9, 100%, $E$9)</f>
        <v>4.9474999999999998</v>
      </c>
      <c r="N184" s="11">
        <f>4.9439 * CHOOSE(CONTROL!$C$32, $C$9, 100%, $E$9)</f>
        <v>4.9439000000000002</v>
      </c>
      <c r="O184" s="11">
        <f>4.9475 * CHOOSE(CONTROL!$C$32, $C$9, 100%, $E$9)</f>
        <v>4.9474999999999998</v>
      </c>
    </row>
    <row r="185" spans="1:15" ht="15" x14ac:dyDescent="0.2">
      <c r="A185" s="13">
        <v>46478</v>
      </c>
      <c r="B185" s="9">
        <f>3.8786 * CHOOSE(CONTROL!$C$32, $C$9, 100%, $E$9)</f>
        <v>3.8786</v>
      </c>
      <c r="C185" s="9">
        <f>3.8786 * CHOOSE(CONTROL!$C$32, $C$9, 100%, $E$9)</f>
        <v>3.8786</v>
      </c>
      <c r="D185" s="9">
        <f>3.8796 * CHOOSE(CONTROL!$C$32, $C$9, 100%, $E$9)</f>
        <v>3.8795999999999999</v>
      </c>
      <c r="E185" s="11">
        <f>4.9418 * CHOOSE(CONTROL!$C$32, $C$9, 100%, $E$9)</f>
        <v>4.9417999999999997</v>
      </c>
      <c r="F185" s="11">
        <f>4.9418 * CHOOSE(CONTROL!$C$32, $C$9, 100%, $E$9)</f>
        <v>4.9417999999999997</v>
      </c>
      <c r="G185" s="11">
        <f>4.9454 * CHOOSE(CONTROL!$C$32, $C$9, 100%, $E$9)</f>
        <v>4.9454000000000002</v>
      </c>
      <c r="H185" s="11">
        <f>8.2344 * CHOOSE(CONTROL!$C$32, $C$9, 100%, $E$9)</f>
        <v>8.2344000000000008</v>
      </c>
      <c r="I185" s="11">
        <f>8.238 * CHOOSE(CONTROL!$C$32, $C$9, 100%, $E$9)</f>
        <v>8.2379999999999995</v>
      </c>
      <c r="J185" s="11">
        <f>8.2344 * CHOOSE(CONTROL!$C$32, $C$9, 100%, $E$9)</f>
        <v>8.2344000000000008</v>
      </c>
      <c r="K185" s="11">
        <f>8.238 * CHOOSE(CONTROL!$C$32, $C$9, 100%, $E$9)</f>
        <v>8.2379999999999995</v>
      </c>
      <c r="L185" s="11">
        <f>4.9418 * CHOOSE(CONTROL!$C$32, $C$9, 100%, $E$9)</f>
        <v>4.9417999999999997</v>
      </c>
      <c r="M185" s="11">
        <f>4.9454 * CHOOSE(CONTROL!$C$32, $C$9, 100%, $E$9)</f>
        <v>4.9454000000000002</v>
      </c>
      <c r="N185" s="11">
        <f>4.9418 * CHOOSE(CONTROL!$C$32, $C$9, 100%, $E$9)</f>
        <v>4.9417999999999997</v>
      </c>
      <c r="O185" s="11">
        <f>4.9454 * CHOOSE(CONTROL!$C$32, $C$9, 100%, $E$9)</f>
        <v>4.9454000000000002</v>
      </c>
    </row>
    <row r="186" spans="1:15" ht="15" x14ac:dyDescent="0.2">
      <c r="A186" s="13">
        <v>46508</v>
      </c>
      <c r="B186" s="9">
        <f>3.8786 * CHOOSE(CONTROL!$C$32, $C$9, 100%, $E$9)</f>
        <v>3.8786</v>
      </c>
      <c r="C186" s="9">
        <f>3.8786 * CHOOSE(CONTROL!$C$32, $C$9, 100%, $E$9)</f>
        <v>3.8786</v>
      </c>
      <c r="D186" s="9">
        <f>3.8801 * CHOOSE(CONTROL!$C$32, $C$9, 100%, $E$9)</f>
        <v>3.8801000000000001</v>
      </c>
      <c r="E186" s="11">
        <f>4.9418 * CHOOSE(CONTROL!$C$32, $C$9, 100%, $E$9)</f>
        <v>4.9417999999999997</v>
      </c>
      <c r="F186" s="11">
        <f>4.9418 * CHOOSE(CONTROL!$C$32, $C$9, 100%, $E$9)</f>
        <v>4.9417999999999997</v>
      </c>
      <c r="G186" s="11">
        <f>4.9471 * CHOOSE(CONTROL!$C$32, $C$9, 100%, $E$9)</f>
        <v>4.9470999999999998</v>
      </c>
      <c r="H186" s="11">
        <f>8.2515 * CHOOSE(CONTROL!$C$32, $C$9, 100%, $E$9)</f>
        <v>8.2515000000000001</v>
      </c>
      <c r="I186" s="11">
        <f>8.2568 * CHOOSE(CONTROL!$C$32, $C$9, 100%, $E$9)</f>
        <v>8.2568000000000001</v>
      </c>
      <c r="J186" s="11">
        <f>8.2515 * CHOOSE(CONTROL!$C$32, $C$9, 100%, $E$9)</f>
        <v>8.2515000000000001</v>
      </c>
      <c r="K186" s="11">
        <f>8.2568 * CHOOSE(CONTROL!$C$32, $C$9, 100%, $E$9)</f>
        <v>8.2568000000000001</v>
      </c>
      <c r="L186" s="11">
        <f>4.9418 * CHOOSE(CONTROL!$C$32, $C$9, 100%, $E$9)</f>
        <v>4.9417999999999997</v>
      </c>
      <c r="M186" s="11">
        <f>4.9471 * CHOOSE(CONTROL!$C$32, $C$9, 100%, $E$9)</f>
        <v>4.9470999999999998</v>
      </c>
      <c r="N186" s="11">
        <f>4.9418 * CHOOSE(CONTROL!$C$32, $C$9, 100%, $E$9)</f>
        <v>4.9417999999999997</v>
      </c>
      <c r="O186" s="11">
        <f>4.9471 * CHOOSE(CONTROL!$C$32, $C$9, 100%, $E$9)</f>
        <v>4.9470999999999998</v>
      </c>
    </row>
    <row r="187" spans="1:15" ht="15" x14ac:dyDescent="0.2">
      <c r="A187" s="13">
        <v>46539</v>
      </c>
      <c r="B187" s="9">
        <f>3.8846 * CHOOSE(CONTROL!$C$32, $C$9, 100%, $E$9)</f>
        <v>3.8845999999999998</v>
      </c>
      <c r="C187" s="9">
        <f>3.8846 * CHOOSE(CONTROL!$C$32, $C$9, 100%, $E$9)</f>
        <v>3.8845999999999998</v>
      </c>
      <c r="D187" s="9">
        <f>3.8862 * CHOOSE(CONTROL!$C$32, $C$9, 100%, $E$9)</f>
        <v>3.8862000000000001</v>
      </c>
      <c r="E187" s="11">
        <f>4.9458 * CHOOSE(CONTROL!$C$32, $C$9, 100%, $E$9)</f>
        <v>4.9458000000000002</v>
      </c>
      <c r="F187" s="11">
        <f>4.9458 * CHOOSE(CONTROL!$C$32, $C$9, 100%, $E$9)</f>
        <v>4.9458000000000002</v>
      </c>
      <c r="G187" s="11">
        <f>4.9511 * CHOOSE(CONTROL!$C$32, $C$9, 100%, $E$9)</f>
        <v>4.9511000000000003</v>
      </c>
      <c r="H187" s="11">
        <f>8.2687 * CHOOSE(CONTROL!$C$32, $C$9, 100%, $E$9)</f>
        <v>8.2687000000000008</v>
      </c>
      <c r="I187" s="11">
        <f>8.274 * CHOOSE(CONTROL!$C$32, $C$9, 100%, $E$9)</f>
        <v>8.2739999999999991</v>
      </c>
      <c r="J187" s="11">
        <f>8.2687 * CHOOSE(CONTROL!$C$32, $C$9, 100%, $E$9)</f>
        <v>8.2687000000000008</v>
      </c>
      <c r="K187" s="11">
        <f>8.274 * CHOOSE(CONTROL!$C$32, $C$9, 100%, $E$9)</f>
        <v>8.2739999999999991</v>
      </c>
      <c r="L187" s="11">
        <f>4.9458 * CHOOSE(CONTROL!$C$32, $C$9, 100%, $E$9)</f>
        <v>4.9458000000000002</v>
      </c>
      <c r="M187" s="11">
        <f>4.9511 * CHOOSE(CONTROL!$C$32, $C$9, 100%, $E$9)</f>
        <v>4.9511000000000003</v>
      </c>
      <c r="N187" s="11">
        <f>4.9458 * CHOOSE(CONTROL!$C$32, $C$9, 100%, $E$9)</f>
        <v>4.9458000000000002</v>
      </c>
      <c r="O187" s="11">
        <f>4.9511 * CHOOSE(CONTROL!$C$32, $C$9, 100%, $E$9)</f>
        <v>4.9511000000000003</v>
      </c>
    </row>
    <row r="188" spans="1:15" ht="15" x14ac:dyDescent="0.2">
      <c r="A188" s="13">
        <v>46569</v>
      </c>
      <c r="B188" s="9">
        <f>3.951 * CHOOSE(CONTROL!$C$32, $C$9, 100%, $E$9)</f>
        <v>3.9510000000000001</v>
      </c>
      <c r="C188" s="9">
        <f>3.951 * CHOOSE(CONTROL!$C$32, $C$9, 100%, $E$9)</f>
        <v>3.9510000000000001</v>
      </c>
      <c r="D188" s="9">
        <f>3.9526 * CHOOSE(CONTROL!$C$32, $C$9, 100%, $E$9)</f>
        <v>3.9525999999999999</v>
      </c>
      <c r="E188" s="11">
        <f>5.0318 * CHOOSE(CONTROL!$C$32, $C$9, 100%, $E$9)</f>
        <v>5.0317999999999996</v>
      </c>
      <c r="F188" s="11">
        <f>5.0318 * CHOOSE(CONTROL!$C$32, $C$9, 100%, $E$9)</f>
        <v>5.0317999999999996</v>
      </c>
      <c r="G188" s="11">
        <f>5.0371 * CHOOSE(CONTROL!$C$32, $C$9, 100%, $E$9)</f>
        <v>5.0370999999999997</v>
      </c>
      <c r="H188" s="11">
        <f>8.286 * CHOOSE(CONTROL!$C$32, $C$9, 100%, $E$9)</f>
        <v>8.2859999999999996</v>
      </c>
      <c r="I188" s="11">
        <f>8.2913 * CHOOSE(CONTROL!$C$32, $C$9, 100%, $E$9)</f>
        <v>8.2912999999999997</v>
      </c>
      <c r="J188" s="11">
        <f>8.286 * CHOOSE(CONTROL!$C$32, $C$9, 100%, $E$9)</f>
        <v>8.2859999999999996</v>
      </c>
      <c r="K188" s="11">
        <f>8.2913 * CHOOSE(CONTROL!$C$32, $C$9, 100%, $E$9)</f>
        <v>8.2912999999999997</v>
      </c>
      <c r="L188" s="11">
        <f>5.0318 * CHOOSE(CONTROL!$C$32, $C$9, 100%, $E$9)</f>
        <v>5.0317999999999996</v>
      </c>
      <c r="M188" s="11">
        <f>5.0371 * CHOOSE(CONTROL!$C$32, $C$9, 100%, $E$9)</f>
        <v>5.0370999999999997</v>
      </c>
      <c r="N188" s="11">
        <f>5.0318 * CHOOSE(CONTROL!$C$32, $C$9, 100%, $E$9)</f>
        <v>5.0317999999999996</v>
      </c>
      <c r="O188" s="11">
        <f>5.0371 * CHOOSE(CONTROL!$C$32, $C$9, 100%, $E$9)</f>
        <v>5.0370999999999997</v>
      </c>
    </row>
    <row r="189" spans="1:15" ht="15" x14ac:dyDescent="0.2">
      <c r="A189" s="13">
        <v>46600</v>
      </c>
      <c r="B189" s="9">
        <f>3.9577 * CHOOSE(CONTROL!$C$32, $C$9, 100%, $E$9)</f>
        <v>3.9577</v>
      </c>
      <c r="C189" s="9">
        <f>3.9577 * CHOOSE(CONTROL!$C$32, $C$9, 100%, $E$9)</f>
        <v>3.9577</v>
      </c>
      <c r="D189" s="9">
        <f>3.9592 * CHOOSE(CONTROL!$C$32, $C$9, 100%, $E$9)</f>
        <v>3.9592000000000001</v>
      </c>
      <c r="E189" s="11">
        <f>5.0362 * CHOOSE(CONTROL!$C$32, $C$9, 100%, $E$9)</f>
        <v>5.0362</v>
      </c>
      <c r="F189" s="11">
        <f>5.0362 * CHOOSE(CONTROL!$C$32, $C$9, 100%, $E$9)</f>
        <v>5.0362</v>
      </c>
      <c r="G189" s="11">
        <f>5.0415 * CHOOSE(CONTROL!$C$32, $C$9, 100%, $E$9)</f>
        <v>5.0415000000000001</v>
      </c>
      <c r="H189" s="11">
        <f>8.3032 * CHOOSE(CONTROL!$C$32, $C$9, 100%, $E$9)</f>
        <v>8.3032000000000004</v>
      </c>
      <c r="I189" s="11">
        <f>8.3085 * CHOOSE(CONTROL!$C$32, $C$9, 100%, $E$9)</f>
        <v>8.3085000000000004</v>
      </c>
      <c r="J189" s="11">
        <f>8.3032 * CHOOSE(CONTROL!$C$32, $C$9, 100%, $E$9)</f>
        <v>8.3032000000000004</v>
      </c>
      <c r="K189" s="11">
        <f>8.3085 * CHOOSE(CONTROL!$C$32, $C$9, 100%, $E$9)</f>
        <v>8.3085000000000004</v>
      </c>
      <c r="L189" s="11">
        <f>5.0362 * CHOOSE(CONTROL!$C$32, $C$9, 100%, $E$9)</f>
        <v>5.0362</v>
      </c>
      <c r="M189" s="11">
        <f>5.0415 * CHOOSE(CONTROL!$C$32, $C$9, 100%, $E$9)</f>
        <v>5.0415000000000001</v>
      </c>
      <c r="N189" s="11">
        <f>5.0362 * CHOOSE(CONTROL!$C$32, $C$9, 100%, $E$9)</f>
        <v>5.0362</v>
      </c>
      <c r="O189" s="11">
        <f>5.0415 * CHOOSE(CONTROL!$C$32, $C$9, 100%, $E$9)</f>
        <v>5.0415000000000001</v>
      </c>
    </row>
    <row r="190" spans="1:15" ht="15" x14ac:dyDescent="0.2">
      <c r="A190" s="13">
        <v>46631</v>
      </c>
      <c r="B190" s="9">
        <f>3.9546 * CHOOSE(CONTROL!$C$32, $C$9, 100%, $E$9)</f>
        <v>3.9546000000000001</v>
      </c>
      <c r="C190" s="9">
        <f>3.9546 * CHOOSE(CONTROL!$C$32, $C$9, 100%, $E$9)</f>
        <v>3.9546000000000001</v>
      </c>
      <c r="D190" s="9">
        <f>3.9562 * CHOOSE(CONTROL!$C$32, $C$9, 100%, $E$9)</f>
        <v>3.9561999999999999</v>
      </c>
      <c r="E190" s="11">
        <f>5.0342 * CHOOSE(CONTROL!$C$32, $C$9, 100%, $E$9)</f>
        <v>5.0342000000000002</v>
      </c>
      <c r="F190" s="11">
        <f>5.0342 * CHOOSE(CONTROL!$C$32, $C$9, 100%, $E$9)</f>
        <v>5.0342000000000002</v>
      </c>
      <c r="G190" s="11">
        <f>5.0395 * CHOOSE(CONTROL!$C$32, $C$9, 100%, $E$9)</f>
        <v>5.0395000000000003</v>
      </c>
      <c r="H190" s="11">
        <f>8.3205 * CHOOSE(CONTROL!$C$32, $C$9, 100%, $E$9)</f>
        <v>8.3204999999999991</v>
      </c>
      <c r="I190" s="11">
        <f>8.3258 * CHOOSE(CONTROL!$C$32, $C$9, 100%, $E$9)</f>
        <v>8.3257999999999992</v>
      </c>
      <c r="J190" s="11">
        <f>8.3205 * CHOOSE(CONTROL!$C$32, $C$9, 100%, $E$9)</f>
        <v>8.3204999999999991</v>
      </c>
      <c r="K190" s="11">
        <f>8.3258 * CHOOSE(CONTROL!$C$32, $C$9, 100%, $E$9)</f>
        <v>8.3257999999999992</v>
      </c>
      <c r="L190" s="11">
        <f>5.0342 * CHOOSE(CONTROL!$C$32, $C$9, 100%, $E$9)</f>
        <v>5.0342000000000002</v>
      </c>
      <c r="M190" s="11">
        <f>5.0395 * CHOOSE(CONTROL!$C$32, $C$9, 100%, $E$9)</f>
        <v>5.0395000000000003</v>
      </c>
      <c r="N190" s="11">
        <f>5.0342 * CHOOSE(CONTROL!$C$32, $C$9, 100%, $E$9)</f>
        <v>5.0342000000000002</v>
      </c>
      <c r="O190" s="11">
        <f>5.0395 * CHOOSE(CONTROL!$C$32, $C$9, 100%, $E$9)</f>
        <v>5.0395000000000003</v>
      </c>
    </row>
    <row r="191" spans="1:15" ht="15" x14ac:dyDescent="0.2">
      <c r="A191" s="13">
        <v>46661</v>
      </c>
      <c r="B191" s="9">
        <f>3.9496 * CHOOSE(CONTROL!$C$32, $C$9, 100%, $E$9)</f>
        <v>3.9496000000000002</v>
      </c>
      <c r="C191" s="9">
        <f>3.9496 * CHOOSE(CONTROL!$C$32, $C$9, 100%, $E$9)</f>
        <v>3.9496000000000002</v>
      </c>
      <c r="D191" s="9">
        <f>3.9506 * CHOOSE(CONTROL!$C$32, $C$9, 100%, $E$9)</f>
        <v>3.9506000000000001</v>
      </c>
      <c r="E191" s="11">
        <f>5.0288 * CHOOSE(CONTROL!$C$32, $C$9, 100%, $E$9)</f>
        <v>5.0288000000000004</v>
      </c>
      <c r="F191" s="11">
        <f>5.0288 * CHOOSE(CONTROL!$C$32, $C$9, 100%, $E$9)</f>
        <v>5.0288000000000004</v>
      </c>
      <c r="G191" s="11">
        <f>5.0324 * CHOOSE(CONTROL!$C$32, $C$9, 100%, $E$9)</f>
        <v>5.0324</v>
      </c>
      <c r="H191" s="11">
        <f>8.3379 * CHOOSE(CONTROL!$C$32, $C$9, 100%, $E$9)</f>
        <v>8.3378999999999994</v>
      </c>
      <c r="I191" s="11">
        <f>8.3415 * CHOOSE(CONTROL!$C$32, $C$9, 100%, $E$9)</f>
        <v>8.3414999999999999</v>
      </c>
      <c r="J191" s="11">
        <f>8.3379 * CHOOSE(CONTROL!$C$32, $C$9, 100%, $E$9)</f>
        <v>8.3378999999999994</v>
      </c>
      <c r="K191" s="11">
        <f>8.3415 * CHOOSE(CONTROL!$C$32, $C$9, 100%, $E$9)</f>
        <v>8.3414999999999999</v>
      </c>
      <c r="L191" s="11">
        <f>5.0288 * CHOOSE(CONTROL!$C$32, $C$9, 100%, $E$9)</f>
        <v>5.0288000000000004</v>
      </c>
      <c r="M191" s="11">
        <f>5.0324 * CHOOSE(CONTROL!$C$32, $C$9, 100%, $E$9)</f>
        <v>5.0324</v>
      </c>
      <c r="N191" s="11">
        <f>5.0288 * CHOOSE(CONTROL!$C$32, $C$9, 100%, $E$9)</f>
        <v>5.0288000000000004</v>
      </c>
      <c r="O191" s="11">
        <f>5.0324 * CHOOSE(CONTROL!$C$32, $C$9, 100%, $E$9)</f>
        <v>5.0324</v>
      </c>
    </row>
    <row r="192" spans="1:15" ht="15" x14ac:dyDescent="0.2">
      <c r="A192" s="13">
        <v>46692</v>
      </c>
      <c r="B192" s="9">
        <f>3.9526 * CHOOSE(CONTROL!$C$32, $C$9, 100%, $E$9)</f>
        <v>3.9525999999999999</v>
      </c>
      <c r="C192" s="9">
        <f>3.9526 * CHOOSE(CONTROL!$C$32, $C$9, 100%, $E$9)</f>
        <v>3.9525999999999999</v>
      </c>
      <c r="D192" s="9">
        <f>3.9537 * CHOOSE(CONTROL!$C$32, $C$9, 100%, $E$9)</f>
        <v>3.9537</v>
      </c>
      <c r="E192" s="11">
        <f>5.0308 * CHOOSE(CONTROL!$C$32, $C$9, 100%, $E$9)</f>
        <v>5.0308000000000002</v>
      </c>
      <c r="F192" s="11">
        <f>5.0308 * CHOOSE(CONTROL!$C$32, $C$9, 100%, $E$9)</f>
        <v>5.0308000000000002</v>
      </c>
      <c r="G192" s="11">
        <f>5.0344 * CHOOSE(CONTROL!$C$32, $C$9, 100%, $E$9)</f>
        <v>5.0343999999999998</v>
      </c>
      <c r="H192" s="11">
        <f>8.3552 * CHOOSE(CONTROL!$C$32, $C$9, 100%, $E$9)</f>
        <v>8.3552</v>
      </c>
      <c r="I192" s="11">
        <f>8.3588 * CHOOSE(CONTROL!$C$32, $C$9, 100%, $E$9)</f>
        <v>8.3588000000000005</v>
      </c>
      <c r="J192" s="11">
        <f>8.3552 * CHOOSE(CONTROL!$C$32, $C$9, 100%, $E$9)</f>
        <v>8.3552</v>
      </c>
      <c r="K192" s="11">
        <f>8.3588 * CHOOSE(CONTROL!$C$32, $C$9, 100%, $E$9)</f>
        <v>8.3588000000000005</v>
      </c>
      <c r="L192" s="11">
        <f>5.0308 * CHOOSE(CONTROL!$C$32, $C$9, 100%, $E$9)</f>
        <v>5.0308000000000002</v>
      </c>
      <c r="M192" s="11">
        <f>5.0344 * CHOOSE(CONTROL!$C$32, $C$9, 100%, $E$9)</f>
        <v>5.0343999999999998</v>
      </c>
      <c r="N192" s="11">
        <f>5.0308 * CHOOSE(CONTROL!$C$32, $C$9, 100%, $E$9)</f>
        <v>5.0308000000000002</v>
      </c>
      <c r="O192" s="11">
        <f>5.0344 * CHOOSE(CONTROL!$C$32, $C$9, 100%, $E$9)</f>
        <v>5.0343999999999998</v>
      </c>
    </row>
    <row r="193" spans="1:15" ht="15" x14ac:dyDescent="0.2">
      <c r="A193" s="13">
        <v>46722</v>
      </c>
      <c r="B193" s="9">
        <f>3.9526 * CHOOSE(CONTROL!$C$32, $C$9, 100%, $E$9)</f>
        <v>3.9525999999999999</v>
      </c>
      <c r="C193" s="9">
        <f>3.9526 * CHOOSE(CONTROL!$C$32, $C$9, 100%, $E$9)</f>
        <v>3.9525999999999999</v>
      </c>
      <c r="D193" s="9">
        <f>3.9537 * CHOOSE(CONTROL!$C$32, $C$9, 100%, $E$9)</f>
        <v>3.9537</v>
      </c>
      <c r="E193" s="11">
        <f>5.0308 * CHOOSE(CONTROL!$C$32, $C$9, 100%, $E$9)</f>
        <v>5.0308000000000002</v>
      </c>
      <c r="F193" s="11">
        <f>5.0308 * CHOOSE(CONTROL!$C$32, $C$9, 100%, $E$9)</f>
        <v>5.0308000000000002</v>
      </c>
      <c r="G193" s="11">
        <f>5.0344 * CHOOSE(CONTROL!$C$32, $C$9, 100%, $E$9)</f>
        <v>5.0343999999999998</v>
      </c>
      <c r="H193" s="11">
        <f>8.3726 * CHOOSE(CONTROL!$C$32, $C$9, 100%, $E$9)</f>
        <v>8.3726000000000003</v>
      </c>
      <c r="I193" s="11">
        <f>8.3762 * CHOOSE(CONTROL!$C$32, $C$9, 100%, $E$9)</f>
        <v>8.3762000000000008</v>
      </c>
      <c r="J193" s="11">
        <f>8.3726 * CHOOSE(CONTROL!$C$32, $C$9, 100%, $E$9)</f>
        <v>8.3726000000000003</v>
      </c>
      <c r="K193" s="11">
        <f>8.3762 * CHOOSE(CONTROL!$C$32, $C$9, 100%, $E$9)</f>
        <v>8.3762000000000008</v>
      </c>
      <c r="L193" s="11">
        <f>5.0308 * CHOOSE(CONTROL!$C$32, $C$9, 100%, $E$9)</f>
        <v>5.0308000000000002</v>
      </c>
      <c r="M193" s="11">
        <f>5.0344 * CHOOSE(CONTROL!$C$32, $C$9, 100%, $E$9)</f>
        <v>5.0343999999999998</v>
      </c>
      <c r="N193" s="11">
        <f>5.0308 * CHOOSE(CONTROL!$C$32, $C$9, 100%, $E$9)</f>
        <v>5.0308000000000002</v>
      </c>
      <c r="O193" s="11">
        <f>5.0344 * CHOOSE(CONTROL!$C$32, $C$9, 100%, $E$9)</f>
        <v>5.0343999999999998</v>
      </c>
    </row>
    <row r="194" spans="1:15" ht="15" x14ac:dyDescent="0.2">
      <c r="A194" s="13">
        <v>46753</v>
      </c>
      <c r="B194" s="9">
        <f>3.9901 * CHOOSE(CONTROL!$C$32, $C$9, 100%, $E$9)</f>
        <v>3.9901</v>
      </c>
      <c r="C194" s="9">
        <f>3.9901 * CHOOSE(CONTROL!$C$32, $C$9, 100%, $E$9)</f>
        <v>3.9901</v>
      </c>
      <c r="D194" s="9">
        <f>3.9912 * CHOOSE(CONTROL!$C$32, $C$9, 100%, $E$9)</f>
        <v>3.9912000000000001</v>
      </c>
      <c r="E194" s="11">
        <f>5.0753 * CHOOSE(CONTROL!$C$32, $C$9, 100%, $E$9)</f>
        <v>5.0753000000000004</v>
      </c>
      <c r="F194" s="11">
        <f>5.0753 * CHOOSE(CONTROL!$C$32, $C$9, 100%, $E$9)</f>
        <v>5.0753000000000004</v>
      </c>
      <c r="G194" s="11">
        <f>5.0789 * CHOOSE(CONTROL!$C$32, $C$9, 100%, $E$9)</f>
        <v>5.0789</v>
      </c>
      <c r="H194" s="11">
        <f>8.3901 * CHOOSE(CONTROL!$C$32, $C$9, 100%, $E$9)</f>
        <v>8.3901000000000003</v>
      </c>
      <c r="I194" s="11">
        <f>8.3937 * CHOOSE(CONTROL!$C$32, $C$9, 100%, $E$9)</f>
        <v>8.3937000000000008</v>
      </c>
      <c r="J194" s="11">
        <f>8.3901 * CHOOSE(CONTROL!$C$32, $C$9, 100%, $E$9)</f>
        <v>8.3901000000000003</v>
      </c>
      <c r="K194" s="11">
        <f>8.3937 * CHOOSE(CONTROL!$C$32, $C$9, 100%, $E$9)</f>
        <v>8.3937000000000008</v>
      </c>
      <c r="L194" s="11">
        <f>5.0753 * CHOOSE(CONTROL!$C$32, $C$9, 100%, $E$9)</f>
        <v>5.0753000000000004</v>
      </c>
      <c r="M194" s="11">
        <f>5.0789 * CHOOSE(CONTROL!$C$32, $C$9, 100%, $E$9)</f>
        <v>5.0789</v>
      </c>
      <c r="N194" s="11">
        <f>5.0753 * CHOOSE(CONTROL!$C$32, $C$9, 100%, $E$9)</f>
        <v>5.0753000000000004</v>
      </c>
      <c r="O194" s="11">
        <f>5.0789 * CHOOSE(CONTROL!$C$32, $C$9, 100%, $E$9)</f>
        <v>5.0789</v>
      </c>
    </row>
    <row r="195" spans="1:15" ht="15" x14ac:dyDescent="0.2">
      <c r="A195" s="13">
        <v>46784</v>
      </c>
      <c r="B195" s="9">
        <f>3.9871 * CHOOSE(CONTROL!$C$32, $C$9, 100%, $E$9)</f>
        <v>3.9870999999999999</v>
      </c>
      <c r="C195" s="9">
        <f>3.9871 * CHOOSE(CONTROL!$C$32, $C$9, 100%, $E$9)</f>
        <v>3.9870999999999999</v>
      </c>
      <c r="D195" s="9">
        <f>3.9882 * CHOOSE(CONTROL!$C$32, $C$9, 100%, $E$9)</f>
        <v>3.9882</v>
      </c>
      <c r="E195" s="11">
        <f>5.0733 * CHOOSE(CONTROL!$C$32, $C$9, 100%, $E$9)</f>
        <v>5.0732999999999997</v>
      </c>
      <c r="F195" s="11">
        <f>5.0733 * CHOOSE(CONTROL!$C$32, $C$9, 100%, $E$9)</f>
        <v>5.0732999999999997</v>
      </c>
      <c r="G195" s="11">
        <f>5.0769 * CHOOSE(CONTROL!$C$32, $C$9, 100%, $E$9)</f>
        <v>5.0769000000000002</v>
      </c>
      <c r="H195" s="11">
        <f>8.4076 * CHOOSE(CONTROL!$C$32, $C$9, 100%, $E$9)</f>
        <v>8.4076000000000004</v>
      </c>
      <c r="I195" s="11">
        <f>8.4112 * CHOOSE(CONTROL!$C$32, $C$9, 100%, $E$9)</f>
        <v>8.4111999999999991</v>
      </c>
      <c r="J195" s="11">
        <f>8.4076 * CHOOSE(CONTROL!$C$32, $C$9, 100%, $E$9)</f>
        <v>8.4076000000000004</v>
      </c>
      <c r="K195" s="11">
        <f>8.4112 * CHOOSE(CONTROL!$C$32, $C$9, 100%, $E$9)</f>
        <v>8.4111999999999991</v>
      </c>
      <c r="L195" s="11">
        <f>5.0733 * CHOOSE(CONTROL!$C$32, $C$9, 100%, $E$9)</f>
        <v>5.0732999999999997</v>
      </c>
      <c r="M195" s="11">
        <f>5.0769 * CHOOSE(CONTROL!$C$32, $C$9, 100%, $E$9)</f>
        <v>5.0769000000000002</v>
      </c>
      <c r="N195" s="11">
        <f>5.0733 * CHOOSE(CONTROL!$C$32, $C$9, 100%, $E$9)</f>
        <v>5.0732999999999997</v>
      </c>
      <c r="O195" s="11">
        <f>5.0769 * CHOOSE(CONTROL!$C$32, $C$9, 100%, $E$9)</f>
        <v>5.0769000000000002</v>
      </c>
    </row>
    <row r="196" spans="1:15" ht="15" x14ac:dyDescent="0.2">
      <c r="A196" s="13">
        <v>46813</v>
      </c>
      <c r="B196" s="9">
        <f>3.984 * CHOOSE(CONTROL!$C$32, $C$9, 100%, $E$9)</f>
        <v>3.984</v>
      </c>
      <c r="C196" s="9">
        <f>3.984 * CHOOSE(CONTROL!$C$32, $C$9, 100%, $E$9)</f>
        <v>3.984</v>
      </c>
      <c r="D196" s="9">
        <f>3.9851 * CHOOSE(CONTROL!$C$32, $C$9, 100%, $E$9)</f>
        <v>3.9851000000000001</v>
      </c>
      <c r="E196" s="11">
        <f>5.0713 * CHOOSE(CONTROL!$C$32, $C$9, 100%, $E$9)</f>
        <v>5.0712999999999999</v>
      </c>
      <c r="F196" s="11">
        <f>5.0713 * CHOOSE(CONTROL!$C$32, $C$9, 100%, $E$9)</f>
        <v>5.0712999999999999</v>
      </c>
      <c r="G196" s="11">
        <f>5.0749 * CHOOSE(CONTROL!$C$32, $C$9, 100%, $E$9)</f>
        <v>5.0749000000000004</v>
      </c>
      <c r="H196" s="11">
        <f>8.4251 * CHOOSE(CONTROL!$C$32, $C$9, 100%, $E$9)</f>
        <v>8.4251000000000005</v>
      </c>
      <c r="I196" s="11">
        <f>8.4287 * CHOOSE(CONTROL!$C$32, $C$9, 100%, $E$9)</f>
        <v>8.4286999999999992</v>
      </c>
      <c r="J196" s="11">
        <f>8.4251 * CHOOSE(CONTROL!$C$32, $C$9, 100%, $E$9)</f>
        <v>8.4251000000000005</v>
      </c>
      <c r="K196" s="11">
        <f>8.4287 * CHOOSE(CONTROL!$C$32, $C$9, 100%, $E$9)</f>
        <v>8.4286999999999992</v>
      </c>
      <c r="L196" s="11">
        <f>5.0713 * CHOOSE(CONTROL!$C$32, $C$9, 100%, $E$9)</f>
        <v>5.0712999999999999</v>
      </c>
      <c r="M196" s="11">
        <f>5.0749 * CHOOSE(CONTROL!$C$32, $C$9, 100%, $E$9)</f>
        <v>5.0749000000000004</v>
      </c>
      <c r="N196" s="11">
        <f>5.0713 * CHOOSE(CONTROL!$C$32, $C$9, 100%, $E$9)</f>
        <v>5.0712999999999999</v>
      </c>
      <c r="O196" s="11">
        <f>5.0749 * CHOOSE(CONTROL!$C$32, $C$9, 100%, $E$9)</f>
        <v>5.0749000000000004</v>
      </c>
    </row>
    <row r="197" spans="1:15" ht="15" x14ac:dyDescent="0.2">
      <c r="A197" s="13">
        <v>46844</v>
      </c>
      <c r="B197" s="9">
        <f>3.9817 * CHOOSE(CONTROL!$C$32, $C$9, 100%, $E$9)</f>
        <v>3.9817</v>
      </c>
      <c r="C197" s="9">
        <f>3.9817 * CHOOSE(CONTROL!$C$32, $C$9, 100%, $E$9)</f>
        <v>3.9817</v>
      </c>
      <c r="D197" s="9">
        <f>3.9828 * CHOOSE(CONTROL!$C$32, $C$9, 100%, $E$9)</f>
        <v>3.9828000000000001</v>
      </c>
      <c r="E197" s="11">
        <f>5.0692 * CHOOSE(CONTROL!$C$32, $C$9, 100%, $E$9)</f>
        <v>5.0692000000000004</v>
      </c>
      <c r="F197" s="11">
        <f>5.0692 * CHOOSE(CONTROL!$C$32, $C$9, 100%, $E$9)</f>
        <v>5.0692000000000004</v>
      </c>
      <c r="G197" s="11">
        <f>5.0728 * CHOOSE(CONTROL!$C$32, $C$9, 100%, $E$9)</f>
        <v>5.0728</v>
      </c>
      <c r="H197" s="11">
        <f>8.4426 * CHOOSE(CONTROL!$C$32, $C$9, 100%, $E$9)</f>
        <v>8.4426000000000005</v>
      </c>
      <c r="I197" s="11">
        <f>8.4462 * CHOOSE(CONTROL!$C$32, $C$9, 100%, $E$9)</f>
        <v>8.4461999999999993</v>
      </c>
      <c r="J197" s="11">
        <f>8.4426 * CHOOSE(CONTROL!$C$32, $C$9, 100%, $E$9)</f>
        <v>8.4426000000000005</v>
      </c>
      <c r="K197" s="11">
        <f>8.4462 * CHOOSE(CONTROL!$C$32, $C$9, 100%, $E$9)</f>
        <v>8.4461999999999993</v>
      </c>
      <c r="L197" s="11">
        <f>5.0692 * CHOOSE(CONTROL!$C$32, $C$9, 100%, $E$9)</f>
        <v>5.0692000000000004</v>
      </c>
      <c r="M197" s="11">
        <f>5.0728 * CHOOSE(CONTROL!$C$32, $C$9, 100%, $E$9)</f>
        <v>5.0728</v>
      </c>
      <c r="N197" s="11">
        <f>5.0692 * CHOOSE(CONTROL!$C$32, $C$9, 100%, $E$9)</f>
        <v>5.0692000000000004</v>
      </c>
      <c r="O197" s="11">
        <f>5.0728 * CHOOSE(CONTROL!$C$32, $C$9, 100%, $E$9)</f>
        <v>5.0728</v>
      </c>
    </row>
    <row r="198" spans="1:15" ht="15" x14ac:dyDescent="0.2">
      <c r="A198" s="13">
        <v>46874</v>
      </c>
      <c r="B198" s="9">
        <f>3.9817 * CHOOSE(CONTROL!$C$32, $C$9, 100%, $E$9)</f>
        <v>3.9817</v>
      </c>
      <c r="C198" s="9">
        <f>3.9817 * CHOOSE(CONTROL!$C$32, $C$9, 100%, $E$9)</f>
        <v>3.9817</v>
      </c>
      <c r="D198" s="9">
        <f>3.9833 * CHOOSE(CONTROL!$C$32, $C$9, 100%, $E$9)</f>
        <v>3.9832999999999998</v>
      </c>
      <c r="E198" s="11">
        <f>5.0692 * CHOOSE(CONTROL!$C$32, $C$9, 100%, $E$9)</f>
        <v>5.0692000000000004</v>
      </c>
      <c r="F198" s="11">
        <f>5.0692 * CHOOSE(CONTROL!$C$32, $C$9, 100%, $E$9)</f>
        <v>5.0692000000000004</v>
      </c>
      <c r="G198" s="11">
        <f>5.0745 * CHOOSE(CONTROL!$C$32, $C$9, 100%, $E$9)</f>
        <v>5.0744999999999996</v>
      </c>
      <c r="H198" s="11">
        <f>8.4602 * CHOOSE(CONTROL!$C$32, $C$9, 100%, $E$9)</f>
        <v>8.4602000000000004</v>
      </c>
      <c r="I198" s="11">
        <f>8.4655 * CHOOSE(CONTROL!$C$32, $C$9, 100%, $E$9)</f>
        <v>8.4655000000000005</v>
      </c>
      <c r="J198" s="11">
        <f>8.4602 * CHOOSE(CONTROL!$C$32, $C$9, 100%, $E$9)</f>
        <v>8.4602000000000004</v>
      </c>
      <c r="K198" s="11">
        <f>8.4655 * CHOOSE(CONTROL!$C$32, $C$9, 100%, $E$9)</f>
        <v>8.4655000000000005</v>
      </c>
      <c r="L198" s="11">
        <f>5.0692 * CHOOSE(CONTROL!$C$32, $C$9, 100%, $E$9)</f>
        <v>5.0692000000000004</v>
      </c>
      <c r="M198" s="11">
        <f>5.0745 * CHOOSE(CONTROL!$C$32, $C$9, 100%, $E$9)</f>
        <v>5.0744999999999996</v>
      </c>
      <c r="N198" s="11">
        <f>5.0692 * CHOOSE(CONTROL!$C$32, $C$9, 100%, $E$9)</f>
        <v>5.0692000000000004</v>
      </c>
      <c r="O198" s="11">
        <f>5.0745 * CHOOSE(CONTROL!$C$32, $C$9, 100%, $E$9)</f>
        <v>5.0744999999999996</v>
      </c>
    </row>
    <row r="199" spans="1:15" ht="15" x14ac:dyDescent="0.2">
      <c r="A199" s="13">
        <v>46905</v>
      </c>
      <c r="B199" s="9">
        <f>3.9878 * CHOOSE(CONTROL!$C$32, $C$9, 100%, $E$9)</f>
        <v>3.9878</v>
      </c>
      <c r="C199" s="9">
        <f>3.9878 * CHOOSE(CONTROL!$C$32, $C$9, 100%, $E$9)</f>
        <v>3.9878</v>
      </c>
      <c r="D199" s="9">
        <f>3.9893 * CHOOSE(CONTROL!$C$32, $C$9, 100%, $E$9)</f>
        <v>3.9893000000000001</v>
      </c>
      <c r="E199" s="11">
        <f>5.0732 * CHOOSE(CONTROL!$C$32, $C$9, 100%, $E$9)</f>
        <v>5.0731999999999999</v>
      </c>
      <c r="F199" s="11">
        <f>5.0732 * CHOOSE(CONTROL!$C$32, $C$9, 100%, $E$9)</f>
        <v>5.0731999999999999</v>
      </c>
      <c r="G199" s="11">
        <f>5.0785 * CHOOSE(CONTROL!$C$32, $C$9, 100%, $E$9)</f>
        <v>5.0785</v>
      </c>
      <c r="H199" s="11">
        <f>8.4778 * CHOOSE(CONTROL!$C$32, $C$9, 100%, $E$9)</f>
        <v>8.4778000000000002</v>
      </c>
      <c r="I199" s="11">
        <f>8.4831 * CHOOSE(CONTROL!$C$32, $C$9, 100%, $E$9)</f>
        <v>8.4831000000000003</v>
      </c>
      <c r="J199" s="11">
        <f>8.4778 * CHOOSE(CONTROL!$C$32, $C$9, 100%, $E$9)</f>
        <v>8.4778000000000002</v>
      </c>
      <c r="K199" s="11">
        <f>8.4831 * CHOOSE(CONTROL!$C$32, $C$9, 100%, $E$9)</f>
        <v>8.4831000000000003</v>
      </c>
      <c r="L199" s="11">
        <f>5.0732 * CHOOSE(CONTROL!$C$32, $C$9, 100%, $E$9)</f>
        <v>5.0731999999999999</v>
      </c>
      <c r="M199" s="11">
        <f>5.0785 * CHOOSE(CONTROL!$C$32, $C$9, 100%, $E$9)</f>
        <v>5.0785</v>
      </c>
      <c r="N199" s="11">
        <f>5.0732 * CHOOSE(CONTROL!$C$32, $C$9, 100%, $E$9)</f>
        <v>5.0731999999999999</v>
      </c>
      <c r="O199" s="11">
        <f>5.0785 * CHOOSE(CONTROL!$C$32, $C$9, 100%, $E$9)</f>
        <v>5.0785</v>
      </c>
    </row>
    <row r="200" spans="1:15" ht="15" x14ac:dyDescent="0.2">
      <c r="A200" s="13">
        <v>46935</v>
      </c>
      <c r="B200" s="9">
        <f>4.0588 * CHOOSE(CONTROL!$C$32, $C$9, 100%, $E$9)</f>
        <v>4.0587999999999997</v>
      </c>
      <c r="C200" s="9">
        <f>4.0588 * CHOOSE(CONTROL!$C$32, $C$9, 100%, $E$9)</f>
        <v>4.0587999999999997</v>
      </c>
      <c r="D200" s="9">
        <f>4.0603 * CHOOSE(CONTROL!$C$32, $C$9, 100%, $E$9)</f>
        <v>4.0602999999999998</v>
      </c>
      <c r="E200" s="11">
        <f>5.1714 * CHOOSE(CONTROL!$C$32, $C$9, 100%, $E$9)</f>
        <v>5.1714000000000002</v>
      </c>
      <c r="F200" s="11">
        <f>5.1714 * CHOOSE(CONTROL!$C$32, $C$9, 100%, $E$9)</f>
        <v>5.1714000000000002</v>
      </c>
      <c r="G200" s="11">
        <f>5.1767 * CHOOSE(CONTROL!$C$32, $C$9, 100%, $E$9)</f>
        <v>5.1767000000000003</v>
      </c>
      <c r="H200" s="11">
        <f>8.4955 * CHOOSE(CONTROL!$C$32, $C$9, 100%, $E$9)</f>
        <v>8.4954999999999998</v>
      </c>
      <c r="I200" s="11">
        <f>8.5008 * CHOOSE(CONTROL!$C$32, $C$9, 100%, $E$9)</f>
        <v>8.5007999999999999</v>
      </c>
      <c r="J200" s="11">
        <f>8.4955 * CHOOSE(CONTROL!$C$32, $C$9, 100%, $E$9)</f>
        <v>8.4954999999999998</v>
      </c>
      <c r="K200" s="11">
        <f>8.5008 * CHOOSE(CONTROL!$C$32, $C$9, 100%, $E$9)</f>
        <v>8.5007999999999999</v>
      </c>
      <c r="L200" s="11">
        <f>5.1714 * CHOOSE(CONTROL!$C$32, $C$9, 100%, $E$9)</f>
        <v>5.1714000000000002</v>
      </c>
      <c r="M200" s="11">
        <f>5.1767 * CHOOSE(CONTROL!$C$32, $C$9, 100%, $E$9)</f>
        <v>5.1767000000000003</v>
      </c>
      <c r="N200" s="11">
        <f>5.1714 * CHOOSE(CONTROL!$C$32, $C$9, 100%, $E$9)</f>
        <v>5.1714000000000002</v>
      </c>
      <c r="O200" s="11">
        <f>5.1767 * CHOOSE(CONTROL!$C$32, $C$9, 100%, $E$9)</f>
        <v>5.1767000000000003</v>
      </c>
    </row>
    <row r="201" spans="1:15" ht="15" x14ac:dyDescent="0.2">
      <c r="A201" s="13">
        <v>46966</v>
      </c>
      <c r="B201" s="9">
        <f>4.0654 * CHOOSE(CONTROL!$C$32, $C$9, 100%, $E$9)</f>
        <v>4.0654000000000003</v>
      </c>
      <c r="C201" s="9">
        <f>4.0654 * CHOOSE(CONTROL!$C$32, $C$9, 100%, $E$9)</f>
        <v>4.0654000000000003</v>
      </c>
      <c r="D201" s="9">
        <f>4.067 * CHOOSE(CONTROL!$C$32, $C$9, 100%, $E$9)</f>
        <v>4.0670000000000002</v>
      </c>
      <c r="E201" s="11">
        <f>5.1758 * CHOOSE(CONTROL!$C$32, $C$9, 100%, $E$9)</f>
        <v>5.1757999999999997</v>
      </c>
      <c r="F201" s="11">
        <f>5.1758 * CHOOSE(CONTROL!$C$32, $C$9, 100%, $E$9)</f>
        <v>5.1757999999999997</v>
      </c>
      <c r="G201" s="11">
        <f>5.1811 * CHOOSE(CONTROL!$C$32, $C$9, 100%, $E$9)</f>
        <v>5.1810999999999998</v>
      </c>
      <c r="H201" s="11">
        <f>8.5132 * CHOOSE(CONTROL!$C$32, $C$9, 100%, $E$9)</f>
        <v>8.5131999999999994</v>
      </c>
      <c r="I201" s="11">
        <f>8.5185 * CHOOSE(CONTROL!$C$32, $C$9, 100%, $E$9)</f>
        <v>8.5184999999999995</v>
      </c>
      <c r="J201" s="11">
        <f>8.5132 * CHOOSE(CONTROL!$C$32, $C$9, 100%, $E$9)</f>
        <v>8.5131999999999994</v>
      </c>
      <c r="K201" s="11">
        <f>8.5185 * CHOOSE(CONTROL!$C$32, $C$9, 100%, $E$9)</f>
        <v>8.5184999999999995</v>
      </c>
      <c r="L201" s="11">
        <f>5.1758 * CHOOSE(CONTROL!$C$32, $C$9, 100%, $E$9)</f>
        <v>5.1757999999999997</v>
      </c>
      <c r="M201" s="11">
        <f>5.1811 * CHOOSE(CONTROL!$C$32, $C$9, 100%, $E$9)</f>
        <v>5.1810999999999998</v>
      </c>
      <c r="N201" s="11">
        <f>5.1758 * CHOOSE(CONTROL!$C$32, $C$9, 100%, $E$9)</f>
        <v>5.1757999999999997</v>
      </c>
      <c r="O201" s="11">
        <f>5.1811 * CHOOSE(CONTROL!$C$32, $C$9, 100%, $E$9)</f>
        <v>5.1810999999999998</v>
      </c>
    </row>
    <row r="202" spans="1:15" ht="15" x14ac:dyDescent="0.2">
      <c r="A202" s="13">
        <v>46997</v>
      </c>
      <c r="B202" s="9">
        <f>4.0624 * CHOOSE(CONTROL!$C$32, $C$9, 100%, $E$9)</f>
        <v>4.0624000000000002</v>
      </c>
      <c r="C202" s="9">
        <f>4.0624 * CHOOSE(CONTROL!$C$32, $C$9, 100%, $E$9)</f>
        <v>4.0624000000000002</v>
      </c>
      <c r="D202" s="9">
        <f>4.064 * CHOOSE(CONTROL!$C$32, $C$9, 100%, $E$9)</f>
        <v>4.0640000000000001</v>
      </c>
      <c r="E202" s="11">
        <f>5.1738 * CHOOSE(CONTROL!$C$32, $C$9, 100%, $E$9)</f>
        <v>5.1738</v>
      </c>
      <c r="F202" s="11">
        <f>5.1738 * CHOOSE(CONTROL!$C$32, $C$9, 100%, $E$9)</f>
        <v>5.1738</v>
      </c>
      <c r="G202" s="11">
        <f>5.1791 * CHOOSE(CONTROL!$C$32, $C$9, 100%, $E$9)</f>
        <v>5.1791</v>
      </c>
      <c r="H202" s="11">
        <f>8.5309 * CHOOSE(CONTROL!$C$32, $C$9, 100%, $E$9)</f>
        <v>8.5309000000000008</v>
      </c>
      <c r="I202" s="11">
        <f>8.5362 * CHOOSE(CONTROL!$C$32, $C$9, 100%, $E$9)</f>
        <v>8.5361999999999991</v>
      </c>
      <c r="J202" s="11">
        <f>8.5309 * CHOOSE(CONTROL!$C$32, $C$9, 100%, $E$9)</f>
        <v>8.5309000000000008</v>
      </c>
      <c r="K202" s="11">
        <f>8.5362 * CHOOSE(CONTROL!$C$32, $C$9, 100%, $E$9)</f>
        <v>8.5361999999999991</v>
      </c>
      <c r="L202" s="11">
        <f>5.1738 * CHOOSE(CONTROL!$C$32, $C$9, 100%, $E$9)</f>
        <v>5.1738</v>
      </c>
      <c r="M202" s="11">
        <f>5.1791 * CHOOSE(CONTROL!$C$32, $C$9, 100%, $E$9)</f>
        <v>5.1791</v>
      </c>
      <c r="N202" s="11">
        <f>5.1738 * CHOOSE(CONTROL!$C$32, $C$9, 100%, $E$9)</f>
        <v>5.1738</v>
      </c>
      <c r="O202" s="11">
        <f>5.1791 * CHOOSE(CONTROL!$C$32, $C$9, 100%, $E$9)</f>
        <v>5.1791</v>
      </c>
    </row>
    <row r="203" spans="1:15" ht="15" x14ac:dyDescent="0.2">
      <c r="A203" s="13">
        <v>47027</v>
      </c>
      <c r="B203" s="9">
        <f>4.0577 * CHOOSE(CONTROL!$C$32, $C$9, 100%, $E$9)</f>
        <v>4.0576999999999996</v>
      </c>
      <c r="C203" s="9">
        <f>4.0577 * CHOOSE(CONTROL!$C$32, $C$9, 100%, $E$9)</f>
        <v>4.0576999999999996</v>
      </c>
      <c r="D203" s="9">
        <f>4.0588 * CHOOSE(CONTROL!$C$32, $C$9, 100%, $E$9)</f>
        <v>4.0587999999999997</v>
      </c>
      <c r="E203" s="11">
        <f>5.1686 * CHOOSE(CONTROL!$C$32, $C$9, 100%, $E$9)</f>
        <v>5.1685999999999996</v>
      </c>
      <c r="F203" s="11">
        <f>5.1686 * CHOOSE(CONTROL!$C$32, $C$9, 100%, $E$9)</f>
        <v>5.1685999999999996</v>
      </c>
      <c r="G203" s="11">
        <f>5.1722 * CHOOSE(CONTROL!$C$32, $C$9, 100%, $E$9)</f>
        <v>5.1722000000000001</v>
      </c>
      <c r="H203" s="11">
        <f>8.5487 * CHOOSE(CONTROL!$C$32, $C$9, 100%, $E$9)</f>
        <v>8.5487000000000002</v>
      </c>
      <c r="I203" s="11">
        <f>8.5523 * CHOOSE(CONTROL!$C$32, $C$9, 100%, $E$9)</f>
        <v>8.5523000000000007</v>
      </c>
      <c r="J203" s="11">
        <f>8.5487 * CHOOSE(CONTROL!$C$32, $C$9, 100%, $E$9)</f>
        <v>8.5487000000000002</v>
      </c>
      <c r="K203" s="11">
        <f>8.5523 * CHOOSE(CONTROL!$C$32, $C$9, 100%, $E$9)</f>
        <v>8.5523000000000007</v>
      </c>
      <c r="L203" s="11">
        <f>5.1686 * CHOOSE(CONTROL!$C$32, $C$9, 100%, $E$9)</f>
        <v>5.1685999999999996</v>
      </c>
      <c r="M203" s="11">
        <f>5.1722 * CHOOSE(CONTROL!$C$32, $C$9, 100%, $E$9)</f>
        <v>5.1722000000000001</v>
      </c>
      <c r="N203" s="11">
        <f>5.1686 * CHOOSE(CONTROL!$C$32, $C$9, 100%, $E$9)</f>
        <v>5.1685999999999996</v>
      </c>
      <c r="O203" s="11">
        <f>5.1722 * CHOOSE(CONTROL!$C$32, $C$9, 100%, $E$9)</f>
        <v>5.1722000000000001</v>
      </c>
    </row>
    <row r="204" spans="1:15" ht="15" x14ac:dyDescent="0.2">
      <c r="A204" s="13">
        <v>47058</v>
      </c>
      <c r="B204" s="9">
        <f>4.0607 * CHOOSE(CONTROL!$C$32, $C$9, 100%, $E$9)</f>
        <v>4.0606999999999998</v>
      </c>
      <c r="C204" s="9">
        <f>4.0607 * CHOOSE(CONTROL!$C$32, $C$9, 100%, $E$9)</f>
        <v>4.0606999999999998</v>
      </c>
      <c r="D204" s="9">
        <f>4.0618 * CHOOSE(CONTROL!$C$32, $C$9, 100%, $E$9)</f>
        <v>4.0617999999999999</v>
      </c>
      <c r="E204" s="11">
        <f>5.1706 * CHOOSE(CONTROL!$C$32, $C$9, 100%, $E$9)</f>
        <v>5.1706000000000003</v>
      </c>
      <c r="F204" s="11">
        <f>5.1706 * CHOOSE(CONTROL!$C$32, $C$9, 100%, $E$9)</f>
        <v>5.1706000000000003</v>
      </c>
      <c r="G204" s="11">
        <f>5.1742 * CHOOSE(CONTROL!$C$32, $C$9, 100%, $E$9)</f>
        <v>5.1741999999999999</v>
      </c>
      <c r="H204" s="11">
        <f>8.5665 * CHOOSE(CONTROL!$C$32, $C$9, 100%, $E$9)</f>
        <v>8.5664999999999996</v>
      </c>
      <c r="I204" s="11">
        <f>8.5701 * CHOOSE(CONTROL!$C$32, $C$9, 100%, $E$9)</f>
        <v>8.5701000000000001</v>
      </c>
      <c r="J204" s="11">
        <f>8.5665 * CHOOSE(CONTROL!$C$32, $C$9, 100%, $E$9)</f>
        <v>8.5664999999999996</v>
      </c>
      <c r="K204" s="11">
        <f>8.5701 * CHOOSE(CONTROL!$C$32, $C$9, 100%, $E$9)</f>
        <v>8.5701000000000001</v>
      </c>
      <c r="L204" s="11">
        <f>5.1706 * CHOOSE(CONTROL!$C$32, $C$9, 100%, $E$9)</f>
        <v>5.1706000000000003</v>
      </c>
      <c r="M204" s="11">
        <f>5.1742 * CHOOSE(CONTROL!$C$32, $C$9, 100%, $E$9)</f>
        <v>5.1741999999999999</v>
      </c>
      <c r="N204" s="11">
        <f>5.1706 * CHOOSE(CONTROL!$C$32, $C$9, 100%, $E$9)</f>
        <v>5.1706000000000003</v>
      </c>
      <c r="O204" s="11">
        <f>5.1742 * CHOOSE(CONTROL!$C$32, $C$9, 100%, $E$9)</f>
        <v>5.1741999999999999</v>
      </c>
    </row>
    <row r="205" spans="1:15" ht="15" x14ac:dyDescent="0.2">
      <c r="A205" s="13">
        <v>47088</v>
      </c>
      <c r="B205" s="9">
        <f>4.0607 * CHOOSE(CONTROL!$C$32, $C$9, 100%, $E$9)</f>
        <v>4.0606999999999998</v>
      </c>
      <c r="C205" s="9">
        <f>4.0607 * CHOOSE(CONTROL!$C$32, $C$9, 100%, $E$9)</f>
        <v>4.0606999999999998</v>
      </c>
      <c r="D205" s="9">
        <f>4.0618 * CHOOSE(CONTROL!$C$32, $C$9, 100%, $E$9)</f>
        <v>4.0617999999999999</v>
      </c>
      <c r="E205" s="11">
        <f>5.1706 * CHOOSE(CONTROL!$C$32, $C$9, 100%, $E$9)</f>
        <v>5.1706000000000003</v>
      </c>
      <c r="F205" s="11">
        <f>5.1706 * CHOOSE(CONTROL!$C$32, $C$9, 100%, $E$9)</f>
        <v>5.1706000000000003</v>
      </c>
      <c r="G205" s="11">
        <f>5.1742 * CHOOSE(CONTROL!$C$32, $C$9, 100%, $E$9)</f>
        <v>5.1741999999999999</v>
      </c>
      <c r="H205" s="11">
        <f>8.5844 * CHOOSE(CONTROL!$C$32, $C$9, 100%, $E$9)</f>
        <v>8.5844000000000005</v>
      </c>
      <c r="I205" s="11">
        <f>8.588 * CHOOSE(CONTROL!$C$32, $C$9, 100%, $E$9)</f>
        <v>8.5879999999999992</v>
      </c>
      <c r="J205" s="11">
        <f>8.5844 * CHOOSE(CONTROL!$C$32, $C$9, 100%, $E$9)</f>
        <v>8.5844000000000005</v>
      </c>
      <c r="K205" s="11">
        <f>8.588 * CHOOSE(CONTROL!$C$32, $C$9, 100%, $E$9)</f>
        <v>8.5879999999999992</v>
      </c>
      <c r="L205" s="11">
        <f>5.1706 * CHOOSE(CONTROL!$C$32, $C$9, 100%, $E$9)</f>
        <v>5.1706000000000003</v>
      </c>
      <c r="M205" s="11">
        <f>5.1742 * CHOOSE(CONTROL!$C$32, $C$9, 100%, $E$9)</f>
        <v>5.1741999999999999</v>
      </c>
      <c r="N205" s="11">
        <f>5.1706 * CHOOSE(CONTROL!$C$32, $C$9, 100%, $E$9)</f>
        <v>5.1706000000000003</v>
      </c>
      <c r="O205" s="11">
        <f>5.1742 * CHOOSE(CONTROL!$C$32, $C$9, 100%, $E$9)</f>
        <v>5.1741999999999999</v>
      </c>
    </row>
    <row r="206" spans="1:15" ht="15" x14ac:dyDescent="0.2">
      <c r="A206" s="13">
        <v>47119</v>
      </c>
      <c r="B206" s="9">
        <f>4.0932 * CHOOSE(CONTROL!$C$32, $C$9, 100%, $E$9)</f>
        <v>4.0932000000000004</v>
      </c>
      <c r="C206" s="9">
        <f>4.0932 * CHOOSE(CONTROL!$C$32, $C$9, 100%, $E$9)</f>
        <v>4.0932000000000004</v>
      </c>
      <c r="D206" s="9">
        <f>4.0943 * CHOOSE(CONTROL!$C$32, $C$9, 100%, $E$9)</f>
        <v>4.0942999999999996</v>
      </c>
      <c r="E206" s="11">
        <f>5.2103 * CHOOSE(CONTROL!$C$32, $C$9, 100%, $E$9)</f>
        <v>5.2103000000000002</v>
      </c>
      <c r="F206" s="11">
        <f>5.2103 * CHOOSE(CONTROL!$C$32, $C$9, 100%, $E$9)</f>
        <v>5.2103000000000002</v>
      </c>
      <c r="G206" s="11">
        <f>5.2139 * CHOOSE(CONTROL!$C$32, $C$9, 100%, $E$9)</f>
        <v>5.2138999999999998</v>
      </c>
      <c r="H206" s="11">
        <f>8.6022 * CHOOSE(CONTROL!$C$32, $C$9, 100%, $E$9)</f>
        <v>8.6021999999999998</v>
      </c>
      <c r="I206" s="11">
        <f>8.6059 * CHOOSE(CONTROL!$C$32, $C$9, 100%, $E$9)</f>
        <v>8.6059000000000001</v>
      </c>
      <c r="J206" s="11">
        <f>8.6022 * CHOOSE(CONTROL!$C$32, $C$9, 100%, $E$9)</f>
        <v>8.6021999999999998</v>
      </c>
      <c r="K206" s="11">
        <f>8.6059 * CHOOSE(CONTROL!$C$32, $C$9, 100%, $E$9)</f>
        <v>8.6059000000000001</v>
      </c>
      <c r="L206" s="11">
        <f>5.2103 * CHOOSE(CONTROL!$C$32, $C$9, 100%, $E$9)</f>
        <v>5.2103000000000002</v>
      </c>
      <c r="M206" s="11">
        <f>5.2139 * CHOOSE(CONTROL!$C$32, $C$9, 100%, $E$9)</f>
        <v>5.2138999999999998</v>
      </c>
      <c r="N206" s="11">
        <f>5.2103 * CHOOSE(CONTROL!$C$32, $C$9, 100%, $E$9)</f>
        <v>5.2103000000000002</v>
      </c>
      <c r="O206" s="11">
        <f>5.2139 * CHOOSE(CONTROL!$C$32, $C$9, 100%, $E$9)</f>
        <v>5.2138999999999998</v>
      </c>
    </row>
    <row r="207" spans="1:15" ht="15" x14ac:dyDescent="0.2">
      <c r="A207" s="13">
        <v>47150</v>
      </c>
      <c r="B207" s="9">
        <f>4.0902 * CHOOSE(CONTROL!$C$32, $C$9, 100%, $E$9)</f>
        <v>4.0902000000000003</v>
      </c>
      <c r="C207" s="9">
        <f>4.0902 * CHOOSE(CONTROL!$C$32, $C$9, 100%, $E$9)</f>
        <v>4.0902000000000003</v>
      </c>
      <c r="D207" s="9">
        <f>4.0913 * CHOOSE(CONTROL!$C$32, $C$9, 100%, $E$9)</f>
        <v>4.0913000000000004</v>
      </c>
      <c r="E207" s="11">
        <f>5.2083 * CHOOSE(CONTROL!$C$32, $C$9, 100%, $E$9)</f>
        <v>5.2083000000000004</v>
      </c>
      <c r="F207" s="11">
        <f>5.2083 * CHOOSE(CONTROL!$C$32, $C$9, 100%, $E$9)</f>
        <v>5.2083000000000004</v>
      </c>
      <c r="G207" s="11">
        <f>5.2119 * CHOOSE(CONTROL!$C$32, $C$9, 100%, $E$9)</f>
        <v>5.2119</v>
      </c>
      <c r="H207" s="11">
        <f>8.6202 * CHOOSE(CONTROL!$C$32, $C$9, 100%, $E$9)</f>
        <v>8.6202000000000005</v>
      </c>
      <c r="I207" s="11">
        <f>8.6238 * CHOOSE(CONTROL!$C$32, $C$9, 100%, $E$9)</f>
        <v>8.6237999999999992</v>
      </c>
      <c r="J207" s="11">
        <f>8.6202 * CHOOSE(CONTROL!$C$32, $C$9, 100%, $E$9)</f>
        <v>8.6202000000000005</v>
      </c>
      <c r="K207" s="11">
        <f>8.6238 * CHOOSE(CONTROL!$C$32, $C$9, 100%, $E$9)</f>
        <v>8.6237999999999992</v>
      </c>
      <c r="L207" s="11">
        <f>5.2083 * CHOOSE(CONTROL!$C$32, $C$9, 100%, $E$9)</f>
        <v>5.2083000000000004</v>
      </c>
      <c r="M207" s="11">
        <f>5.2119 * CHOOSE(CONTROL!$C$32, $C$9, 100%, $E$9)</f>
        <v>5.2119</v>
      </c>
      <c r="N207" s="11">
        <f>5.2083 * CHOOSE(CONTROL!$C$32, $C$9, 100%, $E$9)</f>
        <v>5.2083000000000004</v>
      </c>
      <c r="O207" s="11">
        <f>5.2119 * CHOOSE(CONTROL!$C$32, $C$9, 100%, $E$9)</f>
        <v>5.2119</v>
      </c>
    </row>
    <row r="208" spans="1:15" ht="15" x14ac:dyDescent="0.2">
      <c r="A208" s="13">
        <v>47178</v>
      </c>
      <c r="B208" s="9">
        <f>4.0872 * CHOOSE(CONTROL!$C$32, $C$9, 100%, $E$9)</f>
        <v>4.0872000000000002</v>
      </c>
      <c r="C208" s="9">
        <f>4.0872 * CHOOSE(CONTROL!$C$32, $C$9, 100%, $E$9)</f>
        <v>4.0872000000000002</v>
      </c>
      <c r="D208" s="9">
        <f>4.0882 * CHOOSE(CONTROL!$C$32, $C$9, 100%, $E$9)</f>
        <v>4.0881999999999996</v>
      </c>
      <c r="E208" s="11">
        <f>5.2063 * CHOOSE(CONTROL!$C$32, $C$9, 100%, $E$9)</f>
        <v>5.2062999999999997</v>
      </c>
      <c r="F208" s="11">
        <f>5.2063 * CHOOSE(CONTROL!$C$32, $C$9, 100%, $E$9)</f>
        <v>5.2062999999999997</v>
      </c>
      <c r="G208" s="11">
        <f>5.2099 * CHOOSE(CONTROL!$C$32, $C$9, 100%, $E$9)</f>
        <v>5.2099000000000002</v>
      </c>
      <c r="H208" s="11">
        <f>8.6381 * CHOOSE(CONTROL!$C$32, $C$9, 100%, $E$9)</f>
        <v>8.6380999999999997</v>
      </c>
      <c r="I208" s="11">
        <f>8.6417 * CHOOSE(CONTROL!$C$32, $C$9, 100%, $E$9)</f>
        <v>8.6417000000000002</v>
      </c>
      <c r="J208" s="11">
        <f>8.6381 * CHOOSE(CONTROL!$C$32, $C$9, 100%, $E$9)</f>
        <v>8.6380999999999997</v>
      </c>
      <c r="K208" s="11">
        <f>8.6417 * CHOOSE(CONTROL!$C$32, $C$9, 100%, $E$9)</f>
        <v>8.6417000000000002</v>
      </c>
      <c r="L208" s="11">
        <f>5.2063 * CHOOSE(CONTROL!$C$32, $C$9, 100%, $E$9)</f>
        <v>5.2062999999999997</v>
      </c>
      <c r="M208" s="11">
        <f>5.2099 * CHOOSE(CONTROL!$C$32, $C$9, 100%, $E$9)</f>
        <v>5.2099000000000002</v>
      </c>
      <c r="N208" s="11">
        <f>5.2063 * CHOOSE(CONTROL!$C$32, $C$9, 100%, $E$9)</f>
        <v>5.2062999999999997</v>
      </c>
      <c r="O208" s="11">
        <f>5.2099 * CHOOSE(CONTROL!$C$32, $C$9, 100%, $E$9)</f>
        <v>5.2099000000000002</v>
      </c>
    </row>
    <row r="209" spans="1:15" ht="15" x14ac:dyDescent="0.2">
      <c r="A209" s="13">
        <v>47209</v>
      </c>
      <c r="B209" s="9">
        <f>4.0849 * CHOOSE(CONTROL!$C$32, $C$9, 100%, $E$9)</f>
        <v>4.0849000000000002</v>
      </c>
      <c r="C209" s="9">
        <f>4.0849 * CHOOSE(CONTROL!$C$32, $C$9, 100%, $E$9)</f>
        <v>4.0849000000000002</v>
      </c>
      <c r="D209" s="9">
        <f>4.086 * CHOOSE(CONTROL!$C$32, $C$9, 100%, $E$9)</f>
        <v>4.0860000000000003</v>
      </c>
      <c r="E209" s="11">
        <f>5.2043 * CHOOSE(CONTROL!$C$32, $C$9, 100%, $E$9)</f>
        <v>5.2042999999999999</v>
      </c>
      <c r="F209" s="11">
        <f>5.2043 * CHOOSE(CONTROL!$C$32, $C$9, 100%, $E$9)</f>
        <v>5.2042999999999999</v>
      </c>
      <c r="G209" s="11">
        <f>5.2079 * CHOOSE(CONTROL!$C$32, $C$9, 100%, $E$9)</f>
        <v>5.2079000000000004</v>
      </c>
      <c r="H209" s="11">
        <f>8.6561 * CHOOSE(CONTROL!$C$32, $C$9, 100%, $E$9)</f>
        <v>8.6561000000000003</v>
      </c>
      <c r="I209" s="11">
        <f>8.6597 * CHOOSE(CONTROL!$C$32, $C$9, 100%, $E$9)</f>
        <v>8.6597000000000008</v>
      </c>
      <c r="J209" s="11">
        <f>8.6561 * CHOOSE(CONTROL!$C$32, $C$9, 100%, $E$9)</f>
        <v>8.6561000000000003</v>
      </c>
      <c r="K209" s="11">
        <f>8.6597 * CHOOSE(CONTROL!$C$32, $C$9, 100%, $E$9)</f>
        <v>8.6597000000000008</v>
      </c>
      <c r="L209" s="11">
        <f>5.2043 * CHOOSE(CONTROL!$C$32, $C$9, 100%, $E$9)</f>
        <v>5.2042999999999999</v>
      </c>
      <c r="M209" s="11">
        <f>5.2079 * CHOOSE(CONTROL!$C$32, $C$9, 100%, $E$9)</f>
        <v>5.2079000000000004</v>
      </c>
      <c r="N209" s="11">
        <f>5.2043 * CHOOSE(CONTROL!$C$32, $C$9, 100%, $E$9)</f>
        <v>5.2042999999999999</v>
      </c>
      <c r="O209" s="11">
        <f>5.2079 * CHOOSE(CONTROL!$C$32, $C$9, 100%, $E$9)</f>
        <v>5.2079000000000004</v>
      </c>
    </row>
    <row r="210" spans="1:15" ht="15" x14ac:dyDescent="0.2">
      <c r="A210" s="13">
        <v>47239</v>
      </c>
      <c r="B210" s="9">
        <f>4.0849 * CHOOSE(CONTROL!$C$32, $C$9, 100%, $E$9)</f>
        <v>4.0849000000000002</v>
      </c>
      <c r="C210" s="9">
        <f>4.0849 * CHOOSE(CONTROL!$C$32, $C$9, 100%, $E$9)</f>
        <v>4.0849000000000002</v>
      </c>
      <c r="D210" s="9">
        <f>4.0865 * CHOOSE(CONTROL!$C$32, $C$9, 100%, $E$9)</f>
        <v>4.0865</v>
      </c>
      <c r="E210" s="11">
        <f>5.2043 * CHOOSE(CONTROL!$C$32, $C$9, 100%, $E$9)</f>
        <v>5.2042999999999999</v>
      </c>
      <c r="F210" s="11">
        <f>5.2043 * CHOOSE(CONTROL!$C$32, $C$9, 100%, $E$9)</f>
        <v>5.2042999999999999</v>
      </c>
      <c r="G210" s="11">
        <f>5.2096 * CHOOSE(CONTROL!$C$32, $C$9, 100%, $E$9)</f>
        <v>5.2096</v>
      </c>
      <c r="H210" s="11">
        <f>8.6742 * CHOOSE(CONTROL!$C$32, $C$9, 100%, $E$9)</f>
        <v>8.6742000000000008</v>
      </c>
      <c r="I210" s="11">
        <f>8.6795 * CHOOSE(CONTROL!$C$32, $C$9, 100%, $E$9)</f>
        <v>8.6795000000000009</v>
      </c>
      <c r="J210" s="11">
        <f>8.6742 * CHOOSE(CONTROL!$C$32, $C$9, 100%, $E$9)</f>
        <v>8.6742000000000008</v>
      </c>
      <c r="K210" s="11">
        <f>8.6795 * CHOOSE(CONTROL!$C$32, $C$9, 100%, $E$9)</f>
        <v>8.6795000000000009</v>
      </c>
      <c r="L210" s="11">
        <f>5.2043 * CHOOSE(CONTROL!$C$32, $C$9, 100%, $E$9)</f>
        <v>5.2042999999999999</v>
      </c>
      <c r="M210" s="11">
        <f>5.2096 * CHOOSE(CONTROL!$C$32, $C$9, 100%, $E$9)</f>
        <v>5.2096</v>
      </c>
      <c r="N210" s="11">
        <f>5.2043 * CHOOSE(CONTROL!$C$32, $C$9, 100%, $E$9)</f>
        <v>5.2042999999999999</v>
      </c>
      <c r="O210" s="11">
        <f>5.2096 * CHOOSE(CONTROL!$C$32, $C$9, 100%, $E$9)</f>
        <v>5.2096</v>
      </c>
    </row>
    <row r="211" spans="1:15" ht="15" x14ac:dyDescent="0.2">
      <c r="A211" s="13">
        <v>47270</v>
      </c>
      <c r="B211" s="9">
        <f>4.091 * CHOOSE(CONTROL!$C$32, $C$9, 100%, $E$9)</f>
        <v>4.0910000000000002</v>
      </c>
      <c r="C211" s="9">
        <f>4.091 * CHOOSE(CONTROL!$C$32, $C$9, 100%, $E$9)</f>
        <v>4.0910000000000002</v>
      </c>
      <c r="D211" s="9">
        <f>4.0925 * CHOOSE(CONTROL!$C$32, $C$9, 100%, $E$9)</f>
        <v>4.0925000000000002</v>
      </c>
      <c r="E211" s="11">
        <f>5.2083 * CHOOSE(CONTROL!$C$32, $C$9, 100%, $E$9)</f>
        <v>5.2083000000000004</v>
      </c>
      <c r="F211" s="11">
        <f>5.2083 * CHOOSE(CONTROL!$C$32, $C$9, 100%, $E$9)</f>
        <v>5.2083000000000004</v>
      </c>
      <c r="G211" s="11">
        <f>5.2136 * CHOOSE(CONTROL!$C$32, $C$9, 100%, $E$9)</f>
        <v>5.2135999999999996</v>
      </c>
      <c r="H211" s="11">
        <f>8.6922 * CHOOSE(CONTROL!$C$32, $C$9, 100%, $E$9)</f>
        <v>8.6921999999999997</v>
      </c>
      <c r="I211" s="11">
        <f>8.6975 * CHOOSE(CONTROL!$C$32, $C$9, 100%, $E$9)</f>
        <v>8.6974999999999998</v>
      </c>
      <c r="J211" s="11">
        <f>8.6922 * CHOOSE(CONTROL!$C$32, $C$9, 100%, $E$9)</f>
        <v>8.6921999999999997</v>
      </c>
      <c r="K211" s="11">
        <f>8.6975 * CHOOSE(CONTROL!$C$32, $C$9, 100%, $E$9)</f>
        <v>8.6974999999999998</v>
      </c>
      <c r="L211" s="11">
        <f>5.2083 * CHOOSE(CONTROL!$C$32, $C$9, 100%, $E$9)</f>
        <v>5.2083000000000004</v>
      </c>
      <c r="M211" s="11">
        <f>5.2136 * CHOOSE(CONTROL!$C$32, $C$9, 100%, $E$9)</f>
        <v>5.2135999999999996</v>
      </c>
      <c r="N211" s="11">
        <f>5.2083 * CHOOSE(CONTROL!$C$32, $C$9, 100%, $E$9)</f>
        <v>5.2083000000000004</v>
      </c>
      <c r="O211" s="11">
        <f>5.2136 * CHOOSE(CONTROL!$C$32, $C$9, 100%, $E$9)</f>
        <v>5.2135999999999996</v>
      </c>
    </row>
    <row r="212" spans="1:15" ht="15" x14ac:dyDescent="0.2">
      <c r="A212" s="13">
        <v>47300</v>
      </c>
      <c r="B212" s="9">
        <f>4.1496 * CHOOSE(CONTROL!$C$32, $C$9, 100%, $E$9)</f>
        <v>4.1496000000000004</v>
      </c>
      <c r="C212" s="9">
        <f>4.1496 * CHOOSE(CONTROL!$C$32, $C$9, 100%, $E$9)</f>
        <v>4.1496000000000004</v>
      </c>
      <c r="D212" s="9">
        <f>4.1512 * CHOOSE(CONTROL!$C$32, $C$9, 100%, $E$9)</f>
        <v>4.1512000000000002</v>
      </c>
      <c r="E212" s="11">
        <f>5.2949 * CHOOSE(CONTROL!$C$32, $C$9, 100%, $E$9)</f>
        <v>5.2949000000000002</v>
      </c>
      <c r="F212" s="11">
        <f>5.2949 * CHOOSE(CONTROL!$C$32, $C$9, 100%, $E$9)</f>
        <v>5.2949000000000002</v>
      </c>
      <c r="G212" s="11">
        <f>5.3002 * CHOOSE(CONTROL!$C$32, $C$9, 100%, $E$9)</f>
        <v>5.3002000000000002</v>
      </c>
      <c r="H212" s="11">
        <f>8.7103 * CHOOSE(CONTROL!$C$32, $C$9, 100%, $E$9)</f>
        <v>8.7103000000000002</v>
      </c>
      <c r="I212" s="11">
        <f>8.7156 * CHOOSE(CONTROL!$C$32, $C$9, 100%, $E$9)</f>
        <v>8.7156000000000002</v>
      </c>
      <c r="J212" s="11">
        <f>8.7103 * CHOOSE(CONTROL!$C$32, $C$9, 100%, $E$9)</f>
        <v>8.7103000000000002</v>
      </c>
      <c r="K212" s="11">
        <f>8.7156 * CHOOSE(CONTROL!$C$32, $C$9, 100%, $E$9)</f>
        <v>8.7156000000000002</v>
      </c>
      <c r="L212" s="11">
        <f>5.2949 * CHOOSE(CONTROL!$C$32, $C$9, 100%, $E$9)</f>
        <v>5.2949000000000002</v>
      </c>
      <c r="M212" s="11">
        <f>5.3002 * CHOOSE(CONTROL!$C$32, $C$9, 100%, $E$9)</f>
        <v>5.3002000000000002</v>
      </c>
      <c r="N212" s="11">
        <f>5.2949 * CHOOSE(CONTROL!$C$32, $C$9, 100%, $E$9)</f>
        <v>5.2949000000000002</v>
      </c>
      <c r="O212" s="11">
        <f>5.3002 * CHOOSE(CONTROL!$C$32, $C$9, 100%, $E$9)</f>
        <v>5.3002000000000002</v>
      </c>
    </row>
    <row r="213" spans="1:15" ht="15" x14ac:dyDescent="0.2">
      <c r="A213" s="13">
        <v>47331</v>
      </c>
      <c r="B213" s="9">
        <f>4.1563 * CHOOSE(CONTROL!$C$32, $C$9, 100%, $E$9)</f>
        <v>4.1562999999999999</v>
      </c>
      <c r="C213" s="9">
        <f>4.1563 * CHOOSE(CONTROL!$C$32, $C$9, 100%, $E$9)</f>
        <v>4.1562999999999999</v>
      </c>
      <c r="D213" s="9">
        <f>4.1579 * CHOOSE(CONTROL!$C$32, $C$9, 100%, $E$9)</f>
        <v>4.1578999999999997</v>
      </c>
      <c r="E213" s="11">
        <f>5.2993 * CHOOSE(CONTROL!$C$32, $C$9, 100%, $E$9)</f>
        <v>5.2992999999999997</v>
      </c>
      <c r="F213" s="11">
        <f>5.2993 * CHOOSE(CONTROL!$C$32, $C$9, 100%, $E$9)</f>
        <v>5.2992999999999997</v>
      </c>
      <c r="G213" s="11">
        <f>5.3046 * CHOOSE(CONTROL!$C$32, $C$9, 100%, $E$9)</f>
        <v>5.3045999999999998</v>
      </c>
      <c r="H213" s="11">
        <f>8.7285 * CHOOSE(CONTROL!$C$32, $C$9, 100%, $E$9)</f>
        <v>8.7285000000000004</v>
      </c>
      <c r="I213" s="11">
        <f>8.7338 * CHOOSE(CONTROL!$C$32, $C$9, 100%, $E$9)</f>
        <v>8.7338000000000005</v>
      </c>
      <c r="J213" s="11">
        <f>8.7285 * CHOOSE(CONTROL!$C$32, $C$9, 100%, $E$9)</f>
        <v>8.7285000000000004</v>
      </c>
      <c r="K213" s="11">
        <f>8.7338 * CHOOSE(CONTROL!$C$32, $C$9, 100%, $E$9)</f>
        <v>8.7338000000000005</v>
      </c>
      <c r="L213" s="11">
        <f>5.2993 * CHOOSE(CONTROL!$C$32, $C$9, 100%, $E$9)</f>
        <v>5.2992999999999997</v>
      </c>
      <c r="M213" s="11">
        <f>5.3046 * CHOOSE(CONTROL!$C$32, $C$9, 100%, $E$9)</f>
        <v>5.3045999999999998</v>
      </c>
      <c r="N213" s="11">
        <f>5.2993 * CHOOSE(CONTROL!$C$32, $C$9, 100%, $E$9)</f>
        <v>5.2992999999999997</v>
      </c>
      <c r="O213" s="11">
        <f>5.3046 * CHOOSE(CONTROL!$C$32, $C$9, 100%, $E$9)</f>
        <v>5.3045999999999998</v>
      </c>
    </row>
    <row r="214" spans="1:15" ht="15" x14ac:dyDescent="0.2">
      <c r="A214" s="13">
        <v>47362</v>
      </c>
      <c r="B214" s="9">
        <f>4.1533 * CHOOSE(CONTROL!$C$32, $C$9, 100%, $E$9)</f>
        <v>4.1532999999999998</v>
      </c>
      <c r="C214" s="9">
        <f>4.1533 * CHOOSE(CONTROL!$C$32, $C$9, 100%, $E$9)</f>
        <v>4.1532999999999998</v>
      </c>
      <c r="D214" s="9">
        <f>4.1548 * CHOOSE(CONTROL!$C$32, $C$9, 100%, $E$9)</f>
        <v>4.1547999999999998</v>
      </c>
      <c r="E214" s="11">
        <f>5.2973 * CHOOSE(CONTROL!$C$32, $C$9, 100%, $E$9)</f>
        <v>5.2972999999999999</v>
      </c>
      <c r="F214" s="11">
        <f>5.2973 * CHOOSE(CONTROL!$C$32, $C$9, 100%, $E$9)</f>
        <v>5.2972999999999999</v>
      </c>
      <c r="G214" s="11">
        <f>5.3026 * CHOOSE(CONTROL!$C$32, $C$9, 100%, $E$9)</f>
        <v>5.3026</v>
      </c>
      <c r="H214" s="11">
        <f>8.7467 * CHOOSE(CONTROL!$C$32, $C$9, 100%, $E$9)</f>
        <v>8.7467000000000006</v>
      </c>
      <c r="I214" s="11">
        <f>8.752 * CHOOSE(CONTROL!$C$32, $C$9, 100%, $E$9)</f>
        <v>8.7520000000000007</v>
      </c>
      <c r="J214" s="11">
        <f>8.7467 * CHOOSE(CONTROL!$C$32, $C$9, 100%, $E$9)</f>
        <v>8.7467000000000006</v>
      </c>
      <c r="K214" s="11">
        <f>8.752 * CHOOSE(CONTROL!$C$32, $C$9, 100%, $E$9)</f>
        <v>8.7520000000000007</v>
      </c>
      <c r="L214" s="11">
        <f>5.2973 * CHOOSE(CONTROL!$C$32, $C$9, 100%, $E$9)</f>
        <v>5.2972999999999999</v>
      </c>
      <c r="M214" s="11">
        <f>5.3026 * CHOOSE(CONTROL!$C$32, $C$9, 100%, $E$9)</f>
        <v>5.3026</v>
      </c>
      <c r="N214" s="11">
        <f>5.2973 * CHOOSE(CONTROL!$C$32, $C$9, 100%, $E$9)</f>
        <v>5.2972999999999999</v>
      </c>
      <c r="O214" s="11">
        <f>5.3026 * CHOOSE(CONTROL!$C$32, $C$9, 100%, $E$9)</f>
        <v>5.3026</v>
      </c>
    </row>
    <row r="215" spans="1:15" ht="15" x14ac:dyDescent="0.2">
      <c r="A215" s="13">
        <v>47392</v>
      </c>
      <c r="B215" s="9">
        <f>4.1489 * CHOOSE(CONTROL!$C$32, $C$9, 100%, $E$9)</f>
        <v>4.1489000000000003</v>
      </c>
      <c r="C215" s="9">
        <f>4.1489 * CHOOSE(CONTROL!$C$32, $C$9, 100%, $E$9)</f>
        <v>4.1489000000000003</v>
      </c>
      <c r="D215" s="9">
        <f>4.15 * CHOOSE(CONTROL!$C$32, $C$9, 100%, $E$9)</f>
        <v>4.1500000000000004</v>
      </c>
      <c r="E215" s="11">
        <f>5.2923 * CHOOSE(CONTROL!$C$32, $C$9, 100%, $E$9)</f>
        <v>5.2923</v>
      </c>
      <c r="F215" s="11">
        <f>5.2923 * CHOOSE(CONTROL!$C$32, $C$9, 100%, $E$9)</f>
        <v>5.2923</v>
      </c>
      <c r="G215" s="11">
        <f>5.2959 * CHOOSE(CONTROL!$C$32, $C$9, 100%, $E$9)</f>
        <v>5.2958999999999996</v>
      </c>
      <c r="H215" s="11">
        <f>8.7649 * CHOOSE(CONTROL!$C$32, $C$9, 100%, $E$9)</f>
        <v>8.7649000000000008</v>
      </c>
      <c r="I215" s="11">
        <f>8.7685 * CHOOSE(CONTROL!$C$32, $C$9, 100%, $E$9)</f>
        <v>8.7684999999999995</v>
      </c>
      <c r="J215" s="11">
        <f>8.7649 * CHOOSE(CONTROL!$C$32, $C$9, 100%, $E$9)</f>
        <v>8.7649000000000008</v>
      </c>
      <c r="K215" s="11">
        <f>8.7685 * CHOOSE(CONTROL!$C$32, $C$9, 100%, $E$9)</f>
        <v>8.7684999999999995</v>
      </c>
      <c r="L215" s="11">
        <f>5.2923 * CHOOSE(CONTROL!$C$32, $C$9, 100%, $E$9)</f>
        <v>5.2923</v>
      </c>
      <c r="M215" s="11">
        <f>5.2959 * CHOOSE(CONTROL!$C$32, $C$9, 100%, $E$9)</f>
        <v>5.2958999999999996</v>
      </c>
      <c r="N215" s="11">
        <f>5.2923 * CHOOSE(CONTROL!$C$32, $C$9, 100%, $E$9)</f>
        <v>5.2923</v>
      </c>
      <c r="O215" s="11">
        <f>5.2959 * CHOOSE(CONTROL!$C$32, $C$9, 100%, $E$9)</f>
        <v>5.2958999999999996</v>
      </c>
    </row>
    <row r="216" spans="1:15" ht="15" x14ac:dyDescent="0.2">
      <c r="A216" s="13">
        <v>47423</v>
      </c>
      <c r="B216" s="9">
        <f>4.152 * CHOOSE(CONTROL!$C$32, $C$9, 100%, $E$9)</f>
        <v>4.1520000000000001</v>
      </c>
      <c r="C216" s="9">
        <f>4.152 * CHOOSE(CONTROL!$C$32, $C$9, 100%, $E$9)</f>
        <v>4.1520000000000001</v>
      </c>
      <c r="D216" s="9">
        <f>4.153 * CHOOSE(CONTROL!$C$32, $C$9, 100%, $E$9)</f>
        <v>4.1529999999999996</v>
      </c>
      <c r="E216" s="11">
        <f>5.2943 * CHOOSE(CONTROL!$C$32, $C$9, 100%, $E$9)</f>
        <v>5.2942999999999998</v>
      </c>
      <c r="F216" s="11">
        <f>5.2943 * CHOOSE(CONTROL!$C$32, $C$9, 100%, $E$9)</f>
        <v>5.2942999999999998</v>
      </c>
      <c r="G216" s="11">
        <f>5.2979 * CHOOSE(CONTROL!$C$32, $C$9, 100%, $E$9)</f>
        <v>5.2979000000000003</v>
      </c>
      <c r="H216" s="11">
        <f>8.7832 * CHOOSE(CONTROL!$C$32, $C$9, 100%, $E$9)</f>
        <v>8.7832000000000008</v>
      </c>
      <c r="I216" s="11">
        <f>8.7868 * CHOOSE(CONTROL!$C$32, $C$9, 100%, $E$9)</f>
        <v>8.7867999999999995</v>
      </c>
      <c r="J216" s="11">
        <f>8.7832 * CHOOSE(CONTROL!$C$32, $C$9, 100%, $E$9)</f>
        <v>8.7832000000000008</v>
      </c>
      <c r="K216" s="11">
        <f>8.7868 * CHOOSE(CONTROL!$C$32, $C$9, 100%, $E$9)</f>
        <v>8.7867999999999995</v>
      </c>
      <c r="L216" s="11">
        <f>5.2943 * CHOOSE(CONTROL!$C$32, $C$9, 100%, $E$9)</f>
        <v>5.2942999999999998</v>
      </c>
      <c r="M216" s="11">
        <f>5.2979 * CHOOSE(CONTROL!$C$32, $C$9, 100%, $E$9)</f>
        <v>5.2979000000000003</v>
      </c>
      <c r="N216" s="11">
        <f>5.2943 * CHOOSE(CONTROL!$C$32, $C$9, 100%, $E$9)</f>
        <v>5.2942999999999998</v>
      </c>
      <c r="O216" s="11">
        <f>5.2979 * CHOOSE(CONTROL!$C$32, $C$9, 100%, $E$9)</f>
        <v>5.2979000000000003</v>
      </c>
    </row>
    <row r="217" spans="1:15" ht="15" x14ac:dyDescent="0.2">
      <c r="A217" s="13">
        <v>47453</v>
      </c>
      <c r="B217" s="9">
        <f>4.152 * CHOOSE(CONTROL!$C$32, $C$9, 100%, $E$9)</f>
        <v>4.1520000000000001</v>
      </c>
      <c r="C217" s="9">
        <f>4.152 * CHOOSE(CONTROL!$C$32, $C$9, 100%, $E$9)</f>
        <v>4.1520000000000001</v>
      </c>
      <c r="D217" s="9">
        <f>4.153 * CHOOSE(CONTROL!$C$32, $C$9, 100%, $E$9)</f>
        <v>4.1529999999999996</v>
      </c>
      <c r="E217" s="11">
        <f>5.2943 * CHOOSE(CONTROL!$C$32, $C$9, 100%, $E$9)</f>
        <v>5.2942999999999998</v>
      </c>
      <c r="F217" s="11">
        <f>5.2943 * CHOOSE(CONTROL!$C$32, $C$9, 100%, $E$9)</f>
        <v>5.2942999999999998</v>
      </c>
      <c r="G217" s="11">
        <f>5.2979 * CHOOSE(CONTROL!$C$32, $C$9, 100%, $E$9)</f>
        <v>5.2979000000000003</v>
      </c>
      <c r="H217" s="11">
        <f>8.8014 * CHOOSE(CONTROL!$C$32, $C$9, 100%, $E$9)</f>
        <v>8.8013999999999992</v>
      </c>
      <c r="I217" s="11">
        <f>8.8051 * CHOOSE(CONTROL!$C$32, $C$9, 100%, $E$9)</f>
        <v>8.8050999999999995</v>
      </c>
      <c r="J217" s="11">
        <f>8.8014 * CHOOSE(CONTROL!$C$32, $C$9, 100%, $E$9)</f>
        <v>8.8013999999999992</v>
      </c>
      <c r="K217" s="11">
        <f>8.8051 * CHOOSE(CONTROL!$C$32, $C$9, 100%, $E$9)</f>
        <v>8.8050999999999995</v>
      </c>
      <c r="L217" s="11">
        <f>5.2943 * CHOOSE(CONTROL!$C$32, $C$9, 100%, $E$9)</f>
        <v>5.2942999999999998</v>
      </c>
      <c r="M217" s="11">
        <f>5.2979 * CHOOSE(CONTROL!$C$32, $C$9, 100%, $E$9)</f>
        <v>5.2979000000000003</v>
      </c>
      <c r="N217" s="11">
        <f>5.2943 * CHOOSE(CONTROL!$C$32, $C$9, 100%, $E$9)</f>
        <v>5.2942999999999998</v>
      </c>
      <c r="O217" s="11">
        <f>5.2979 * CHOOSE(CONTROL!$C$32, $C$9, 100%, $E$9)</f>
        <v>5.2979000000000003</v>
      </c>
    </row>
    <row r="218" spans="1:15" ht="15" x14ac:dyDescent="0.2">
      <c r="A218" s="13">
        <v>47484</v>
      </c>
      <c r="B218" s="9">
        <f>4.1883 * CHOOSE(CONTROL!$C$32, $C$9, 100%, $E$9)</f>
        <v>4.1882999999999999</v>
      </c>
      <c r="C218" s="9">
        <f>4.1883 * CHOOSE(CONTROL!$C$32, $C$9, 100%, $E$9)</f>
        <v>4.1882999999999999</v>
      </c>
      <c r="D218" s="9">
        <f>4.1893 * CHOOSE(CONTROL!$C$32, $C$9, 100%, $E$9)</f>
        <v>4.1893000000000002</v>
      </c>
      <c r="E218" s="11">
        <f>5.3388 * CHOOSE(CONTROL!$C$32, $C$9, 100%, $E$9)</f>
        <v>5.3388</v>
      </c>
      <c r="F218" s="11">
        <f>5.3388 * CHOOSE(CONTROL!$C$32, $C$9, 100%, $E$9)</f>
        <v>5.3388</v>
      </c>
      <c r="G218" s="11">
        <f>5.3424 * CHOOSE(CONTROL!$C$32, $C$9, 100%, $E$9)</f>
        <v>5.3423999999999996</v>
      </c>
      <c r="H218" s="11">
        <f>8.8198 * CHOOSE(CONTROL!$C$32, $C$9, 100%, $E$9)</f>
        <v>8.8198000000000008</v>
      </c>
      <c r="I218" s="11">
        <f>8.8234 * CHOOSE(CONTROL!$C$32, $C$9, 100%, $E$9)</f>
        <v>8.8233999999999995</v>
      </c>
      <c r="J218" s="11">
        <f>8.8198 * CHOOSE(CONTROL!$C$32, $C$9, 100%, $E$9)</f>
        <v>8.8198000000000008</v>
      </c>
      <c r="K218" s="11">
        <f>8.8234 * CHOOSE(CONTROL!$C$32, $C$9, 100%, $E$9)</f>
        <v>8.8233999999999995</v>
      </c>
      <c r="L218" s="11">
        <f>5.3388 * CHOOSE(CONTROL!$C$32, $C$9, 100%, $E$9)</f>
        <v>5.3388</v>
      </c>
      <c r="M218" s="11">
        <f>5.3424 * CHOOSE(CONTROL!$C$32, $C$9, 100%, $E$9)</f>
        <v>5.3423999999999996</v>
      </c>
      <c r="N218" s="11">
        <f>5.3388 * CHOOSE(CONTROL!$C$32, $C$9, 100%, $E$9)</f>
        <v>5.3388</v>
      </c>
      <c r="O218" s="11">
        <f>5.3424 * CHOOSE(CONTROL!$C$32, $C$9, 100%, $E$9)</f>
        <v>5.3423999999999996</v>
      </c>
    </row>
    <row r="219" spans="1:15" ht="15" x14ac:dyDescent="0.2">
      <c r="A219" s="13">
        <v>47515</v>
      </c>
      <c r="B219" s="9">
        <f>4.1852 * CHOOSE(CONTROL!$C$32, $C$9, 100%, $E$9)</f>
        <v>4.1852</v>
      </c>
      <c r="C219" s="9">
        <f>4.1852 * CHOOSE(CONTROL!$C$32, $C$9, 100%, $E$9)</f>
        <v>4.1852</v>
      </c>
      <c r="D219" s="9">
        <f>4.1863 * CHOOSE(CONTROL!$C$32, $C$9, 100%, $E$9)</f>
        <v>4.1863000000000001</v>
      </c>
      <c r="E219" s="11">
        <f>5.3368 * CHOOSE(CONTROL!$C$32, $C$9, 100%, $E$9)</f>
        <v>5.3368000000000002</v>
      </c>
      <c r="F219" s="11">
        <f>5.3368 * CHOOSE(CONTROL!$C$32, $C$9, 100%, $E$9)</f>
        <v>5.3368000000000002</v>
      </c>
      <c r="G219" s="11">
        <f>5.3404 * CHOOSE(CONTROL!$C$32, $C$9, 100%, $E$9)</f>
        <v>5.3403999999999998</v>
      </c>
      <c r="H219" s="11">
        <f>8.8382 * CHOOSE(CONTROL!$C$32, $C$9, 100%, $E$9)</f>
        <v>8.8382000000000005</v>
      </c>
      <c r="I219" s="11">
        <f>8.8418 * CHOOSE(CONTROL!$C$32, $C$9, 100%, $E$9)</f>
        <v>8.8417999999999992</v>
      </c>
      <c r="J219" s="11">
        <f>8.8382 * CHOOSE(CONTROL!$C$32, $C$9, 100%, $E$9)</f>
        <v>8.8382000000000005</v>
      </c>
      <c r="K219" s="11">
        <f>8.8418 * CHOOSE(CONTROL!$C$32, $C$9, 100%, $E$9)</f>
        <v>8.8417999999999992</v>
      </c>
      <c r="L219" s="11">
        <f>5.3368 * CHOOSE(CONTROL!$C$32, $C$9, 100%, $E$9)</f>
        <v>5.3368000000000002</v>
      </c>
      <c r="M219" s="11">
        <f>5.3404 * CHOOSE(CONTROL!$C$32, $C$9, 100%, $E$9)</f>
        <v>5.3403999999999998</v>
      </c>
      <c r="N219" s="11">
        <f>5.3368 * CHOOSE(CONTROL!$C$32, $C$9, 100%, $E$9)</f>
        <v>5.3368000000000002</v>
      </c>
      <c r="O219" s="11">
        <f>5.3404 * CHOOSE(CONTROL!$C$32, $C$9, 100%, $E$9)</f>
        <v>5.3403999999999998</v>
      </c>
    </row>
    <row r="220" spans="1:15" ht="15" x14ac:dyDescent="0.2">
      <c r="A220" s="13">
        <v>47543</v>
      </c>
      <c r="B220" s="9">
        <f>4.1822 * CHOOSE(CONTROL!$C$32, $C$9, 100%, $E$9)</f>
        <v>4.1821999999999999</v>
      </c>
      <c r="C220" s="9">
        <f>4.1822 * CHOOSE(CONTROL!$C$32, $C$9, 100%, $E$9)</f>
        <v>4.1821999999999999</v>
      </c>
      <c r="D220" s="9">
        <f>4.1833 * CHOOSE(CONTROL!$C$32, $C$9, 100%, $E$9)</f>
        <v>4.1833</v>
      </c>
      <c r="E220" s="11">
        <f>5.3348 * CHOOSE(CONTROL!$C$32, $C$9, 100%, $E$9)</f>
        <v>5.3348000000000004</v>
      </c>
      <c r="F220" s="11">
        <f>5.3348 * CHOOSE(CONTROL!$C$32, $C$9, 100%, $E$9)</f>
        <v>5.3348000000000004</v>
      </c>
      <c r="G220" s="11">
        <f>5.3384 * CHOOSE(CONTROL!$C$32, $C$9, 100%, $E$9)</f>
        <v>5.3384</v>
      </c>
      <c r="H220" s="11">
        <f>8.8566 * CHOOSE(CONTROL!$C$32, $C$9, 100%, $E$9)</f>
        <v>8.8566000000000003</v>
      </c>
      <c r="I220" s="11">
        <f>8.8602 * CHOOSE(CONTROL!$C$32, $C$9, 100%, $E$9)</f>
        <v>8.8602000000000007</v>
      </c>
      <c r="J220" s="11">
        <f>8.8566 * CHOOSE(CONTROL!$C$32, $C$9, 100%, $E$9)</f>
        <v>8.8566000000000003</v>
      </c>
      <c r="K220" s="11">
        <f>8.8602 * CHOOSE(CONTROL!$C$32, $C$9, 100%, $E$9)</f>
        <v>8.8602000000000007</v>
      </c>
      <c r="L220" s="11">
        <f>5.3348 * CHOOSE(CONTROL!$C$32, $C$9, 100%, $E$9)</f>
        <v>5.3348000000000004</v>
      </c>
      <c r="M220" s="11">
        <f>5.3384 * CHOOSE(CONTROL!$C$32, $C$9, 100%, $E$9)</f>
        <v>5.3384</v>
      </c>
      <c r="N220" s="11">
        <f>5.3348 * CHOOSE(CONTROL!$C$32, $C$9, 100%, $E$9)</f>
        <v>5.3348000000000004</v>
      </c>
      <c r="O220" s="11">
        <f>5.3384 * CHOOSE(CONTROL!$C$32, $C$9, 100%, $E$9)</f>
        <v>5.3384</v>
      </c>
    </row>
    <row r="221" spans="1:15" ht="15" x14ac:dyDescent="0.2">
      <c r="A221" s="13">
        <v>47574</v>
      </c>
      <c r="B221" s="9">
        <f>4.18 * CHOOSE(CONTROL!$C$32, $C$9, 100%, $E$9)</f>
        <v>4.18</v>
      </c>
      <c r="C221" s="9">
        <f>4.18 * CHOOSE(CONTROL!$C$32, $C$9, 100%, $E$9)</f>
        <v>4.18</v>
      </c>
      <c r="D221" s="9">
        <f>4.1811 * CHOOSE(CONTROL!$C$32, $C$9, 100%, $E$9)</f>
        <v>4.1810999999999998</v>
      </c>
      <c r="E221" s="11">
        <f>5.3328 * CHOOSE(CONTROL!$C$32, $C$9, 100%, $E$9)</f>
        <v>5.3327999999999998</v>
      </c>
      <c r="F221" s="11">
        <f>5.3328 * CHOOSE(CONTROL!$C$32, $C$9, 100%, $E$9)</f>
        <v>5.3327999999999998</v>
      </c>
      <c r="G221" s="11">
        <f>5.3364 * CHOOSE(CONTROL!$C$32, $C$9, 100%, $E$9)</f>
        <v>5.3364000000000003</v>
      </c>
      <c r="H221" s="11">
        <f>8.875 * CHOOSE(CONTROL!$C$32, $C$9, 100%, $E$9)</f>
        <v>8.875</v>
      </c>
      <c r="I221" s="11">
        <f>8.8786 * CHOOSE(CONTROL!$C$32, $C$9, 100%, $E$9)</f>
        <v>8.8786000000000005</v>
      </c>
      <c r="J221" s="11">
        <f>8.875 * CHOOSE(CONTROL!$C$32, $C$9, 100%, $E$9)</f>
        <v>8.875</v>
      </c>
      <c r="K221" s="11">
        <f>8.8786 * CHOOSE(CONTROL!$C$32, $C$9, 100%, $E$9)</f>
        <v>8.8786000000000005</v>
      </c>
      <c r="L221" s="11">
        <f>5.3328 * CHOOSE(CONTROL!$C$32, $C$9, 100%, $E$9)</f>
        <v>5.3327999999999998</v>
      </c>
      <c r="M221" s="11">
        <f>5.3364 * CHOOSE(CONTROL!$C$32, $C$9, 100%, $E$9)</f>
        <v>5.3364000000000003</v>
      </c>
      <c r="N221" s="11">
        <f>5.3328 * CHOOSE(CONTROL!$C$32, $C$9, 100%, $E$9)</f>
        <v>5.3327999999999998</v>
      </c>
      <c r="O221" s="11">
        <f>5.3364 * CHOOSE(CONTROL!$C$32, $C$9, 100%, $E$9)</f>
        <v>5.3364000000000003</v>
      </c>
    </row>
    <row r="222" spans="1:15" ht="15" x14ac:dyDescent="0.2">
      <c r="A222" s="13">
        <v>47604</v>
      </c>
      <c r="B222" s="9">
        <f>4.18 * CHOOSE(CONTROL!$C$32, $C$9, 100%, $E$9)</f>
        <v>4.18</v>
      </c>
      <c r="C222" s="9">
        <f>4.18 * CHOOSE(CONTROL!$C$32, $C$9, 100%, $E$9)</f>
        <v>4.18</v>
      </c>
      <c r="D222" s="9">
        <f>4.1816 * CHOOSE(CONTROL!$C$32, $C$9, 100%, $E$9)</f>
        <v>4.1816000000000004</v>
      </c>
      <c r="E222" s="11">
        <f>5.3328 * CHOOSE(CONTROL!$C$32, $C$9, 100%, $E$9)</f>
        <v>5.3327999999999998</v>
      </c>
      <c r="F222" s="11">
        <f>5.3328 * CHOOSE(CONTROL!$C$32, $C$9, 100%, $E$9)</f>
        <v>5.3327999999999998</v>
      </c>
      <c r="G222" s="11">
        <f>5.3381 * CHOOSE(CONTROL!$C$32, $C$9, 100%, $E$9)</f>
        <v>5.3380999999999998</v>
      </c>
      <c r="H222" s="11">
        <f>8.8935 * CHOOSE(CONTROL!$C$32, $C$9, 100%, $E$9)</f>
        <v>8.8934999999999995</v>
      </c>
      <c r="I222" s="11">
        <f>8.8988 * CHOOSE(CONTROL!$C$32, $C$9, 100%, $E$9)</f>
        <v>8.8987999999999996</v>
      </c>
      <c r="J222" s="11">
        <f>8.8935 * CHOOSE(CONTROL!$C$32, $C$9, 100%, $E$9)</f>
        <v>8.8934999999999995</v>
      </c>
      <c r="K222" s="11">
        <f>8.8988 * CHOOSE(CONTROL!$C$32, $C$9, 100%, $E$9)</f>
        <v>8.8987999999999996</v>
      </c>
      <c r="L222" s="11">
        <f>5.3328 * CHOOSE(CONTROL!$C$32, $C$9, 100%, $E$9)</f>
        <v>5.3327999999999998</v>
      </c>
      <c r="M222" s="11">
        <f>5.3381 * CHOOSE(CONTROL!$C$32, $C$9, 100%, $E$9)</f>
        <v>5.3380999999999998</v>
      </c>
      <c r="N222" s="11">
        <f>5.3328 * CHOOSE(CONTROL!$C$32, $C$9, 100%, $E$9)</f>
        <v>5.3327999999999998</v>
      </c>
      <c r="O222" s="11">
        <f>5.3381 * CHOOSE(CONTROL!$C$32, $C$9, 100%, $E$9)</f>
        <v>5.3380999999999998</v>
      </c>
    </row>
    <row r="223" spans="1:15" ht="15" x14ac:dyDescent="0.2">
      <c r="A223" s="13">
        <v>47635</v>
      </c>
      <c r="B223" s="9">
        <f>4.1861 * CHOOSE(CONTROL!$C$32, $C$9, 100%, $E$9)</f>
        <v>4.1860999999999997</v>
      </c>
      <c r="C223" s="9">
        <f>4.1861 * CHOOSE(CONTROL!$C$32, $C$9, 100%, $E$9)</f>
        <v>4.1860999999999997</v>
      </c>
      <c r="D223" s="9">
        <f>4.1877 * CHOOSE(CONTROL!$C$32, $C$9, 100%, $E$9)</f>
        <v>4.1877000000000004</v>
      </c>
      <c r="E223" s="11">
        <f>5.3368 * CHOOSE(CONTROL!$C$32, $C$9, 100%, $E$9)</f>
        <v>5.3368000000000002</v>
      </c>
      <c r="F223" s="11">
        <f>5.3368 * CHOOSE(CONTROL!$C$32, $C$9, 100%, $E$9)</f>
        <v>5.3368000000000002</v>
      </c>
      <c r="G223" s="11">
        <f>5.3421 * CHOOSE(CONTROL!$C$32, $C$9, 100%, $E$9)</f>
        <v>5.3421000000000003</v>
      </c>
      <c r="H223" s="11">
        <f>8.912 * CHOOSE(CONTROL!$C$32, $C$9, 100%, $E$9)</f>
        <v>8.9120000000000008</v>
      </c>
      <c r="I223" s="11">
        <f>8.9173 * CHOOSE(CONTROL!$C$32, $C$9, 100%, $E$9)</f>
        <v>8.9172999999999991</v>
      </c>
      <c r="J223" s="11">
        <f>8.912 * CHOOSE(CONTROL!$C$32, $C$9, 100%, $E$9)</f>
        <v>8.9120000000000008</v>
      </c>
      <c r="K223" s="11">
        <f>8.9173 * CHOOSE(CONTROL!$C$32, $C$9, 100%, $E$9)</f>
        <v>8.9172999999999991</v>
      </c>
      <c r="L223" s="11">
        <f>5.3368 * CHOOSE(CONTROL!$C$32, $C$9, 100%, $E$9)</f>
        <v>5.3368000000000002</v>
      </c>
      <c r="M223" s="11">
        <f>5.3421 * CHOOSE(CONTROL!$C$32, $C$9, 100%, $E$9)</f>
        <v>5.3421000000000003</v>
      </c>
      <c r="N223" s="11">
        <f>5.3368 * CHOOSE(CONTROL!$C$32, $C$9, 100%, $E$9)</f>
        <v>5.3368000000000002</v>
      </c>
      <c r="O223" s="11">
        <f>5.3421 * CHOOSE(CONTROL!$C$32, $C$9, 100%, $E$9)</f>
        <v>5.3421000000000003</v>
      </c>
    </row>
    <row r="224" spans="1:15" ht="15" x14ac:dyDescent="0.2">
      <c r="A224" s="13">
        <v>47665</v>
      </c>
      <c r="B224" s="9">
        <f>4.2533 * CHOOSE(CONTROL!$C$32, $C$9, 100%, $E$9)</f>
        <v>4.2533000000000003</v>
      </c>
      <c r="C224" s="9">
        <f>4.2533 * CHOOSE(CONTROL!$C$32, $C$9, 100%, $E$9)</f>
        <v>4.2533000000000003</v>
      </c>
      <c r="D224" s="9">
        <f>4.2549 * CHOOSE(CONTROL!$C$32, $C$9, 100%, $E$9)</f>
        <v>4.2549000000000001</v>
      </c>
      <c r="E224" s="11">
        <f>5.4347 * CHOOSE(CONTROL!$C$32, $C$9, 100%, $E$9)</f>
        <v>5.4347000000000003</v>
      </c>
      <c r="F224" s="11">
        <f>5.4347 * CHOOSE(CONTROL!$C$32, $C$9, 100%, $E$9)</f>
        <v>5.4347000000000003</v>
      </c>
      <c r="G224" s="11">
        <f>5.44 * CHOOSE(CONTROL!$C$32, $C$9, 100%, $E$9)</f>
        <v>5.44</v>
      </c>
      <c r="H224" s="11">
        <f>8.9306 * CHOOSE(CONTROL!$C$32, $C$9, 100%, $E$9)</f>
        <v>8.9306000000000001</v>
      </c>
      <c r="I224" s="11">
        <f>8.9359 * CHOOSE(CONTROL!$C$32, $C$9, 100%, $E$9)</f>
        <v>8.9359000000000002</v>
      </c>
      <c r="J224" s="11">
        <f>8.9306 * CHOOSE(CONTROL!$C$32, $C$9, 100%, $E$9)</f>
        <v>8.9306000000000001</v>
      </c>
      <c r="K224" s="11">
        <f>8.9359 * CHOOSE(CONTROL!$C$32, $C$9, 100%, $E$9)</f>
        <v>8.9359000000000002</v>
      </c>
      <c r="L224" s="11">
        <f>5.4347 * CHOOSE(CONTROL!$C$32, $C$9, 100%, $E$9)</f>
        <v>5.4347000000000003</v>
      </c>
      <c r="M224" s="11">
        <f>5.44 * CHOOSE(CONTROL!$C$32, $C$9, 100%, $E$9)</f>
        <v>5.44</v>
      </c>
      <c r="N224" s="11">
        <f>5.4347 * CHOOSE(CONTROL!$C$32, $C$9, 100%, $E$9)</f>
        <v>5.4347000000000003</v>
      </c>
      <c r="O224" s="11">
        <f>5.44 * CHOOSE(CONTROL!$C$32, $C$9, 100%, $E$9)</f>
        <v>5.44</v>
      </c>
    </row>
    <row r="225" spans="1:15" ht="15" x14ac:dyDescent="0.2">
      <c r="A225" s="13">
        <v>47696</v>
      </c>
      <c r="B225" s="9">
        <f>4.26 * CHOOSE(CONTROL!$C$32, $C$9, 100%, $E$9)</f>
        <v>4.26</v>
      </c>
      <c r="C225" s="9">
        <f>4.26 * CHOOSE(CONTROL!$C$32, $C$9, 100%, $E$9)</f>
        <v>4.26</v>
      </c>
      <c r="D225" s="9">
        <f>4.2616 * CHOOSE(CONTROL!$C$32, $C$9, 100%, $E$9)</f>
        <v>4.2615999999999996</v>
      </c>
      <c r="E225" s="11">
        <f>5.4391 * CHOOSE(CONTROL!$C$32, $C$9, 100%, $E$9)</f>
        <v>5.4390999999999998</v>
      </c>
      <c r="F225" s="11">
        <f>5.4391 * CHOOSE(CONTROL!$C$32, $C$9, 100%, $E$9)</f>
        <v>5.4390999999999998</v>
      </c>
      <c r="G225" s="11">
        <f>5.4444 * CHOOSE(CONTROL!$C$32, $C$9, 100%, $E$9)</f>
        <v>5.4443999999999999</v>
      </c>
      <c r="H225" s="11">
        <f>8.9492 * CHOOSE(CONTROL!$C$32, $C$9, 100%, $E$9)</f>
        <v>8.9491999999999994</v>
      </c>
      <c r="I225" s="11">
        <f>8.9545 * CHOOSE(CONTROL!$C$32, $C$9, 100%, $E$9)</f>
        <v>8.9544999999999995</v>
      </c>
      <c r="J225" s="11">
        <f>8.9492 * CHOOSE(CONTROL!$C$32, $C$9, 100%, $E$9)</f>
        <v>8.9491999999999994</v>
      </c>
      <c r="K225" s="11">
        <f>8.9545 * CHOOSE(CONTROL!$C$32, $C$9, 100%, $E$9)</f>
        <v>8.9544999999999995</v>
      </c>
      <c r="L225" s="11">
        <f>5.4391 * CHOOSE(CONTROL!$C$32, $C$9, 100%, $E$9)</f>
        <v>5.4390999999999998</v>
      </c>
      <c r="M225" s="11">
        <f>5.4444 * CHOOSE(CONTROL!$C$32, $C$9, 100%, $E$9)</f>
        <v>5.4443999999999999</v>
      </c>
      <c r="N225" s="11">
        <f>5.4391 * CHOOSE(CONTROL!$C$32, $C$9, 100%, $E$9)</f>
        <v>5.4390999999999998</v>
      </c>
      <c r="O225" s="11">
        <f>5.4444 * CHOOSE(CONTROL!$C$32, $C$9, 100%, $E$9)</f>
        <v>5.4443999999999999</v>
      </c>
    </row>
    <row r="226" spans="1:15" ht="15" x14ac:dyDescent="0.2">
      <c r="A226" s="13">
        <v>47727</v>
      </c>
      <c r="B226" s="9">
        <f>4.2569 * CHOOSE(CONTROL!$C$32, $C$9, 100%, $E$9)</f>
        <v>4.2568999999999999</v>
      </c>
      <c r="C226" s="9">
        <f>4.2569 * CHOOSE(CONTROL!$C$32, $C$9, 100%, $E$9)</f>
        <v>4.2568999999999999</v>
      </c>
      <c r="D226" s="9">
        <f>4.2585 * CHOOSE(CONTROL!$C$32, $C$9, 100%, $E$9)</f>
        <v>4.2584999999999997</v>
      </c>
      <c r="E226" s="11">
        <f>5.4371 * CHOOSE(CONTROL!$C$32, $C$9, 100%, $E$9)</f>
        <v>5.4371</v>
      </c>
      <c r="F226" s="11">
        <f>5.4371 * CHOOSE(CONTROL!$C$32, $C$9, 100%, $E$9)</f>
        <v>5.4371</v>
      </c>
      <c r="G226" s="11">
        <f>5.4424 * CHOOSE(CONTROL!$C$32, $C$9, 100%, $E$9)</f>
        <v>5.4424000000000001</v>
      </c>
      <c r="H226" s="11">
        <f>8.9679 * CHOOSE(CONTROL!$C$32, $C$9, 100%, $E$9)</f>
        <v>8.9679000000000002</v>
      </c>
      <c r="I226" s="11">
        <f>8.9732 * CHOOSE(CONTROL!$C$32, $C$9, 100%, $E$9)</f>
        <v>8.9732000000000003</v>
      </c>
      <c r="J226" s="11">
        <f>8.9679 * CHOOSE(CONTROL!$C$32, $C$9, 100%, $E$9)</f>
        <v>8.9679000000000002</v>
      </c>
      <c r="K226" s="11">
        <f>8.9732 * CHOOSE(CONTROL!$C$32, $C$9, 100%, $E$9)</f>
        <v>8.9732000000000003</v>
      </c>
      <c r="L226" s="11">
        <f>5.4371 * CHOOSE(CONTROL!$C$32, $C$9, 100%, $E$9)</f>
        <v>5.4371</v>
      </c>
      <c r="M226" s="11">
        <f>5.4424 * CHOOSE(CONTROL!$C$32, $C$9, 100%, $E$9)</f>
        <v>5.4424000000000001</v>
      </c>
      <c r="N226" s="11">
        <f>5.4371 * CHOOSE(CONTROL!$C$32, $C$9, 100%, $E$9)</f>
        <v>5.4371</v>
      </c>
      <c r="O226" s="11">
        <f>5.4424 * CHOOSE(CONTROL!$C$32, $C$9, 100%, $E$9)</f>
        <v>5.4424000000000001</v>
      </c>
    </row>
    <row r="227" spans="1:15" ht="15" x14ac:dyDescent="0.2">
      <c r="A227" s="13">
        <v>47757</v>
      </c>
      <c r="B227" s="9">
        <f>4.253 * CHOOSE(CONTROL!$C$32, $C$9, 100%, $E$9)</f>
        <v>4.2530000000000001</v>
      </c>
      <c r="C227" s="9">
        <f>4.253 * CHOOSE(CONTROL!$C$32, $C$9, 100%, $E$9)</f>
        <v>4.2530000000000001</v>
      </c>
      <c r="D227" s="9">
        <f>4.254 * CHOOSE(CONTROL!$C$32, $C$9, 100%, $E$9)</f>
        <v>4.2539999999999996</v>
      </c>
      <c r="E227" s="11">
        <f>5.4323 * CHOOSE(CONTROL!$C$32, $C$9, 100%, $E$9)</f>
        <v>5.4322999999999997</v>
      </c>
      <c r="F227" s="11">
        <f>5.4323 * CHOOSE(CONTROL!$C$32, $C$9, 100%, $E$9)</f>
        <v>5.4322999999999997</v>
      </c>
      <c r="G227" s="11">
        <f>5.436 * CHOOSE(CONTROL!$C$32, $C$9, 100%, $E$9)</f>
        <v>5.4359999999999999</v>
      </c>
      <c r="H227" s="11">
        <f>8.9865 * CHOOSE(CONTROL!$C$32, $C$9, 100%, $E$9)</f>
        <v>8.9864999999999995</v>
      </c>
      <c r="I227" s="11">
        <f>8.9902 * CHOOSE(CONTROL!$C$32, $C$9, 100%, $E$9)</f>
        <v>8.9901999999999997</v>
      </c>
      <c r="J227" s="11">
        <f>8.9865 * CHOOSE(CONTROL!$C$32, $C$9, 100%, $E$9)</f>
        <v>8.9864999999999995</v>
      </c>
      <c r="K227" s="11">
        <f>8.9902 * CHOOSE(CONTROL!$C$32, $C$9, 100%, $E$9)</f>
        <v>8.9901999999999997</v>
      </c>
      <c r="L227" s="11">
        <f>5.4323 * CHOOSE(CONTROL!$C$32, $C$9, 100%, $E$9)</f>
        <v>5.4322999999999997</v>
      </c>
      <c r="M227" s="11">
        <f>5.436 * CHOOSE(CONTROL!$C$32, $C$9, 100%, $E$9)</f>
        <v>5.4359999999999999</v>
      </c>
      <c r="N227" s="11">
        <f>5.4323 * CHOOSE(CONTROL!$C$32, $C$9, 100%, $E$9)</f>
        <v>5.4322999999999997</v>
      </c>
      <c r="O227" s="11">
        <f>5.436 * CHOOSE(CONTROL!$C$32, $C$9, 100%, $E$9)</f>
        <v>5.4359999999999999</v>
      </c>
    </row>
    <row r="228" spans="1:15" ht="15" x14ac:dyDescent="0.2">
      <c r="A228" s="13">
        <v>47788</v>
      </c>
      <c r="B228" s="9">
        <f>4.256 * CHOOSE(CONTROL!$C$32, $C$9, 100%, $E$9)</f>
        <v>4.2560000000000002</v>
      </c>
      <c r="C228" s="9">
        <f>4.256 * CHOOSE(CONTROL!$C$32, $C$9, 100%, $E$9)</f>
        <v>4.2560000000000002</v>
      </c>
      <c r="D228" s="9">
        <f>4.2571 * CHOOSE(CONTROL!$C$32, $C$9, 100%, $E$9)</f>
        <v>4.2571000000000003</v>
      </c>
      <c r="E228" s="11">
        <f>5.4343 * CHOOSE(CONTROL!$C$32, $C$9, 100%, $E$9)</f>
        <v>5.4343000000000004</v>
      </c>
      <c r="F228" s="11">
        <f>5.4343 * CHOOSE(CONTROL!$C$32, $C$9, 100%, $E$9)</f>
        <v>5.4343000000000004</v>
      </c>
      <c r="G228" s="11">
        <f>5.438 * CHOOSE(CONTROL!$C$32, $C$9, 100%, $E$9)</f>
        <v>5.4379999999999997</v>
      </c>
      <c r="H228" s="11">
        <f>9.0053 * CHOOSE(CONTROL!$C$32, $C$9, 100%, $E$9)</f>
        <v>9.0053000000000001</v>
      </c>
      <c r="I228" s="11">
        <f>9.0089 * CHOOSE(CONTROL!$C$32, $C$9, 100%, $E$9)</f>
        <v>9.0089000000000006</v>
      </c>
      <c r="J228" s="11">
        <f>9.0053 * CHOOSE(CONTROL!$C$32, $C$9, 100%, $E$9)</f>
        <v>9.0053000000000001</v>
      </c>
      <c r="K228" s="11">
        <f>9.0089 * CHOOSE(CONTROL!$C$32, $C$9, 100%, $E$9)</f>
        <v>9.0089000000000006</v>
      </c>
      <c r="L228" s="11">
        <f>5.4343 * CHOOSE(CONTROL!$C$32, $C$9, 100%, $E$9)</f>
        <v>5.4343000000000004</v>
      </c>
      <c r="M228" s="11">
        <f>5.438 * CHOOSE(CONTROL!$C$32, $C$9, 100%, $E$9)</f>
        <v>5.4379999999999997</v>
      </c>
      <c r="N228" s="11">
        <f>5.4343 * CHOOSE(CONTROL!$C$32, $C$9, 100%, $E$9)</f>
        <v>5.4343000000000004</v>
      </c>
      <c r="O228" s="11">
        <f>5.438 * CHOOSE(CONTROL!$C$32, $C$9, 100%, $E$9)</f>
        <v>5.4379999999999997</v>
      </c>
    </row>
    <row r="229" spans="1:15" ht="15" x14ac:dyDescent="0.2">
      <c r="A229" s="13">
        <v>47818</v>
      </c>
      <c r="B229" s="9">
        <f>4.256 * CHOOSE(CONTROL!$C$32, $C$9, 100%, $E$9)</f>
        <v>4.2560000000000002</v>
      </c>
      <c r="C229" s="9">
        <f>4.256 * CHOOSE(CONTROL!$C$32, $C$9, 100%, $E$9)</f>
        <v>4.2560000000000002</v>
      </c>
      <c r="D229" s="9">
        <f>4.2571 * CHOOSE(CONTROL!$C$32, $C$9, 100%, $E$9)</f>
        <v>4.2571000000000003</v>
      </c>
      <c r="E229" s="11">
        <f>5.4343 * CHOOSE(CONTROL!$C$32, $C$9, 100%, $E$9)</f>
        <v>5.4343000000000004</v>
      </c>
      <c r="F229" s="11">
        <f>5.4343 * CHOOSE(CONTROL!$C$32, $C$9, 100%, $E$9)</f>
        <v>5.4343000000000004</v>
      </c>
      <c r="G229" s="11">
        <f>5.438 * CHOOSE(CONTROL!$C$32, $C$9, 100%, $E$9)</f>
        <v>5.4379999999999997</v>
      </c>
      <c r="H229" s="11">
        <f>9.024 * CHOOSE(CONTROL!$C$32, $C$9, 100%, $E$9)</f>
        <v>9.0239999999999991</v>
      </c>
      <c r="I229" s="11">
        <f>9.0276 * CHOOSE(CONTROL!$C$32, $C$9, 100%, $E$9)</f>
        <v>9.0275999999999996</v>
      </c>
      <c r="J229" s="11">
        <f>9.024 * CHOOSE(CONTROL!$C$32, $C$9, 100%, $E$9)</f>
        <v>9.0239999999999991</v>
      </c>
      <c r="K229" s="11">
        <f>9.0276 * CHOOSE(CONTROL!$C$32, $C$9, 100%, $E$9)</f>
        <v>9.0275999999999996</v>
      </c>
      <c r="L229" s="11">
        <f>5.4343 * CHOOSE(CONTROL!$C$32, $C$9, 100%, $E$9)</f>
        <v>5.4343000000000004</v>
      </c>
      <c r="M229" s="11">
        <f>5.438 * CHOOSE(CONTROL!$C$32, $C$9, 100%, $E$9)</f>
        <v>5.4379999999999997</v>
      </c>
      <c r="N229" s="11">
        <f>5.4343 * CHOOSE(CONTROL!$C$32, $C$9, 100%, $E$9)</f>
        <v>5.4343000000000004</v>
      </c>
      <c r="O229" s="11">
        <f>5.438 * CHOOSE(CONTROL!$C$32, $C$9, 100%, $E$9)</f>
        <v>5.4379999999999997</v>
      </c>
    </row>
    <row r="230" spans="1:15" ht="15" x14ac:dyDescent="0.2">
      <c r="A230" s="13">
        <v>47849</v>
      </c>
      <c r="B230" s="9">
        <f>4.2906 * CHOOSE(CONTROL!$C$32, $C$9, 100%, $E$9)</f>
        <v>4.2906000000000004</v>
      </c>
      <c r="C230" s="9">
        <f>4.2906 * CHOOSE(CONTROL!$C$32, $C$9, 100%, $E$9)</f>
        <v>4.2906000000000004</v>
      </c>
      <c r="D230" s="9">
        <f>4.2916 * CHOOSE(CONTROL!$C$32, $C$9, 100%, $E$9)</f>
        <v>4.2915999999999999</v>
      </c>
      <c r="E230" s="11">
        <f>5.4769 * CHOOSE(CONTROL!$C$32, $C$9, 100%, $E$9)</f>
        <v>5.4768999999999997</v>
      </c>
      <c r="F230" s="11">
        <f>5.4769 * CHOOSE(CONTROL!$C$32, $C$9, 100%, $E$9)</f>
        <v>5.4768999999999997</v>
      </c>
      <c r="G230" s="11">
        <f>5.4806 * CHOOSE(CONTROL!$C$32, $C$9, 100%, $E$9)</f>
        <v>5.4805999999999999</v>
      </c>
      <c r="H230" s="11">
        <f>9.0428 * CHOOSE(CONTROL!$C$32, $C$9, 100%, $E$9)</f>
        <v>9.0427999999999997</v>
      </c>
      <c r="I230" s="11">
        <f>9.0464 * CHOOSE(CONTROL!$C$32, $C$9, 100%, $E$9)</f>
        <v>9.0464000000000002</v>
      </c>
      <c r="J230" s="11">
        <f>9.0428 * CHOOSE(CONTROL!$C$32, $C$9, 100%, $E$9)</f>
        <v>9.0427999999999997</v>
      </c>
      <c r="K230" s="11">
        <f>9.0464 * CHOOSE(CONTROL!$C$32, $C$9, 100%, $E$9)</f>
        <v>9.0464000000000002</v>
      </c>
      <c r="L230" s="11">
        <f>5.4769 * CHOOSE(CONTROL!$C$32, $C$9, 100%, $E$9)</f>
        <v>5.4768999999999997</v>
      </c>
      <c r="M230" s="11">
        <f>5.4806 * CHOOSE(CONTROL!$C$32, $C$9, 100%, $E$9)</f>
        <v>5.4805999999999999</v>
      </c>
      <c r="N230" s="11">
        <f>5.4769 * CHOOSE(CONTROL!$C$32, $C$9, 100%, $E$9)</f>
        <v>5.4768999999999997</v>
      </c>
      <c r="O230" s="11">
        <f>5.4806 * CHOOSE(CONTROL!$C$32, $C$9, 100%, $E$9)</f>
        <v>5.4805999999999999</v>
      </c>
    </row>
    <row r="231" spans="1:15" ht="15" x14ac:dyDescent="0.2">
      <c r="A231" s="13">
        <v>47880</v>
      </c>
      <c r="B231" s="9">
        <f>4.2875 * CHOOSE(CONTROL!$C$32, $C$9, 100%, $E$9)</f>
        <v>4.2874999999999996</v>
      </c>
      <c r="C231" s="9">
        <f>4.2875 * CHOOSE(CONTROL!$C$32, $C$9, 100%, $E$9)</f>
        <v>4.2874999999999996</v>
      </c>
      <c r="D231" s="9">
        <f>4.2886 * CHOOSE(CONTROL!$C$32, $C$9, 100%, $E$9)</f>
        <v>4.2885999999999997</v>
      </c>
      <c r="E231" s="11">
        <f>5.4749 * CHOOSE(CONTROL!$C$32, $C$9, 100%, $E$9)</f>
        <v>5.4748999999999999</v>
      </c>
      <c r="F231" s="11">
        <f>5.4749 * CHOOSE(CONTROL!$C$32, $C$9, 100%, $E$9)</f>
        <v>5.4748999999999999</v>
      </c>
      <c r="G231" s="11">
        <f>5.4786 * CHOOSE(CONTROL!$C$32, $C$9, 100%, $E$9)</f>
        <v>5.4786000000000001</v>
      </c>
      <c r="H231" s="11">
        <f>9.0617 * CHOOSE(CONTROL!$C$32, $C$9, 100%, $E$9)</f>
        <v>9.0617000000000001</v>
      </c>
      <c r="I231" s="11">
        <f>9.0653 * CHOOSE(CONTROL!$C$32, $C$9, 100%, $E$9)</f>
        <v>9.0653000000000006</v>
      </c>
      <c r="J231" s="11">
        <f>9.0617 * CHOOSE(CONTROL!$C$32, $C$9, 100%, $E$9)</f>
        <v>9.0617000000000001</v>
      </c>
      <c r="K231" s="11">
        <f>9.0653 * CHOOSE(CONTROL!$C$32, $C$9, 100%, $E$9)</f>
        <v>9.0653000000000006</v>
      </c>
      <c r="L231" s="11">
        <f>5.4749 * CHOOSE(CONTROL!$C$32, $C$9, 100%, $E$9)</f>
        <v>5.4748999999999999</v>
      </c>
      <c r="M231" s="11">
        <f>5.4786 * CHOOSE(CONTROL!$C$32, $C$9, 100%, $E$9)</f>
        <v>5.4786000000000001</v>
      </c>
      <c r="N231" s="11">
        <f>5.4749 * CHOOSE(CONTROL!$C$32, $C$9, 100%, $E$9)</f>
        <v>5.4748999999999999</v>
      </c>
      <c r="O231" s="11">
        <f>5.4786 * CHOOSE(CONTROL!$C$32, $C$9, 100%, $E$9)</f>
        <v>5.4786000000000001</v>
      </c>
    </row>
    <row r="232" spans="1:15" ht="15" x14ac:dyDescent="0.2">
      <c r="A232" s="13">
        <v>47908</v>
      </c>
      <c r="B232" s="9">
        <f>4.2845 * CHOOSE(CONTROL!$C$32, $C$9, 100%, $E$9)</f>
        <v>4.2845000000000004</v>
      </c>
      <c r="C232" s="9">
        <f>4.2845 * CHOOSE(CONTROL!$C$32, $C$9, 100%, $E$9)</f>
        <v>4.2845000000000004</v>
      </c>
      <c r="D232" s="9">
        <f>4.2856 * CHOOSE(CONTROL!$C$32, $C$9, 100%, $E$9)</f>
        <v>4.2855999999999996</v>
      </c>
      <c r="E232" s="11">
        <f>5.4729 * CHOOSE(CONTROL!$C$32, $C$9, 100%, $E$9)</f>
        <v>5.4729000000000001</v>
      </c>
      <c r="F232" s="11">
        <f>5.4729 * CHOOSE(CONTROL!$C$32, $C$9, 100%, $E$9)</f>
        <v>5.4729000000000001</v>
      </c>
      <c r="G232" s="11">
        <f>5.4766 * CHOOSE(CONTROL!$C$32, $C$9, 100%, $E$9)</f>
        <v>5.4766000000000004</v>
      </c>
      <c r="H232" s="11">
        <f>9.0805 * CHOOSE(CONTROL!$C$32, $C$9, 100%, $E$9)</f>
        <v>9.0805000000000007</v>
      </c>
      <c r="I232" s="11">
        <f>9.0842 * CHOOSE(CONTROL!$C$32, $C$9, 100%, $E$9)</f>
        <v>9.0841999999999992</v>
      </c>
      <c r="J232" s="11">
        <f>9.0805 * CHOOSE(CONTROL!$C$32, $C$9, 100%, $E$9)</f>
        <v>9.0805000000000007</v>
      </c>
      <c r="K232" s="11">
        <f>9.0842 * CHOOSE(CONTROL!$C$32, $C$9, 100%, $E$9)</f>
        <v>9.0841999999999992</v>
      </c>
      <c r="L232" s="11">
        <f>5.4729 * CHOOSE(CONTROL!$C$32, $C$9, 100%, $E$9)</f>
        <v>5.4729000000000001</v>
      </c>
      <c r="M232" s="11">
        <f>5.4766 * CHOOSE(CONTROL!$C$32, $C$9, 100%, $E$9)</f>
        <v>5.4766000000000004</v>
      </c>
      <c r="N232" s="11">
        <f>5.4729 * CHOOSE(CONTROL!$C$32, $C$9, 100%, $E$9)</f>
        <v>5.4729000000000001</v>
      </c>
      <c r="O232" s="11">
        <f>5.4766 * CHOOSE(CONTROL!$C$32, $C$9, 100%, $E$9)</f>
        <v>5.4766000000000004</v>
      </c>
    </row>
    <row r="233" spans="1:15" ht="15" x14ac:dyDescent="0.2">
      <c r="A233" s="13">
        <v>47939</v>
      </c>
      <c r="B233" s="9">
        <f>4.2824 * CHOOSE(CONTROL!$C$32, $C$9, 100%, $E$9)</f>
        <v>4.2824</v>
      </c>
      <c r="C233" s="9">
        <f>4.2824 * CHOOSE(CONTROL!$C$32, $C$9, 100%, $E$9)</f>
        <v>4.2824</v>
      </c>
      <c r="D233" s="9">
        <f>4.2835 * CHOOSE(CONTROL!$C$32, $C$9, 100%, $E$9)</f>
        <v>4.2835000000000001</v>
      </c>
      <c r="E233" s="11">
        <f>5.471 * CHOOSE(CONTROL!$C$32, $C$9, 100%, $E$9)</f>
        <v>5.4710000000000001</v>
      </c>
      <c r="F233" s="11">
        <f>5.471 * CHOOSE(CONTROL!$C$32, $C$9, 100%, $E$9)</f>
        <v>5.4710000000000001</v>
      </c>
      <c r="G233" s="11">
        <f>5.4746 * CHOOSE(CONTROL!$C$32, $C$9, 100%, $E$9)</f>
        <v>5.4745999999999997</v>
      </c>
      <c r="H233" s="11">
        <f>9.0995 * CHOOSE(CONTROL!$C$32, $C$9, 100%, $E$9)</f>
        <v>9.0995000000000008</v>
      </c>
      <c r="I233" s="11">
        <f>9.1031 * CHOOSE(CONTROL!$C$32, $C$9, 100%, $E$9)</f>
        <v>9.1030999999999995</v>
      </c>
      <c r="J233" s="11">
        <f>9.0995 * CHOOSE(CONTROL!$C$32, $C$9, 100%, $E$9)</f>
        <v>9.0995000000000008</v>
      </c>
      <c r="K233" s="11">
        <f>9.1031 * CHOOSE(CONTROL!$C$32, $C$9, 100%, $E$9)</f>
        <v>9.1030999999999995</v>
      </c>
      <c r="L233" s="11">
        <f>5.471 * CHOOSE(CONTROL!$C$32, $C$9, 100%, $E$9)</f>
        <v>5.4710000000000001</v>
      </c>
      <c r="M233" s="11">
        <f>5.4746 * CHOOSE(CONTROL!$C$32, $C$9, 100%, $E$9)</f>
        <v>5.4745999999999997</v>
      </c>
      <c r="N233" s="11">
        <f>5.471 * CHOOSE(CONTROL!$C$32, $C$9, 100%, $E$9)</f>
        <v>5.4710000000000001</v>
      </c>
      <c r="O233" s="11">
        <f>5.4746 * CHOOSE(CONTROL!$C$32, $C$9, 100%, $E$9)</f>
        <v>5.4745999999999997</v>
      </c>
    </row>
    <row r="234" spans="1:15" ht="15" x14ac:dyDescent="0.2">
      <c r="A234" s="13">
        <v>47969</v>
      </c>
      <c r="B234" s="9">
        <f>4.2824 * CHOOSE(CONTROL!$C$32, $C$9, 100%, $E$9)</f>
        <v>4.2824</v>
      </c>
      <c r="C234" s="9">
        <f>4.2824 * CHOOSE(CONTROL!$C$32, $C$9, 100%, $E$9)</f>
        <v>4.2824</v>
      </c>
      <c r="D234" s="9">
        <f>4.284 * CHOOSE(CONTROL!$C$32, $C$9, 100%, $E$9)</f>
        <v>4.2839999999999998</v>
      </c>
      <c r="E234" s="11">
        <f>5.471 * CHOOSE(CONTROL!$C$32, $C$9, 100%, $E$9)</f>
        <v>5.4710000000000001</v>
      </c>
      <c r="F234" s="11">
        <f>5.471 * CHOOSE(CONTROL!$C$32, $C$9, 100%, $E$9)</f>
        <v>5.4710000000000001</v>
      </c>
      <c r="G234" s="11">
        <f>5.4763 * CHOOSE(CONTROL!$C$32, $C$9, 100%, $E$9)</f>
        <v>5.4763000000000002</v>
      </c>
      <c r="H234" s="11">
        <f>9.1184 * CHOOSE(CONTROL!$C$32, $C$9, 100%, $E$9)</f>
        <v>9.1183999999999994</v>
      </c>
      <c r="I234" s="11">
        <f>9.1237 * CHOOSE(CONTROL!$C$32, $C$9, 100%, $E$9)</f>
        <v>9.1236999999999995</v>
      </c>
      <c r="J234" s="11">
        <f>9.1184 * CHOOSE(CONTROL!$C$32, $C$9, 100%, $E$9)</f>
        <v>9.1183999999999994</v>
      </c>
      <c r="K234" s="11">
        <f>9.1237 * CHOOSE(CONTROL!$C$32, $C$9, 100%, $E$9)</f>
        <v>9.1236999999999995</v>
      </c>
      <c r="L234" s="11">
        <f>5.471 * CHOOSE(CONTROL!$C$32, $C$9, 100%, $E$9)</f>
        <v>5.4710000000000001</v>
      </c>
      <c r="M234" s="11">
        <f>5.4763 * CHOOSE(CONTROL!$C$32, $C$9, 100%, $E$9)</f>
        <v>5.4763000000000002</v>
      </c>
      <c r="N234" s="11">
        <f>5.471 * CHOOSE(CONTROL!$C$32, $C$9, 100%, $E$9)</f>
        <v>5.4710000000000001</v>
      </c>
      <c r="O234" s="11">
        <f>5.4763 * CHOOSE(CONTROL!$C$32, $C$9, 100%, $E$9)</f>
        <v>5.4763000000000002</v>
      </c>
    </row>
    <row r="235" spans="1:15" ht="15" x14ac:dyDescent="0.2">
      <c r="A235" s="13">
        <v>48000</v>
      </c>
      <c r="B235" s="9">
        <f>4.2885 * CHOOSE(CONTROL!$C$32, $C$9, 100%, $E$9)</f>
        <v>4.2885</v>
      </c>
      <c r="C235" s="9">
        <f>4.2885 * CHOOSE(CONTROL!$C$32, $C$9, 100%, $E$9)</f>
        <v>4.2885</v>
      </c>
      <c r="D235" s="9">
        <f>4.2901 * CHOOSE(CONTROL!$C$32, $C$9, 100%, $E$9)</f>
        <v>4.2900999999999998</v>
      </c>
      <c r="E235" s="11">
        <f>5.475 * CHOOSE(CONTROL!$C$32, $C$9, 100%, $E$9)</f>
        <v>5.4749999999999996</v>
      </c>
      <c r="F235" s="11">
        <f>5.475 * CHOOSE(CONTROL!$C$32, $C$9, 100%, $E$9)</f>
        <v>5.4749999999999996</v>
      </c>
      <c r="G235" s="11">
        <f>5.4803 * CHOOSE(CONTROL!$C$32, $C$9, 100%, $E$9)</f>
        <v>5.4802999999999997</v>
      </c>
      <c r="H235" s="11">
        <f>9.1374 * CHOOSE(CONTROL!$C$32, $C$9, 100%, $E$9)</f>
        <v>9.1373999999999995</v>
      </c>
      <c r="I235" s="11">
        <f>9.1427 * CHOOSE(CONTROL!$C$32, $C$9, 100%, $E$9)</f>
        <v>9.1426999999999996</v>
      </c>
      <c r="J235" s="11">
        <f>9.1374 * CHOOSE(CONTROL!$C$32, $C$9, 100%, $E$9)</f>
        <v>9.1373999999999995</v>
      </c>
      <c r="K235" s="11">
        <f>9.1427 * CHOOSE(CONTROL!$C$32, $C$9, 100%, $E$9)</f>
        <v>9.1426999999999996</v>
      </c>
      <c r="L235" s="11">
        <f>5.475 * CHOOSE(CONTROL!$C$32, $C$9, 100%, $E$9)</f>
        <v>5.4749999999999996</v>
      </c>
      <c r="M235" s="11">
        <f>5.4803 * CHOOSE(CONTROL!$C$32, $C$9, 100%, $E$9)</f>
        <v>5.4802999999999997</v>
      </c>
      <c r="N235" s="11">
        <f>5.475 * CHOOSE(CONTROL!$C$32, $C$9, 100%, $E$9)</f>
        <v>5.4749999999999996</v>
      </c>
      <c r="O235" s="11">
        <f>5.4803 * CHOOSE(CONTROL!$C$32, $C$9, 100%, $E$9)</f>
        <v>5.4802999999999997</v>
      </c>
    </row>
    <row r="236" spans="1:15" ht="15" x14ac:dyDescent="0.2">
      <c r="A236" s="13">
        <v>48030</v>
      </c>
      <c r="B236" s="9">
        <f>4.3512 * CHOOSE(CONTROL!$C$32, $C$9, 100%, $E$9)</f>
        <v>4.3512000000000004</v>
      </c>
      <c r="C236" s="9">
        <f>4.3512 * CHOOSE(CONTROL!$C$32, $C$9, 100%, $E$9)</f>
        <v>4.3512000000000004</v>
      </c>
      <c r="D236" s="9">
        <f>4.3528 * CHOOSE(CONTROL!$C$32, $C$9, 100%, $E$9)</f>
        <v>4.3528000000000002</v>
      </c>
      <c r="E236" s="11">
        <f>5.5682 * CHOOSE(CONTROL!$C$32, $C$9, 100%, $E$9)</f>
        <v>5.5682</v>
      </c>
      <c r="F236" s="11">
        <f>5.5682 * CHOOSE(CONTROL!$C$32, $C$9, 100%, $E$9)</f>
        <v>5.5682</v>
      </c>
      <c r="G236" s="11">
        <f>5.5735 * CHOOSE(CONTROL!$C$32, $C$9, 100%, $E$9)</f>
        <v>5.5735000000000001</v>
      </c>
      <c r="H236" s="11">
        <f>9.1564 * CHOOSE(CONTROL!$C$32, $C$9, 100%, $E$9)</f>
        <v>9.1563999999999997</v>
      </c>
      <c r="I236" s="11">
        <f>9.1617 * CHOOSE(CONTROL!$C$32, $C$9, 100%, $E$9)</f>
        <v>9.1616999999999997</v>
      </c>
      <c r="J236" s="11">
        <f>9.1564 * CHOOSE(CONTROL!$C$32, $C$9, 100%, $E$9)</f>
        <v>9.1563999999999997</v>
      </c>
      <c r="K236" s="11">
        <f>9.1617 * CHOOSE(CONTROL!$C$32, $C$9, 100%, $E$9)</f>
        <v>9.1616999999999997</v>
      </c>
      <c r="L236" s="11">
        <f>5.5682 * CHOOSE(CONTROL!$C$32, $C$9, 100%, $E$9)</f>
        <v>5.5682</v>
      </c>
      <c r="M236" s="11">
        <f>5.5735 * CHOOSE(CONTROL!$C$32, $C$9, 100%, $E$9)</f>
        <v>5.5735000000000001</v>
      </c>
      <c r="N236" s="11">
        <f>5.5682 * CHOOSE(CONTROL!$C$32, $C$9, 100%, $E$9)</f>
        <v>5.5682</v>
      </c>
      <c r="O236" s="11">
        <f>5.5735 * CHOOSE(CONTROL!$C$32, $C$9, 100%, $E$9)</f>
        <v>5.5735000000000001</v>
      </c>
    </row>
    <row r="237" spans="1:15" ht="15" x14ac:dyDescent="0.2">
      <c r="A237" s="13">
        <v>48061</v>
      </c>
      <c r="B237" s="9">
        <f>4.3579 * CHOOSE(CONTROL!$C$32, $C$9, 100%, $E$9)</f>
        <v>4.3578999999999999</v>
      </c>
      <c r="C237" s="9">
        <f>4.3579 * CHOOSE(CONTROL!$C$32, $C$9, 100%, $E$9)</f>
        <v>4.3578999999999999</v>
      </c>
      <c r="D237" s="9">
        <f>4.3595 * CHOOSE(CONTROL!$C$32, $C$9, 100%, $E$9)</f>
        <v>4.3594999999999997</v>
      </c>
      <c r="E237" s="11">
        <f>5.5726 * CHOOSE(CONTROL!$C$32, $C$9, 100%, $E$9)</f>
        <v>5.5726000000000004</v>
      </c>
      <c r="F237" s="11">
        <f>5.5726 * CHOOSE(CONTROL!$C$32, $C$9, 100%, $E$9)</f>
        <v>5.5726000000000004</v>
      </c>
      <c r="G237" s="11">
        <f>5.5779 * CHOOSE(CONTROL!$C$32, $C$9, 100%, $E$9)</f>
        <v>5.5778999999999996</v>
      </c>
      <c r="H237" s="11">
        <f>9.1755 * CHOOSE(CONTROL!$C$32, $C$9, 100%, $E$9)</f>
        <v>9.1754999999999995</v>
      </c>
      <c r="I237" s="11">
        <f>9.1808 * CHOOSE(CONTROL!$C$32, $C$9, 100%, $E$9)</f>
        <v>9.1807999999999996</v>
      </c>
      <c r="J237" s="11">
        <f>9.1755 * CHOOSE(CONTROL!$C$32, $C$9, 100%, $E$9)</f>
        <v>9.1754999999999995</v>
      </c>
      <c r="K237" s="11">
        <f>9.1808 * CHOOSE(CONTROL!$C$32, $C$9, 100%, $E$9)</f>
        <v>9.1807999999999996</v>
      </c>
      <c r="L237" s="11">
        <f>5.5726 * CHOOSE(CONTROL!$C$32, $C$9, 100%, $E$9)</f>
        <v>5.5726000000000004</v>
      </c>
      <c r="M237" s="11">
        <f>5.5779 * CHOOSE(CONTROL!$C$32, $C$9, 100%, $E$9)</f>
        <v>5.5778999999999996</v>
      </c>
      <c r="N237" s="11">
        <f>5.5726 * CHOOSE(CONTROL!$C$32, $C$9, 100%, $E$9)</f>
        <v>5.5726000000000004</v>
      </c>
      <c r="O237" s="11">
        <f>5.5779 * CHOOSE(CONTROL!$C$32, $C$9, 100%, $E$9)</f>
        <v>5.5778999999999996</v>
      </c>
    </row>
    <row r="238" spans="1:15" ht="15" x14ac:dyDescent="0.2">
      <c r="A238" s="13">
        <v>48092</v>
      </c>
      <c r="B238" s="9">
        <f>4.3549 * CHOOSE(CONTROL!$C$32, $C$9, 100%, $E$9)</f>
        <v>4.3548999999999998</v>
      </c>
      <c r="C238" s="9">
        <f>4.3549 * CHOOSE(CONTROL!$C$32, $C$9, 100%, $E$9)</f>
        <v>4.3548999999999998</v>
      </c>
      <c r="D238" s="9">
        <f>4.3565 * CHOOSE(CONTROL!$C$32, $C$9, 100%, $E$9)</f>
        <v>4.3564999999999996</v>
      </c>
      <c r="E238" s="11">
        <f>5.5706 * CHOOSE(CONTROL!$C$32, $C$9, 100%, $E$9)</f>
        <v>5.5705999999999998</v>
      </c>
      <c r="F238" s="11">
        <f>5.5706 * CHOOSE(CONTROL!$C$32, $C$9, 100%, $E$9)</f>
        <v>5.5705999999999998</v>
      </c>
      <c r="G238" s="11">
        <f>5.5759 * CHOOSE(CONTROL!$C$32, $C$9, 100%, $E$9)</f>
        <v>5.5758999999999999</v>
      </c>
      <c r="H238" s="11">
        <f>9.1946 * CHOOSE(CONTROL!$C$32, $C$9, 100%, $E$9)</f>
        <v>9.1945999999999994</v>
      </c>
      <c r="I238" s="11">
        <f>9.1999 * CHOOSE(CONTROL!$C$32, $C$9, 100%, $E$9)</f>
        <v>9.1998999999999995</v>
      </c>
      <c r="J238" s="11">
        <f>9.1946 * CHOOSE(CONTROL!$C$32, $C$9, 100%, $E$9)</f>
        <v>9.1945999999999994</v>
      </c>
      <c r="K238" s="11">
        <f>9.1999 * CHOOSE(CONTROL!$C$32, $C$9, 100%, $E$9)</f>
        <v>9.1998999999999995</v>
      </c>
      <c r="L238" s="11">
        <f>5.5706 * CHOOSE(CONTROL!$C$32, $C$9, 100%, $E$9)</f>
        <v>5.5705999999999998</v>
      </c>
      <c r="M238" s="11">
        <f>5.5759 * CHOOSE(CONTROL!$C$32, $C$9, 100%, $E$9)</f>
        <v>5.5758999999999999</v>
      </c>
      <c r="N238" s="11">
        <f>5.5706 * CHOOSE(CONTROL!$C$32, $C$9, 100%, $E$9)</f>
        <v>5.5705999999999998</v>
      </c>
      <c r="O238" s="11">
        <f>5.5759 * CHOOSE(CONTROL!$C$32, $C$9, 100%, $E$9)</f>
        <v>5.5758999999999999</v>
      </c>
    </row>
    <row r="239" spans="1:15" ht="15" x14ac:dyDescent="0.2">
      <c r="A239" s="13">
        <v>48122</v>
      </c>
      <c r="B239" s="9">
        <f>4.3513 * CHOOSE(CONTROL!$C$32, $C$9, 100%, $E$9)</f>
        <v>4.3513000000000002</v>
      </c>
      <c r="C239" s="9">
        <f>4.3513 * CHOOSE(CONTROL!$C$32, $C$9, 100%, $E$9)</f>
        <v>4.3513000000000002</v>
      </c>
      <c r="D239" s="9">
        <f>4.3523 * CHOOSE(CONTROL!$C$32, $C$9, 100%, $E$9)</f>
        <v>4.3522999999999996</v>
      </c>
      <c r="E239" s="11">
        <f>5.566 * CHOOSE(CONTROL!$C$32, $C$9, 100%, $E$9)</f>
        <v>5.5659999999999998</v>
      </c>
      <c r="F239" s="11">
        <f>5.566 * CHOOSE(CONTROL!$C$32, $C$9, 100%, $E$9)</f>
        <v>5.5659999999999998</v>
      </c>
      <c r="G239" s="11">
        <f>5.5696 * CHOOSE(CONTROL!$C$32, $C$9, 100%, $E$9)</f>
        <v>5.5696000000000003</v>
      </c>
      <c r="H239" s="11">
        <f>9.2138 * CHOOSE(CONTROL!$C$32, $C$9, 100%, $E$9)</f>
        <v>9.2138000000000009</v>
      </c>
      <c r="I239" s="11">
        <f>9.2174 * CHOOSE(CONTROL!$C$32, $C$9, 100%, $E$9)</f>
        <v>9.2173999999999996</v>
      </c>
      <c r="J239" s="11">
        <f>9.2138 * CHOOSE(CONTROL!$C$32, $C$9, 100%, $E$9)</f>
        <v>9.2138000000000009</v>
      </c>
      <c r="K239" s="11">
        <f>9.2174 * CHOOSE(CONTROL!$C$32, $C$9, 100%, $E$9)</f>
        <v>9.2173999999999996</v>
      </c>
      <c r="L239" s="11">
        <f>5.566 * CHOOSE(CONTROL!$C$32, $C$9, 100%, $E$9)</f>
        <v>5.5659999999999998</v>
      </c>
      <c r="M239" s="11">
        <f>5.5696 * CHOOSE(CONTROL!$C$32, $C$9, 100%, $E$9)</f>
        <v>5.5696000000000003</v>
      </c>
      <c r="N239" s="11">
        <f>5.566 * CHOOSE(CONTROL!$C$32, $C$9, 100%, $E$9)</f>
        <v>5.5659999999999998</v>
      </c>
      <c r="O239" s="11">
        <f>5.5696 * CHOOSE(CONTROL!$C$32, $C$9, 100%, $E$9)</f>
        <v>5.5696000000000003</v>
      </c>
    </row>
    <row r="240" spans="1:15" ht="15" x14ac:dyDescent="0.2">
      <c r="A240" s="13">
        <v>48153</v>
      </c>
      <c r="B240" s="9">
        <f>4.3543 * CHOOSE(CONTROL!$C$32, $C$9, 100%, $E$9)</f>
        <v>4.3543000000000003</v>
      </c>
      <c r="C240" s="9">
        <f>4.3543 * CHOOSE(CONTROL!$C$32, $C$9, 100%, $E$9)</f>
        <v>4.3543000000000003</v>
      </c>
      <c r="D240" s="9">
        <f>4.3554 * CHOOSE(CONTROL!$C$32, $C$9, 100%, $E$9)</f>
        <v>4.3554000000000004</v>
      </c>
      <c r="E240" s="11">
        <f>5.568 * CHOOSE(CONTROL!$C$32, $C$9, 100%, $E$9)</f>
        <v>5.5679999999999996</v>
      </c>
      <c r="F240" s="11">
        <f>5.568 * CHOOSE(CONTROL!$C$32, $C$9, 100%, $E$9)</f>
        <v>5.5679999999999996</v>
      </c>
      <c r="G240" s="11">
        <f>5.5716 * CHOOSE(CONTROL!$C$32, $C$9, 100%, $E$9)</f>
        <v>5.5716000000000001</v>
      </c>
      <c r="H240" s="11">
        <f>9.233 * CHOOSE(CONTROL!$C$32, $C$9, 100%, $E$9)</f>
        <v>9.2330000000000005</v>
      </c>
      <c r="I240" s="11">
        <f>9.2366 * CHOOSE(CONTROL!$C$32, $C$9, 100%, $E$9)</f>
        <v>9.2365999999999993</v>
      </c>
      <c r="J240" s="11">
        <f>9.233 * CHOOSE(CONTROL!$C$32, $C$9, 100%, $E$9)</f>
        <v>9.2330000000000005</v>
      </c>
      <c r="K240" s="11">
        <f>9.2366 * CHOOSE(CONTROL!$C$32, $C$9, 100%, $E$9)</f>
        <v>9.2365999999999993</v>
      </c>
      <c r="L240" s="11">
        <f>5.568 * CHOOSE(CONTROL!$C$32, $C$9, 100%, $E$9)</f>
        <v>5.5679999999999996</v>
      </c>
      <c r="M240" s="11">
        <f>5.5716 * CHOOSE(CONTROL!$C$32, $C$9, 100%, $E$9)</f>
        <v>5.5716000000000001</v>
      </c>
      <c r="N240" s="11">
        <f>5.568 * CHOOSE(CONTROL!$C$32, $C$9, 100%, $E$9)</f>
        <v>5.5679999999999996</v>
      </c>
      <c r="O240" s="11">
        <f>5.5716 * CHOOSE(CONTROL!$C$32, $C$9, 100%, $E$9)</f>
        <v>5.5716000000000001</v>
      </c>
    </row>
    <row r="241" spans="1:15" ht="15" x14ac:dyDescent="0.2">
      <c r="A241" s="13">
        <v>48183</v>
      </c>
      <c r="B241" s="9">
        <f>4.3543 * CHOOSE(CONTROL!$C$32, $C$9, 100%, $E$9)</f>
        <v>4.3543000000000003</v>
      </c>
      <c r="C241" s="9">
        <f>4.3543 * CHOOSE(CONTROL!$C$32, $C$9, 100%, $E$9)</f>
        <v>4.3543000000000003</v>
      </c>
      <c r="D241" s="9">
        <f>4.3554 * CHOOSE(CONTROL!$C$32, $C$9, 100%, $E$9)</f>
        <v>4.3554000000000004</v>
      </c>
      <c r="E241" s="11">
        <f>5.568 * CHOOSE(CONTROL!$C$32, $C$9, 100%, $E$9)</f>
        <v>5.5679999999999996</v>
      </c>
      <c r="F241" s="11">
        <f>5.568 * CHOOSE(CONTROL!$C$32, $C$9, 100%, $E$9)</f>
        <v>5.5679999999999996</v>
      </c>
      <c r="G241" s="11">
        <f>5.5716 * CHOOSE(CONTROL!$C$32, $C$9, 100%, $E$9)</f>
        <v>5.5716000000000001</v>
      </c>
      <c r="H241" s="11">
        <f>9.2522 * CHOOSE(CONTROL!$C$32, $C$9, 100%, $E$9)</f>
        <v>9.2522000000000002</v>
      </c>
      <c r="I241" s="11">
        <f>9.2558 * CHOOSE(CONTROL!$C$32, $C$9, 100%, $E$9)</f>
        <v>9.2558000000000007</v>
      </c>
      <c r="J241" s="11">
        <f>9.2522 * CHOOSE(CONTROL!$C$32, $C$9, 100%, $E$9)</f>
        <v>9.2522000000000002</v>
      </c>
      <c r="K241" s="11">
        <f>9.2558 * CHOOSE(CONTROL!$C$32, $C$9, 100%, $E$9)</f>
        <v>9.2558000000000007</v>
      </c>
      <c r="L241" s="11">
        <f>5.568 * CHOOSE(CONTROL!$C$32, $C$9, 100%, $E$9)</f>
        <v>5.5679999999999996</v>
      </c>
      <c r="M241" s="11">
        <f>5.5716 * CHOOSE(CONTROL!$C$32, $C$9, 100%, $E$9)</f>
        <v>5.5716000000000001</v>
      </c>
      <c r="N241" s="11">
        <f>5.568 * CHOOSE(CONTROL!$C$32, $C$9, 100%, $E$9)</f>
        <v>5.5679999999999996</v>
      </c>
      <c r="O241" s="11">
        <f>5.5716 * CHOOSE(CONTROL!$C$32, $C$9, 100%, $E$9)</f>
        <v>5.5716000000000001</v>
      </c>
    </row>
    <row r="242" spans="1:15" ht="15" x14ac:dyDescent="0.2">
      <c r="A242" s="13">
        <v>48214</v>
      </c>
      <c r="B242" s="9">
        <f>4.3913 * CHOOSE(CONTROL!$C$32, $C$9, 100%, $E$9)</f>
        <v>4.3913000000000002</v>
      </c>
      <c r="C242" s="9">
        <f>4.3913 * CHOOSE(CONTROL!$C$32, $C$9, 100%, $E$9)</f>
        <v>4.3913000000000002</v>
      </c>
      <c r="D242" s="9">
        <f>4.3923 * CHOOSE(CONTROL!$C$32, $C$9, 100%, $E$9)</f>
        <v>4.3922999999999996</v>
      </c>
      <c r="E242" s="11">
        <f>5.6146 * CHOOSE(CONTROL!$C$32, $C$9, 100%, $E$9)</f>
        <v>5.6146000000000003</v>
      </c>
      <c r="F242" s="11">
        <f>5.6146 * CHOOSE(CONTROL!$C$32, $C$9, 100%, $E$9)</f>
        <v>5.6146000000000003</v>
      </c>
      <c r="G242" s="11">
        <f>5.6182 * CHOOSE(CONTROL!$C$32, $C$9, 100%, $E$9)</f>
        <v>5.6181999999999999</v>
      </c>
      <c r="H242" s="11">
        <f>9.2715 * CHOOSE(CONTROL!$C$32, $C$9, 100%, $E$9)</f>
        <v>9.2714999999999996</v>
      </c>
      <c r="I242" s="11">
        <f>9.2751 * CHOOSE(CONTROL!$C$32, $C$9, 100%, $E$9)</f>
        <v>9.2751000000000001</v>
      </c>
      <c r="J242" s="11">
        <f>9.2715 * CHOOSE(CONTROL!$C$32, $C$9, 100%, $E$9)</f>
        <v>9.2714999999999996</v>
      </c>
      <c r="K242" s="11">
        <f>9.2751 * CHOOSE(CONTROL!$C$32, $C$9, 100%, $E$9)</f>
        <v>9.2751000000000001</v>
      </c>
      <c r="L242" s="11">
        <f>5.6146 * CHOOSE(CONTROL!$C$32, $C$9, 100%, $E$9)</f>
        <v>5.6146000000000003</v>
      </c>
      <c r="M242" s="11">
        <f>5.6182 * CHOOSE(CONTROL!$C$32, $C$9, 100%, $E$9)</f>
        <v>5.6181999999999999</v>
      </c>
      <c r="N242" s="11">
        <f>5.6146 * CHOOSE(CONTROL!$C$32, $C$9, 100%, $E$9)</f>
        <v>5.6146000000000003</v>
      </c>
      <c r="O242" s="11">
        <f>5.6182 * CHOOSE(CONTROL!$C$32, $C$9, 100%, $E$9)</f>
        <v>5.6181999999999999</v>
      </c>
    </row>
    <row r="243" spans="1:15" ht="15" x14ac:dyDescent="0.2">
      <c r="A243" s="13">
        <v>48245</v>
      </c>
      <c r="B243" s="9">
        <f>4.3882 * CHOOSE(CONTROL!$C$32, $C$9, 100%, $E$9)</f>
        <v>4.3882000000000003</v>
      </c>
      <c r="C243" s="9">
        <f>4.3882 * CHOOSE(CONTROL!$C$32, $C$9, 100%, $E$9)</f>
        <v>4.3882000000000003</v>
      </c>
      <c r="D243" s="9">
        <f>4.3893 * CHOOSE(CONTROL!$C$32, $C$9, 100%, $E$9)</f>
        <v>4.3893000000000004</v>
      </c>
      <c r="E243" s="11">
        <f>5.6126 * CHOOSE(CONTROL!$C$32, $C$9, 100%, $E$9)</f>
        <v>5.6125999999999996</v>
      </c>
      <c r="F243" s="11">
        <f>5.6126 * CHOOSE(CONTROL!$C$32, $C$9, 100%, $E$9)</f>
        <v>5.6125999999999996</v>
      </c>
      <c r="G243" s="11">
        <f>5.6162 * CHOOSE(CONTROL!$C$32, $C$9, 100%, $E$9)</f>
        <v>5.6162000000000001</v>
      </c>
      <c r="H243" s="11">
        <f>9.2908 * CHOOSE(CONTROL!$C$32, $C$9, 100%, $E$9)</f>
        <v>9.2908000000000008</v>
      </c>
      <c r="I243" s="11">
        <f>9.2944 * CHOOSE(CONTROL!$C$32, $C$9, 100%, $E$9)</f>
        <v>9.2943999999999996</v>
      </c>
      <c r="J243" s="11">
        <f>9.2908 * CHOOSE(CONTROL!$C$32, $C$9, 100%, $E$9)</f>
        <v>9.2908000000000008</v>
      </c>
      <c r="K243" s="11">
        <f>9.2944 * CHOOSE(CONTROL!$C$32, $C$9, 100%, $E$9)</f>
        <v>9.2943999999999996</v>
      </c>
      <c r="L243" s="11">
        <f>5.6126 * CHOOSE(CONTROL!$C$32, $C$9, 100%, $E$9)</f>
        <v>5.6125999999999996</v>
      </c>
      <c r="M243" s="11">
        <f>5.6162 * CHOOSE(CONTROL!$C$32, $C$9, 100%, $E$9)</f>
        <v>5.6162000000000001</v>
      </c>
      <c r="N243" s="11">
        <f>5.6126 * CHOOSE(CONTROL!$C$32, $C$9, 100%, $E$9)</f>
        <v>5.6125999999999996</v>
      </c>
      <c r="O243" s="11">
        <f>5.6162 * CHOOSE(CONTROL!$C$32, $C$9, 100%, $E$9)</f>
        <v>5.6162000000000001</v>
      </c>
    </row>
    <row r="244" spans="1:15" ht="15" x14ac:dyDescent="0.2">
      <c r="A244" s="13">
        <v>48274</v>
      </c>
      <c r="B244" s="9">
        <f>4.3852 * CHOOSE(CONTROL!$C$32, $C$9, 100%, $E$9)</f>
        <v>4.3852000000000002</v>
      </c>
      <c r="C244" s="9">
        <f>4.3852 * CHOOSE(CONTROL!$C$32, $C$9, 100%, $E$9)</f>
        <v>4.3852000000000002</v>
      </c>
      <c r="D244" s="9">
        <f>4.3862 * CHOOSE(CONTROL!$C$32, $C$9, 100%, $E$9)</f>
        <v>4.3861999999999997</v>
      </c>
      <c r="E244" s="11">
        <f>5.6106 * CHOOSE(CONTROL!$C$32, $C$9, 100%, $E$9)</f>
        <v>5.6105999999999998</v>
      </c>
      <c r="F244" s="11">
        <f>5.6106 * CHOOSE(CONTROL!$C$32, $C$9, 100%, $E$9)</f>
        <v>5.6105999999999998</v>
      </c>
      <c r="G244" s="11">
        <f>5.6142 * CHOOSE(CONTROL!$C$32, $C$9, 100%, $E$9)</f>
        <v>5.6142000000000003</v>
      </c>
      <c r="H244" s="11">
        <f>9.3102 * CHOOSE(CONTROL!$C$32, $C$9, 100%, $E$9)</f>
        <v>9.3102</v>
      </c>
      <c r="I244" s="11">
        <f>9.3138 * CHOOSE(CONTROL!$C$32, $C$9, 100%, $E$9)</f>
        <v>9.3138000000000005</v>
      </c>
      <c r="J244" s="11">
        <f>9.3102 * CHOOSE(CONTROL!$C$32, $C$9, 100%, $E$9)</f>
        <v>9.3102</v>
      </c>
      <c r="K244" s="11">
        <f>9.3138 * CHOOSE(CONTROL!$C$32, $C$9, 100%, $E$9)</f>
        <v>9.3138000000000005</v>
      </c>
      <c r="L244" s="11">
        <f>5.6106 * CHOOSE(CONTROL!$C$32, $C$9, 100%, $E$9)</f>
        <v>5.6105999999999998</v>
      </c>
      <c r="M244" s="11">
        <f>5.6142 * CHOOSE(CONTROL!$C$32, $C$9, 100%, $E$9)</f>
        <v>5.6142000000000003</v>
      </c>
      <c r="N244" s="11">
        <f>5.6106 * CHOOSE(CONTROL!$C$32, $C$9, 100%, $E$9)</f>
        <v>5.6105999999999998</v>
      </c>
      <c r="O244" s="11">
        <f>5.6142 * CHOOSE(CONTROL!$C$32, $C$9, 100%, $E$9)</f>
        <v>5.6142000000000003</v>
      </c>
    </row>
    <row r="245" spans="1:15" ht="15" x14ac:dyDescent="0.2">
      <c r="A245" s="13">
        <v>48305</v>
      </c>
      <c r="B245" s="9">
        <f>4.3832 * CHOOSE(CONTROL!$C$32, $C$9, 100%, $E$9)</f>
        <v>4.3832000000000004</v>
      </c>
      <c r="C245" s="9">
        <f>4.3832 * CHOOSE(CONTROL!$C$32, $C$9, 100%, $E$9)</f>
        <v>4.3832000000000004</v>
      </c>
      <c r="D245" s="9">
        <f>4.3843 * CHOOSE(CONTROL!$C$32, $C$9, 100%, $E$9)</f>
        <v>4.3842999999999996</v>
      </c>
      <c r="E245" s="11">
        <f>5.6087 * CHOOSE(CONTROL!$C$32, $C$9, 100%, $E$9)</f>
        <v>5.6086999999999998</v>
      </c>
      <c r="F245" s="11">
        <f>5.6087 * CHOOSE(CONTROL!$C$32, $C$9, 100%, $E$9)</f>
        <v>5.6086999999999998</v>
      </c>
      <c r="G245" s="11">
        <f>5.6123 * CHOOSE(CONTROL!$C$32, $C$9, 100%, $E$9)</f>
        <v>5.6123000000000003</v>
      </c>
      <c r="H245" s="11">
        <f>9.3296 * CHOOSE(CONTROL!$C$32, $C$9, 100%, $E$9)</f>
        <v>9.3295999999999992</v>
      </c>
      <c r="I245" s="11">
        <f>9.3332 * CHOOSE(CONTROL!$C$32, $C$9, 100%, $E$9)</f>
        <v>9.3331999999999997</v>
      </c>
      <c r="J245" s="11">
        <f>9.3296 * CHOOSE(CONTROL!$C$32, $C$9, 100%, $E$9)</f>
        <v>9.3295999999999992</v>
      </c>
      <c r="K245" s="11">
        <f>9.3332 * CHOOSE(CONTROL!$C$32, $C$9, 100%, $E$9)</f>
        <v>9.3331999999999997</v>
      </c>
      <c r="L245" s="11">
        <f>5.6087 * CHOOSE(CONTROL!$C$32, $C$9, 100%, $E$9)</f>
        <v>5.6086999999999998</v>
      </c>
      <c r="M245" s="11">
        <f>5.6123 * CHOOSE(CONTROL!$C$32, $C$9, 100%, $E$9)</f>
        <v>5.6123000000000003</v>
      </c>
      <c r="N245" s="11">
        <f>5.6087 * CHOOSE(CONTROL!$C$32, $C$9, 100%, $E$9)</f>
        <v>5.6086999999999998</v>
      </c>
      <c r="O245" s="11">
        <f>5.6123 * CHOOSE(CONTROL!$C$32, $C$9, 100%, $E$9)</f>
        <v>5.6123000000000003</v>
      </c>
    </row>
    <row r="246" spans="1:15" ht="15" x14ac:dyDescent="0.2">
      <c r="A246" s="13">
        <v>48335</v>
      </c>
      <c r="B246" s="9">
        <f>4.3832 * CHOOSE(CONTROL!$C$32, $C$9, 100%, $E$9)</f>
        <v>4.3832000000000004</v>
      </c>
      <c r="C246" s="9">
        <f>4.3832 * CHOOSE(CONTROL!$C$32, $C$9, 100%, $E$9)</f>
        <v>4.3832000000000004</v>
      </c>
      <c r="D246" s="9">
        <f>4.3848 * CHOOSE(CONTROL!$C$32, $C$9, 100%, $E$9)</f>
        <v>4.3848000000000003</v>
      </c>
      <c r="E246" s="11">
        <f>5.6087 * CHOOSE(CONTROL!$C$32, $C$9, 100%, $E$9)</f>
        <v>5.6086999999999998</v>
      </c>
      <c r="F246" s="11">
        <f>5.6087 * CHOOSE(CONTROL!$C$32, $C$9, 100%, $E$9)</f>
        <v>5.6086999999999998</v>
      </c>
      <c r="G246" s="11">
        <f>5.614 * CHOOSE(CONTROL!$C$32, $C$9, 100%, $E$9)</f>
        <v>5.6139999999999999</v>
      </c>
      <c r="H246" s="11">
        <f>9.349 * CHOOSE(CONTROL!$C$32, $C$9, 100%, $E$9)</f>
        <v>9.3490000000000002</v>
      </c>
      <c r="I246" s="11">
        <f>9.3543 * CHOOSE(CONTROL!$C$32, $C$9, 100%, $E$9)</f>
        <v>9.3543000000000003</v>
      </c>
      <c r="J246" s="11">
        <f>9.349 * CHOOSE(CONTROL!$C$32, $C$9, 100%, $E$9)</f>
        <v>9.3490000000000002</v>
      </c>
      <c r="K246" s="11">
        <f>9.3543 * CHOOSE(CONTROL!$C$32, $C$9, 100%, $E$9)</f>
        <v>9.3543000000000003</v>
      </c>
      <c r="L246" s="11">
        <f>5.6087 * CHOOSE(CONTROL!$C$32, $C$9, 100%, $E$9)</f>
        <v>5.6086999999999998</v>
      </c>
      <c r="M246" s="11">
        <f>5.614 * CHOOSE(CONTROL!$C$32, $C$9, 100%, $E$9)</f>
        <v>5.6139999999999999</v>
      </c>
      <c r="N246" s="11">
        <f>5.6087 * CHOOSE(CONTROL!$C$32, $C$9, 100%, $E$9)</f>
        <v>5.6086999999999998</v>
      </c>
      <c r="O246" s="11">
        <f>5.614 * CHOOSE(CONTROL!$C$32, $C$9, 100%, $E$9)</f>
        <v>5.6139999999999999</v>
      </c>
    </row>
    <row r="247" spans="1:15" ht="15" x14ac:dyDescent="0.2">
      <c r="A247" s="13">
        <v>48366</v>
      </c>
      <c r="B247" s="9">
        <f>4.3893 * CHOOSE(CONTROL!$C$32, $C$9, 100%, $E$9)</f>
        <v>4.3893000000000004</v>
      </c>
      <c r="C247" s="9">
        <f>4.3893 * CHOOSE(CONTROL!$C$32, $C$9, 100%, $E$9)</f>
        <v>4.3893000000000004</v>
      </c>
      <c r="D247" s="9">
        <f>4.3909 * CHOOSE(CONTROL!$C$32, $C$9, 100%, $E$9)</f>
        <v>4.3909000000000002</v>
      </c>
      <c r="E247" s="11">
        <f>5.6127 * CHOOSE(CONTROL!$C$32, $C$9, 100%, $E$9)</f>
        <v>5.6127000000000002</v>
      </c>
      <c r="F247" s="11">
        <f>5.6127 * CHOOSE(CONTROL!$C$32, $C$9, 100%, $E$9)</f>
        <v>5.6127000000000002</v>
      </c>
      <c r="G247" s="11">
        <f>5.618 * CHOOSE(CONTROL!$C$32, $C$9, 100%, $E$9)</f>
        <v>5.6180000000000003</v>
      </c>
      <c r="H247" s="11">
        <f>9.3685 * CHOOSE(CONTROL!$C$32, $C$9, 100%, $E$9)</f>
        <v>9.3684999999999992</v>
      </c>
      <c r="I247" s="11">
        <f>9.3738 * CHOOSE(CONTROL!$C$32, $C$9, 100%, $E$9)</f>
        <v>9.3737999999999992</v>
      </c>
      <c r="J247" s="11">
        <f>9.3685 * CHOOSE(CONTROL!$C$32, $C$9, 100%, $E$9)</f>
        <v>9.3684999999999992</v>
      </c>
      <c r="K247" s="11">
        <f>9.3738 * CHOOSE(CONTROL!$C$32, $C$9, 100%, $E$9)</f>
        <v>9.3737999999999992</v>
      </c>
      <c r="L247" s="11">
        <f>5.6127 * CHOOSE(CONTROL!$C$32, $C$9, 100%, $E$9)</f>
        <v>5.6127000000000002</v>
      </c>
      <c r="M247" s="11">
        <f>5.618 * CHOOSE(CONTROL!$C$32, $C$9, 100%, $E$9)</f>
        <v>5.6180000000000003</v>
      </c>
      <c r="N247" s="11">
        <f>5.6127 * CHOOSE(CONTROL!$C$32, $C$9, 100%, $E$9)</f>
        <v>5.6127000000000002</v>
      </c>
      <c r="O247" s="11">
        <f>5.618 * CHOOSE(CONTROL!$C$32, $C$9, 100%, $E$9)</f>
        <v>5.6180000000000003</v>
      </c>
    </row>
    <row r="248" spans="1:15" ht="15" x14ac:dyDescent="0.2">
      <c r="A248" s="13">
        <v>48396</v>
      </c>
      <c r="B248" s="9">
        <f>4.4571 * CHOOSE(CONTROL!$C$32, $C$9, 100%, $E$9)</f>
        <v>4.4570999999999996</v>
      </c>
      <c r="C248" s="9">
        <f>4.4571 * CHOOSE(CONTROL!$C$32, $C$9, 100%, $E$9)</f>
        <v>4.4570999999999996</v>
      </c>
      <c r="D248" s="9">
        <f>4.4586 * CHOOSE(CONTROL!$C$32, $C$9, 100%, $E$9)</f>
        <v>4.4585999999999997</v>
      </c>
      <c r="E248" s="11">
        <f>5.7152 * CHOOSE(CONTROL!$C$32, $C$9, 100%, $E$9)</f>
        <v>5.7152000000000003</v>
      </c>
      <c r="F248" s="11">
        <f>5.7152 * CHOOSE(CONTROL!$C$32, $C$9, 100%, $E$9)</f>
        <v>5.7152000000000003</v>
      </c>
      <c r="G248" s="11">
        <f>5.7205 * CHOOSE(CONTROL!$C$32, $C$9, 100%, $E$9)</f>
        <v>5.7205000000000004</v>
      </c>
      <c r="H248" s="11">
        <f>9.388 * CHOOSE(CONTROL!$C$32, $C$9, 100%, $E$9)</f>
        <v>9.3879999999999999</v>
      </c>
      <c r="I248" s="11">
        <f>9.3933 * CHOOSE(CONTROL!$C$32, $C$9, 100%, $E$9)</f>
        <v>9.3933</v>
      </c>
      <c r="J248" s="11">
        <f>9.388 * CHOOSE(CONTROL!$C$32, $C$9, 100%, $E$9)</f>
        <v>9.3879999999999999</v>
      </c>
      <c r="K248" s="11">
        <f>9.3933 * CHOOSE(CONTROL!$C$32, $C$9, 100%, $E$9)</f>
        <v>9.3933</v>
      </c>
      <c r="L248" s="11">
        <f>5.7152 * CHOOSE(CONTROL!$C$32, $C$9, 100%, $E$9)</f>
        <v>5.7152000000000003</v>
      </c>
      <c r="M248" s="11">
        <f>5.7205 * CHOOSE(CONTROL!$C$32, $C$9, 100%, $E$9)</f>
        <v>5.7205000000000004</v>
      </c>
      <c r="N248" s="11">
        <f>5.7152 * CHOOSE(CONTROL!$C$32, $C$9, 100%, $E$9)</f>
        <v>5.7152000000000003</v>
      </c>
      <c r="O248" s="11">
        <f>5.7205 * CHOOSE(CONTROL!$C$32, $C$9, 100%, $E$9)</f>
        <v>5.7205000000000004</v>
      </c>
    </row>
    <row r="249" spans="1:15" ht="15" x14ac:dyDescent="0.2">
      <c r="A249" s="13">
        <v>48427</v>
      </c>
      <c r="B249" s="9">
        <f>4.4637 * CHOOSE(CONTROL!$C$32, $C$9, 100%, $E$9)</f>
        <v>4.4637000000000002</v>
      </c>
      <c r="C249" s="9">
        <f>4.4637 * CHOOSE(CONTROL!$C$32, $C$9, 100%, $E$9)</f>
        <v>4.4637000000000002</v>
      </c>
      <c r="D249" s="9">
        <f>4.4653 * CHOOSE(CONTROL!$C$32, $C$9, 100%, $E$9)</f>
        <v>4.4653</v>
      </c>
      <c r="E249" s="11">
        <f>5.7196 * CHOOSE(CONTROL!$C$32, $C$9, 100%, $E$9)</f>
        <v>5.7195999999999998</v>
      </c>
      <c r="F249" s="11">
        <f>5.7196 * CHOOSE(CONTROL!$C$32, $C$9, 100%, $E$9)</f>
        <v>5.7195999999999998</v>
      </c>
      <c r="G249" s="11">
        <f>5.7249 * CHOOSE(CONTROL!$C$32, $C$9, 100%, $E$9)</f>
        <v>5.7248999999999999</v>
      </c>
      <c r="H249" s="11">
        <f>9.4076 * CHOOSE(CONTROL!$C$32, $C$9, 100%, $E$9)</f>
        <v>9.4076000000000004</v>
      </c>
      <c r="I249" s="11">
        <f>9.4129 * CHOOSE(CONTROL!$C$32, $C$9, 100%, $E$9)</f>
        <v>9.4129000000000005</v>
      </c>
      <c r="J249" s="11">
        <f>9.4076 * CHOOSE(CONTROL!$C$32, $C$9, 100%, $E$9)</f>
        <v>9.4076000000000004</v>
      </c>
      <c r="K249" s="11">
        <f>9.4129 * CHOOSE(CONTROL!$C$32, $C$9, 100%, $E$9)</f>
        <v>9.4129000000000005</v>
      </c>
      <c r="L249" s="11">
        <f>5.7196 * CHOOSE(CONTROL!$C$32, $C$9, 100%, $E$9)</f>
        <v>5.7195999999999998</v>
      </c>
      <c r="M249" s="11">
        <f>5.7249 * CHOOSE(CONTROL!$C$32, $C$9, 100%, $E$9)</f>
        <v>5.7248999999999999</v>
      </c>
      <c r="N249" s="11">
        <f>5.7196 * CHOOSE(CONTROL!$C$32, $C$9, 100%, $E$9)</f>
        <v>5.7195999999999998</v>
      </c>
      <c r="O249" s="11">
        <f>5.7249 * CHOOSE(CONTROL!$C$32, $C$9, 100%, $E$9)</f>
        <v>5.7248999999999999</v>
      </c>
    </row>
    <row r="250" spans="1:15" ht="15" x14ac:dyDescent="0.2">
      <c r="A250" s="13">
        <v>48458</v>
      </c>
      <c r="B250" s="9">
        <f>4.4607 * CHOOSE(CONTROL!$C$32, $C$9, 100%, $E$9)</f>
        <v>4.4607000000000001</v>
      </c>
      <c r="C250" s="9">
        <f>4.4607 * CHOOSE(CONTROL!$C$32, $C$9, 100%, $E$9)</f>
        <v>4.4607000000000001</v>
      </c>
      <c r="D250" s="9">
        <f>4.4623 * CHOOSE(CONTROL!$C$32, $C$9, 100%, $E$9)</f>
        <v>4.4622999999999999</v>
      </c>
      <c r="E250" s="11">
        <f>5.7176 * CHOOSE(CONTROL!$C$32, $C$9, 100%, $E$9)</f>
        <v>5.7176</v>
      </c>
      <c r="F250" s="11">
        <f>5.7176 * CHOOSE(CONTROL!$C$32, $C$9, 100%, $E$9)</f>
        <v>5.7176</v>
      </c>
      <c r="G250" s="11">
        <f>5.7229 * CHOOSE(CONTROL!$C$32, $C$9, 100%, $E$9)</f>
        <v>5.7229000000000001</v>
      </c>
      <c r="H250" s="11">
        <f>9.4272 * CHOOSE(CONTROL!$C$32, $C$9, 100%, $E$9)</f>
        <v>9.4271999999999991</v>
      </c>
      <c r="I250" s="11">
        <f>9.4325 * CHOOSE(CONTROL!$C$32, $C$9, 100%, $E$9)</f>
        <v>9.4324999999999992</v>
      </c>
      <c r="J250" s="11">
        <f>9.4272 * CHOOSE(CONTROL!$C$32, $C$9, 100%, $E$9)</f>
        <v>9.4271999999999991</v>
      </c>
      <c r="K250" s="11">
        <f>9.4325 * CHOOSE(CONTROL!$C$32, $C$9, 100%, $E$9)</f>
        <v>9.4324999999999992</v>
      </c>
      <c r="L250" s="11">
        <f>5.7176 * CHOOSE(CONTROL!$C$32, $C$9, 100%, $E$9)</f>
        <v>5.7176</v>
      </c>
      <c r="M250" s="11">
        <f>5.7229 * CHOOSE(CONTROL!$C$32, $C$9, 100%, $E$9)</f>
        <v>5.7229000000000001</v>
      </c>
      <c r="N250" s="11">
        <f>5.7176 * CHOOSE(CONTROL!$C$32, $C$9, 100%, $E$9)</f>
        <v>5.7176</v>
      </c>
      <c r="O250" s="11">
        <f>5.7229 * CHOOSE(CONTROL!$C$32, $C$9, 100%, $E$9)</f>
        <v>5.7229000000000001</v>
      </c>
    </row>
    <row r="251" spans="1:15" ht="15" x14ac:dyDescent="0.2">
      <c r="A251" s="13">
        <v>48488</v>
      </c>
      <c r="B251" s="9">
        <f>4.4575 * CHOOSE(CONTROL!$C$32, $C$9, 100%, $E$9)</f>
        <v>4.4574999999999996</v>
      </c>
      <c r="C251" s="9">
        <f>4.4575 * CHOOSE(CONTROL!$C$32, $C$9, 100%, $E$9)</f>
        <v>4.4574999999999996</v>
      </c>
      <c r="D251" s="9">
        <f>4.4586 * CHOOSE(CONTROL!$C$32, $C$9, 100%, $E$9)</f>
        <v>4.4585999999999997</v>
      </c>
      <c r="E251" s="11">
        <f>5.7132 * CHOOSE(CONTROL!$C$32, $C$9, 100%, $E$9)</f>
        <v>5.7131999999999996</v>
      </c>
      <c r="F251" s="11">
        <f>5.7132 * CHOOSE(CONTROL!$C$32, $C$9, 100%, $E$9)</f>
        <v>5.7131999999999996</v>
      </c>
      <c r="G251" s="11">
        <f>5.7168 * CHOOSE(CONTROL!$C$32, $C$9, 100%, $E$9)</f>
        <v>5.7168000000000001</v>
      </c>
      <c r="H251" s="11">
        <f>9.4468 * CHOOSE(CONTROL!$C$32, $C$9, 100%, $E$9)</f>
        <v>9.4467999999999996</v>
      </c>
      <c r="I251" s="11">
        <f>9.4504 * CHOOSE(CONTROL!$C$32, $C$9, 100%, $E$9)</f>
        <v>9.4504000000000001</v>
      </c>
      <c r="J251" s="11">
        <f>9.4468 * CHOOSE(CONTROL!$C$32, $C$9, 100%, $E$9)</f>
        <v>9.4467999999999996</v>
      </c>
      <c r="K251" s="11">
        <f>9.4504 * CHOOSE(CONTROL!$C$32, $C$9, 100%, $E$9)</f>
        <v>9.4504000000000001</v>
      </c>
      <c r="L251" s="11">
        <f>5.7132 * CHOOSE(CONTROL!$C$32, $C$9, 100%, $E$9)</f>
        <v>5.7131999999999996</v>
      </c>
      <c r="M251" s="11">
        <f>5.7168 * CHOOSE(CONTROL!$C$32, $C$9, 100%, $E$9)</f>
        <v>5.7168000000000001</v>
      </c>
      <c r="N251" s="11">
        <f>5.7132 * CHOOSE(CONTROL!$C$32, $C$9, 100%, $E$9)</f>
        <v>5.7131999999999996</v>
      </c>
      <c r="O251" s="11">
        <f>5.7168 * CHOOSE(CONTROL!$C$32, $C$9, 100%, $E$9)</f>
        <v>5.7168000000000001</v>
      </c>
    </row>
    <row r="252" spans="1:15" ht="15" x14ac:dyDescent="0.2">
      <c r="A252" s="13">
        <v>48519</v>
      </c>
      <c r="B252" s="9">
        <f>4.4605 * CHOOSE(CONTROL!$C$32, $C$9, 100%, $E$9)</f>
        <v>4.4604999999999997</v>
      </c>
      <c r="C252" s="9">
        <f>4.4605 * CHOOSE(CONTROL!$C$32, $C$9, 100%, $E$9)</f>
        <v>4.4604999999999997</v>
      </c>
      <c r="D252" s="9">
        <f>4.4616 * CHOOSE(CONTROL!$C$32, $C$9, 100%, $E$9)</f>
        <v>4.4615999999999998</v>
      </c>
      <c r="E252" s="11">
        <f>5.7152 * CHOOSE(CONTROL!$C$32, $C$9, 100%, $E$9)</f>
        <v>5.7152000000000003</v>
      </c>
      <c r="F252" s="11">
        <f>5.7152 * CHOOSE(CONTROL!$C$32, $C$9, 100%, $E$9)</f>
        <v>5.7152000000000003</v>
      </c>
      <c r="G252" s="11">
        <f>5.7188 * CHOOSE(CONTROL!$C$32, $C$9, 100%, $E$9)</f>
        <v>5.7187999999999999</v>
      </c>
      <c r="H252" s="11">
        <f>9.4665 * CHOOSE(CONTROL!$C$32, $C$9, 100%, $E$9)</f>
        <v>9.4664999999999999</v>
      </c>
      <c r="I252" s="11">
        <f>9.4701 * CHOOSE(CONTROL!$C$32, $C$9, 100%, $E$9)</f>
        <v>9.4701000000000004</v>
      </c>
      <c r="J252" s="11">
        <f>9.4665 * CHOOSE(CONTROL!$C$32, $C$9, 100%, $E$9)</f>
        <v>9.4664999999999999</v>
      </c>
      <c r="K252" s="11">
        <f>9.4701 * CHOOSE(CONTROL!$C$32, $C$9, 100%, $E$9)</f>
        <v>9.4701000000000004</v>
      </c>
      <c r="L252" s="11">
        <f>5.7152 * CHOOSE(CONTROL!$C$32, $C$9, 100%, $E$9)</f>
        <v>5.7152000000000003</v>
      </c>
      <c r="M252" s="11">
        <f>5.7188 * CHOOSE(CONTROL!$C$32, $C$9, 100%, $E$9)</f>
        <v>5.7187999999999999</v>
      </c>
      <c r="N252" s="11">
        <f>5.7152 * CHOOSE(CONTROL!$C$32, $C$9, 100%, $E$9)</f>
        <v>5.7152000000000003</v>
      </c>
      <c r="O252" s="11">
        <f>5.7188 * CHOOSE(CONTROL!$C$32, $C$9, 100%, $E$9)</f>
        <v>5.7187999999999999</v>
      </c>
    </row>
    <row r="253" spans="1:15" ht="15" x14ac:dyDescent="0.2">
      <c r="A253" s="13">
        <v>48549</v>
      </c>
      <c r="B253" s="9">
        <f>4.4605 * CHOOSE(CONTROL!$C$32, $C$9, 100%, $E$9)</f>
        <v>4.4604999999999997</v>
      </c>
      <c r="C253" s="9">
        <f>4.4605 * CHOOSE(CONTROL!$C$32, $C$9, 100%, $E$9)</f>
        <v>4.4604999999999997</v>
      </c>
      <c r="D253" s="9">
        <f>4.4616 * CHOOSE(CONTROL!$C$32, $C$9, 100%, $E$9)</f>
        <v>4.4615999999999998</v>
      </c>
      <c r="E253" s="11">
        <f>5.7152 * CHOOSE(CONTROL!$C$32, $C$9, 100%, $E$9)</f>
        <v>5.7152000000000003</v>
      </c>
      <c r="F253" s="11">
        <f>5.7152 * CHOOSE(CONTROL!$C$32, $C$9, 100%, $E$9)</f>
        <v>5.7152000000000003</v>
      </c>
      <c r="G253" s="11">
        <f>5.7188 * CHOOSE(CONTROL!$C$32, $C$9, 100%, $E$9)</f>
        <v>5.7187999999999999</v>
      </c>
      <c r="H253" s="11">
        <f>9.4862 * CHOOSE(CONTROL!$C$32, $C$9, 100%, $E$9)</f>
        <v>9.4862000000000002</v>
      </c>
      <c r="I253" s="11">
        <f>9.4898 * CHOOSE(CONTROL!$C$32, $C$9, 100%, $E$9)</f>
        <v>9.4898000000000007</v>
      </c>
      <c r="J253" s="11">
        <f>9.4862 * CHOOSE(CONTROL!$C$32, $C$9, 100%, $E$9)</f>
        <v>9.4862000000000002</v>
      </c>
      <c r="K253" s="11">
        <f>9.4898 * CHOOSE(CONTROL!$C$32, $C$9, 100%, $E$9)</f>
        <v>9.4898000000000007</v>
      </c>
      <c r="L253" s="11">
        <f>5.7152 * CHOOSE(CONTROL!$C$32, $C$9, 100%, $E$9)</f>
        <v>5.7152000000000003</v>
      </c>
      <c r="M253" s="11">
        <f>5.7188 * CHOOSE(CONTROL!$C$32, $C$9, 100%, $E$9)</f>
        <v>5.7187999999999999</v>
      </c>
      <c r="N253" s="11">
        <f>5.7152 * CHOOSE(CONTROL!$C$32, $C$9, 100%, $E$9)</f>
        <v>5.7152000000000003</v>
      </c>
      <c r="O253" s="11">
        <f>5.7188 * CHOOSE(CONTROL!$C$32, $C$9, 100%, $E$9)</f>
        <v>5.7187999999999999</v>
      </c>
    </row>
    <row r="254" spans="1:15" ht="15" x14ac:dyDescent="0.2">
      <c r="A254" s="13">
        <v>48580</v>
      </c>
      <c r="B254" s="9">
        <f>4.4966 * CHOOSE(CONTROL!$C$32, $C$9, 100%, $E$9)</f>
        <v>4.4965999999999999</v>
      </c>
      <c r="C254" s="9">
        <f>4.4966 * CHOOSE(CONTROL!$C$32, $C$9, 100%, $E$9)</f>
        <v>4.4965999999999999</v>
      </c>
      <c r="D254" s="9">
        <f>4.4977 * CHOOSE(CONTROL!$C$32, $C$9, 100%, $E$9)</f>
        <v>4.4977</v>
      </c>
      <c r="E254" s="11">
        <f>5.7608 * CHOOSE(CONTROL!$C$32, $C$9, 100%, $E$9)</f>
        <v>5.7607999999999997</v>
      </c>
      <c r="F254" s="11">
        <f>5.7608 * CHOOSE(CONTROL!$C$32, $C$9, 100%, $E$9)</f>
        <v>5.7607999999999997</v>
      </c>
      <c r="G254" s="11">
        <f>5.7644 * CHOOSE(CONTROL!$C$32, $C$9, 100%, $E$9)</f>
        <v>5.7644000000000002</v>
      </c>
      <c r="H254" s="11">
        <f>9.506 * CHOOSE(CONTROL!$C$32, $C$9, 100%, $E$9)</f>
        <v>9.5060000000000002</v>
      </c>
      <c r="I254" s="11">
        <f>9.5096 * CHOOSE(CONTROL!$C$32, $C$9, 100%, $E$9)</f>
        <v>9.5096000000000007</v>
      </c>
      <c r="J254" s="11">
        <f>9.506 * CHOOSE(CONTROL!$C$32, $C$9, 100%, $E$9)</f>
        <v>9.5060000000000002</v>
      </c>
      <c r="K254" s="11">
        <f>9.5096 * CHOOSE(CONTROL!$C$32, $C$9, 100%, $E$9)</f>
        <v>9.5096000000000007</v>
      </c>
      <c r="L254" s="11">
        <f>5.7608 * CHOOSE(CONTROL!$C$32, $C$9, 100%, $E$9)</f>
        <v>5.7607999999999997</v>
      </c>
      <c r="M254" s="11">
        <f>5.7644 * CHOOSE(CONTROL!$C$32, $C$9, 100%, $E$9)</f>
        <v>5.7644000000000002</v>
      </c>
      <c r="N254" s="11">
        <f>5.7608 * CHOOSE(CONTROL!$C$32, $C$9, 100%, $E$9)</f>
        <v>5.7607999999999997</v>
      </c>
      <c r="O254" s="11">
        <f>5.7644 * CHOOSE(CONTROL!$C$32, $C$9, 100%, $E$9)</f>
        <v>5.7644000000000002</v>
      </c>
    </row>
    <row r="255" spans="1:15" ht="15" x14ac:dyDescent="0.2">
      <c r="A255" s="13">
        <v>48611</v>
      </c>
      <c r="B255" s="9">
        <f>4.4936 * CHOOSE(CONTROL!$C$32, $C$9, 100%, $E$9)</f>
        <v>4.4935999999999998</v>
      </c>
      <c r="C255" s="9">
        <f>4.4936 * CHOOSE(CONTROL!$C$32, $C$9, 100%, $E$9)</f>
        <v>4.4935999999999998</v>
      </c>
      <c r="D255" s="9">
        <f>4.4946 * CHOOSE(CONTROL!$C$32, $C$9, 100%, $E$9)</f>
        <v>4.4946000000000002</v>
      </c>
      <c r="E255" s="11">
        <f>5.7588 * CHOOSE(CONTROL!$C$32, $C$9, 100%, $E$9)</f>
        <v>5.7587999999999999</v>
      </c>
      <c r="F255" s="11">
        <f>5.7588 * CHOOSE(CONTROL!$C$32, $C$9, 100%, $E$9)</f>
        <v>5.7587999999999999</v>
      </c>
      <c r="G255" s="11">
        <f>5.7624 * CHOOSE(CONTROL!$C$32, $C$9, 100%, $E$9)</f>
        <v>5.7624000000000004</v>
      </c>
      <c r="H255" s="11">
        <f>9.5258 * CHOOSE(CONTROL!$C$32, $C$9, 100%, $E$9)</f>
        <v>9.5258000000000003</v>
      </c>
      <c r="I255" s="11">
        <f>9.5294 * CHOOSE(CONTROL!$C$32, $C$9, 100%, $E$9)</f>
        <v>9.5294000000000008</v>
      </c>
      <c r="J255" s="11">
        <f>9.5258 * CHOOSE(CONTROL!$C$32, $C$9, 100%, $E$9)</f>
        <v>9.5258000000000003</v>
      </c>
      <c r="K255" s="11">
        <f>9.5294 * CHOOSE(CONTROL!$C$32, $C$9, 100%, $E$9)</f>
        <v>9.5294000000000008</v>
      </c>
      <c r="L255" s="11">
        <f>5.7588 * CHOOSE(CONTROL!$C$32, $C$9, 100%, $E$9)</f>
        <v>5.7587999999999999</v>
      </c>
      <c r="M255" s="11">
        <f>5.7624 * CHOOSE(CONTROL!$C$32, $C$9, 100%, $E$9)</f>
        <v>5.7624000000000004</v>
      </c>
      <c r="N255" s="11">
        <f>5.7588 * CHOOSE(CONTROL!$C$32, $C$9, 100%, $E$9)</f>
        <v>5.7587999999999999</v>
      </c>
      <c r="O255" s="11">
        <f>5.7624 * CHOOSE(CONTROL!$C$32, $C$9, 100%, $E$9)</f>
        <v>5.7624000000000004</v>
      </c>
    </row>
    <row r="256" spans="1:15" ht="15" x14ac:dyDescent="0.2">
      <c r="A256" s="13">
        <v>48639</v>
      </c>
      <c r="B256" s="9">
        <f>4.4905 * CHOOSE(CONTROL!$C$32, $C$9, 100%, $E$9)</f>
        <v>4.4904999999999999</v>
      </c>
      <c r="C256" s="9">
        <f>4.4905 * CHOOSE(CONTROL!$C$32, $C$9, 100%, $E$9)</f>
        <v>4.4904999999999999</v>
      </c>
      <c r="D256" s="9">
        <f>4.4916 * CHOOSE(CONTROL!$C$32, $C$9, 100%, $E$9)</f>
        <v>4.4916</v>
      </c>
      <c r="E256" s="11">
        <f>5.7568 * CHOOSE(CONTROL!$C$32, $C$9, 100%, $E$9)</f>
        <v>5.7568000000000001</v>
      </c>
      <c r="F256" s="11">
        <f>5.7568 * CHOOSE(CONTROL!$C$32, $C$9, 100%, $E$9)</f>
        <v>5.7568000000000001</v>
      </c>
      <c r="G256" s="11">
        <f>5.7604 * CHOOSE(CONTROL!$C$32, $C$9, 100%, $E$9)</f>
        <v>5.7603999999999997</v>
      </c>
      <c r="H256" s="11">
        <f>9.5456 * CHOOSE(CONTROL!$C$32, $C$9, 100%, $E$9)</f>
        <v>9.5456000000000003</v>
      </c>
      <c r="I256" s="11">
        <f>9.5492 * CHOOSE(CONTROL!$C$32, $C$9, 100%, $E$9)</f>
        <v>9.5492000000000008</v>
      </c>
      <c r="J256" s="11">
        <f>9.5456 * CHOOSE(CONTROL!$C$32, $C$9, 100%, $E$9)</f>
        <v>9.5456000000000003</v>
      </c>
      <c r="K256" s="11">
        <f>9.5492 * CHOOSE(CONTROL!$C$32, $C$9, 100%, $E$9)</f>
        <v>9.5492000000000008</v>
      </c>
      <c r="L256" s="11">
        <f>5.7568 * CHOOSE(CONTROL!$C$32, $C$9, 100%, $E$9)</f>
        <v>5.7568000000000001</v>
      </c>
      <c r="M256" s="11">
        <f>5.7604 * CHOOSE(CONTROL!$C$32, $C$9, 100%, $E$9)</f>
        <v>5.7603999999999997</v>
      </c>
      <c r="N256" s="11">
        <f>5.7568 * CHOOSE(CONTROL!$C$32, $C$9, 100%, $E$9)</f>
        <v>5.7568000000000001</v>
      </c>
      <c r="O256" s="11">
        <f>5.7604 * CHOOSE(CONTROL!$C$32, $C$9, 100%, $E$9)</f>
        <v>5.7603999999999997</v>
      </c>
    </row>
    <row r="257" spans="1:15" ht="15" x14ac:dyDescent="0.2">
      <c r="A257" s="13">
        <v>48670</v>
      </c>
      <c r="B257" s="9">
        <f>4.4887 * CHOOSE(CONTROL!$C$32, $C$9, 100%, $E$9)</f>
        <v>4.4886999999999997</v>
      </c>
      <c r="C257" s="9">
        <f>4.4887 * CHOOSE(CONTROL!$C$32, $C$9, 100%, $E$9)</f>
        <v>4.4886999999999997</v>
      </c>
      <c r="D257" s="9">
        <f>4.4897 * CHOOSE(CONTROL!$C$32, $C$9, 100%, $E$9)</f>
        <v>4.4897</v>
      </c>
      <c r="E257" s="11">
        <f>5.755 * CHOOSE(CONTROL!$C$32, $C$9, 100%, $E$9)</f>
        <v>5.7549999999999999</v>
      </c>
      <c r="F257" s="11">
        <f>5.755 * CHOOSE(CONTROL!$C$32, $C$9, 100%, $E$9)</f>
        <v>5.7549999999999999</v>
      </c>
      <c r="G257" s="11">
        <f>5.7586 * CHOOSE(CONTROL!$C$32, $C$9, 100%, $E$9)</f>
        <v>5.7586000000000004</v>
      </c>
      <c r="H257" s="11">
        <f>9.5655 * CHOOSE(CONTROL!$C$32, $C$9, 100%, $E$9)</f>
        <v>9.5655000000000001</v>
      </c>
      <c r="I257" s="11">
        <f>9.5691 * CHOOSE(CONTROL!$C$32, $C$9, 100%, $E$9)</f>
        <v>9.5691000000000006</v>
      </c>
      <c r="J257" s="11">
        <f>9.5655 * CHOOSE(CONTROL!$C$32, $C$9, 100%, $E$9)</f>
        <v>9.5655000000000001</v>
      </c>
      <c r="K257" s="11">
        <f>9.5691 * CHOOSE(CONTROL!$C$32, $C$9, 100%, $E$9)</f>
        <v>9.5691000000000006</v>
      </c>
      <c r="L257" s="11">
        <f>5.755 * CHOOSE(CONTROL!$C$32, $C$9, 100%, $E$9)</f>
        <v>5.7549999999999999</v>
      </c>
      <c r="M257" s="11">
        <f>5.7586 * CHOOSE(CONTROL!$C$32, $C$9, 100%, $E$9)</f>
        <v>5.7586000000000004</v>
      </c>
      <c r="N257" s="11">
        <f>5.755 * CHOOSE(CONTROL!$C$32, $C$9, 100%, $E$9)</f>
        <v>5.7549999999999999</v>
      </c>
      <c r="O257" s="11">
        <f>5.7586 * CHOOSE(CONTROL!$C$32, $C$9, 100%, $E$9)</f>
        <v>5.7586000000000004</v>
      </c>
    </row>
    <row r="258" spans="1:15" ht="15" x14ac:dyDescent="0.2">
      <c r="A258" s="13">
        <v>48700</v>
      </c>
      <c r="B258" s="9">
        <f>4.4887 * CHOOSE(CONTROL!$C$32, $C$9, 100%, $E$9)</f>
        <v>4.4886999999999997</v>
      </c>
      <c r="C258" s="9">
        <f>4.4887 * CHOOSE(CONTROL!$C$32, $C$9, 100%, $E$9)</f>
        <v>4.4886999999999997</v>
      </c>
      <c r="D258" s="9">
        <f>4.4902 * CHOOSE(CONTROL!$C$32, $C$9, 100%, $E$9)</f>
        <v>4.4901999999999997</v>
      </c>
      <c r="E258" s="11">
        <f>5.755 * CHOOSE(CONTROL!$C$32, $C$9, 100%, $E$9)</f>
        <v>5.7549999999999999</v>
      </c>
      <c r="F258" s="11">
        <f>5.755 * CHOOSE(CONTROL!$C$32, $C$9, 100%, $E$9)</f>
        <v>5.7549999999999999</v>
      </c>
      <c r="G258" s="11">
        <f>5.7602 * CHOOSE(CONTROL!$C$32, $C$9, 100%, $E$9)</f>
        <v>5.7602000000000002</v>
      </c>
      <c r="H258" s="11">
        <f>9.5854 * CHOOSE(CONTROL!$C$32, $C$9, 100%, $E$9)</f>
        <v>9.5853999999999999</v>
      </c>
      <c r="I258" s="11">
        <f>9.5907 * CHOOSE(CONTROL!$C$32, $C$9, 100%, $E$9)</f>
        <v>9.5907</v>
      </c>
      <c r="J258" s="11">
        <f>9.5854 * CHOOSE(CONTROL!$C$32, $C$9, 100%, $E$9)</f>
        <v>9.5853999999999999</v>
      </c>
      <c r="K258" s="11">
        <f>9.5907 * CHOOSE(CONTROL!$C$32, $C$9, 100%, $E$9)</f>
        <v>9.5907</v>
      </c>
      <c r="L258" s="11">
        <f>5.755 * CHOOSE(CONTROL!$C$32, $C$9, 100%, $E$9)</f>
        <v>5.7549999999999999</v>
      </c>
      <c r="M258" s="11">
        <f>5.7602 * CHOOSE(CONTROL!$C$32, $C$9, 100%, $E$9)</f>
        <v>5.7602000000000002</v>
      </c>
      <c r="N258" s="11">
        <f>5.755 * CHOOSE(CONTROL!$C$32, $C$9, 100%, $E$9)</f>
        <v>5.7549999999999999</v>
      </c>
      <c r="O258" s="11">
        <f>5.7602 * CHOOSE(CONTROL!$C$32, $C$9, 100%, $E$9)</f>
        <v>5.7602000000000002</v>
      </c>
    </row>
    <row r="259" spans="1:15" ht="15" x14ac:dyDescent="0.2">
      <c r="A259" s="13">
        <v>48731</v>
      </c>
      <c r="B259" s="9">
        <f>4.4947 * CHOOSE(CONTROL!$C$32, $C$9, 100%, $E$9)</f>
        <v>4.4946999999999999</v>
      </c>
      <c r="C259" s="9">
        <f>4.4947 * CHOOSE(CONTROL!$C$32, $C$9, 100%, $E$9)</f>
        <v>4.4946999999999999</v>
      </c>
      <c r="D259" s="9">
        <f>4.4963 * CHOOSE(CONTROL!$C$32, $C$9, 100%, $E$9)</f>
        <v>4.4962999999999997</v>
      </c>
      <c r="E259" s="11">
        <f>5.759 * CHOOSE(CONTROL!$C$32, $C$9, 100%, $E$9)</f>
        <v>5.7590000000000003</v>
      </c>
      <c r="F259" s="11">
        <f>5.759 * CHOOSE(CONTROL!$C$32, $C$9, 100%, $E$9)</f>
        <v>5.7590000000000003</v>
      </c>
      <c r="G259" s="11">
        <f>5.7642 * CHOOSE(CONTROL!$C$32, $C$9, 100%, $E$9)</f>
        <v>5.7641999999999998</v>
      </c>
      <c r="H259" s="11">
        <f>9.6054 * CHOOSE(CONTROL!$C$32, $C$9, 100%, $E$9)</f>
        <v>9.6053999999999995</v>
      </c>
      <c r="I259" s="11">
        <f>9.6107 * CHOOSE(CONTROL!$C$32, $C$9, 100%, $E$9)</f>
        <v>9.6106999999999996</v>
      </c>
      <c r="J259" s="11">
        <f>9.6054 * CHOOSE(CONTROL!$C$32, $C$9, 100%, $E$9)</f>
        <v>9.6053999999999995</v>
      </c>
      <c r="K259" s="11">
        <f>9.6107 * CHOOSE(CONTROL!$C$32, $C$9, 100%, $E$9)</f>
        <v>9.6106999999999996</v>
      </c>
      <c r="L259" s="11">
        <f>5.759 * CHOOSE(CONTROL!$C$32, $C$9, 100%, $E$9)</f>
        <v>5.7590000000000003</v>
      </c>
      <c r="M259" s="11">
        <f>5.7642 * CHOOSE(CONTROL!$C$32, $C$9, 100%, $E$9)</f>
        <v>5.7641999999999998</v>
      </c>
      <c r="N259" s="11">
        <f>5.759 * CHOOSE(CONTROL!$C$32, $C$9, 100%, $E$9)</f>
        <v>5.7590000000000003</v>
      </c>
      <c r="O259" s="11">
        <f>5.7642 * CHOOSE(CONTROL!$C$32, $C$9, 100%, $E$9)</f>
        <v>5.7641999999999998</v>
      </c>
    </row>
    <row r="260" spans="1:15" ht="15" x14ac:dyDescent="0.2">
      <c r="A260" s="13">
        <v>48761</v>
      </c>
      <c r="B260" s="9">
        <f>4.5602 * CHOOSE(CONTROL!$C$32, $C$9, 100%, $E$9)</f>
        <v>4.5602</v>
      </c>
      <c r="C260" s="9">
        <f>4.5602 * CHOOSE(CONTROL!$C$32, $C$9, 100%, $E$9)</f>
        <v>4.5602</v>
      </c>
      <c r="D260" s="9">
        <f>4.5618 * CHOOSE(CONTROL!$C$32, $C$9, 100%, $E$9)</f>
        <v>4.5617999999999999</v>
      </c>
      <c r="E260" s="11">
        <f>5.8589 * CHOOSE(CONTROL!$C$32, $C$9, 100%, $E$9)</f>
        <v>5.8589000000000002</v>
      </c>
      <c r="F260" s="11">
        <f>5.8589 * CHOOSE(CONTROL!$C$32, $C$9, 100%, $E$9)</f>
        <v>5.8589000000000002</v>
      </c>
      <c r="G260" s="11">
        <f>5.8642 * CHOOSE(CONTROL!$C$32, $C$9, 100%, $E$9)</f>
        <v>5.8642000000000003</v>
      </c>
      <c r="H260" s="11">
        <f>9.6254 * CHOOSE(CONTROL!$C$32, $C$9, 100%, $E$9)</f>
        <v>9.6254000000000008</v>
      </c>
      <c r="I260" s="11">
        <f>9.6307 * CHOOSE(CONTROL!$C$32, $C$9, 100%, $E$9)</f>
        <v>9.6306999999999992</v>
      </c>
      <c r="J260" s="11">
        <f>9.6254 * CHOOSE(CONTROL!$C$32, $C$9, 100%, $E$9)</f>
        <v>9.6254000000000008</v>
      </c>
      <c r="K260" s="11">
        <f>9.6307 * CHOOSE(CONTROL!$C$32, $C$9, 100%, $E$9)</f>
        <v>9.6306999999999992</v>
      </c>
      <c r="L260" s="11">
        <f>5.8589 * CHOOSE(CONTROL!$C$32, $C$9, 100%, $E$9)</f>
        <v>5.8589000000000002</v>
      </c>
      <c r="M260" s="11">
        <f>5.8642 * CHOOSE(CONTROL!$C$32, $C$9, 100%, $E$9)</f>
        <v>5.8642000000000003</v>
      </c>
      <c r="N260" s="11">
        <f>5.8589 * CHOOSE(CONTROL!$C$32, $C$9, 100%, $E$9)</f>
        <v>5.8589000000000002</v>
      </c>
      <c r="O260" s="11">
        <f>5.8642 * CHOOSE(CONTROL!$C$32, $C$9, 100%, $E$9)</f>
        <v>5.8642000000000003</v>
      </c>
    </row>
    <row r="261" spans="1:15" ht="15" x14ac:dyDescent="0.2">
      <c r="A261" s="13">
        <v>48792</v>
      </c>
      <c r="B261" s="9">
        <f>4.5669 * CHOOSE(CONTROL!$C$32, $C$9, 100%, $E$9)</f>
        <v>4.5669000000000004</v>
      </c>
      <c r="C261" s="9">
        <f>4.5669 * CHOOSE(CONTROL!$C$32, $C$9, 100%, $E$9)</f>
        <v>4.5669000000000004</v>
      </c>
      <c r="D261" s="9">
        <f>4.5685 * CHOOSE(CONTROL!$C$32, $C$9, 100%, $E$9)</f>
        <v>4.5685000000000002</v>
      </c>
      <c r="E261" s="11">
        <f>5.8633 * CHOOSE(CONTROL!$C$32, $C$9, 100%, $E$9)</f>
        <v>5.8632999999999997</v>
      </c>
      <c r="F261" s="11">
        <f>5.8633 * CHOOSE(CONTROL!$C$32, $C$9, 100%, $E$9)</f>
        <v>5.8632999999999997</v>
      </c>
      <c r="G261" s="11">
        <f>5.8686 * CHOOSE(CONTROL!$C$32, $C$9, 100%, $E$9)</f>
        <v>5.8685999999999998</v>
      </c>
      <c r="H261" s="11">
        <f>9.6455 * CHOOSE(CONTROL!$C$32, $C$9, 100%, $E$9)</f>
        <v>9.6455000000000002</v>
      </c>
      <c r="I261" s="11">
        <f>9.6508 * CHOOSE(CONTROL!$C$32, $C$9, 100%, $E$9)</f>
        <v>9.6508000000000003</v>
      </c>
      <c r="J261" s="11">
        <f>9.6455 * CHOOSE(CONTROL!$C$32, $C$9, 100%, $E$9)</f>
        <v>9.6455000000000002</v>
      </c>
      <c r="K261" s="11">
        <f>9.6508 * CHOOSE(CONTROL!$C$32, $C$9, 100%, $E$9)</f>
        <v>9.6508000000000003</v>
      </c>
      <c r="L261" s="11">
        <f>5.8633 * CHOOSE(CONTROL!$C$32, $C$9, 100%, $E$9)</f>
        <v>5.8632999999999997</v>
      </c>
      <c r="M261" s="11">
        <f>5.8686 * CHOOSE(CONTROL!$C$32, $C$9, 100%, $E$9)</f>
        <v>5.8685999999999998</v>
      </c>
      <c r="N261" s="11">
        <f>5.8633 * CHOOSE(CONTROL!$C$32, $C$9, 100%, $E$9)</f>
        <v>5.8632999999999997</v>
      </c>
      <c r="O261" s="11">
        <f>5.8686 * CHOOSE(CONTROL!$C$32, $C$9, 100%, $E$9)</f>
        <v>5.8685999999999998</v>
      </c>
    </row>
    <row r="262" spans="1:15" ht="15" x14ac:dyDescent="0.2">
      <c r="A262" s="13">
        <v>48823</v>
      </c>
      <c r="B262" s="9">
        <f>4.5638 * CHOOSE(CONTROL!$C$32, $C$9, 100%, $E$9)</f>
        <v>4.5637999999999996</v>
      </c>
      <c r="C262" s="9">
        <f>4.5638 * CHOOSE(CONTROL!$C$32, $C$9, 100%, $E$9)</f>
        <v>4.5637999999999996</v>
      </c>
      <c r="D262" s="9">
        <f>4.5654 * CHOOSE(CONTROL!$C$32, $C$9, 100%, $E$9)</f>
        <v>4.5654000000000003</v>
      </c>
      <c r="E262" s="11">
        <f>5.8613 * CHOOSE(CONTROL!$C$32, $C$9, 100%, $E$9)</f>
        <v>5.8613</v>
      </c>
      <c r="F262" s="11">
        <f>5.8613 * CHOOSE(CONTROL!$C$32, $C$9, 100%, $E$9)</f>
        <v>5.8613</v>
      </c>
      <c r="G262" s="11">
        <f>5.8666 * CHOOSE(CONTROL!$C$32, $C$9, 100%, $E$9)</f>
        <v>5.8666</v>
      </c>
      <c r="H262" s="11">
        <f>9.6656 * CHOOSE(CONTROL!$C$32, $C$9, 100%, $E$9)</f>
        <v>9.6655999999999995</v>
      </c>
      <c r="I262" s="11">
        <f>9.6709 * CHOOSE(CONTROL!$C$32, $C$9, 100%, $E$9)</f>
        <v>9.6708999999999996</v>
      </c>
      <c r="J262" s="11">
        <f>9.6656 * CHOOSE(CONTROL!$C$32, $C$9, 100%, $E$9)</f>
        <v>9.6655999999999995</v>
      </c>
      <c r="K262" s="11">
        <f>9.6709 * CHOOSE(CONTROL!$C$32, $C$9, 100%, $E$9)</f>
        <v>9.6708999999999996</v>
      </c>
      <c r="L262" s="11">
        <f>5.8613 * CHOOSE(CONTROL!$C$32, $C$9, 100%, $E$9)</f>
        <v>5.8613</v>
      </c>
      <c r="M262" s="11">
        <f>5.8666 * CHOOSE(CONTROL!$C$32, $C$9, 100%, $E$9)</f>
        <v>5.8666</v>
      </c>
      <c r="N262" s="11">
        <f>5.8613 * CHOOSE(CONTROL!$C$32, $C$9, 100%, $E$9)</f>
        <v>5.8613</v>
      </c>
      <c r="O262" s="11">
        <f>5.8666 * CHOOSE(CONTROL!$C$32, $C$9, 100%, $E$9)</f>
        <v>5.8666</v>
      </c>
    </row>
    <row r="263" spans="1:15" ht="15" x14ac:dyDescent="0.2">
      <c r="A263" s="13">
        <v>48853</v>
      </c>
      <c r="B263" s="9">
        <f>4.561 * CHOOSE(CONTROL!$C$32, $C$9, 100%, $E$9)</f>
        <v>4.5609999999999999</v>
      </c>
      <c r="C263" s="9">
        <f>4.561 * CHOOSE(CONTROL!$C$32, $C$9, 100%, $E$9)</f>
        <v>4.5609999999999999</v>
      </c>
      <c r="D263" s="9">
        <f>4.5621 * CHOOSE(CONTROL!$C$32, $C$9, 100%, $E$9)</f>
        <v>4.5621</v>
      </c>
      <c r="E263" s="11">
        <f>5.8571 * CHOOSE(CONTROL!$C$32, $C$9, 100%, $E$9)</f>
        <v>5.8571</v>
      </c>
      <c r="F263" s="11">
        <f>5.8571 * CHOOSE(CONTROL!$C$32, $C$9, 100%, $E$9)</f>
        <v>5.8571</v>
      </c>
      <c r="G263" s="11">
        <f>5.8607 * CHOOSE(CONTROL!$C$32, $C$9, 100%, $E$9)</f>
        <v>5.8606999999999996</v>
      </c>
      <c r="H263" s="11">
        <f>9.6857 * CHOOSE(CONTROL!$C$32, $C$9, 100%, $E$9)</f>
        <v>9.6857000000000006</v>
      </c>
      <c r="I263" s="11">
        <f>9.6893 * CHOOSE(CONTROL!$C$32, $C$9, 100%, $E$9)</f>
        <v>9.6892999999999994</v>
      </c>
      <c r="J263" s="11">
        <f>9.6857 * CHOOSE(CONTROL!$C$32, $C$9, 100%, $E$9)</f>
        <v>9.6857000000000006</v>
      </c>
      <c r="K263" s="11">
        <f>9.6893 * CHOOSE(CONTROL!$C$32, $C$9, 100%, $E$9)</f>
        <v>9.6892999999999994</v>
      </c>
      <c r="L263" s="11">
        <f>5.8571 * CHOOSE(CONTROL!$C$32, $C$9, 100%, $E$9)</f>
        <v>5.8571</v>
      </c>
      <c r="M263" s="11">
        <f>5.8607 * CHOOSE(CONTROL!$C$32, $C$9, 100%, $E$9)</f>
        <v>5.8606999999999996</v>
      </c>
      <c r="N263" s="11">
        <f>5.8571 * CHOOSE(CONTROL!$C$32, $C$9, 100%, $E$9)</f>
        <v>5.8571</v>
      </c>
      <c r="O263" s="11">
        <f>5.8607 * CHOOSE(CONTROL!$C$32, $C$9, 100%, $E$9)</f>
        <v>5.8606999999999996</v>
      </c>
    </row>
    <row r="264" spans="1:15" ht="15" x14ac:dyDescent="0.2">
      <c r="A264" s="13">
        <v>48884</v>
      </c>
      <c r="B264" s="9">
        <f>4.564 * CHOOSE(CONTROL!$C$32, $C$9, 100%, $E$9)</f>
        <v>4.5640000000000001</v>
      </c>
      <c r="C264" s="9">
        <f>4.564 * CHOOSE(CONTROL!$C$32, $C$9, 100%, $E$9)</f>
        <v>4.5640000000000001</v>
      </c>
      <c r="D264" s="9">
        <f>4.5651 * CHOOSE(CONTROL!$C$32, $C$9, 100%, $E$9)</f>
        <v>4.5651000000000002</v>
      </c>
      <c r="E264" s="11">
        <f>5.8591 * CHOOSE(CONTROL!$C$32, $C$9, 100%, $E$9)</f>
        <v>5.8590999999999998</v>
      </c>
      <c r="F264" s="11">
        <f>5.8591 * CHOOSE(CONTROL!$C$32, $C$9, 100%, $E$9)</f>
        <v>5.8590999999999998</v>
      </c>
      <c r="G264" s="11">
        <f>5.8627 * CHOOSE(CONTROL!$C$32, $C$9, 100%, $E$9)</f>
        <v>5.8627000000000002</v>
      </c>
      <c r="H264" s="11">
        <f>9.7059 * CHOOSE(CONTROL!$C$32, $C$9, 100%, $E$9)</f>
        <v>9.7058999999999997</v>
      </c>
      <c r="I264" s="11">
        <f>9.7095 * CHOOSE(CONTROL!$C$32, $C$9, 100%, $E$9)</f>
        <v>9.7095000000000002</v>
      </c>
      <c r="J264" s="11">
        <f>9.7059 * CHOOSE(CONTROL!$C$32, $C$9, 100%, $E$9)</f>
        <v>9.7058999999999997</v>
      </c>
      <c r="K264" s="11">
        <f>9.7095 * CHOOSE(CONTROL!$C$32, $C$9, 100%, $E$9)</f>
        <v>9.7095000000000002</v>
      </c>
      <c r="L264" s="11">
        <f>5.8591 * CHOOSE(CONTROL!$C$32, $C$9, 100%, $E$9)</f>
        <v>5.8590999999999998</v>
      </c>
      <c r="M264" s="11">
        <f>5.8627 * CHOOSE(CONTROL!$C$32, $C$9, 100%, $E$9)</f>
        <v>5.8627000000000002</v>
      </c>
      <c r="N264" s="11">
        <f>5.8591 * CHOOSE(CONTROL!$C$32, $C$9, 100%, $E$9)</f>
        <v>5.8590999999999998</v>
      </c>
      <c r="O264" s="11">
        <f>5.8627 * CHOOSE(CONTROL!$C$32, $C$9, 100%, $E$9)</f>
        <v>5.8627000000000002</v>
      </c>
    </row>
    <row r="265" spans="1:15" ht="15" x14ac:dyDescent="0.2">
      <c r="A265" s="13">
        <v>48914</v>
      </c>
      <c r="B265" s="9">
        <f>4.564 * CHOOSE(CONTROL!$C$32, $C$9, 100%, $E$9)</f>
        <v>4.5640000000000001</v>
      </c>
      <c r="C265" s="9">
        <f>4.564 * CHOOSE(CONTROL!$C$32, $C$9, 100%, $E$9)</f>
        <v>4.5640000000000001</v>
      </c>
      <c r="D265" s="9">
        <f>4.5651 * CHOOSE(CONTROL!$C$32, $C$9, 100%, $E$9)</f>
        <v>4.5651000000000002</v>
      </c>
      <c r="E265" s="11">
        <f>5.8591 * CHOOSE(CONTROL!$C$32, $C$9, 100%, $E$9)</f>
        <v>5.8590999999999998</v>
      </c>
      <c r="F265" s="11">
        <f>5.8591 * CHOOSE(CONTROL!$C$32, $C$9, 100%, $E$9)</f>
        <v>5.8590999999999998</v>
      </c>
      <c r="G265" s="11">
        <f>5.8627 * CHOOSE(CONTROL!$C$32, $C$9, 100%, $E$9)</f>
        <v>5.8627000000000002</v>
      </c>
      <c r="H265" s="11">
        <f>9.7261 * CHOOSE(CONTROL!$C$32, $C$9, 100%, $E$9)</f>
        <v>9.7261000000000006</v>
      </c>
      <c r="I265" s="11">
        <f>9.7297 * CHOOSE(CONTROL!$C$32, $C$9, 100%, $E$9)</f>
        <v>9.7296999999999993</v>
      </c>
      <c r="J265" s="11">
        <f>9.7261 * CHOOSE(CONTROL!$C$32, $C$9, 100%, $E$9)</f>
        <v>9.7261000000000006</v>
      </c>
      <c r="K265" s="11">
        <f>9.7297 * CHOOSE(CONTROL!$C$32, $C$9, 100%, $E$9)</f>
        <v>9.7296999999999993</v>
      </c>
      <c r="L265" s="11">
        <f>5.8591 * CHOOSE(CONTROL!$C$32, $C$9, 100%, $E$9)</f>
        <v>5.8590999999999998</v>
      </c>
      <c r="M265" s="11">
        <f>5.8627 * CHOOSE(CONTROL!$C$32, $C$9, 100%, $E$9)</f>
        <v>5.8627000000000002</v>
      </c>
      <c r="N265" s="11">
        <f>5.8591 * CHOOSE(CONTROL!$C$32, $C$9, 100%, $E$9)</f>
        <v>5.8590999999999998</v>
      </c>
      <c r="O265" s="11">
        <f>5.8627 * CHOOSE(CONTROL!$C$32, $C$9, 100%, $E$9)</f>
        <v>5.8627000000000002</v>
      </c>
    </row>
    <row r="266" spans="1:15" ht="15" x14ac:dyDescent="0.2">
      <c r="A266" s="13">
        <v>48945</v>
      </c>
      <c r="B266" s="9">
        <f>4.6027 * CHOOSE(CONTROL!$C$32, $C$9, 100%, $E$9)</f>
        <v>4.6026999999999996</v>
      </c>
      <c r="C266" s="9">
        <f>4.6027 * CHOOSE(CONTROL!$C$32, $C$9, 100%, $E$9)</f>
        <v>4.6026999999999996</v>
      </c>
      <c r="D266" s="9">
        <f>4.6037 * CHOOSE(CONTROL!$C$32, $C$9, 100%, $E$9)</f>
        <v>4.6036999999999999</v>
      </c>
      <c r="E266" s="11">
        <f>5.9092 * CHOOSE(CONTROL!$C$32, $C$9, 100%, $E$9)</f>
        <v>5.9092000000000002</v>
      </c>
      <c r="F266" s="11">
        <f>5.9092 * CHOOSE(CONTROL!$C$32, $C$9, 100%, $E$9)</f>
        <v>5.9092000000000002</v>
      </c>
      <c r="G266" s="11">
        <f>5.9129 * CHOOSE(CONTROL!$C$32, $C$9, 100%, $E$9)</f>
        <v>5.9128999999999996</v>
      </c>
      <c r="H266" s="11">
        <f>9.7464 * CHOOSE(CONTROL!$C$32, $C$9, 100%, $E$9)</f>
        <v>9.7463999999999995</v>
      </c>
      <c r="I266" s="11">
        <f>9.75 * CHOOSE(CONTROL!$C$32, $C$9, 100%, $E$9)</f>
        <v>9.75</v>
      </c>
      <c r="J266" s="11">
        <f>9.7464 * CHOOSE(CONTROL!$C$32, $C$9, 100%, $E$9)</f>
        <v>9.7463999999999995</v>
      </c>
      <c r="K266" s="11">
        <f>9.75 * CHOOSE(CONTROL!$C$32, $C$9, 100%, $E$9)</f>
        <v>9.75</v>
      </c>
      <c r="L266" s="11">
        <f>5.9092 * CHOOSE(CONTROL!$C$32, $C$9, 100%, $E$9)</f>
        <v>5.9092000000000002</v>
      </c>
      <c r="M266" s="11">
        <f>5.9129 * CHOOSE(CONTROL!$C$32, $C$9, 100%, $E$9)</f>
        <v>5.9128999999999996</v>
      </c>
      <c r="N266" s="11">
        <f>5.9092 * CHOOSE(CONTROL!$C$32, $C$9, 100%, $E$9)</f>
        <v>5.9092000000000002</v>
      </c>
      <c r="O266" s="11">
        <f>5.9129 * CHOOSE(CONTROL!$C$32, $C$9, 100%, $E$9)</f>
        <v>5.9128999999999996</v>
      </c>
    </row>
    <row r="267" spans="1:15" ht="15" x14ac:dyDescent="0.2">
      <c r="A267" s="13">
        <v>48976</v>
      </c>
      <c r="B267" s="9">
        <f>4.5996 * CHOOSE(CONTROL!$C$32, $C$9, 100%, $E$9)</f>
        <v>4.5995999999999997</v>
      </c>
      <c r="C267" s="9">
        <f>4.5996 * CHOOSE(CONTROL!$C$32, $C$9, 100%, $E$9)</f>
        <v>4.5995999999999997</v>
      </c>
      <c r="D267" s="9">
        <f>4.6007 * CHOOSE(CONTROL!$C$32, $C$9, 100%, $E$9)</f>
        <v>4.6006999999999998</v>
      </c>
      <c r="E267" s="11">
        <f>5.9072 * CHOOSE(CONTROL!$C$32, $C$9, 100%, $E$9)</f>
        <v>5.9071999999999996</v>
      </c>
      <c r="F267" s="11">
        <f>5.9072 * CHOOSE(CONTROL!$C$32, $C$9, 100%, $E$9)</f>
        <v>5.9071999999999996</v>
      </c>
      <c r="G267" s="11">
        <f>5.9109 * CHOOSE(CONTROL!$C$32, $C$9, 100%, $E$9)</f>
        <v>5.9108999999999998</v>
      </c>
      <c r="H267" s="11">
        <f>9.7667 * CHOOSE(CONTROL!$C$32, $C$9, 100%, $E$9)</f>
        <v>9.7667000000000002</v>
      </c>
      <c r="I267" s="11">
        <f>9.7703 * CHOOSE(CONTROL!$C$32, $C$9, 100%, $E$9)</f>
        <v>9.7703000000000007</v>
      </c>
      <c r="J267" s="11">
        <f>9.7667 * CHOOSE(CONTROL!$C$32, $C$9, 100%, $E$9)</f>
        <v>9.7667000000000002</v>
      </c>
      <c r="K267" s="11">
        <f>9.7703 * CHOOSE(CONTROL!$C$32, $C$9, 100%, $E$9)</f>
        <v>9.7703000000000007</v>
      </c>
      <c r="L267" s="11">
        <f>5.9072 * CHOOSE(CONTROL!$C$32, $C$9, 100%, $E$9)</f>
        <v>5.9071999999999996</v>
      </c>
      <c r="M267" s="11">
        <f>5.9109 * CHOOSE(CONTROL!$C$32, $C$9, 100%, $E$9)</f>
        <v>5.9108999999999998</v>
      </c>
      <c r="N267" s="11">
        <f>5.9072 * CHOOSE(CONTROL!$C$32, $C$9, 100%, $E$9)</f>
        <v>5.9071999999999996</v>
      </c>
      <c r="O267" s="11">
        <f>5.9109 * CHOOSE(CONTROL!$C$32, $C$9, 100%, $E$9)</f>
        <v>5.9108999999999998</v>
      </c>
    </row>
    <row r="268" spans="1:15" ht="15" x14ac:dyDescent="0.2">
      <c r="A268" s="13">
        <v>49004</v>
      </c>
      <c r="B268" s="9">
        <f>4.5966 * CHOOSE(CONTROL!$C$32, $C$9, 100%, $E$9)</f>
        <v>4.5965999999999996</v>
      </c>
      <c r="C268" s="9">
        <f>4.5966 * CHOOSE(CONTROL!$C$32, $C$9, 100%, $E$9)</f>
        <v>4.5965999999999996</v>
      </c>
      <c r="D268" s="9">
        <f>4.5977 * CHOOSE(CONTROL!$C$32, $C$9, 100%, $E$9)</f>
        <v>4.5976999999999997</v>
      </c>
      <c r="E268" s="11">
        <f>5.9052 * CHOOSE(CONTROL!$C$32, $C$9, 100%, $E$9)</f>
        <v>5.9051999999999998</v>
      </c>
      <c r="F268" s="11">
        <f>5.9052 * CHOOSE(CONTROL!$C$32, $C$9, 100%, $E$9)</f>
        <v>5.9051999999999998</v>
      </c>
      <c r="G268" s="11">
        <f>5.9089 * CHOOSE(CONTROL!$C$32, $C$9, 100%, $E$9)</f>
        <v>5.9089</v>
      </c>
      <c r="H268" s="11">
        <f>9.787 * CHOOSE(CONTROL!$C$32, $C$9, 100%, $E$9)</f>
        <v>9.7870000000000008</v>
      </c>
      <c r="I268" s="11">
        <f>9.7906 * CHOOSE(CONTROL!$C$32, $C$9, 100%, $E$9)</f>
        <v>9.7905999999999995</v>
      </c>
      <c r="J268" s="11">
        <f>9.787 * CHOOSE(CONTROL!$C$32, $C$9, 100%, $E$9)</f>
        <v>9.7870000000000008</v>
      </c>
      <c r="K268" s="11">
        <f>9.7906 * CHOOSE(CONTROL!$C$32, $C$9, 100%, $E$9)</f>
        <v>9.7905999999999995</v>
      </c>
      <c r="L268" s="11">
        <f>5.9052 * CHOOSE(CONTROL!$C$32, $C$9, 100%, $E$9)</f>
        <v>5.9051999999999998</v>
      </c>
      <c r="M268" s="11">
        <f>5.9089 * CHOOSE(CONTROL!$C$32, $C$9, 100%, $E$9)</f>
        <v>5.9089</v>
      </c>
      <c r="N268" s="11">
        <f>5.9052 * CHOOSE(CONTROL!$C$32, $C$9, 100%, $E$9)</f>
        <v>5.9051999999999998</v>
      </c>
      <c r="O268" s="11">
        <f>5.9089 * CHOOSE(CONTROL!$C$32, $C$9, 100%, $E$9)</f>
        <v>5.9089</v>
      </c>
    </row>
    <row r="269" spans="1:15" ht="15" x14ac:dyDescent="0.2">
      <c r="A269" s="13">
        <v>49035</v>
      </c>
      <c r="B269" s="9">
        <f>4.5948 * CHOOSE(CONTROL!$C$32, $C$9, 100%, $E$9)</f>
        <v>4.5948000000000002</v>
      </c>
      <c r="C269" s="9">
        <f>4.5948 * CHOOSE(CONTROL!$C$32, $C$9, 100%, $E$9)</f>
        <v>4.5948000000000002</v>
      </c>
      <c r="D269" s="9">
        <f>4.5959 * CHOOSE(CONTROL!$C$32, $C$9, 100%, $E$9)</f>
        <v>4.5959000000000003</v>
      </c>
      <c r="E269" s="11">
        <f>5.9035 * CHOOSE(CONTROL!$C$32, $C$9, 100%, $E$9)</f>
        <v>5.9035000000000002</v>
      </c>
      <c r="F269" s="11">
        <f>5.9035 * CHOOSE(CONTROL!$C$32, $C$9, 100%, $E$9)</f>
        <v>5.9035000000000002</v>
      </c>
      <c r="G269" s="11">
        <f>5.9071 * CHOOSE(CONTROL!$C$32, $C$9, 100%, $E$9)</f>
        <v>5.9070999999999998</v>
      </c>
      <c r="H269" s="11">
        <f>9.8074 * CHOOSE(CONTROL!$C$32, $C$9, 100%, $E$9)</f>
        <v>9.8073999999999995</v>
      </c>
      <c r="I269" s="11">
        <f>9.811 * CHOOSE(CONTROL!$C$32, $C$9, 100%, $E$9)</f>
        <v>9.8109999999999999</v>
      </c>
      <c r="J269" s="11">
        <f>9.8074 * CHOOSE(CONTROL!$C$32, $C$9, 100%, $E$9)</f>
        <v>9.8073999999999995</v>
      </c>
      <c r="K269" s="11">
        <f>9.811 * CHOOSE(CONTROL!$C$32, $C$9, 100%, $E$9)</f>
        <v>9.8109999999999999</v>
      </c>
      <c r="L269" s="11">
        <f>5.9035 * CHOOSE(CONTROL!$C$32, $C$9, 100%, $E$9)</f>
        <v>5.9035000000000002</v>
      </c>
      <c r="M269" s="11">
        <f>5.9071 * CHOOSE(CONTROL!$C$32, $C$9, 100%, $E$9)</f>
        <v>5.9070999999999998</v>
      </c>
      <c r="N269" s="11">
        <f>5.9035 * CHOOSE(CONTROL!$C$32, $C$9, 100%, $E$9)</f>
        <v>5.9035000000000002</v>
      </c>
      <c r="O269" s="11">
        <f>5.9071 * CHOOSE(CONTROL!$C$32, $C$9, 100%, $E$9)</f>
        <v>5.9070999999999998</v>
      </c>
    </row>
    <row r="270" spans="1:15" ht="15" x14ac:dyDescent="0.2">
      <c r="A270" s="13">
        <v>49065</v>
      </c>
      <c r="B270" s="9">
        <f>4.5948 * CHOOSE(CONTROL!$C$32, $C$9, 100%, $E$9)</f>
        <v>4.5948000000000002</v>
      </c>
      <c r="C270" s="9">
        <f>4.5948 * CHOOSE(CONTROL!$C$32, $C$9, 100%, $E$9)</f>
        <v>4.5948000000000002</v>
      </c>
      <c r="D270" s="9">
        <f>4.5964 * CHOOSE(CONTROL!$C$32, $C$9, 100%, $E$9)</f>
        <v>4.5964</v>
      </c>
      <c r="E270" s="11">
        <f>5.9035 * CHOOSE(CONTROL!$C$32, $C$9, 100%, $E$9)</f>
        <v>5.9035000000000002</v>
      </c>
      <c r="F270" s="11">
        <f>5.9035 * CHOOSE(CONTROL!$C$32, $C$9, 100%, $E$9)</f>
        <v>5.9035000000000002</v>
      </c>
      <c r="G270" s="11">
        <f>5.9088 * CHOOSE(CONTROL!$C$32, $C$9, 100%, $E$9)</f>
        <v>5.9088000000000003</v>
      </c>
      <c r="H270" s="11">
        <f>9.8278 * CHOOSE(CONTROL!$C$32, $C$9, 100%, $E$9)</f>
        <v>9.8277999999999999</v>
      </c>
      <c r="I270" s="11">
        <f>9.8331 * CHOOSE(CONTROL!$C$32, $C$9, 100%, $E$9)</f>
        <v>9.8331</v>
      </c>
      <c r="J270" s="11">
        <f>9.8278 * CHOOSE(CONTROL!$C$32, $C$9, 100%, $E$9)</f>
        <v>9.8277999999999999</v>
      </c>
      <c r="K270" s="11">
        <f>9.8331 * CHOOSE(CONTROL!$C$32, $C$9, 100%, $E$9)</f>
        <v>9.8331</v>
      </c>
      <c r="L270" s="11">
        <f>5.9035 * CHOOSE(CONTROL!$C$32, $C$9, 100%, $E$9)</f>
        <v>5.9035000000000002</v>
      </c>
      <c r="M270" s="11">
        <f>5.9088 * CHOOSE(CONTROL!$C$32, $C$9, 100%, $E$9)</f>
        <v>5.9088000000000003</v>
      </c>
      <c r="N270" s="11">
        <f>5.9035 * CHOOSE(CONTROL!$C$32, $C$9, 100%, $E$9)</f>
        <v>5.9035000000000002</v>
      </c>
      <c r="O270" s="11">
        <f>5.9088 * CHOOSE(CONTROL!$C$32, $C$9, 100%, $E$9)</f>
        <v>5.9088000000000003</v>
      </c>
    </row>
    <row r="271" spans="1:15" ht="15" x14ac:dyDescent="0.2">
      <c r="A271" s="13">
        <v>49096</v>
      </c>
      <c r="B271" s="9">
        <f>4.6009 * CHOOSE(CONTROL!$C$32, $C$9, 100%, $E$9)</f>
        <v>4.6009000000000002</v>
      </c>
      <c r="C271" s="9">
        <f>4.6009 * CHOOSE(CONTROL!$C$32, $C$9, 100%, $E$9)</f>
        <v>4.6009000000000002</v>
      </c>
      <c r="D271" s="9">
        <f>4.6025 * CHOOSE(CONTROL!$C$32, $C$9, 100%, $E$9)</f>
        <v>4.6025</v>
      </c>
      <c r="E271" s="11">
        <f>5.9075 * CHOOSE(CONTROL!$C$32, $C$9, 100%, $E$9)</f>
        <v>5.9074999999999998</v>
      </c>
      <c r="F271" s="11">
        <f>5.9075 * CHOOSE(CONTROL!$C$32, $C$9, 100%, $E$9)</f>
        <v>5.9074999999999998</v>
      </c>
      <c r="G271" s="11">
        <f>5.9128 * CHOOSE(CONTROL!$C$32, $C$9, 100%, $E$9)</f>
        <v>5.9127999999999998</v>
      </c>
      <c r="H271" s="11">
        <f>9.8483 * CHOOSE(CONTROL!$C$32, $C$9, 100%, $E$9)</f>
        <v>9.8483000000000001</v>
      </c>
      <c r="I271" s="11">
        <f>9.8536 * CHOOSE(CONTROL!$C$32, $C$9, 100%, $E$9)</f>
        <v>9.8536000000000001</v>
      </c>
      <c r="J271" s="11">
        <f>9.8483 * CHOOSE(CONTROL!$C$32, $C$9, 100%, $E$9)</f>
        <v>9.8483000000000001</v>
      </c>
      <c r="K271" s="11">
        <f>9.8536 * CHOOSE(CONTROL!$C$32, $C$9, 100%, $E$9)</f>
        <v>9.8536000000000001</v>
      </c>
      <c r="L271" s="11">
        <f>5.9075 * CHOOSE(CONTROL!$C$32, $C$9, 100%, $E$9)</f>
        <v>5.9074999999999998</v>
      </c>
      <c r="M271" s="11">
        <f>5.9128 * CHOOSE(CONTROL!$C$32, $C$9, 100%, $E$9)</f>
        <v>5.9127999999999998</v>
      </c>
      <c r="N271" s="11">
        <f>5.9075 * CHOOSE(CONTROL!$C$32, $C$9, 100%, $E$9)</f>
        <v>5.9074999999999998</v>
      </c>
      <c r="O271" s="11">
        <f>5.9128 * CHOOSE(CONTROL!$C$32, $C$9, 100%, $E$9)</f>
        <v>5.9127999999999998</v>
      </c>
    </row>
    <row r="272" spans="1:15" ht="15" x14ac:dyDescent="0.2">
      <c r="A272" s="13">
        <v>49126</v>
      </c>
      <c r="B272" s="9">
        <f>4.6716 * CHOOSE(CONTROL!$C$32, $C$9, 100%, $E$9)</f>
        <v>4.6715999999999998</v>
      </c>
      <c r="C272" s="9">
        <f>4.6716 * CHOOSE(CONTROL!$C$32, $C$9, 100%, $E$9)</f>
        <v>4.6715999999999998</v>
      </c>
      <c r="D272" s="9">
        <f>4.6731 * CHOOSE(CONTROL!$C$32, $C$9, 100%, $E$9)</f>
        <v>4.6730999999999998</v>
      </c>
      <c r="E272" s="11">
        <f>6.0182 * CHOOSE(CONTROL!$C$32, $C$9, 100%, $E$9)</f>
        <v>6.0182000000000002</v>
      </c>
      <c r="F272" s="11">
        <f>6.0182 * CHOOSE(CONTROL!$C$32, $C$9, 100%, $E$9)</f>
        <v>6.0182000000000002</v>
      </c>
      <c r="G272" s="11">
        <f>6.0235 * CHOOSE(CONTROL!$C$32, $C$9, 100%, $E$9)</f>
        <v>6.0235000000000003</v>
      </c>
      <c r="H272" s="11">
        <f>9.8688 * CHOOSE(CONTROL!$C$32, $C$9, 100%, $E$9)</f>
        <v>9.8688000000000002</v>
      </c>
      <c r="I272" s="11">
        <f>9.8741 * CHOOSE(CONTROL!$C$32, $C$9, 100%, $E$9)</f>
        <v>9.8741000000000003</v>
      </c>
      <c r="J272" s="11">
        <f>9.8688 * CHOOSE(CONTROL!$C$32, $C$9, 100%, $E$9)</f>
        <v>9.8688000000000002</v>
      </c>
      <c r="K272" s="11">
        <f>9.8741 * CHOOSE(CONTROL!$C$32, $C$9, 100%, $E$9)</f>
        <v>9.8741000000000003</v>
      </c>
      <c r="L272" s="11">
        <f>6.0182 * CHOOSE(CONTROL!$C$32, $C$9, 100%, $E$9)</f>
        <v>6.0182000000000002</v>
      </c>
      <c r="M272" s="11">
        <f>6.0235 * CHOOSE(CONTROL!$C$32, $C$9, 100%, $E$9)</f>
        <v>6.0235000000000003</v>
      </c>
      <c r="N272" s="11">
        <f>6.0182 * CHOOSE(CONTROL!$C$32, $C$9, 100%, $E$9)</f>
        <v>6.0182000000000002</v>
      </c>
      <c r="O272" s="11">
        <f>6.0235 * CHOOSE(CONTROL!$C$32, $C$9, 100%, $E$9)</f>
        <v>6.0235000000000003</v>
      </c>
    </row>
    <row r="273" spans="1:15" ht="15" x14ac:dyDescent="0.2">
      <c r="A273" s="13">
        <v>49157</v>
      </c>
      <c r="B273" s="9">
        <f>4.6783 * CHOOSE(CONTROL!$C$32, $C$9, 100%, $E$9)</f>
        <v>4.6783000000000001</v>
      </c>
      <c r="C273" s="9">
        <f>4.6783 * CHOOSE(CONTROL!$C$32, $C$9, 100%, $E$9)</f>
        <v>4.6783000000000001</v>
      </c>
      <c r="D273" s="9">
        <f>4.6798 * CHOOSE(CONTROL!$C$32, $C$9, 100%, $E$9)</f>
        <v>4.6798000000000002</v>
      </c>
      <c r="E273" s="11">
        <f>6.0226 * CHOOSE(CONTROL!$C$32, $C$9, 100%, $E$9)</f>
        <v>6.0225999999999997</v>
      </c>
      <c r="F273" s="11">
        <f>6.0226 * CHOOSE(CONTROL!$C$32, $C$9, 100%, $E$9)</f>
        <v>6.0225999999999997</v>
      </c>
      <c r="G273" s="11">
        <f>6.0279 * CHOOSE(CONTROL!$C$32, $C$9, 100%, $E$9)</f>
        <v>6.0278999999999998</v>
      </c>
      <c r="H273" s="11">
        <f>9.8894 * CHOOSE(CONTROL!$C$32, $C$9, 100%, $E$9)</f>
        <v>9.8894000000000002</v>
      </c>
      <c r="I273" s="11">
        <f>9.8947 * CHOOSE(CONTROL!$C$32, $C$9, 100%, $E$9)</f>
        <v>9.8947000000000003</v>
      </c>
      <c r="J273" s="11">
        <f>9.8894 * CHOOSE(CONTROL!$C$32, $C$9, 100%, $E$9)</f>
        <v>9.8894000000000002</v>
      </c>
      <c r="K273" s="11">
        <f>9.8947 * CHOOSE(CONTROL!$C$32, $C$9, 100%, $E$9)</f>
        <v>9.8947000000000003</v>
      </c>
      <c r="L273" s="11">
        <f>6.0226 * CHOOSE(CONTROL!$C$32, $C$9, 100%, $E$9)</f>
        <v>6.0225999999999997</v>
      </c>
      <c r="M273" s="11">
        <f>6.0279 * CHOOSE(CONTROL!$C$32, $C$9, 100%, $E$9)</f>
        <v>6.0278999999999998</v>
      </c>
      <c r="N273" s="11">
        <f>6.0226 * CHOOSE(CONTROL!$C$32, $C$9, 100%, $E$9)</f>
        <v>6.0225999999999997</v>
      </c>
      <c r="O273" s="11">
        <f>6.0279 * CHOOSE(CONTROL!$C$32, $C$9, 100%, $E$9)</f>
        <v>6.0278999999999998</v>
      </c>
    </row>
    <row r="274" spans="1:15" ht="15" x14ac:dyDescent="0.2">
      <c r="A274" s="13">
        <v>49188</v>
      </c>
      <c r="B274" s="9">
        <f>4.6752 * CHOOSE(CONTROL!$C$32, $C$9, 100%, $E$9)</f>
        <v>4.6752000000000002</v>
      </c>
      <c r="C274" s="9">
        <f>4.6752 * CHOOSE(CONTROL!$C$32, $C$9, 100%, $E$9)</f>
        <v>4.6752000000000002</v>
      </c>
      <c r="D274" s="9">
        <f>4.6768 * CHOOSE(CONTROL!$C$32, $C$9, 100%, $E$9)</f>
        <v>4.6768000000000001</v>
      </c>
      <c r="E274" s="11">
        <f>6.0206 * CHOOSE(CONTROL!$C$32, $C$9, 100%, $E$9)</f>
        <v>6.0206</v>
      </c>
      <c r="F274" s="11">
        <f>6.0206 * CHOOSE(CONTROL!$C$32, $C$9, 100%, $E$9)</f>
        <v>6.0206</v>
      </c>
      <c r="G274" s="11">
        <f>6.0259 * CHOOSE(CONTROL!$C$32, $C$9, 100%, $E$9)</f>
        <v>6.0259</v>
      </c>
      <c r="H274" s="11">
        <f>9.91 * CHOOSE(CONTROL!$C$32, $C$9, 100%, $E$9)</f>
        <v>9.91</v>
      </c>
      <c r="I274" s="11">
        <f>9.9153 * CHOOSE(CONTROL!$C$32, $C$9, 100%, $E$9)</f>
        <v>9.9153000000000002</v>
      </c>
      <c r="J274" s="11">
        <f>9.91 * CHOOSE(CONTROL!$C$32, $C$9, 100%, $E$9)</f>
        <v>9.91</v>
      </c>
      <c r="K274" s="11">
        <f>9.9153 * CHOOSE(CONTROL!$C$32, $C$9, 100%, $E$9)</f>
        <v>9.9153000000000002</v>
      </c>
      <c r="L274" s="11">
        <f>6.0206 * CHOOSE(CONTROL!$C$32, $C$9, 100%, $E$9)</f>
        <v>6.0206</v>
      </c>
      <c r="M274" s="11">
        <f>6.0259 * CHOOSE(CONTROL!$C$32, $C$9, 100%, $E$9)</f>
        <v>6.0259</v>
      </c>
      <c r="N274" s="11">
        <f>6.0206 * CHOOSE(CONTROL!$C$32, $C$9, 100%, $E$9)</f>
        <v>6.0206</v>
      </c>
      <c r="O274" s="11">
        <f>6.0259 * CHOOSE(CONTROL!$C$32, $C$9, 100%, $E$9)</f>
        <v>6.0259</v>
      </c>
    </row>
    <row r="275" spans="1:15" ht="15" x14ac:dyDescent="0.2">
      <c r="A275" s="13">
        <v>49218</v>
      </c>
      <c r="B275" s="9">
        <f>4.6728 * CHOOSE(CONTROL!$C$32, $C$9, 100%, $E$9)</f>
        <v>4.6727999999999996</v>
      </c>
      <c r="C275" s="9">
        <f>4.6728 * CHOOSE(CONTROL!$C$32, $C$9, 100%, $E$9)</f>
        <v>4.6727999999999996</v>
      </c>
      <c r="D275" s="9">
        <f>4.6739 * CHOOSE(CONTROL!$C$32, $C$9, 100%, $E$9)</f>
        <v>4.6738999999999997</v>
      </c>
      <c r="E275" s="11">
        <f>6.0166 * CHOOSE(CONTROL!$C$32, $C$9, 100%, $E$9)</f>
        <v>6.0166000000000004</v>
      </c>
      <c r="F275" s="11">
        <f>6.0166 * CHOOSE(CONTROL!$C$32, $C$9, 100%, $E$9)</f>
        <v>6.0166000000000004</v>
      </c>
      <c r="G275" s="11">
        <f>6.0202 * CHOOSE(CONTROL!$C$32, $C$9, 100%, $E$9)</f>
        <v>6.0202</v>
      </c>
      <c r="H275" s="11">
        <f>9.9306 * CHOOSE(CONTROL!$C$32, $C$9, 100%, $E$9)</f>
        <v>9.9306000000000001</v>
      </c>
      <c r="I275" s="11">
        <f>9.9342 * CHOOSE(CONTROL!$C$32, $C$9, 100%, $E$9)</f>
        <v>9.9342000000000006</v>
      </c>
      <c r="J275" s="11">
        <f>9.9306 * CHOOSE(CONTROL!$C$32, $C$9, 100%, $E$9)</f>
        <v>9.9306000000000001</v>
      </c>
      <c r="K275" s="11">
        <f>9.9342 * CHOOSE(CONTROL!$C$32, $C$9, 100%, $E$9)</f>
        <v>9.9342000000000006</v>
      </c>
      <c r="L275" s="11">
        <f>6.0166 * CHOOSE(CONTROL!$C$32, $C$9, 100%, $E$9)</f>
        <v>6.0166000000000004</v>
      </c>
      <c r="M275" s="11">
        <f>6.0202 * CHOOSE(CONTROL!$C$32, $C$9, 100%, $E$9)</f>
        <v>6.0202</v>
      </c>
      <c r="N275" s="11">
        <f>6.0166 * CHOOSE(CONTROL!$C$32, $C$9, 100%, $E$9)</f>
        <v>6.0166000000000004</v>
      </c>
      <c r="O275" s="11">
        <f>6.0202 * CHOOSE(CONTROL!$C$32, $C$9, 100%, $E$9)</f>
        <v>6.0202</v>
      </c>
    </row>
    <row r="276" spans="1:15" ht="15" x14ac:dyDescent="0.2">
      <c r="A276" s="13">
        <v>49249</v>
      </c>
      <c r="B276" s="9">
        <f>4.6758 * CHOOSE(CONTROL!$C$32, $C$9, 100%, $E$9)</f>
        <v>4.6757999999999997</v>
      </c>
      <c r="C276" s="9">
        <f>4.6758 * CHOOSE(CONTROL!$C$32, $C$9, 100%, $E$9)</f>
        <v>4.6757999999999997</v>
      </c>
      <c r="D276" s="9">
        <f>4.6769 * CHOOSE(CONTROL!$C$32, $C$9, 100%, $E$9)</f>
        <v>4.6768999999999998</v>
      </c>
      <c r="E276" s="11">
        <f>6.0186 * CHOOSE(CONTROL!$C$32, $C$9, 100%, $E$9)</f>
        <v>6.0186000000000002</v>
      </c>
      <c r="F276" s="11">
        <f>6.0186 * CHOOSE(CONTROL!$C$32, $C$9, 100%, $E$9)</f>
        <v>6.0186000000000002</v>
      </c>
      <c r="G276" s="11">
        <f>6.0222 * CHOOSE(CONTROL!$C$32, $C$9, 100%, $E$9)</f>
        <v>6.0221999999999998</v>
      </c>
      <c r="H276" s="11">
        <f>9.9513 * CHOOSE(CONTROL!$C$32, $C$9, 100%, $E$9)</f>
        <v>9.9512999999999998</v>
      </c>
      <c r="I276" s="11">
        <f>9.9549 * CHOOSE(CONTROL!$C$32, $C$9, 100%, $E$9)</f>
        <v>9.9549000000000003</v>
      </c>
      <c r="J276" s="11">
        <f>9.9513 * CHOOSE(CONTROL!$C$32, $C$9, 100%, $E$9)</f>
        <v>9.9512999999999998</v>
      </c>
      <c r="K276" s="11">
        <f>9.9549 * CHOOSE(CONTROL!$C$32, $C$9, 100%, $E$9)</f>
        <v>9.9549000000000003</v>
      </c>
      <c r="L276" s="11">
        <f>6.0186 * CHOOSE(CONTROL!$C$32, $C$9, 100%, $E$9)</f>
        <v>6.0186000000000002</v>
      </c>
      <c r="M276" s="11">
        <f>6.0222 * CHOOSE(CONTROL!$C$32, $C$9, 100%, $E$9)</f>
        <v>6.0221999999999998</v>
      </c>
      <c r="N276" s="11">
        <f>6.0186 * CHOOSE(CONTROL!$C$32, $C$9, 100%, $E$9)</f>
        <v>6.0186000000000002</v>
      </c>
      <c r="O276" s="11">
        <f>6.0222 * CHOOSE(CONTROL!$C$32, $C$9, 100%, $E$9)</f>
        <v>6.0221999999999998</v>
      </c>
    </row>
    <row r="277" spans="1:15" ht="15" x14ac:dyDescent="0.2">
      <c r="A277" s="13">
        <v>49279</v>
      </c>
      <c r="B277" s="9">
        <f>4.6758 * CHOOSE(CONTROL!$C$32, $C$9, 100%, $E$9)</f>
        <v>4.6757999999999997</v>
      </c>
      <c r="C277" s="9">
        <f>4.6758 * CHOOSE(CONTROL!$C$32, $C$9, 100%, $E$9)</f>
        <v>4.6757999999999997</v>
      </c>
      <c r="D277" s="9">
        <f>4.6769 * CHOOSE(CONTROL!$C$32, $C$9, 100%, $E$9)</f>
        <v>4.6768999999999998</v>
      </c>
      <c r="E277" s="11">
        <f>6.0186 * CHOOSE(CONTROL!$C$32, $C$9, 100%, $E$9)</f>
        <v>6.0186000000000002</v>
      </c>
      <c r="F277" s="11">
        <f>6.0186 * CHOOSE(CONTROL!$C$32, $C$9, 100%, $E$9)</f>
        <v>6.0186000000000002</v>
      </c>
      <c r="G277" s="11">
        <f>6.0222 * CHOOSE(CONTROL!$C$32, $C$9, 100%, $E$9)</f>
        <v>6.0221999999999998</v>
      </c>
      <c r="H277" s="11">
        <f>9.9721 * CHOOSE(CONTROL!$C$32, $C$9, 100%, $E$9)</f>
        <v>9.9720999999999993</v>
      </c>
      <c r="I277" s="11">
        <f>9.9757 * CHOOSE(CONTROL!$C$32, $C$9, 100%, $E$9)</f>
        <v>9.9756999999999998</v>
      </c>
      <c r="J277" s="11">
        <f>9.9721 * CHOOSE(CONTROL!$C$32, $C$9, 100%, $E$9)</f>
        <v>9.9720999999999993</v>
      </c>
      <c r="K277" s="11">
        <f>9.9757 * CHOOSE(CONTROL!$C$32, $C$9, 100%, $E$9)</f>
        <v>9.9756999999999998</v>
      </c>
      <c r="L277" s="11">
        <f>6.0186 * CHOOSE(CONTROL!$C$32, $C$9, 100%, $E$9)</f>
        <v>6.0186000000000002</v>
      </c>
      <c r="M277" s="11">
        <f>6.0222 * CHOOSE(CONTROL!$C$32, $C$9, 100%, $E$9)</f>
        <v>6.0221999999999998</v>
      </c>
      <c r="N277" s="11">
        <f>6.0186 * CHOOSE(CONTROL!$C$32, $C$9, 100%, $E$9)</f>
        <v>6.0186000000000002</v>
      </c>
      <c r="O277" s="11">
        <f>6.0222 * CHOOSE(CONTROL!$C$32, $C$9, 100%, $E$9)</f>
        <v>6.0221999999999998</v>
      </c>
    </row>
    <row r="278" spans="1:15" ht="15" x14ac:dyDescent="0.2">
      <c r="A278" s="13">
        <v>49310</v>
      </c>
      <c r="B278" s="9">
        <f>4.713 * CHOOSE(CONTROL!$C$32, $C$9, 100%, $E$9)</f>
        <v>4.7130000000000001</v>
      </c>
      <c r="C278" s="9">
        <f>4.713 * CHOOSE(CONTROL!$C$32, $C$9, 100%, $E$9)</f>
        <v>4.7130000000000001</v>
      </c>
      <c r="D278" s="9">
        <f>4.7141 * CHOOSE(CONTROL!$C$32, $C$9, 100%, $E$9)</f>
        <v>4.7141000000000002</v>
      </c>
      <c r="E278" s="11">
        <f>6.0663 * CHOOSE(CONTROL!$C$32, $C$9, 100%, $E$9)</f>
        <v>6.0663</v>
      </c>
      <c r="F278" s="11">
        <f>6.0663 * CHOOSE(CONTROL!$C$32, $C$9, 100%, $E$9)</f>
        <v>6.0663</v>
      </c>
      <c r="G278" s="11">
        <f>6.0699 * CHOOSE(CONTROL!$C$32, $C$9, 100%, $E$9)</f>
        <v>6.0698999999999996</v>
      </c>
      <c r="H278" s="11">
        <f>9.9928 * CHOOSE(CONTROL!$C$32, $C$9, 100%, $E$9)</f>
        <v>9.9928000000000008</v>
      </c>
      <c r="I278" s="11">
        <f>9.9964 * CHOOSE(CONTROL!$C$32, $C$9, 100%, $E$9)</f>
        <v>9.9963999999999995</v>
      </c>
      <c r="J278" s="11">
        <f>9.9928 * CHOOSE(CONTROL!$C$32, $C$9, 100%, $E$9)</f>
        <v>9.9928000000000008</v>
      </c>
      <c r="K278" s="11">
        <f>9.9964 * CHOOSE(CONTROL!$C$32, $C$9, 100%, $E$9)</f>
        <v>9.9963999999999995</v>
      </c>
      <c r="L278" s="11">
        <f>6.0663 * CHOOSE(CONTROL!$C$32, $C$9, 100%, $E$9)</f>
        <v>6.0663</v>
      </c>
      <c r="M278" s="11">
        <f>6.0699 * CHOOSE(CONTROL!$C$32, $C$9, 100%, $E$9)</f>
        <v>6.0698999999999996</v>
      </c>
      <c r="N278" s="11">
        <f>6.0663 * CHOOSE(CONTROL!$C$32, $C$9, 100%, $E$9)</f>
        <v>6.0663</v>
      </c>
      <c r="O278" s="11">
        <f>6.0699 * CHOOSE(CONTROL!$C$32, $C$9, 100%, $E$9)</f>
        <v>6.0698999999999996</v>
      </c>
    </row>
    <row r="279" spans="1:15" ht="15" x14ac:dyDescent="0.2">
      <c r="A279" s="13">
        <v>49341</v>
      </c>
      <c r="B279" s="9">
        <f>4.71 * CHOOSE(CONTROL!$C$32, $C$9, 100%, $E$9)</f>
        <v>4.71</v>
      </c>
      <c r="C279" s="9">
        <f>4.71 * CHOOSE(CONTROL!$C$32, $C$9, 100%, $E$9)</f>
        <v>4.71</v>
      </c>
      <c r="D279" s="9">
        <f>4.711 * CHOOSE(CONTROL!$C$32, $C$9, 100%, $E$9)</f>
        <v>4.7110000000000003</v>
      </c>
      <c r="E279" s="11">
        <f>6.3757 * CHOOSE(CONTROL!$C$32, $C$9, 100%, $E$9)</f>
        <v>6.3757000000000001</v>
      </c>
      <c r="F279" s="11">
        <f>6.3757 * CHOOSE(CONTROL!$C$32, $C$9, 100%, $E$9)</f>
        <v>6.3757000000000001</v>
      </c>
      <c r="G279" s="11">
        <f>6.3793 * CHOOSE(CONTROL!$C$32, $C$9, 100%, $E$9)</f>
        <v>6.3792999999999997</v>
      </c>
      <c r="H279" s="11">
        <f>10.0136 * CHOOSE(CONTROL!$C$32, $C$9, 100%, $E$9)</f>
        <v>10.0136</v>
      </c>
      <c r="I279" s="11">
        <f>10.0173 * CHOOSE(CONTROL!$C$32, $C$9, 100%, $E$9)</f>
        <v>10.017300000000001</v>
      </c>
      <c r="J279" s="11">
        <f>10.0136 * CHOOSE(CONTROL!$C$32, $C$9, 100%, $E$9)</f>
        <v>10.0136</v>
      </c>
      <c r="K279" s="11">
        <f>10.0173 * CHOOSE(CONTROL!$C$32, $C$9, 100%, $E$9)</f>
        <v>10.017300000000001</v>
      </c>
      <c r="L279" s="11">
        <f>6.3757 * CHOOSE(CONTROL!$C$32, $C$9, 100%, $E$9)</f>
        <v>6.3757000000000001</v>
      </c>
      <c r="M279" s="11">
        <f>6.3793 * CHOOSE(CONTROL!$C$32, $C$9, 100%, $E$9)</f>
        <v>6.3792999999999997</v>
      </c>
      <c r="N279" s="11">
        <f>6.3757 * CHOOSE(CONTROL!$C$32, $C$9, 100%, $E$9)</f>
        <v>6.3757000000000001</v>
      </c>
      <c r="O279" s="11">
        <f>6.3793 * CHOOSE(CONTROL!$C$32, $C$9, 100%, $E$9)</f>
        <v>6.3792999999999997</v>
      </c>
    </row>
    <row r="280" spans="1:15" ht="15" x14ac:dyDescent="0.2">
      <c r="A280" s="13">
        <v>49369</v>
      </c>
      <c r="B280" s="9">
        <f>4.7069 * CHOOSE(CONTROL!$C$32, $C$9, 100%, $E$9)</f>
        <v>4.7069000000000001</v>
      </c>
      <c r="C280" s="9">
        <f>4.7069 * CHOOSE(CONTROL!$C$32, $C$9, 100%, $E$9)</f>
        <v>4.7069000000000001</v>
      </c>
      <c r="D280" s="9">
        <f>4.708 * CHOOSE(CONTROL!$C$32, $C$9, 100%, $E$9)</f>
        <v>4.7080000000000002</v>
      </c>
      <c r="E280" s="11">
        <f>6.0623 * CHOOSE(CONTROL!$C$32, $C$9, 100%, $E$9)</f>
        <v>6.0622999999999996</v>
      </c>
      <c r="F280" s="11">
        <f>6.0623 * CHOOSE(CONTROL!$C$32, $C$9, 100%, $E$9)</f>
        <v>6.0622999999999996</v>
      </c>
      <c r="G280" s="11">
        <f>6.0659 * CHOOSE(CONTROL!$C$32, $C$9, 100%, $E$9)</f>
        <v>6.0659000000000001</v>
      </c>
      <c r="H280" s="11">
        <f>10.0345 * CHOOSE(CONTROL!$C$32, $C$9, 100%, $E$9)</f>
        <v>10.0345</v>
      </c>
      <c r="I280" s="11">
        <f>10.0381 * CHOOSE(CONTROL!$C$32, $C$9, 100%, $E$9)</f>
        <v>10.0381</v>
      </c>
      <c r="J280" s="11">
        <f>10.0345 * CHOOSE(CONTROL!$C$32, $C$9, 100%, $E$9)</f>
        <v>10.0345</v>
      </c>
      <c r="K280" s="11">
        <f>10.0381 * CHOOSE(CONTROL!$C$32, $C$9, 100%, $E$9)</f>
        <v>10.0381</v>
      </c>
      <c r="L280" s="11">
        <f>6.0623 * CHOOSE(CONTROL!$C$32, $C$9, 100%, $E$9)</f>
        <v>6.0622999999999996</v>
      </c>
      <c r="M280" s="11">
        <f>6.0659 * CHOOSE(CONTROL!$C$32, $C$9, 100%, $E$9)</f>
        <v>6.0659000000000001</v>
      </c>
      <c r="N280" s="11">
        <f>6.0623 * CHOOSE(CONTROL!$C$32, $C$9, 100%, $E$9)</f>
        <v>6.0622999999999996</v>
      </c>
      <c r="O280" s="11">
        <f>6.0659 * CHOOSE(CONTROL!$C$32, $C$9, 100%, $E$9)</f>
        <v>6.0659000000000001</v>
      </c>
    </row>
    <row r="281" spans="1:15" ht="15" x14ac:dyDescent="0.2">
      <c r="A281" s="13">
        <v>49400</v>
      </c>
      <c r="B281" s="9">
        <f>4.7052 * CHOOSE(CONTROL!$C$32, $C$9, 100%, $E$9)</f>
        <v>4.7051999999999996</v>
      </c>
      <c r="C281" s="9">
        <f>4.7052 * CHOOSE(CONTROL!$C$32, $C$9, 100%, $E$9)</f>
        <v>4.7051999999999996</v>
      </c>
      <c r="D281" s="9">
        <f>4.7063 * CHOOSE(CONTROL!$C$32, $C$9, 100%, $E$9)</f>
        <v>4.7062999999999997</v>
      </c>
      <c r="E281" s="11">
        <f>6.0605 * CHOOSE(CONTROL!$C$32, $C$9, 100%, $E$9)</f>
        <v>6.0605000000000002</v>
      </c>
      <c r="F281" s="11">
        <f>6.0605 * CHOOSE(CONTROL!$C$32, $C$9, 100%, $E$9)</f>
        <v>6.0605000000000002</v>
      </c>
      <c r="G281" s="11">
        <f>6.0642 * CHOOSE(CONTROL!$C$32, $C$9, 100%, $E$9)</f>
        <v>6.0641999999999996</v>
      </c>
      <c r="H281" s="11">
        <f>10.0554 * CHOOSE(CONTROL!$C$32, $C$9, 100%, $E$9)</f>
        <v>10.055400000000001</v>
      </c>
      <c r="I281" s="11">
        <f>10.059 * CHOOSE(CONTROL!$C$32, $C$9, 100%, $E$9)</f>
        <v>10.058999999999999</v>
      </c>
      <c r="J281" s="11">
        <f>10.0554 * CHOOSE(CONTROL!$C$32, $C$9, 100%, $E$9)</f>
        <v>10.055400000000001</v>
      </c>
      <c r="K281" s="11">
        <f>10.059 * CHOOSE(CONTROL!$C$32, $C$9, 100%, $E$9)</f>
        <v>10.058999999999999</v>
      </c>
      <c r="L281" s="11">
        <f>6.0605 * CHOOSE(CONTROL!$C$32, $C$9, 100%, $E$9)</f>
        <v>6.0605000000000002</v>
      </c>
      <c r="M281" s="11">
        <f>6.0642 * CHOOSE(CONTROL!$C$32, $C$9, 100%, $E$9)</f>
        <v>6.0641999999999996</v>
      </c>
      <c r="N281" s="11">
        <f>6.0605 * CHOOSE(CONTROL!$C$32, $C$9, 100%, $E$9)</f>
        <v>6.0605000000000002</v>
      </c>
      <c r="O281" s="11">
        <f>6.0642 * CHOOSE(CONTROL!$C$32, $C$9, 100%, $E$9)</f>
        <v>6.0641999999999996</v>
      </c>
    </row>
    <row r="282" spans="1:15" ht="15" x14ac:dyDescent="0.2">
      <c r="A282" s="13">
        <v>49430</v>
      </c>
      <c r="B282" s="9">
        <f>4.7052 * CHOOSE(CONTROL!$C$32, $C$9, 100%, $E$9)</f>
        <v>4.7051999999999996</v>
      </c>
      <c r="C282" s="9">
        <f>4.7052 * CHOOSE(CONTROL!$C$32, $C$9, 100%, $E$9)</f>
        <v>4.7051999999999996</v>
      </c>
      <c r="D282" s="9">
        <f>4.7068 * CHOOSE(CONTROL!$C$32, $C$9, 100%, $E$9)</f>
        <v>4.7068000000000003</v>
      </c>
      <c r="E282" s="11">
        <f>6.0605 * CHOOSE(CONTROL!$C$32, $C$9, 100%, $E$9)</f>
        <v>6.0605000000000002</v>
      </c>
      <c r="F282" s="11">
        <f>6.0605 * CHOOSE(CONTROL!$C$32, $C$9, 100%, $E$9)</f>
        <v>6.0605000000000002</v>
      </c>
      <c r="G282" s="11">
        <f>6.0658 * CHOOSE(CONTROL!$C$32, $C$9, 100%, $E$9)</f>
        <v>6.0658000000000003</v>
      </c>
      <c r="H282" s="11">
        <f>10.0764 * CHOOSE(CONTROL!$C$32, $C$9, 100%, $E$9)</f>
        <v>10.0764</v>
      </c>
      <c r="I282" s="11">
        <f>10.0817 * CHOOSE(CONTROL!$C$32, $C$9, 100%, $E$9)</f>
        <v>10.0817</v>
      </c>
      <c r="J282" s="11">
        <f>10.0764 * CHOOSE(CONTROL!$C$32, $C$9, 100%, $E$9)</f>
        <v>10.0764</v>
      </c>
      <c r="K282" s="11">
        <f>10.0817 * CHOOSE(CONTROL!$C$32, $C$9, 100%, $E$9)</f>
        <v>10.0817</v>
      </c>
      <c r="L282" s="11">
        <f>6.0605 * CHOOSE(CONTROL!$C$32, $C$9, 100%, $E$9)</f>
        <v>6.0605000000000002</v>
      </c>
      <c r="M282" s="11">
        <f>6.0658 * CHOOSE(CONTROL!$C$32, $C$9, 100%, $E$9)</f>
        <v>6.0658000000000003</v>
      </c>
      <c r="N282" s="11">
        <f>6.0605 * CHOOSE(CONTROL!$C$32, $C$9, 100%, $E$9)</f>
        <v>6.0605000000000002</v>
      </c>
      <c r="O282" s="11">
        <f>6.0658 * CHOOSE(CONTROL!$C$32, $C$9, 100%, $E$9)</f>
        <v>6.0658000000000003</v>
      </c>
    </row>
    <row r="283" spans="1:15" ht="15" x14ac:dyDescent="0.2">
      <c r="A283" s="13">
        <v>49461</v>
      </c>
      <c r="B283" s="9">
        <f>4.7113 * CHOOSE(CONTROL!$C$32, $C$9, 100%, $E$9)</f>
        <v>4.7112999999999996</v>
      </c>
      <c r="C283" s="9">
        <f>4.7113 * CHOOSE(CONTROL!$C$32, $C$9, 100%, $E$9)</f>
        <v>4.7112999999999996</v>
      </c>
      <c r="D283" s="9">
        <f>4.7129 * CHOOSE(CONTROL!$C$32, $C$9, 100%, $E$9)</f>
        <v>4.7129000000000003</v>
      </c>
      <c r="E283" s="11">
        <f>6.0645 * CHOOSE(CONTROL!$C$32, $C$9, 100%, $E$9)</f>
        <v>6.0644999999999998</v>
      </c>
      <c r="F283" s="11">
        <f>6.0645 * CHOOSE(CONTROL!$C$32, $C$9, 100%, $E$9)</f>
        <v>6.0644999999999998</v>
      </c>
      <c r="G283" s="11">
        <f>6.0698 * CHOOSE(CONTROL!$C$32, $C$9, 100%, $E$9)</f>
        <v>6.0697999999999999</v>
      </c>
      <c r="H283" s="11">
        <f>10.0974 * CHOOSE(CONTROL!$C$32, $C$9, 100%, $E$9)</f>
        <v>10.0974</v>
      </c>
      <c r="I283" s="11">
        <f>10.1026 * CHOOSE(CONTROL!$C$32, $C$9, 100%, $E$9)</f>
        <v>10.102600000000001</v>
      </c>
      <c r="J283" s="11">
        <f>10.0974 * CHOOSE(CONTROL!$C$32, $C$9, 100%, $E$9)</f>
        <v>10.0974</v>
      </c>
      <c r="K283" s="11">
        <f>10.1026 * CHOOSE(CONTROL!$C$32, $C$9, 100%, $E$9)</f>
        <v>10.102600000000001</v>
      </c>
      <c r="L283" s="11">
        <f>6.0645 * CHOOSE(CONTROL!$C$32, $C$9, 100%, $E$9)</f>
        <v>6.0644999999999998</v>
      </c>
      <c r="M283" s="11">
        <f>6.0698 * CHOOSE(CONTROL!$C$32, $C$9, 100%, $E$9)</f>
        <v>6.0697999999999999</v>
      </c>
      <c r="N283" s="11">
        <f>6.0645 * CHOOSE(CONTROL!$C$32, $C$9, 100%, $E$9)</f>
        <v>6.0644999999999998</v>
      </c>
      <c r="O283" s="11">
        <f>6.0698 * CHOOSE(CONTROL!$C$32, $C$9, 100%, $E$9)</f>
        <v>6.0697999999999999</v>
      </c>
    </row>
    <row r="284" spans="1:15" ht="15" x14ac:dyDescent="0.2">
      <c r="A284" s="13">
        <v>49491</v>
      </c>
      <c r="B284" s="9">
        <f>4.7784 * CHOOSE(CONTROL!$C$32, $C$9, 100%, $E$9)</f>
        <v>4.7784000000000004</v>
      </c>
      <c r="C284" s="9">
        <f>4.7784 * CHOOSE(CONTROL!$C$32, $C$9, 100%, $E$9)</f>
        <v>4.7784000000000004</v>
      </c>
      <c r="D284" s="9">
        <f>4.7799 * CHOOSE(CONTROL!$C$32, $C$9, 100%, $E$9)</f>
        <v>4.7798999999999996</v>
      </c>
      <c r="E284" s="11">
        <f>6.1692 * CHOOSE(CONTROL!$C$32, $C$9, 100%, $E$9)</f>
        <v>6.1692</v>
      </c>
      <c r="F284" s="11">
        <f>6.1692 * CHOOSE(CONTROL!$C$32, $C$9, 100%, $E$9)</f>
        <v>6.1692</v>
      </c>
      <c r="G284" s="11">
        <f>6.1745 * CHOOSE(CONTROL!$C$32, $C$9, 100%, $E$9)</f>
        <v>6.1745000000000001</v>
      </c>
      <c r="H284" s="11">
        <f>10.1184 * CHOOSE(CONTROL!$C$32, $C$9, 100%, $E$9)</f>
        <v>10.118399999999999</v>
      </c>
      <c r="I284" s="11">
        <f>10.1237 * CHOOSE(CONTROL!$C$32, $C$9, 100%, $E$9)</f>
        <v>10.123699999999999</v>
      </c>
      <c r="J284" s="11">
        <f>10.1184 * CHOOSE(CONTROL!$C$32, $C$9, 100%, $E$9)</f>
        <v>10.118399999999999</v>
      </c>
      <c r="K284" s="11">
        <f>10.1237 * CHOOSE(CONTROL!$C$32, $C$9, 100%, $E$9)</f>
        <v>10.123699999999999</v>
      </c>
      <c r="L284" s="11">
        <f>6.1692 * CHOOSE(CONTROL!$C$32, $C$9, 100%, $E$9)</f>
        <v>6.1692</v>
      </c>
      <c r="M284" s="11">
        <f>6.1745 * CHOOSE(CONTROL!$C$32, $C$9, 100%, $E$9)</f>
        <v>6.1745000000000001</v>
      </c>
      <c r="N284" s="11">
        <f>6.1692 * CHOOSE(CONTROL!$C$32, $C$9, 100%, $E$9)</f>
        <v>6.1692</v>
      </c>
      <c r="O284" s="11">
        <f>6.1745 * CHOOSE(CONTROL!$C$32, $C$9, 100%, $E$9)</f>
        <v>6.1745000000000001</v>
      </c>
    </row>
    <row r="285" spans="1:15" ht="15" x14ac:dyDescent="0.2">
      <c r="A285" s="13">
        <v>49522</v>
      </c>
      <c r="B285" s="9">
        <f>4.785 * CHOOSE(CONTROL!$C$32, $C$9, 100%, $E$9)</f>
        <v>4.7850000000000001</v>
      </c>
      <c r="C285" s="9">
        <f>4.785 * CHOOSE(CONTROL!$C$32, $C$9, 100%, $E$9)</f>
        <v>4.7850000000000001</v>
      </c>
      <c r="D285" s="9">
        <f>4.7866 * CHOOSE(CONTROL!$C$32, $C$9, 100%, $E$9)</f>
        <v>4.7866</v>
      </c>
      <c r="E285" s="11">
        <f>6.523 * CHOOSE(CONTROL!$C$32, $C$9, 100%, $E$9)</f>
        <v>6.5229999999999997</v>
      </c>
      <c r="F285" s="11">
        <f>6.523 * CHOOSE(CONTROL!$C$32, $C$9, 100%, $E$9)</f>
        <v>6.5229999999999997</v>
      </c>
      <c r="G285" s="11">
        <f>6.5283 * CHOOSE(CONTROL!$C$32, $C$9, 100%, $E$9)</f>
        <v>6.5282999999999998</v>
      </c>
      <c r="H285" s="11">
        <f>10.1395 * CHOOSE(CONTROL!$C$32, $C$9, 100%, $E$9)</f>
        <v>10.1395</v>
      </c>
      <c r="I285" s="11">
        <f>10.1448 * CHOOSE(CONTROL!$C$32, $C$9, 100%, $E$9)</f>
        <v>10.1448</v>
      </c>
      <c r="J285" s="11">
        <f>10.1395 * CHOOSE(CONTROL!$C$32, $C$9, 100%, $E$9)</f>
        <v>10.1395</v>
      </c>
      <c r="K285" s="11">
        <f>10.1448 * CHOOSE(CONTROL!$C$32, $C$9, 100%, $E$9)</f>
        <v>10.1448</v>
      </c>
      <c r="L285" s="11">
        <f>6.523 * CHOOSE(CONTROL!$C$32, $C$9, 100%, $E$9)</f>
        <v>6.5229999999999997</v>
      </c>
      <c r="M285" s="11">
        <f>6.5283 * CHOOSE(CONTROL!$C$32, $C$9, 100%, $E$9)</f>
        <v>6.5282999999999998</v>
      </c>
      <c r="N285" s="11">
        <f>6.523 * CHOOSE(CONTROL!$C$32, $C$9, 100%, $E$9)</f>
        <v>6.5229999999999997</v>
      </c>
      <c r="O285" s="11">
        <f>6.5283 * CHOOSE(CONTROL!$C$32, $C$9, 100%, $E$9)</f>
        <v>6.5282999999999998</v>
      </c>
    </row>
    <row r="286" spans="1:15" ht="15" x14ac:dyDescent="0.2">
      <c r="A286" s="13">
        <v>49553</v>
      </c>
      <c r="B286" s="9">
        <f>4.782 * CHOOSE(CONTROL!$C$32, $C$9, 100%, $E$9)</f>
        <v>4.782</v>
      </c>
      <c r="C286" s="9">
        <f>4.782 * CHOOSE(CONTROL!$C$32, $C$9, 100%, $E$9)</f>
        <v>4.782</v>
      </c>
      <c r="D286" s="9">
        <f>4.7836 * CHOOSE(CONTROL!$C$32, $C$9, 100%, $E$9)</f>
        <v>4.7835999999999999</v>
      </c>
      <c r="E286" s="11">
        <f>6.5105 * CHOOSE(CONTROL!$C$32, $C$9, 100%, $E$9)</f>
        <v>6.5105000000000004</v>
      </c>
      <c r="F286" s="11">
        <f>6.5105 * CHOOSE(CONTROL!$C$32, $C$9, 100%, $E$9)</f>
        <v>6.5105000000000004</v>
      </c>
      <c r="G286" s="11">
        <f>6.5158 * CHOOSE(CONTROL!$C$32, $C$9, 100%, $E$9)</f>
        <v>6.5157999999999996</v>
      </c>
      <c r="H286" s="11">
        <f>10.1606 * CHOOSE(CONTROL!$C$32, $C$9, 100%, $E$9)</f>
        <v>10.160600000000001</v>
      </c>
      <c r="I286" s="11">
        <f>10.1659 * CHOOSE(CONTROL!$C$32, $C$9, 100%, $E$9)</f>
        <v>10.165900000000001</v>
      </c>
      <c r="J286" s="11">
        <f>10.1606 * CHOOSE(CONTROL!$C$32, $C$9, 100%, $E$9)</f>
        <v>10.160600000000001</v>
      </c>
      <c r="K286" s="11">
        <f>10.1659 * CHOOSE(CONTROL!$C$32, $C$9, 100%, $E$9)</f>
        <v>10.165900000000001</v>
      </c>
      <c r="L286" s="11">
        <f>6.5105 * CHOOSE(CONTROL!$C$32, $C$9, 100%, $E$9)</f>
        <v>6.5105000000000004</v>
      </c>
      <c r="M286" s="11">
        <f>6.5158 * CHOOSE(CONTROL!$C$32, $C$9, 100%, $E$9)</f>
        <v>6.5157999999999996</v>
      </c>
      <c r="N286" s="11">
        <f>6.5105 * CHOOSE(CONTROL!$C$32, $C$9, 100%, $E$9)</f>
        <v>6.5105000000000004</v>
      </c>
      <c r="O286" s="11">
        <f>6.5158 * CHOOSE(CONTROL!$C$32, $C$9, 100%, $E$9)</f>
        <v>6.5157999999999996</v>
      </c>
    </row>
    <row r="287" spans="1:15" ht="15" x14ac:dyDescent="0.2">
      <c r="A287" s="13">
        <v>49583</v>
      </c>
      <c r="B287" s="9">
        <f>4.78 * CHOOSE(CONTROL!$C$32, $C$9, 100%, $E$9)</f>
        <v>4.78</v>
      </c>
      <c r="C287" s="9">
        <f>4.78 * CHOOSE(CONTROL!$C$32, $C$9, 100%, $E$9)</f>
        <v>4.78</v>
      </c>
      <c r="D287" s="9">
        <f>4.781 * CHOOSE(CONTROL!$C$32, $C$9, 100%, $E$9)</f>
        <v>4.7809999999999997</v>
      </c>
      <c r="E287" s="11">
        <f>6.1678 * CHOOSE(CONTROL!$C$32, $C$9, 100%, $E$9)</f>
        <v>6.1677999999999997</v>
      </c>
      <c r="F287" s="11">
        <f>6.1678 * CHOOSE(CONTROL!$C$32, $C$9, 100%, $E$9)</f>
        <v>6.1677999999999997</v>
      </c>
      <c r="G287" s="11">
        <f>6.1714 * CHOOSE(CONTROL!$C$32, $C$9, 100%, $E$9)</f>
        <v>6.1714000000000002</v>
      </c>
      <c r="H287" s="11">
        <f>10.1818 * CHOOSE(CONTROL!$C$32, $C$9, 100%, $E$9)</f>
        <v>10.181800000000001</v>
      </c>
      <c r="I287" s="11">
        <f>10.1854 * CHOOSE(CONTROL!$C$32, $C$9, 100%, $E$9)</f>
        <v>10.1854</v>
      </c>
      <c r="J287" s="11">
        <f>10.1818 * CHOOSE(CONTROL!$C$32, $C$9, 100%, $E$9)</f>
        <v>10.181800000000001</v>
      </c>
      <c r="K287" s="11">
        <f>10.1854 * CHOOSE(CONTROL!$C$32, $C$9, 100%, $E$9)</f>
        <v>10.1854</v>
      </c>
      <c r="L287" s="11">
        <f>6.1678 * CHOOSE(CONTROL!$C$32, $C$9, 100%, $E$9)</f>
        <v>6.1677999999999997</v>
      </c>
      <c r="M287" s="11">
        <f>6.1714 * CHOOSE(CONTROL!$C$32, $C$9, 100%, $E$9)</f>
        <v>6.1714000000000002</v>
      </c>
      <c r="N287" s="11">
        <f>6.1678 * CHOOSE(CONTROL!$C$32, $C$9, 100%, $E$9)</f>
        <v>6.1677999999999997</v>
      </c>
      <c r="O287" s="11">
        <f>6.1714 * CHOOSE(CONTROL!$C$32, $C$9, 100%, $E$9)</f>
        <v>6.1714000000000002</v>
      </c>
    </row>
    <row r="288" spans="1:15" ht="15" x14ac:dyDescent="0.2">
      <c r="A288" s="13">
        <v>49614</v>
      </c>
      <c r="B288" s="9">
        <f>4.783 * CHOOSE(CONTROL!$C$32, $C$9, 100%, $E$9)</f>
        <v>4.7830000000000004</v>
      </c>
      <c r="C288" s="9">
        <f>4.783 * CHOOSE(CONTROL!$C$32, $C$9, 100%, $E$9)</f>
        <v>4.7830000000000004</v>
      </c>
      <c r="D288" s="9">
        <f>4.7841 * CHOOSE(CONTROL!$C$32, $C$9, 100%, $E$9)</f>
        <v>4.7840999999999996</v>
      </c>
      <c r="E288" s="11">
        <f>6.1698 * CHOOSE(CONTROL!$C$32, $C$9, 100%, $E$9)</f>
        <v>6.1698000000000004</v>
      </c>
      <c r="F288" s="11">
        <f>6.1698 * CHOOSE(CONTROL!$C$32, $C$9, 100%, $E$9)</f>
        <v>6.1698000000000004</v>
      </c>
      <c r="G288" s="11">
        <f>6.1734 * CHOOSE(CONTROL!$C$32, $C$9, 100%, $E$9)</f>
        <v>6.1734</v>
      </c>
      <c r="H288" s="11">
        <f>10.203 * CHOOSE(CONTROL!$C$32, $C$9, 100%, $E$9)</f>
        <v>10.202999999999999</v>
      </c>
      <c r="I288" s="11">
        <f>10.2066 * CHOOSE(CONTROL!$C$32, $C$9, 100%, $E$9)</f>
        <v>10.2066</v>
      </c>
      <c r="J288" s="11">
        <f>10.203 * CHOOSE(CONTROL!$C$32, $C$9, 100%, $E$9)</f>
        <v>10.202999999999999</v>
      </c>
      <c r="K288" s="11">
        <f>10.2066 * CHOOSE(CONTROL!$C$32, $C$9, 100%, $E$9)</f>
        <v>10.2066</v>
      </c>
      <c r="L288" s="11">
        <f>6.1698 * CHOOSE(CONTROL!$C$32, $C$9, 100%, $E$9)</f>
        <v>6.1698000000000004</v>
      </c>
      <c r="M288" s="11">
        <f>6.1734 * CHOOSE(CONTROL!$C$32, $C$9, 100%, $E$9)</f>
        <v>6.1734</v>
      </c>
      <c r="N288" s="11">
        <f>6.1698 * CHOOSE(CONTROL!$C$32, $C$9, 100%, $E$9)</f>
        <v>6.1698000000000004</v>
      </c>
      <c r="O288" s="11">
        <f>6.1734 * CHOOSE(CONTROL!$C$32, $C$9, 100%, $E$9)</f>
        <v>6.1734</v>
      </c>
    </row>
    <row r="289" spans="1:15" ht="15" x14ac:dyDescent="0.2">
      <c r="A289" s="13">
        <v>49644</v>
      </c>
      <c r="B289" s="9">
        <f>4.783 * CHOOSE(CONTROL!$C$32, $C$9, 100%, $E$9)</f>
        <v>4.7830000000000004</v>
      </c>
      <c r="C289" s="9">
        <f>4.783 * CHOOSE(CONTROL!$C$32, $C$9, 100%, $E$9)</f>
        <v>4.7830000000000004</v>
      </c>
      <c r="D289" s="9">
        <f>4.7841 * CHOOSE(CONTROL!$C$32, $C$9, 100%, $E$9)</f>
        <v>4.7840999999999996</v>
      </c>
      <c r="E289" s="11">
        <f>6.5096 * CHOOSE(CONTROL!$C$32, $C$9, 100%, $E$9)</f>
        <v>6.5095999999999998</v>
      </c>
      <c r="F289" s="11">
        <f>6.5096 * CHOOSE(CONTROL!$C$32, $C$9, 100%, $E$9)</f>
        <v>6.5095999999999998</v>
      </c>
      <c r="G289" s="11">
        <f>6.5132 * CHOOSE(CONTROL!$C$32, $C$9, 100%, $E$9)</f>
        <v>6.5132000000000003</v>
      </c>
      <c r="H289" s="11">
        <f>10.2242 * CHOOSE(CONTROL!$C$32, $C$9, 100%, $E$9)</f>
        <v>10.2242</v>
      </c>
      <c r="I289" s="11">
        <f>10.2278 * CHOOSE(CONTROL!$C$32, $C$9, 100%, $E$9)</f>
        <v>10.2278</v>
      </c>
      <c r="J289" s="11">
        <f>10.2242 * CHOOSE(CONTROL!$C$32, $C$9, 100%, $E$9)</f>
        <v>10.2242</v>
      </c>
      <c r="K289" s="11">
        <f>10.2278 * CHOOSE(CONTROL!$C$32, $C$9, 100%, $E$9)</f>
        <v>10.2278</v>
      </c>
      <c r="L289" s="11">
        <f>6.5096 * CHOOSE(CONTROL!$C$32, $C$9, 100%, $E$9)</f>
        <v>6.5095999999999998</v>
      </c>
      <c r="M289" s="11">
        <f>6.5132 * CHOOSE(CONTROL!$C$32, $C$9, 100%, $E$9)</f>
        <v>6.5132000000000003</v>
      </c>
      <c r="N289" s="11">
        <f>6.5096 * CHOOSE(CONTROL!$C$32, $C$9, 100%, $E$9)</f>
        <v>6.5095999999999998</v>
      </c>
      <c r="O289" s="11">
        <f>6.5132 * CHOOSE(CONTROL!$C$32, $C$9, 100%, $E$9)</f>
        <v>6.5132000000000003</v>
      </c>
    </row>
    <row r="290" spans="1:15" ht="15" x14ac:dyDescent="0.2">
      <c r="A290" s="13">
        <v>49675</v>
      </c>
      <c r="B290" s="9">
        <f>4.8216 * CHOOSE(CONTROL!$C$32, $C$9, 100%, $E$9)</f>
        <v>4.8216000000000001</v>
      </c>
      <c r="C290" s="9">
        <f>4.8216 * CHOOSE(CONTROL!$C$32, $C$9, 100%, $E$9)</f>
        <v>4.8216000000000001</v>
      </c>
      <c r="D290" s="9">
        <f>4.8227 * CHOOSE(CONTROL!$C$32, $C$9, 100%, $E$9)</f>
        <v>4.8227000000000002</v>
      </c>
      <c r="E290" s="11">
        <f>6.5301 * CHOOSE(CONTROL!$C$32, $C$9, 100%, $E$9)</f>
        <v>6.5301</v>
      </c>
      <c r="F290" s="11">
        <f>6.5301 * CHOOSE(CONTROL!$C$32, $C$9, 100%, $E$9)</f>
        <v>6.5301</v>
      </c>
      <c r="G290" s="11">
        <f>6.5337 * CHOOSE(CONTROL!$C$32, $C$9, 100%, $E$9)</f>
        <v>6.5336999999999996</v>
      </c>
      <c r="H290" s="11">
        <f>10.2455 * CHOOSE(CONTROL!$C$32, $C$9, 100%, $E$9)</f>
        <v>10.2455</v>
      </c>
      <c r="I290" s="11">
        <f>10.2491 * CHOOSE(CONTROL!$C$32, $C$9, 100%, $E$9)</f>
        <v>10.2491</v>
      </c>
      <c r="J290" s="11">
        <f>10.2455 * CHOOSE(CONTROL!$C$32, $C$9, 100%, $E$9)</f>
        <v>10.2455</v>
      </c>
      <c r="K290" s="11">
        <f>10.2491 * CHOOSE(CONTROL!$C$32, $C$9, 100%, $E$9)</f>
        <v>10.2491</v>
      </c>
      <c r="L290" s="11">
        <f>6.5301 * CHOOSE(CONTROL!$C$32, $C$9, 100%, $E$9)</f>
        <v>6.5301</v>
      </c>
      <c r="M290" s="11">
        <f>6.5337 * CHOOSE(CONTROL!$C$32, $C$9, 100%, $E$9)</f>
        <v>6.5336999999999996</v>
      </c>
      <c r="N290" s="11">
        <f>6.5301 * CHOOSE(CONTROL!$C$32, $C$9, 100%, $E$9)</f>
        <v>6.5301</v>
      </c>
      <c r="O290" s="11">
        <f>6.5337 * CHOOSE(CONTROL!$C$32, $C$9, 100%, $E$9)</f>
        <v>6.5336999999999996</v>
      </c>
    </row>
    <row r="291" spans="1:15" ht="15" x14ac:dyDescent="0.2">
      <c r="A291" s="13">
        <v>49706</v>
      </c>
      <c r="B291" s="9">
        <f>4.8186 * CHOOSE(CONTROL!$C$32, $C$9, 100%, $E$9)</f>
        <v>4.8186</v>
      </c>
      <c r="C291" s="9">
        <f>4.8186 * CHOOSE(CONTROL!$C$32, $C$9, 100%, $E$9)</f>
        <v>4.8186</v>
      </c>
      <c r="D291" s="9">
        <f>4.8196 * CHOOSE(CONTROL!$C$32, $C$9, 100%, $E$9)</f>
        <v>4.8196000000000003</v>
      </c>
      <c r="E291" s="11">
        <f>6.4268 * CHOOSE(CONTROL!$C$32, $C$9, 100%, $E$9)</f>
        <v>6.4268000000000001</v>
      </c>
      <c r="F291" s="11">
        <f>6.4268 * CHOOSE(CONTROL!$C$32, $C$9, 100%, $E$9)</f>
        <v>6.4268000000000001</v>
      </c>
      <c r="G291" s="11">
        <f>6.4304 * CHOOSE(CONTROL!$C$32, $C$9, 100%, $E$9)</f>
        <v>6.4303999999999997</v>
      </c>
      <c r="H291" s="11">
        <f>10.2669 * CHOOSE(CONTROL!$C$32, $C$9, 100%, $E$9)</f>
        <v>10.2669</v>
      </c>
      <c r="I291" s="11">
        <f>10.2705 * CHOOSE(CONTROL!$C$32, $C$9, 100%, $E$9)</f>
        <v>10.2705</v>
      </c>
      <c r="J291" s="11">
        <f>10.2669 * CHOOSE(CONTROL!$C$32, $C$9, 100%, $E$9)</f>
        <v>10.2669</v>
      </c>
      <c r="K291" s="11">
        <f>10.2705 * CHOOSE(CONTROL!$C$32, $C$9, 100%, $E$9)</f>
        <v>10.2705</v>
      </c>
      <c r="L291" s="11">
        <f>6.4268 * CHOOSE(CONTROL!$C$32, $C$9, 100%, $E$9)</f>
        <v>6.4268000000000001</v>
      </c>
      <c r="M291" s="11">
        <f>6.4304 * CHOOSE(CONTROL!$C$32, $C$9, 100%, $E$9)</f>
        <v>6.4303999999999997</v>
      </c>
      <c r="N291" s="11">
        <f>6.4268 * CHOOSE(CONTROL!$C$32, $C$9, 100%, $E$9)</f>
        <v>6.4268000000000001</v>
      </c>
      <c r="O291" s="11">
        <f>6.4304 * CHOOSE(CONTROL!$C$32, $C$9, 100%, $E$9)</f>
        <v>6.4303999999999997</v>
      </c>
    </row>
    <row r="292" spans="1:15" ht="15" x14ac:dyDescent="0.2">
      <c r="A292" s="13">
        <v>49735</v>
      </c>
      <c r="B292" s="9">
        <f>4.8155 * CHOOSE(CONTROL!$C$32, $C$9, 100%, $E$9)</f>
        <v>4.8155000000000001</v>
      </c>
      <c r="C292" s="9">
        <f>4.8155 * CHOOSE(CONTROL!$C$32, $C$9, 100%, $E$9)</f>
        <v>4.8155000000000001</v>
      </c>
      <c r="D292" s="9">
        <f>4.8166 * CHOOSE(CONTROL!$C$32, $C$9, 100%, $E$9)</f>
        <v>4.8166000000000002</v>
      </c>
      <c r="E292" s="11">
        <f>6.5044 * CHOOSE(CONTROL!$C$32, $C$9, 100%, $E$9)</f>
        <v>6.5044000000000004</v>
      </c>
      <c r="F292" s="11">
        <f>6.5044 * CHOOSE(CONTROL!$C$32, $C$9, 100%, $E$9)</f>
        <v>6.5044000000000004</v>
      </c>
      <c r="G292" s="11">
        <f>6.508 * CHOOSE(CONTROL!$C$32, $C$9, 100%, $E$9)</f>
        <v>6.508</v>
      </c>
      <c r="H292" s="11">
        <f>10.2883 * CHOOSE(CONTROL!$C$32, $C$9, 100%, $E$9)</f>
        <v>10.2883</v>
      </c>
      <c r="I292" s="11">
        <f>10.2919 * CHOOSE(CONTROL!$C$32, $C$9, 100%, $E$9)</f>
        <v>10.2919</v>
      </c>
      <c r="J292" s="11">
        <f>10.2883 * CHOOSE(CONTROL!$C$32, $C$9, 100%, $E$9)</f>
        <v>10.2883</v>
      </c>
      <c r="K292" s="11">
        <f>10.2919 * CHOOSE(CONTROL!$C$32, $C$9, 100%, $E$9)</f>
        <v>10.2919</v>
      </c>
      <c r="L292" s="11">
        <f>6.5044 * CHOOSE(CONTROL!$C$32, $C$9, 100%, $E$9)</f>
        <v>6.5044000000000004</v>
      </c>
      <c r="M292" s="11">
        <f>6.508 * CHOOSE(CONTROL!$C$32, $C$9, 100%, $E$9)</f>
        <v>6.508</v>
      </c>
      <c r="N292" s="11">
        <f>6.5044 * CHOOSE(CONTROL!$C$32, $C$9, 100%, $E$9)</f>
        <v>6.5044000000000004</v>
      </c>
      <c r="O292" s="11">
        <f>6.508 * CHOOSE(CONTROL!$C$32, $C$9, 100%, $E$9)</f>
        <v>6.508</v>
      </c>
    </row>
    <row r="293" spans="1:15" ht="15" x14ac:dyDescent="0.2">
      <c r="A293" s="13">
        <v>49766</v>
      </c>
      <c r="B293" s="9">
        <f>4.814 * CHOOSE(CONTROL!$C$32, $C$9, 100%, $E$9)</f>
        <v>4.8140000000000001</v>
      </c>
      <c r="C293" s="9">
        <f>4.814 * CHOOSE(CONTROL!$C$32, $C$9, 100%, $E$9)</f>
        <v>4.8140000000000001</v>
      </c>
      <c r="D293" s="9">
        <f>4.815 * CHOOSE(CONTROL!$C$32, $C$9, 100%, $E$9)</f>
        <v>4.8150000000000004</v>
      </c>
      <c r="E293" s="11">
        <f>6.5859 * CHOOSE(CONTROL!$C$32, $C$9, 100%, $E$9)</f>
        <v>6.5858999999999996</v>
      </c>
      <c r="F293" s="11">
        <f>6.5859 * CHOOSE(CONTROL!$C$32, $C$9, 100%, $E$9)</f>
        <v>6.5858999999999996</v>
      </c>
      <c r="G293" s="11">
        <f>6.5895 * CHOOSE(CONTROL!$C$32, $C$9, 100%, $E$9)</f>
        <v>6.5895000000000001</v>
      </c>
      <c r="H293" s="11">
        <f>10.3097 * CHOOSE(CONTROL!$C$32, $C$9, 100%, $E$9)</f>
        <v>10.309699999999999</v>
      </c>
      <c r="I293" s="11">
        <f>10.3133 * CHOOSE(CONTROL!$C$32, $C$9, 100%, $E$9)</f>
        <v>10.3133</v>
      </c>
      <c r="J293" s="11">
        <f>10.3097 * CHOOSE(CONTROL!$C$32, $C$9, 100%, $E$9)</f>
        <v>10.309699999999999</v>
      </c>
      <c r="K293" s="11">
        <f>10.3133 * CHOOSE(CONTROL!$C$32, $C$9, 100%, $E$9)</f>
        <v>10.3133</v>
      </c>
      <c r="L293" s="11">
        <f>6.5859 * CHOOSE(CONTROL!$C$32, $C$9, 100%, $E$9)</f>
        <v>6.5858999999999996</v>
      </c>
      <c r="M293" s="11">
        <f>6.5895 * CHOOSE(CONTROL!$C$32, $C$9, 100%, $E$9)</f>
        <v>6.5895000000000001</v>
      </c>
      <c r="N293" s="11">
        <f>6.5859 * CHOOSE(CONTROL!$C$32, $C$9, 100%, $E$9)</f>
        <v>6.5858999999999996</v>
      </c>
      <c r="O293" s="11">
        <f>6.5895 * CHOOSE(CONTROL!$C$32, $C$9, 100%, $E$9)</f>
        <v>6.5895000000000001</v>
      </c>
    </row>
    <row r="294" spans="1:15" ht="15" x14ac:dyDescent="0.2">
      <c r="A294" s="13">
        <v>49796</v>
      </c>
      <c r="B294" s="9">
        <f>4.814 * CHOOSE(CONTROL!$C$32, $C$9, 100%, $E$9)</f>
        <v>4.8140000000000001</v>
      </c>
      <c r="C294" s="9">
        <f>4.814 * CHOOSE(CONTROL!$C$32, $C$9, 100%, $E$9)</f>
        <v>4.8140000000000001</v>
      </c>
      <c r="D294" s="9">
        <f>4.8155 * CHOOSE(CONTROL!$C$32, $C$9, 100%, $E$9)</f>
        <v>4.8155000000000001</v>
      </c>
      <c r="E294" s="11">
        <f>6.2171 * CHOOSE(CONTROL!$C$32, $C$9, 100%, $E$9)</f>
        <v>6.2171000000000003</v>
      </c>
      <c r="F294" s="11">
        <f>6.2171 * CHOOSE(CONTROL!$C$32, $C$9, 100%, $E$9)</f>
        <v>6.2171000000000003</v>
      </c>
      <c r="G294" s="11">
        <f>6.2224 * CHOOSE(CONTROL!$C$32, $C$9, 100%, $E$9)</f>
        <v>6.2224000000000004</v>
      </c>
      <c r="H294" s="11">
        <f>10.3312 * CHOOSE(CONTROL!$C$32, $C$9, 100%, $E$9)</f>
        <v>10.331200000000001</v>
      </c>
      <c r="I294" s="11">
        <f>10.3365 * CHOOSE(CONTROL!$C$32, $C$9, 100%, $E$9)</f>
        <v>10.336499999999999</v>
      </c>
      <c r="J294" s="11">
        <f>10.3312 * CHOOSE(CONTROL!$C$32, $C$9, 100%, $E$9)</f>
        <v>10.331200000000001</v>
      </c>
      <c r="K294" s="11">
        <f>10.3365 * CHOOSE(CONTROL!$C$32, $C$9, 100%, $E$9)</f>
        <v>10.336499999999999</v>
      </c>
      <c r="L294" s="11">
        <f>6.2171 * CHOOSE(CONTROL!$C$32, $C$9, 100%, $E$9)</f>
        <v>6.2171000000000003</v>
      </c>
      <c r="M294" s="11">
        <f>6.2224 * CHOOSE(CONTROL!$C$32, $C$9, 100%, $E$9)</f>
        <v>6.2224000000000004</v>
      </c>
      <c r="N294" s="11">
        <f>6.2171 * CHOOSE(CONTROL!$C$32, $C$9, 100%, $E$9)</f>
        <v>6.2171000000000003</v>
      </c>
      <c r="O294" s="11">
        <f>6.2224 * CHOOSE(CONTROL!$C$32, $C$9, 100%, $E$9)</f>
        <v>6.2224000000000004</v>
      </c>
    </row>
    <row r="295" spans="1:15" ht="15" x14ac:dyDescent="0.2">
      <c r="A295" s="13">
        <v>49827</v>
      </c>
      <c r="B295" s="9">
        <f>4.82 * CHOOSE(CONTROL!$C$32, $C$9, 100%, $E$9)</f>
        <v>4.82</v>
      </c>
      <c r="C295" s="9">
        <f>4.82 * CHOOSE(CONTROL!$C$32, $C$9, 100%, $E$9)</f>
        <v>4.82</v>
      </c>
      <c r="D295" s="9">
        <f>4.8216 * CHOOSE(CONTROL!$C$32, $C$9, 100%, $E$9)</f>
        <v>4.8216000000000001</v>
      </c>
      <c r="E295" s="11">
        <f>6.5901 * CHOOSE(CONTROL!$C$32, $C$9, 100%, $E$9)</f>
        <v>6.5900999999999996</v>
      </c>
      <c r="F295" s="11">
        <f>6.5901 * CHOOSE(CONTROL!$C$32, $C$9, 100%, $E$9)</f>
        <v>6.5900999999999996</v>
      </c>
      <c r="G295" s="11">
        <f>6.5954 * CHOOSE(CONTROL!$C$32, $C$9, 100%, $E$9)</f>
        <v>6.5953999999999997</v>
      </c>
      <c r="H295" s="11">
        <f>10.3527 * CHOOSE(CONTROL!$C$32, $C$9, 100%, $E$9)</f>
        <v>10.3527</v>
      </c>
      <c r="I295" s="11">
        <f>10.358 * CHOOSE(CONTROL!$C$32, $C$9, 100%, $E$9)</f>
        <v>10.358000000000001</v>
      </c>
      <c r="J295" s="11">
        <f>10.3527 * CHOOSE(CONTROL!$C$32, $C$9, 100%, $E$9)</f>
        <v>10.3527</v>
      </c>
      <c r="K295" s="11">
        <f>10.358 * CHOOSE(CONTROL!$C$32, $C$9, 100%, $E$9)</f>
        <v>10.358000000000001</v>
      </c>
      <c r="L295" s="11">
        <f>6.5901 * CHOOSE(CONTROL!$C$32, $C$9, 100%, $E$9)</f>
        <v>6.5900999999999996</v>
      </c>
      <c r="M295" s="11">
        <f>6.5954 * CHOOSE(CONTROL!$C$32, $C$9, 100%, $E$9)</f>
        <v>6.5953999999999997</v>
      </c>
      <c r="N295" s="11">
        <f>6.5901 * CHOOSE(CONTROL!$C$32, $C$9, 100%, $E$9)</f>
        <v>6.5900999999999996</v>
      </c>
      <c r="O295" s="11">
        <f>6.5954 * CHOOSE(CONTROL!$C$32, $C$9, 100%, $E$9)</f>
        <v>6.5953999999999997</v>
      </c>
    </row>
    <row r="296" spans="1:15" ht="15" x14ac:dyDescent="0.2">
      <c r="A296" s="13">
        <v>49857</v>
      </c>
      <c r="B296" s="9">
        <f>4.8896 * CHOOSE(CONTROL!$C$32, $C$9, 100%, $E$9)</f>
        <v>4.8895999999999997</v>
      </c>
      <c r="C296" s="9">
        <f>4.8896 * CHOOSE(CONTROL!$C$32, $C$9, 100%, $E$9)</f>
        <v>4.8895999999999997</v>
      </c>
      <c r="D296" s="9">
        <f>4.8911 * CHOOSE(CONTROL!$C$32, $C$9, 100%, $E$9)</f>
        <v>4.8910999999999998</v>
      </c>
      <c r="E296" s="11">
        <f>6.5201 * CHOOSE(CONTROL!$C$32, $C$9, 100%, $E$9)</f>
        <v>6.5201000000000002</v>
      </c>
      <c r="F296" s="11">
        <f>6.5201 * CHOOSE(CONTROL!$C$32, $C$9, 100%, $E$9)</f>
        <v>6.5201000000000002</v>
      </c>
      <c r="G296" s="11">
        <f>6.5254 * CHOOSE(CONTROL!$C$32, $C$9, 100%, $E$9)</f>
        <v>6.5254000000000003</v>
      </c>
      <c r="H296" s="11">
        <f>10.3743 * CHOOSE(CONTROL!$C$32, $C$9, 100%, $E$9)</f>
        <v>10.3743</v>
      </c>
      <c r="I296" s="11">
        <f>10.3796 * CHOOSE(CONTROL!$C$32, $C$9, 100%, $E$9)</f>
        <v>10.3796</v>
      </c>
      <c r="J296" s="11">
        <f>10.3743 * CHOOSE(CONTROL!$C$32, $C$9, 100%, $E$9)</f>
        <v>10.3743</v>
      </c>
      <c r="K296" s="11">
        <f>10.3796 * CHOOSE(CONTROL!$C$32, $C$9, 100%, $E$9)</f>
        <v>10.3796</v>
      </c>
      <c r="L296" s="11">
        <f>6.5201 * CHOOSE(CONTROL!$C$32, $C$9, 100%, $E$9)</f>
        <v>6.5201000000000002</v>
      </c>
      <c r="M296" s="11">
        <f>6.5254 * CHOOSE(CONTROL!$C$32, $C$9, 100%, $E$9)</f>
        <v>6.5254000000000003</v>
      </c>
      <c r="N296" s="11">
        <f>6.5201 * CHOOSE(CONTROL!$C$32, $C$9, 100%, $E$9)</f>
        <v>6.5201000000000002</v>
      </c>
      <c r="O296" s="11">
        <f>6.5254 * CHOOSE(CONTROL!$C$32, $C$9, 100%, $E$9)</f>
        <v>6.5254000000000003</v>
      </c>
    </row>
    <row r="297" spans="1:15" ht="15" x14ac:dyDescent="0.2">
      <c r="A297" s="13">
        <v>49888</v>
      </c>
      <c r="B297" s="9">
        <f>4.8962 * CHOOSE(CONTROL!$C$32, $C$9, 100%, $E$9)</f>
        <v>4.8962000000000003</v>
      </c>
      <c r="C297" s="9">
        <f>4.8962 * CHOOSE(CONTROL!$C$32, $C$9, 100%, $E$9)</f>
        <v>4.8962000000000003</v>
      </c>
      <c r="D297" s="9">
        <f>4.8978 * CHOOSE(CONTROL!$C$32, $C$9, 100%, $E$9)</f>
        <v>4.8978000000000002</v>
      </c>
      <c r="E297" s="11">
        <f>6.4284 * CHOOSE(CONTROL!$C$32, $C$9, 100%, $E$9)</f>
        <v>6.4283999999999999</v>
      </c>
      <c r="F297" s="11">
        <f>6.4284 * CHOOSE(CONTROL!$C$32, $C$9, 100%, $E$9)</f>
        <v>6.4283999999999999</v>
      </c>
      <c r="G297" s="11">
        <f>6.4336 * CHOOSE(CONTROL!$C$32, $C$9, 100%, $E$9)</f>
        <v>6.4336000000000002</v>
      </c>
      <c r="H297" s="11">
        <f>10.3959 * CHOOSE(CONTROL!$C$32, $C$9, 100%, $E$9)</f>
        <v>10.395899999999999</v>
      </c>
      <c r="I297" s="11">
        <f>10.4012 * CHOOSE(CONTROL!$C$32, $C$9, 100%, $E$9)</f>
        <v>10.401199999999999</v>
      </c>
      <c r="J297" s="11">
        <f>10.3959 * CHOOSE(CONTROL!$C$32, $C$9, 100%, $E$9)</f>
        <v>10.395899999999999</v>
      </c>
      <c r="K297" s="11">
        <f>10.4012 * CHOOSE(CONTROL!$C$32, $C$9, 100%, $E$9)</f>
        <v>10.401199999999999</v>
      </c>
      <c r="L297" s="11">
        <f>6.4284 * CHOOSE(CONTROL!$C$32, $C$9, 100%, $E$9)</f>
        <v>6.4283999999999999</v>
      </c>
      <c r="M297" s="11">
        <f>6.4336 * CHOOSE(CONTROL!$C$32, $C$9, 100%, $E$9)</f>
        <v>6.4336000000000002</v>
      </c>
      <c r="N297" s="11">
        <f>6.4284 * CHOOSE(CONTROL!$C$32, $C$9, 100%, $E$9)</f>
        <v>6.4283999999999999</v>
      </c>
      <c r="O297" s="11">
        <f>6.4336 * CHOOSE(CONTROL!$C$32, $C$9, 100%, $E$9)</f>
        <v>6.4336000000000002</v>
      </c>
    </row>
    <row r="298" spans="1:15" ht="15" x14ac:dyDescent="0.2">
      <c r="A298" s="13">
        <v>49919</v>
      </c>
      <c r="B298" s="9">
        <f>4.8932 * CHOOSE(CONTROL!$C$32, $C$9, 100%, $E$9)</f>
        <v>4.8932000000000002</v>
      </c>
      <c r="C298" s="9">
        <f>4.8932 * CHOOSE(CONTROL!$C$32, $C$9, 100%, $E$9)</f>
        <v>4.8932000000000002</v>
      </c>
      <c r="D298" s="9">
        <f>4.8948 * CHOOSE(CONTROL!$C$32, $C$9, 100%, $E$9)</f>
        <v>4.8948</v>
      </c>
      <c r="E298" s="11">
        <f>6.4155 * CHOOSE(CONTROL!$C$32, $C$9, 100%, $E$9)</f>
        <v>6.4154999999999998</v>
      </c>
      <c r="F298" s="11">
        <f>6.4155 * CHOOSE(CONTROL!$C$32, $C$9, 100%, $E$9)</f>
        <v>6.4154999999999998</v>
      </c>
      <c r="G298" s="11">
        <f>6.4208 * CHOOSE(CONTROL!$C$32, $C$9, 100%, $E$9)</f>
        <v>6.4207999999999998</v>
      </c>
      <c r="H298" s="11">
        <f>10.4175 * CHOOSE(CONTROL!$C$32, $C$9, 100%, $E$9)</f>
        <v>10.4175</v>
      </c>
      <c r="I298" s="11">
        <f>10.4228 * CHOOSE(CONTROL!$C$32, $C$9, 100%, $E$9)</f>
        <v>10.422800000000001</v>
      </c>
      <c r="J298" s="11">
        <f>10.4175 * CHOOSE(CONTROL!$C$32, $C$9, 100%, $E$9)</f>
        <v>10.4175</v>
      </c>
      <c r="K298" s="11">
        <f>10.4228 * CHOOSE(CONTROL!$C$32, $C$9, 100%, $E$9)</f>
        <v>10.422800000000001</v>
      </c>
      <c r="L298" s="11">
        <f>6.4155 * CHOOSE(CONTROL!$C$32, $C$9, 100%, $E$9)</f>
        <v>6.4154999999999998</v>
      </c>
      <c r="M298" s="11">
        <f>6.4208 * CHOOSE(CONTROL!$C$32, $C$9, 100%, $E$9)</f>
        <v>6.4207999999999998</v>
      </c>
      <c r="N298" s="11">
        <f>6.4155 * CHOOSE(CONTROL!$C$32, $C$9, 100%, $E$9)</f>
        <v>6.4154999999999998</v>
      </c>
      <c r="O298" s="11">
        <f>6.4208 * CHOOSE(CONTROL!$C$32, $C$9, 100%, $E$9)</f>
        <v>6.4207999999999998</v>
      </c>
    </row>
    <row r="299" spans="1:15" ht="15" x14ac:dyDescent="0.2">
      <c r="A299" s="13">
        <v>49949</v>
      </c>
      <c r="B299" s="9">
        <f>4.8916 * CHOOSE(CONTROL!$C$32, $C$9, 100%, $E$9)</f>
        <v>4.8916000000000004</v>
      </c>
      <c r="C299" s="9">
        <f>4.8916 * CHOOSE(CONTROL!$C$32, $C$9, 100%, $E$9)</f>
        <v>4.8916000000000004</v>
      </c>
      <c r="D299" s="9">
        <f>4.8927 * CHOOSE(CONTROL!$C$32, $C$9, 100%, $E$9)</f>
        <v>4.8926999999999996</v>
      </c>
      <c r="E299" s="11">
        <f>6.4449 * CHOOSE(CONTROL!$C$32, $C$9, 100%, $E$9)</f>
        <v>6.4448999999999996</v>
      </c>
      <c r="F299" s="11">
        <f>6.4449 * CHOOSE(CONTROL!$C$32, $C$9, 100%, $E$9)</f>
        <v>6.4448999999999996</v>
      </c>
      <c r="G299" s="11">
        <f>6.4486 * CHOOSE(CONTROL!$C$32, $C$9, 100%, $E$9)</f>
        <v>6.4485999999999999</v>
      </c>
      <c r="H299" s="11">
        <f>10.4392 * CHOOSE(CONTROL!$C$32, $C$9, 100%, $E$9)</f>
        <v>10.4392</v>
      </c>
      <c r="I299" s="11">
        <f>10.4429 * CHOOSE(CONTROL!$C$32, $C$9, 100%, $E$9)</f>
        <v>10.4429</v>
      </c>
      <c r="J299" s="11">
        <f>10.4392 * CHOOSE(CONTROL!$C$32, $C$9, 100%, $E$9)</f>
        <v>10.4392</v>
      </c>
      <c r="K299" s="11">
        <f>10.4429 * CHOOSE(CONTROL!$C$32, $C$9, 100%, $E$9)</f>
        <v>10.4429</v>
      </c>
      <c r="L299" s="11">
        <f>6.4449 * CHOOSE(CONTROL!$C$32, $C$9, 100%, $E$9)</f>
        <v>6.4448999999999996</v>
      </c>
      <c r="M299" s="11">
        <f>6.4486 * CHOOSE(CONTROL!$C$32, $C$9, 100%, $E$9)</f>
        <v>6.4485999999999999</v>
      </c>
      <c r="N299" s="11">
        <f>6.4449 * CHOOSE(CONTROL!$C$32, $C$9, 100%, $E$9)</f>
        <v>6.4448999999999996</v>
      </c>
      <c r="O299" s="11">
        <f>6.4486 * CHOOSE(CONTROL!$C$32, $C$9, 100%, $E$9)</f>
        <v>6.4485999999999999</v>
      </c>
    </row>
    <row r="300" spans="1:15" ht="15" x14ac:dyDescent="0.2">
      <c r="A300" s="13">
        <v>49980</v>
      </c>
      <c r="B300" s="9">
        <f>4.8946 * CHOOSE(CONTROL!$C$32, $C$9, 100%, $E$9)</f>
        <v>4.8945999999999996</v>
      </c>
      <c r="C300" s="9">
        <f>4.8946 * CHOOSE(CONTROL!$C$32, $C$9, 100%, $E$9)</f>
        <v>4.8945999999999996</v>
      </c>
      <c r="D300" s="9">
        <f>4.8957 * CHOOSE(CONTROL!$C$32, $C$9, 100%, $E$9)</f>
        <v>4.8956999999999997</v>
      </c>
      <c r="E300" s="11">
        <f>6.4685 * CHOOSE(CONTROL!$C$32, $C$9, 100%, $E$9)</f>
        <v>6.4684999999999997</v>
      </c>
      <c r="F300" s="11">
        <f>6.4685 * CHOOSE(CONTROL!$C$32, $C$9, 100%, $E$9)</f>
        <v>6.4684999999999997</v>
      </c>
      <c r="G300" s="11">
        <f>6.4721 * CHOOSE(CONTROL!$C$32, $C$9, 100%, $E$9)</f>
        <v>6.4721000000000002</v>
      </c>
      <c r="H300" s="11">
        <f>10.461 * CHOOSE(CONTROL!$C$32, $C$9, 100%, $E$9)</f>
        <v>10.461</v>
      </c>
      <c r="I300" s="11">
        <f>10.4646 * CHOOSE(CONTROL!$C$32, $C$9, 100%, $E$9)</f>
        <v>10.464600000000001</v>
      </c>
      <c r="J300" s="11">
        <f>10.461 * CHOOSE(CONTROL!$C$32, $C$9, 100%, $E$9)</f>
        <v>10.461</v>
      </c>
      <c r="K300" s="11">
        <f>10.4646 * CHOOSE(CONTROL!$C$32, $C$9, 100%, $E$9)</f>
        <v>10.464600000000001</v>
      </c>
      <c r="L300" s="11">
        <f>6.4685 * CHOOSE(CONTROL!$C$32, $C$9, 100%, $E$9)</f>
        <v>6.4684999999999997</v>
      </c>
      <c r="M300" s="11">
        <f>6.4721 * CHOOSE(CONTROL!$C$32, $C$9, 100%, $E$9)</f>
        <v>6.4721000000000002</v>
      </c>
      <c r="N300" s="11">
        <f>6.4685 * CHOOSE(CONTROL!$C$32, $C$9, 100%, $E$9)</f>
        <v>6.4684999999999997</v>
      </c>
      <c r="O300" s="11">
        <f>6.4721 * CHOOSE(CONTROL!$C$32, $C$9, 100%, $E$9)</f>
        <v>6.4721000000000002</v>
      </c>
    </row>
    <row r="301" spans="1:15" ht="15" x14ac:dyDescent="0.2">
      <c r="A301" s="13">
        <v>50010</v>
      </c>
      <c r="B301" s="9">
        <f>4.8946 * CHOOSE(CONTROL!$C$32, $C$9, 100%, $E$9)</f>
        <v>4.8945999999999996</v>
      </c>
      <c r="C301" s="9">
        <f>4.8946 * CHOOSE(CONTROL!$C$32, $C$9, 100%, $E$9)</f>
        <v>4.8945999999999996</v>
      </c>
      <c r="D301" s="9">
        <f>4.8957 * CHOOSE(CONTROL!$C$32, $C$9, 100%, $E$9)</f>
        <v>4.8956999999999997</v>
      </c>
      <c r="E301" s="11">
        <f>6.4149 * CHOOSE(CONTROL!$C$32, $C$9, 100%, $E$9)</f>
        <v>6.4149000000000003</v>
      </c>
      <c r="F301" s="11">
        <f>6.4149 * CHOOSE(CONTROL!$C$32, $C$9, 100%, $E$9)</f>
        <v>6.4149000000000003</v>
      </c>
      <c r="G301" s="11">
        <f>6.4185 * CHOOSE(CONTROL!$C$32, $C$9, 100%, $E$9)</f>
        <v>6.4184999999999999</v>
      </c>
      <c r="H301" s="11">
        <f>10.4828 * CHOOSE(CONTROL!$C$32, $C$9, 100%, $E$9)</f>
        <v>10.482799999999999</v>
      </c>
      <c r="I301" s="11">
        <f>10.4864 * CHOOSE(CONTROL!$C$32, $C$9, 100%, $E$9)</f>
        <v>10.4864</v>
      </c>
      <c r="J301" s="11">
        <f>10.4828 * CHOOSE(CONTROL!$C$32, $C$9, 100%, $E$9)</f>
        <v>10.482799999999999</v>
      </c>
      <c r="K301" s="11">
        <f>10.4864 * CHOOSE(CONTROL!$C$32, $C$9, 100%, $E$9)</f>
        <v>10.4864</v>
      </c>
      <c r="L301" s="11">
        <f>6.4149 * CHOOSE(CONTROL!$C$32, $C$9, 100%, $E$9)</f>
        <v>6.4149000000000003</v>
      </c>
      <c r="M301" s="11">
        <f>6.4185 * CHOOSE(CONTROL!$C$32, $C$9, 100%, $E$9)</f>
        <v>6.4184999999999999</v>
      </c>
      <c r="N301" s="11">
        <f>6.4149 * CHOOSE(CONTROL!$C$32, $C$9, 100%, $E$9)</f>
        <v>6.4149000000000003</v>
      </c>
      <c r="O301" s="11">
        <f>6.4185 * CHOOSE(CONTROL!$C$32, $C$9, 100%, $E$9)</f>
        <v>6.4184999999999999</v>
      </c>
    </row>
    <row r="302" spans="1:15" ht="15" x14ac:dyDescent="0.2">
      <c r="A302" s="13">
        <v>50041</v>
      </c>
      <c r="B302" s="9">
        <f>4.9322 * CHOOSE(CONTROL!$C$32, $C$9, 100%, $E$9)</f>
        <v>4.9321999999999999</v>
      </c>
      <c r="C302" s="9">
        <f>4.9322 * CHOOSE(CONTROL!$C$32, $C$9, 100%, $E$9)</f>
        <v>4.9321999999999999</v>
      </c>
      <c r="D302" s="9">
        <f>4.9333 * CHOOSE(CONTROL!$C$32, $C$9, 100%, $E$9)</f>
        <v>4.9333</v>
      </c>
      <c r="E302" s="11">
        <f>6.4909 * CHOOSE(CONTROL!$C$32, $C$9, 100%, $E$9)</f>
        <v>6.4908999999999999</v>
      </c>
      <c r="F302" s="11">
        <f>6.4909 * CHOOSE(CONTROL!$C$32, $C$9, 100%, $E$9)</f>
        <v>6.4908999999999999</v>
      </c>
      <c r="G302" s="11">
        <f>6.4945 * CHOOSE(CONTROL!$C$32, $C$9, 100%, $E$9)</f>
        <v>6.4945000000000004</v>
      </c>
      <c r="H302" s="11">
        <f>10.5046 * CHOOSE(CONTROL!$C$32, $C$9, 100%, $E$9)</f>
        <v>10.5046</v>
      </c>
      <c r="I302" s="11">
        <f>10.5082 * CHOOSE(CONTROL!$C$32, $C$9, 100%, $E$9)</f>
        <v>10.5082</v>
      </c>
      <c r="J302" s="11">
        <f>10.5046 * CHOOSE(CONTROL!$C$32, $C$9, 100%, $E$9)</f>
        <v>10.5046</v>
      </c>
      <c r="K302" s="11">
        <f>10.5082 * CHOOSE(CONTROL!$C$32, $C$9, 100%, $E$9)</f>
        <v>10.5082</v>
      </c>
      <c r="L302" s="11">
        <f>6.4909 * CHOOSE(CONTROL!$C$32, $C$9, 100%, $E$9)</f>
        <v>6.4908999999999999</v>
      </c>
      <c r="M302" s="11">
        <f>6.4945 * CHOOSE(CONTROL!$C$32, $C$9, 100%, $E$9)</f>
        <v>6.4945000000000004</v>
      </c>
      <c r="N302" s="11">
        <f>6.4909 * CHOOSE(CONTROL!$C$32, $C$9, 100%, $E$9)</f>
        <v>6.4908999999999999</v>
      </c>
      <c r="O302" s="11">
        <f>6.4945 * CHOOSE(CONTROL!$C$32, $C$9, 100%, $E$9)</f>
        <v>6.4945000000000004</v>
      </c>
    </row>
    <row r="303" spans="1:15" ht="15" x14ac:dyDescent="0.2">
      <c r="A303" s="13">
        <v>50072</v>
      </c>
      <c r="B303" s="9">
        <f>4.9291 * CHOOSE(CONTROL!$C$32, $C$9, 100%, $E$9)</f>
        <v>4.9291</v>
      </c>
      <c r="C303" s="9">
        <f>4.9291 * CHOOSE(CONTROL!$C$32, $C$9, 100%, $E$9)</f>
        <v>4.9291</v>
      </c>
      <c r="D303" s="9">
        <f>4.9302 * CHOOSE(CONTROL!$C$32, $C$9, 100%, $E$9)</f>
        <v>4.9302000000000001</v>
      </c>
      <c r="E303" s="11">
        <f>6.3843 * CHOOSE(CONTROL!$C$32, $C$9, 100%, $E$9)</f>
        <v>6.3842999999999996</v>
      </c>
      <c r="F303" s="11">
        <f>6.3843 * CHOOSE(CONTROL!$C$32, $C$9, 100%, $E$9)</f>
        <v>6.3842999999999996</v>
      </c>
      <c r="G303" s="11">
        <f>6.3879 * CHOOSE(CONTROL!$C$32, $C$9, 100%, $E$9)</f>
        <v>6.3879000000000001</v>
      </c>
      <c r="H303" s="11">
        <f>10.5265 * CHOOSE(CONTROL!$C$32, $C$9, 100%, $E$9)</f>
        <v>10.5265</v>
      </c>
      <c r="I303" s="11">
        <f>10.5301 * CHOOSE(CONTROL!$C$32, $C$9, 100%, $E$9)</f>
        <v>10.530099999999999</v>
      </c>
      <c r="J303" s="11">
        <f>10.5265 * CHOOSE(CONTROL!$C$32, $C$9, 100%, $E$9)</f>
        <v>10.5265</v>
      </c>
      <c r="K303" s="11">
        <f>10.5301 * CHOOSE(CONTROL!$C$32, $C$9, 100%, $E$9)</f>
        <v>10.530099999999999</v>
      </c>
      <c r="L303" s="11">
        <f>6.3843 * CHOOSE(CONTROL!$C$32, $C$9, 100%, $E$9)</f>
        <v>6.3842999999999996</v>
      </c>
      <c r="M303" s="11">
        <f>6.3879 * CHOOSE(CONTROL!$C$32, $C$9, 100%, $E$9)</f>
        <v>6.3879000000000001</v>
      </c>
      <c r="N303" s="11">
        <f>6.3843 * CHOOSE(CONTROL!$C$32, $C$9, 100%, $E$9)</f>
        <v>6.3842999999999996</v>
      </c>
      <c r="O303" s="11">
        <f>6.3879 * CHOOSE(CONTROL!$C$32, $C$9, 100%, $E$9)</f>
        <v>6.3879000000000001</v>
      </c>
    </row>
    <row r="304" spans="1:15" ht="15" x14ac:dyDescent="0.2">
      <c r="A304" s="13">
        <v>50100</v>
      </c>
      <c r="B304" s="9">
        <f>4.9261 * CHOOSE(CONTROL!$C$32, $C$9, 100%, $E$9)</f>
        <v>4.9260999999999999</v>
      </c>
      <c r="C304" s="9">
        <f>4.9261 * CHOOSE(CONTROL!$C$32, $C$9, 100%, $E$9)</f>
        <v>4.9260999999999999</v>
      </c>
      <c r="D304" s="9">
        <f>4.9272 * CHOOSE(CONTROL!$C$32, $C$9, 100%, $E$9)</f>
        <v>4.9272</v>
      </c>
      <c r="E304" s="11">
        <f>6.4645 * CHOOSE(CONTROL!$C$32, $C$9, 100%, $E$9)</f>
        <v>6.4645000000000001</v>
      </c>
      <c r="F304" s="11">
        <f>6.4645 * CHOOSE(CONTROL!$C$32, $C$9, 100%, $E$9)</f>
        <v>6.4645000000000001</v>
      </c>
      <c r="G304" s="11">
        <f>6.4681 * CHOOSE(CONTROL!$C$32, $C$9, 100%, $E$9)</f>
        <v>6.4680999999999997</v>
      </c>
      <c r="H304" s="11">
        <f>10.5484 * CHOOSE(CONTROL!$C$32, $C$9, 100%, $E$9)</f>
        <v>10.548400000000001</v>
      </c>
      <c r="I304" s="11">
        <f>10.5521 * CHOOSE(CONTROL!$C$32, $C$9, 100%, $E$9)</f>
        <v>10.552099999999999</v>
      </c>
      <c r="J304" s="11">
        <f>10.5484 * CHOOSE(CONTROL!$C$32, $C$9, 100%, $E$9)</f>
        <v>10.548400000000001</v>
      </c>
      <c r="K304" s="11">
        <f>10.5521 * CHOOSE(CONTROL!$C$32, $C$9, 100%, $E$9)</f>
        <v>10.552099999999999</v>
      </c>
      <c r="L304" s="11">
        <f>6.4645 * CHOOSE(CONTROL!$C$32, $C$9, 100%, $E$9)</f>
        <v>6.4645000000000001</v>
      </c>
      <c r="M304" s="11">
        <f>6.4681 * CHOOSE(CONTROL!$C$32, $C$9, 100%, $E$9)</f>
        <v>6.4680999999999997</v>
      </c>
      <c r="N304" s="11">
        <f>6.4645 * CHOOSE(CONTROL!$C$32, $C$9, 100%, $E$9)</f>
        <v>6.4645000000000001</v>
      </c>
      <c r="O304" s="11">
        <f>6.4681 * CHOOSE(CONTROL!$C$32, $C$9, 100%, $E$9)</f>
        <v>6.4680999999999997</v>
      </c>
    </row>
    <row r="305" spans="1:15" ht="15" x14ac:dyDescent="0.2">
      <c r="A305" s="13">
        <v>50131</v>
      </c>
      <c r="B305" s="9">
        <f>4.9246 * CHOOSE(CONTROL!$C$32, $C$9, 100%, $E$9)</f>
        <v>4.9245999999999999</v>
      </c>
      <c r="C305" s="9">
        <f>4.9246 * CHOOSE(CONTROL!$C$32, $C$9, 100%, $E$9)</f>
        <v>4.9245999999999999</v>
      </c>
      <c r="D305" s="9">
        <f>4.9257 * CHOOSE(CONTROL!$C$32, $C$9, 100%, $E$9)</f>
        <v>4.9257</v>
      </c>
      <c r="E305" s="11">
        <f>6.5488 * CHOOSE(CONTROL!$C$32, $C$9, 100%, $E$9)</f>
        <v>6.5488</v>
      </c>
      <c r="F305" s="11">
        <f>6.5488 * CHOOSE(CONTROL!$C$32, $C$9, 100%, $E$9)</f>
        <v>6.5488</v>
      </c>
      <c r="G305" s="11">
        <f>6.5524 * CHOOSE(CONTROL!$C$32, $C$9, 100%, $E$9)</f>
        <v>6.5523999999999996</v>
      </c>
      <c r="H305" s="11">
        <f>10.5704 * CHOOSE(CONTROL!$C$32, $C$9, 100%, $E$9)</f>
        <v>10.570399999999999</v>
      </c>
      <c r="I305" s="11">
        <f>10.574 * CHOOSE(CONTROL!$C$32, $C$9, 100%, $E$9)</f>
        <v>10.574</v>
      </c>
      <c r="J305" s="11">
        <f>10.5704 * CHOOSE(CONTROL!$C$32, $C$9, 100%, $E$9)</f>
        <v>10.570399999999999</v>
      </c>
      <c r="K305" s="11">
        <f>10.574 * CHOOSE(CONTROL!$C$32, $C$9, 100%, $E$9)</f>
        <v>10.574</v>
      </c>
      <c r="L305" s="11">
        <f>6.5488 * CHOOSE(CONTROL!$C$32, $C$9, 100%, $E$9)</f>
        <v>6.5488</v>
      </c>
      <c r="M305" s="11">
        <f>6.5524 * CHOOSE(CONTROL!$C$32, $C$9, 100%, $E$9)</f>
        <v>6.5523999999999996</v>
      </c>
      <c r="N305" s="11">
        <f>6.5488 * CHOOSE(CONTROL!$C$32, $C$9, 100%, $E$9)</f>
        <v>6.5488</v>
      </c>
      <c r="O305" s="11">
        <f>6.5524 * CHOOSE(CONTROL!$C$32, $C$9, 100%, $E$9)</f>
        <v>6.5523999999999996</v>
      </c>
    </row>
    <row r="306" spans="1:15" ht="15" x14ac:dyDescent="0.2">
      <c r="A306" s="13">
        <v>50161</v>
      </c>
      <c r="B306" s="9">
        <f>4.9246 * CHOOSE(CONTROL!$C$32, $C$9, 100%, $E$9)</f>
        <v>4.9245999999999999</v>
      </c>
      <c r="C306" s="9">
        <f>4.9246 * CHOOSE(CONTROL!$C$32, $C$9, 100%, $E$9)</f>
        <v>4.9245999999999999</v>
      </c>
      <c r="D306" s="9">
        <f>4.9262 * CHOOSE(CONTROL!$C$32, $C$9, 100%, $E$9)</f>
        <v>4.9261999999999997</v>
      </c>
      <c r="E306" s="11">
        <f>6.5819 * CHOOSE(CONTROL!$C$32, $C$9, 100%, $E$9)</f>
        <v>6.5819000000000001</v>
      </c>
      <c r="F306" s="11">
        <f>6.5819 * CHOOSE(CONTROL!$C$32, $C$9, 100%, $E$9)</f>
        <v>6.5819000000000001</v>
      </c>
      <c r="G306" s="11">
        <f>6.5872 * CHOOSE(CONTROL!$C$32, $C$9, 100%, $E$9)</f>
        <v>6.5872000000000002</v>
      </c>
      <c r="H306" s="11">
        <f>10.5924 * CHOOSE(CONTROL!$C$32, $C$9, 100%, $E$9)</f>
        <v>10.5924</v>
      </c>
      <c r="I306" s="11">
        <f>10.5977 * CHOOSE(CONTROL!$C$32, $C$9, 100%, $E$9)</f>
        <v>10.5977</v>
      </c>
      <c r="J306" s="11">
        <f>10.5924 * CHOOSE(CONTROL!$C$32, $C$9, 100%, $E$9)</f>
        <v>10.5924</v>
      </c>
      <c r="K306" s="11">
        <f>10.5977 * CHOOSE(CONTROL!$C$32, $C$9, 100%, $E$9)</f>
        <v>10.5977</v>
      </c>
      <c r="L306" s="11">
        <f>6.5819 * CHOOSE(CONTROL!$C$32, $C$9, 100%, $E$9)</f>
        <v>6.5819000000000001</v>
      </c>
      <c r="M306" s="11">
        <f>6.5872 * CHOOSE(CONTROL!$C$32, $C$9, 100%, $E$9)</f>
        <v>6.5872000000000002</v>
      </c>
      <c r="N306" s="11">
        <f>6.5819 * CHOOSE(CONTROL!$C$32, $C$9, 100%, $E$9)</f>
        <v>6.5819000000000001</v>
      </c>
      <c r="O306" s="11">
        <f>6.5872 * CHOOSE(CONTROL!$C$32, $C$9, 100%, $E$9)</f>
        <v>6.5872000000000002</v>
      </c>
    </row>
    <row r="307" spans="1:15" ht="15" x14ac:dyDescent="0.2">
      <c r="A307" s="13">
        <v>50192</v>
      </c>
      <c r="B307" s="9">
        <f>4.9307 * CHOOSE(CONTROL!$C$32, $C$9, 100%, $E$9)</f>
        <v>4.9306999999999999</v>
      </c>
      <c r="C307" s="9">
        <f>4.9307 * CHOOSE(CONTROL!$C$32, $C$9, 100%, $E$9)</f>
        <v>4.9306999999999999</v>
      </c>
      <c r="D307" s="9">
        <f>4.9323 * CHOOSE(CONTROL!$C$32, $C$9, 100%, $E$9)</f>
        <v>4.9322999999999997</v>
      </c>
      <c r="E307" s="11">
        <f>6.553 * CHOOSE(CONTROL!$C$32, $C$9, 100%, $E$9)</f>
        <v>6.5529999999999999</v>
      </c>
      <c r="F307" s="11">
        <f>6.553 * CHOOSE(CONTROL!$C$32, $C$9, 100%, $E$9)</f>
        <v>6.5529999999999999</v>
      </c>
      <c r="G307" s="11">
        <f>6.5583 * CHOOSE(CONTROL!$C$32, $C$9, 100%, $E$9)</f>
        <v>6.5583</v>
      </c>
      <c r="H307" s="11">
        <f>10.6145 * CHOOSE(CONTROL!$C$32, $C$9, 100%, $E$9)</f>
        <v>10.6145</v>
      </c>
      <c r="I307" s="11">
        <f>10.6198 * CHOOSE(CONTROL!$C$32, $C$9, 100%, $E$9)</f>
        <v>10.6198</v>
      </c>
      <c r="J307" s="11">
        <f>10.6145 * CHOOSE(CONTROL!$C$32, $C$9, 100%, $E$9)</f>
        <v>10.6145</v>
      </c>
      <c r="K307" s="11">
        <f>10.6198 * CHOOSE(CONTROL!$C$32, $C$9, 100%, $E$9)</f>
        <v>10.6198</v>
      </c>
      <c r="L307" s="11">
        <f>6.553 * CHOOSE(CONTROL!$C$32, $C$9, 100%, $E$9)</f>
        <v>6.5529999999999999</v>
      </c>
      <c r="M307" s="11">
        <f>6.5583 * CHOOSE(CONTROL!$C$32, $C$9, 100%, $E$9)</f>
        <v>6.5583</v>
      </c>
      <c r="N307" s="11">
        <f>6.553 * CHOOSE(CONTROL!$C$32, $C$9, 100%, $E$9)</f>
        <v>6.5529999999999999</v>
      </c>
      <c r="O307" s="11">
        <f>6.5583 * CHOOSE(CONTROL!$C$32, $C$9, 100%, $E$9)</f>
        <v>6.5583</v>
      </c>
    </row>
    <row r="308" spans="1:15" ht="15" x14ac:dyDescent="0.2">
      <c r="A308" s="13">
        <v>50222</v>
      </c>
      <c r="B308" s="9">
        <f>4.9977 * CHOOSE(CONTROL!$C$32, $C$9, 100%, $E$9)</f>
        <v>4.9977</v>
      </c>
      <c r="C308" s="9">
        <f>4.9977 * CHOOSE(CONTROL!$C$32, $C$9, 100%, $E$9)</f>
        <v>4.9977</v>
      </c>
      <c r="D308" s="9">
        <f>4.9993 * CHOOSE(CONTROL!$C$32, $C$9, 100%, $E$9)</f>
        <v>4.9992999999999999</v>
      </c>
      <c r="E308" s="11">
        <f>6.6146 * CHOOSE(CONTROL!$C$32, $C$9, 100%, $E$9)</f>
        <v>6.6146000000000003</v>
      </c>
      <c r="F308" s="11">
        <f>6.6146 * CHOOSE(CONTROL!$C$32, $C$9, 100%, $E$9)</f>
        <v>6.6146000000000003</v>
      </c>
      <c r="G308" s="11">
        <f>6.6199 * CHOOSE(CONTROL!$C$32, $C$9, 100%, $E$9)</f>
        <v>6.6199000000000003</v>
      </c>
      <c r="H308" s="11">
        <f>10.6366 * CHOOSE(CONTROL!$C$32, $C$9, 100%, $E$9)</f>
        <v>10.6366</v>
      </c>
      <c r="I308" s="11">
        <f>10.6419 * CHOOSE(CONTROL!$C$32, $C$9, 100%, $E$9)</f>
        <v>10.6419</v>
      </c>
      <c r="J308" s="11">
        <f>10.6366 * CHOOSE(CONTROL!$C$32, $C$9, 100%, $E$9)</f>
        <v>10.6366</v>
      </c>
      <c r="K308" s="11">
        <f>10.6419 * CHOOSE(CONTROL!$C$32, $C$9, 100%, $E$9)</f>
        <v>10.6419</v>
      </c>
      <c r="L308" s="11">
        <f>6.6146 * CHOOSE(CONTROL!$C$32, $C$9, 100%, $E$9)</f>
        <v>6.6146000000000003</v>
      </c>
      <c r="M308" s="11">
        <f>6.6199 * CHOOSE(CONTROL!$C$32, $C$9, 100%, $E$9)</f>
        <v>6.6199000000000003</v>
      </c>
      <c r="N308" s="11">
        <f>6.6146 * CHOOSE(CONTROL!$C$32, $C$9, 100%, $E$9)</f>
        <v>6.6146000000000003</v>
      </c>
      <c r="O308" s="11">
        <f>6.6199 * CHOOSE(CONTROL!$C$32, $C$9, 100%, $E$9)</f>
        <v>6.6199000000000003</v>
      </c>
    </row>
    <row r="309" spans="1:15" ht="15" x14ac:dyDescent="0.2">
      <c r="A309" s="13">
        <v>50253</v>
      </c>
      <c r="B309" s="9">
        <f>5.0044 * CHOOSE(CONTROL!$C$32, $C$9, 100%, $E$9)</f>
        <v>5.0044000000000004</v>
      </c>
      <c r="C309" s="9">
        <f>5.0044 * CHOOSE(CONTROL!$C$32, $C$9, 100%, $E$9)</f>
        <v>5.0044000000000004</v>
      </c>
      <c r="D309" s="9">
        <f>5.006 * CHOOSE(CONTROL!$C$32, $C$9, 100%, $E$9)</f>
        <v>5.0060000000000002</v>
      </c>
      <c r="E309" s="11">
        <f>6.5198 * CHOOSE(CONTROL!$C$32, $C$9, 100%, $E$9)</f>
        <v>6.5198</v>
      </c>
      <c r="F309" s="11">
        <f>6.5198 * CHOOSE(CONTROL!$C$32, $C$9, 100%, $E$9)</f>
        <v>6.5198</v>
      </c>
      <c r="G309" s="11">
        <f>6.525 * CHOOSE(CONTROL!$C$32, $C$9, 100%, $E$9)</f>
        <v>6.5250000000000004</v>
      </c>
      <c r="H309" s="11">
        <f>10.6588 * CHOOSE(CONTROL!$C$32, $C$9, 100%, $E$9)</f>
        <v>10.658799999999999</v>
      </c>
      <c r="I309" s="11">
        <f>10.6641 * CHOOSE(CONTROL!$C$32, $C$9, 100%, $E$9)</f>
        <v>10.664099999999999</v>
      </c>
      <c r="J309" s="11">
        <f>10.6588 * CHOOSE(CONTROL!$C$32, $C$9, 100%, $E$9)</f>
        <v>10.658799999999999</v>
      </c>
      <c r="K309" s="11">
        <f>10.6641 * CHOOSE(CONTROL!$C$32, $C$9, 100%, $E$9)</f>
        <v>10.664099999999999</v>
      </c>
      <c r="L309" s="11">
        <f>6.5198 * CHOOSE(CONTROL!$C$32, $C$9, 100%, $E$9)</f>
        <v>6.5198</v>
      </c>
      <c r="M309" s="11">
        <f>6.525 * CHOOSE(CONTROL!$C$32, $C$9, 100%, $E$9)</f>
        <v>6.5250000000000004</v>
      </c>
      <c r="N309" s="11">
        <f>6.5198 * CHOOSE(CONTROL!$C$32, $C$9, 100%, $E$9)</f>
        <v>6.5198</v>
      </c>
      <c r="O309" s="11">
        <f>6.525 * CHOOSE(CONTROL!$C$32, $C$9, 100%, $E$9)</f>
        <v>6.5250000000000004</v>
      </c>
    </row>
    <row r="310" spans="1:15" ht="15" x14ac:dyDescent="0.2">
      <c r="A310" s="13">
        <v>50284</v>
      </c>
      <c r="B310" s="9">
        <f>5.0014 * CHOOSE(CONTROL!$C$32, $C$9, 100%, $E$9)</f>
        <v>5.0014000000000003</v>
      </c>
      <c r="C310" s="9">
        <f>5.0014 * CHOOSE(CONTROL!$C$32, $C$9, 100%, $E$9)</f>
        <v>5.0014000000000003</v>
      </c>
      <c r="D310" s="9">
        <f>5.003 * CHOOSE(CONTROL!$C$32, $C$9, 100%, $E$9)</f>
        <v>5.0030000000000001</v>
      </c>
      <c r="E310" s="11">
        <f>6.5066 * CHOOSE(CONTROL!$C$32, $C$9, 100%, $E$9)</f>
        <v>6.5065999999999997</v>
      </c>
      <c r="F310" s="11">
        <f>6.5066 * CHOOSE(CONTROL!$C$32, $C$9, 100%, $E$9)</f>
        <v>6.5065999999999997</v>
      </c>
      <c r="G310" s="11">
        <f>6.5119 * CHOOSE(CONTROL!$C$32, $C$9, 100%, $E$9)</f>
        <v>6.5118999999999998</v>
      </c>
      <c r="H310" s="11">
        <f>10.681 * CHOOSE(CONTROL!$C$32, $C$9, 100%, $E$9)</f>
        <v>10.680999999999999</v>
      </c>
      <c r="I310" s="11">
        <f>10.6863 * CHOOSE(CONTROL!$C$32, $C$9, 100%, $E$9)</f>
        <v>10.686299999999999</v>
      </c>
      <c r="J310" s="11">
        <f>10.681 * CHOOSE(CONTROL!$C$32, $C$9, 100%, $E$9)</f>
        <v>10.680999999999999</v>
      </c>
      <c r="K310" s="11">
        <f>10.6863 * CHOOSE(CONTROL!$C$32, $C$9, 100%, $E$9)</f>
        <v>10.686299999999999</v>
      </c>
      <c r="L310" s="11">
        <f>6.5066 * CHOOSE(CONTROL!$C$32, $C$9, 100%, $E$9)</f>
        <v>6.5065999999999997</v>
      </c>
      <c r="M310" s="11">
        <f>6.5119 * CHOOSE(CONTROL!$C$32, $C$9, 100%, $E$9)</f>
        <v>6.5118999999999998</v>
      </c>
      <c r="N310" s="11">
        <f>6.5066 * CHOOSE(CONTROL!$C$32, $C$9, 100%, $E$9)</f>
        <v>6.5065999999999997</v>
      </c>
      <c r="O310" s="11">
        <f>6.5119 * CHOOSE(CONTROL!$C$32, $C$9, 100%, $E$9)</f>
        <v>6.5118999999999998</v>
      </c>
    </row>
    <row r="311" spans="1:15" ht="15" x14ac:dyDescent="0.2">
      <c r="A311" s="13">
        <v>50314</v>
      </c>
      <c r="B311" s="9">
        <f>5.0002 * CHOOSE(CONTROL!$C$32, $C$9, 100%, $E$9)</f>
        <v>5.0002000000000004</v>
      </c>
      <c r="C311" s="9">
        <f>5.0002 * CHOOSE(CONTROL!$C$32, $C$9, 100%, $E$9)</f>
        <v>5.0002000000000004</v>
      </c>
      <c r="D311" s="9">
        <f>5.0012 * CHOOSE(CONTROL!$C$32, $C$9, 100%, $E$9)</f>
        <v>5.0011999999999999</v>
      </c>
      <c r="E311" s="11">
        <f>6.5374 * CHOOSE(CONTROL!$C$32, $C$9, 100%, $E$9)</f>
        <v>6.5373999999999999</v>
      </c>
      <c r="F311" s="11">
        <f>6.5374 * CHOOSE(CONTROL!$C$32, $C$9, 100%, $E$9)</f>
        <v>6.5373999999999999</v>
      </c>
      <c r="G311" s="11">
        <f>6.541 * CHOOSE(CONTROL!$C$32, $C$9, 100%, $E$9)</f>
        <v>6.5410000000000004</v>
      </c>
      <c r="H311" s="11">
        <f>10.7032 * CHOOSE(CONTROL!$C$32, $C$9, 100%, $E$9)</f>
        <v>10.703200000000001</v>
      </c>
      <c r="I311" s="11">
        <f>10.7069 * CHOOSE(CONTROL!$C$32, $C$9, 100%, $E$9)</f>
        <v>10.706899999999999</v>
      </c>
      <c r="J311" s="11">
        <f>10.7032 * CHOOSE(CONTROL!$C$32, $C$9, 100%, $E$9)</f>
        <v>10.703200000000001</v>
      </c>
      <c r="K311" s="11">
        <f>10.7069 * CHOOSE(CONTROL!$C$32, $C$9, 100%, $E$9)</f>
        <v>10.706899999999999</v>
      </c>
      <c r="L311" s="11">
        <f>6.5374 * CHOOSE(CONTROL!$C$32, $C$9, 100%, $E$9)</f>
        <v>6.5373999999999999</v>
      </c>
      <c r="M311" s="11">
        <f>6.541 * CHOOSE(CONTROL!$C$32, $C$9, 100%, $E$9)</f>
        <v>6.5410000000000004</v>
      </c>
      <c r="N311" s="11">
        <f>6.5374 * CHOOSE(CONTROL!$C$32, $C$9, 100%, $E$9)</f>
        <v>6.5373999999999999</v>
      </c>
      <c r="O311" s="11">
        <f>6.541 * CHOOSE(CONTROL!$C$32, $C$9, 100%, $E$9)</f>
        <v>6.5410000000000004</v>
      </c>
    </row>
    <row r="312" spans="1:15" ht="15" x14ac:dyDescent="0.2">
      <c r="A312" s="13">
        <v>50345</v>
      </c>
      <c r="B312" s="9">
        <f>5.0032 * CHOOSE(CONTROL!$C$32, $C$9, 100%, $E$9)</f>
        <v>5.0031999999999996</v>
      </c>
      <c r="C312" s="9">
        <f>5.0032 * CHOOSE(CONTROL!$C$32, $C$9, 100%, $E$9)</f>
        <v>5.0031999999999996</v>
      </c>
      <c r="D312" s="9">
        <f>5.0043 * CHOOSE(CONTROL!$C$32, $C$9, 100%, $E$9)</f>
        <v>5.0042999999999997</v>
      </c>
      <c r="E312" s="11">
        <f>6.5616 * CHOOSE(CONTROL!$C$32, $C$9, 100%, $E$9)</f>
        <v>6.5616000000000003</v>
      </c>
      <c r="F312" s="11">
        <f>6.5616 * CHOOSE(CONTROL!$C$32, $C$9, 100%, $E$9)</f>
        <v>6.5616000000000003</v>
      </c>
      <c r="G312" s="11">
        <f>6.5652 * CHOOSE(CONTROL!$C$32, $C$9, 100%, $E$9)</f>
        <v>6.5651999999999999</v>
      </c>
      <c r="H312" s="11">
        <f>10.7255 * CHOOSE(CONTROL!$C$32, $C$9, 100%, $E$9)</f>
        <v>10.7255</v>
      </c>
      <c r="I312" s="11">
        <f>10.7291 * CHOOSE(CONTROL!$C$32, $C$9, 100%, $E$9)</f>
        <v>10.729100000000001</v>
      </c>
      <c r="J312" s="11">
        <f>10.7255 * CHOOSE(CONTROL!$C$32, $C$9, 100%, $E$9)</f>
        <v>10.7255</v>
      </c>
      <c r="K312" s="11">
        <f>10.7291 * CHOOSE(CONTROL!$C$32, $C$9, 100%, $E$9)</f>
        <v>10.729100000000001</v>
      </c>
      <c r="L312" s="11">
        <f>6.5616 * CHOOSE(CONTROL!$C$32, $C$9, 100%, $E$9)</f>
        <v>6.5616000000000003</v>
      </c>
      <c r="M312" s="11">
        <f>6.5652 * CHOOSE(CONTROL!$C$32, $C$9, 100%, $E$9)</f>
        <v>6.5651999999999999</v>
      </c>
      <c r="N312" s="11">
        <f>6.5616 * CHOOSE(CONTROL!$C$32, $C$9, 100%, $E$9)</f>
        <v>6.5616000000000003</v>
      </c>
      <c r="O312" s="11">
        <f>6.5652 * CHOOSE(CONTROL!$C$32, $C$9, 100%, $E$9)</f>
        <v>6.5651999999999999</v>
      </c>
    </row>
    <row r="313" spans="1:15" ht="15" x14ac:dyDescent="0.2">
      <c r="A313" s="13">
        <v>50375</v>
      </c>
      <c r="B313" s="9">
        <f>5.0032 * CHOOSE(CONTROL!$C$32, $C$9, 100%, $E$9)</f>
        <v>5.0031999999999996</v>
      </c>
      <c r="C313" s="9">
        <f>5.0032 * CHOOSE(CONTROL!$C$32, $C$9, 100%, $E$9)</f>
        <v>5.0031999999999996</v>
      </c>
      <c r="D313" s="9">
        <f>5.0043 * CHOOSE(CONTROL!$C$32, $C$9, 100%, $E$9)</f>
        <v>5.0042999999999997</v>
      </c>
      <c r="E313" s="11">
        <f>6.5063 * CHOOSE(CONTROL!$C$32, $C$9, 100%, $E$9)</f>
        <v>6.5063000000000004</v>
      </c>
      <c r="F313" s="11">
        <f>6.5063 * CHOOSE(CONTROL!$C$32, $C$9, 100%, $E$9)</f>
        <v>6.5063000000000004</v>
      </c>
      <c r="G313" s="11">
        <f>6.51 * CHOOSE(CONTROL!$C$32, $C$9, 100%, $E$9)</f>
        <v>6.51</v>
      </c>
      <c r="H313" s="11">
        <f>10.7479 * CHOOSE(CONTROL!$C$32, $C$9, 100%, $E$9)</f>
        <v>10.7479</v>
      </c>
      <c r="I313" s="11">
        <f>10.7515 * CHOOSE(CONTROL!$C$32, $C$9, 100%, $E$9)</f>
        <v>10.7515</v>
      </c>
      <c r="J313" s="11">
        <f>10.7479 * CHOOSE(CONTROL!$C$32, $C$9, 100%, $E$9)</f>
        <v>10.7479</v>
      </c>
      <c r="K313" s="11">
        <f>10.7515 * CHOOSE(CONTROL!$C$32, $C$9, 100%, $E$9)</f>
        <v>10.7515</v>
      </c>
      <c r="L313" s="11">
        <f>6.5063 * CHOOSE(CONTROL!$C$32, $C$9, 100%, $E$9)</f>
        <v>6.5063000000000004</v>
      </c>
      <c r="M313" s="11">
        <f>6.51 * CHOOSE(CONTROL!$C$32, $C$9, 100%, $E$9)</f>
        <v>6.51</v>
      </c>
      <c r="N313" s="11">
        <f>6.5063 * CHOOSE(CONTROL!$C$32, $C$9, 100%, $E$9)</f>
        <v>6.5063000000000004</v>
      </c>
      <c r="O313" s="11">
        <f>6.51 * CHOOSE(CONTROL!$C$32, $C$9, 100%, $E$9)</f>
        <v>6.51</v>
      </c>
    </row>
    <row r="314" spans="1:15" ht="15" x14ac:dyDescent="0.2">
      <c r="A314" s="13">
        <v>50406</v>
      </c>
      <c r="B314" s="9">
        <f>5.043 * CHOOSE(CONTROL!$C$32, $C$9, 100%, $E$9)</f>
        <v>5.0430000000000001</v>
      </c>
      <c r="C314" s="9">
        <f>5.043 * CHOOSE(CONTROL!$C$32, $C$9, 100%, $E$9)</f>
        <v>5.0430000000000001</v>
      </c>
      <c r="D314" s="9">
        <f>5.044 * CHOOSE(CONTROL!$C$32, $C$9, 100%, $E$9)</f>
        <v>5.0439999999999996</v>
      </c>
      <c r="E314" s="11">
        <f>6.5545 * CHOOSE(CONTROL!$C$32, $C$9, 100%, $E$9)</f>
        <v>6.5545</v>
      </c>
      <c r="F314" s="11">
        <f>6.5545 * CHOOSE(CONTROL!$C$32, $C$9, 100%, $E$9)</f>
        <v>6.5545</v>
      </c>
      <c r="G314" s="11">
        <f>6.5582 * CHOOSE(CONTROL!$C$32, $C$9, 100%, $E$9)</f>
        <v>6.5582000000000003</v>
      </c>
      <c r="H314" s="11">
        <f>10.7703 * CHOOSE(CONTROL!$C$32, $C$9, 100%, $E$9)</f>
        <v>10.770300000000001</v>
      </c>
      <c r="I314" s="11">
        <f>10.7739 * CHOOSE(CONTROL!$C$32, $C$9, 100%, $E$9)</f>
        <v>10.773899999999999</v>
      </c>
      <c r="J314" s="11">
        <f>10.7703 * CHOOSE(CONTROL!$C$32, $C$9, 100%, $E$9)</f>
        <v>10.770300000000001</v>
      </c>
      <c r="K314" s="11">
        <f>10.7739 * CHOOSE(CONTROL!$C$32, $C$9, 100%, $E$9)</f>
        <v>10.773899999999999</v>
      </c>
      <c r="L314" s="11">
        <f>6.5545 * CHOOSE(CONTROL!$C$32, $C$9, 100%, $E$9)</f>
        <v>6.5545</v>
      </c>
      <c r="M314" s="11">
        <f>6.5582 * CHOOSE(CONTROL!$C$32, $C$9, 100%, $E$9)</f>
        <v>6.5582000000000003</v>
      </c>
      <c r="N314" s="11">
        <f>6.5545 * CHOOSE(CONTROL!$C$32, $C$9, 100%, $E$9)</f>
        <v>6.5545</v>
      </c>
      <c r="O314" s="11">
        <f>6.5582 * CHOOSE(CONTROL!$C$32, $C$9, 100%, $E$9)</f>
        <v>6.5582000000000003</v>
      </c>
    </row>
    <row r="315" spans="1:15" ht="15" x14ac:dyDescent="0.2">
      <c r="A315" s="13">
        <v>50437</v>
      </c>
      <c r="B315" s="9">
        <f>5.0399 * CHOOSE(CONTROL!$C$32, $C$9, 100%, $E$9)</f>
        <v>5.0399000000000003</v>
      </c>
      <c r="C315" s="9">
        <f>5.0399 * CHOOSE(CONTROL!$C$32, $C$9, 100%, $E$9)</f>
        <v>5.0399000000000003</v>
      </c>
      <c r="D315" s="9">
        <f>5.041 * CHOOSE(CONTROL!$C$32, $C$9, 100%, $E$9)</f>
        <v>5.0410000000000004</v>
      </c>
      <c r="E315" s="11">
        <f>6.4445 * CHOOSE(CONTROL!$C$32, $C$9, 100%, $E$9)</f>
        <v>6.4444999999999997</v>
      </c>
      <c r="F315" s="11">
        <f>6.4445 * CHOOSE(CONTROL!$C$32, $C$9, 100%, $E$9)</f>
        <v>6.4444999999999997</v>
      </c>
      <c r="G315" s="11">
        <f>6.4481 * CHOOSE(CONTROL!$C$32, $C$9, 100%, $E$9)</f>
        <v>6.4481000000000002</v>
      </c>
      <c r="H315" s="11">
        <f>10.7927 * CHOOSE(CONTROL!$C$32, $C$9, 100%, $E$9)</f>
        <v>10.7927</v>
      </c>
      <c r="I315" s="11">
        <f>10.7963 * CHOOSE(CONTROL!$C$32, $C$9, 100%, $E$9)</f>
        <v>10.7963</v>
      </c>
      <c r="J315" s="11">
        <f>10.7927 * CHOOSE(CONTROL!$C$32, $C$9, 100%, $E$9)</f>
        <v>10.7927</v>
      </c>
      <c r="K315" s="11">
        <f>10.7963 * CHOOSE(CONTROL!$C$32, $C$9, 100%, $E$9)</f>
        <v>10.7963</v>
      </c>
      <c r="L315" s="11">
        <f>6.4445 * CHOOSE(CONTROL!$C$32, $C$9, 100%, $E$9)</f>
        <v>6.4444999999999997</v>
      </c>
      <c r="M315" s="11">
        <f>6.4481 * CHOOSE(CONTROL!$C$32, $C$9, 100%, $E$9)</f>
        <v>6.4481000000000002</v>
      </c>
      <c r="N315" s="11">
        <f>6.4445 * CHOOSE(CONTROL!$C$32, $C$9, 100%, $E$9)</f>
        <v>6.4444999999999997</v>
      </c>
      <c r="O315" s="11">
        <f>6.4481 * CHOOSE(CONTROL!$C$32, $C$9, 100%, $E$9)</f>
        <v>6.4481000000000002</v>
      </c>
    </row>
    <row r="316" spans="1:15" ht="15" x14ac:dyDescent="0.2">
      <c r="A316" s="13">
        <v>50465</v>
      </c>
      <c r="B316" s="9">
        <f>5.0369 * CHOOSE(CONTROL!$C$32, $C$9, 100%, $E$9)</f>
        <v>5.0369000000000002</v>
      </c>
      <c r="C316" s="9">
        <f>5.0369 * CHOOSE(CONTROL!$C$32, $C$9, 100%, $E$9)</f>
        <v>5.0369000000000002</v>
      </c>
      <c r="D316" s="9">
        <f>5.038 * CHOOSE(CONTROL!$C$32, $C$9, 100%, $E$9)</f>
        <v>5.0380000000000003</v>
      </c>
      <c r="E316" s="11">
        <f>6.5275 * CHOOSE(CONTROL!$C$32, $C$9, 100%, $E$9)</f>
        <v>6.5274999999999999</v>
      </c>
      <c r="F316" s="11">
        <f>6.5275 * CHOOSE(CONTROL!$C$32, $C$9, 100%, $E$9)</f>
        <v>6.5274999999999999</v>
      </c>
      <c r="G316" s="11">
        <f>6.5311 * CHOOSE(CONTROL!$C$32, $C$9, 100%, $E$9)</f>
        <v>6.5311000000000003</v>
      </c>
      <c r="H316" s="11">
        <f>10.8152 * CHOOSE(CONTROL!$C$32, $C$9, 100%, $E$9)</f>
        <v>10.815200000000001</v>
      </c>
      <c r="I316" s="11">
        <f>10.8188 * CHOOSE(CONTROL!$C$32, $C$9, 100%, $E$9)</f>
        <v>10.8188</v>
      </c>
      <c r="J316" s="11">
        <f>10.8152 * CHOOSE(CONTROL!$C$32, $C$9, 100%, $E$9)</f>
        <v>10.815200000000001</v>
      </c>
      <c r="K316" s="11">
        <f>10.8188 * CHOOSE(CONTROL!$C$32, $C$9, 100%, $E$9)</f>
        <v>10.8188</v>
      </c>
      <c r="L316" s="11">
        <f>6.5275 * CHOOSE(CONTROL!$C$32, $C$9, 100%, $E$9)</f>
        <v>6.5274999999999999</v>
      </c>
      <c r="M316" s="11">
        <f>6.5311 * CHOOSE(CONTROL!$C$32, $C$9, 100%, $E$9)</f>
        <v>6.5311000000000003</v>
      </c>
      <c r="N316" s="11">
        <f>6.5275 * CHOOSE(CONTROL!$C$32, $C$9, 100%, $E$9)</f>
        <v>6.5274999999999999</v>
      </c>
      <c r="O316" s="11">
        <f>6.5311 * CHOOSE(CONTROL!$C$32, $C$9, 100%, $E$9)</f>
        <v>6.5311000000000003</v>
      </c>
    </row>
    <row r="317" spans="1:15" ht="15" x14ac:dyDescent="0.2">
      <c r="A317" s="13">
        <v>50496</v>
      </c>
      <c r="B317" s="9">
        <f>5.0356 * CHOOSE(CONTROL!$C$32, $C$9, 100%, $E$9)</f>
        <v>5.0355999999999996</v>
      </c>
      <c r="C317" s="9">
        <f>5.0356 * CHOOSE(CONTROL!$C$32, $C$9, 100%, $E$9)</f>
        <v>5.0355999999999996</v>
      </c>
      <c r="D317" s="9">
        <f>5.0366 * CHOOSE(CONTROL!$C$32, $C$9, 100%, $E$9)</f>
        <v>5.0366</v>
      </c>
      <c r="E317" s="11">
        <f>6.6146 * CHOOSE(CONTROL!$C$32, $C$9, 100%, $E$9)</f>
        <v>6.6146000000000003</v>
      </c>
      <c r="F317" s="11">
        <f>6.6146 * CHOOSE(CONTROL!$C$32, $C$9, 100%, $E$9)</f>
        <v>6.6146000000000003</v>
      </c>
      <c r="G317" s="11">
        <f>6.6182 * CHOOSE(CONTROL!$C$32, $C$9, 100%, $E$9)</f>
        <v>6.6181999999999999</v>
      </c>
      <c r="H317" s="11">
        <f>10.8377 * CHOOSE(CONTROL!$C$32, $C$9, 100%, $E$9)</f>
        <v>10.8377</v>
      </c>
      <c r="I317" s="11">
        <f>10.8413 * CHOOSE(CONTROL!$C$32, $C$9, 100%, $E$9)</f>
        <v>10.8413</v>
      </c>
      <c r="J317" s="11">
        <f>10.8377 * CHOOSE(CONTROL!$C$32, $C$9, 100%, $E$9)</f>
        <v>10.8377</v>
      </c>
      <c r="K317" s="11">
        <f>10.8413 * CHOOSE(CONTROL!$C$32, $C$9, 100%, $E$9)</f>
        <v>10.8413</v>
      </c>
      <c r="L317" s="11">
        <f>6.6146 * CHOOSE(CONTROL!$C$32, $C$9, 100%, $E$9)</f>
        <v>6.6146000000000003</v>
      </c>
      <c r="M317" s="11">
        <f>6.6182 * CHOOSE(CONTROL!$C$32, $C$9, 100%, $E$9)</f>
        <v>6.6181999999999999</v>
      </c>
      <c r="N317" s="11">
        <f>6.6146 * CHOOSE(CONTROL!$C$32, $C$9, 100%, $E$9)</f>
        <v>6.6146000000000003</v>
      </c>
      <c r="O317" s="11">
        <f>6.6182 * CHOOSE(CONTROL!$C$32, $C$9, 100%, $E$9)</f>
        <v>6.6181999999999999</v>
      </c>
    </row>
    <row r="318" spans="1:15" ht="15" x14ac:dyDescent="0.2">
      <c r="A318" s="13">
        <v>50526</v>
      </c>
      <c r="B318" s="9">
        <f>5.0356 * CHOOSE(CONTROL!$C$32, $C$9, 100%, $E$9)</f>
        <v>5.0355999999999996</v>
      </c>
      <c r="C318" s="9">
        <f>5.0356 * CHOOSE(CONTROL!$C$32, $C$9, 100%, $E$9)</f>
        <v>5.0355999999999996</v>
      </c>
      <c r="D318" s="9">
        <f>5.0371 * CHOOSE(CONTROL!$C$32, $C$9, 100%, $E$9)</f>
        <v>5.0370999999999997</v>
      </c>
      <c r="E318" s="11">
        <f>6.6488 * CHOOSE(CONTROL!$C$32, $C$9, 100%, $E$9)</f>
        <v>6.6487999999999996</v>
      </c>
      <c r="F318" s="11">
        <f>6.6488 * CHOOSE(CONTROL!$C$32, $C$9, 100%, $E$9)</f>
        <v>6.6487999999999996</v>
      </c>
      <c r="G318" s="11">
        <f>6.6541 * CHOOSE(CONTROL!$C$32, $C$9, 100%, $E$9)</f>
        <v>6.6540999999999997</v>
      </c>
      <c r="H318" s="11">
        <f>10.8603 * CHOOSE(CONTROL!$C$32, $C$9, 100%, $E$9)</f>
        <v>10.860300000000001</v>
      </c>
      <c r="I318" s="11">
        <f>10.8656 * CHOOSE(CONTROL!$C$32, $C$9, 100%, $E$9)</f>
        <v>10.865600000000001</v>
      </c>
      <c r="J318" s="11">
        <f>10.8603 * CHOOSE(CONTROL!$C$32, $C$9, 100%, $E$9)</f>
        <v>10.860300000000001</v>
      </c>
      <c r="K318" s="11">
        <f>10.8656 * CHOOSE(CONTROL!$C$32, $C$9, 100%, $E$9)</f>
        <v>10.865600000000001</v>
      </c>
      <c r="L318" s="11">
        <f>6.6488 * CHOOSE(CONTROL!$C$32, $C$9, 100%, $E$9)</f>
        <v>6.6487999999999996</v>
      </c>
      <c r="M318" s="11">
        <f>6.6541 * CHOOSE(CONTROL!$C$32, $C$9, 100%, $E$9)</f>
        <v>6.6540999999999997</v>
      </c>
      <c r="N318" s="11">
        <f>6.6488 * CHOOSE(CONTROL!$C$32, $C$9, 100%, $E$9)</f>
        <v>6.6487999999999996</v>
      </c>
      <c r="O318" s="11">
        <f>6.6541 * CHOOSE(CONTROL!$C$32, $C$9, 100%, $E$9)</f>
        <v>6.6540999999999997</v>
      </c>
    </row>
    <row r="319" spans="1:15" ht="15" x14ac:dyDescent="0.2">
      <c r="A319" s="13">
        <v>50557</v>
      </c>
      <c r="B319" s="9">
        <f>5.0416 * CHOOSE(CONTROL!$C$32, $C$9, 100%, $E$9)</f>
        <v>5.0415999999999999</v>
      </c>
      <c r="C319" s="9">
        <f>5.0416 * CHOOSE(CONTROL!$C$32, $C$9, 100%, $E$9)</f>
        <v>5.0415999999999999</v>
      </c>
      <c r="D319" s="9">
        <f>5.0432 * CHOOSE(CONTROL!$C$32, $C$9, 100%, $E$9)</f>
        <v>5.0431999999999997</v>
      </c>
      <c r="E319" s="11">
        <f>6.6188 * CHOOSE(CONTROL!$C$32, $C$9, 100%, $E$9)</f>
        <v>6.6188000000000002</v>
      </c>
      <c r="F319" s="11">
        <f>6.6188 * CHOOSE(CONTROL!$C$32, $C$9, 100%, $E$9)</f>
        <v>6.6188000000000002</v>
      </c>
      <c r="G319" s="11">
        <f>6.6241 * CHOOSE(CONTROL!$C$32, $C$9, 100%, $E$9)</f>
        <v>6.6241000000000003</v>
      </c>
      <c r="H319" s="11">
        <f>10.8829 * CHOOSE(CONTROL!$C$32, $C$9, 100%, $E$9)</f>
        <v>10.882899999999999</v>
      </c>
      <c r="I319" s="11">
        <f>10.8882 * CHOOSE(CONTROL!$C$32, $C$9, 100%, $E$9)</f>
        <v>10.888199999999999</v>
      </c>
      <c r="J319" s="11">
        <f>10.8829 * CHOOSE(CONTROL!$C$32, $C$9, 100%, $E$9)</f>
        <v>10.882899999999999</v>
      </c>
      <c r="K319" s="11">
        <f>10.8882 * CHOOSE(CONTROL!$C$32, $C$9, 100%, $E$9)</f>
        <v>10.888199999999999</v>
      </c>
      <c r="L319" s="11">
        <f>6.6188 * CHOOSE(CONTROL!$C$32, $C$9, 100%, $E$9)</f>
        <v>6.6188000000000002</v>
      </c>
      <c r="M319" s="11">
        <f>6.6241 * CHOOSE(CONTROL!$C$32, $C$9, 100%, $E$9)</f>
        <v>6.6241000000000003</v>
      </c>
      <c r="N319" s="11">
        <f>6.6188 * CHOOSE(CONTROL!$C$32, $C$9, 100%, $E$9)</f>
        <v>6.6188000000000002</v>
      </c>
      <c r="O319" s="11">
        <f>6.6241 * CHOOSE(CONTROL!$C$32, $C$9, 100%, $E$9)</f>
        <v>6.6241000000000003</v>
      </c>
    </row>
    <row r="320" spans="1:15" ht="15" x14ac:dyDescent="0.2">
      <c r="A320" s="13">
        <v>50587</v>
      </c>
      <c r="B320" s="9">
        <f>5.1131 * CHOOSE(CONTROL!$C$32, $C$9, 100%, $E$9)</f>
        <v>5.1131000000000002</v>
      </c>
      <c r="C320" s="9">
        <f>5.1131 * CHOOSE(CONTROL!$C$32, $C$9, 100%, $E$9)</f>
        <v>5.1131000000000002</v>
      </c>
      <c r="D320" s="9">
        <f>5.1147 * CHOOSE(CONTROL!$C$32, $C$9, 100%, $E$9)</f>
        <v>5.1147</v>
      </c>
      <c r="E320" s="11">
        <f>6.6086 * CHOOSE(CONTROL!$C$32, $C$9, 100%, $E$9)</f>
        <v>6.6086</v>
      </c>
      <c r="F320" s="11">
        <f>6.6086 * CHOOSE(CONTROL!$C$32, $C$9, 100%, $E$9)</f>
        <v>6.6086</v>
      </c>
      <c r="G320" s="11">
        <f>6.6139 * CHOOSE(CONTROL!$C$32, $C$9, 100%, $E$9)</f>
        <v>6.6139000000000001</v>
      </c>
      <c r="H320" s="11">
        <f>10.9056 * CHOOSE(CONTROL!$C$32, $C$9, 100%, $E$9)</f>
        <v>10.9056</v>
      </c>
      <c r="I320" s="11">
        <f>10.9109 * CHOOSE(CONTROL!$C$32, $C$9, 100%, $E$9)</f>
        <v>10.9109</v>
      </c>
      <c r="J320" s="11">
        <f>10.9056 * CHOOSE(CONTROL!$C$32, $C$9, 100%, $E$9)</f>
        <v>10.9056</v>
      </c>
      <c r="K320" s="11">
        <f>10.9109 * CHOOSE(CONTROL!$C$32, $C$9, 100%, $E$9)</f>
        <v>10.9109</v>
      </c>
      <c r="L320" s="11">
        <f>6.6086 * CHOOSE(CONTROL!$C$32, $C$9, 100%, $E$9)</f>
        <v>6.6086</v>
      </c>
      <c r="M320" s="11">
        <f>6.6139 * CHOOSE(CONTROL!$C$32, $C$9, 100%, $E$9)</f>
        <v>6.6139000000000001</v>
      </c>
      <c r="N320" s="11">
        <f>6.6086 * CHOOSE(CONTROL!$C$32, $C$9, 100%, $E$9)</f>
        <v>6.6086</v>
      </c>
      <c r="O320" s="11">
        <f>6.6139 * CHOOSE(CONTROL!$C$32, $C$9, 100%, $E$9)</f>
        <v>6.6139000000000001</v>
      </c>
    </row>
    <row r="321" spans="1:15" ht="15" x14ac:dyDescent="0.2">
      <c r="A321" s="13">
        <v>50618</v>
      </c>
      <c r="B321" s="9">
        <f>5.1198 * CHOOSE(CONTROL!$C$32, $C$9, 100%, $E$9)</f>
        <v>5.1197999999999997</v>
      </c>
      <c r="C321" s="9">
        <f>5.1198 * CHOOSE(CONTROL!$C$32, $C$9, 100%, $E$9)</f>
        <v>5.1197999999999997</v>
      </c>
      <c r="D321" s="9">
        <f>5.1214 * CHOOSE(CONTROL!$C$32, $C$9, 100%, $E$9)</f>
        <v>5.1214000000000004</v>
      </c>
      <c r="E321" s="11">
        <f>6.5105 * CHOOSE(CONTROL!$C$32, $C$9, 100%, $E$9)</f>
        <v>6.5105000000000004</v>
      </c>
      <c r="F321" s="11">
        <f>6.5105 * CHOOSE(CONTROL!$C$32, $C$9, 100%, $E$9)</f>
        <v>6.5105000000000004</v>
      </c>
      <c r="G321" s="11">
        <f>6.5158 * CHOOSE(CONTROL!$C$32, $C$9, 100%, $E$9)</f>
        <v>6.5157999999999996</v>
      </c>
      <c r="H321" s="11">
        <f>10.9283 * CHOOSE(CONTROL!$C$32, $C$9, 100%, $E$9)</f>
        <v>10.9283</v>
      </c>
      <c r="I321" s="11">
        <f>10.9336 * CHOOSE(CONTROL!$C$32, $C$9, 100%, $E$9)</f>
        <v>10.9336</v>
      </c>
      <c r="J321" s="11">
        <f>10.9283 * CHOOSE(CONTROL!$C$32, $C$9, 100%, $E$9)</f>
        <v>10.9283</v>
      </c>
      <c r="K321" s="11">
        <f>10.9336 * CHOOSE(CONTROL!$C$32, $C$9, 100%, $E$9)</f>
        <v>10.9336</v>
      </c>
      <c r="L321" s="11">
        <f>6.5105 * CHOOSE(CONTROL!$C$32, $C$9, 100%, $E$9)</f>
        <v>6.5105000000000004</v>
      </c>
      <c r="M321" s="11">
        <f>6.5158 * CHOOSE(CONTROL!$C$32, $C$9, 100%, $E$9)</f>
        <v>6.5157999999999996</v>
      </c>
      <c r="N321" s="11">
        <f>6.5105 * CHOOSE(CONTROL!$C$32, $C$9, 100%, $E$9)</f>
        <v>6.5105000000000004</v>
      </c>
      <c r="O321" s="11">
        <f>6.5158 * CHOOSE(CONTROL!$C$32, $C$9, 100%, $E$9)</f>
        <v>6.5157999999999996</v>
      </c>
    </row>
    <row r="322" spans="1:15" ht="15" x14ac:dyDescent="0.2">
      <c r="A322" s="13">
        <v>50649</v>
      </c>
      <c r="B322" s="9">
        <f>5.1167 * CHOOSE(CONTROL!$C$32, $C$9, 100%, $E$9)</f>
        <v>5.1166999999999998</v>
      </c>
      <c r="C322" s="9">
        <f>5.1167 * CHOOSE(CONTROL!$C$32, $C$9, 100%, $E$9)</f>
        <v>5.1166999999999998</v>
      </c>
      <c r="D322" s="9">
        <f>5.1183 * CHOOSE(CONTROL!$C$32, $C$9, 100%, $E$9)</f>
        <v>5.1182999999999996</v>
      </c>
      <c r="E322" s="11">
        <f>6.4969 * CHOOSE(CONTROL!$C$32, $C$9, 100%, $E$9)</f>
        <v>6.4969000000000001</v>
      </c>
      <c r="F322" s="11">
        <f>6.4969 * CHOOSE(CONTROL!$C$32, $C$9, 100%, $E$9)</f>
        <v>6.4969000000000001</v>
      </c>
      <c r="G322" s="11">
        <f>6.5022 * CHOOSE(CONTROL!$C$32, $C$9, 100%, $E$9)</f>
        <v>6.5022000000000002</v>
      </c>
      <c r="H322" s="11">
        <f>10.9511 * CHOOSE(CONTROL!$C$32, $C$9, 100%, $E$9)</f>
        <v>10.9511</v>
      </c>
      <c r="I322" s="11">
        <f>10.9564 * CHOOSE(CONTROL!$C$32, $C$9, 100%, $E$9)</f>
        <v>10.9564</v>
      </c>
      <c r="J322" s="11">
        <f>10.9511 * CHOOSE(CONTROL!$C$32, $C$9, 100%, $E$9)</f>
        <v>10.9511</v>
      </c>
      <c r="K322" s="11">
        <f>10.9564 * CHOOSE(CONTROL!$C$32, $C$9, 100%, $E$9)</f>
        <v>10.9564</v>
      </c>
      <c r="L322" s="11">
        <f>6.4969 * CHOOSE(CONTROL!$C$32, $C$9, 100%, $E$9)</f>
        <v>6.4969000000000001</v>
      </c>
      <c r="M322" s="11">
        <f>6.5022 * CHOOSE(CONTROL!$C$32, $C$9, 100%, $E$9)</f>
        <v>6.5022000000000002</v>
      </c>
      <c r="N322" s="11">
        <f>6.4969 * CHOOSE(CONTROL!$C$32, $C$9, 100%, $E$9)</f>
        <v>6.4969000000000001</v>
      </c>
      <c r="O322" s="11">
        <f>6.5022 * CHOOSE(CONTROL!$C$32, $C$9, 100%, $E$9)</f>
        <v>6.5022000000000002</v>
      </c>
    </row>
    <row r="323" spans="1:15" ht="15" x14ac:dyDescent="0.2">
      <c r="A323" s="13">
        <v>50679</v>
      </c>
      <c r="B323" s="9">
        <f>5.1159 * CHOOSE(CONTROL!$C$32, $C$9, 100%, $E$9)</f>
        <v>5.1158999999999999</v>
      </c>
      <c r="C323" s="9">
        <f>5.1159 * CHOOSE(CONTROL!$C$32, $C$9, 100%, $E$9)</f>
        <v>5.1158999999999999</v>
      </c>
      <c r="D323" s="9">
        <f>5.117 * CHOOSE(CONTROL!$C$32, $C$9, 100%, $E$9)</f>
        <v>5.117</v>
      </c>
      <c r="E323" s="11">
        <f>6.5292 * CHOOSE(CONTROL!$C$32, $C$9, 100%, $E$9)</f>
        <v>6.5292000000000003</v>
      </c>
      <c r="F323" s="11">
        <f>6.5292 * CHOOSE(CONTROL!$C$32, $C$9, 100%, $E$9)</f>
        <v>6.5292000000000003</v>
      </c>
      <c r="G323" s="11">
        <f>6.5328 * CHOOSE(CONTROL!$C$32, $C$9, 100%, $E$9)</f>
        <v>6.5327999999999999</v>
      </c>
      <c r="H323" s="11">
        <f>10.9739 * CHOOSE(CONTROL!$C$32, $C$9, 100%, $E$9)</f>
        <v>10.9739</v>
      </c>
      <c r="I323" s="11">
        <f>10.9775 * CHOOSE(CONTROL!$C$32, $C$9, 100%, $E$9)</f>
        <v>10.977499999999999</v>
      </c>
      <c r="J323" s="11">
        <f>10.9739 * CHOOSE(CONTROL!$C$32, $C$9, 100%, $E$9)</f>
        <v>10.9739</v>
      </c>
      <c r="K323" s="11">
        <f>10.9775 * CHOOSE(CONTROL!$C$32, $C$9, 100%, $E$9)</f>
        <v>10.977499999999999</v>
      </c>
      <c r="L323" s="11">
        <f>6.5292 * CHOOSE(CONTROL!$C$32, $C$9, 100%, $E$9)</f>
        <v>6.5292000000000003</v>
      </c>
      <c r="M323" s="11">
        <f>6.5328 * CHOOSE(CONTROL!$C$32, $C$9, 100%, $E$9)</f>
        <v>6.5327999999999999</v>
      </c>
      <c r="N323" s="11">
        <f>6.5292 * CHOOSE(CONTROL!$C$32, $C$9, 100%, $E$9)</f>
        <v>6.5292000000000003</v>
      </c>
      <c r="O323" s="11">
        <f>6.5328 * CHOOSE(CONTROL!$C$32, $C$9, 100%, $E$9)</f>
        <v>6.5327999999999999</v>
      </c>
    </row>
    <row r="324" spans="1:15" ht="15" x14ac:dyDescent="0.2">
      <c r="A324" s="13">
        <v>50710</v>
      </c>
      <c r="B324" s="9">
        <f>5.119 * CHOOSE(CONTROL!$C$32, $C$9, 100%, $E$9)</f>
        <v>5.1189999999999998</v>
      </c>
      <c r="C324" s="9">
        <f>5.119 * CHOOSE(CONTROL!$C$32, $C$9, 100%, $E$9)</f>
        <v>5.1189999999999998</v>
      </c>
      <c r="D324" s="9">
        <f>5.1201 * CHOOSE(CONTROL!$C$32, $C$9, 100%, $E$9)</f>
        <v>5.1200999999999999</v>
      </c>
      <c r="E324" s="11">
        <f>6.5541 * CHOOSE(CONTROL!$C$32, $C$9, 100%, $E$9)</f>
        <v>6.5541</v>
      </c>
      <c r="F324" s="11">
        <f>6.5541 * CHOOSE(CONTROL!$C$32, $C$9, 100%, $E$9)</f>
        <v>6.5541</v>
      </c>
      <c r="G324" s="11">
        <f>6.5578 * CHOOSE(CONTROL!$C$32, $C$9, 100%, $E$9)</f>
        <v>6.5578000000000003</v>
      </c>
      <c r="H324" s="11">
        <f>10.9968 * CHOOSE(CONTROL!$C$32, $C$9, 100%, $E$9)</f>
        <v>10.9968</v>
      </c>
      <c r="I324" s="11">
        <f>11.0004 * CHOOSE(CONTROL!$C$32, $C$9, 100%, $E$9)</f>
        <v>11.000400000000001</v>
      </c>
      <c r="J324" s="11">
        <f>10.9968 * CHOOSE(CONTROL!$C$32, $C$9, 100%, $E$9)</f>
        <v>10.9968</v>
      </c>
      <c r="K324" s="11">
        <f>11.0004 * CHOOSE(CONTROL!$C$32, $C$9, 100%, $E$9)</f>
        <v>11.000400000000001</v>
      </c>
      <c r="L324" s="11">
        <f>6.5541 * CHOOSE(CONTROL!$C$32, $C$9, 100%, $E$9)</f>
        <v>6.5541</v>
      </c>
      <c r="M324" s="11">
        <f>6.5578 * CHOOSE(CONTROL!$C$32, $C$9, 100%, $E$9)</f>
        <v>6.5578000000000003</v>
      </c>
      <c r="N324" s="11">
        <f>6.5541 * CHOOSE(CONTROL!$C$32, $C$9, 100%, $E$9)</f>
        <v>6.5541</v>
      </c>
      <c r="O324" s="11">
        <f>6.5578 * CHOOSE(CONTROL!$C$32, $C$9, 100%, $E$9)</f>
        <v>6.5578000000000003</v>
      </c>
    </row>
    <row r="325" spans="1:15" ht="15" x14ac:dyDescent="0.2">
      <c r="A325" s="13">
        <v>50740</v>
      </c>
      <c r="B325" s="9">
        <f>5.119 * CHOOSE(CONTROL!$C$32, $C$9, 100%, $E$9)</f>
        <v>5.1189999999999998</v>
      </c>
      <c r="C325" s="9">
        <f>5.119 * CHOOSE(CONTROL!$C$32, $C$9, 100%, $E$9)</f>
        <v>5.1189999999999998</v>
      </c>
      <c r="D325" s="9">
        <f>5.1201 * CHOOSE(CONTROL!$C$32, $C$9, 100%, $E$9)</f>
        <v>5.1200999999999999</v>
      </c>
      <c r="E325" s="11">
        <f>6.533 * CHOOSE(CONTROL!$C$32, $C$9, 100%, $E$9)</f>
        <v>6.5330000000000004</v>
      </c>
      <c r="F325" s="11">
        <f>6.533 * CHOOSE(CONTROL!$C$32, $C$9, 100%, $E$9)</f>
        <v>6.5330000000000004</v>
      </c>
      <c r="G325" s="11">
        <f>6.5367 * CHOOSE(CONTROL!$C$32, $C$9, 100%, $E$9)</f>
        <v>6.5366999999999997</v>
      </c>
      <c r="H325" s="11">
        <f>11.0197 * CHOOSE(CONTROL!$C$32, $C$9, 100%, $E$9)</f>
        <v>11.0197</v>
      </c>
      <c r="I325" s="11">
        <f>11.0233 * CHOOSE(CONTROL!$C$32, $C$9, 100%, $E$9)</f>
        <v>11.023300000000001</v>
      </c>
      <c r="J325" s="11">
        <f>11.0197 * CHOOSE(CONTROL!$C$32, $C$9, 100%, $E$9)</f>
        <v>11.0197</v>
      </c>
      <c r="K325" s="11">
        <f>11.0233 * CHOOSE(CONTROL!$C$32, $C$9, 100%, $E$9)</f>
        <v>11.023300000000001</v>
      </c>
      <c r="L325" s="11">
        <f>6.533 * CHOOSE(CONTROL!$C$32, $C$9, 100%, $E$9)</f>
        <v>6.5330000000000004</v>
      </c>
      <c r="M325" s="11">
        <f>6.5367 * CHOOSE(CONTROL!$C$32, $C$9, 100%, $E$9)</f>
        <v>6.5366999999999997</v>
      </c>
      <c r="N325" s="11">
        <f>6.533 * CHOOSE(CONTROL!$C$32, $C$9, 100%, $E$9)</f>
        <v>6.5330000000000004</v>
      </c>
      <c r="O325" s="11">
        <f>6.5367 * CHOOSE(CONTROL!$C$32, $C$9, 100%, $E$9)</f>
        <v>6.5366999999999997</v>
      </c>
    </row>
    <row r="326" spans="1:15" ht="15" x14ac:dyDescent="0.2">
      <c r="A326" s="13">
        <v>50771</v>
      </c>
      <c r="B326" s="9">
        <f>5.1575 * CHOOSE(CONTROL!$C$32, $C$9, 100%, $E$9)</f>
        <v>5.1574999999999998</v>
      </c>
      <c r="C326" s="9">
        <f>5.1575 * CHOOSE(CONTROL!$C$32, $C$9, 100%, $E$9)</f>
        <v>5.1574999999999998</v>
      </c>
      <c r="D326" s="9">
        <f>5.1586 * CHOOSE(CONTROL!$C$32, $C$9, 100%, $E$9)</f>
        <v>5.1585999999999999</v>
      </c>
      <c r="E326" s="11">
        <f>6.5634 * CHOOSE(CONTROL!$C$32, $C$9, 100%, $E$9)</f>
        <v>6.5633999999999997</v>
      </c>
      <c r="F326" s="11">
        <f>6.5634 * CHOOSE(CONTROL!$C$32, $C$9, 100%, $E$9)</f>
        <v>6.5633999999999997</v>
      </c>
      <c r="G326" s="11">
        <f>6.567 * CHOOSE(CONTROL!$C$32, $C$9, 100%, $E$9)</f>
        <v>6.5670000000000002</v>
      </c>
      <c r="H326" s="11">
        <f>11.0426 * CHOOSE(CONTROL!$C$32, $C$9, 100%, $E$9)</f>
        <v>11.0426</v>
      </c>
      <c r="I326" s="11">
        <f>11.0462 * CHOOSE(CONTROL!$C$32, $C$9, 100%, $E$9)</f>
        <v>11.046200000000001</v>
      </c>
      <c r="J326" s="11">
        <f>11.0426 * CHOOSE(CONTROL!$C$32, $C$9, 100%, $E$9)</f>
        <v>11.0426</v>
      </c>
      <c r="K326" s="11">
        <f>11.0462 * CHOOSE(CONTROL!$C$32, $C$9, 100%, $E$9)</f>
        <v>11.046200000000001</v>
      </c>
      <c r="L326" s="11">
        <f>6.5634 * CHOOSE(CONTROL!$C$32, $C$9, 100%, $E$9)</f>
        <v>6.5633999999999997</v>
      </c>
      <c r="M326" s="11">
        <f>6.567 * CHOOSE(CONTROL!$C$32, $C$9, 100%, $E$9)</f>
        <v>6.5670000000000002</v>
      </c>
      <c r="N326" s="11">
        <f>6.5634 * CHOOSE(CONTROL!$C$32, $C$9, 100%, $E$9)</f>
        <v>6.5633999999999997</v>
      </c>
      <c r="O326" s="11">
        <f>6.567 * CHOOSE(CONTROL!$C$32, $C$9, 100%, $E$9)</f>
        <v>6.5670000000000002</v>
      </c>
    </row>
    <row r="327" spans="1:15" ht="15" x14ac:dyDescent="0.2">
      <c r="A327" s="13">
        <v>50802</v>
      </c>
      <c r="B327" s="9">
        <f>5.1544 * CHOOSE(CONTROL!$C$32, $C$9, 100%, $E$9)</f>
        <v>5.1543999999999999</v>
      </c>
      <c r="C327" s="9">
        <f>5.1544 * CHOOSE(CONTROL!$C$32, $C$9, 100%, $E$9)</f>
        <v>5.1543999999999999</v>
      </c>
      <c r="D327" s="9">
        <f>5.1555 * CHOOSE(CONTROL!$C$32, $C$9, 100%, $E$9)</f>
        <v>5.1555</v>
      </c>
      <c r="E327" s="11">
        <f>6.4498 * CHOOSE(CONTROL!$C$32, $C$9, 100%, $E$9)</f>
        <v>6.4497999999999998</v>
      </c>
      <c r="F327" s="11">
        <f>6.4498 * CHOOSE(CONTROL!$C$32, $C$9, 100%, $E$9)</f>
        <v>6.4497999999999998</v>
      </c>
      <c r="G327" s="11">
        <f>6.4535 * CHOOSE(CONTROL!$C$32, $C$9, 100%, $E$9)</f>
        <v>6.4535</v>
      </c>
      <c r="H327" s="11">
        <f>11.0656 * CHOOSE(CONTROL!$C$32, $C$9, 100%, $E$9)</f>
        <v>11.0656</v>
      </c>
      <c r="I327" s="11">
        <f>11.0693 * CHOOSE(CONTROL!$C$32, $C$9, 100%, $E$9)</f>
        <v>11.0693</v>
      </c>
      <c r="J327" s="11">
        <f>11.0656 * CHOOSE(CONTROL!$C$32, $C$9, 100%, $E$9)</f>
        <v>11.0656</v>
      </c>
      <c r="K327" s="11">
        <f>11.0693 * CHOOSE(CONTROL!$C$32, $C$9, 100%, $E$9)</f>
        <v>11.0693</v>
      </c>
      <c r="L327" s="11">
        <f>6.4498 * CHOOSE(CONTROL!$C$32, $C$9, 100%, $E$9)</f>
        <v>6.4497999999999998</v>
      </c>
      <c r="M327" s="11">
        <f>6.4535 * CHOOSE(CONTROL!$C$32, $C$9, 100%, $E$9)</f>
        <v>6.4535</v>
      </c>
      <c r="N327" s="11">
        <f>6.4498 * CHOOSE(CONTROL!$C$32, $C$9, 100%, $E$9)</f>
        <v>6.4497999999999998</v>
      </c>
      <c r="O327" s="11">
        <f>6.4535 * CHOOSE(CONTROL!$C$32, $C$9, 100%, $E$9)</f>
        <v>6.4535</v>
      </c>
    </row>
    <row r="328" spans="1:15" ht="15" x14ac:dyDescent="0.2">
      <c r="A328" s="13">
        <v>50830</v>
      </c>
      <c r="B328" s="9">
        <f>5.1514 * CHOOSE(CONTROL!$C$32, $C$9, 100%, $E$9)</f>
        <v>5.1513999999999998</v>
      </c>
      <c r="C328" s="9">
        <f>5.1514 * CHOOSE(CONTROL!$C$32, $C$9, 100%, $E$9)</f>
        <v>5.1513999999999998</v>
      </c>
      <c r="D328" s="9">
        <f>5.1525 * CHOOSE(CONTROL!$C$32, $C$9, 100%, $E$9)</f>
        <v>5.1524999999999999</v>
      </c>
      <c r="E328" s="11">
        <f>6.5356 * CHOOSE(CONTROL!$C$32, $C$9, 100%, $E$9)</f>
        <v>6.5355999999999996</v>
      </c>
      <c r="F328" s="11">
        <f>6.5356 * CHOOSE(CONTROL!$C$32, $C$9, 100%, $E$9)</f>
        <v>6.5355999999999996</v>
      </c>
      <c r="G328" s="11">
        <f>6.5392 * CHOOSE(CONTROL!$C$32, $C$9, 100%, $E$9)</f>
        <v>6.5392000000000001</v>
      </c>
      <c r="H328" s="11">
        <f>11.0887 * CHOOSE(CONTROL!$C$32, $C$9, 100%, $E$9)</f>
        <v>11.088699999999999</v>
      </c>
      <c r="I328" s="11">
        <f>11.0923 * CHOOSE(CONTROL!$C$32, $C$9, 100%, $E$9)</f>
        <v>11.0923</v>
      </c>
      <c r="J328" s="11">
        <f>11.0887 * CHOOSE(CONTROL!$C$32, $C$9, 100%, $E$9)</f>
        <v>11.088699999999999</v>
      </c>
      <c r="K328" s="11">
        <f>11.0923 * CHOOSE(CONTROL!$C$32, $C$9, 100%, $E$9)</f>
        <v>11.0923</v>
      </c>
      <c r="L328" s="11">
        <f>6.5356 * CHOOSE(CONTROL!$C$32, $C$9, 100%, $E$9)</f>
        <v>6.5355999999999996</v>
      </c>
      <c r="M328" s="11">
        <f>6.5392 * CHOOSE(CONTROL!$C$32, $C$9, 100%, $E$9)</f>
        <v>6.5392000000000001</v>
      </c>
      <c r="N328" s="11">
        <f>6.5356 * CHOOSE(CONTROL!$C$32, $C$9, 100%, $E$9)</f>
        <v>6.5355999999999996</v>
      </c>
      <c r="O328" s="11">
        <f>6.5392 * CHOOSE(CONTROL!$C$32, $C$9, 100%, $E$9)</f>
        <v>6.5392000000000001</v>
      </c>
    </row>
    <row r="329" spans="1:15" ht="15" x14ac:dyDescent="0.2">
      <c r="A329" s="13">
        <v>50861</v>
      </c>
      <c r="B329" s="9">
        <f>5.1502 * CHOOSE(CONTROL!$C$32, $C$9, 100%, $E$9)</f>
        <v>5.1501999999999999</v>
      </c>
      <c r="C329" s="9">
        <f>5.1502 * CHOOSE(CONTROL!$C$32, $C$9, 100%, $E$9)</f>
        <v>5.1501999999999999</v>
      </c>
      <c r="D329" s="9">
        <f>5.1512 * CHOOSE(CONTROL!$C$32, $C$9, 100%, $E$9)</f>
        <v>5.1512000000000002</v>
      </c>
      <c r="E329" s="11">
        <f>6.6256 * CHOOSE(CONTROL!$C$32, $C$9, 100%, $E$9)</f>
        <v>6.6256000000000004</v>
      </c>
      <c r="F329" s="11">
        <f>6.6256 * CHOOSE(CONTROL!$C$32, $C$9, 100%, $E$9)</f>
        <v>6.6256000000000004</v>
      </c>
      <c r="G329" s="11">
        <f>6.6292 * CHOOSE(CONTROL!$C$32, $C$9, 100%, $E$9)</f>
        <v>6.6292</v>
      </c>
      <c r="H329" s="11">
        <f>11.1118 * CHOOSE(CONTROL!$C$32, $C$9, 100%, $E$9)</f>
        <v>11.111800000000001</v>
      </c>
      <c r="I329" s="11">
        <f>11.1154 * CHOOSE(CONTROL!$C$32, $C$9, 100%, $E$9)</f>
        <v>11.115399999999999</v>
      </c>
      <c r="J329" s="11">
        <f>11.1118 * CHOOSE(CONTROL!$C$32, $C$9, 100%, $E$9)</f>
        <v>11.111800000000001</v>
      </c>
      <c r="K329" s="11">
        <f>11.1154 * CHOOSE(CONTROL!$C$32, $C$9, 100%, $E$9)</f>
        <v>11.115399999999999</v>
      </c>
      <c r="L329" s="11">
        <f>6.6256 * CHOOSE(CONTROL!$C$32, $C$9, 100%, $E$9)</f>
        <v>6.6256000000000004</v>
      </c>
      <c r="M329" s="11">
        <f>6.6292 * CHOOSE(CONTROL!$C$32, $C$9, 100%, $E$9)</f>
        <v>6.6292</v>
      </c>
      <c r="N329" s="11">
        <f>6.6256 * CHOOSE(CONTROL!$C$32, $C$9, 100%, $E$9)</f>
        <v>6.6256000000000004</v>
      </c>
      <c r="O329" s="11">
        <f>6.6292 * CHOOSE(CONTROL!$C$32, $C$9, 100%, $E$9)</f>
        <v>6.6292</v>
      </c>
    </row>
    <row r="330" spans="1:15" ht="15" x14ac:dyDescent="0.2">
      <c r="A330" s="13">
        <v>50891</v>
      </c>
      <c r="B330" s="9">
        <f>5.1502 * CHOOSE(CONTROL!$C$32, $C$9, 100%, $E$9)</f>
        <v>5.1501999999999999</v>
      </c>
      <c r="C330" s="9">
        <f>5.1502 * CHOOSE(CONTROL!$C$32, $C$9, 100%, $E$9)</f>
        <v>5.1501999999999999</v>
      </c>
      <c r="D330" s="9">
        <f>5.1517 * CHOOSE(CONTROL!$C$32, $C$9, 100%, $E$9)</f>
        <v>5.1516999999999999</v>
      </c>
      <c r="E330" s="11">
        <f>6.661 * CHOOSE(CONTROL!$C$32, $C$9, 100%, $E$9)</f>
        <v>6.6609999999999996</v>
      </c>
      <c r="F330" s="11">
        <f>6.661 * CHOOSE(CONTROL!$C$32, $C$9, 100%, $E$9)</f>
        <v>6.6609999999999996</v>
      </c>
      <c r="G330" s="11">
        <f>6.6663 * CHOOSE(CONTROL!$C$32, $C$9, 100%, $E$9)</f>
        <v>6.6662999999999997</v>
      </c>
      <c r="H330" s="11">
        <f>11.1349 * CHOOSE(CONTROL!$C$32, $C$9, 100%, $E$9)</f>
        <v>11.1349</v>
      </c>
      <c r="I330" s="11">
        <f>11.1402 * CHOOSE(CONTROL!$C$32, $C$9, 100%, $E$9)</f>
        <v>11.1402</v>
      </c>
      <c r="J330" s="11">
        <f>11.1349 * CHOOSE(CONTROL!$C$32, $C$9, 100%, $E$9)</f>
        <v>11.1349</v>
      </c>
      <c r="K330" s="11">
        <f>11.1402 * CHOOSE(CONTROL!$C$32, $C$9, 100%, $E$9)</f>
        <v>11.1402</v>
      </c>
      <c r="L330" s="11">
        <f>6.661 * CHOOSE(CONTROL!$C$32, $C$9, 100%, $E$9)</f>
        <v>6.6609999999999996</v>
      </c>
      <c r="M330" s="11">
        <f>6.6663 * CHOOSE(CONTROL!$C$32, $C$9, 100%, $E$9)</f>
        <v>6.6662999999999997</v>
      </c>
      <c r="N330" s="11">
        <f>6.661 * CHOOSE(CONTROL!$C$32, $C$9, 100%, $E$9)</f>
        <v>6.6609999999999996</v>
      </c>
      <c r="O330" s="11">
        <f>6.6663 * CHOOSE(CONTROL!$C$32, $C$9, 100%, $E$9)</f>
        <v>6.6662999999999997</v>
      </c>
    </row>
    <row r="331" spans="1:15" ht="15" x14ac:dyDescent="0.2">
      <c r="A331" s="13">
        <v>50922</v>
      </c>
      <c r="B331" s="9">
        <f>5.1562 * CHOOSE(CONTROL!$C$32, $C$9, 100%, $E$9)</f>
        <v>5.1562000000000001</v>
      </c>
      <c r="C331" s="9">
        <f>5.1562 * CHOOSE(CONTROL!$C$32, $C$9, 100%, $E$9)</f>
        <v>5.1562000000000001</v>
      </c>
      <c r="D331" s="9">
        <f>5.1578 * CHOOSE(CONTROL!$C$32, $C$9, 100%, $E$9)</f>
        <v>5.1577999999999999</v>
      </c>
      <c r="E331" s="11">
        <f>6.6299 * CHOOSE(CONTROL!$C$32, $C$9, 100%, $E$9)</f>
        <v>6.6299000000000001</v>
      </c>
      <c r="F331" s="11">
        <f>6.6299 * CHOOSE(CONTROL!$C$32, $C$9, 100%, $E$9)</f>
        <v>6.6299000000000001</v>
      </c>
      <c r="G331" s="11">
        <f>6.6352 * CHOOSE(CONTROL!$C$32, $C$9, 100%, $E$9)</f>
        <v>6.6352000000000002</v>
      </c>
      <c r="H331" s="11">
        <f>11.1581 * CHOOSE(CONTROL!$C$32, $C$9, 100%, $E$9)</f>
        <v>11.158099999999999</v>
      </c>
      <c r="I331" s="11">
        <f>11.1634 * CHOOSE(CONTROL!$C$32, $C$9, 100%, $E$9)</f>
        <v>11.163399999999999</v>
      </c>
      <c r="J331" s="11">
        <f>11.1581 * CHOOSE(CONTROL!$C$32, $C$9, 100%, $E$9)</f>
        <v>11.158099999999999</v>
      </c>
      <c r="K331" s="11">
        <f>11.1634 * CHOOSE(CONTROL!$C$32, $C$9, 100%, $E$9)</f>
        <v>11.163399999999999</v>
      </c>
      <c r="L331" s="11">
        <f>6.6299 * CHOOSE(CONTROL!$C$32, $C$9, 100%, $E$9)</f>
        <v>6.6299000000000001</v>
      </c>
      <c r="M331" s="11">
        <f>6.6352 * CHOOSE(CONTROL!$C$32, $C$9, 100%, $E$9)</f>
        <v>6.6352000000000002</v>
      </c>
      <c r="N331" s="11">
        <f>6.6299 * CHOOSE(CONTROL!$C$32, $C$9, 100%, $E$9)</f>
        <v>6.6299000000000001</v>
      </c>
      <c r="O331" s="11">
        <f>6.6352 * CHOOSE(CONTROL!$C$32, $C$9, 100%, $E$9)</f>
        <v>6.6352000000000002</v>
      </c>
    </row>
    <row r="332" spans="1:15" ht="15" x14ac:dyDescent="0.2">
      <c r="A332" s="13">
        <v>50952</v>
      </c>
      <c r="B332" s="9">
        <f>5.2245 * CHOOSE(CONTROL!$C$32, $C$9, 100%, $E$9)</f>
        <v>5.2244999999999999</v>
      </c>
      <c r="C332" s="9">
        <f>5.2245 * CHOOSE(CONTROL!$C$32, $C$9, 100%, $E$9)</f>
        <v>5.2244999999999999</v>
      </c>
      <c r="D332" s="9">
        <f>5.226 * CHOOSE(CONTROL!$C$32, $C$9, 100%, $E$9)</f>
        <v>5.226</v>
      </c>
      <c r="E332" s="11">
        <f>6.6597 * CHOOSE(CONTROL!$C$32, $C$9, 100%, $E$9)</f>
        <v>6.6597</v>
      </c>
      <c r="F332" s="11">
        <f>6.6597 * CHOOSE(CONTROL!$C$32, $C$9, 100%, $E$9)</f>
        <v>6.6597</v>
      </c>
      <c r="G332" s="11">
        <f>6.665 * CHOOSE(CONTROL!$C$32, $C$9, 100%, $E$9)</f>
        <v>6.665</v>
      </c>
      <c r="H332" s="11">
        <f>11.1814 * CHOOSE(CONTROL!$C$32, $C$9, 100%, $E$9)</f>
        <v>11.1814</v>
      </c>
      <c r="I332" s="11">
        <f>11.1867 * CHOOSE(CONTROL!$C$32, $C$9, 100%, $E$9)</f>
        <v>11.1867</v>
      </c>
      <c r="J332" s="11">
        <f>11.1814 * CHOOSE(CONTROL!$C$32, $C$9, 100%, $E$9)</f>
        <v>11.1814</v>
      </c>
      <c r="K332" s="11">
        <f>11.1867 * CHOOSE(CONTROL!$C$32, $C$9, 100%, $E$9)</f>
        <v>11.1867</v>
      </c>
      <c r="L332" s="11">
        <f>6.6597 * CHOOSE(CONTROL!$C$32, $C$9, 100%, $E$9)</f>
        <v>6.6597</v>
      </c>
      <c r="M332" s="11">
        <f>6.665 * CHOOSE(CONTROL!$C$32, $C$9, 100%, $E$9)</f>
        <v>6.665</v>
      </c>
      <c r="N332" s="11">
        <f>6.6597 * CHOOSE(CONTROL!$C$32, $C$9, 100%, $E$9)</f>
        <v>6.6597</v>
      </c>
      <c r="O332" s="11">
        <f>6.665 * CHOOSE(CONTROL!$C$32, $C$9, 100%, $E$9)</f>
        <v>6.665</v>
      </c>
    </row>
    <row r="333" spans="1:15" ht="15" x14ac:dyDescent="0.2">
      <c r="A333" s="13">
        <v>50983</v>
      </c>
      <c r="B333" s="9">
        <f>5.2312 * CHOOSE(CONTROL!$C$32, $C$9, 100%, $E$9)</f>
        <v>5.2312000000000003</v>
      </c>
      <c r="C333" s="9">
        <f>5.2312 * CHOOSE(CONTROL!$C$32, $C$9, 100%, $E$9)</f>
        <v>5.2312000000000003</v>
      </c>
      <c r="D333" s="9">
        <f>5.2327 * CHOOSE(CONTROL!$C$32, $C$9, 100%, $E$9)</f>
        <v>5.2327000000000004</v>
      </c>
      <c r="E333" s="11">
        <f>6.5583 * CHOOSE(CONTROL!$C$32, $C$9, 100%, $E$9)</f>
        <v>6.5583</v>
      </c>
      <c r="F333" s="11">
        <f>6.5583 * CHOOSE(CONTROL!$C$32, $C$9, 100%, $E$9)</f>
        <v>6.5583</v>
      </c>
      <c r="G333" s="11">
        <f>6.5635 * CHOOSE(CONTROL!$C$32, $C$9, 100%, $E$9)</f>
        <v>6.5635000000000003</v>
      </c>
      <c r="H333" s="11">
        <f>11.2047 * CHOOSE(CONTROL!$C$32, $C$9, 100%, $E$9)</f>
        <v>11.204700000000001</v>
      </c>
      <c r="I333" s="11">
        <f>11.21 * CHOOSE(CONTROL!$C$32, $C$9, 100%, $E$9)</f>
        <v>11.21</v>
      </c>
      <c r="J333" s="11">
        <f>11.2047 * CHOOSE(CONTROL!$C$32, $C$9, 100%, $E$9)</f>
        <v>11.204700000000001</v>
      </c>
      <c r="K333" s="11">
        <f>11.21 * CHOOSE(CONTROL!$C$32, $C$9, 100%, $E$9)</f>
        <v>11.21</v>
      </c>
      <c r="L333" s="11">
        <f>6.5583 * CHOOSE(CONTROL!$C$32, $C$9, 100%, $E$9)</f>
        <v>6.5583</v>
      </c>
      <c r="M333" s="11">
        <f>6.5635 * CHOOSE(CONTROL!$C$32, $C$9, 100%, $E$9)</f>
        <v>6.5635000000000003</v>
      </c>
      <c r="N333" s="11">
        <f>6.5583 * CHOOSE(CONTROL!$C$32, $C$9, 100%, $E$9)</f>
        <v>6.5583</v>
      </c>
      <c r="O333" s="11">
        <f>6.5635 * CHOOSE(CONTROL!$C$32, $C$9, 100%, $E$9)</f>
        <v>6.5635000000000003</v>
      </c>
    </row>
    <row r="334" spans="1:15" ht="15" x14ac:dyDescent="0.2">
      <c r="A334" s="13">
        <v>51014</v>
      </c>
      <c r="B334" s="9">
        <f>5.2281 * CHOOSE(CONTROL!$C$32, $C$9, 100%, $E$9)</f>
        <v>5.2281000000000004</v>
      </c>
      <c r="C334" s="9">
        <f>5.2281 * CHOOSE(CONTROL!$C$32, $C$9, 100%, $E$9)</f>
        <v>5.2281000000000004</v>
      </c>
      <c r="D334" s="9">
        <f>5.2297 * CHOOSE(CONTROL!$C$32, $C$9, 100%, $E$9)</f>
        <v>5.2297000000000002</v>
      </c>
      <c r="E334" s="11">
        <f>6.5443 * CHOOSE(CONTROL!$C$32, $C$9, 100%, $E$9)</f>
        <v>6.5442999999999998</v>
      </c>
      <c r="F334" s="11">
        <f>6.5443 * CHOOSE(CONTROL!$C$32, $C$9, 100%, $E$9)</f>
        <v>6.5442999999999998</v>
      </c>
      <c r="G334" s="11">
        <f>6.5496 * CHOOSE(CONTROL!$C$32, $C$9, 100%, $E$9)</f>
        <v>6.5495999999999999</v>
      </c>
      <c r="H334" s="11">
        <f>11.228 * CHOOSE(CONTROL!$C$32, $C$9, 100%, $E$9)</f>
        <v>11.228</v>
      </c>
      <c r="I334" s="11">
        <f>11.2333 * CHOOSE(CONTROL!$C$32, $C$9, 100%, $E$9)</f>
        <v>11.2333</v>
      </c>
      <c r="J334" s="11">
        <f>11.228 * CHOOSE(CONTROL!$C$32, $C$9, 100%, $E$9)</f>
        <v>11.228</v>
      </c>
      <c r="K334" s="11">
        <f>11.2333 * CHOOSE(CONTROL!$C$32, $C$9, 100%, $E$9)</f>
        <v>11.2333</v>
      </c>
      <c r="L334" s="11">
        <f>6.5443 * CHOOSE(CONTROL!$C$32, $C$9, 100%, $E$9)</f>
        <v>6.5442999999999998</v>
      </c>
      <c r="M334" s="11">
        <f>6.5496 * CHOOSE(CONTROL!$C$32, $C$9, 100%, $E$9)</f>
        <v>6.5495999999999999</v>
      </c>
      <c r="N334" s="11">
        <f>6.5443 * CHOOSE(CONTROL!$C$32, $C$9, 100%, $E$9)</f>
        <v>6.5442999999999998</v>
      </c>
      <c r="O334" s="11">
        <f>6.5496 * CHOOSE(CONTROL!$C$32, $C$9, 100%, $E$9)</f>
        <v>6.5495999999999999</v>
      </c>
    </row>
    <row r="335" spans="1:15" ht="15" x14ac:dyDescent="0.2">
      <c r="A335" s="13">
        <v>51044</v>
      </c>
      <c r="B335" s="9">
        <f>5.2277 * CHOOSE(CONTROL!$C$32, $C$9, 100%, $E$9)</f>
        <v>5.2276999999999996</v>
      </c>
      <c r="C335" s="9">
        <f>5.2277 * CHOOSE(CONTROL!$C$32, $C$9, 100%, $E$9)</f>
        <v>5.2276999999999996</v>
      </c>
      <c r="D335" s="9">
        <f>5.2288 * CHOOSE(CONTROL!$C$32, $C$9, 100%, $E$9)</f>
        <v>5.2287999999999997</v>
      </c>
      <c r="E335" s="11">
        <f>6.5781 * CHOOSE(CONTROL!$C$32, $C$9, 100%, $E$9)</f>
        <v>6.5781000000000001</v>
      </c>
      <c r="F335" s="11">
        <f>6.5781 * CHOOSE(CONTROL!$C$32, $C$9, 100%, $E$9)</f>
        <v>6.5781000000000001</v>
      </c>
      <c r="G335" s="11">
        <f>6.5817 * CHOOSE(CONTROL!$C$32, $C$9, 100%, $E$9)</f>
        <v>6.5816999999999997</v>
      </c>
      <c r="H335" s="11">
        <f>11.2514 * CHOOSE(CONTROL!$C$32, $C$9, 100%, $E$9)</f>
        <v>11.2514</v>
      </c>
      <c r="I335" s="11">
        <f>11.255 * CHOOSE(CONTROL!$C$32, $C$9, 100%, $E$9)</f>
        <v>11.255000000000001</v>
      </c>
      <c r="J335" s="11">
        <f>11.2514 * CHOOSE(CONTROL!$C$32, $C$9, 100%, $E$9)</f>
        <v>11.2514</v>
      </c>
      <c r="K335" s="11">
        <f>11.255 * CHOOSE(CONTROL!$C$32, $C$9, 100%, $E$9)</f>
        <v>11.255000000000001</v>
      </c>
      <c r="L335" s="11">
        <f>6.5781 * CHOOSE(CONTROL!$C$32, $C$9, 100%, $E$9)</f>
        <v>6.5781000000000001</v>
      </c>
      <c r="M335" s="11">
        <f>6.5817 * CHOOSE(CONTROL!$C$32, $C$9, 100%, $E$9)</f>
        <v>6.5816999999999997</v>
      </c>
      <c r="N335" s="11">
        <f>6.5781 * CHOOSE(CONTROL!$C$32, $C$9, 100%, $E$9)</f>
        <v>6.5781000000000001</v>
      </c>
      <c r="O335" s="11">
        <f>6.5817 * CHOOSE(CONTROL!$C$32, $C$9, 100%, $E$9)</f>
        <v>6.5816999999999997</v>
      </c>
    </row>
    <row r="336" spans="1:15" ht="15" x14ac:dyDescent="0.2">
      <c r="A336" s="13">
        <v>51075</v>
      </c>
      <c r="B336" s="9">
        <f>5.2308 * CHOOSE(CONTROL!$C$32, $C$9, 100%, $E$9)</f>
        <v>5.2308000000000003</v>
      </c>
      <c r="C336" s="9">
        <f>5.2308 * CHOOSE(CONTROL!$C$32, $C$9, 100%, $E$9)</f>
        <v>5.2308000000000003</v>
      </c>
      <c r="D336" s="9">
        <f>5.2319 * CHOOSE(CONTROL!$C$32, $C$9, 100%, $E$9)</f>
        <v>5.2319000000000004</v>
      </c>
      <c r="E336" s="11">
        <f>6.6038 * CHOOSE(CONTROL!$C$32, $C$9, 100%, $E$9)</f>
        <v>6.6037999999999997</v>
      </c>
      <c r="F336" s="11">
        <f>6.6038 * CHOOSE(CONTROL!$C$32, $C$9, 100%, $E$9)</f>
        <v>6.6037999999999997</v>
      </c>
      <c r="G336" s="11">
        <f>6.6074 * CHOOSE(CONTROL!$C$32, $C$9, 100%, $E$9)</f>
        <v>6.6074000000000002</v>
      </c>
      <c r="H336" s="11">
        <f>11.2749 * CHOOSE(CONTROL!$C$32, $C$9, 100%, $E$9)</f>
        <v>11.274900000000001</v>
      </c>
      <c r="I336" s="11">
        <f>11.2785 * CHOOSE(CONTROL!$C$32, $C$9, 100%, $E$9)</f>
        <v>11.278499999999999</v>
      </c>
      <c r="J336" s="11">
        <f>11.2749 * CHOOSE(CONTROL!$C$32, $C$9, 100%, $E$9)</f>
        <v>11.274900000000001</v>
      </c>
      <c r="K336" s="11">
        <f>11.2785 * CHOOSE(CONTROL!$C$32, $C$9, 100%, $E$9)</f>
        <v>11.278499999999999</v>
      </c>
      <c r="L336" s="11">
        <f>6.6038 * CHOOSE(CONTROL!$C$32, $C$9, 100%, $E$9)</f>
        <v>6.6037999999999997</v>
      </c>
      <c r="M336" s="11">
        <f>6.6074 * CHOOSE(CONTROL!$C$32, $C$9, 100%, $E$9)</f>
        <v>6.6074000000000002</v>
      </c>
      <c r="N336" s="11">
        <f>6.6038 * CHOOSE(CONTROL!$C$32, $C$9, 100%, $E$9)</f>
        <v>6.6037999999999997</v>
      </c>
      <c r="O336" s="11">
        <f>6.6074 * CHOOSE(CONTROL!$C$32, $C$9, 100%, $E$9)</f>
        <v>6.6074000000000002</v>
      </c>
    </row>
    <row r="337" spans="1:15" ht="15" x14ac:dyDescent="0.2">
      <c r="A337" s="13">
        <v>51105</v>
      </c>
      <c r="B337" s="9">
        <f>5.2308 * CHOOSE(CONTROL!$C$32, $C$9, 100%, $E$9)</f>
        <v>5.2308000000000003</v>
      </c>
      <c r="C337" s="9">
        <f>5.2308 * CHOOSE(CONTROL!$C$32, $C$9, 100%, $E$9)</f>
        <v>5.2308000000000003</v>
      </c>
      <c r="D337" s="9">
        <f>5.2319 * CHOOSE(CONTROL!$C$32, $C$9, 100%, $E$9)</f>
        <v>5.2319000000000004</v>
      </c>
      <c r="E337" s="11">
        <f>6.5448 * CHOOSE(CONTROL!$C$32, $C$9, 100%, $E$9)</f>
        <v>6.5448000000000004</v>
      </c>
      <c r="F337" s="11">
        <f>6.5448 * CHOOSE(CONTROL!$C$32, $C$9, 100%, $E$9)</f>
        <v>6.5448000000000004</v>
      </c>
      <c r="G337" s="11">
        <f>6.5485 * CHOOSE(CONTROL!$C$32, $C$9, 100%, $E$9)</f>
        <v>6.5484999999999998</v>
      </c>
      <c r="H337" s="11">
        <f>11.2983 * CHOOSE(CONTROL!$C$32, $C$9, 100%, $E$9)</f>
        <v>11.298299999999999</v>
      </c>
      <c r="I337" s="11">
        <f>11.302 * CHOOSE(CONTROL!$C$32, $C$9, 100%, $E$9)</f>
        <v>11.302</v>
      </c>
      <c r="J337" s="11">
        <f>11.2983 * CHOOSE(CONTROL!$C$32, $C$9, 100%, $E$9)</f>
        <v>11.298299999999999</v>
      </c>
      <c r="K337" s="11">
        <f>11.302 * CHOOSE(CONTROL!$C$32, $C$9, 100%, $E$9)</f>
        <v>11.302</v>
      </c>
      <c r="L337" s="11">
        <f>6.5448 * CHOOSE(CONTROL!$C$32, $C$9, 100%, $E$9)</f>
        <v>6.5448000000000004</v>
      </c>
      <c r="M337" s="11">
        <f>6.5485 * CHOOSE(CONTROL!$C$32, $C$9, 100%, $E$9)</f>
        <v>6.5484999999999998</v>
      </c>
      <c r="N337" s="11">
        <f>6.5448 * CHOOSE(CONTROL!$C$32, $C$9, 100%, $E$9)</f>
        <v>6.5448000000000004</v>
      </c>
      <c r="O337" s="11">
        <f>6.5485 * CHOOSE(CONTROL!$C$32, $C$9, 100%, $E$9)</f>
        <v>6.5484999999999998</v>
      </c>
    </row>
    <row r="338" spans="1:15" ht="15" x14ac:dyDescent="0.2">
      <c r="A338" s="13">
        <v>51136</v>
      </c>
      <c r="B338" s="9">
        <f>5.2721 * CHOOSE(CONTROL!$C$32, $C$9, 100%, $E$9)</f>
        <v>5.2721</v>
      </c>
      <c r="C338" s="9">
        <f>5.2721 * CHOOSE(CONTROL!$C$32, $C$9, 100%, $E$9)</f>
        <v>5.2721</v>
      </c>
      <c r="D338" s="9">
        <f>5.2732 * CHOOSE(CONTROL!$C$32, $C$9, 100%, $E$9)</f>
        <v>5.2732000000000001</v>
      </c>
      <c r="E338" s="11">
        <f>6.6042 * CHOOSE(CONTROL!$C$32, $C$9, 100%, $E$9)</f>
        <v>6.6041999999999996</v>
      </c>
      <c r="F338" s="11">
        <f>6.6042 * CHOOSE(CONTROL!$C$32, $C$9, 100%, $E$9)</f>
        <v>6.6041999999999996</v>
      </c>
      <c r="G338" s="11">
        <f>6.6078 * CHOOSE(CONTROL!$C$32, $C$9, 100%, $E$9)</f>
        <v>6.6078000000000001</v>
      </c>
      <c r="H338" s="11">
        <f>11.3219 * CHOOSE(CONTROL!$C$32, $C$9, 100%, $E$9)</f>
        <v>11.321899999999999</v>
      </c>
      <c r="I338" s="11">
        <f>11.3255 * CHOOSE(CONTROL!$C$32, $C$9, 100%, $E$9)</f>
        <v>11.3255</v>
      </c>
      <c r="J338" s="11">
        <f>11.3219 * CHOOSE(CONTROL!$C$32, $C$9, 100%, $E$9)</f>
        <v>11.321899999999999</v>
      </c>
      <c r="K338" s="11">
        <f>11.3255 * CHOOSE(CONTROL!$C$32, $C$9, 100%, $E$9)</f>
        <v>11.3255</v>
      </c>
      <c r="L338" s="11">
        <f>6.6042 * CHOOSE(CONTROL!$C$32, $C$9, 100%, $E$9)</f>
        <v>6.6041999999999996</v>
      </c>
      <c r="M338" s="11">
        <f>6.6078 * CHOOSE(CONTROL!$C$32, $C$9, 100%, $E$9)</f>
        <v>6.6078000000000001</v>
      </c>
      <c r="N338" s="11">
        <f>6.6042 * CHOOSE(CONTROL!$C$32, $C$9, 100%, $E$9)</f>
        <v>6.6041999999999996</v>
      </c>
      <c r="O338" s="11">
        <f>6.6078 * CHOOSE(CONTROL!$C$32, $C$9, 100%, $E$9)</f>
        <v>6.6078000000000001</v>
      </c>
    </row>
    <row r="339" spans="1:15" ht="15" x14ac:dyDescent="0.2">
      <c r="A339" s="13">
        <v>51167</v>
      </c>
      <c r="B339" s="9">
        <f>5.2691 * CHOOSE(CONTROL!$C$32, $C$9, 100%, $E$9)</f>
        <v>5.2690999999999999</v>
      </c>
      <c r="C339" s="9">
        <f>5.2691 * CHOOSE(CONTROL!$C$32, $C$9, 100%, $E$9)</f>
        <v>5.2690999999999999</v>
      </c>
      <c r="D339" s="9">
        <f>5.2702 * CHOOSE(CONTROL!$C$32, $C$9, 100%, $E$9)</f>
        <v>5.2702</v>
      </c>
      <c r="E339" s="11">
        <f>6.487 * CHOOSE(CONTROL!$C$32, $C$9, 100%, $E$9)</f>
        <v>6.4870000000000001</v>
      </c>
      <c r="F339" s="11">
        <f>6.487 * CHOOSE(CONTROL!$C$32, $C$9, 100%, $E$9)</f>
        <v>6.4870000000000001</v>
      </c>
      <c r="G339" s="11">
        <f>6.4906 * CHOOSE(CONTROL!$C$32, $C$9, 100%, $E$9)</f>
        <v>6.4905999999999997</v>
      </c>
      <c r="H339" s="11">
        <f>11.3455 * CHOOSE(CONTROL!$C$32, $C$9, 100%, $E$9)</f>
        <v>11.345499999999999</v>
      </c>
      <c r="I339" s="11">
        <f>11.3491 * CHOOSE(CONTROL!$C$32, $C$9, 100%, $E$9)</f>
        <v>11.3491</v>
      </c>
      <c r="J339" s="11">
        <f>11.3455 * CHOOSE(CONTROL!$C$32, $C$9, 100%, $E$9)</f>
        <v>11.345499999999999</v>
      </c>
      <c r="K339" s="11">
        <f>11.3491 * CHOOSE(CONTROL!$C$32, $C$9, 100%, $E$9)</f>
        <v>11.3491</v>
      </c>
      <c r="L339" s="11">
        <f>6.487 * CHOOSE(CONTROL!$C$32, $C$9, 100%, $E$9)</f>
        <v>6.4870000000000001</v>
      </c>
      <c r="M339" s="11">
        <f>6.4906 * CHOOSE(CONTROL!$C$32, $C$9, 100%, $E$9)</f>
        <v>6.4905999999999997</v>
      </c>
      <c r="N339" s="11">
        <f>6.487 * CHOOSE(CONTROL!$C$32, $C$9, 100%, $E$9)</f>
        <v>6.4870000000000001</v>
      </c>
      <c r="O339" s="11">
        <f>6.4906 * CHOOSE(CONTROL!$C$32, $C$9, 100%, $E$9)</f>
        <v>6.4905999999999997</v>
      </c>
    </row>
    <row r="340" spans="1:15" ht="15" x14ac:dyDescent="0.2">
      <c r="A340" s="13">
        <v>51196</v>
      </c>
      <c r="B340" s="9">
        <f>5.266 * CHOOSE(CONTROL!$C$32, $C$9, 100%, $E$9)</f>
        <v>5.266</v>
      </c>
      <c r="C340" s="9">
        <f>5.266 * CHOOSE(CONTROL!$C$32, $C$9, 100%, $E$9)</f>
        <v>5.266</v>
      </c>
      <c r="D340" s="9">
        <f>5.2671 * CHOOSE(CONTROL!$C$32, $C$9, 100%, $E$9)</f>
        <v>5.2671000000000001</v>
      </c>
      <c r="E340" s="11">
        <f>6.5756 * CHOOSE(CONTROL!$C$32, $C$9, 100%, $E$9)</f>
        <v>6.5755999999999997</v>
      </c>
      <c r="F340" s="11">
        <f>6.5756 * CHOOSE(CONTROL!$C$32, $C$9, 100%, $E$9)</f>
        <v>6.5755999999999997</v>
      </c>
      <c r="G340" s="11">
        <f>6.5792 * CHOOSE(CONTROL!$C$32, $C$9, 100%, $E$9)</f>
        <v>6.5792000000000002</v>
      </c>
      <c r="H340" s="11">
        <f>11.3691 * CHOOSE(CONTROL!$C$32, $C$9, 100%, $E$9)</f>
        <v>11.3691</v>
      </c>
      <c r="I340" s="11">
        <f>11.3727 * CHOOSE(CONTROL!$C$32, $C$9, 100%, $E$9)</f>
        <v>11.3727</v>
      </c>
      <c r="J340" s="11">
        <f>11.3691 * CHOOSE(CONTROL!$C$32, $C$9, 100%, $E$9)</f>
        <v>11.3691</v>
      </c>
      <c r="K340" s="11">
        <f>11.3727 * CHOOSE(CONTROL!$C$32, $C$9, 100%, $E$9)</f>
        <v>11.3727</v>
      </c>
      <c r="L340" s="11">
        <f>6.5756 * CHOOSE(CONTROL!$C$32, $C$9, 100%, $E$9)</f>
        <v>6.5755999999999997</v>
      </c>
      <c r="M340" s="11">
        <f>6.5792 * CHOOSE(CONTROL!$C$32, $C$9, 100%, $E$9)</f>
        <v>6.5792000000000002</v>
      </c>
      <c r="N340" s="11">
        <f>6.5756 * CHOOSE(CONTROL!$C$32, $C$9, 100%, $E$9)</f>
        <v>6.5755999999999997</v>
      </c>
      <c r="O340" s="11">
        <f>6.5792 * CHOOSE(CONTROL!$C$32, $C$9, 100%, $E$9)</f>
        <v>6.5792000000000002</v>
      </c>
    </row>
    <row r="341" spans="1:15" ht="15" x14ac:dyDescent="0.2">
      <c r="A341" s="13">
        <v>51227</v>
      </c>
      <c r="B341" s="9">
        <f>5.2649 * CHOOSE(CONTROL!$C$32, $C$9, 100%, $E$9)</f>
        <v>5.2648999999999999</v>
      </c>
      <c r="C341" s="9">
        <f>5.2649 * CHOOSE(CONTROL!$C$32, $C$9, 100%, $E$9)</f>
        <v>5.2648999999999999</v>
      </c>
      <c r="D341" s="9">
        <f>5.266 * CHOOSE(CONTROL!$C$32, $C$9, 100%, $E$9)</f>
        <v>5.266</v>
      </c>
      <c r="E341" s="11">
        <f>6.6687 * CHOOSE(CONTROL!$C$32, $C$9, 100%, $E$9)</f>
        <v>6.6687000000000003</v>
      </c>
      <c r="F341" s="11">
        <f>6.6687 * CHOOSE(CONTROL!$C$32, $C$9, 100%, $E$9)</f>
        <v>6.6687000000000003</v>
      </c>
      <c r="G341" s="11">
        <f>6.6723 * CHOOSE(CONTROL!$C$32, $C$9, 100%, $E$9)</f>
        <v>6.6722999999999999</v>
      </c>
      <c r="H341" s="11">
        <f>11.3928 * CHOOSE(CONTROL!$C$32, $C$9, 100%, $E$9)</f>
        <v>11.392799999999999</v>
      </c>
      <c r="I341" s="11">
        <f>11.3964 * CHOOSE(CONTROL!$C$32, $C$9, 100%, $E$9)</f>
        <v>11.3964</v>
      </c>
      <c r="J341" s="11">
        <f>11.3928 * CHOOSE(CONTROL!$C$32, $C$9, 100%, $E$9)</f>
        <v>11.392799999999999</v>
      </c>
      <c r="K341" s="11">
        <f>11.3964 * CHOOSE(CONTROL!$C$32, $C$9, 100%, $E$9)</f>
        <v>11.3964</v>
      </c>
      <c r="L341" s="11">
        <f>6.6687 * CHOOSE(CONTROL!$C$32, $C$9, 100%, $E$9)</f>
        <v>6.6687000000000003</v>
      </c>
      <c r="M341" s="11">
        <f>6.6723 * CHOOSE(CONTROL!$C$32, $C$9, 100%, $E$9)</f>
        <v>6.6722999999999999</v>
      </c>
      <c r="N341" s="11">
        <f>6.6687 * CHOOSE(CONTROL!$C$32, $C$9, 100%, $E$9)</f>
        <v>6.6687000000000003</v>
      </c>
      <c r="O341" s="11">
        <f>6.6723 * CHOOSE(CONTROL!$C$32, $C$9, 100%, $E$9)</f>
        <v>6.6722999999999999</v>
      </c>
    </row>
    <row r="342" spans="1:15" ht="15" x14ac:dyDescent="0.2">
      <c r="A342" s="13">
        <v>51257</v>
      </c>
      <c r="B342" s="9">
        <f>5.2649 * CHOOSE(CONTROL!$C$32, $C$9, 100%, $E$9)</f>
        <v>5.2648999999999999</v>
      </c>
      <c r="C342" s="9">
        <f>5.2649 * CHOOSE(CONTROL!$C$32, $C$9, 100%, $E$9)</f>
        <v>5.2648999999999999</v>
      </c>
      <c r="D342" s="9">
        <f>5.2665 * CHOOSE(CONTROL!$C$32, $C$9, 100%, $E$9)</f>
        <v>5.2664999999999997</v>
      </c>
      <c r="E342" s="11">
        <f>6.7052 * CHOOSE(CONTROL!$C$32, $C$9, 100%, $E$9)</f>
        <v>6.7051999999999996</v>
      </c>
      <c r="F342" s="11">
        <f>6.7052 * CHOOSE(CONTROL!$C$32, $C$9, 100%, $E$9)</f>
        <v>6.7051999999999996</v>
      </c>
      <c r="G342" s="11">
        <f>6.7105 * CHOOSE(CONTROL!$C$32, $C$9, 100%, $E$9)</f>
        <v>6.7104999999999997</v>
      </c>
      <c r="H342" s="11">
        <f>11.4165 * CHOOSE(CONTROL!$C$32, $C$9, 100%, $E$9)</f>
        <v>11.416499999999999</v>
      </c>
      <c r="I342" s="11">
        <f>11.4218 * CHOOSE(CONTROL!$C$32, $C$9, 100%, $E$9)</f>
        <v>11.421799999999999</v>
      </c>
      <c r="J342" s="11">
        <f>11.4165 * CHOOSE(CONTROL!$C$32, $C$9, 100%, $E$9)</f>
        <v>11.416499999999999</v>
      </c>
      <c r="K342" s="11">
        <f>11.4218 * CHOOSE(CONTROL!$C$32, $C$9, 100%, $E$9)</f>
        <v>11.421799999999999</v>
      </c>
      <c r="L342" s="11">
        <f>6.7052 * CHOOSE(CONTROL!$C$32, $C$9, 100%, $E$9)</f>
        <v>6.7051999999999996</v>
      </c>
      <c r="M342" s="11">
        <f>6.7105 * CHOOSE(CONTROL!$C$32, $C$9, 100%, $E$9)</f>
        <v>6.7104999999999997</v>
      </c>
      <c r="N342" s="11">
        <f>6.7052 * CHOOSE(CONTROL!$C$32, $C$9, 100%, $E$9)</f>
        <v>6.7051999999999996</v>
      </c>
      <c r="O342" s="11">
        <f>6.7105 * CHOOSE(CONTROL!$C$32, $C$9, 100%, $E$9)</f>
        <v>6.7104999999999997</v>
      </c>
    </row>
    <row r="343" spans="1:15" ht="15" x14ac:dyDescent="0.2">
      <c r="A343" s="13">
        <v>51288</v>
      </c>
      <c r="B343" s="9">
        <f>5.271 * CHOOSE(CONTROL!$C$32, $C$9, 100%, $E$9)</f>
        <v>5.2709999999999999</v>
      </c>
      <c r="C343" s="9">
        <f>5.271 * CHOOSE(CONTROL!$C$32, $C$9, 100%, $E$9)</f>
        <v>5.2709999999999999</v>
      </c>
      <c r="D343" s="9">
        <f>5.2726 * CHOOSE(CONTROL!$C$32, $C$9, 100%, $E$9)</f>
        <v>5.2725999999999997</v>
      </c>
      <c r="E343" s="11">
        <f>6.673 * CHOOSE(CONTROL!$C$32, $C$9, 100%, $E$9)</f>
        <v>6.673</v>
      </c>
      <c r="F343" s="11">
        <f>6.673 * CHOOSE(CONTROL!$C$32, $C$9, 100%, $E$9)</f>
        <v>6.673</v>
      </c>
      <c r="G343" s="11">
        <f>6.6782 * CHOOSE(CONTROL!$C$32, $C$9, 100%, $E$9)</f>
        <v>6.6782000000000004</v>
      </c>
      <c r="H343" s="11">
        <f>11.4403 * CHOOSE(CONTROL!$C$32, $C$9, 100%, $E$9)</f>
        <v>11.440300000000001</v>
      </c>
      <c r="I343" s="11">
        <f>11.4456 * CHOOSE(CONTROL!$C$32, $C$9, 100%, $E$9)</f>
        <v>11.445600000000001</v>
      </c>
      <c r="J343" s="11">
        <f>11.4403 * CHOOSE(CONTROL!$C$32, $C$9, 100%, $E$9)</f>
        <v>11.440300000000001</v>
      </c>
      <c r="K343" s="11">
        <f>11.4456 * CHOOSE(CONTROL!$C$32, $C$9, 100%, $E$9)</f>
        <v>11.445600000000001</v>
      </c>
      <c r="L343" s="11">
        <f>6.673 * CHOOSE(CONTROL!$C$32, $C$9, 100%, $E$9)</f>
        <v>6.673</v>
      </c>
      <c r="M343" s="11">
        <f>6.6782 * CHOOSE(CONTROL!$C$32, $C$9, 100%, $E$9)</f>
        <v>6.6782000000000004</v>
      </c>
      <c r="N343" s="11">
        <f>6.673 * CHOOSE(CONTROL!$C$32, $C$9, 100%, $E$9)</f>
        <v>6.673</v>
      </c>
      <c r="O343" s="11">
        <f>6.6782 * CHOOSE(CONTROL!$C$32, $C$9, 100%, $E$9)</f>
        <v>6.6782000000000004</v>
      </c>
    </row>
    <row r="344" spans="1:15" ht="15" x14ac:dyDescent="0.2">
      <c r="A344" s="13">
        <v>51318</v>
      </c>
      <c r="B344" s="9">
        <f>5.345 * CHOOSE(CONTROL!$C$32, $C$9, 100%, $E$9)</f>
        <v>5.3449999999999998</v>
      </c>
      <c r="C344" s="9">
        <f>5.345 * CHOOSE(CONTROL!$C$32, $C$9, 100%, $E$9)</f>
        <v>5.3449999999999998</v>
      </c>
      <c r="D344" s="9">
        <f>5.3466 * CHOOSE(CONTROL!$C$32, $C$9, 100%, $E$9)</f>
        <v>5.3465999999999996</v>
      </c>
      <c r="E344" s="11">
        <f>6.6813 * CHOOSE(CONTROL!$C$32, $C$9, 100%, $E$9)</f>
        <v>6.6813000000000002</v>
      </c>
      <c r="F344" s="11">
        <f>6.6813 * CHOOSE(CONTROL!$C$32, $C$9, 100%, $E$9)</f>
        <v>6.6813000000000002</v>
      </c>
      <c r="G344" s="11">
        <f>6.6866 * CHOOSE(CONTROL!$C$32, $C$9, 100%, $E$9)</f>
        <v>6.6866000000000003</v>
      </c>
      <c r="H344" s="11">
        <f>11.4641 * CHOOSE(CONTROL!$C$32, $C$9, 100%, $E$9)</f>
        <v>11.4641</v>
      </c>
      <c r="I344" s="11">
        <f>11.4694 * CHOOSE(CONTROL!$C$32, $C$9, 100%, $E$9)</f>
        <v>11.4694</v>
      </c>
      <c r="J344" s="11">
        <f>11.4641 * CHOOSE(CONTROL!$C$32, $C$9, 100%, $E$9)</f>
        <v>11.4641</v>
      </c>
      <c r="K344" s="11">
        <f>11.4694 * CHOOSE(CONTROL!$C$32, $C$9, 100%, $E$9)</f>
        <v>11.4694</v>
      </c>
      <c r="L344" s="11">
        <f>6.6813 * CHOOSE(CONTROL!$C$32, $C$9, 100%, $E$9)</f>
        <v>6.6813000000000002</v>
      </c>
      <c r="M344" s="11">
        <f>6.6866 * CHOOSE(CONTROL!$C$32, $C$9, 100%, $E$9)</f>
        <v>6.6866000000000003</v>
      </c>
      <c r="N344" s="11">
        <f>6.6813 * CHOOSE(CONTROL!$C$32, $C$9, 100%, $E$9)</f>
        <v>6.6813000000000002</v>
      </c>
      <c r="O344" s="11">
        <f>6.6866 * CHOOSE(CONTROL!$C$32, $C$9, 100%, $E$9)</f>
        <v>6.6866000000000003</v>
      </c>
    </row>
    <row r="345" spans="1:15" ht="15" x14ac:dyDescent="0.2">
      <c r="A345" s="13">
        <v>51349</v>
      </c>
      <c r="B345" s="9">
        <f>5.3517 * CHOOSE(CONTROL!$C$32, $C$9, 100%, $E$9)</f>
        <v>5.3517000000000001</v>
      </c>
      <c r="C345" s="9">
        <f>5.3517 * CHOOSE(CONTROL!$C$32, $C$9, 100%, $E$9)</f>
        <v>5.3517000000000001</v>
      </c>
      <c r="D345" s="9">
        <f>5.3533 * CHOOSE(CONTROL!$C$32, $C$9, 100%, $E$9)</f>
        <v>5.3532999999999999</v>
      </c>
      <c r="E345" s="11">
        <f>6.5764 * CHOOSE(CONTROL!$C$32, $C$9, 100%, $E$9)</f>
        <v>6.5763999999999996</v>
      </c>
      <c r="F345" s="11">
        <f>6.5764 * CHOOSE(CONTROL!$C$32, $C$9, 100%, $E$9)</f>
        <v>6.5763999999999996</v>
      </c>
      <c r="G345" s="11">
        <f>6.5817 * CHOOSE(CONTROL!$C$32, $C$9, 100%, $E$9)</f>
        <v>6.5816999999999997</v>
      </c>
      <c r="H345" s="11">
        <f>11.488 * CHOOSE(CONTROL!$C$32, $C$9, 100%, $E$9)</f>
        <v>11.488</v>
      </c>
      <c r="I345" s="11">
        <f>11.4933 * CHOOSE(CONTROL!$C$32, $C$9, 100%, $E$9)</f>
        <v>11.4933</v>
      </c>
      <c r="J345" s="11">
        <f>11.488 * CHOOSE(CONTROL!$C$32, $C$9, 100%, $E$9)</f>
        <v>11.488</v>
      </c>
      <c r="K345" s="11">
        <f>11.4933 * CHOOSE(CONTROL!$C$32, $C$9, 100%, $E$9)</f>
        <v>11.4933</v>
      </c>
      <c r="L345" s="11">
        <f>6.5764 * CHOOSE(CONTROL!$C$32, $C$9, 100%, $E$9)</f>
        <v>6.5763999999999996</v>
      </c>
      <c r="M345" s="11">
        <f>6.5817 * CHOOSE(CONTROL!$C$32, $C$9, 100%, $E$9)</f>
        <v>6.5816999999999997</v>
      </c>
      <c r="N345" s="11">
        <f>6.5764 * CHOOSE(CONTROL!$C$32, $C$9, 100%, $E$9)</f>
        <v>6.5763999999999996</v>
      </c>
      <c r="O345" s="11">
        <f>6.5817 * CHOOSE(CONTROL!$C$32, $C$9, 100%, $E$9)</f>
        <v>6.5816999999999997</v>
      </c>
    </row>
    <row r="346" spans="1:15" ht="15" x14ac:dyDescent="0.2">
      <c r="A346" s="13">
        <v>51380</v>
      </c>
      <c r="B346" s="9">
        <f>5.3487 * CHOOSE(CONTROL!$C$32, $C$9, 100%, $E$9)</f>
        <v>5.3487</v>
      </c>
      <c r="C346" s="9">
        <f>5.3487 * CHOOSE(CONTROL!$C$32, $C$9, 100%, $E$9)</f>
        <v>5.3487</v>
      </c>
      <c r="D346" s="9">
        <f>5.3502 * CHOOSE(CONTROL!$C$32, $C$9, 100%, $E$9)</f>
        <v>5.3502000000000001</v>
      </c>
      <c r="E346" s="11">
        <f>6.5621 * CHOOSE(CONTROL!$C$32, $C$9, 100%, $E$9)</f>
        <v>6.5621</v>
      </c>
      <c r="F346" s="11">
        <f>6.5621 * CHOOSE(CONTROL!$C$32, $C$9, 100%, $E$9)</f>
        <v>6.5621</v>
      </c>
      <c r="G346" s="11">
        <f>6.5674 * CHOOSE(CONTROL!$C$32, $C$9, 100%, $E$9)</f>
        <v>6.5674000000000001</v>
      </c>
      <c r="H346" s="11">
        <f>11.512 * CHOOSE(CONTROL!$C$32, $C$9, 100%, $E$9)</f>
        <v>11.512</v>
      </c>
      <c r="I346" s="11">
        <f>11.5173 * CHOOSE(CONTROL!$C$32, $C$9, 100%, $E$9)</f>
        <v>11.517300000000001</v>
      </c>
      <c r="J346" s="11">
        <f>11.512 * CHOOSE(CONTROL!$C$32, $C$9, 100%, $E$9)</f>
        <v>11.512</v>
      </c>
      <c r="K346" s="11">
        <f>11.5173 * CHOOSE(CONTROL!$C$32, $C$9, 100%, $E$9)</f>
        <v>11.517300000000001</v>
      </c>
      <c r="L346" s="11">
        <f>6.5621 * CHOOSE(CONTROL!$C$32, $C$9, 100%, $E$9)</f>
        <v>6.5621</v>
      </c>
      <c r="M346" s="11">
        <f>6.5674 * CHOOSE(CONTROL!$C$32, $C$9, 100%, $E$9)</f>
        <v>6.5674000000000001</v>
      </c>
      <c r="N346" s="11">
        <f>6.5621 * CHOOSE(CONTROL!$C$32, $C$9, 100%, $E$9)</f>
        <v>6.5621</v>
      </c>
      <c r="O346" s="11">
        <f>6.5674 * CHOOSE(CONTROL!$C$32, $C$9, 100%, $E$9)</f>
        <v>6.5674000000000001</v>
      </c>
    </row>
    <row r="347" spans="1:15" ht="15" x14ac:dyDescent="0.2">
      <c r="A347" s="13">
        <v>51410</v>
      </c>
      <c r="B347" s="9">
        <f>5.3487 * CHOOSE(CONTROL!$C$32, $C$9, 100%, $E$9)</f>
        <v>5.3487</v>
      </c>
      <c r="C347" s="9">
        <f>5.3487 * CHOOSE(CONTROL!$C$32, $C$9, 100%, $E$9)</f>
        <v>5.3487</v>
      </c>
      <c r="D347" s="9">
        <f>5.3498 * CHOOSE(CONTROL!$C$32, $C$9, 100%, $E$9)</f>
        <v>5.3498000000000001</v>
      </c>
      <c r="E347" s="11">
        <f>6.5974 * CHOOSE(CONTROL!$C$32, $C$9, 100%, $E$9)</f>
        <v>6.5974000000000004</v>
      </c>
      <c r="F347" s="11">
        <f>6.5974 * CHOOSE(CONTROL!$C$32, $C$9, 100%, $E$9)</f>
        <v>6.5974000000000004</v>
      </c>
      <c r="G347" s="11">
        <f>6.601 * CHOOSE(CONTROL!$C$32, $C$9, 100%, $E$9)</f>
        <v>6.601</v>
      </c>
      <c r="H347" s="11">
        <f>11.5359 * CHOOSE(CONTROL!$C$32, $C$9, 100%, $E$9)</f>
        <v>11.5359</v>
      </c>
      <c r="I347" s="11">
        <f>11.5396 * CHOOSE(CONTROL!$C$32, $C$9, 100%, $E$9)</f>
        <v>11.5396</v>
      </c>
      <c r="J347" s="11">
        <f>11.5359 * CHOOSE(CONTROL!$C$32, $C$9, 100%, $E$9)</f>
        <v>11.5359</v>
      </c>
      <c r="K347" s="11">
        <f>11.5396 * CHOOSE(CONTROL!$C$32, $C$9, 100%, $E$9)</f>
        <v>11.5396</v>
      </c>
      <c r="L347" s="11">
        <f>6.5974 * CHOOSE(CONTROL!$C$32, $C$9, 100%, $E$9)</f>
        <v>6.5974000000000004</v>
      </c>
      <c r="M347" s="11">
        <f>6.601 * CHOOSE(CONTROL!$C$32, $C$9, 100%, $E$9)</f>
        <v>6.601</v>
      </c>
      <c r="N347" s="11">
        <f>6.5974 * CHOOSE(CONTROL!$C$32, $C$9, 100%, $E$9)</f>
        <v>6.5974000000000004</v>
      </c>
      <c r="O347" s="11">
        <f>6.601 * CHOOSE(CONTROL!$C$32, $C$9, 100%, $E$9)</f>
        <v>6.601</v>
      </c>
    </row>
    <row r="348" spans="1:15" ht="15" x14ac:dyDescent="0.2">
      <c r="A348" s="13">
        <v>51441</v>
      </c>
      <c r="B348" s="9">
        <f>5.3518 * CHOOSE(CONTROL!$C$32, $C$9, 100%, $E$9)</f>
        <v>5.3517999999999999</v>
      </c>
      <c r="C348" s="9">
        <f>5.3518 * CHOOSE(CONTROL!$C$32, $C$9, 100%, $E$9)</f>
        <v>5.3517999999999999</v>
      </c>
      <c r="D348" s="9">
        <f>5.3528 * CHOOSE(CONTROL!$C$32, $C$9, 100%, $E$9)</f>
        <v>5.3528000000000002</v>
      </c>
      <c r="E348" s="11">
        <f>6.6239 * CHOOSE(CONTROL!$C$32, $C$9, 100%, $E$9)</f>
        <v>6.6238999999999999</v>
      </c>
      <c r="F348" s="11">
        <f>6.6239 * CHOOSE(CONTROL!$C$32, $C$9, 100%, $E$9)</f>
        <v>6.6238999999999999</v>
      </c>
      <c r="G348" s="11">
        <f>6.6275 * CHOOSE(CONTROL!$C$32, $C$9, 100%, $E$9)</f>
        <v>6.6275000000000004</v>
      </c>
      <c r="H348" s="11">
        <f>11.56 * CHOOSE(CONTROL!$C$32, $C$9, 100%, $E$9)</f>
        <v>11.56</v>
      </c>
      <c r="I348" s="11">
        <f>11.5636 * CHOOSE(CONTROL!$C$32, $C$9, 100%, $E$9)</f>
        <v>11.563599999999999</v>
      </c>
      <c r="J348" s="11">
        <f>11.56 * CHOOSE(CONTROL!$C$32, $C$9, 100%, $E$9)</f>
        <v>11.56</v>
      </c>
      <c r="K348" s="11">
        <f>11.5636 * CHOOSE(CONTROL!$C$32, $C$9, 100%, $E$9)</f>
        <v>11.563599999999999</v>
      </c>
      <c r="L348" s="11">
        <f>6.6239 * CHOOSE(CONTROL!$C$32, $C$9, 100%, $E$9)</f>
        <v>6.6238999999999999</v>
      </c>
      <c r="M348" s="11">
        <f>6.6275 * CHOOSE(CONTROL!$C$32, $C$9, 100%, $E$9)</f>
        <v>6.6275000000000004</v>
      </c>
      <c r="N348" s="11">
        <f>6.6239 * CHOOSE(CONTROL!$C$32, $C$9, 100%, $E$9)</f>
        <v>6.6238999999999999</v>
      </c>
      <c r="O348" s="11">
        <f>6.6275 * CHOOSE(CONTROL!$C$32, $C$9, 100%, $E$9)</f>
        <v>6.6275000000000004</v>
      </c>
    </row>
    <row r="349" spans="1:15" ht="15" x14ac:dyDescent="0.2">
      <c r="A349" s="13">
        <v>51471</v>
      </c>
      <c r="B349" s="9">
        <f>5.3518 * CHOOSE(CONTROL!$C$32, $C$9, 100%, $E$9)</f>
        <v>5.3517999999999999</v>
      </c>
      <c r="C349" s="9">
        <f>5.3518 * CHOOSE(CONTROL!$C$32, $C$9, 100%, $E$9)</f>
        <v>5.3517999999999999</v>
      </c>
      <c r="D349" s="9">
        <f>5.3528 * CHOOSE(CONTROL!$C$32, $C$9, 100%, $E$9)</f>
        <v>5.3528000000000002</v>
      </c>
      <c r="E349" s="11">
        <f>6.563 * CHOOSE(CONTROL!$C$32, $C$9, 100%, $E$9)</f>
        <v>6.5629999999999997</v>
      </c>
      <c r="F349" s="11">
        <f>6.563 * CHOOSE(CONTROL!$C$32, $C$9, 100%, $E$9)</f>
        <v>6.5629999999999997</v>
      </c>
      <c r="G349" s="11">
        <f>6.5666 * CHOOSE(CONTROL!$C$32, $C$9, 100%, $E$9)</f>
        <v>6.5666000000000002</v>
      </c>
      <c r="H349" s="11">
        <f>11.5841 * CHOOSE(CONTROL!$C$32, $C$9, 100%, $E$9)</f>
        <v>11.584099999999999</v>
      </c>
      <c r="I349" s="11">
        <f>11.5877 * CHOOSE(CONTROL!$C$32, $C$9, 100%, $E$9)</f>
        <v>11.5877</v>
      </c>
      <c r="J349" s="11">
        <f>11.5841 * CHOOSE(CONTROL!$C$32, $C$9, 100%, $E$9)</f>
        <v>11.584099999999999</v>
      </c>
      <c r="K349" s="11">
        <f>11.5877 * CHOOSE(CONTROL!$C$32, $C$9, 100%, $E$9)</f>
        <v>11.5877</v>
      </c>
      <c r="L349" s="11">
        <f>6.563 * CHOOSE(CONTROL!$C$32, $C$9, 100%, $E$9)</f>
        <v>6.5629999999999997</v>
      </c>
      <c r="M349" s="11">
        <f>6.5666 * CHOOSE(CONTROL!$C$32, $C$9, 100%, $E$9)</f>
        <v>6.5666000000000002</v>
      </c>
      <c r="N349" s="11">
        <f>6.563 * CHOOSE(CONTROL!$C$32, $C$9, 100%, $E$9)</f>
        <v>6.5629999999999997</v>
      </c>
      <c r="O349" s="11">
        <f>6.5666 * CHOOSE(CONTROL!$C$32, $C$9, 100%, $E$9)</f>
        <v>6.5666000000000002</v>
      </c>
    </row>
    <row r="350" spans="1:15" ht="15" x14ac:dyDescent="0.2">
      <c r="A350" s="13">
        <v>51502</v>
      </c>
      <c r="B350" s="9">
        <f>5.3929 * CHOOSE(CONTROL!$C$32, $C$9, 100%, $E$9)</f>
        <v>5.3929</v>
      </c>
      <c r="C350" s="9">
        <f>5.3929 * CHOOSE(CONTROL!$C$32, $C$9, 100%, $E$9)</f>
        <v>5.3929</v>
      </c>
      <c r="D350" s="9">
        <f>5.3939 * CHOOSE(CONTROL!$C$32, $C$9, 100%, $E$9)</f>
        <v>5.3939000000000004</v>
      </c>
      <c r="E350" s="11">
        <f>6.6304 * CHOOSE(CONTROL!$C$32, $C$9, 100%, $E$9)</f>
        <v>6.6303999999999998</v>
      </c>
      <c r="F350" s="11">
        <f>6.6304 * CHOOSE(CONTROL!$C$32, $C$9, 100%, $E$9)</f>
        <v>6.6303999999999998</v>
      </c>
      <c r="G350" s="11">
        <f>6.6341 * CHOOSE(CONTROL!$C$32, $C$9, 100%, $E$9)</f>
        <v>6.6341000000000001</v>
      </c>
      <c r="H350" s="11">
        <f>11.6082 * CHOOSE(CONTROL!$C$32, $C$9, 100%, $E$9)</f>
        <v>11.6082</v>
      </c>
      <c r="I350" s="11">
        <f>11.6118 * CHOOSE(CONTROL!$C$32, $C$9, 100%, $E$9)</f>
        <v>11.611800000000001</v>
      </c>
      <c r="J350" s="11">
        <f>11.6082 * CHOOSE(CONTROL!$C$32, $C$9, 100%, $E$9)</f>
        <v>11.6082</v>
      </c>
      <c r="K350" s="11">
        <f>11.6118 * CHOOSE(CONTROL!$C$32, $C$9, 100%, $E$9)</f>
        <v>11.611800000000001</v>
      </c>
      <c r="L350" s="11">
        <f>6.6304 * CHOOSE(CONTROL!$C$32, $C$9, 100%, $E$9)</f>
        <v>6.6303999999999998</v>
      </c>
      <c r="M350" s="11">
        <f>6.6341 * CHOOSE(CONTROL!$C$32, $C$9, 100%, $E$9)</f>
        <v>6.6341000000000001</v>
      </c>
      <c r="N350" s="11">
        <f>6.6304 * CHOOSE(CONTROL!$C$32, $C$9, 100%, $E$9)</f>
        <v>6.6303999999999998</v>
      </c>
      <c r="O350" s="11">
        <f>6.6341 * CHOOSE(CONTROL!$C$32, $C$9, 100%, $E$9)</f>
        <v>6.6341000000000001</v>
      </c>
    </row>
    <row r="351" spans="1:15" ht="15" x14ac:dyDescent="0.2">
      <c r="A351" s="13">
        <v>51533</v>
      </c>
      <c r="B351" s="9">
        <f>5.3898 * CHOOSE(CONTROL!$C$32, $C$9, 100%, $E$9)</f>
        <v>5.3898000000000001</v>
      </c>
      <c r="C351" s="9">
        <f>5.3898 * CHOOSE(CONTROL!$C$32, $C$9, 100%, $E$9)</f>
        <v>5.3898000000000001</v>
      </c>
      <c r="D351" s="9">
        <f>5.3909 * CHOOSE(CONTROL!$C$32, $C$9, 100%, $E$9)</f>
        <v>5.3909000000000002</v>
      </c>
      <c r="E351" s="11">
        <f>6.5096 * CHOOSE(CONTROL!$C$32, $C$9, 100%, $E$9)</f>
        <v>6.5095999999999998</v>
      </c>
      <c r="F351" s="11">
        <f>6.5096 * CHOOSE(CONTROL!$C$32, $C$9, 100%, $E$9)</f>
        <v>6.5095999999999998</v>
      </c>
      <c r="G351" s="11">
        <f>6.5132 * CHOOSE(CONTROL!$C$32, $C$9, 100%, $E$9)</f>
        <v>6.5132000000000003</v>
      </c>
      <c r="H351" s="11">
        <f>11.6324 * CHOOSE(CONTROL!$C$32, $C$9, 100%, $E$9)</f>
        <v>11.632400000000001</v>
      </c>
      <c r="I351" s="11">
        <f>11.636 * CHOOSE(CONTROL!$C$32, $C$9, 100%, $E$9)</f>
        <v>11.635999999999999</v>
      </c>
      <c r="J351" s="11">
        <f>11.6324 * CHOOSE(CONTROL!$C$32, $C$9, 100%, $E$9)</f>
        <v>11.632400000000001</v>
      </c>
      <c r="K351" s="11">
        <f>11.636 * CHOOSE(CONTROL!$C$32, $C$9, 100%, $E$9)</f>
        <v>11.635999999999999</v>
      </c>
      <c r="L351" s="11">
        <f>6.5096 * CHOOSE(CONTROL!$C$32, $C$9, 100%, $E$9)</f>
        <v>6.5095999999999998</v>
      </c>
      <c r="M351" s="11">
        <f>6.5132 * CHOOSE(CONTROL!$C$32, $C$9, 100%, $E$9)</f>
        <v>6.5132000000000003</v>
      </c>
      <c r="N351" s="11">
        <f>6.5096 * CHOOSE(CONTROL!$C$32, $C$9, 100%, $E$9)</f>
        <v>6.5095999999999998</v>
      </c>
      <c r="O351" s="11">
        <f>6.5132 * CHOOSE(CONTROL!$C$32, $C$9, 100%, $E$9)</f>
        <v>6.5132000000000003</v>
      </c>
    </row>
    <row r="352" spans="1:15" ht="15" x14ac:dyDescent="0.2">
      <c r="A352" s="13">
        <v>51561</v>
      </c>
      <c r="B352" s="9">
        <f>5.3868 * CHOOSE(CONTROL!$C$32, $C$9, 100%, $E$9)</f>
        <v>5.3868</v>
      </c>
      <c r="C352" s="9">
        <f>5.3868 * CHOOSE(CONTROL!$C$32, $C$9, 100%, $E$9)</f>
        <v>5.3868</v>
      </c>
      <c r="D352" s="9">
        <f>5.3878 * CHOOSE(CONTROL!$C$32, $C$9, 100%, $E$9)</f>
        <v>5.3878000000000004</v>
      </c>
      <c r="E352" s="11">
        <f>6.6011 * CHOOSE(CONTROL!$C$32, $C$9, 100%, $E$9)</f>
        <v>6.6010999999999997</v>
      </c>
      <c r="F352" s="11">
        <f>6.6011 * CHOOSE(CONTROL!$C$32, $C$9, 100%, $E$9)</f>
        <v>6.6010999999999997</v>
      </c>
      <c r="G352" s="11">
        <f>6.6047 * CHOOSE(CONTROL!$C$32, $C$9, 100%, $E$9)</f>
        <v>6.6047000000000002</v>
      </c>
      <c r="H352" s="11">
        <f>11.6566 * CHOOSE(CONTROL!$C$32, $C$9, 100%, $E$9)</f>
        <v>11.656599999999999</v>
      </c>
      <c r="I352" s="11">
        <f>11.6602 * CHOOSE(CONTROL!$C$32, $C$9, 100%, $E$9)</f>
        <v>11.6602</v>
      </c>
      <c r="J352" s="11">
        <f>11.6566 * CHOOSE(CONTROL!$C$32, $C$9, 100%, $E$9)</f>
        <v>11.656599999999999</v>
      </c>
      <c r="K352" s="11">
        <f>11.6602 * CHOOSE(CONTROL!$C$32, $C$9, 100%, $E$9)</f>
        <v>11.6602</v>
      </c>
      <c r="L352" s="11">
        <f>6.6011 * CHOOSE(CONTROL!$C$32, $C$9, 100%, $E$9)</f>
        <v>6.6010999999999997</v>
      </c>
      <c r="M352" s="11">
        <f>6.6047 * CHOOSE(CONTROL!$C$32, $C$9, 100%, $E$9)</f>
        <v>6.6047000000000002</v>
      </c>
      <c r="N352" s="11">
        <f>6.6011 * CHOOSE(CONTROL!$C$32, $C$9, 100%, $E$9)</f>
        <v>6.6010999999999997</v>
      </c>
      <c r="O352" s="11">
        <f>6.6047 * CHOOSE(CONTROL!$C$32, $C$9, 100%, $E$9)</f>
        <v>6.6047000000000002</v>
      </c>
    </row>
    <row r="353" spans="1:15" ht="15" x14ac:dyDescent="0.2">
      <c r="A353" s="13">
        <v>51592</v>
      </c>
      <c r="B353" s="9">
        <f>5.3858 * CHOOSE(CONTROL!$C$32, $C$9, 100%, $E$9)</f>
        <v>5.3857999999999997</v>
      </c>
      <c r="C353" s="9">
        <f>5.3858 * CHOOSE(CONTROL!$C$32, $C$9, 100%, $E$9)</f>
        <v>5.3857999999999997</v>
      </c>
      <c r="D353" s="9">
        <f>5.3868 * CHOOSE(CONTROL!$C$32, $C$9, 100%, $E$9)</f>
        <v>5.3868</v>
      </c>
      <c r="E353" s="11">
        <f>6.6974 * CHOOSE(CONTROL!$C$32, $C$9, 100%, $E$9)</f>
        <v>6.6974</v>
      </c>
      <c r="F353" s="11">
        <f>6.6974 * CHOOSE(CONTROL!$C$32, $C$9, 100%, $E$9)</f>
        <v>6.6974</v>
      </c>
      <c r="G353" s="11">
        <f>6.701 * CHOOSE(CONTROL!$C$32, $C$9, 100%, $E$9)</f>
        <v>6.7009999999999996</v>
      </c>
      <c r="H353" s="11">
        <f>11.6809 * CHOOSE(CONTROL!$C$32, $C$9, 100%, $E$9)</f>
        <v>11.680899999999999</v>
      </c>
      <c r="I353" s="11">
        <f>11.6845 * CHOOSE(CONTROL!$C$32, $C$9, 100%, $E$9)</f>
        <v>11.6845</v>
      </c>
      <c r="J353" s="11">
        <f>11.6809 * CHOOSE(CONTROL!$C$32, $C$9, 100%, $E$9)</f>
        <v>11.680899999999999</v>
      </c>
      <c r="K353" s="11">
        <f>11.6845 * CHOOSE(CONTROL!$C$32, $C$9, 100%, $E$9)</f>
        <v>11.6845</v>
      </c>
      <c r="L353" s="11">
        <f>6.6974 * CHOOSE(CONTROL!$C$32, $C$9, 100%, $E$9)</f>
        <v>6.6974</v>
      </c>
      <c r="M353" s="11">
        <f>6.701 * CHOOSE(CONTROL!$C$32, $C$9, 100%, $E$9)</f>
        <v>6.7009999999999996</v>
      </c>
      <c r="N353" s="11">
        <f>6.6974 * CHOOSE(CONTROL!$C$32, $C$9, 100%, $E$9)</f>
        <v>6.6974</v>
      </c>
      <c r="O353" s="11">
        <f>6.701 * CHOOSE(CONTROL!$C$32, $C$9, 100%, $E$9)</f>
        <v>6.7009999999999996</v>
      </c>
    </row>
    <row r="354" spans="1:15" ht="15" x14ac:dyDescent="0.2">
      <c r="A354" s="13">
        <v>51622</v>
      </c>
      <c r="B354" s="9">
        <f>5.3858 * CHOOSE(CONTROL!$C$32, $C$9, 100%, $E$9)</f>
        <v>5.3857999999999997</v>
      </c>
      <c r="C354" s="9">
        <f>5.3858 * CHOOSE(CONTROL!$C$32, $C$9, 100%, $E$9)</f>
        <v>5.3857999999999997</v>
      </c>
      <c r="D354" s="9">
        <f>5.3873 * CHOOSE(CONTROL!$C$32, $C$9, 100%, $E$9)</f>
        <v>5.3872999999999998</v>
      </c>
      <c r="E354" s="11">
        <f>6.7351 * CHOOSE(CONTROL!$C$32, $C$9, 100%, $E$9)</f>
        <v>6.7351000000000001</v>
      </c>
      <c r="F354" s="11">
        <f>6.7351 * CHOOSE(CONTROL!$C$32, $C$9, 100%, $E$9)</f>
        <v>6.7351000000000001</v>
      </c>
      <c r="G354" s="11">
        <f>6.7404 * CHOOSE(CONTROL!$C$32, $C$9, 100%, $E$9)</f>
        <v>6.7404000000000002</v>
      </c>
      <c r="H354" s="11">
        <f>11.7052 * CHOOSE(CONTROL!$C$32, $C$9, 100%, $E$9)</f>
        <v>11.7052</v>
      </c>
      <c r="I354" s="11">
        <f>11.7105 * CHOOSE(CONTROL!$C$32, $C$9, 100%, $E$9)</f>
        <v>11.7105</v>
      </c>
      <c r="J354" s="11">
        <f>11.7052 * CHOOSE(CONTROL!$C$32, $C$9, 100%, $E$9)</f>
        <v>11.7052</v>
      </c>
      <c r="K354" s="11">
        <f>11.7105 * CHOOSE(CONTROL!$C$32, $C$9, 100%, $E$9)</f>
        <v>11.7105</v>
      </c>
      <c r="L354" s="11">
        <f>6.7351 * CHOOSE(CONTROL!$C$32, $C$9, 100%, $E$9)</f>
        <v>6.7351000000000001</v>
      </c>
      <c r="M354" s="11">
        <f>6.7404 * CHOOSE(CONTROL!$C$32, $C$9, 100%, $E$9)</f>
        <v>6.7404000000000002</v>
      </c>
      <c r="N354" s="11">
        <f>6.7351 * CHOOSE(CONTROL!$C$32, $C$9, 100%, $E$9)</f>
        <v>6.7351000000000001</v>
      </c>
      <c r="O354" s="11">
        <f>6.7404 * CHOOSE(CONTROL!$C$32, $C$9, 100%, $E$9)</f>
        <v>6.7404000000000002</v>
      </c>
    </row>
    <row r="355" spans="1:15" ht="15" x14ac:dyDescent="0.2">
      <c r="A355" s="13">
        <v>51653</v>
      </c>
      <c r="B355" s="9">
        <f>5.3918 * CHOOSE(CONTROL!$C$32, $C$9, 100%, $E$9)</f>
        <v>5.3917999999999999</v>
      </c>
      <c r="C355" s="9">
        <f>5.3918 * CHOOSE(CONTROL!$C$32, $C$9, 100%, $E$9)</f>
        <v>5.3917999999999999</v>
      </c>
      <c r="D355" s="9">
        <f>5.3934 * CHOOSE(CONTROL!$C$32, $C$9, 100%, $E$9)</f>
        <v>5.3933999999999997</v>
      </c>
      <c r="E355" s="11">
        <f>6.7016 * CHOOSE(CONTROL!$C$32, $C$9, 100%, $E$9)</f>
        <v>6.7016</v>
      </c>
      <c r="F355" s="11">
        <f>6.7016 * CHOOSE(CONTROL!$C$32, $C$9, 100%, $E$9)</f>
        <v>6.7016</v>
      </c>
      <c r="G355" s="11">
        <f>6.7069 * CHOOSE(CONTROL!$C$32, $C$9, 100%, $E$9)</f>
        <v>6.7069000000000001</v>
      </c>
      <c r="H355" s="11">
        <f>11.7296 * CHOOSE(CONTROL!$C$32, $C$9, 100%, $E$9)</f>
        <v>11.7296</v>
      </c>
      <c r="I355" s="11">
        <f>11.7349 * CHOOSE(CONTROL!$C$32, $C$9, 100%, $E$9)</f>
        <v>11.7349</v>
      </c>
      <c r="J355" s="11">
        <f>11.7296 * CHOOSE(CONTROL!$C$32, $C$9, 100%, $E$9)</f>
        <v>11.7296</v>
      </c>
      <c r="K355" s="11">
        <f>11.7349 * CHOOSE(CONTROL!$C$32, $C$9, 100%, $E$9)</f>
        <v>11.7349</v>
      </c>
      <c r="L355" s="11">
        <f>6.7016 * CHOOSE(CONTROL!$C$32, $C$9, 100%, $E$9)</f>
        <v>6.7016</v>
      </c>
      <c r="M355" s="11">
        <f>6.7069 * CHOOSE(CONTROL!$C$32, $C$9, 100%, $E$9)</f>
        <v>6.7069000000000001</v>
      </c>
      <c r="N355" s="11">
        <f>6.7016 * CHOOSE(CONTROL!$C$32, $C$9, 100%, $E$9)</f>
        <v>6.7016</v>
      </c>
      <c r="O355" s="11">
        <f>6.7069 * CHOOSE(CONTROL!$C$32, $C$9, 100%, $E$9)</f>
        <v>6.7069000000000001</v>
      </c>
    </row>
    <row r="356" spans="1:15" ht="15" x14ac:dyDescent="0.2">
      <c r="A356" s="13">
        <v>51683</v>
      </c>
      <c r="B356" s="9">
        <f>5.4648 * CHOOSE(CONTROL!$C$32, $C$9, 100%, $E$9)</f>
        <v>5.4648000000000003</v>
      </c>
      <c r="C356" s="9">
        <f>5.4648 * CHOOSE(CONTROL!$C$32, $C$9, 100%, $E$9)</f>
        <v>5.4648000000000003</v>
      </c>
      <c r="D356" s="9">
        <f>5.4664 * CHOOSE(CONTROL!$C$32, $C$9, 100%, $E$9)</f>
        <v>5.4664000000000001</v>
      </c>
      <c r="E356" s="11">
        <f>6.7253 * CHOOSE(CONTROL!$C$32, $C$9, 100%, $E$9)</f>
        <v>6.7252999999999998</v>
      </c>
      <c r="F356" s="11">
        <f>6.7253 * CHOOSE(CONTROL!$C$32, $C$9, 100%, $E$9)</f>
        <v>6.7252999999999998</v>
      </c>
      <c r="G356" s="11">
        <f>6.7306 * CHOOSE(CONTROL!$C$32, $C$9, 100%, $E$9)</f>
        <v>6.7305999999999999</v>
      </c>
      <c r="H356" s="11">
        <f>11.7541 * CHOOSE(CONTROL!$C$32, $C$9, 100%, $E$9)</f>
        <v>11.754099999999999</v>
      </c>
      <c r="I356" s="11">
        <f>11.7594 * CHOOSE(CONTROL!$C$32, $C$9, 100%, $E$9)</f>
        <v>11.759399999999999</v>
      </c>
      <c r="J356" s="11">
        <f>11.7541 * CHOOSE(CONTROL!$C$32, $C$9, 100%, $E$9)</f>
        <v>11.754099999999999</v>
      </c>
      <c r="K356" s="11">
        <f>11.7594 * CHOOSE(CONTROL!$C$32, $C$9, 100%, $E$9)</f>
        <v>11.759399999999999</v>
      </c>
      <c r="L356" s="11">
        <f>6.7253 * CHOOSE(CONTROL!$C$32, $C$9, 100%, $E$9)</f>
        <v>6.7252999999999998</v>
      </c>
      <c r="M356" s="11">
        <f>6.7306 * CHOOSE(CONTROL!$C$32, $C$9, 100%, $E$9)</f>
        <v>6.7305999999999999</v>
      </c>
      <c r="N356" s="11">
        <f>6.7253 * CHOOSE(CONTROL!$C$32, $C$9, 100%, $E$9)</f>
        <v>6.7252999999999998</v>
      </c>
      <c r="O356" s="11">
        <f>6.7306 * CHOOSE(CONTROL!$C$32, $C$9, 100%, $E$9)</f>
        <v>6.7305999999999999</v>
      </c>
    </row>
    <row r="357" spans="1:15" ht="15" x14ac:dyDescent="0.2">
      <c r="A357" s="13">
        <v>51714</v>
      </c>
      <c r="B357" s="9">
        <f>5.4715 * CHOOSE(CONTROL!$C$32, $C$9, 100%, $E$9)</f>
        <v>5.4714999999999998</v>
      </c>
      <c r="C357" s="9">
        <f>5.4715 * CHOOSE(CONTROL!$C$32, $C$9, 100%, $E$9)</f>
        <v>5.4714999999999998</v>
      </c>
      <c r="D357" s="9">
        <f>5.4731 * CHOOSE(CONTROL!$C$32, $C$9, 100%, $E$9)</f>
        <v>5.4730999999999996</v>
      </c>
      <c r="E357" s="11">
        <f>6.6169 * CHOOSE(CONTROL!$C$32, $C$9, 100%, $E$9)</f>
        <v>6.6169000000000002</v>
      </c>
      <c r="F357" s="11">
        <f>6.6169 * CHOOSE(CONTROL!$C$32, $C$9, 100%, $E$9)</f>
        <v>6.6169000000000002</v>
      </c>
      <c r="G357" s="11">
        <f>6.6222 * CHOOSE(CONTROL!$C$32, $C$9, 100%, $E$9)</f>
        <v>6.6222000000000003</v>
      </c>
      <c r="H357" s="11">
        <f>11.7785 * CHOOSE(CONTROL!$C$32, $C$9, 100%, $E$9)</f>
        <v>11.778499999999999</v>
      </c>
      <c r="I357" s="11">
        <f>11.7838 * CHOOSE(CONTROL!$C$32, $C$9, 100%, $E$9)</f>
        <v>11.783799999999999</v>
      </c>
      <c r="J357" s="11">
        <f>11.7785 * CHOOSE(CONTROL!$C$32, $C$9, 100%, $E$9)</f>
        <v>11.778499999999999</v>
      </c>
      <c r="K357" s="11">
        <f>11.7838 * CHOOSE(CONTROL!$C$32, $C$9, 100%, $E$9)</f>
        <v>11.783799999999999</v>
      </c>
      <c r="L357" s="11">
        <f>6.6169 * CHOOSE(CONTROL!$C$32, $C$9, 100%, $E$9)</f>
        <v>6.6169000000000002</v>
      </c>
      <c r="M357" s="11">
        <f>6.6222 * CHOOSE(CONTROL!$C$32, $C$9, 100%, $E$9)</f>
        <v>6.6222000000000003</v>
      </c>
      <c r="N357" s="11">
        <f>6.6169 * CHOOSE(CONTROL!$C$32, $C$9, 100%, $E$9)</f>
        <v>6.6169000000000002</v>
      </c>
      <c r="O357" s="11">
        <f>6.6222 * CHOOSE(CONTROL!$C$32, $C$9, 100%, $E$9)</f>
        <v>6.6222000000000003</v>
      </c>
    </row>
    <row r="358" spans="1:15" ht="15" x14ac:dyDescent="0.2">
      <c r="A358" s="13">
        <v>51745</v>
      </c>
      <c r="B358" s="9">
        <f>5.4685 * CHOOSE(CONTROL!$C$32, $C$9, 100%, $E$9)</f>
        <v>5.4684999999999997</v>
      </c>
      <c r="C358" s="9">
        <f>5.4685 * CHOOSE(CONTROL!$C$32, $C$9, 100%, $E$9)</f>
        <v>5.4684999999999997</v>
      </c>
      <c r="D358" s="9">
        <f>5.47 * CHOOSE(CONTROL!$C$32, $C$9, 100%, $E$9)</f>
        <v>5.47</v>
      </c>
      <c r="E358" s="11">
        <f>6.6022 * CHOOSE(CONTROL!$C$32, $C$9, 100%, $E$9)</f>
        <v>6.6021999999999998</v>
      </c>
      <c r="F358" s="11">
        <f>6.6022 * CHOOSE(CONTROL!$C$32, $C$9, 100%, $E$9)</f>
        <v>6.6021999999999998</v>
      </c>
      <c r="G358" s="11">
        <f>6.6075 * CHOOSE(CONTROL!$C$32, $C$9, 100%, $E$9)</f>
        <v>6.6074999999999999</v>
      </c>
      <c r="H358" s="11">
        <f>11.8031 * CHOOSE(CONTROL!$C$32, $C$9, 100%, $E$9)</f>
        <v>11.803100000000001</v>
      </c>
      <c r="I358" s="11">
        <f>11.8084 * CHOOSE(CONTROL!$C$32, $C$9, 100%, $E$9)</f>
        <v>11.808400000000001</v>
      </c>
      <c r="J358" s="11">
        <f>11.8031 * CHOOSE(CONTROL!$C$32, $C$9, 100%, $E$9)</f>
        <v>11.803100000000001</v>
      </c>
      <c r="K358" s="11">
        <f>11.8084 * CHOOSE(CONTROL!$C$32, $C$9, 100%, $E$9)</f>
        <v>11.808400000000001</v>
      </c>
      <c r="L358" s="11">
        <f>6.6022 * CHOOSE(CONTROL!$C$32, $C$9, 100%, $E$9)</f>
        <v>6.6021999999999998</v>
      </c>
      <c r="M358" s="11">
        <f>6.6075 * CHOOSE(CONTROL!$C$32, $C$9, 100%, $E$9)</f>
        <v>6.6074999999999999</v>
      </c>
      <c r="N358" s="11">
        <f>6.6022 * CHOOSE(CONTROL!$C$32, $C$9, 100%, $E$9)</f>
        <v>6.6021999999999998</v>
      </c>
      <c r="O358" s="11">
        <f>6.6075 * CHOOSE(CONTROL!$C$32, $C$9, 100%, $E$9)</f>
        <v>6.6074999999999999</v>
      </c>
    </row>
    <row r="359" spans="1:15" ht="15" x14ac:dyDescent="0.2">
      <c r="A359" s="13">
        <v>51775</v>
      </c>
      <c r="B359" s="9">
        <f>5.469 * CHOOSE(CONTROL!$C$32, $C$9, 100%, $E$9)</f>
        <v>5.4690000000000003</v>
      </c>
      <c r="C359" s="9">
        <f>5.469 * CHOOSE(CONTROL!$C$32, $C$9, 100%, $E$9)</f>
        <v>5.4690000000000003</v>
      </c>
      <c r="D359" s="9">
        <f>5.47 * CHOOSE(CONTROL!$C$32, $C$9, 100%, $E$9)</f>
        <v>5.47</v>
      </c>
      <c r="E359" s="11">
        <f>6.639 * CHOOSE(CONTROL!$C$32, $C$9, 100%, $E$9)</f>
        <v>6.6390000000000002</v>
      </c>
      <c r="F359" s="11">
        <f>6.639 * CHOOSE(CONTROL!$C$32, $C$9, 100%, $E$9)</f>
        <v>6.6390000000000002</v>
      </c>
      <c r="G359" s="11">
        <f>6.6427 * CHOOSE(CONTROL!$C$32, $C$9, 100%, $E$9)</f>
        <v>6.6426999999999996</v>
      </c>
      <c r="H359" s="11">
        <f>11.8277 * CHOOSE(CONTROL!$C$32, $C$9, 100%, $E$9)</f>
        <v>11.8277</v>
      </c>
      <c r="I359" s="11">
        <f>11.8313 * CHOOSE(CONTROL!$C$32, $C$9, 100%, $E$9)</f>
        <v>11.831300000000001</v>
      </c>
      <c r="J359" s="11">
        <f>11.8277 * CHOOSE(CONTROL!$C$32, $C$9, 100%, $E$9)</f>
        <v>11.8277</v>
      </c>
      <c r="K359" s="11">
        <f>11.8313 * CHOOSE(CONTROL!$C$32, $C$9, 100%, $E$9)</f>
        <v>11.831300000000001</v>
      </c>
      <c r="L359" s="11">
        <f>6.639 * CHOOSE(CONTROL!$C$32, $C$9, 100%, $E$9)</f>
        <v>6.6390000000000002</v>
      </c>
      <c r="M359" s="11">
        <f>6.6427 * CHOOSE(CONTROL!$C$32, $C$9, 100%, $E$9)</f>
        <v>6.6426999999999996</v>
      </c>
      <c r="N359" s="11">
        <f>6.639 * CHOOSE(CONTROL!$C$32, $C$9, 100%, $E$9)</f>
        <v>6.6390000000000002</v>
      </c>
      <c r="O359" s="11">
        <f>6.6427 * CHOOSE(CONTROL!$C$32, $C$9, 100%, $E$9)</f>
        <v>6.6426999999999996</v>
      </c>
    </row>
    <row r="360" spans="1:15" ht="15" x14ac:dyDescent="0.2">
      <c r="A360" s="13">
        <v>51806</v>
      </c>
      <c r="B360" s="9">
        <f>5.472 * CHOOSE(CONTROL!$C$32, $C$9, 100%, $E$9)</f>
        <v>5.4720000000000004</v>
      </c>
      <c r="C360" s="9">
        <f>5.472 * CHOOSE(CONTROL!$C$32, $C$9, 100%, $E$9)</f>
        <v>5.4720000000000004</v>
      </c>
      <c r="D360" s="9">
        <f>5.4731 * CHOOSE(CONTROL!$C$32, $C$9, 100%, $E$9)</f>
        <v>5.4730999999999996</v>
      </c>
      <c r="E360" s="11">
        <f>6.6663 * CHOOSE(CONTROL!$C$32, $C$9, 100%, $E$9)</f>
        <v>6.6662999999999997</v>
      </c>
      <c r="F360" s="11">
        <f>6.6663 * CHOOSE(CONTROL!$C$32, $C$9, 100%, $E$9)</f>
        <v>6.6662999999999997</v>
      </c>
      <c r="G360" s="11">
        <f>6.6699 * CHOOSE(CONTROL!$C$32, $C$9, 100%, $E$9)</f>
        <v>6.6699000000000002</v>
      </c>
      <c r="H360" s="11">
        <f>11.8523 * CHOOSE(CONTROL!$C$32, $C$9, 100%, $E$9)</f>
        <v>11.8523</v>
      </c>
      <c r="I360" s="11">
        <f>11.8559 * CHOOSE(CONTROL!$C$32, $C$9, 100%, $E$9)</f>
        <v>11.8559</v>
      </c>
      <c r="J360" s="11">
        <f>11.8523 * CHOOSE(CONTROL!$C$32, $C$9, 100%, $E$9)</f>
        <v>11.8523</v>
      </c>
      <c r="K360" s="11">
        <f>11.8559 * CHOOSE(CONTROL!$C$32, $C$9, 100%, $E$9)</f>
        <v>11.8559</v>
      </c>
      <c r="L360" s="11">
        <f>6.6663 * CHOOSE(CONTROL!$C$32, $C$9, 100%, $E$9)</f>
        <v>6.6662999999999997</v>
      </c>
      <c r="M360" s="11">
        <f>6.6699 * CHOOSE(CONTROL!$C$32, $C$9, 100%, $E$9)</f>
        <v>6.6699000000000002</v>
      </c>
      <c r="N360" s="11">
        <f>6.6663 * CHOOSE(CONTROL!$C$32, $C$9, 100%, $E$9)</f>
        <v>6.6662999999999997</v>
      </c>
      <c r="O360" s="11">
        <f>6.6699 * CHOOSE(CONTROL!$C$32, $C$9, 100%, $E$9)</f>
        <v>6.6699000000000002</v>
      </c>
    </row>
    <row r="361" spans="1:15" ht="15" x14ac:dyDescent="0.2">
      <c r="A361" s="13">
        <v>51836</v>
      </c>
      <c r="B361" s="9">
        <f>5.472 * CHOOSE(CONTROL!$C$32, $C$9, 100%, $E$9)</f>
        <v>5.4720000000000004</v>
      </c>
      <c r="C361" s="9">
        <f>5.472 * CHOOSE(CONTROL!$C$32, $C$9, 100%, $E$9)</f>
        <v>5.4720000000000004</v>
      </c>
      <c r="D361" s="9">
        <f>5.4731 * CHOOSE(CONTROL!$C$32, $C$9, 100%, $E$9)</f>
        <v>5.4730999999999996</v>
      </c>
      <c r="E361" s="11">
        <f>6.6035 * CHOOSE(CONTROL!$C$32, $C$9, 100%, $E$9)</f>
        <v>6.6035000000000004</v>
      </c>
      <c r="F361" s="11">
        <f>6.6035 * CHOOSE(CONTROL!$C$32, $C$9, 100%, $E$9)</f>
        <v>6.6035000000000004</v>
      </c>
      <c r="G361" s="11">
        <f>6.6071 * CHOOSE(CONTROL!$C$32, $C$9, 100%, $E$9)</f>
        <v>6.6071</v>
      </c>
      <c r="H361" s="11">
        <f>11.877 * CHOOSE(CONTROL!$C$32, $C$9, 100%, $E$9)</f>
        <v>11.877000000000001</v>
      </c>
      <c r="I361" s="11">
        <f>11.8806 * CHOOSE(CONTROL!$C$32, $C$9, 100%, $E$9)</f>
        <v>11.880599999999999</v>
      </c>
      <c r="J361" s="11">
        <f>11.877 * CHOOSE(CONTROL!$C$32, $C$9, 100%, $E$9)</f>
        <v>11.877000000000001</v>
      </c>
      <c r="K361" s="11">
        <f>11.8806 * CHOOSE(CONTROL!$C$32, $C$9, 100%, $E$9)</f>
        <v>11.880599999999999</v>
      </c>
      <c r="L361" s="11">
        <f>6.6035 * CHOOSE(CONTROL!$C$32, $C$9, 100%, $E$9)</f>
        <v>6.6035000000000004</v>
      </c>
      <c r="M361" s="11">
        <f>6.6071 * CHOOSE(CONTROL!$C$32, $C$9, 100%, $E$9)</f>
        <v>6.6071</v>
      </c>
      <c r="N361" s="11">
        <f>6.6035 * CHOOSE(CONTROL!$C$32, $C$9, 100%, $E$9)</f>
        <v>6.6035000000000004</v>
      </c>
      <c r="O361" s="11">
        <f>6.6071 * CHOOSE(CONTROL!$C$32, $C$9, 100%, $E$9)</f>
        <v>6.6071</v>
      </c>
    </row>
    <row r="362" spans="1:15" ht="15" x14ac:dyDescent="0.2">
      <c r="A362" s="13">
        <v>51867</v>
      </c>
      <c r="B362" s="9">
        <f>5.5145 * CHOOSE(CONTROL!$C$32, $C$9, 100%, $E$9)</f>
        <v>5.5145</v>
      </c>
      <c r="C362" s="9">
        <f>5.5145 * CHOOSE(CONTROL!$C$32, $C$9, 100%, $E$9)</f>
        <v>5.5145</v>
      </c>
      <c r="D362" s="9">
        <f>5.5156 * CHOOSE(CONTROL!$C$32, $C$9, 100%, $E$9)</f>
        <v>5.5156000000000001</v>
      </c>
      <c r="E362" s="11">
        <f>6.6708 * CHOOSE(CONTROL!$C$32, $C$9, 100%, $E$9)</f>
        <v>6.6707999999999998</v>
      </c>
      <c r="F362" s="11">
        <f>6.6708 * CHOOSE(CONTROL!$C$32, $C$9, 100%, $E$9)</f>
        <v>6.6707999999999998</v>
      </c>
      <c r="G362" s="11">
        <f>6.6744 * CHOOSE(CONTROL!$C$32, $C$9, 100%, $E$9)</f>
        <v>6.6744000000000003</v>
      </c>
      <c r="H362" s="11">
        <f>11.9018 * CHOOSE(CONTROL!$C$32, $C$9, 100%, $E$9)</f>
        <v>11.9018</v>
      </c>
      <c r="I362" s="11">
        <f>11.9054 * CHOOSE(CONTROL!$C$32, $C$9, 100%, $E$9)</f>
        <v>11.9054</v>
      </c>
      <c r="J362" s="11">
        <f>11.9018 * CHOOSE(CONTROL!$C$32, $C$9, 100%, $E$9)</f>
        <v>11.9018</v>
      </c>
      <c r="K362" s="11">
        <f>11.9054 * CHOOSE(CONTROL!$C$32, $C$9, 100%, $E$9)</f>
        <v>11.9054</v>
      </c>
      <c r="L362" s="11">
        <f>6.6708 * CHOOSE(CONTROL!$C$32, $C$9, 100%, $E$9)</f>
        <v>6.6707999999999998</v>
      </c>
      <c r="M362" s="11">
        <f>6.6744 * CHOOSE(CONTROL!$C$32, $C$9, 100%, $E$9)</f>
        <v>6.6744000000000003</v>
      </c>
      <c r="N362" s="11">
        <f>6.6708 * CHOOSE(CONTROL!$C$32, $C$9, 100%, $E$9)</f>
        <v>6.6707999999999998</v>
      </c>
      <c r="O362" s="11">
        <f>6.6744 * CHOOSE(CONTROL!$C$32, $C$9, 100%, $E$9)</f>
        <v>6.6744000000000003</v>
      </c>
    </row>
    <row r="363" spans="1:15" ht="15" x14ac:dyDescent="0.2">
      <c r="A363" s="13">
        <v>51898</v>
      </c>
      <c r="B363" s="9">
        <f>5.5115 * CHOOSE(CONTROL!$C$32, $C$9, 100%, $E$9)</f>
        <v>5.5114999999999998</v>
      </c>
      <c r="C363" s="9">
        <f>5.5115 * CHOOSE(CONTROL!$C$32, $C$9, 100%, $E$9)</f>
        <v>5.5114999999999998</v>
      </c>
      <c r="D363" s="9">
        <f>5.5125 * CHOOSE(CONTROL!$C$32, $C$9, 100%, $E$9)</f>
        <v>5.5125000000000002</v>
      </c>
      <c r="E363" s="11">
        <f>6.5461 * CHOOSE(CONTROL!$C$32, $C$9, 100%, $E$9)</f>
        <v>6.5461</v>
      </c>
      <c r="F363" s="11">
        <f>6.5461 * CHOOSE(CONTROL!$C$32, $C$9, 100%, $E$9)</f>
        <v>6.5461</v>
      </c>
      <c r="G363" s="11">
        <f>6.5497 * CHOOSE(CONTROL!$C$32, $C$9, 100%, $E$9)</f>
        <v>6.5496999999999996</v>
      </c>
      <c r="H363" s="11">
        <f>11.9265 * CHOOSE(CONTROL!$C$32, $C$9, 100%, $E$9)</f>
        <v>11.926500000000001</v>
      </c>
      <c r="I363" s="11">
        <f>11.9302 * CHOOSE(CONTROL!$C$32, $C$9, 100%, $E$9)</f>
        <v>11.930199999999999</v>
      </c>
      <c r="J363" s="11">
        <f>11.9265 * CHOOSE(CONTROL!$C$32, $C$9, 100%, $E$9)</f>
        <v>11.926500000000001</v>
      </c>
      <c r="K363" s="11">
        <f>11.9302 * CHOOSE(CONTROL!$C$32, $C$9, 100%, $E$9)</f>
        <v>11.930199999999999</v>
      </c>
      <c r="L363" s="11">
        <f>6.5461 * CHOOSE(CONTROL!$C$32, $C$9, 100%, $E$9)</f>
        <v>6.5461</v>
      </c>
      <c r="M363" s="11">
        <f>6.5497 * CHOOSE(CONTROL!$C$32, $C$9, 100%, $E$9)</f>
        <v>6.5496999999999996</v>
      </c>
      <c r="N363" s="11">
        <f>6.5461 * CHOOSE(CONTROL!$C$32, $C$9, 100%, $E$9)</f>
        <v>6.5461</v>
      </c>
      <c r="O363" s="11">
        <f>6.5497 * CHOOSE(CONTROL!$C$32, $C$9, 100%, $E$9)</f>
        <v>6.5496999999999996</v>
      </c>
    </row>
    <row r="364" spans="1:15" ht="15" x14ac:dyDescent="0.2">
      <c r="A364" s="13">
        <v>51926</v>
      </c>
      <c r="B364" s="9">
        <f>5.5084 * CHOOSE(CONTROL!$C$32, $C$9, 100%, $E$9)</f>
        <v>5.5084</v>
      </c>
      <c r="C364" s="9">
        <f>5.5084 * CHOOSE(CONTROL!$C$32, $C$9, 100%, $E$9)</f>
        <v>5.5084</v>
      </c>
      <c r="D364" s="9">
        <f>5.5095 * CHOOSE(CONTROL!$C$32, $C$9, 100%, $E$9)</f>
        <v>5.5095000000000001</v>
      </c>
      <c r="E364" s="11">
        <f>6.6406 * CHOOSE(CONTROL!$C$32, $C$9, 100%, $E$9)</f>
        <v>6.6406000000000001</v>
      </c>
      <c r="F364" s="11">
        <f>6.6406 * CHOOSE(CONTROL!$C$32, $C$9, 100%, $E$9)</f>
        <v>6.6406000000000001</v>
      </c>
      <c r="G364" s="11">
        <f>6.6442 * CHOOSE(CONTROL!$C$32, $C$9, 100%, $E$9)</f>
        <v>6.6441999999999997</v>
      </c>
      <c r="H364" s="11">
        <f>11.9514 * CHOOSE(CONTROL!$C$32, $C$9, 100%, $E$9)</f>
        <v>11.9514</v>
      </c>
      <c r="I364" s="11">
        <f>11.955 * CHOOSE(CONTROL!$C$32, $C$9, 100%, $E$9)</f>
        <v>11.955</v>
      </c>
      <c r="J364" s="11">
        <f>11.9514 * CHOOSE(CONTROL!$C$32, $C$9, 100%, $E$9)</f>
        <v>11.9514</v>
      </c>
      <c r="K364" s="11">
        <f>11.955 * CHOOSE(CONTROL!$C$32, $C$9, 100%, $E$9)</f>
        <v>11.955</v>
      </c>
      <c r="L364" s="11">
        <f>6.6406 * CHOOSE(CONTROL!$C$32, $C$9, 100%, $E$9)</f>
        <v>6.6406000000000001</v>
      </c>
      <c r="M364" s="11">
        <f>6.6442 * CHOOSE(CONTROL!$C$32, $C$9, 100%, $E$9)</f>
        <v>6.6441999999999997</v>
      </c>
      <c r="N364" s="11">
        <f>6.6406 * CHOOSE(CONTROL!$C$32, $C$9, 100%, $E$9)</f>
        <v>6.6406000000000001</v>
      </c>
      <c r="O364" s="11">
        <f>6.6442 * CHOOSE(CONTROL!$C$32, $C$9, 100%, $E$9)</f>
        <v>6.6441999999999997</v>
      </c>
    </row>
    <row r="365" spans="1:15" ht="15" x14ac:dyDescent="0.2">
      <c r="A365" s="13">
        <v>51957</v>
      </c>
      <c r="B365" s="9">
        <f>5.5075 * CHOOSE(CONTROL!$C$32, $C$9, 100%, $E$9)</f>
        <v>5.5075000000000003</v>
      </c>
      <c r="C365" s="9">
        <f>5.5075 * CHOOSE(CONTROL!$C$32, $C$9, 100%, $E$9)</f>
        <v>5.5075000000000003</v>
      </c>
      <c r="D365" s="9">
        <f>5.5086 * CHOOSE(CONTROL!$C$32, $C$9, 100%, $E$9)</f>
        <v>5.5086000000000004</v>
      </c>
      <c r="E365" s="11">
        <f>6.7402 * CHOOSE(CONTROL!$C$32, $C$9, 100%, $E$9)</f>
        <v>6.7401999999999997</v>
      </c>
      <c r="F365" s="11">
        <f>6.7402 * CHOOSE(CONTROL!$C$32, $C$9, 100%, $E$9)</f>
        <v>6.7401999999999997</v>
      </c>
      <c r="G365" s="11">
        <f>6.7438 * CHOOSE(CONTROL!$C$32, $C$9, 100%, $E$9)</f>
        <v>6.7438000000000002</v>
      </c>
      <c r="H365" s="11">
        <f>11.9763 * CHOOSE(CONTROL!$C$32, $C$9, 100%, $E$9)</f>
        <v>11.9763</v>
      </c>
      <c r="I365" s="11">
        <f>11.9799 * CHOOSE(CONTROL!$C$32, $C$9, 100%, $E$9)</f>
        <v>11.979900000000001</v>
      </c>
      <c r="J365" s="11">
        <f>11.9763 * CHOOSE(CONTROL!$C$32, $C$9, 100%, $E$9)</f>
        <v>11.9763</v>
      </c>
      <c r="K365" s="11">
        <f>11.9799 * CHOOSE(CONTROL!$C$32, $C$9, 100%, $E$9)</f>
        <v>11.979900000000001</v>
      </c>
      <c r="L365" s="11">
        <f>6.7402 * CHOOSE(CONTROL!$C$32, $C$9, 100%, $E$9)</f>
        <v>6.7401999999999997</v>
      </c>
      <c r="M365" s="11">
        <f>6.7438 * CHOOSE(CONTROL!$C$32, $C$9, 100%, $E$9)</f>
        <v>6.7438000000000002</v>
      </c>
      <c r="N365" s="11">
        <f>6.7402 * CHOOSE(CONTROL!$C$32, $C$9, 100%, $E$9)</f>
        <v>6.7401999999999997</v>
      </c>
      <c r="O365" s="11">
        <f>6.7438 * CHOOSE(CONTROL!$C$32, $C$9, 100%, $E$9)</f>
        <v>6.7438000000000002</v>
      </c>
    </row>
    <row r="366" spans="1:15" ht="15" x14ac:dyDescent="0.2">
      <c r="A366" s="13">
        <v>51987</v>
      </c>
      <c r="B366" s="9">
        <f>5.5075 * CHOOSE(CONTROL!$C$32, $C$9, 100%, $E$9)</f>
        <v>5.5075000000000003</v>
      </c>
      <c r="C366" s="9">
        <f>5.5075 * CHOOSE(CONTROL!$C$32, $C$9, 100%, $E$9)</f>
        <v>5.5075000000000003</v>
      </c>
      <c r="D366" s="9">
        <f>5.5091 * CHOOSE(CONTROL!$C$32, $C$9, 100%, $E$9)</f>
        <v>5.5091000000000001</v>
      </c>
      <c r="E366" s="11">
        <f>6.7791 * CHOOSE(CONTROL!$C$32, $C$9, 100%, $E$9)</f>
        <v>6.7790999999999997</v>
      </c>
      <c r="F366" s="11">
        <f>6.7791 * CHOOSE(CONTROL!$C$32, $C$9, 100%, $E$9)</f>
        <v>6.7790999999999997</v>
      </c>
      <c r="G366" s="11">
        <f>6.7844 * CHOOSE(CONTROL!$C$32, $C$9, 100%, $E$9)</f>
        <v>6.7843999999999998</v>
      </c>
      <c r="H366" s="11">
        <f>12.0012 * CHOOSE(CONTROL!$C$32, $C$9, 100%, $E$9)</f>
        <v>12.001200000000001</v>
      </c>
      <c r="I366" s="11">
        <f>12.0065 * CHOOSE(CONTROL!$C$32, $C$9, 100%, $E$9)</f>
        <v>12.006500000000001</v>
      </c>
      <c r="J366" s="11">
        <f>12.0012 * CHOOSE(CONTROL!$C$32, $C$9, 100%, $E$9)</f>
        <v>12.001200000000001</v>
      </c>
      <c r="K366" s="11">
        <f>12.0065 * CHOOSE(CONTROL!$C$32, $C$9, 100%, $E$9)</f>
        <v>12.006500000000001</v>
      </c>
      <c r="L366" s="11">
        <f>6.7791 * CHOOSE(CONTROL!$C$32, $C$9, 100%, $E$9)</f>
        <v>6.7790999999999997</v>
      </c>
      <c r="M366" s="11">
        <f>6.7844 * CHOOSE(CONTROL!$C$32, $C$9, 100%, $E$9)</f>
        <v>6.7843999999999998</v>
      </c>
      <c r="N366" s="11">
        <f>6.7791 * CHOOSE(CONTROL!$C$32, $C$9, 100%, $E$9)</f>
        <v>6.7790999999999997</v>
      </c>
      <c r="O366" s="11">
        <f>6.7844 * CHOOSE(CONTROL!$C$32, $C$9, 100%, $E$9)</f>
        <v>6.7843999999999998</v>
      </c>
    </row>
    <row r="367" spans="1:15" ht="15" x14ac:dyDescent="0.2">
      <c r="A367" s="13">
        <v>52018</v>
      </c>
      <c r="B367" s="9">
        <f>5.5136 * CHOOSE(CONTROL!$C$32, $C$9, 100%, $E$9)</f>
        <v>5.5136000000000003</v>
      </c>
      <c r="C367" s="9">
        <f>5.5136 * CHOOSE(CONTROL!$C$32, $C$9, 100%, $E$9)</f>
        <v>5.5136000000000003</v>
      </c>
      <c r="D367" s="9">
        <f>5.5152 * CHOOSE(CONTROL!$C$32, $C$9, 100%, $E$9)</f>
        <v>5.5152000000000001</v>
      </c>
      <c r="E367" s="11">
        <f>6.7444 * CHOOSE(CONTROL!$C$32, $C$9, 100%, $E$9)</f>
        <v>6.7443999999999997</v>
      </c>
      <c r="F367" s="11">
        <f>6.7444 * CHOOSE(CONTROL!$C$32, $C$9, 100%, $E$9)</f>
        <v>6.7443999999999997</v>
      </c>
      <c r="G367" s="11">
        <f>6.7497 * CHOOSE(CONTROL!$C$32, $C$9, 100%, $E$9)</f>
        <v>6.7496999999999998</v>
      </c>
      <c r="H367" s="11">
        <f>12.0262 * CHOOSE(CONTROL!$C$32, $C$9, 100%, $E$9)</f>
        <v>12.026199999999999</v>
      </c>
      <c r="I367" s="11">
        <f>12.0315 * CHOOSE(CONTROL!$C$32, $C$9, 100%, $E$9)</f>
        <v>12.031499999999999</v>
      </c>
      <c r="J367" s="11">
        <f>12.0262 * CHOOSE(CONTROL!$C$32, $C$9, 100%, $E$9)</f>
        <v>12.026199999999999</v>
      </c>
      <c r="K367" s="11">
        <f>12.0315 * CHOOSE(CONTROL!$C$32, $C$9, 100%, $E$9)</f>
        <v>12.031499999999999</v>
      </c>
      <c r="L367" s="11">
        <f>6.7444 * CHOOSE(CONTROL!$C$32, $C$9, 100%, $E$9)</f>
        <v>6.7443999999999997</v>
      </c>
      <c r="M367" s="11">
        <f>6.7497 * CHOOSE(CONTROL!$C$32, $C$9, 100%, $E$9)</f>
        <v>6.7496999999999998</v>
      </c>
      <c r="N367" s="11">
        <f>6.7444 * CHOOSE(CONTROL!$C$32, $C$9, 100%, $E$9)</f>
        <v>6.7443999999999997</v>
      </c>
      <c r="O367" s="11">
        <f>6.7497 * CHOOSE(CONTROL!$C$32, $C$9, 100%, $E$9)</f>
        <v>6.7496999999999998</v>
      </c>
    </row>
    <row r="368" spans="1:15" ht="15" x14ac:dyDescent="0.2">
      <c r="A368" s="13">
        <v>52048</v>
      </c>
      <c r="B368" s="9">
        <f>5.5892 * CHOOSE(CONTROL!$C$32, $C$9, 100%, $E$9)</f>
        <v>5.5891999999999999</v>
      </c>
      <c r="C368" s="9">
        <f>5.5892 * CHOOSE(CONTROL!$C$32, $C$9, 100%, $E$9)</f>
        <v>5.5891999999999999</v>
      </c>
      <c r="D368" s="9">
        <f>5.5907 * CHOOSE(CONTROL!$C$32, $C$9, 100%, $E$9)</f>
        <v>5.5907</v>
      </c>
      <c r="E368" s="11">
        <f>6.7633 * CHOOSE(CONTROL!$C$32, $C$9, 100%, $E$9)</f>
        <v>6.7633000000000001</v>
      </c>
      <c r="F368" s="11">
        <f>6.7633 * CHOOSE(CONTROL!$C$32, $C$9, 100%, $E$9)</f>
        <v>6.7633000000000001</v>
      </c>
      <c r="G368" s="11">
        <f>6.7686 * CHOOSE(CONTROL!$C$32, $C$9, 100%, $E$9)</f>
        <v>6.7686000000000002</v>
      </c>
      <c r="H368" s="11">
        <f>12.0513 * CHOOSE(CONTROL!$C$32, $C$9, 100%, $E$9)</f>
        <v>12.051299999999999</v>
      </c>
      <c r="I368" s="11">
        <f>12.0566 * CHOOSE(CONTROL!$C$32, $C$9, 100%, $E$9)</f>
        <v>12.0566</v>
      </c>
      <c r="J368" s="11">
        <f>12.0513 * CHOOSE(CONTROL!$C$32, $C$9, 100%, $E$9)</f>
        <v>12.051299999999999</v>
      </c>
      <c r="K368" s="11">
        <f>12.0566 * CHOOSE(CONTROL!$C$32, $C$9, 100%, $E$9)</f>
        <v>12.0566</v>
      </c>
      <c r="L368" s="11">
        <f>6.7633 * CHOOSE(CONTROL!$C$32, $C$9, 100%, $E$9)</f>
        <v>6.7633000000000001</v>
      </c>
      <c r="M368" s="11">
        <f>6.7686 * CHOOSE(CONTROL!$C$32, $C$9, 100%, $E$9)</f>
        <v>6.7686000000000002</v>
      </c>
      <c r="N368" s="11">
        <f>6.7633 * CHOOSE(CONTROL!$C$32, $C$9, 100%, $E$9)</f>
        <v>6.7633000000000001</v>
      </c>
      <c r="O368" s="11">
        <f>6.7686 * CHOOSE(CONTROL!$C$32, $C$9, 100%, $E$9)</f>
        <v>6.7686000000000002</v>
      </c>
    </row>
    <row r="369" spans="1:15" ht="15" x14ac:dyDescent="0.2">
      <c r="A369" s="13">
        <v>52079</v>
      </c>
      <c r="B369" s="9">
        <f>5.5958 * CHOOSE(CONTROL!$C$32, $C$9, 100%, $E$9)</f>
        <v>5.5957999999999997</v>
      </c>
      <c r="C369" s="9">
        <f>5.5958 * CHOOSE(CONTROL!$C$32, $C$9, 100%, $E$9)</f>
        <v>5.5957999999999997</v>
      </c>
      <c r="D369" s="9">
        <f>5.5974 * CHOOSE(CONTROL!$C$32, $C$9, 100%, $E$9)</f>
        <v>5.5974000000000004</v>
      </c>
      <c r="E369" s="11">
        <f>6.6512 * CHOOSE(CONTROL!$C$32, $C$9, 100%, $E$9)</f>
        <v>6.6512000000000002</v>
      </c>
      <c r="F369" s="11">
        <f>6.6512 * CHOOSE(CONTROL!$C$32, $C$9, 100%, $E$9)</f>
        <v>6.6512000000000002</v>
      </c>
      <c r="G369" s="11">
        <f>6.6565 * CHOOSE(CONTROL!$C$32, $C$9, 100%, $E$9)</f>
        <v>6.6565000000000003</v>
      </c>
      <c r="H369" s="11">
        <f>12.0764 * CHOOSE(CONTROL!$C$32, $C$9, 100%, $E$9)</f>
        <v>12.0764</v>
      </c>
      <c r="I369" s="11">
        <f>12.0817 * CHOOSE(CONTROL!$C$32, $C$9, 100%, $E$9)</f>
        <v>12.0817</v>
      </c>
      <c r="J369" s="11">
        <f>12.0764 * CHOOSE(CONTROL!$C$32, $C$9, 100%, $E$9)</f>
        <v>12.0764</v>
      </c>
      <c r="K369" s="11">
        <f>12.0817 * CHOOSE(CONTROL!$C$32, $C$9, 100%, $E$9)</f>
        <v>12.0817</v>
      </c>
      <c r="L369" s="11">
        <f>6.6512 * CHOOSE(CONTROL!$C$32, $C$9, 100%, $E$9)</f>
        <v>6.6512000000000002</v>
      </c>
      <c r="M369" s="11">
        <f>6.6565 * CHOOSE(CONTROL!$C$32, $C$9, 100%, $E$9)</f>
        <v>6.6565000000000003</v>
      </c>
      <c r="N369" s="11">
        <f>6.6512 * CHOOSE(CONTROL!$C$32, $C$9, 100%, $E$9)</f>
        <v>6.6512000000000002</v>
      </c>
      <c r="O369" s="11">
        <f>6.6565 * CHOOSE(CONTROL!$C$32, $C$9, 100%, $E$9)</f>
        <v>6.6565000000000003</v>
      </c>
    </row>
    <row r="370" spans="1:15" ht="15" x14ac:dyDescent="0.2">
      <c r="A370" s="13">
        <v>52110</v>
      </c>
      <c r="B370" s="9">
        <f>5.5928 * CHOOSE(CONTROL!$C$32, $C$9, 100%, $E$9)</f>
        <v>5.5928000000000004</v>
      </c>
      <c r="C370" s="9">
        <f>5.5928 * CHOOSE(CONTROL!$C$32, $C$9, 100%, $E$9)</f>
        <v>5.5928000000000004</v>
      </c>
      <c r="D370" s="9">
        <f>5.5944 * CHOOSE(CONTROL!$C$32, $C$9, 100%, $E$9)</f>
        <v>5.5944000000000003</v>
      </c>
      <c r="E370" s="11">
        <f>6.6361 * CHOOSE(CONTROL!$C$32, $C$9, 100%, $E$9)</f>
        <v>6.6360999999999999</v>
      </c>
      <c r="F370" s="11">
        <f>6.6361 * CHOOSE(CONTROL!$C$32, $C$9, 100%, $E$9)</f>
        <v>6.6360999999999999</v>
      </c>
      <c r="G370" s="11">
        <f>6.6414 * CHOOSE(CONTROL!$C$32, $C$9, 100%, $E$9)</f>
        <v>6.6414</v>
      </c>
      <c r="H370" s="11">
        <f>12.1016 * CHOOSE(CONTROL!$C$32, $C$9, 100%, $E$9)</f>
        <v>12.101599999999999</v>
      </c>
      <c r="I370" s="11">
        <f>12.1069 * CHOOSE(CONTROL!$C$32, $C$9, 100%, $E$9)</f>
        <v>12.1069</v>
      </c>
      <c r="J370" s="11">
        <f>12.1016 * CHOOSE(CONTROL!$C$32, $C$9, 100%, $E$9)</f>
        <v>12.101599999999999</v>
      </c>
      <c r="K370" s="11">
        <f>12.1069 * CHOOSE(CONTROL!$C$32, $C$9, 100%, $E$9)</f>
        <v>12.1069</v>
      </c>
      <c r="L370" s="11">
        <f>6.6361 * CHOOSE(CONTROL!$C$32, $C$9, 100%, $E$9)</f>
        <v>6.6360999999999999</v>
      </c>
      <c r="M370" s="11">
        <f>6.6414 * CHOOSE(CONTROL!$C$32, $C$9, 100%, $E$9)</f>
        <v>6.6414</v>
      </c>
      <c r="N370" s="11">
        <f>6.6361 * CHOOSE(CONTROL!$C$32, $C$9, 100%, $E$9)</f>
        <v>6.6360999999999999</v>
      </c>
      <c r="O370" s="11">
        <f>6.6414 * CHOOSE(CONTROL!$C$32, $C$9, 100%, $E$9)</f>
        <v>6.6414</v>
      </c>
    </row>
    <row r="371" spans="1:15" ht="15" x14ac:dyDescent="0.2">
      <c r="A371" s="13">
        <v>52140</v>
      </c>
      <c r="B371" s="9">
        <f>5.5938 * CHOOSE(CONTROL!$C$32, $C$9, 100%, $E$9)</f>
        <v>5.5937999999999999</v>
      </c>
      <c r="C371" s="9">
        <f>5.5938 * CHOOSE(CONTROL!$C$32, $C$9, 100%, $E$9)</f>
        <v>5.5937999999999999</v>
      </c>
      <c r="D371" s="9">
        <f>5.5949 * CHOOSE(CONTROL!$C$32, $C$9, 100%, $E$9)</f>
        <v>5.5949</v>
      </c>
      <c r="E371" s="11">
        <f>6.6746 * CHOOSE(CONTROL!$C$32, $C$9, 100%, $E$9)</f>
        <v>6.6745999999999999</v>
      </c>
      <c r="F371" s="11">
        <f>6.6746 * CHOOSE(CONTROL!$C$32, $C$9, 100%, $E$9)</f>
        <v>6.6745999999999999</v>
      </c>
      <c r="G371" s="11">
        <f>6.6782 * CHOOSE(CONTROL!$C$32, $C$9, 100%, $E$9)</f>
        <v>6.6782000000000004</v>
      </c>
      <c r="H371" s="11">
        <f>12.1268 * CHOOSE(CONTROL!$C$32, $C$9, 100%, $E$9)</f>
        <v>12.126799999999999</v>
      </c>
      <c r="I371" s="11">
        <f>12.1304 * CHOOSE(CONTROL!$C$32, $C$9, 100%, $E$9)</f>
        <v>12.1304</v>
      </c>
      <c r="J371" s="11">
        <f>12.1268 * CHOOSE(CONTROL!$C$32, $C$9, 100%, $E$9)</f>
        <v>12.126799999999999</v>
      </c>
      <c r="K371" s="11">
        <f>12.1304 * CHOOSE(CONTROL!$C$32, $C$9, 100%, $E$9)</f>
        <v>12.1304</v>
      </c>
      <c r="L371" s="11">
        <f>6.6746 * CHOOSE(CONTROL!$C$32, $C$9, 100%, $E$9)</f>
        <v>6.6745999999999999</v>
      </c>
      <c r="M371" s="11">
        <f>6.6782 * CHOOSE(CONTROL!$C$32, $C$9, 100%, $E$9)</f>
        <v>6.6782000000000004</v>
      </c>
      <c r="N371" s="11">
        <f>6.6746 * CHOOSE(CONTROL!$C$32, $C$9, 100%, $E$9)</f>
        <v>6.6745999999999999</v>
      </c>
      <c r="O371" s="11">
        <f>6.6782 * CHOOSE(CONTROL!$C$32, $C$9, 100%, $E$9)</f>
        <v>6.6782000000000004</v>
      </c>
    </row>
    <row r="372" spans="1:15" ht="15" x14ac:dyDescent="0.2">
      <c r="A372" s="13">
        <v>52171</v>
      </c>
      <c r="B372" s="9">
        <f>5.5968 * CHOOSE(CONTROL!$C$32, $C$9, 100%, $E$9)</f>
        <v>5.5968</v>
      </c>
      <c r="C372" s="9">
        <f>5.5968 * CHOOSE(CONTROL!$C$32, $C$9, 100%, $E$9)</f>
        <v>5.5968</v>
      </c>
      <c r="D372" s="9">
        <f>5.5979 * CHOOSE(CONTROL!$C$32, $C$9, 100%, $E$9)</f>
        <v>5.5979000000000001</v>
      </c>
      <c r="E372" s="11">
        <f>6.7026 * CHOOSE(CONTROL!$C$32, $C$9, 100%, $E$9)</f>
        <v>6.7026000000000003</v>
      </c>
      <c r="F372" s="11">
        <f>6.7026 * CHOOSE(CONTROL!$C$32, $C$9, 100%, $E$9)</f>
        <v>6.7026000000000003</v>
      </c>
      <c r="G372" s="11">
        <f>6.7063 * CHOOSE(CONTROL!$C$32, $C$9, 100%, $E$9)</f>
        <v>6.7062999999999997</v>
      </c>
      <c r="H372" s="11">
        <f>12.152 * CHOOSE(CONTROL!$C$32, $C$9, 100%, $E$9)</f>
        <v>12.151999999999999</v>
      </c>
      <c r="I372" s="11">
        <f>12.1557 * CHOOSE(CONTROL!$C$32, $C$9, 100%, $E$9)</f>
        <v>12.1557</v>
      </c>
      <c r="J372" s="11">
        <f>12.152 * CHOOSE(CONTROL!$C$32, $C$9, 100%, $E$9)</f>
        <v>12.151999999999999</v>
      </c>
      <c r="K372" s="11">
        <f>12.1557 * CHOOSE(CONTROL!$C$32, $C$9, 100%, $E$9)</f>
        <v>12.1557</v>
      </c>
      <c r="L372" s="11">
        <f>6.7026 * CHOOSE(CONTROL!$C$32, $C$9, 100%, $E$9)</f>
        <v>6.7026000000000003</v>
      </c>
      <c r="M372" s="11">
        <f>6.7063 * CHOOSE(CONTROL!$C$32, $C$9, 100%, $E$9)</f>
        <v>6.7062999999999997</v>
      </c>
      <c r="N372" s="11">
        <f>6.7026 * CHOOSE(CONTROL!$C$32, $C$9, 100%, $E$9)</f>
        <v>6.7026000000000003</v>
      </c>
      <c r="O372" s="11">
        <f>6.7063 * CHOOSE(CONTROL!$C$32, $C$9, 100%, $E$9)</f>
        <v>6.7062999999999997</v>
      </c>
    </row>
    <row r="373" spans="1:15" ht="15" x14ac:dyDescent="0.2">
      <c r="A373" s="13">
        <v>52201</v>
      </c>
      <c r="B373" s="9">
        <f>5.5968 * CHOOSE(CONTROL!$C$32, $C$9, 100%, $E$9)</f>
        <v>5.5968</v>
      </c>
      <c r="C373" s="9">
        <f>5.5968 * CHOOSE(CONTROL!$C$32, $C$9, 100%, $E$9)</f>
        <v>5.5968</v>
      </c>
      <c r="D373" s="9">
        <f>5.5979 * CHOOSE(CONTROL!$C$32, $C$9, 100%, $E$9)</f>
        <v>5.5979000000000001</v>
      </c>
      <c r="E373" s="11">
        <f>6.6378 * CHOOSE(CONTROL!$C$32, $C$9, 100%, $E$9)</f>
        <v>6.6378000000000004</v>
      </c>
      <c r="F373" s="11">
        <f>6.6378 * CHOOSE(CONTROL!$C$32, $C$9, 100%, $E$9)</f>
        <v>6.6378000000000004</v>
      </c>
      <c r="G373" s="11">
        <f>6.6414 * CHOOSE(CONTROL!$C$32, $C$9, 100%, $E$9)</f>
        <v>6.6414</v>
      </c>
      <c r="H373" s="11">
        <f>12.1774 * CHOOSE(CONTROL!$C$32, $C$9, 100%, $E$9)</f>
        <v>12.1774</v>
      </c>
      <c r="I373" s="11">
        <f>12.181 * CHOOSE(CONTROL!$C$32, $C$9, 100%, $E$9)</f>
        <v>12.180999999999999</v>
      </c>
      <c r="J373" s="11">
        <f>12.1774 * CHOOSE(CONTROL!$C$32, $C$9, 100%, $E$9)</f>
        <v>12.1774</v>
      </c>
      <c r="K373" s="11">
        <f>12.181 * CHOOSE(CONTROL!$C$32, $C$9, 100%, $E$9)</f>
        <v>12.180999999999999</v>
      </c>
      <c r="L373" s="11">
        <f>6.6378 * CHOOSE(CONTROL!$C$32, $C$9, 100%, $E$9)</f>
        <v>6.6378000000000004</v>
      </c>
      <c r="M373" s="11">
        <f>6.6414 * CHOOSE(CONTROL!$C$32, $C$9, 100%, $E$9)</f>
        <v>6.6414</v>
      </c>
      <c r="N373" s="11">
        <f>6.6378 * CHOOSE(CONTROL!$C$32, $C$9, 100%, $E$9)</f>
        <v>6.6378000000000004</v>
      </c>
      <c r="O373" s="11">
        <f>6.6414 * CHOOSE(CONTROL!$C$32, $C$9, 100%, $E$9)</f>
        <v>6.6414</v>
      </c>
    </row>
    <row r="374" spans="1:15" ht="15" x14ac:dyDescent="0.2">
      <c r="A374" s="13">
        <v>52232</v>
      </c>
      <c r="B374" s="9">
        <f>5.6399 * CHOOSE(CONTROL!$C$32, $C$9, 100%, $E$9)</f>
        <v>5.6398999999999999</v>
      </c>
      <c r="C374" s="9">
        <f>5.6399 * CHOOSE(CONTROL!$C$32, $C$9, 100%, $E$9)</f>
        <v>5.6398999999999999</v>
      </c>
      <c r="D374" s="9">
        <f>5.6409 * CHOOSE(CONTROL!$C$32, $C$9, 100%, $E$9)</f>
        <v>5.6409000000000002</v>
      </c>
      <c r="E374" s="11">
        <f>6.7096 * CHOOSE(CONTROL!$C$32, $C$9, 100%, $E$9)</f>
        <v>6.7096</v>
      </c>
      <c r="F374" s="11">
        <f>6.7096 * CHOOSE(CONTROL!$C$32, $C$9, 100%, $E$9)</f>
        <v>6.7096</v>
      </c>
      <c r="G374" s="11">
        <f>6.7132 * CHOOSE(CONTROL!$C$32, $C$9, 100%, $E$9)</f>
        <v>6.7131999999999996</v>
      </c>
      <c r="H374" s="11">
        <f>12.2027 * CHOOSE(CONTROL!$C$32, $C$9, 100%, $E$9)</f>
        <v>12.2027</v>
      </c>
      <c r="I374" s="11">
        <f>12.2063 * CHOOSE(CONTROL!$C$32, $C$9, 100%, $E$9)</f>
        <v>12.206300000000001</v>
      </c>
      <c r="J374" s="11">
        <f>12.2027 * CHOOSE(CONTROL!$C$32, $C$9, 100%, $E$9)</f>
        <v>12.2027</v>
      </c>
      <c r="K374" s="11">
        <f>12.2063 * CHOOSE(CONTROL!$C$32, $C$9, 100%, $E$9)</f>
        <v>12.206300000000001</v>
      </c>
      <c r="L374" s="11">
        <f>6.7096 * CHOOSE(CONTROL!$C$32, $C$9, 100%, $E$9)</f>
        <v>6.7096</v>
      </c>
      <c r="M374" s="11">
        <f>6.7132 * CHOOSE(CONTROL!$C$32, $C$9, 100%, $E$9)</f>
        <v>6.7131999999999996</v>
      </c>
      <c r="N374" s="11">
        <f>6.7096 * CHOOSE(CONTROL!$C$32, $C$9, 100%, $E$9)</f>
        <v>6.7096</v>
      </c>
      <c r="O374" s="11">
        <f>6.7132 * CHOOSE(CONTROL!$C$32, $C$9, 100%, $E$9)</f>
        <v>6.7131999999999996</v>
      </c>
    </row>
    <row r="375" spans="1:15" ht="15" x14ac:dyDescent="0.2">
      <c r="A375" s="13">
        <v>52263</v>
      </c>
      <c r="B375" s="9">
        <f>5.6368 * CHOOSE(CONTROL!$C$32, $C$9, 100%, $E$9)</f>
        <v>5.6368</v>
      </c>
      <c r="C375" s="9">
        <f>5.6368 * CHOOSE(CONTROL!$C$32, $C$9, 100%, $E$9)</f>
        <v>5.6368</v>
      </c>
      <c r="D375" s="9">
        <f>5.6379 * CHOOSE(CONTROL!$C$32, $C$9, 100%, $E$9)</f>
        <v>5.6379000000000001</v>
      </c>
      <c r="E375" s="11">
        <f>6.5809 * CHOOSE(CONTROL!$C$32, $C$9, 100%, $E$9)</f>
        <v>6.5808999999999997</v>
      </c>
      <c r="F375" s="11">
        <f>6.5809 * CHOOSE(CONTROL!$C$32, $C$9, 100%, $E$9)</f>
        <v>6.5808999999999997</v>
      </c>
      <c r="G375" s="11">
        <f>6.5845 * CHOOSE(CONTROL!$C$32, $C$9, 100%, $E$9)</f>
        <v>6.5845000000000002</v>
      </c>
      <c r="H375" s="11">
        <f>12.2281 * CHOOSE(CONTROL!$C$32, $C$9, 100%, $E$9)</f>
        <v>12.2281</v>
      </c>
      <c r="I375" s="11">
        <f>12.2318 * CHOOSE(CONTROL!$C$32, $C$9, 100%, $E$9)</f>
        <v>12.2318</v>
      </c>
      <c r="J375" s="11">
        <f>12.2281 * CHOOSE(CONTROL!$C$32, $C$9, 100%, $E$9)</f>
        <v>12.2281</v>
      </c>
      <c r="K375" s="11">
        <f>12.2318 * CHOOSE(CONTROL!$C$32, $C$9, 100%, $E$9)</f>
        <v>12.2318</v>
      </c>
      <c r="L375" s="11">
        <f>6.5809 * CHOOSE(CONTROL!$C$32, $C$9, 100%, $E$9)</f>
        <v>6.5808999999999997</v>
      </c>
      <c r="M375" s="11">
        <f>6.5845 * CHOOSE(CONTROL!$C$32, $C$9, 100%, $E$9)</f>
        <v>6.5845000000000002</v>
      </c>
      <c r="N375" s="11">
        <f>6.5809 * CHOOSE(CONTROL!$C$32, $C$9, 100%, $E$9)</f>
        <v>6.5808999999999997</v>
      </c>
      <c r="O375" s="11">
        <f>6.5845 * CHOOSE(CONTROL!$C$32, $C$9, 100%, $E$9)</f>
        <v>6.5845000000000002</v>
      </c>
    </row>
    <row r="376" spans="1:15" ht="15" x14ac:dyDescent="0.2">
      <c r="A376" s="13">
        <v>52291</v>
      </c>
      <c r="B376" s="9">
        <f>5.6338 * CHOOSE(CONTROL!$C$32, $C$9, 100%, $E$9)</f>
        <v>5.6337999999999999</v>
      </c>
      <c r="C376" s="9">
        <f>5.6338 * CHOOSE(CONTROL!$C$32, $C$9, 100%, $E$9)</f>
        <v>5.6337999999999999</v>
      </c>
      <c r="D376" s="9">
        <f>5.6349 * CHOOSE(CONTROL!$C$32, $C$9, 100%, $E$9)</f>
        <v>5.6349</v>
      </c>
      <c r="E376" s="11">
        <f>6.6786 * CHOOSE(CONTROL!$C$32, $C$9, 100%, $E$9)</f>
        <v>6.6786000000000003</v>
      </c>
      <c r="F376" s="11">
        <f>6.6786 * CHOOSE(CONTROL!$C$32, $C$9, 100%, $E$9)</f>
        <v>6.6786000000000003</v>
      </c>
      <c r="G376" s="11">
        <f>6.6822 * CHOOSE(CONTROL!$C$32, $C$9, 100%, $E$9)</f>
        <v>6.6821999999999999</v>
      </c>
      <c r="H376" s="11">
        <f>12.2536 * CHOOSE(CONTROL!$C$32, $C$9, 100%, $E$9)</f>
        <v>12.2536</v>
      </c>
      <c r="I376" s="11">
        <f>12.2572 * CHOOSE(CONTROL!$C$32, $C$9, 100%, $E$9)</f>
        <v>12.257199999999999</v>
      </c>
      <c r="J376" s="11">
        <f>12.2536 * CHOOSE(CONTROL!$C$32, $C$9, 100%, $E$9)</f>
        <v>12.2536</v>
      </c>
      <c r="K376" s="11">
        <f>12.2572 * CHOOSE(CONTROL!$C$32, $C$9, 100%, $E$9)</f>
        <v>12.257199999999999</v>
      </c>
      <c r="L376" s="11">
        <f>6.6786 * CHOOSE(CONTROL!$C$32, $C$9, 100%, $E$9)</f>
        <v>6.6786000000000003</v>
      </c>
      <c r="M376" s="11">
        <f>6.6822 * CHOOSE(CONTROL!$C$32, $C$9, 100%, $E$9)</f>
        <v>6.6821999999999999</v>
      </c>
      <c r="N376" s="11">
        <f>6.6786 * CHOOSE(CONTROL!$C$32, $C$9, 100%, $E$9)</f>
        <v>6.6786000000000003</v>
      </c>
      <c r="O376" s="11">
        <f>6.6822 * CHOOSE(CONTROL!$C$32, $C$9, 100%, $E$9)</f>
        <v>6.6821999999999999</v>
      </c>
    </row>
    <row r="377" spans="1:15" ht="15" x14ac:dyDescent="0.2">
      <c r="A377" s="13">
        <v>52322</v>
      </c>
      <c r="B377" s="9">
        <f>5.633 * CHOOSE(CONTROL!$C$32, $C$9, 100%, $E$9)</f>
        <v>5.633</v>
      </c>
      <c r="C377" s="9">
        <f>5.633 * CHOOSE(CONTROL!$C$32, $C$9, 100%, $E$9)</f>
        <v>5.633</v>
      </c>
      <c r="D377" s="9">
        <f>5.6341 * CHOOSE(CONTROL!$C$32, $C$9, 100%, $E$9)</f>
        <v>5.6341000000000001</v>
      </c>
      <c r="E377" s="11">
        <f>6.7815 * CHOOSE(CONTROL!$C$32, $C$9, 100%, $E$9)</f>
        <v>6.7815000000000003</v>
      </c>
      <c r="F377" s="11">
        <f>6.7815 * CHOOSE(CONTROL!$C$32, $C$9, 100%, $E$9)</f>
        <v>6.7815000000000003</v>
      </c>
      <c r="G377" s="11">
        <f>6.7852 * CHOOSE(CONTROL!$C$32, $C$9, 100%, $E$9)</f>
        <v>6.7851999999999997</v>
      </c>
      <c r="H377" s="11">
        <f>12.2792 * CHOOSE(CONTROL!$C$32, $C$9, 100%, $E$9)</f>
        <v>12.279199999999999</v>
      </c>
      <c r="I377" s="11">
        <f>12.2828 * CHOOSE(CONTROL!$C$32, $C$9, 100%, $E$9)</f>
        <v>12.2828</v>
      </c>
      <c r="J377" s="11">
        <f>12.2792 * CHOOSE(CONTROL!$C$32, $C$9, 100%, $E$9)</f>
        <v>12.279199999999999</v>
      </c>
      <c r="K377" s="11">
        <f>12.2828 * CHOOSE(CONTROL!$C$32, $C$9, 100%, $E$9)</f>
        <v>12.2828</v>
      </c>
      <c r="L377" s="11">
        <f>6.7815 * CHOOSE(CONTROL!$C$32, $C$9, 100%, $E$9)</f>
        <v>6.7815000000000003</v>
      </c>
      <c r="M377" s="11">
        <f>6.7852 * CHOOSE(CONTROL!$C$32, $C$9, 100%, $E$9)</f>
        <v>6.7851999999999997</v>
      </c>
      <c r="N377" s="11">
        <f>6.7815 * CHOOSE(CONTROL!$C$32, $C$9, 100%, $E$9)</f>
        <v>6.7815000000000003</v>
      </c>
      <c r="O377" s="11">
        <f>6.7852 * CHOOSE(CONTROL!$C$32, $C$9, 100%, $E$9)</f>
        <v>6.7851999999999997</v>
      </c>
    </row>
    <row r="378" spans="1:15" ht="15" x14ac:dyDescent="0.2">
      <c r="A378" s="13">
        <v>52352</v>
      </c>
      <c r="B378" s="9">
        <f>5.633 * CHOOSE(CONTROL!$C$32, $C$9, 100%, $E$9)</f>
        <v>5.633</v>
      </c>
      <c r="C378" s="9">
        <f>5.633 * CHOOSE(CONTROL!$C$32, $C$9, 100%, $E$9)</f>
        <v>5.633</v>
      </c>
      <c r="D378" s="9">
        <f>5.6346 * CHOOSE(CONTROL!$C$32, $C$9, 100%, $E$9)</f>
        <v>5.6345999999999998</v>
      </c>
      <c r="E378" s="11">
        <f>6.8217 * CHOOSE(CONTROL!$C$32, $C$9, 100%, $E$9)</f>
        <v>6.8216999999999999</v>
      </c>
      <c r="F378" s="11">
        <f>6.8217 * CHOOSE(CONTROL!$C$32, $C$9, 100%, $E$9)</f>
        <v>6.8216999999999999</v>
      </c>
      <c r="G378" s="11">
        <f>6.827 * CHOOSE(CONTROL!$C$32, $C$9, 100%, $E$9)</f>
        <v>6.827</v>
      </c>
      <c r="H378" s="11">
        <f>12.3047 * CHOOSE(CONTROL!$C$32, $C$9, 100%, $E$9)</f>
        <v>12.3047</v>
      </c>
      <c r="I378" s="11">
        <f>12.31 * CHOOSE(CONTROL!$C$32, $C$9, 100%, $E$9)</f>
        <v>12.31</v>
      </c>
      <c r="J378" s="11">
        <f>12.3047 * CHOOSE(CONTROL!$C$32, $C$9, 100%, $E$9)</f>
        <v>12.3047</v>
      </c>
      <c r="K378" s="11">
        <f>12.31 * CHOOSE(CONTROL!$C$32, $C$9, 100%, $E$9)</f>
        <v>12.31</v>
      </c>
      <c r="L378" s="11">
        <f>6.8217 * CHOOSE(CONTROL!$C$32, $C$9, 100%, $E$9)</f>
        <v>6.8216999999999999</v>
      </c>
      <c r="M378" s="11">
        <f>6.827 * CHOOSE(CONTROL!$C$32, $C$9, 100%, $E$9)</f>
        <v>6.827</v>
      </c>
      <c r="N378" s="11">
        <f>6.8217 * CHOOSE(CONTROL!$C$32, $C$9, 100%, $E$9)</f>
        <v>6.8216999999999999</v>
      </c>
      <c r="O378" s="11">
        <f>6.827 * CHOOSE(CONTROL!$C$32, $C$9, 100%, $E$9)</f>
        <v>6.827</v>
      </c>
    </row>
    <row r="379" spans="1:15" ht="15" x14ac:dyDescent="0.2">
      <c r="A379" s="13">
        <v>52383</v>
      </c>
      <c r="B379" s="9">
        <f>5.6391 * CHOOSE(CONTROL!$C$32, $C$9, 100%, $E$9)</f>
        <v>5.6391</v>
      </c>
      <c r="C379" s="9">
        <f>5.6391 * CHOOSE(CONTROL!$C$32, $C$9, 100%, $E$9)</f>
        <v>5.6391</v>
      </c>
      <c r="D379" s="9">
        <f>5.6407 * CHOOSE(CONTROL!$C$32, $C$9, 100%, $E$9)</f>
        <v>5.6406999999999998</v>
      </c>
      <c r="E379" s="11">
        <f>6.7858 * CHOOSE(CONTROL!$C$32, $C$9, 100%, $E$9)</f>
        <v>6.7858000000000001</v>
      </c>
      <c r="F379" s="11">
        <f>6.7858 * CHOOSE(CONTROL!$C$32, $C$9, 100%, $E$9)</f>
        <v>6.7858000000000001</v>
      </c>
      <c r="G379" s="11">
        <f>6.7911 * CHOOSE(CONTROL!$C$32, $C$9, 100%, $E$9)</f>
        <v>6.7911000000000001</v>
      </c>
      <c r="H379" s="11">
        <f>12.3304 * CHOOSE(CONTROL!$C$32, $C$9, 100%, $E$9)</f>
        <v>12.330399999999999</v>
      </c>
      <c r="I379" s="11">
        <f>12.3357 * CHOOSE(CONTROL!$C$32, $C$9, 100%, $E$9)</f>
        <v>12.335699999999999</v>
      </c>
      <c r="J379" s="11">
        <f>12.3304 * CHOOSE(CONTROL!$C$32, $C$9, 100%, $E$9)</f>
        <v>12.330399999999999</v>
      </c>
      <c r="K379" s="11">
        <f>12.3357 * CHOOSE(CONTROL!$C$32, $C$9, 100%, $E$9)</f>
        <v>12.335699999999999</v>
      </c>
      <c r="L379" s="11">
        <f>6.7858 * CHOOSE(CONTROL!$C$32, $C$9, 100%, $E$9)</f>
        <v>6.7858000000000001</v>
      </c>
      <c r="M379" s="11">
        <f>6.7911 * CHOOSE(CONTROL!$C$32, $C$9, 100%, $E$9)</f>
        <v>6.7911000000000001</v>
      </c>
      <c r="N379" s="11">
        <f>6.7858 * CHOOSE(CONTROL!$C$32, $C$9, 100%, $E$9)</f>
        <v>6.7858000000000001</v>
      </c>
      <c r="O379" s="11">
        <f>6.7911 * CHOOSE(CONTROL!$C$32, $C$9, 100%, $E$9)</f>
        <v>6.7911000000000001</v>
      </c>
    </row>
    <row r="380" spans="1:15" ht="15" x14ac:dyDescent="0.2">
      <c r="A380" s="13">
        <v>52413</v>
      </c>
      <c r="B380" s="9">
        <f>5.7154 * CHOOSE(CONTROL!$C$32, $C$9, 100%, $E$9)</f>
        <v>5.7153999999999998</v>
      </c>
      <c r="C380" s="9">
        <f>5.7154 * CHOOSE(CONTROL!$C$32, $C$9, 100%, $E$9)</f>
        <v>5.7153999999999998</v>
      </c>
      <c r="D380" s="9">
        <f>5.7169 * CHOOSE(CONTROL!$C$32, $C$9, 100%, $E$9)</f>
        <v>5.7168999999999999</v>
      </c>
      <c r="E380" s="11">
        <f>6.8109 * CHOOSE(CONTROL!$C$32, $C$9, 100%, $E$9)</f>
        <v>6.8109000000000002</v>
      </c>
      <c r="F380" s="11">
        <f>6.8109 * CHOOSE(CONTROL!$C$32, $C$9, 100%, $E$9)</f>
        <v>6.8109000000000002</v>
      </c>
      <c r="G380" s="11">
        <f>6.8162 * CHOOSE(CONTROL!$C$32, $C$9, 100%, $E$9)</f>
        <v>6.8162000000000003</v>
      </c>
      <c r="H380" s="11">
        <f>12.3561 * CHOOSE(CONTROL!$C$32, $C$9, 100%, $E$9)</f>
        <v>12.3561</v>
      </c>
      <c r="I380" s="11">
        <f>12.3614 * CHOOSE(CONTROL!$C$32, $C$9, 100%, $E$9)</f>
        <v>12.3614</v>
      </c>
      <c r="J380" s="11">
        <f>12.3561 * CHOOSE(CONTROL!$C$32, $C$9, 100%, $E$9)</f>
        <v>12.3561</v>
      </c>
      <c r="K380" s="11">
        <f>12.3614 * CHOOSE(CONTROL!$C$32, $C$9, 100%, $E$9)</f>
        <v>12.3614</v>
      </c>
      <c r="L380" s="11">
        <f>6.8109 * CHOOSE(CONTROL!$C$32, $C$9, 100%, $E$9)</f>
        <v>6.8109000000000002</v>
      </c>
      <c r="M380" s="11">
        <f>6.8162 * CHOOSE(CONTROL!$C$32, $C$9, 100%, $E$9)</f>
        <v>6.8162000000000003</v>
      </c>
      <c r="N380" s="11">
        <f>6.8109 * CHOOSE(CONTROL!$C$32, $C$9, 100%, $E$9)</f>
        <v>6.8109000000000002</v>
      </c>
      <c r="O380" s="11">
        <f>6.8162 * CHOOSE(CONTROL!$C$32, $C$9, 100%, $E$9)</f>
        <v>6.8162000000000003</v>
      </c>
    </row>
    <row r="381" spans="1:15" ht="15" x14ac:dyDescent="0.2">
      <c r="A381" s="13">
        <v>52444</v>
      </c>
      <c r="B381" s="9">
        <f>5.7221 * CHOOSE(CONTROL!$C$32, $C$9, 100%, $E$9)</f>
        <v>5.7221000000000002</v>
      </c>
      <c r="C381" s="9">
        <f>5.7221 * CHOOSE(CONTROL!$C$32, $C$9, 100%, $E$9)</f>
        <v>5.7221000000000002</v>
      </c>
      <c r="D381" s="9">
        <f>5.7236 * CHOOSE(CONTROL!$C$32, $C$9, 100%, $E$9)</f>
        <v>5.7236000000000002</v>
      </c>
      <c r="E381" s="11">
        <f>6.695 * CHOOSE(CONTROL!$C$32, $C$9, 100%, $E$9)</f>
        <v>6.6950000000000003</v>
      </c>
      <c r="F381" s="11">
        <f>6.695 * CHOOSE(CONTROL!$C$32, $C$9, 100%, $E$9)</f>
        <v>6.6950000000000003</v>
      </c>
      <c r="G381" s="11">
        <f>6.7003 * CHOOSE(CONTROL!$C$32, $C$9, 100%, $E$9)</f>
        <v>6.7003000000000004</v>
      </c>
      <c r="H381" s="11">
        <f>12.3818 * CHOOSE(CONTROL!$C$32, $C$9, 100%, $E$9)</f>
        <v>12.3818</v>
      </c>
      <c r="I381" s="11">
        <f>12.3871 * CHOOSE(CONTROL!$C$32, $C$9, 100%, $E$9)</f>
        <v>12.3871</v>
      </c>
      <c r="J381" s="11">
        <f>12.3818 * CHOOSE(CONTROL!$C$32, $C$9, 100%, $E$9)</f>
        <v>12.3818</v>
      </c>
      <c r="K381" s="11">
        <f>12.3871 * CHOOSE(CONTROL!$C$32, $C$9, 100%, $E$9)</f>
        <v>12.3871</v>
      </c>
      <c r="L381" s="11">
        <f>6.695 * CHOOSE(CONTROL!$C$32, $C$9, 100%, $E$9)</f>
        <v>6.6950000000000003</v>
      </c>
      <c r="M381" s="11">
        <f>6.7003 * CHOOSE(CONTROL!$C$32, $C$9, 100%, $E$9)</f>
        <v>6.7003000000000004</v>
      </c>
      <c r="N381" s="11">
        <f>6.695 * CHOOSE(CONTROL!$C$32, $C$9, 100%, $E$9)</f>
        <v>6.6950000000000003</v>
      </c>
      <c r="O381" s="11">
        <f>6.7003 * CHOOSE(CONTROL!$C$32, $C$9, 100%, $E$9)</f>
        <v>6.7003000000000004</v>
      </c>
    </row>
    <row r="382" spans="1:15" ht="15" x14ac:dyDescent="0.2">
      <c r="A382" s="13">
        <v>52475</v>
      </c>
      <c r="B382" s="9">
        <f>5.719 * CHOOSE(CONTROL!$C$32, $C$9, 100%, $E$9)</f>
        <v>5.7190000000000003</v>
      </c>
      <c r="C382" s="9">
        <f>5.719 * CHOOSE(CONTROL!$C$32, $C$9, 100%, $E$9)</f>
        <v>5.7190000000000003</v>
      </c>
      <c r="D382" s="9">
        <f>5.7206 * CHOOSE(CONTROL!$C$32, $C$9, 100%, $E$9)</f>
        <v>5.7206000000000001</v>
      </c>
      <c r="E382" s="11">
        <f>6.6795 * CHOOSE(CONTROL!$C$32, $C$9, 100%, $E$9)</f>
        <v>6.6795</v>
      </c>
      <c r="F382" s="11">
        <f>6.6795 * CHOOSE(CONTROL!$C$32, $C$9, 100%, $E$9)</f>
        <v>6.6795</v>
      </c>
      <c r="G382" s="11">
        <f>6.6848 * CHOOSE(CONTROL!$C$32, $C$9, 100%, $E$9)</f>
        <v>6.6848000000000001</v>
      </c>
      <c r="H382" s="11">
        <f>12.4076 * CHOOSE(CONTROL!$C$32, $C$9, 100%, $E$9)</f>
        <v>12.4076</v>
      </c>
      <c r="I382" s="11">
        <f>12.4129 * CHOOSE(CONTROL!$C$32, $C$9, 100%, $E$9)</f>
        <v>12.4129</v>
      </c>
      <c r="J382" s="11">
        <f>12.4076 * CHOOSE(CONTROL!$C$32, $C$9, 100%, $E$9)</f>
        <v>12.4076</v>
      </c>
      <c r="K382" s="11">
        <f>12.4129 * CHOOSE(CONTROL!$C$32, $C$9, 100%, $E$9)</f>
        <v>12.4129</v>
      </c>
      <c r="L382" s="11">
        <f>6.6795 * CHOOSE(CONTROL!$C$32, $C$9, 100%, $E$9)</f>
        <v>6.6795</v>
      </c>
      <c r="M382" s="11">
        <f>6.6848 * CHOOSE(CONTROL!$C$32, $C$9, 100%, $E$9)</f>
        <v>6.6848000000000001</v>
      </c>
      <c r="N382" s="11">
        <f>6.6795 * CHOOSE(CONTROL!$C$32, $C$9, 100%, $E$9)</f>
        <v>6.6795</v>
      </c>
      <c r="O382" s="11">
        <f>6.6848 * CHOOSE(CONTROL!$C$32, $C$9, 100%, $E$9)</f>
        <v>6.6848000000000001</v>
      </c>
    </row>
    <row r="383" spans="1:15" ht="15" x14ac:dyDescent="0.2">
      <c r="A383" s="13">
        <v>52505</v>
      </c>
      <c r="B383" s="9">
        <f>5.7205 * CHOOSE(CONTROL!$C$32, $C$9, 100%, $E$9)</f>
        <v>5.7205000000000004</v>
      </c>
      <c r="C383" s="9">
        <f>5.7205 * CHOOSE(CONTROL!$C$32, $C$9, 100%, $E$9)</f>
        <v>5.7205000000000004</v>
      </c>
      <c r="D383" s="9">
        <f>5.7215 * CHOOSE(CONTROL!$C$32, $C$9, 100%, $E$9)</f>
        <v>5.7214999999999998</v>
      </c>
      <c r="E383" s="11">
        <f>6.7197 * CHOOSE(CONTROL!$C$32, $C$9, 100%, $E$9)</f>
        <v>6.7196999999999996</v>
      </c>
      <c r="F383" s="11">
        <f>6.7197 * CHOOSE(CONTROL!$C$32, $C$9, 100%, $E$9)</f>
        <v>6.7196999999999996</v>
      </c>
      <c r="G383" s="11">
        <f>6.7233 * CHOOSE(CONTROL!$C$32, $C$9, 100%, $E$9)</f>
        <v>6.7233000000000001</v>
      </c>
      <c r="H383" s="11">
        <f>12.4334 * CHOOSE(CONTROL!$C$32, $C$9, 100%, $E$9)</f>
        <v>12.433400000000001</v>
      </c>
      <c r="I383" s="11">
        <f>12.4371 * CHOOSE(CONTROL!$C$32, $C$9, 100%, $E$9)</f>
        <v>12.437099999999999</v>
      </c>
      <c r="J383" s="11">
        <f>12.4334 * CHOOSE(CONTROL!$C$32, $C$9, 100%, $E$9)</f>
        <v>12.433400000000001</v>
      </c>
      <c r="K383" s="11">
        <f>12.4371 * CHOOSE(CONTROL!$C$32, $C$9, 100%, $E$9)</f>
        <v>12.437099999999999</v>
      </c>
      <c r="L383" s="11">
        <f>6.7197 * CHOOSE(CONTROL!$C$32, $C$9, 100%, $E$9)</f>
        <v>6.7196999999999996</v>
      </c>
      <c r="M383" s="11">
        <f>6.7233 * CHOOSE(CONTROL!$C$32, $C$9, 100%, $E$9)</f>
        <v>6.7233000000000001</v>
      </c>
      <c r="N383" s="11">
        <f>6.7197 * CHOOSE(CONTROL!$C$32, $C$9, 100%, $E$9)</f>
        <v>6.7196999999999996</v>
      </c>
      <c r="O383" s="11">
        <f>6.7233 * CHOOSE(CONTROL!$C$32, $C$9, 100%, $E$9)</f>
        <v>6.7233000000000001</v>
      </c>
    </row>
    <row r="384" spans="1:15" ht="15" x14ac:dyDescent="0.2">
      <c r="A384" s="13">
        <v>52536</v>
      </c>
      <c r="B384" s="9">
        <f>5.7235 * CHOOSE(CONTROL!$C$32, $C$9, 100%, $E$9)</f>
        <v>5.7234999999999996</v>
      </c>
      <c r="C384" s="9">
        <f>5.7235 * CHOOSE(CONTROL!$C$32, $C$9, 100%, $E$9)</f>
        <v>5.7234999999999996</v>
      </c>
      <c r="D384" s="9">
        <f>5.7246 * CHOOSE(CONTROL!$C$32, $C$9, 100%, $E$9)</f>
        <v>5.7245999999999997</v>
      </c>
      <c r="E384" s="11">
        <f>6.7486 * CHOOSE(CONTROL!$C$32, $C$9, 100%, $E$9)</f>
        <v>6.7485999999999997</v>
      </c>
      <c r="F384" s="11">
        <f>6.7486 * CHOOSE(CONTROL!$C$32, $C$9, 100%, $E$9)</f>
        <v>6.7485999999999997</v>
      </c>
      <c r="G384" s="11">
        <f>6.7522 * CHOOSE(CONTROL!$C$32, $C$9, 100%, $E$9)</f>
        <v>6.7522000000000002</v>
      </c>
      <c r="H384" s="11">
        <f>12.4593 * CHOOSE(CONTROL!$C$32, $C$9, 100%, $E$9)</f>
        <v>12.459300000000001</v>
      </c>
      <c r="I384" s="11">
        <f>12.463 * CHOOSE(CONTROL!$C$32, $C$9, 100%, $E$9)</f>
        <v>12.462999999999999</v>
      </c>
      <c r="J384" s="11">
        <f>12.4593 * CHOOSE(CONTROL!$C$32, $C$9, 100%, $E$9)</f>
        <v>12.459300000000001</v>
      </c>
      <c r="K384" s="11">
        <f>12.463 * CHOOSE(CONTROL!$C$32, $C$9, 100%, $E$9)</f>
        <v>12.462999999999999</v>
      </c>
      <c r="L384" s="11">
        <f>6.7486 * CHOOSE(CONTROL!$C$32, $C$9, 100%, $E$9)</f>
        <v>6.7485999999999997</v>
      </c>
      <c r="M384" s="11">
        <f>6.7522 * CHOOSE(CONTROL!$C$32, $C$9, 100%, $E$9)</f>
        <v>6.7522000000000002</v>
      </c>
      <c r="N384" s="11">
        <f>6.7486 * CHOOSE(CONTROL!$C$32, $C$9, 100%, $E$9)</f>
        <v>6.7485999999999997</v>
      </c>
      <c r="O384" s="11">
        <f>6.7522 * CHOOSE(CONTROL!$C$32, $C$9, 100%, $E$9)</f>
        <v>6.7522000000000002</v>
      </c>
    </row>
    <row r="385" spans="1:15" ht="15" x14ac:dyDescent="0.2">
      <c r="A385" s="13">
        <v>52566</v>
      </c>
      <c r="B385" s="9">
        <f>5.7235 * CHOOSE(CONTROL!$C$32, $C$9, 100%, $E$9)</f>
        <v>5.7234999999999996</v>
      </c>
      <c r="C385" s="9">
        <f>5.7235 * CHOOSE(CONTROL!$C$32, $C$9, 100%, $E$9)</f>
        <v>5.7234999999999996</v>
      </c>
      <c r="D385" s="9">
        <f>5.7246 * CHOOSE(CONTROL!$C$32, $C$9, 100%, $E$9)</f>
        <v>5.7245999999999997</v>
      </c>
      <c r="E385" s="11">
        <f>6.6816 * CHOOSE(CONTROL!$C$32, $C$9, 100%, $E$9)</f>
        <v>6.6816000000000004</v>
      </c>
      <c r="F385" s="11">
        <f>6.6816 * CHOOSE(CONTROL!$C$32, $C$9, 100%, $E$9)</f>
        <v>6.6816000000000004</v>
      </c>
      <c r="G385" s="11">
        <f>6.6852 * CHOOSE(CONTROL!$C$32, $C$9, 100%, $E$9)</f>
        <v>6.6852</v>
      </c>
      <c r="H385" s="11">
        <f>12.4853 * CHOOSE(CONTROL!$C$32, $C$9, 100%, $E$9)</f>
        <v>12.485300000000001</v>
      </c>
      <c r="I385" s="11">
        <f>12.4889 * CHOOSE(CONTROL!$C$32, $C$9, 100%, $E$9)</f>
        <v>12.488899999999999</v>
      </c>
      <c r="J385" s="11">
        <f>12.4853 * CHOOSE(CONTROL!$C$32, $C$9, 100%, $E$9)</f>
        <v>12.485300000000001</v>
      </c>
      <c r="K385" s="11">
        <f>12.4889 * CHOOSE(CONTROL!$C$32, $C$9, 100%, $E$9)</f>
        <v>12.488899999999999</v>
      </c>
      <c r="L385" s="11">
        <f>6.6816 * CHOOSE(CONTROL!$C$32, $C$9, 100%, $E$9)</f>
        <v>6.6816000000000004</v>
      </c>
      <c r="M385" s="11">
        <f>6.6852 * CHOOSE(CONTROL!$C$32, $C$9, 100%, $E$9)</f>
        <v>6.6852</v>
      </c>
      <c r="N385" s="11">
        <f>6.6816 * CHOOSE(CONTROL!$C$32, $C$9, 100%, $E$9)</f>
        <v>6.6816000000000004</v>
      </c>
      <c r="O385" s="11">
        <f>6.6852 * CHOOSE(CONTROL!$C$32, $C$9, 100%, $E$9)</f>
        <v>6.6852</v>
      </c>
    </row>
    <row r="386" spans="1:15" ht="15" x14ac:dyDescent="0.2">
      <c r="A386" s="13">
        <v>52597</v>
      </c>
      <c r="B386" s="9">
        <f>5.7676 * CHOOSE(CONTROL!$C$32, $C$9, 100%, $E$9)</f>
        <v>5.7675999999999998</v>
      </c>
      <c r="C386" s="9">
        <f>5.7676 * CHOOSE(CONTROL!$C$32, $C$9, 100%, $E$9)</f>
        <v>5.7675999999999998</v>
      </c>
      <c r="D386" s="9">
        <f>5.7686 * CHOOSE(CONTROL!$C$32, $C$9, 100%, $E$9)</f>
        <v>5.7686000000000002</v>
      </c>
      <c r="E386" s="11">
        <f>6.7573 * CHOOSE(CONTROL!$C$32, $C$9, 100%, $E$9)</f>
        <v>6.7572999999999999</v>
      </c>
      <c r="F386" s="11">
        <f>6.7573 * CHOOSE(CONTROL!$C$32, $C$9, 100%, $E$9)</f>
        <v>6.7572999999999999</v>
      </c>
      <c r="G386" s="11">
        <f>6.7609 * CHOOSE(CONTROL!$C$32, $C$9, 100%, $E$9)</f>
        <v>6.7609000000000004</v>
      </c>
      <c r="H386" s="11">
        <f>12.5113 * CHOOSE(CONTROL!$C$32, $C$9, 100%, $E$9)</f>
        <v>12.5113</v>
      </c>
      <c r="I386" s="11">
        <f>12.5149 * CHOOSE(CONTROL!$C$32, $C$9, 100%, $E$9)</f>
        <v>12.514900000000001</v>
      </c>
      <c r="J386" s="11">
        <f>12.5113 * CHOOSE(CONTROL!$C$32, $C$9, 100%, $E$9)</f>
        <v>12.5113</v>
      </c>
      <c r="K386" s="11">
        <f>12.5149 * CHOOSE(CONTROL!$C$32, $C$9, 100%, $E$9)</f>
        <v>12.514900000000001</v>
      </c>
      <c r="L386" s="11">
        <f>6.7573 * CHOOSE(CONTROL!$C$32, $C$9, 100%, $E$9)</f>
        <v>6.7572999999999999</v>
      </c>
      <c r="M386" s="11">
        <f>6.7609 * CHOOSE(CONTROL!$C$32, $C$9, 100%, $E$9)</f>
        <v>6.7609000000000004</v>
      </c>
      <c r="N386" s="11">
        <f>6.7573 * CHOOSE(CONTROL!$C$32, $C$9, 100%, $E$9)</f>
        <v>6.7572999999999999</v>
      </c>
      <c r="O386" s="11">
        <f>6.7609 * CHOOSE(CONTROL!$C$32, $C$9, 100%, $E$9)</f>
        <v>6.7609000000000004</v>
      </c>
    </row>
    <row r="387" spans="1:15" ht="15" x14ac:dyDescent="0.2">
      <c r="A387" s="13">
        <v>52628</v>
      </c>
      <c r="B387" s="9">
        <f>5.7645 * CHOOSE(CONTROL!$C$32, $C$9, 100%, $E$9)</f>
        <v>5.7645</v>
      </c>
      <c r="C387" s="9">
        <f>5.7645 * CHOOSE(CONTROL!$C$32, $C$9, 100%, $E$9)</f>
        <v>5.7645</v>
      </c>
      <c r="D387" s="9">
        <f>5.7656 * CHOOSE(CONTROL!$C$32, $C$9, 100%, $E$9)</f>
        <v>5.7656000000000001</v>
      </c>
      <c r="E387" s="11">
        <f>6.6244 * CHOOSE(CONTROL!$C$32, $C$9, 100%, $E$9)</f>
        <v>6.6243999999999996</v>
      </c>
      <c r="F387" s="11">
        <f>6.6244 * CHOOSE(CONTROL!$C$32, $C$9, 100%, $E$9)</f>
        <v>6.6243999999999996</v>
      </c>
      <c r="G387" s="11">
        <f>6.628 * CHOOSE(CONTROL!$C$32, $C$9, 100%, $E$9)</f>
        <v>6.6280000000000001</v>
      </c>
      <c r="H387" s="11">
        <f>12.5374 * CHOOSE(CONTROL!$C$32, $C$9, 100%, $E$9)</f>
        <v>12.5374</v>
      </c>
      <c r="I387" s="11">
        <f>12.541 * CHOOSE(CONTROL!$C$32, $C$9, 100%, $E$9)</f>
        <v>12.541</v>
      </c>
      <c r="J387" s="11">
        <f>12.5374 * CHOOSE(CONTROL!$C$32, $C$9, 100%, $E$9)</f>
        <v>12.5374</v>
      </c>
      <c r="K387" s="11">
        <f>12.541 * CHOOSE(CONTROL!$C$32, $C$9, 100%, $E$9)</f>
        <v>12.541</v>
      </c>
      <c r="L387" s="11">
        <f>6.6244 * CHOOSE(CONTROL!$C$32, $C$9, 100%, $E$9)</f>
        <v>6.6243999999999996</v>
      </c>
      <c r="M387" s="11">
        <f>6.628 * CHOOSE(CONTROL!$C$32, $C$9, 100%, $E$9)</f>
        <v>6.6280000000000001</v>
      </c>
      <c r="N387" s="11">
        <f>6.6244 * CHOOSE(CONTROL!$C$32, $C$9, 100%, $E$9)</f>
        <v>6.6243999999999996</v>
      </c>
      <c r="O387" s="11">
        <f>6.628 * CHOOSE(CONTROL!$C$32, $C$9, 100%, $E$9)</f>
        <v>6.6280000000000001</v>
      </c>
    </row>
    <row r="388" spans="1:15" ht="15" x14ac:dyDescent="0.2">
      <c r="A388" s="13">
        <v>52657</v>
      </c>
      <c r="B388" s="9">
        <f>5.7615 * CHOOSE(CONTROL!$C$32, $C$9, 100%, $E$9)</f>
        <v>5.7614999999999998</v>
      </c>
      <c r="C388" s="9">
        <f>5.7615 * CHOOSE(CONTROL!$C$32, $C$9, 100%, $E$9)</f>
        <v>5.7614999999999998</v>
      </c>
      <c r="D388" s="9">
        <f>5.7626 * CHOOSE(CONTROL!$C$32, $C$9, 100%, $E$9)</f>
        <v>5.7625999999999999</v>
      </c>
      <c r="E388" s="11">
        <f>6.7254 * CHOOSE(CONTROL!$C$32, $C$9, 100%, $E$9)</f>
        <v>6.7253999999999996</v>
      </c>
      <c r="F388" s="11">
        <f>6.7254 * CHOOSE(CONTROL!$C$32, $C$9, 100%, $E$9)</f>
        <v>6.7253999999999996</v>
      </c>
      <c r="G388" s="11">
        <f>6.729 * CHOOSE(CONTROL!$C$32, $C$9, 100%, $E$9)</f>
        <v>6.7290000000000001</v>
      </c>
      <c r="H388" s="11">
        <f>12.5635 * CHOOSE(CONTROL!$C$32, $C$9, 100%, $E$9)</f>
        <v>12.563499999999999</v>
      </c>
      <c r="I388" s="11">
        <f>12.5671 * CHOOSE(CONTROL!$C$32, $C$9, 100%, $E$9)</f>
        <v>12.5671</v>
      </c>
      <c r="J388" s="11">
        <f>12.5635 * CHOOSE(CONTROL!$C$32, $C$9, 100%, $E$9)</f>
        <v>12.563499999999999</v>
      </c>
      <c r="K388" s="11">
        <f>12.5671 * CHOOSE(CONTROL!$C$32, $C$9, 100%, $E$9)</f>
        <v>12.5671</v>
      </c>
      <c r="L388" s="11">
        <f>6.7254 * CHOOSE(CONTROL!$C$32, $C$9, 100%, $E$9)</f>
        <v>6.7253999999999996</v>
      </c>
      <c r="M388" s="11">
        <f>6.729 * CHOOSE(CONTROL!$C$32, $C$9, 100%, $E$9)</f>
        <v>6.7290000000000001</v>
      </c>
      <c r="N388" s="11">
        <f>6.7254 * CHOOSE(CONTROL!$C$32, $C$9, 100%, $E$9)</f>
        <v>6.7253999999999996</v>
      </c>
      <c r="O388" s="11">
        <f>6.729 * CHOOSE(CONTROL!$C$32, $C$9, 100%, $E$9)</f>
        <v>6.7290000000000001</v>
      </c>
    </row>
    <row r="389" spans="1:15" ht="15" x14ac:dyDescent="0.2">
      <c r="A389" s="13">
        <v>52688</v>
      </c>
      <c r="B389" s="9">
        <f>5.7608 * CHOOSE(CONTROL!$C$32, $C$9, 100%, $E$9)</f>
        <v>5.7607999999999997</v>
      </c>
      <c r="C389" s="9">
        <f>5.7608 * CHOOSE(CONTROL!$C$32, $C$9, 100%, $E$9)</f>
        <v>5.7607999999999997</v>
      </c>
      <c r="D389" s="9">
        <f>5.7619 * CHOOSE(CONTROL!$C$32, $C$9, 100%, $E$9)</f>
        <v>5.7618999999999998</v>
      </c>
      <c r="E389" s="11">
        <f>6.8318 * CHOOSE(CONTROL!$C$32, $C$9, 100%, $E$9)</f>
        <v>6.8318000000000003</v>
      </c>
      <c r="F389" s="11">
        <f>6.8318 * CHOOSE(CONTROL!$C$32, $C$9, 100%, $E$9)</f>
        <v>6.8318000000000003</v>
      </c>
      <c r="G389" s="11">
        <f>6.8354 * CHOOSE(CONTROL!$C$32, $C$9, 100%, $E$9)</f>
        <v>6.8353999999999999</v>
      </c>
      <c r="H389" s="11">
        <f>12.5897 * CHOOSE(CONTROL!$C$32, $C$9, 100%, $E$9)</f>
        <v>12.589700000000001</v>
      </c>
      <c r="I389" s="11">
        <f>12.5933 * CHOOSE(CONTROL!$C$32, $C$9, 100%, $E$9)</f>
        <v>12.593299999999999</v>
      </c>
      <c r="J389" s="11">
        <f>12.5897 * CHOOSE(CONTROL!$C$32, $C$9, 100%, $E$9)</f>
        <v>12.589700000000001</v>
      </c>
      <c r="K389" s="11">
        <f>12.5933 * CHOOSE(CONTROL!$C$32, $C$9, 100%, $E$9)</f>
        <v>12.593299999999999</v>
      </c>
      <c r="L389" s="11">
        <f>6.8318 * CHOOSE(CONTROL!$C$32, $C$9, 100%, $E$9)</f>
        <v>6.8318000000000003</v>
      </c>
      <c r="M389" s="11">
        <f>6.8354 * CHOOSE(CONTROL!$C$32, $C$9, 100%, $E$9)</f>
        <v>6.8353999999999999</v>
      </c>
      <c r="N389" s="11">
        <f>6.8318 * CHOOSE(CONTROL!$C$32, $C$9, 100%, $E$9)</f>
        <v>6.8318000000000003</v>
      </c>
      <c r="O389" s="11">
        <f>6.8354 * CHOOSE(CONTROL!$C$32, $C$9, 100%, $E$9)</f>
        <v>6.8353999999999999</v>
      </c>
    </row>
    <row r="390" spans="1:15" ht="15" x14ac:dyDescent="0.2">
      <c r="A390" s="13">
        <v>52718</v>
      </c>
      <c r="B390" s="9">
        <f>5.7608 * CHOOSE(CONTROL!$C$32, $C$9, 100%, $E$9)</f>
        <v>5.7607999999999997</v>
      </c>
      <c r="C390" s="9">
        <f>5.7608 * CHOOSE(CONTROL!$C$32, $C$9, 100%, $E$9)</f>
        <v>5.7607999999999997</v>
      </c>
      <c r="D390" s="9">
        <f>5.7624 * CHOOSE(CONTROL!$C$32, $C$9, 100%, $E$9)</f>
        <v>5.7624000000000004</v>
      </c>
      <c r="E390" s="11">
        <f>6.8733 * CHOOSE(CONTROL!$C$32, $C$9, 100%, $E$9)</f>
        <v>6.8733000000000004</v>
      </c>
      <c r="F390" s="11">
        <f>6.8733 * CHOOSE(CONTROL!$C$32, $C$9, 100%, $E$9)</f>
        <v>6.8733000000000004</v>
      </c>
      <c r="G390" s="11">
        <f>6.8786 * CHOOSE(CONTROL!$C$32, $C$9, 100%, $E$9)</f>
        <v>6.8785999999999996</v>
      </c>
      <c r="H390" s="11">
        <f>12.6159 * CHOOSE(CONTROL!$C$32, $C$9, 100%, $E$9)</f>
        <v>12.6159</v>
      </c>
      <c r="I390" s="11">
        <f>12.6212 * CHOOSE(CONTROL!$C$32, $C$9, 100%, $E$9)</f>
        <v>12.6212</v>
      </c>
      <c r="J390" s="11">
        <f>12.6159 * CHOOSE(CONTROL!$C$32, $C$9, 100%, $E$9)</f>
        <v>12.6159</v>
      </c>
      <c r="K390" s="11">
        <f>12.6212 * CHOOSE(CONTROL!$C$32, $C$9, 100%, $E$9)</f>
        <v>12.6212</v>
      </c>
      <c r="L390" s="11">
        <f>6.8733 * CHOOSE(CONTROL!$C$32, $C$9, 100%, $E$9)</f>
        <v>6.8733000000000004</v>
      </c>
      <c r="M390" s="11">
        <f>6.8786 * CHOOSE(CONTROL!$C$32, $C$9, 100%, $E$9)</f>
        <v>6.8785999999999996</v>
      </c>
      <c r="N390" s="11">
        <f>6.8733 * CHOOSE(CONTROL!$C$32, $C$9, 100%, $E$9)</f>
        <v>6.8733000000000004</v>
      </c>
      <c r="O390" s="11">
        <f>6.8786 * CHOOSE(CONTROL!$C$32, $C$9, 100%, $E$9)</f>
        <v>6.8785999999999996</v>
      </c>
    </row>
    <row r="391" spans="1:15" ht="15" x14ac:dyDescent="0.2">
      <c r="A391" s="13">
        <v>52749</v>
      </c>
      <c r="B391" s="9">
        <f>5.7669 * CHOOSE(CONTROL!$C$32, $C$9, 100%, $E$9)</f>
        <v>5.7668999999999997</v>
      </c>
      <c r="C391" s="9">
        <f>5.7669 * CHOOSE(CONTROL!$C$32, $C$9, 100%, $E$9)</f>
        <v>5.7668999999999997</v>
      </c>
      <c r="D391" s="9">
        <f>5.7685 * CHOOSE(CONTROL!$C$32, $C$9, 100%, $E$9)</f>
        <v>5.7685000000000004</v>
      </c>
      <c r="E391" s="11">
        <f>6.836 * CHOOSE(CONTROL!$C$32, $C$9, 100%, $E$9)</f>
        <v>6.8360000000000003</v>
      </c>
      <c r="F391" s="11">
        <f>6.836 * CHOOSE(CONTROL!$C$32, $C$9, 100%, $E$9)</f>
        <v>6.8360000000000003</v>
      </c>
      <c r="G391" s="11">
        <f>6.8413 * CHOOSE(CONTROL!$C$32, $C$9, 100%, $E$9)</f>
        <v>6.8413000000000004</v>
      </c>
      <c r="H391" s="11">
        <f>12.6422 * CHOOSE(CONTROL!$C$32, $C$9, 100%, $E$9)</f>
        <v>12.642200000000001</v>
      </c>
      <c r="I391" s="11">
        <f>12.6475 * CHOOSE(CONTROL!$C$32, $C$9, 100%, $E$9)</f>
        <v>12.647500000000001</v>
      </c>
      <c r="J391" s="11">
        <f>12.6422 * CHOOSE(CONTROL!$C$32, $C$9, 100%, $E$9)</f>
        <v>12.642200000000001</v>
      </c>
      <c r="K391" s="11">
        <f>12.6475 * CHOOSE(CONTROL!$C$32, $C$9, 100%, $E$9)</f>
        <v>12.647500000000001</v>
      </c>
      <c r="L391" s="11">
        <f>6.836 * CHOOSE(CONTROL!$C$32, $C$9, 100%, $E$9)</f>
        <v>6.8360000000000003</v>
      </c>
      <c r="M391" s="11">
        <f>6.8413 * CHOOSE(CONTROL!$C$32, $C$9, 100%, $E$9)</f>
        <v>6.8413000000000004</v>
      </c>
      <c r="N391" s="11">
        <f>6.836 * CHOOSE(CONTROL!$C$32, $C$9, 100%, $E$9)</f>
        <v>6.8360000000000003</v>
      </c>
      <c r="O391" s="11">
        <f>6.8413 * CHOOSE(CONTROL!$C$32, $C$9, 100%, $E$9)</f>
        <v>6.8413000000000004</v>
      </c>
    </row>
    <row r="392" spans="1:15" ht="15" x14ac:dyDescent="0.2">
      <c r="A392" s="13">
        <v>52779</v>
      </c>
      <c r="B392" s="9">
        <f>5.845 * CHOOSE(CONTROL!$C$32, $C$9, 100%, $E$9)</f>
        <v>5.8449999999999998</v>
      </c>
      <c r="C392" s="9">
        <f>5.845 * CHOOSE(CONTROL!$C$32, $C$9, 100%, $E$9)</f>
        <v>5.8449999999999998</v>
      </c>
      <c r="D392" s="9">
        <f>5.8465 * CHOOSE(CONTROL!$C$32, $C$9, 100%, $E$9)</f>
        <v>5.8464999999999998</v>
      </c>
      <c r="E392" s="11">
        <f>6.8655 * CHOOSE(CONTROL!$C$32, $C$9, 100%, $E$9)</f>
        <v>6.8654999999999999</v>
      </c>
      <c r="F392" s="11">
        <f>6.8655 * CHOOSE(CONTROL!$C$32, $C$9, 100%, $E$9)</f>
        <v>6.8654999999999999</v>
      </c>
      <c r="G392" s="11">
        <f>6.8708 * CHOOSE(CONTROL!$C$32, $C$9, 100%, $E$9)</f>
        <v>6.8708</v>
      </c>
      <c r="H392" s="11">
        <f>12.6685 * CHOOSE(CONTROL!$C$32, $C$9, 100%, $E$9)</f>
        <v>12.6685</v>
      </c>
      <c r="I392" s="11">
        <f>12.6738 * CHOOSE(CONTROL!$C$32, $C$9, 100%, $E$9)</f>
        <v>12.6738</v>
      </c>
      <c r="J392" s="11">
        <f>12.6685 * CHOOSE(CONTROL!$C$32, $C$9, 100%, $E$9)</f>
        <v>12.6685</v>
      </c>
      <c r="K392" s="11">
        <f>12.6738 * CHOOSE(CONTROL!$C$32, $C$9, 100%, $E$9)</f>
        <v>12.6738</v>
      </c>
      <c r="L392" s="11">
        <f>6.8655 * CHOOSE(CONTROL!$C$32, $C$9, 100%, $E$9)</f>
        <v>6.8654999999999999</v>
      </c>
      <c r="M392" s="11">
        <f>6.8708 * CHOOSE(CONTROL!$C$32, $C$9, 100%, $E$9)</f>
        <v>6.8708</v>
      </c>
      <c r="N392" s="11">
        <f>6.8655 * CHOOSE(CONTROL!$C$32, $C$9, 100%, $E$9)</f>
        <v>6.8654999999999999</v>
      </c>
      <c r="O392" s="11">
        <f>6.8708 * CHOOSE(CONTROL!$C$32, $C$9, 100%, $E$9)</f>
        <v>6.8708</v>
      </c>
    </row>
    <row r="393" spans="1:15" ht="15" x14ac:dyDescent="0.2">
      <c r="A393" s="13">
        <v>52810</v>
      </c>
      <c r="B393" s="9">
        <f>5.8516 * CHOOSE(CONTROL!$C$32, $C$9, 100%, $E$9)</f>
        <v>5.8516000000000004</v>
      </c>
      <c r="C393" s="9">
        <f>5.8516 * CHOOSE(CONTROL!$C$32, $C$9, 100%, $E$9)</f>
        <v>5.8516000000000004</v>
      </c>
      <c r="D393" s="9">
        <f>5.8532 * CHOOSE(CONTROL!$C$32, $C$9, 100%, $E$9)</f>
        <v>5.8532000000000002</v>
      </c>
      <c r="E393" s="11">
        <f>6.7456 * CHOOSE(CONTROL!$C$32, $C$9, 100%, $E$9)</f>
        <v>6.7455999999999996</v>
      </c>
      <c r="F393" s="11">
        <f>6.7456 * CHOOSE(CONTROL!$C$32, $C$9, 100%, $E$9)</f>
        <v>6.7455999999999996</v>
      </c>
      <c r="G393" s="11">
        <f>6.7509 * CHOOSE(CONTROL!$C$32, $C$9, 100%, $E$9)</f>
        <v>6.7508999999999997</v>
      </c>
      <c r="H393" s="11">
        <f>12.6949 * CHOOSE(CONTROL!$C$32, $C$9, 100%, $E$9)</f>
        <v>12.694900000000001</v>
      </c>
      <c r="I393" s="11">
        <f>12.7002 * CHOOSE(CONTROL!$C$32, $C$9, 100%, $E$9)</f>
        <v>12.700200000000001</v>
      </c>
      <c r="J393" s="11">
        <f>12.6949 * CHOOSE(CONTROL!$C$32, $C$9, 100%, $E$9)</f>
        <v>12.694900000000001</v>
      </c>
      <c r="K393" s="11">
        <f>12.7002 * CHOOSE(CONTROL!$C$32, $C$9, 100%, $E$9)</f>
        <v>12.700200000000001</v>
      </c>
      <c r="L393" s="11">
        <f>6.7456 * CHOOSE(CONTROL!$C$32, $C$9, 100%, $E$9)</f>
        <v>6.7455999999999996</v>
      </c>
      <c r="M393" s="11">
        <f>6.7509 * CHOOSE(CONTROL!$C$32, $C$9, 100%, $E$9)</f>
        <v>6.7508999999999997</v>
      </c>
      <c r="N393" s="11">
        <f>6.7456 * CHOOSE(CONTROL!$C$32, $C$9, 100%, $E$9)</f>
        <v>6.7455999999999996</v>
      </c>
      <c r="O393" s="11">
        <f>6.7509 * CHOOSE(CONTROL!$C$32, $C$9, 100%, $E$9)</f>
        <v>6.7508999999999997</v>
      </c>
    </row>
    <row r="394" spans="1:15" ht="15" x14ac:dyDescent="0.2">
      <c r="A394" s="13">
        <v>52841</v>
      </c>
      <c r="B394" s="9">
        <f>5.8486 * CHOOSE(CONTROL!$C$32, $C$9, 100%, $E$9)</f>
        <v>5.8486000000000002</v>
      </c>
      <c r="C394" s="9">
        <f>5.8486 * CHOOSE(CONTROL!$C$32, $C$9, 100%, $E$9)</f>
        <v>5.8486000000000002</v>
      </c>
      <c r="D394" s="9">
        <f>5.8502 * CHOOSE(CONTROL!$C$32, $C$9, 100%, $E$9)</f>
        <v>5.8502000000000001</v>
      </c>
      <c r="E394" s="11">
        <f>6.7297 * CHOOSE(CONTROL!$C$32, $C$9, 100%, $E$9)</f>
        <v>6.7297000000000002</v>
      </c>
      <c r="F394" s="11">
        <f>6.7297 * CHOOSE(CONTROL!$C$32, $C$9, 100%, $E$9)</f>
        <v>6.7297000000000002</v>
      </c>
      <c r="G394" s="11">
        <f>6.735 * CHOOSE(CONTROL!$C$32, $C$9, 100%, $E$9)</f>
        <v>6.7350000000000003</v>
      </c>
      <c r="H394" s="11">
        <f>12.7214 * CHOOSE(CONTROL!$C$32, $C$9, 100%, $E$9)</f>
        <v>12.721399999999999</v>
      </c>
      <c r="I394" s="11">
        <f>12.7267 * CHOOSE(CONTROL!$C$32, $C$9, 100%, $E$9)</f>
        <v>12.726699999999999</v>
      </c>
      <c r="J394" s="11">
        <f>12.7214 * CHOOSE(CONTROL!$C$32, $C$9, 100%, $E$9)</f>
        <v>12.721399999999999</v>
      </c>
      <c r="K394" s="11">
        <f>12.7267 * CHOOSE(CONTROL!$C$32, $C$9, 100%, $E$9)</f>
        <v>12.726699999999999</v>
      </c>
      <c r="L394" s="11">
        <f>6.7297 * CHOOSE(CONTROL!$C$32, $C$9, 100%, $E$9)</f>
        <v>6.7297000000000002</v>
      </c>
      <c r="M394" s="11">
        <f>6.735 * CHOOSE(CONTROL!$C$32, $C$9, 100%, $E$9)</f>
        <v>6.7350000000000003</v>
      </c>
      <c r="N394" s="11">
        <f>6.7297 * CHOOSE(CONTROL!$C$32, $C$9, 100%, $E$9)</f>
        <v>6.7297000000000002</v>
      </c>
      <c r="O394" s="11">
        <f>6.735 * CHOOSE(CONTROL!$C$32, $C$9, 100%, $E$9)</f>
        <v>6.7350000000000003</v>
      </c>
    </row>
    <row r="395" spans="1:15" ht="15" x14ac:dyDescent="0.2">
      <c r="A395" s="13">
        <v>52871</v>
      </c>
      <c r="B395" s="9">
        <f>5.8505 * CHOOSE(CONTROL!$C$32, $C$9, 100%, $E$9)</f>
        <v>5.8505000000000003</v>
      </c>
      <c r="C395" s="9">
        <f>5.8505 * CHOOSE(CONTROL!$C$32, $C$9, 100%, $E$9)</f>
        <v>5.8505000000000003</v>
      </c>
      <c r="D395" s="9">
        <f>5.8516 * CHOOSE(CONTROL!$C$32, $C$9, 100%, $E$9)</f>
        <v>5.8516000000000004</v>
      </c>
      <c r="E395" s="11">
        <f>6.7716 * CHOOSE(CONTROL!$C$32, $C$9, 100%, $E$9)</f>
        <v>6.7716000000000003</v>
      </c>
      <c r="F395" s="11">
        <f>6.7716 * CHOOSE(CONTROL!$C$32, $C$9, 100%, $E$9)</f>
        <v>6.7716000000000003</v>
      </c>
      <c r="G395" s="11">
        <f>6.7752 * CHOOSE(CONTROL!$C$32, $C$9, 100%, $E$9)</f>
        <v>6.7751999999999999</v>
      </c>
      <c r="H395" s="11">
        <f>12.7479 * CHOOSE(CONTROL!$C$32, $C$9, 100%, $E$9)</f>
        <v>12.7479</v>
      </c>
      <c r="I395" s="11">
        <f>12.7515 * CHOOSE(CONTROL!$C$32, $C$9, 100%, $E$9)</f>
        <v>12.7515</v>
      </c>
      <c r="J395" s="11">
        <f>12.7479 * CHOOSE(CONTROL!$C$32, $C$9, 100%, $E$9)</f>
        <v>12.7479</v>
      </c>
      <c r="K395" s="11">
        <f>12.7515 * CHOOSE(CONTROL!$C$32, $C$9, 100%, $E$9)</f>
        <v>12.7515</v>
      </c>
      <c r="L395" s="11">
        <f>6.7716 * CHOOSE(CONTROL!$C$32, $C$9, 100%, $E$9)</f>
        <v>6.7716000000000003</v>
      </c>
      <c r="M395" s="11">
        <f>6.7752 * CHOOSE(CONTROL!$C$32, $C$9, 100%, $E$9)</f>
        <v>6.7751999999999999</v>
      </c>
      <c r="N395" s="11">
        <f>6.7716 * CHOOSE(CONTROL!$C$32, $C$9, 100%, $E$9)</f>
        <v>6.7716000000000003</v>
      </c>
      <c r="O395" s="11">
        <f>6.7752 * CHOOSE(CONTROL!$C$32, $C$9, 100%, $E$9)</f>
        <v>6.7751999999999999</v>
      </c>
    </row>
    <row r="396" spans="1:15" ht="15" x14ac:dyDescent="0.2">
      <c r="A396" s="13">
        <v>52902</v>
      </c>
      <c r="B396" s="9">
        <f>5.8536 * CHOOSE(CONTROL!$C$32, $C$9, 100%, $E$9)</f>
        <v>5.8536000000000001</v>
      </c>
      <c r="C396" s="9">
        <f>5.8536 * CHOOSE(CONTROL!$C$32, $C$9, 100%, $E$9)</f>
        <v>5.8536000000000001</v>
      </c>
      <c r="D396" s="9">
        <f>5.8546 * CHOOSE(CONTROL!$C$32, $C$9, 100%, $E$9)</f>
        <v>5.8545999999999996</v>
      </c>
      <c r="E396" s="11">
        <f>6.8014 * CHOOSE(CONTROL!$C$32, $C$9, 100%, $E$9)</f>
        <v>6.8014000000000001</v>
      </c>
      <c r="F396" s="11">
        <f>6.8014 * CHOOSE(CONTROL!$C$32, $C$9, 100%, $E$9)</f>
        <v>6.8014000000000001</v>
      </c>
      <c r="G396" s="11">
        <f>6.805 * CHOOSE(CONTROL!$C$32, $C$9, 100%, $E$9)</f>
        <v>6.8049999999999997</v>
      </c>
      <c r="H396" s="11">
        <f>12.7744 * CHOOSE(CONTROL!$C$32, $C$9, 100%, $E$9)</f>
        <v>12.7744</v>
      </c>
      <c r="I396" s="11">
        <f>12.778 * CHOOSE(CONTROL!$C$32, $C$9, 100%, $E$9)</f>
        <v>12.778</v>
      </c>
      <c r="J396" s="11">
        <f>12.7744 * CHOOSE(CONTROL!$C$32, $C$9, 100%, $E$9)</f>
        <v>12.7744</v>
      </c>
      <c r="K396" s="11">
        <f>12.778 * CHOOSE(CONTROL!$C$32, $C$9, 100%, $E$9)</f>
        <v>12.778</v>
      </c>
      <c r="L396" s="11">
        <f>6.8014 * CHOOSE(CONTROL!$C$32, $C$9, 100%, $E$9)</f>
        <v>6.8014000000000001</v>
      </c>
      <c r="M396" s="11">
        <f>6.805 * CHOOSE(CONTROL!$C$32, $C$9, 100%, $E$9)</f>
        <v>6.8049999999999997</v>
      </c>
      <c r="N396" s="11">
        <f>6.8014 * CHOOSE(CONTROL!$C$32, $C$9, 100%, $E$9)</f>
        <v>6.8014000000000001</v>
      </c>
      <c r="O396" s="11">
        <f>6.805 * CHOOSE(CONTROL!$C$32, $C$9, 100%, $E$9)</f>
        <v>6.8049999999999997</v>
      </c>
    </row>
    <row r="397" spans="1:15" ht="15" x14ac:dyDescent="0.2">
      <c r="A397" s="13">
        <v>52932</v>
      </c>
      <c r="B397" s="9">
        <f>5.8536 * CHOOSE(CONTROL!$C$32, $C$9, 100%, $E$9)</f>
        <v>5.8536000000000001</v>
      </c>
      <c r="C397" s="9">
        <f>5.8536 * CHOOSE(CONTROL!$C$32, $C$9, 100%, $E$9)</f>
        <v>5.8536000000000001</v>
      </c>
      <c r="D397" s="9">
        <f>5.8546 * CHOOSE(CONTROL!$C$32, $C$9, 100%, $E$9)</f>
        <v>5.8545999999999996</v>
      </c>
      <c r="E397" s="11">
        <f>6.7322 * CHOOSE(CONTROL!$C$32, $C$9, 100%, $E$9)</f>
        <v>6.7321999999999997</v>
      </c>
      <c r="F397" s="11">
        <f>6.7322 * CHOOSE(CONTROL!$C$32, $C$9, 100%, $E$9)</f>
        <v>6.7321999999999997</v>
      </c>
      <c r="G397" s="11">
        <f>6.7358 * CHOOSE(CONTROL!$C$32, $C$9, 100%, $E$9)</f>
        <v>6.7358000000000002</v>
      </c>
      <c r="H397" s="11">
        <f>12.801 * CHOOSE(CONTROL!$C$32, $C$9, 100%, $E$9)</f>
        <v>12.801</v>
      </c>
      <c r="I397" s="11">
        <f>12.8047 * CHOOSE(CONTROL!$C$32, $C$9, 100%, $E$9)</f>
        <v>12.8047</v>
      </c>
      <c r="J397" s="11">
        <f>12.801 * CHOOSE(CONTROL!$C$32, $C$9, 100%, $E$9)</f>
        <v>12.801</v>
      </c>
      <c r="K397" s="11">
        <f>12.8047 * CHOOSE(CONTROL!$C$32, $C$9, 100%, $E$9)</f>
        <v>12.8047</v>
      </c>
      <c r="L397" s="11">
        <f>6.7322 * CHOOSE(CONTROL!$C$32, $C$9, 100%, $E$9)</f>
        <v>6.7321999999999997</v>
      </c>
      <c r="M397" s="11">
        <f>6.7358 * CHOOSE(CONTROL!$C$32, $C$9, 100%, $E$9)</f>
        <v>6.7358000000000002</v>
      </c>
      <c r="N397" s="11">
        <f>6.7322 * CHOOSE(CONTROL!$C$32, $C$9, 100%, $E$9)</f>
        <v>6.7321999999999997</v>
      </c>
      <c r="O397" s="11">
        <f>6.7358 * CHOOSE(CONTROL!$C$32, $C$9, 100%, $E$9)</f>
        <v>6.7358000000000002</v>
      </c>
    </row>
    <row r="398" spans="1:15" ht="15" x14ac:dyDescent="0.2">
      <c r="A398" s="13">
        <v>52963</v>
      </c>
      <c r="B398" s="9">
        <f>5.8984 * CHOOSE(CONTROL!$C$32, $C$9, 100%, $E$9)</f>
        <v>5.8983999999999996</v>
      </c>
      <c r="C398" s="9">
        <f>5.8984 * CHOOSE(CONTROL!$C$32, $C$9, 100%, $E$9)</f>
        <v>5.8983999999999996</v>
      </c>
      <c r="D398" s="9">
        <f>5.8995 * CHOOSE(CONTROL!$C$32, $C$9, 100%, $E$9)</f>
        <v>5.8994999999999997</v>
      </c>
      <c r="E398" s="11">
        <f>6.8151 * CHOOSE(CONTROL!$C$32, $C$9, 100%, $E$9)</f>
        <v>6.8151000000000002</v>
      </c>
      <c r="F398" s="11">
        <f>6.8151 * CHOOSE(CONTROL!$C$32, $C$9, 100%, $E$9)</f>
        <v>6.8151000000000002</v>
      </c>
      <c r="G398" s="11">
        <f>6.8187 * CHOOSE(CONTROL!$C$32, $C$9, 100%, $E$9)</f>
        <v>6.8186999999999998</v>
      </c>
      <c r="H398" s="11">
        <f>12.8277 * CHOOSE(CONTROL!$C$32, $C$9, 100%, $E$9)</f>
        <v>12.8277</v>
      </c>
      <c r="I398" s="11">
        <f>12.8313 * CHOOSE(CONTROL!$C$32, $C$9, 100%, $E$9)</f>
        <v>12.831300000000001</v>
      </c>
      <c r="J398" s="11">
        <f>12.8277 * CHOOSE(CONTROL!$C$32, $C$9, 100%, $E$9)</f>
        <v>12.8277</v>
      </c>
      <c r="K398" s="11">
        <f>12.8313 * CHOOSE(CONTROL!$C$32, $C$9, 100%, $E$9)</f>
        <v>12.831300000000001</v>
      </c>
      <c r="L398" s="11">
        <f>6.8151 * CHOOSE(CONTROL!$C$32, $C$9, 100%, $E$9)</f>
        <v>6.8151000000000002</v>
      </c>
      <c r="M398" s="11">
        <f>6.8187 * CHOOSE(CONTROL!$C$32, $C$9, 100%, $E$9)</f>
        <v>6.8186999999999998</v>
      </c>
      <c r="N398" s="11">
        <f>6.8151 * CHOOSE(CONTROL!$C$32, $C$9, 100%, $E$9)</f>
        <v>6.8151000000000002</v>
      </c>
      <c r="O398" s="11">
        <f>6.8187 * CHOOSE(CONTROL!$C$32, $C$9, 100%, $E$9)</f>
        <v>6.8186999999999998</v>
      </c>
    </row>
    <row r="399" spans="1:15" ht="15" x14ac:dyDescent="0.2">
      <c r="A399" s="13">
        <v>52994</v>
      </c>
      <c r="B399" s="9">
        <f>5.8954 * CHOOSE(CONTROL!$C$32, $C$9, 100%, $E$9)</f>
        <v>5.8954000000000004</v>
      </c>
      <c r="C399" s="9">
        <f>5.8954 * CHOOSE(CONTROL!$C$32, $C$9, 100%, $E$9)</f>
        <v>5.8954000000000004</v>
      </c>
      <c r="D399" s="9">
        <f>5.8965 * CHOOSE(CONTROL!$C$32, $C$9, 100%, $E$9)</f>
        <v>5.8964999999999996</v>
      </c>
      <c r="E399" s="11">
        <f>6.678 * CHOOSE(CONTROL!$C$32, $C$9, 100%, $E$9)</f>
        <v>6.6779999999999999</v>
      </c>
      <c r="F399" s="11">
        <f>6.678 * CHOOSE(CONTROL!$C$32, $C$9, 100%, $E$9)</f>
        <v>6.6779999999999999</v>
      </c>
      <c r="G399" s="11">
        <f>6.6816 * CHOOSE(CONTROL!$C$32, $C$9, 100%, $E$9)</f>
        <v>6.6816000000000004</v>
      </c>
      <c r="H399" s="11">
        <f>12.8544 * CHOOSE(CONTROL!$C$32, $C$9, 100%, $E$9)</f>
        <v>12.8544</v>
      </c>
      <c r="I399" s="11">
        <f>12.858 * CHOOSE(CONTROL!$C$32, $C$9, 100%, $E$9)</f>
        <v>12.858000000000001</v>
      </c>
      <c r="J399" s="11">
        <f>12.8544 * CHOOSE(CONTROL!$C$32, $C$9, 100%, $E$9)</f>
        <v>12.8544</v>
      </c>
      <c r="K399" s="11">
        <f>12.858 * CHOOSE(CONTROL!$C$32, $C$9, 100%, $E$9)</f>
        <v>12.858000000000001</v>
      </c>
      <c r="L399" s="11">
        <f>6.678 * CHOOSE(CONTROL!$C$32, $C$9, 100%, $E$9)</f>
        <v>6.6779999999999999</v>
      </c>
      <c r="M399" s="11">
        <f>6.6816 * CHOOSE(CONTROL!$C$32, $C$9, 100%, $E$9)</f>
        <v>6.6816000000000004</v>
      </c>
      <c r="N399" s="11">
        <f>6.678 * CHOOSE(CONTROL!$C$32, $C$9, 100%, $E$9)</f>
        <v>6.6779999999999999</v>
      </c>
      <c r="O399" s="11">
        <f>6.6816 * CHOOSE(CONTROL!$C$32, $C$9, 100%, $E$9)</f>
        <v>6.6816000000000004</v>
      </c>
    </row>
    <row r="400" spans="1:15" ht="15" x14ac:dyDescent="0.2">
      <c r="A400" s="13">
        <v>53022</v>
      </c>
      <c r="B400" s="9">
        <f>5.8924 * CHOOSE(CONTROL!$C$32, $C$9, 100%, $E$9)</f>
        <v>5.8924000000000003</v>
      </c>
      <c r="C400" s="9">
        <f>5.8924 * CHOOSE(CONTROL!$C$32, $C$9, 100%, $E$9)</f>
        <v>5.8924000000000003</v>
      </c>
      <c r="D400" s="9">
        <f>5.8934 * CHOOSE(CONTROL!$C$32, $C$9, 100%, $E$9)</f>
        <v>5.8933999999999997</v>
      </c>
      <c r="E400" s="11">
        <f>6.7823 * CHOOSE(CONTROL!$C$32, $C$9, 100%, $E$9)</f>
        <v>6.7823000000000002</v>
      </c>
      <c r="F400" s="11">
        <f>6.7823 * CHOOSE(CONTROL!$C$32, $C$9, 100%, $E$9)</f>
        <v>6.7823000000000002</v>
      </c>
      <c r="G400" s="11">
        <f>6.7859 * CHOOSE(CONTROL!$C$32, $C$9, 100%, $E$9)</f>
        <v>6.7858999999999998</v>
      </c>
      <c r="H400" s="11">
        <f>12.8812 * CHOOSE(CONTROL!$C$32, $C$9, 100%, $E$9)</f>
        <v>12.8812</v>
      </c>
      <c r="I400" s="11">
        <f>12.8848 * CHOOSE(CONTROL!$C$32, $C$9, 100%, $E$9)</f>
        <v>12.8848</v>
      </c>
      <c r="J400" s="11">
        <f>12.8812 * CHOOSE(CONTROL!$C$32, $C$9, 100%, $E$9)</f>
        <v>12.8812</v>
      </c>
      <c r="K400" s="11">
        <f>12.8848 * CHOOSE(CONTROL!$C$32, $C$9, 100%, $E$9)</f>
        <v>12.8848</v>
      </c>
      <c r="L400" s="11">
        <f>6.7823 * CHOOSE(CONTROL!$C$32, $C$9, 100%, $E$9)</f>
        <v>6.7823000000000002</v>
      </c>
      <c r="M400" s="11">
        <f>6.7859 * CHOOSE(CONTROL!$C$32, $C$9, 100%, $E$9)</f>
        <v>6.7858999999999998</v>
      </c>
      <c r="N400" s="11">
        <f>6.7823 * CHOOSE(CONTROL!$C$32, $C$9, 100%, $E$9)</f>
        <v>6.7823000000000002</v>
      </c>
      <c r="O400" s="11">
        <f>6.7859 * CHOOSE(CONTROL!$C$32, $C$9, 100%, $E$9)</f>
        <v>6.7858999999999998</v>
      </c>
    </row>
    <row r="401" spans="1:15" ht="15" x14ac:dyDescent="0.2">
      <c r="A401" s="13">
        <v>53053</v>
      </c>
      <c r="B401" s="9">
        <f>5.8918 * CHOOSE(CONTROL!$C$32, $C$9, 100%, $E$9)</f>
        <v>5.8917999999999999</v>
      </c>
      <c r="C401" s="9">
        <f>5.8918 * CHOOSE(CONTROL!$C$32, $C$9, 100%, $E$9)</f>
        <v>5.8917999999999999</v>
      </c>
      <c r="D401" s="9">
        <f>5.8929 * CHOOSE(CONTROL!$C$32, $C$9, 100%, $E$9)</f>
        <v>5.8929</v>
      </c>
      <c r="E401" s="11">
        <f>6.8923 * CHOOSE(CONTROL!$C$32, $C$9, 100%, $E$9)</f>
        <v>6.8922999999999996</v>
      </c>
      <c r="F401" s="11">
        <f>6.8923 * CHOOSE(CONTROL!$C$32, $C$9, 100%, $E$9)</f>
        <v>6.8922999999999996</v>
      </c>
      <c r="G401" s="11">
        <f>6.896 * CHOOSE(CONTROL!$C$32, $C$9, 100%, $E$9)</f>
        <v>6.8959999999999999</v>
      </c>
      <c r="H401" s="11">
        <f>12.908 * CHOOSE(CONTROL!$C$32, $C$9, 100%, $E$9)</f>
        <v>12.907999999999999</v>
      </c>
      <c r="I401" s="11">
        <f>12.9117 * CHOOSE(CONTROL!$C$32, $C$9, 100%, $E$9)</f>
        <v>12.9117</v>
      </c>
      <c r="J401" s="11">
        <f>12.908 * CHOOSE(CONTROL!$C$32, $C$9, 100%, $E$9)</f>
        <v>12.907999999999999</v>
      </c>
      <c r="K401" s="11">
        <f>12.9117 * CHOOSE(CONTROL!$C$32, $C$9, 100%, $E$9)</f>
        <v>12.9117</v>
      </c>
      <c r="L401" s="11">
        <f>6.8923 * CHOOSE(CONTROL!$C$32, $C$9, 100%, $E$9)</f>
        <v>6.8922999999999996</v>
      </c>
      <c r="M401" s="11">
        <f>6.896 * CHOOSE(CONTROL!$C$32, $C$9, 100%, $E$9)</f>
        <v>6.8959999999999999</v>
      </c>
      <c r="N401" s="11">
        <f>6.8923 * CHOOSE(CONTROL!$C$32, $C$9, 100%, $E$9)</f>
        <v>6.8922999999999996</v>
      </c>
      <c r="O401" s="11">
        <f>6.896 * CHOOSE(CONTROL!$C$32, $C$9, 100%, $E$9)</f>
        <v>6.8959999999999999</v>
      </c>
    </row>
    <row r="402" spans="1:15" ht="15" x14ac:dyDescent="0.2">
      <c r="A402" s="13">
        <v>53083</v>
      </c>
      <c r="B402" s="9">
        <f>5.8918 * CHOOSE(CONTROL!$C$32, $C$9, 100%, $E$9)</f>
        <v>5.8917999999999999</v>
      </c>
      <c r="C402" s="9">
        <f>5.8918 * CHOOSE(CONTROL!$C$32, $C$9, 100%, $E$9)</f>
        <v>5.8917999999999999</v>
      </c>
      <c r="D402" s="9">
        <f>5.8934 * CHOOSE(CONTROL!$C$32, $C$9, 100%, $E$9)</f>
        <v>5.8933999999999997</v>
      </c>
      <c r="E402" s="11">
        <f>6.9352 * CHOOSE(CONTROL!$C$32, $C$9, 100%, $E$9)</f>
        <v>6.9352</v>
      </c>
      <c r="F402" s="11">
        <f>6.9352 * CHOOSE(CONTROL!$C$32, $C$9, 100%, $E$9)</f>
        <v>6.9352</v>
      </c>
      <c r="G402" s="11">
        <f>6.9405 * CHOOSE(CONTROL!$C$32, $C$9, 100%, $E$9)</f>
        <v>6.9405000000000001</v>
      </c>
      <c r="H402" s="11">
        <f>12.9349 * CHOOSE(CONTROL!$C$32, $C$9, 100%, $E$9)</f>
        <v>12.934900000000001</v>
      </c>
      <c r="I402" s="11">
        <f>12.9402 * CHOOSE(CONTROL!$C$32, $C$9, 100%, $E$9)</f>
        <v>12.940200000000001</v>
      </c>
      <c r="J402" s="11">
        <f>12.9349 * CHOOSE(CONTROL!$C$32, $C$9, 100%, $E$9)</f>
        <v>12.934900000000001</v>
      </c>
      <c r="K402" s="11">
        <f>12.9402 * CHOOSE(CONTROL!$C$32, $C$9, 100%, $E$9)</f>
        <v>12.940200000000001</v>
      </c>
      <c r="L402" s="11">
        <f>6.9352 * CHOOSE(CONTROL!$C$32, $C$9, 100%, $E$9)</f>
        <v>6.9352</v>
      </c>
      <c r="M402" s="11">
        <f>6.9405 * CHOOSE(CONTROL!$C$32, $C$9, 100%, $E$9)</f>
        <v>6.9405000000000001</v>
      </c>
      <c r="N402" s="11">
        <f>6.9352 * CHOOSE(CONTROL!$C$32, $C$9, 100%, $E$9)</f>
        <v>6.9352</v>
      </c>
      <c r="O402" s="11">
        <f>6.9405 * CHOOSE(CONTROL!$C$32, $C$9, 100%, $E$9)</f>
        <v>6.9405000000000001</v>
      </c>
    </row>
    <row r="403" spans="1:15" ht="15" x14ac:dyDescent="0.2">
      <c r="A403" s="13">
        <v>53114</v>
      </c>
      <c r="B403" s="9">
        <f>5.8979 * CHOOSE(CONTROL!$C$32, $C$9, 100%, $E$9)</f>
        <v>5.8978999999999999</v>
      </c>
      <c r="C403" s="9">
        <f>5.8979 * CHOOSE(CONTROL!$C$32, $C$9, 100%, $E$9)</f>
        <v>5.8978999999999999</v>
      </c>
      <c r="D403" s="9">
        <f>5.8995 * CHOOSE(CONTROL!$C$32, $C$9, 100%, $E$9)</f>
        <v>5.8994999999999997</v>
      </c>
      <c r="E403" s="11">
        <f>6.8966 * CHOOSE(CONTROL!$C$32, $C$9, 100%, $E$9)</f>
        <v>6.8966000000000003</v>
      </c>
      <c r="F403" s="11">
        <f>6.8966 * CHOOSE(CONTROL!$C$32, $C$9, 100%, $E$9)</f>
        <v>6.8966000000000003</v>
      </c>
      <c r="G403" s="11">
        <f>6.9019 * CHOOSE(CONTROL!$C$32, $C$9, 100%, $E$9)</f>
        <v>6.9019000000000004</v>
      </c>
      <c r="H403" s="11">
        <f>12.9619 * CHOOSE(CONTROL!$C$32, $C$9, 100%, $E$9)</f>
        <v>12.9619</v>
      </c>
      <c r="I403" s="11">
        <f>12.9672 * CHOOSE(CONTROL!$C$32, $C$9, 100%, $E$9)</f>
        <v>12.9672</v>
      </c>
      <c r="J403" s="11">
        <f>12.9619 * CHOOSE(CONTROL!$C$32, $C$9, 100%, $E$9)</f>
        <v>12.9619</v>
      </c>
      <c r="K403" s="11">
        <f>12.9672 * CHOOSE(CONTROL!$C$32, $C$9, 100%, $E$9)</f>
        <v>12.9672</v>
      </c>
      <c r="L403" s="11">
        <f>6.8966 * CHOOSE(CONTROL!$C$32, $C$9, 100%, $E$9)</f>
        <v>6.8966000000000003</v>
      </c>
      <c r="M403" s="11">
        <f>6.9019 * CHOOSE(CONTROL!$C$32, $C$9, 100%, $E$9)</f>
        <v>6.9019000000000004</v>
      </c>
      <c r="N403" s="11">
        <f>6.8966 * CHOOSE(CONTROL!$C$32, $C$9, 100%, $E$9)</f>
        <v>6.8966000000000003</v>
      </c>
      <c r="O403" s="11">
        <f>6.9019 * CHOOSE(CONTROL!$C$32, $C$9, 100%, $E$9)</f>
        <v>6.9019000000000004</v>
      </c>
    </row>
    <row r="404" spans="1:15" ht="15" x14ac:dyDescent="0.2">
      <c r="A404" s="13">
        <v>53144</v>
      </c>
      <c r="B404" s="9">
        <f>5.9772 * CHOOSE(CONTROL!$C$32, $C$9, 100%, $E$9)</f>
        <v>5.9771999999999998</v>
      </c>
      <c r="C404" s="9">
        <f>5.9772 * CHOOSE(CONTROL!$C$32, $C$9, 100%, $E$9)</f>
        <v>5.9771999999999998</v>
      </c>
      <c r="D404" s="9">
        <f>5.9788 * CHOOSE(CONTROL!$C$32, $C$9, 100%, $E$9)</f>
        <v>5.9787999999999997</v>
      </c>
      <c r="E404" s="11">
        <f>6.9386 * CHOOSE(CONTROL!$C$32, $C$9, 100%, $E$9)</f>
        <v>6.9386000000000001</v>
      </c>
      <c r="F404" s="11">
        <f>6.9386 * CHOOSE(CONTROL!$C$32, $C$9, 100%, $E$9)</f>
        <v>6.9386000000000001</v>
      </c>
      <c r="G404" s="11">
        <f>6.9439 * CHOOSE(CONTROL!$C$32, $C$9, 100%, $E$9)</f>
        <v>6.9439000000000002</v>
      </c>
      <c r="H404" s="11">
        <f>12.9889 * CHOOSE(CONTROL!$C$32, $C$9, 100%, $E$9)</f>
        <v>12.988899999999999</v>
      </c>
      <c r="I404" s="11">
        <f>12.9942 * CHOOSE(CONTROL!$C$32, $C$9, 100%, $E$9)</f>
        <v>12.994199999999999</v>
      </c>
      <c r="J404" s="11">
        <f>12.9889 * CHOOSE(CONTROL!$C$32, $C$9, 100%, $E$9)</f>
        <v>12.988899999999999</v>
      </c>
      <c r="K404" s="11">
        <f>12.9942 * CHOOSE(CONTROL!$C$32, $C$9, 100%, $E$9)</f>
        <v>12.994199999999999</v>
      </c>
      <c r="L404" s="11">
        <f>6.9386 * CHOOSE(CONTROL!$C$32, $C$9, 100%, $E$9)</f>
        <v>6.9386000000000001</v>
      </c>
      <c r="M404" s="11">
        <f>6.9439 * CHOOSE(CONTROL!$C$32, $C$9, 100%, $E$9)</f>
        <v>6.9439000000000002</v>
      </c>
      <c r="N404" s="11">
        <f>6.9386 * CHOOSE(CONTROL!$C$32, $C$9, 100%, $E$9)</f>
        <v>6.9386000000000001</v>
      </c>
      <c r="O404" s="11">
        <f>6.9439 * CHOOSE(CONTROL!$C$32, $C$9, 100%, $E$9)</f>
        <v>6.9439000000000002</v>
      </c>
    </row>
    <row r="405" spans="1:15" ht="15" x14ac:dyDescent="0.2">
      <c r="A405" s="13">
        <v>53175</v>
      </c>
      <c r="B405" s="9">
        <f>5.9839 * CHOOSE(CONTROL!$C$32, $C$9, 100%, $E$9)</f>
        <v>5.9839000000000002</v>
      </c>
      <c r="C405" s="9">
        <f>5.9839 * CHOOSE(CONTROL!$C$32, $C$9, 100%, $E$9)</f>
        <v>5.9839000000000002</v>
      </c>
      <c r="D405" s="9">
        <f>5.9855 * CHOOSE(CONTROL!$C$32, $C$9, 100%, $E$9)</f>
        <v>5.9855</v>
      </c>
      <c r="E405" s="11">
        <f>6.8147 * CHOOSE(CONTROL!$C$32, $C$9, 100%, $E$9)</f>
        <v>6.8147000000000002</v>
      </c>
      <c r="F405" s="11">
        <f>6.8147 * CHOOSE(CONTROL!$C$32, $C$9, 100%, $E$9)</f>
        <v>6.8147000000000002</v>
      </c>
      <c r="G405" s="11">
        <f>6.82 * CHOOSE(CONTROL!$C$32, $C$9, 100%, $E$9)</f>
        <v>6.82</v>
      </c>
      <c r="H405" s="11">
        <f>13.016 * CHOOSE(CONTROL!$C$32, $C$9, 100%, $E$9)</f>
        <v>13.016</v>
      </c>
      <c r="I405" s="11">
        <f>13.0212 * CHOOSE(CONTROL!$C$32, $C$9, 100%, $E$9)</f>
        <v>13.0212</v>
      </c>
      <c r="J405" s="11">
        <f>13.016 * CHOOSE(CONTROL!$C$32, $C$9, 100%, $E$9)</f>
        <v>13.016</v>
      </c>
      <c r="K405" s="11">
        <f>13.0212 * CHOOSE(CONTROL!$C$32, $C$9, 100%, $E$9)</f>
        <v>13.0212</v>
      </c>
      <c r="L405" s="11">
        <f>6.8147 * CHOOSE(CONTROL!$C$32, $C$9, 100%, $E$9)</f>
        <v>6.8147000000000002</v>
      </c>
      <c r="M405" s="11">
        <f>6.82 * CHOOSE(CONTROL!$C$32, $C$9, 100%, $E$9)</f>
        <v>6.82</v>
      </c>
      <c r="N405" s="11">
        <f>6.8147 * CHOOSE(CONTROL!$C$32, $C$9, 100%, $E$9)</f>
        <v>6.8147000000000002</v>
      </c>
      <c r="O405" s="11">
        <f>6.82 * CHOOSE(CONTROL!$C$32, $C$9, 100%, $E$9)</f>
        <v>6.82</v>
      </c>
    </row>
    <row r="406" spans="1:15" ht="15" x14ac:dyDescent="0.2">
      <c r="A406" s="13">
        <v>53206</v>
      </c>
      <c r="B406" s="9">
        <f>5.9809 * CHOOSE(CONTROL!$C$32, $C$9, 100%, $E$9)</f>
        <v>5.9809000000000001</v>
      </c>
      <c r="C406" s="9">
        <f>5.9809 * CHOOSE(CONTROL!$C$32, $C$9, 100%, $E$9)</f>
        <v>5.9809000000000001</v>
      </c>
      <c r="D406" s="9">
        <f>5.9824 * CHOOSE(CONTROL!$C$32, $C$9, 100%, $E$9)</f>
        <v>5.9824000000000002</v>
      </c>
      <c r="E406" s="11">
        <f>6.7983 * CHOOSE(CONTROL!$C$32, $C$9, 100%, $E$9)</f>
        <v>6.7983000000000002</v>
      </c>
      <c r="F406" s="11">
        <f>6.7983 * CHOOSE(CONTROL!$C$32, $C$9, 100%, $E$9)</f>
        <v>6.7983000000000002</v>
      </c>
      <c r="G406" s="11">
        <f>6.8036 * CHOOSE(CONTROL!$C$32, $C$9, 100%, $E$9)</f>
        <v>6.8036000000000003</v>
      </c>
      <c r="H406" s="11">
        <f>13.0431 * CHOOSE(CONTROL!$C$32, $C$9, 100%, $E$9)</f>
        <v>13.043100000000001</v>
      </c>
      <c r="I406" s="11">
        <f>13.0484 * CHOOSE(CONTROL!$C$32, $C$9, 100%, $E$9)</f>
        <v>13.048400000000001</v>
      </c>
      <c r="J406" s="11">
        <f>13.0431 * CHOOSE(CONTROL!$C$32, $C$9, 100%, $E$9)</f>
        <v>13.043100000000001</v>
      </c>
      <c r="K406" s="11">
        <f>13.0484 * CHOOSE(CONTROL!$C$32, $C$9, 100%, $E$9)</f>
        <v>13.048400000000001</v>
      </c>
      <c r="L406" s="11">
        <f>6.7983 * CHOOSE(CONTROL!$C$32, $C$9, 100%, $E$9)</f>
        <v>6.7983000000000002</v>
      </c>
      <c r="M406" s="11">
        <f>6.8036 * CHOOSE(CONTROL!$C$32, $C$9, 100%, $E$9)</f>
        <v>6.8036000000000003</v>
      </c>
      <c r="N406" s="11">
        <f>6.7983 * CHOOSE(CONTROL!$C$32, $C$9, 100%, $E$9)</f>
        <v>6.7983000000000002</v>
      </c>
      <c r="O406" s="11">
        <f>6.8036 * CHOOSE(CONTROL!$C$32, $C$9, 100%, $E$9)</f>
        <v>6.8036000000000003</v>
      </c>
    </row>
    <row r="407" spans="1:15" ht="15" x14ac:dyDescent="0.2">
      <c r="A407" s="13">
        <v>53236</v>
      </c>
      <c r="B407" s="9">
        <f>5.9833 * CHOOSE(CONTROL!$C$32, $C$9, 100%, $E$9)</f>
        <v>5.9832999999999998</v>
      </c>
      <c r="C407" s="9">
        <f>5.9833 * CHOOSE(CONTROL!$C$32, $C$9, 100%, $E$9)</f>
        <v>5.9832999999999998</v>
      </c>
      <c r="D407" s="9">
        <f>5.9844 * CHOOSE(CONTROL!$C$32, $C$9, 100%, $E$9)</f>
        <v>5.9843999999999999</v>
      </c>
      <c r="E407" s="11">
        <f>6.842 * CHOOSE(CONTROL!$C$32, $C$9, 100%, $E$9)</f>
        <v>6.8419999999999996</v>
      </c>
      <c r="F407" s="11">
        <f>6.842 * CHOOSE(CONTROL!$C$32, $C$9, 100%, $E$9)</f>
        <v>6.8419999999999996</v>
      </c>
      <c r="G407" s="11">
        <f>6.8456 * CHOOSE(CONTROL!$C$32, $C$9, 100%, $E$9)</f>
        <v>6.8456000000000001</v>
      </c>
      <c r="H407" s="11">
        <f>13.0702 * CHOOSE(CONTROL!$C$32, $C$9, 100%, $E$9)</f>
        <v>13.0702</v>
      </c>
      <c r="I407" s="11">
        <f>13.0739 * CHOOSE(CONTROL!$C$32, $C$9, 100%, $E$9)</f>
        <v>13.0739</v>
      </c>
      <c r="J407" s="11">
        <f>13.0702 * CHOOSE(CONTROL!$C$32, $C$9, 100%, $E$9)</f>
        <v>13.0702</v>
      </c>
      <c r="K407" s="11">
        <f>13.0739 * CHOOSE(CONTROL!$C$32, $C$9, 100%, $E$9)</f>
        <v>13.0739</v>
      </c>
      <c r="L407" s="11">
        <f>6.842 * CHOOSE(CONTROL!$C$32, $C$9, 100%, $E$9)</f>
        <v>6.8419999999999996</v>
      </c>
      <c r="M407" s="11">
        <f>6.8456 * CHOOSE(CONTROL!$C$32, $C$9, 100%, $E$9)</f>
        <v>6.8456000000000001</v>
      </c>
      <c r="N407" s="11">
        <f>6.842 * CHOOSE(CONTROL!$C$32, $C$9, 100%, $E$9)</f>
        <v>6.8419999999999996</v>
      </c>
      <c r="O407" s="11">
        <f>6.8456 * CHOOSE(CONTROL!$C$32, $C$9, 100%, $E$9)</f>
        <v>6.8456000000000001</v>
      </c>
    </row>
    <row r="408" spans="1:15" ht="15" x14ac:dyDescent="0.2">
      <c r="A408" s="13">
        <v>53267</v>
      </c>
      <c r="B408" s="9">
        <f>5.9863 * CHOOSE(CONTROL!$C$32, $C$9, 100%, $E$9)</f>
        <v>5.9863</v>
      </c>
      <c r="C408" s="9">
        <f>5.9863 * CHOOSE(CONTROL!$C$32, $C$9, 100%, $E$9)</f>
        <v>5.9863</v>
      </c>
      <c r="D408" s="9">
        <f>5.9874 * CHOOSE(CONTROL!$C$32, $C$9, 100%, $E$9)</f>
        <v>5.9874000000000001</v>
      </c>
      <c r="E408" s="11">
        <f>6.8727 * CHOOSE(CONTROL!$C$32, $C$9, 100%, $E$9)</f>
        <v>6.8727</v>
      </c>
      <c r="F408" s="11">
        <f>6.8727 * CHOOSE(CONTROL!$C$32, $C$9, 100%, $E$9)</f>
        <v>6.8727</v>
      </c>
      <c r="G408" s="11">
        <f>6.8763 * CHOOSE(CONTROL!$C$32, $C$9, 100%, $E$9)</f>
        <v>6.8762999999999996</v>
      </c>
      <c r="H408" s="11">
        <f>13.0975 * CHOOSE(CONTROL!$C$32, $C$9, 100%, $E$9)</f>
        <v>13.0975</v>
      </c>
      <c r="I408" s="11">
        <f>13.1011 * CHOOSE(CONTROL!$C$32, $C$9, 100%, $E$9)</f>
        <v>13.101100000000001</v>
      </c>
      <c r="J408" s="11">
        <f>13.0975 * CHOOSE(CONTROL!$C$32, $C$9, 100%, $E$9)</f>
        <v>13.0975</v>
      </c>
      <c r="K408" s="11">
        <f>13.1011 * CHOOSE(CONTROL!$C$32, $C$9, 100%, $E$9)</f>
        <v>13.101100000000001</v>
      </c>
      <c r="L408" s="11">
        <f>6.8727 * CHOOSE(CONTROL!$C$32, $C$9, 100%, $E$9)</f>
        <v>6.8727</v>
      </c>
      <c r="M408" s="11">
        <f>6.8763 * CHOOSE(CONTROL!$C$32, $C$9, 100%, $E$9)</f>
        <v>6.8762999999999996</v>
      </c>
      <c r="N408" s="11">
        <f>6.8727 * CHOOSE(CONTROL!$C$32, $C$9, 100%, $E$9)</f>
        <v>6.8727</v>
      </c>
      <c r="O408" s="11">
        <f>6.8763 * CHOOSE(CONTROL!$C$32, $C$9, 100%, $E$9)</f>
        <v>6.8762999999999996</v>
      </c>
    </row>
    <row r="409" spans="1:15" ht="15" x14ac:dyDescent="0.2">
      <c r="A409" s="13">
        <v>53297</v>
      </c>
      <c r="B409" s="9">
        <f>5.9863 * CHOOSE(CONTROL!$C$32, $C$9, 100%, $E$9)</f>
        <v>5.9863</v>
      </c>
      <c r="C409" s="9">
        <f>5.9863 * CHOOSE(CONTROL!$C$32, $C$9, 100%, $E$9)</f>
        <v>5.9863</v>
      </c>
      <c r="D409" s="9">
        <f>5.9874 * CHOOSE(CONTROL!$C$32, $C$9, 100%, $E$9)</f>
        <v>5.9874000000000001</v>
      </c>
      <c r="E409" s="11">
        <f>6.8013 * CHOOSE(CONTROL!$C$32, $C$9, 100%, $E$9)</f>
        <v>6.8013000000000003</v>
      </c>
      <c r="F409" s="11">
        <f>6.8013 * CHOOSE(CONTROL!$C$32, $C$9, 100%, $E$9)</f>
        <v>6.8013000000000003</v>
      </c>
      <c r="G409" s="11">
        <f>6.8049 * CHOOSE(CONTROL!$C$32, $C$9, 100%, $E$9)</f>
        <v>6.8048999999999999</v>
      </c>
      <c r="H409" s="11">
        <f>13.1248 * CHOOSE(CONTROL!$C$32, $C$9, 100%, $E$9)</f>
        <v>13.1248</v>
      </c>
      <c r="I409" s="11">
        <f>13.1284 * CHOOSE(CONTROL!$C$32, $C$9, 100%, $E$9)</f>
        <v>13.128399999999999</v>
      </c>
      <c r="J409" s="11">
        <f>13.1248 * CHOOSE(CONTROL!$C$32, $C$9, 100%, $E$9)</f>
        <v>13.1248</v>
      </c>
      <c r="K409" s="11">
        <f>13.1284 * CHOOSE(CONTROL!$C$32, $C$9, 100%, $E$9)</f>
        <v>13.128399999999999</v>
      </c>
      <c r="L409" s="11">
        <f>6.8013 * CHOOSE(CONTROL!$C$32, $C$9, 100%, $E$9)</f>
        <v>6.8013000000000003</v>
      </c>
      <c r="M409" s="11">
        <f>6.8049 * CHOOSE(CONTROL!$C$32, $C$9, 100%, $E$9)</f>
        <v>6.8048999999999999</v>
      </c>
      <c r="N409" s="11">
        <f>6.8013 * CHOOSE(CONTROL!$C$32, $C$9, 100%, $E$9)</f>
        <v>6.8013000000000003</v>
      </c>
      <c r="O409" s="11">
        <f>6.8049 * CHOOSE(CONTROL!$C$32, $C$9, 100%, $E$9)</f>
        <v>6.8048999999999999</v>
      </c>
    </row>
    <row r="410" spans="1:15" ht="15" x14ac:dyDescent="0.2">
      <c r="A410" s="13">
        <v>53328</v>
      </c>
      <c r="B410" s="9">
        <f>6.0321 * CHOOSE(CONTROL!$C$32, $C$9, 100%, $E$9)</f>
        <v>6.0320999999999998</v>
      </c>
      <c r="C410" s="9">
        <f>6.0321 * CHOOSE(CONTROL!$C$32, $C$9, 100%, $E$9)</f>
        <v>6.0320999999999998</v>
      </c>
      <c r="D410" s="9">
        <f>6.0332 * CHOOSE(CONTROL!$C$32, $C$9, 100%, $E$9)</f>
        <v>6.0331999999999999</v>
      </c>
      <c r="E410" s="11">
        <f>6.8926 * CHOOSE(CONTROL!$C$32, $C$9, 100%, $E$9)</f>
        <v>6.8925999999999998</v>
      </c>
      <c r="F410" s="11">
        <f>6.8926 * CHOOSE(CONTROL!$C$32, $C$9, 100%, $E$9)</f>
        <v>6.8925999999999998</v>
      </c>
      <c r="G410" s="11">
        <f>6.8962 * CHOOSE(CONTROL!$C$32, $C$9, 100%, $E$9)</f>
        <v>6.8962000000000003</v>
      </c>
      <c r="H410" s="11">
        <f>13.1521 * CHOOSE(CONTROL!$C$32, $C$9, 100%, $E$9)</f>
        <v>13.152100000000001</v>
      </c>
      <c r="I410" s="11">
        <f>13.1557 * CHOOSE(CONTROL!$C$32, $C$9, 100%, $E$9)</f>
        <v>13.1557</v>
      </c>
      <c r="J410" s="11">
        <f>13.1521 * CHOOSE(CONTROL!$C$32, $C$9, 100%, $E$9)</f>
        <v>13.152100000000001</v>
      </c>
      <c r="K410" s="11">
        <f>13.1557 * CHOOSE(CONTROL!$C$32, $C$9, 100%, $E$9)</f>
        <v>13.1557</v>
      </c>
      <c r="L410" s="11">
        <f>6.8926 * CHOOSE(CONTROL!$C$32, $C$9, 100%, $E$9)</f>
        <v>6.8925999999999998</v>
      </c>
      <c r="M410" s="11">
        <f>6.8962 * CHOOSE(CONTROL!$C$32, $C$9, 100%, $E$9)</f>
        <v>6.8962000000000003</v>
      </c>
      <c r="N410" s="11">
        <f>6.8926 * CHOOSE(CONTROL!$C$32, $C$9, 100%, $E$9)</f>
        <v>6.8925999999999998</v>
      </c>
      <c r="O410" s="11">
        <f>6.8962 * CHOOSE(CONTROL!$C$32, $C$9, 100%, $E$9)</f>
        <v>6.8962000000000003</v>
      </c>
    </row>
    <row r="411" spans="1:15" ht="15" x14ac:dyDescent="0.2">
      <c r="A411" s="13">
        <v>53359</v>
      </c>
      <c r="B411" s="9">
        <f>6.0291 * CHOOSE(CONTROL!$C$32, $C$9, 100%, $E$9)</f>
        <v>6.0290999999999997</v>
      </c>
      <c r="C411" s="9">
        <f>6.0291 * CHOOSE(CONTROL!$C$32, $C$9, 100%, $E$9)</f>
        <v>6.0290999999999997</v>
      </c>
      <c r="D411" s="9">
        <f>6.0302 * CHOOSE(CONTROL!$C$32, $C$9, 100%, $E$9)</f>
        <v>6.0301999999999998</v>
      </c>
      <c r="E411" s="11">
        <f>6.7511 * CHOOSE(CONTROL!$C$32, $C$9, 100%, $E$9)</f>
        <v>6.7511000000000001</v>
      </c>
      <c r="F411" s="11">
        <f>6.7511 * CHOOSE(CONTROL!$C$32, $C$9, 100%, $E$9)</f>
        <v>6.7511000000000001</v>
      </c>
      <c r="G411" s="11">
        <f>6.7547 * CHOOSE(CONTROL!$C$32, $C$9, 100%, $E$9)</f>
        <v>6.7546999999999997</v>
      </c>
      <c r="H411" s="11">
        <f>13.1795 * CHOOSE(CONTROL!$C$32, $C$9, 100%, $E$9)</f>
        <v>13.179500000000001</v>
      </c>
      <c r="I411" s="11">
        <f>13.1831 * CHOOSE(CONTROL!$C$32, $C$9, 100%, $E$9)</f>
        <v>13.1831</v>
      </c>
      <c r="J411" s="11">
        <f>13.1795 * CHOOSE(CONTROL!$C$32, $C$9, 100%, $E$9)</f>
        <v>13.179500000000001</v>
      </c>
      <c r="K411" s="11">
        <f>13.1831 * CHOOSE(CONTROL!$C$32, $C$9, 100%, $E$9)</f>
        <v>13.1831</v>
      </c>
      <c r="L411" s="11">
        <f>6.7511 * CHOOSE(CONTROL!$C$32, $C$9, 100%, $E$9)</f>
        <v>6.7511000000000001</v>
      </c>
      <c r="M411" s="11">
        <f>6.7547 * CHOOSE(CONTROL!$C$32, $C$9, 100%, $E$9)</f>
        <v>6.7546999999999997</v>
      </c>
      <c r="N411" s="11">
        <f>6.7511 * CHOOSE(CONTROL!$C$32, $C$9, 100%, $E$9)</f>
        <v>6.7511000000000001</v>
      </c>
      <c r="O411" s="11">
        <f>6.7547 * CHOOSE(CONTROL!$C$32, $C$9, 100%, $E$9)</f>
        <v>6.7546999999999997</v>
      </c>
    </row>
    <row r="412" spans="1:15" ht="15" x14ac:dyDescent="0.2">
      <c r="A412" s="13">
        <v>53387</v>
      </c>
      <c r="B412" s="9">
        <f>6.0261 * CHOOSE(CONTROL!$C$32, $C$9, 100%, $E$9)</f>
        <v>6.0260999999999996</v>
      </c>
      <c r="C412" s="9">
        <f>6.0261 * CHOOSE(CONTROL!$C$32, $C$9, 100%, $E$9)</f>
        <v>6.0260999999999996</v>
      </c>
      <c r="D412" s="9">
        <f>6.0271 * CHOOSE(CONTROL!$C$32, $C$9, 100%, $E$9)</f>
        <v>6.0270999999999999</v>
      </c>
      <c r="E412" s="11">
        <f>6.8589 * CHOOSE(CONTROL!$C$32, $C$9, 100%, $E$9)</f>
        <v>6.8589000000000002</v>
      </c>
      <c r="F412" s="11">
        <f>6.8589 * CHOOSE(CONTROL!$C$32, $C$9, 100%, $E$9)</f>
        <v>6.8589000000000002</v>
      </c>
      <c r="G412" s="11">
        <f>6.8625 * CHOOSE(CONTROL!$C$32, $C$9, 100%, $E$9)</f>
        <v>6.8624999999999998</v>
      </c>
      <c r="H412" s="11">
        <f>13.207 * CHOOSE(CONTROL!$C$32, $C$9, 100%, $E$9)</f>
        <v>13.207000000000001</v>
      </c>
      <c r="I412" s="11">
        <f>13.2106 * CHOOSE(CONTROL!$C$32, $C$9, 100%, $E$9)</f>
        <v>13.210599999999999</v>
      </c>
      <c r="J412" s="11">
        <f>13.207 * CHOOSE(CONTROL!$C$32, $C$9, 100%, $E$9)</f>
        <v>13.207000000000001</v>
      </c>
      <c r="K412" s="11">
        <f>13.2106 * CHOOSE(CONTROL!$C$32, $C$9, 100%, $E$9)</f>
        <v>13.210599999999999</v>
      </c>
      <c r="L412" s="11">
        <f>6.8589 * CHOOSE(CONTROL!$C$32, $C$9, 100%, $E$9)</f>
        <v>6.8589000000000002</v>
      </c>
      <c r="M412" s="11">
        <f>6.8625 * CHOOSE(CONTROL!$C$32, $C$9, 100%, $E$9)</f>
        <v>6.8624999999999998</v>
      </c>
      <c r="N412" s="11">
        <f>6.8589 * CHOOSE(CONTROL!$C$32, $C$9, 100%, $E$9)</f>
        <v>6.8589000000000002</v>
      </c>
      <c r="O412" s="11">
        <f>6.8625 * CHOOSE(CONTROL!$C$32, $C$9, 100%, $E$9)</f>
        <v>6.8624999999999998</v>
      </c>
    </row>
    <row r="413" spans="1:15" ht="15" x14ac:dyDescent="0.2">
      <c r="A413" s="13">
        <v>53418</v>
      </c>
      <c r="B413" s="9">
        <f>6.0257 * CHOOSE(CONTROL!$C$32, $C$9, 100%, $E$9)</f>
        <v>6.0256999999999996</v>
      </c>
      <c r="C413" s="9">
        <f>6.0257 * CHOOSE(CONTROL!$C$32, $C$9, 100%, $E$9)</f>
        <v>6.0256999999999996</v>
      </c>
      <c r="D413" s="9">
        <f>6.0268 * CHOOSE(CONTROL!$C$32, $C$9, 100%, $E$9)</f>
        <v>6.0267999999999997</v>
      </c>
      <c r="E413" s="11">
        <f>6.9726 * CHOOSE(CONTROL!$C$32, $C$9, 100%, $E$9)</f>
        <v>6.9725999999999999</v>
      </c>
      <c r="F413" s="11">
        <f>6.9726 * CHOOSE(CONTROL!$C$32, $C$9, 100%, $E$9)</f>
        <v>6.9725999999999999</v>
      </c>
      <c r="G413" s="11">
        <f>6.9762 * CHOOSE(CONTROL!$C$32, $C$9, 100%, $E$9)</f>
        <v>6.9762000000000004</v>
      </c>
      <c r="H413" s="11">
        <f>13.2345 * CHOOSE(CONTROL!$C$32, $C$9, 100%, $E$9)</f>
        <v>13.234500000000001</v>
      </c>
      <c r="I413" s="11">
        <f>13.2381 * CHOOSE(CONTROL!$C$32, $C$9, 100%, $E$9)</f>
        <v>13.238099999999999</v>
      </c>
      <c r="J413" s="11">
        <f>13.2345 * CHOOSE(CONTROL!$C$32, $C$9, 100%, $E$9)</f>
        <v>13.234500000000001</v>
      </c>
      <c r="K413" s="11">
        <f>13.2381 * CHOOSE(CONTROL!$C$32, $C$9, 100%, $E$9)</f>
        <v>13.238099999999999</v>
      </c>
      <c r="L413" s="11">
        <f>6.9726 * CHOOSE(CONTROL!$C$32, $C$9, 100%, $E$9)</f>
        <v>6.9725999999999999</v>
      </c>
      <c r="M413" s="11">
        <f>6.9762 * CHOOSE(CONTROL!$C$32, $C$9, 100%, $E$9)</f>
        <v>6.9762000000000004</v>
      </c>
      <c r="N413" s="11">
        <f>6.9726 * CHOOSE(CONTROL!$C$32, $C$9, 100%, $E$9)</f>
        <v>6.9725999999999999</v>
      </c>
      <c r="O413" s="11">
        <f>6.9762 * CHOOSE(CONTROL!$C$32, $C$9, 100%, $E$9)</f>
        <v>6.9762000000000004</v>
      </c>
    </row>
    <row r="414" spans="1:15" ht="15" x14ac:dyDescent="0.2">
      <c r="A414" s="13">
        <v>53448</v>
      </c>
      <c r="B414" s="9">
        <f>6.0257 * CHOOSE(CONTROL!$C$32, $C$9, 100%, $E$9)</f>
        <v>6.0256999999999996</v>
      </c>
      <c r="C414" s="9">
        <f>6.0257 * CHOOSE(CONTROL!$C$32, $C$9, 100%, $E$9)</f>
        <v>6.0256999999999996</v>
      </c>
      <c r="D414" s="9">
        <f>6.0273 * CHOOSE(CONTROL!$C$32, $C$9, 100%, $E$9)</f>
        <v>6.0273000000000003</v>
      </c>
      <c r="E414" s="11">
        <f>7.0168 * CHOOSE(CONTROL!$C$32, $C$9, 100%, $E$9)</f>
        <v>7.0167999999999999</v>
      </c>
      <c r="F414" s="11">
        <f>7.0168 * CHOOSE(CONTROL!$C$32, $C$9, 100%, $E$9)</f>
        <v>7.0167999999999999</v>
      </c>
      <c r="G414" s="11">
        <f>7.0221 * CHOOSE(CONTROL!$C$32, $C$9, 100%, $E$9)</f>
        <v>7.0221</v>
      </c>
      <c r="H414" s="11">
        <f>13.262 * CHOOSE(CONTROL!$C$32, $C$9, 100%, $E$9)</f>
        <v>13.262</v>
      </c>
      <c r="I414" s="11">
        <f>13.2673 * CHOOSE(CONTROL!$C$32, $C$9, 100%, $E$9)</f>
        <v>13.267300000000001</v>
      </c>
      <c r="J414" s="11">
        <f>13.262 * CHOOSE(CONTROL!$C$32, $C$9, 100%, $E$9)</f>
        <v>13.262</v>
      </c>
      <c r="K414" s="11">
        <f>13.2673 * CHOOSE(CONTROL!$C$32, $C$9, 100%, $E$9)</f>
        <v>13.267300000000001</v>
      </c>
      <c r="L414" s="11">
        <f>7.0168 * CHOOSE(CONTROL!$C$32, $C$9, 100%, $E$9)</f>
        <v>7.0167999999999999</v>
      </c>
      <c r="M414" s="11">
        <f>7.0221 * CHOOSE(CONTROL!$C$32, $C$9, 100%, $E$9)</f>
        <v>7.0221</v>
      </c>
      <c r="N414" s="11">
        <f>7.0168 * CHOOSE(CONTROL!$C$32, $C$9, 100%, $E$9)</f>
        <v>7.0167999999999999</v>
      </c>
      <c r="O414" s="11">
        <f>7.0221 * CHOOSE(CONTROL!$C$32, $C$9, 100%, $E$9)</f>
        <v>7.0221</v>
      </c>
    </row>
    <row r="415" spans="1:15" ht="15" x14ac:dyDescent="0.2">
      <c r="A415" s="13">
        <v>53479</v>
      </c>
      <c r="B415" s="9">
        <f>6.0318 * CHOOSE(CONTROL!$C$32, $C$9, 100%, $E$9)</f>
        <v>6.0317999999999996</v>
      </c>
      <c r="C415" s="9">
        <f>6.0318 * CHOOSE(CONTROL!$C$32, $C$9, 100%, $E$9)</f>
        <v>6.0317999999999996</v>
      </c>
      <c r="D415" s="9">
        <f>6.0333 * CHOOSE(CONTROL!$C$32, $C$9, 100%, $E$9)</f>
        <v>6.0332999999999997</v>
      </c>
      <c r="E415" s="11">
        <f>6.9768 * CHOOSE(CONTROL!$C$32, $C$9, 100%, $E$9)</f>
        <v>6.9767999999999999</v>
      </c>
      <c r="F415" s="11">
        <f>6.9768 * CHOOSE(CONTROL!$C$32, $C$9, 100%, $E$9)</f>
        <v>6.9767999999999999</v>
      </c>
      <c r="G415" s="11">
        <f>6.9821 * CHOOSE(CONTROL!$C$32, $C$9, 100%, $E$9)</f>
        <v>6.9821</v>
      </c>
      <c r="H415" s="11">
        <f>13.2897 * CHOOSE(CONTROL!$C$32, $C$9, 100%, $E$9)</f>
        <v>13.2897</v>
      </c>
      <c r="I415" s="11">
        <f>13.295 * CHOOSE(CONTROL!$C$32, $C$9, 100%, $E$9)</f>
        <v>13.295</v>
      </c>
      <c r="J415" s="11">
        <f>13.2897 * CHOOSE(CONTROL!$C$32, $C$9, 100%, $E$9)</f>
        <v>13.2897</v>
      </c>
      <c r="K415" s="11">
        <f>13.295 * CHOOSE(CONTROL!$C$32, $C$9, 100%, $E$9)</f>
        <v>13.295</v>
      </c>
      <c r="L415" s="11">
        <f>6.9768 * CHOOSE(CONTROL!$C$32, $C$9, 100%, $E$9)</f>
        <v>6.9767999999999999</v>
      </c>
      <c r="M415" s="11">
        <f>6.9821 * CHOOSE(CONTROL!$C$32, $C$9, 100%, $E$9)</f>
        <v>6.9821</v>
      </c>
      <c r="N415" s="11">
        <f>6.9768 * CHOOSE(CONTROL!$C$32, $C$9, 100%, $E$9)</f>
        <v>6.9767999999999999</v>
      </c>
      <c r="O415" s="11">
        <f>6.9821 * CHOOSE(CONTROL!$C$32, $C$9, 100%, $E$9)</f>
        <v>6.9821</v>
      </c>
    </row>
    <row r="416" spans="1:15" ht="15" x14ac:dyDescent="0.2">
      <c r="A416" s="13">
        <v>53509</v>
      </c>
      <c r="B416" s="9">
        <f>6.1126 * CHOOSE(CONTROL!$C$32, $C$9, 100%, $E$9)</f>
        <v>6.1125999999999996</v>
      </c>
      <c r="C416" s="9">
        <f>6.1126 * CHOOSE(CONTROL!$C$32, $C$9, 100%, $E$9)</f>
        <v>6.1125999999999996</v>
      </c>
      <c r="D416" s="9">
        <f>6.1142 * CHOOSE(CONTROL!$C$32, $C$9, 100%, $E$9)</f>
        <v>6.1142000000000003</v>
      </c>
      <c r="E416" s="11">
        <f>7.0342 * CHOOSE(CONTROL!$C$32, $C$9, 100%, $E$9)</f>
        <v>7.0342000000000002</v>
      </c>
      <c r="F416" s="11">
        <f>7.0342 * CHOOSE(CONTROL!$C$32, $C$9, 100%, $E$9)</f>
        <v>7.0342000000000002</v>
      </c>
      <c r="G416" s="11">
        <f>7.0395 * CHOOSE(CONTROL!$C$32, $C$9, 100%, $E$9)</f>
        <v>7.0395000000000003</v>
      </c>
      <c r="H416" s="11">
        <f>13.3174 * CHOOSE(CONTROL!$C$32, $C$9, 100%, $E$9)</f>
        <v>13.317399999999999</v>
      </c>
      <c r="I416" s="11">
        <f>13.3227 * CHOOSE(CONTROL!$C$32, $C$9, 100%, $E$9)</f>
        <v>13.322699999999999</v>
      </c>
      <c r="J416" s="11">
        <f>13.3174 * CHOOSE(CONTROL!$C$32, $C$9, 100%, $E$9)</f>
        <v>13.317399999999999</v>
      </c>
      <c r="K416" s="11">
        <f>13.3227 * CHOOSE(CONTROL!$C$32, $C$9, 100%, $E$9)</f>
        <v>13.322699999999999</v>
      </c>
      <c r="L416" s="11">
        <f>7.0342 * CHOOSE(CONTROL!$C$32, $C$9, 100%, $E$9)</f>
        <v>7.0342000000000002</v>
      </c>
      <c r="M416" s="11">
        <f>7.0395 * CHOOSE(CONTROL!$C$32, $C$9, 100%, $E$9)</f>
        <v>7.0395000000000003</v>
      </c>
      <c r="N416" s="11">
        <f>7.0342 * CHOOSE(CONTROL!$C$32, $C$9, 100%, $E$9)</f>
        <v>7.0342000000000002</v>
      </c>
      <c r="O416" s="11">
        <f>7.0395 * CHOOSE(CONTROL!$C$32, $C$9, 100%, $E$9)</f>
        <v>7.0395000000000003</v>
      </c>
    </row>
    <row r="417" spans="1:15" ht="15" x14ac:dyDescent="0.2">
      <c r="A417" s="13">
        <v>53540</v>
      </c>
      <c r="B417" s="9">
        <f>6.1193 * CHOOSE(CONTROL!$C$32, $C$9, 100%, $E$9)</f>
        <v>6.1193</v>
      </c>
      <c r="C417" s="9">
        <f>6.1193 * CHOOSE(CONTROL!$C$32, $C$9, 100%, $E$9)</f>
        <v>6.1193</v>
      </c>
      <c r="D417" s="9">
        <f>6.1209 * CHOOSE(CONTROL!$C$32, $C$9, 100%, $E$9)</f>
        <v>6.1208999999999998</v>
      </c>
      <c r="E417" s="11">
        <f>6.9061 * CHOOSE(CONTROL!$C$32, $C$9, 100%, $E$9)</f>
        <v>6.9061000000000003</v>
      </c>
      <c r="F417" s="11">
        <f>6.9061 * CHOOSE(CONTROL!$C$32, $C$9, 100%, $E$9)</f>
        <v>6.9061000000000003</v>
      </c>
      <c r="G417" s="11">
        <f>6.9114 * CHOOSE(CONTROL!$C$32, $C$9, 100%, $E$9)</f>
        <v>6.9114000000000004</v>
      </c>
      <c r="H417" s="11">
        <f>13.3451 * CHOOSE(CONTROL!$C$32, $C$9, 100%, $E$9)</f>
        <v>13.3451</v>
      </c>
      <c r="I417" s="11">
        <f>13.3504 * CHOOSE(CONTROL!$C$32, $C$9, 100%, $E$9)</f>
        <v>13.3504</v>
      </c>
      <c r="J417" s="11">
        <f>13.3451 * CHOOSE(CONTROL!$C$32, $C$9, 100%, $E$9)</f>
        <v>13.3451</v>
      </c>
      <c r="K417" s="11">
        <f>13.3504 * CHOOSE(CONTROL!$C$32, $C$9, 100%, $E$9)</f>
        <v>13.3504</v>
      </c>
      <c r="L417" s="11">
        <f>6.9061 * CHOOSE(CONTROL!$C$32, $C$9, 100%, $E$9)</f>
        <v>6.9061000000000003</v>
      </c>
      <c r="M417" s="11">
        <f>6.9114 * CHOOSE(CONTROL!$C$32, $C$9, 100%, $E$9)</f>
        <v>6.9114000000000004</v>
      </c>
      <c r="N417" s="11">
        <f>6.9061 * CHOOSE(CONTROL!$C$32, $C$9, 100%, $E$9)</f>
        <v>6.9061000000000003</v>
      </c>
      <c r="O417" s="11">
        <f>6.9114 * CHOOSE(CONTROL!$C$32, $C$9, 100%, $E$9)</f>
        <v>6.9114000000000004</v>
      </c>
    </row>
    <row r="418" spans="1:15" ht="15" x14ac:dyDescent="0.2">
      <c r="A418" s="13">
        <v>53571</v>
      </c>
      <c r="B418" s="9">
        <f>6.1163 * CHOOSE(CONTROL!$C$32, $C$9, 100%, $E$9)</f>
        <v>6.1162999999999998</v>
      </c>
      <c r="C418" s="9">
        <f>6.1163 * CHOOSE(CONTROL!$C$32, $C$9, 100%, $E$9)</f>
        <v>6.1162999999999998</v>
      </c>
      <c r="D418" s="9">
        <f>6.1178 * CHOOSE(CONTROL!$C$32, $C$9, 100%, $E$9)</f>
        <v>6.1177999999999999</v>
      </c>
      <c r="E418" s="11">
        <f>6.8892 * CHOOSE(CONTROL!$C$32, $C$9, 100%, $E$9)</f>
        <v>6.8891999999999998</v>
      </c>
      <c r="F418" s="11">
        <f>6.8892 * CHOOSE(CONTROL!$C$32, $C$9, 100%, $E$9)</f>
        <v>6.8891999999999998</v>
      </c>
      <c r="G418" s="11">
        <f>6.8945 * CHOOSE(CONTROL!$C$32, $C$9, 100%, $E$9)</f>
        <v>6.8944999999999999</v>
      </c>
      <c r="H418" s="11">
        <f>13.3729 * CHOOSE(CONTROL!$C$32, $C$9, 100%, $E$9)</f>
        <v>13.3729</v>
      </c>
      <c r="I418" s="11">
        <f>13.3782 * CHOOSE(CONTROL!$C$32, $C$9, 100%, $E$9)</f>
        <v>13.3782</v>
      </c>
      <c r="J418" s="11">
        <f>13.3729 * CHOOSE(CONTROL!$C$32, $C$9, 100%, $E$9)</f>
        <v>13.3729</v>
      </c>
      <c r="K418" s="11">
        <f>13.3782 * CHOOSE(CONTROL!$C$32, $C$9, 100%, $E$9)</f>
        <v>13.3782</v>
      </c>
      <c r="L418" s="11">
        <f>6.8892 * CHOOSE(CONTROL!$C$32, $C$9, 100%, $E$9)</f>
        <v>6.8891999999999998</v>
      </c>
      <c r="M418" s="11">
        <f>6.8945 * CHOOSE(CONTROL!$C$32, $C$9, 100%, $E$9)</f>
        <v>6.8944999999999999</v>
      </c>
      <c r="N418" s="11">
        <f>6.8892 * CHOOSE(CONTROL!$C$32, $C$9, 100%, $E$9)</f>
        <v>6.8891999999999998</v>
      </c>
      <c r="O418" s="11">
        <f>6.8945 * CHOOSE(CONTROL!$C$32, $C$9, 100%, $E$9)</f>
        <v>6.8944999999999999</v>
      </c>
    </row>
    <row r="419" spans="1:15" ht="15" x14ac:dyDescent="0.2">
      <c r="A419" s="13">
        <v>53601</v>
      </c>
      <c r="B419" s="9">
        <f>6.1192 * CHOOSE(CONTROL!$C$32, $C$9, 100%, $E$9)</f>
        <v>6.1192000000000002</v>
      </c>
      <c r="C419" s="9">
        <f>6.1192 * CHOOSE(CONTROL!$C$32, $C$9, 100%, $E$9)</f>
        <v>6.1192000000000002</v>
      </c>
      <c r="D419" s="9">
        <f>6.1203 * CHOOSE(CONTROL!$C$32, $C$9, 100%, $E$9)</f>
        <v>6.1203000000000003</v>
      </c>
      <c r="E419" s="11">
        <f>6.9348 * CHOOSE(CONTROL!$C$32, $C$9, 100%, $E$9)</f>
        <v>6.9348000000000001</v>
      </c>
      <c r="F419" s="11">
        <f>6.9348 * CHOOSE(CONTROL!$C$32, $C$9, 100%, $E$9)</f>
        <v>6.9348000000000001</v>
      </c>
      <c r="G419" s="11">
        <f>6.9384 * CHOOSE(CONTROL!$C$32, $C$9, 100%, $E$9)</f>
        <v>6.9383999999999997</v>
      </c>
      <c r="H419" s="11">
        <f>13.4008 * CHOOSE(CONTROL!$C$32, $C$9, 100%, $E$9)</f>
        <v>13.4008</v>
      </c>
      <c r="I419" s="11">
        <f>13.4044 * CHOOSE(CONTROL!$C$32, $C$9, 100%, $E$9)</f>
        <v>13.404400000000001</v>
      </c>
      <c r="J419" s="11">
        <f>13.4008 * CHOOSE(CONTROL!$C$32, $C$9, 100%, $E$9)</f>
        <v>13.4008</v>
      </c>
      <c r="K419" s="11">
        <f>13.4044 * CHOOSE(CONTROL!$C$32, $C$9, 100%, $E$9)</f>
        <v>13.404400000000001</v>
      </c>
      <c r="L419" s="11">
        <f>6.9348 * CHOOSE(CONTROL!$C$32, $C$9, 100%, $E$9)</f>
        <v>6.9348000000000001</v>
      </c>
      <c r="M419" s="11">
        <f>6.9384 * CHOOSE(CONTROL!$C$32, $C$9, 100%, $E$9)</f>
        <v>6.9383999999999997</v>
      </c>
      <c r="N419" s="11">
        <f>6.9348 * CHOOSE(CONTROL!$C$32, $C$9, 100%, $E$9)</f>
        <v>6.9348000000000001</v>
      </c>
      <c r="O419" s="11">
        <f>6.9384 * CHOOSE(CONTROL!$C$32, $C$9, 100%, $E$9)</f>
        <v>6.9383999999999997</v>
      </c>
    </row>
    <row r="420" spans="1:15" ht="15" x14ac:dyDescent="0.2">
      <c r="A420" s="13">
        <v>53632</v>
      </c>
      <c r="B420" s="9">
        <f>6.1222 * CHOOSE(CONTROL!$C$32, $C$9, 100%, $E$9)</f>
        <v>6.1222000000000003</v>
      </c>
      <c r="C420" s="9">
        <f>6.1222 * CHOOSE(CONTROL!$C$32, $C$9, 100%, $E$9)</f>
        <v>6.1222000000000003</v>
      </c>
      <c r="D420" s="9">
        <f>6.1233 * CHOOSE(CONTROL!$C$32, $C$9, 100%, $E$9)</f>
        <v>6.1233000000000004</v>
      </c>
      <c r="E420" s="11">
        <f>6.9664 * CHOOSE(CONTROL!$C$32, $C$9, 100%, $E$9)</f>
        <v>6.9664000000000001</v>
      </c>
      <c r="F420" s="11">
        <f>6.9664 * CHOOSE(CONTROL!$C$32, $C$9, 100%, $E$9)</f>
        <v>6.9664000000000001</v>
      </c>
      <c r="G420" s="11">
        <f>6.97 * CHOOSE(CONTROL!$C$32, $C$9, 100%, $E$9)</f>
        <v>6.97</v>
      </c>
      <c r="H420" s="11">
        <f>13.4287 * CHOOSE(CONTROL!$C$32, $C$9, 100%, $E$9)</f>
        <v>13.428699999999999</v>
      </c>
      <c r="I420" s="11">
        <f>13.4323 * CHOOSE(CONTROL!$C$32, $C$9, 100%, $E$9)</f>
        <v>13.4323</v>
      </c>
      <c r="J420" s="11">
        <f>13.4287 * CHOOSE(CONTROL!$C$32, $C$9, 100%, $E$9)</f>
        <v>13.428699999999999</v>
      </c>
      <c r="K420" s="11">
        <f>13.4323 * CHOOSE(CONTROL!$C$32, $C$9, 100%, $E$9)</f>
        <v>13.4323</v>
      </c>
      <c r="L420" s="11">
        <f>6.9664 * CHOOSE(CONTROL!$C$32, $C$9, 100%, $E$9)</f>
        <v>6.9664000000000001</v>
      </c>
      <c r="M420" s="11">
        <f>6.97 * CHOOSE(CONTROL!$C$32, $C$9, 100%, $E$9)</f>
        <v>6.97</v>
      </c>
      <c r="N420" s="11">
        <f>6.9664 * CHOOSE(CONTROL!$C$32, $C$9, 100%, $E$9)</f>
        <v>6.9664000000000001</v>
      </c>
      <c r="O420" s="11">
        <f>6.97 * CHOOSE(CONTROL!$C$32, $C$9, 100%, $E$9)</f>
        <v>6.97</v>
      </c>
    </row>
    <row r="421" spans="1:15" ht="15" x14ac:dyDescent="0.2">
      <c r="A421" s="13">
        <v>53662</v>
      </c>
      <c r="B421" s="9">
        <f>6.1222 * CHOOSE(CONTROL!$C$32, $C$9, 100%, $E$9)</f>
        <v>6.1222000000000003</v>
      </c>
      <c r="C421" s="9">
        <f>6.1222 * CHOOSE(CONTROL!$C$32, $C$9, 100%, $E$9)</f>
        <v>6.1222000000000003</v>
      </c>
      <c r="D421" s="9">
        <f>6.1233 * CHOOSE(CONTROL!$C$32, $C$9, 100%, $E$9)</f>
        <v>6.1233000000000004</v>
      </c>
      <c r="E421" s="11">
        <f>6.8927 * CHOOSE(CONTROL!$C$32, $C$9, 100%, $E$9)</f>
        <v>6.8926999999999996</v>
      </c>
      <c r="F421" s="11">
        <f>6.8927 * CHOOSE(CONTROL!$C$32, $C$9, 100%, $E$9)</f>
        <v>6.8926999999999996</v>
      </c>
      <c r="G421" s="11">
        <f>6.8963 * CHOOSE(CONTROL!$C$32, $C$9, 100%, $E$9)</f>
        <v>6.8963000000000001</v>
      </c>
      <c r="H421" s="11">
        <f>13.4567 * CHOOSE(CONTROL!$C$32, $C$9, 100%, $E$9)</f>
        <v>13.4567</v>
      </c>
      <c r="I421" s="11">
        <f>13.4603 * CHOOSE(CONTROL!$C$32, $C$9, 100%, $E$9)</f>
        <v>13.4603</v>
      </c>
      <c r="J421" s="11">
        <f>13.4567 * CHOOSE(CONTROL!$C$32, $C$9, 100%, $E$9)</f>
        <v>13.4567</v>
      </c>
      <c r="K421" s="11">
        <f>13.4603 * CHOOSE(CONTROL!$C$32, $C$9, 100%, $E$9)</f>
        <v>13.4603</v>
      </c>
      <c r="L421" s="11">
        <f>6.8927 * CHOOSE(CONTROL!$C$32, $C$9, 100%, $E$9)</f>
        <v>6.8926999999999996</v>
      </c>
      <c r="M421" s="11">
        <f>6.8963 * CHOOSE(CONTROL!$C$32, $C$9, 100%, $E$9)</f>
        <v>6.8963000000000001</v>
      </c>
      <c r="N421" s="11">
        <f>6.8927 * CHOOSE(CONTROL!$C$32, $C$9, 100%, $E$9)</f>
        <v>6.8926999999999996</v>
      </c>
      <c r="O421" s="11">
        <f>6.8963 * CHOOSE(CONTROL!$C$32, $C$9, 100%, $E$9)</f>
        <v>6.8963000000000001</v>
      </c>
    </row>
    <row r="422" spans="1:15" ht="15" x14ac:dyDescent="0.2">
      <c r="A422" s="13">
        <v>53693</v>
      </c>
      <c r="B422" s="9">
        <f>6.169 * CHOOSE(CONTROL!$C$32, $C$9, 100%, $E$9)</f>
        <v>6.1689999999999996</v>
      </c>
      <c r="C422" s="9">
        <f>6.169 * CHOOSE(CONTROL!$C$32, $C$9, 100%, $E$9)</f>
        <v>6.1689999999999996</v>
      </c>
      <c r="D422" s="9">
        <f>6.17 * CHOOSE(CONTROL!$C$32, $C$9, 100%, $E$9)</f>
        <v>6.17</v>
      </c>
      <c r="E422" s="11">
        <f>6.9915 * CHOOSE(CONTROL!$C$32, $C$9, 100%, $E$9)</f>
        <v>6.9915000000000003</v>
      </c>
      <c r="F422" s="11">
        <f>6.9915 * CHOOSE(CONTROL!$C$32, $C$9, 100%, $E$9)</f>
        <v>6.9915000000000003</v>
      </c>
      <c r="G422" s="11">
        <f>6.9951 * CHOOSE(CONTROL!$C$32, $C$9, 100%, $E$9)</f>
        <v>6.9950999999999999</v>
      </c>
      <c r="H422" s="11">
        <f>13.4847 * CHOOSE(CONTROL!$C$32, $C$9, 100%, $E$9)</f>
        <v>13.4847</v>
      </c>
      <c r="I422" s="11">
        <f>13.4883 * CHOOSE(CONTROL!$C$32, $C$9, 100%, $E$9)</f>
        <v>13.488300000000001</v>
      </c>
      <c r="J422" s="11">
        <f>13.4847 * CHOOSE(CONTROL!$C$32, $C$9, 100%, $E$9)</f>
        <v>13.4847</v>
      </c>
      <c r="K422" s="11">
        <f>13.4883 * CHOOSE(CONTROL!$C$32, $C$9, 100%, $E$9)</f>
        <v>13.488300000000001</v>
      </c>
      <c r="L422" s="11">
        <f>6.9915 * CHOOSE(CONTROL!$C$32, $C$9, 100%, $E$9)</f>
        <v>6.9915000000000003</v>
      </c>
      <c r="M422" s="11">
        <f>6.9951 * CHOOSE(CONTROL!$C$32, $C$9, 100%, $E$9)</f>
        <v>6.9950999999999999</v>
      </c>
      <c r="N422" s="11">
        <f>6.9915 * CHOOSE(CONTROL!$C$32, $C$9, 100%, $E$9)</f>
        <v>6.9915000000000003</v>
      </c>
      <c r="O422" s="11">
        <f>6.9951 * CHOOSE(CONTROL!$C$32, $C$9, 100%, $E$9)</f>
        <v>6.9950999999999999</v>
      </c>
    </row>
    <row r="423" spans="1:15" ht="15" x14ac:dyDescent="0.2">
      <c r="A423" s="13">
        <v>53724</v>
      </c>
      <c r="B423" s="9">
        <f>6.1659 * CHOOSE(CONTROL!$C$32, $C$9, 100%, $E$9)</f>
        <v>6.1658999999999997</v>
      </c>
      <c r="C423" s="9">
        <f>6.1659 * CHOOSE(CONTROL!$C$32, $C$9, 100%, $E$9)</f>
        <v>6.1658999999999997</v>
      </c>
      <c r="D423" s="9">
        <f>6.167 * CHOOSE(CONTROL!$C$32, $C$9, 100%, $E$9)</f>
        <v>6.1669999999999998</v>
      </c>
      <c r="E423" s="11">
        <f>6.8455 * CHOOSE(CONTROL!$C$32, $C$9, 100%, $E$9)</f>
        <v>6.8455000000000004</v>
      </c>
      <c r="F423" s="11">
        <f>6.8455 * CHOOSE(CONTROL!$C$32, $C$9, 100%, $E$9)</f>
        <v>6.8455000000000004</v>
      </c>
      <c r="G423" s="11">
        <f>6.8491 * CHOOSE(CONTROL!$C$32, $C$9, 100%, $E$9)</f>
        <v>6.8491</v>
      </c>
      <c r="H423" s="11">
        <f>13.5128 * CHOOSE(CONTROL!$C$32, $C$9, 100%, $E$9)</f>
        <v>13.5128</v>
      </c>
      <c r="I423" s="11">
        <f>13.5164 * CHOOSE(CONTROL!$C$32, $C$9, 100%, $E$9)</f>
        <v>13.516400000000001</v>
      </c>
      <c r="J423" s="11">
        <f>13.5128 * CHOOSE(CONTROL!$C$32, $C$9, 100%, $E$9)</f>
        <v>13.5128</v>
      </c>
      <c r="K423" s="11">
        <f>13.5164 * CHOOSE(CONTROL!$C$32, $C$9, 100%, $E$9)</f>
        <v>13.516400000000001</v>
      </c>
      <c r="L423" s="11">
        <f>6.8455 * CHOOSE(CONTROL!$C$32, $C$9, 100%, $E$9)</f>
        <v>6.8455000000000004</v>
      </c>
      <c r="M423" s="11">
        <f>6.8491 * CHOOSE(CONTROL!$C$32, $C$9, 100%, $E$9)</f>
        <v>6.8491</v>
      </c>
      <c r="N423" s="11">
        <f>6.8455 * CHOOSE(CONTROL!$C$32, $C$9, 100%, $E$9)</f>
        <v>6.8455000000000004</v>
      </c>
      <c r="O423" s="11">
        <f>6.8491 * CHOOSE(CONTROL!$C$32, $C$9, 100%, $E$9)</f>
        <v>6.8491</v>
      </c>
    </row>
    <row r="424" spans="1:15" ht="15" x14ac:dyDescent="0.2">
      <c r="A424" s="13">
        <v>53752</v>
      </c>
      <c r="B424" s="9">
        <f>6.1629 * CHOOSE(CONTROL!$C$32, $C$9, 100%, $E$9)</f>
        <v>6.1628999999999996</v>
      </c>
      <c r="C424" s="9">
        <f>6.1629 * CHOOSE(CONTROL!$C$32, $C$9, 100%, $E$9)</f>
        <v>6.1628999999999996</v>
      </c>
      <c r="D424" s="9">
        <f>6.164 * CHOOSE(CONTROL!$C$32, $C$9, 100%, $E$9)</f>
        <v>6.1639999999999997</v>
      </c>
      <c r="E424" s="11">
        <f>6.9568 * CHOOSE(CONTROL!$C$32, $C$9, 100%, $E$9)</f>
        <v>6.9568000000000003</v>
      </c>
      <c r="F424" s="11">
        <f>6.9568 * CHOOSE(CONTROL!$C$32, $C$9, 100%, $E$9)</f>
        <v>6.9568000000000003</v>
      </c>
      <c r="G424" s="11">
        <f>6.9605 * CHOOSE(CONTROL!$C$32, $C$9, 100%, $E$9)</f>
        <v>6.9604999999999997</v>
      </c>
      <c r="H424" s="11">
        <f>13.5409 * CHOOSE(CONTROL!$C$32, $C$9, 100%, $E$9)</f>
        <v>13.540900000000001</v>
      </c>
      <c r="I424" s="11">
        <f>13.5446 * CHOOSE(CONTROL!$C$32, $C$9, 100%, $E$9)</f>
        <v>13.544600000000001</v>
      </c>
      <c r="J424" s="11">
        <f>13.5409 * CHOOSE(CONTROL!$C$32, $C$9, 100%, $E$9)</f>
        <v>13.540900000000001</v>
      </c>
      <c r="K424" s="11">
        <f>13.5446 * CHOOSE(CONTROL!$C$32, $C$9, 100%, $E$9)</f>
        <v>13.544600000000001</v>
      </c>
      <c r="L424" s="11">
        <f>6.9568 * CHOOSE(CONTROL!$C$32, $C$9, 100%, $E$9)</f>
        <v>6.9568000000000003</v>
      </c>
      <c r="M424" s="11">
        <f>6.9605 * CHOOSE(CONTROL!$C$32, $C$9, 100%, $E$9)</f>
        <v>6.9604999999999997</v>
      </c>
      <c r="N424" s="11">
        <f>6.9568 * CHOOSE(CONTROL!$C$32, $C$9, 100%, $E$9)</f>
        <v>6.9568000000000003</v>
      </c>
      <c r="O424" s="11">
        <f>6.9605 * CHOOSE(CONTROL!$C$32, $C$9, 100%, $E$9)</f>
        <v>6.9604999999999997</v>
      </c>
    </row>
    <row r="425" spans="1:15" ht="15" x14ac:dyDescent="0.2">
      <c r="A425" s="13">
        <v>53783</v>
      </c>
      <c r="B425" s="9">
        <f>6.1626 * CHOOSE(CONTROL!$C$32, $C$9, 100%, $E$9)</f>
        <v>6.1626000000000003</v>
      </c>
      <c r="C425" s="9">
        <f>6.1626 * CHOOSE(CONTROL!$C$32, $C$9, 100%, $E$9)</f>
        <v>6.1626000000000003</v>
      </c>
      <c r="D425" s="9">
        <f>6.1637 * CHOOSE(CONTROL!$C$32, $C$9, 100%, $E$9)</f>
        <v>6.1637000000000004</v>
      </c>
      <c r="E425" s="11">
        <f>7.0744 * CHOOSE(CONTROL!$C$32, $C$9, 100%, $E$9)</f>
        <v>7.0743999999999998</v>
      </c>
      <c r="F425" s="11">
        <f>7.0744 * CHOOSE(CONTROL!$C$32, $C$9, 100%, $E$9)</f>
        <v>7.0743999999999998</v>
      </c>
      <c r="G425" s="11">
        <f>7.078 * CHOOSE(CONTROL!$C$32, $C$9, 100%, $E$9)</f>
        <v>7.0780000000000003</v>
      </c>
      <c r="H425" s="11">
        <f>13.5692 * CHOOSE(CONTROL!$C$32, $C$9, 100%, $E$9)</f>
        <v>13.5692</v>
      </c>
      <c r="I425" s="11">
        <f>13.5728 * CHOOSE(CONTROL!$C$32, $C$9, 100%, $E$9)</f>
        <v>13.572800000000001</v>
      </c>
      <c r="J425" s="11">
        <f>13.5692 * CHOOSE(CONTROL!$C$32, $C$9, 100%, $E$9)</f>
        <v>13.5692</v>
      </c>
      <c r="K425" s="11">
        <f>13.5728 * CHOOSE(CONTROL!$C$32, $C$9, 100%, $E$9)</f>
        <v>13.572800000000001</v>
      </c>
      <c r="L425" s="11">
        <f>7.0744 * CHOOSE(CONTROL!$C$32, $C$9, 100%, $E$9)</f>
        <v>7.0743999999999998</v>
      </c>
      <c r="M425" s="11">
        <f>7.078 * CHOOSE(CONTROL!$C$32, $C$9, 100%, $E$9)</f>
        <v>7.0780000000000003</v>
      </c>
      <c r="N425" s="11">
        <f>7.0744 * CHOOSE(CONTROL!$C$32, $C$9, 100%, $E$9)</f>
        <v>7.0743999999999998</v>
      </c>
      <c r="O425" s="11">
        <f>7.078 * CHOOSE(CONTROL!$C$32, $C$9, 100%, $E$9)</f>
        <v>7.0780000000000003</v>
      </c>
    </row>
    <row r="426" spans="1:15" ht="15" x14ac:dyDescent="0.2">
      <c r="A426" s="13">
        <v>53813</v>
      </c>
      <c r="B426" s="9">
        <f>6.1626 * CHOOSE(CONTROL!$C$32, $C$9, 100%, $E$9)</f>
        <v>6.1626000000000003</v>
      </c>
      <c r="C426" s="9">
        <f>6.1626 * CHOOSE(CONTROL!$C$32, $C$9, 100%, $E$9)</f>
        <v>6.1626000000000003</v>
      </c>
      <c r="D426" s="9">
        <f>6.1642 * CHOOSE(CONTROL!$C$32, $C$9, 100%, $E$9)</f>
        <v>6.1642000000000001</v>
      </c>
      <c r="E426" s="11">
        <f>7.1201 * CHOOSE(CONTROL!$C$32, $C$9, 100%, $E$9)</f>
        <v>7.1200999999999999</v>
      </c>
      <c r="F426" s="11">
        <f>7.1201 * CHOOSE(CONTROL!$C$32, $C$9, 100%, $E$9)</f>
        <v>7.1200999999999999</v>
      </c>
      <c r="G426" s="11">
        <f>7.1254 * CHOOSE(CONTROL!$C$32, $C$9, 100%, $E$9)</f>
        <v>7.1254</v>
      </c>
      <c r="H426" s="11">
        <f>13.5974 * CHOOSE(CONTROL!$C$32, $C$9, 100%, $E$9)</f>
        <v>13.5974</v>
      </c>
      <c r="I426" s="11">
        <f>13.6027 * CHOOSE(CONTROL!$C$32, $C$9, 100%, $E$9)</f>
        <v>13.6027</v>
      </c>
      <c r="J426" s="11">
        <f>13.5974 * CHOOSE(CONTROL!$C$32, $C$9, 100%, $E$9)</f>
        <v>13.5974</v>
      </c>
      <c r="K426" s="11">
        <f>13.6027 * CHOOSE(CONTROL!$C$32, $C$9, 100%, $E$9)</f>
        <v>13.6027</v>
      </c>
      <c r="L426" s="11">
        <f>7.1201 * CHOOSE(CONTROL!$C$32, $C$9, 100%, $E$9)</f>
        <v>7.1200999999999999</v>
      </c>
      <c r="M426" s="11">
        <f>7.1254 * CHOOSE(CONTROL!$C$32, $C$9, 100%, $E$9)</f>
        <v>7.1254</v>
      </c>
      <c r="N426" s="11">
        <f>7.1201 * CHOOSE(CONTROL!$C$32, $C$9, 100%, $E$9)</f>
        <v>7.1200999999999999</v>
      </c>
      <c r="O426" s="11">
        <f>7.1254 * CHOOSE(CONTROL!$C$32, $C$9, 100%, $E$9)</f>
        <v>7.1254</v>
      </c>
    </row>
    <row r="427" spans="1:15" ht="15" x14ac:dyDescent="0.2">
      <c r="A427" s="13">
        <v>53844</v>
      </c>
      <c r="B427" s="9">
        <f>6.1687 * CHOOSE(CONTROL!$C$32, $C$9, 100%, $E$9)</f>
        <v>6.1687000000000003</v>
      </c>
      <c r="C427" s="9">
        <f>6.1687 * CHOOSE(CONTROL!$C$32, $C$9, 100%, $E$9)</f>
        <v>6.1687000000000003</v>
      </c>
      <c r="D427" s="9">
        <f>6.1703 * CHOOSE(CONTROL!$C$32, $C$9, 100%, $E$9)</f>
        <v>6.1703000000000001</v>
      </c>
      <c r="E427" s="11">
        <f>7.0787 * CHOOSE(CONTROL!$C$32, $C$9, 100%, $E$9)</f>
        <v>7.0787000000000004</v>
      </c>
      <c r="F427" s="11">
        <f>7.0787 * CHOOSE(CONTROL!$C$32, $C$9, 100%, $E$9)</f>
        <v>7.0787000000000004</v>
      </c>
      <c r="G427" s="11">
        <f>7.0839 * CHOOSE(CONTROL!$C$32, $C$9, 100%, $E$9)</f>
        <v>7.0838999999999999</v>
      </c>
      <c r="H427" s="11">
        <f>13.6257 * CHOOSE(CONTROL!$C$32, $C$9, 100%, $E$9)</f>
        <v>13.6257</v>
      </c>
      <c r="I427" s="11">
        <f>13.631 * CHOOSE(CONTROL!$C$32, $C$9, 100%, $E$9)</f>
        <v>13.631</v>
      </c>
      <c r="J427" s="11">
        <f>13.6257 * CHOOSE(CONTROL!$C$32, $C$9, 100%, $E$9)</f>
        <v>13.6257</v>
      </c>
      <c r="K427" s="11">
        <f>13.631 * CHOOSE(CONTROL!$C$32, $C$9, 100%, $E$9)</f>
        <v>13.631</v>
      </c>
      <c r="L427" s="11">
        <f>7.0787 * CHOOSE(CONTROL!$C$32, $C$9, 100%, $E$9)</f>
        <v>7.0787000000000004</v>
      </c>
      <c r="M427" s="11">
        <f>7.0839 * CHOOSE(CONTROL!$C$32, $C$9, 100%, $E$9)</f>
        <v>7.0838999999999999</v>
      </c>
      <c r="N427" s="11">
        <f>7.0787 * CHOOSE(CONTROL!$C$32, $C$9, 100%, $E$9)</f>
        <v>7.0787000000000004</v>
      </c>
      <c r="O427" s="11">
        <f>7.0839 * CHOOSE(CONTROL!$C$32, $C$9, 100%, $E$9)</f>
        <v>7.0838999999999999</v>
      </c>
    </row>
    <row r="428" spans="1:15" ht="15" x14ac:dyDescent="0.2">
      <c r="A428" s="13">
        <v>53874</v>
      </c>
      <c r="B428" s="9">
        <f>6.251 * CHOOSE(CONTROL!$C$32, $C$9, 100%, $E$9)</f>
        <v>6.2510000000000003</v>
      </c>
      <c r="C428" s="9">
        <f>6.251 * CHOOSE(CONTROL!$C$32, $C$9, 100%, $E$9)</f>
        <v>6.2510000000000003</v>
      </c>
      <c r="D428" s="9">
        <f>6.2526 * CHOOSE(CONTROL!$C$32, $C$9, 100%, $E$9)</f>
        <v>6.2526000000000002</v>
      </c>
      <c r="E428" s="11">
        <f>7.149 * CHOOSE(CONTROL!$C$32, $C$9, 100%, $E$9)</f>
        <v>7.149</v>
      </c>
      <c r="F428" s="11">
        <f>7.149 * CHOOSE(CONTROL!$C$32, $C$9, 100%, $E$9)</f>
        <v>7.149</v>
      </c>
      <c r="G428" s="11">
        <f>7.1543 * CHOOSE(CONTROL!$C$32, $C$9, 100%, $E$9)</f>
        <v>7.1543000000000001</v>
      </c>
      <c r="H428" s="11">
        <f>13.6541 * CHOOSE(CONTROL!$C$32, $C$9, 100%, $E$9)</f>
        <v>13.6541</v>
      </c>
      <c r="I428" s="11">
        <f>13.6594 * CHOOSE(CONTROL!$C$32, $C$9, 100%, $E$9)</f>
        <v>13.6594</v>
      </c>
      <c r="J428" s="11">
        <f>13.6541 * CHOOSE(CONTROL!$C$32, $C$9, 100%, $E$9)</f>
        <v>13.6541</v>
      </c>
      <c r="K428" s="11">
        <f>13.6594 * CHOOSE(CONTROL!$C$32, $C$9, 100%, $E$9)</f>
        <v>13.6594</v>
      </c>
      <c r="L428" s="11">
        <f>7.149 * CHOOSE(CONTROL!$C$32, $C$9, 100%, $E$9)</f>
        <v>7.149</v>
      </c>
      <c r="M428" s="11">
        <f>7.1543 * CHOOSE(CONTROL!$C$32, $C$9, 100%, $E$9)</f>
        <v>7.1543000000000001</v>
      </c>
      <c r="N428" s="11">
        <f>7.149 * CHOOSE(CONTROL!$C$32, $C$9, 100%, $E$9)</f>
        <v>7.149</v>
      </c>
      <c r="O428" s="11">
        <f>7.1543 * CHOOSE(CONTROL!$C$32, $C$9, 100%, $E$9)</f>
        <v>7.1543000000000001</v>
      </c>
    </row>
    <row r="429" spans="1:15" ht="15" x14ac:dyDescent="0.2">
      <c r="A429" s="13">
        <v>53905</v>
      </c>
      <c r="B429" s="9">
        <f>6.2577 * CHOOSE(CONTROL!$C$32, $C$9, 100%, $E$9)</f>
        <v>6.2576999999999998</v>
      </c>
      <c r="C429" s="9">
        <f>6.2577 * CHOOSE(CONTROL!$C$32, $C$9, 100%, $E$9)</f>
        <v>6.2576999999999998</v>
      </c>
      <c r="D429" s="9">
        <f>6.2593 * CHOOSE(CONTROL!$C$32, $C$9, 100%, $E$9)</f>
        <v>6.2592999999999996</v>
      </c>
      <c r="E429" s="11">
        <f>7.0166 * CHOOSE(CONTROL!$C$32, $C$9, 100%, $E$9)</f>
        <v>7.0166000000000004</v>
      </c>
      <c r="F429" s="11">
        <f>7.0166 * CHOOSE(CONTROL!$C$32, $C$9, 100%, $E$9)</f>
        <v>7.0166000000000004</v>
      </c>
      <c r="G429" s="11">
        <f>7.0219 * CHOOSE(CONTROL!$C$32, $C$9, 100%, $E$9)</f>
        <v>7.0218999999999996</v>
      </c>
      <c r="H429" s="11">
        <f>13.6826 * CHOOSE(CONTROL!$C$32, $C$9, 100%, $E$9)</f>
        <v>13.682600000000001</v>
      </c>
      <c r="I429" s="11">
        <f>13.6879 * CHOOSE(CONTROL!$C$32, $C$9, 100%, $E$9)</f>
        <v>13.687900000000001</v>
      </c>
      <c r="J429" s="11">
        <f>13.6826 * CHOOSE(CONTROL!$C$32, $C$9, 100%, $E$9)</f>
        <v>13.682600000000001</v>
      </c>
      <c r="K429" s="11">
        <f>13.6879 * CHOOSE(CONTROL!$C$32, $C$9, 100%, $E$9)</f>
        <v>13.687900000000001</v>
      </c>
      <c r="L429" s="11">
        <f>7.0166 * CHOOSE(CONTROL!$C$32, $C$9, 100%, $E$9)</f>
        <v>7.0166000000000004</v>
      </c>
      <c r="M429" s="11">
        <f>7.0219 * CHOOSE(CONTROL!$C$32, $C$9, 100%, $E$9)</f>
        <v>7.0218999999999996</v>
      </c>
      <c r="N429" s="11">
        <f>7.0166 * CHOOSE(CONTROL!$C$32, $C$9, 100%, $E$9)</f>
        <v>7.0166000000000004</v>
      </c>
      <c r="O429" s="11">
        <f>7.0219 * CHOOSE(CONTROL!$C$32, $C$9, 100%, $E$9)</f>
        <v>7.0218999999999996</v>
      </c>
    </row>
    <row r="430" spans="1:15" ht="15" x14ac:dyDescent="0.2">
      <c r="A430" s="13">
        <v>53936</v>
      </c>
      <c r="B430" s="9">
        <f>6.2547 * CHOOSE(CONTROL!$C$32, $C$9, 100%, $E$9)</f>
        <v>6.2546999999999997</v>
      </c>
      <c r="C430" s="9">
        <f>6.2547 * CHOOSE(CONTROL!$C$32, $C$9, 100%, $E$9)</f>
        <v>6.2546999999999997</v>
      </c>
      <c r="D430" s="9">
        <f>6.2562 * CHOOSE(CONTROL!$C$32, $C$9, 100%, $E$9)</f>
        <v>6.2561999999999998</v>
      </c>
      <c r="E430" s="11">
        <f>6.9993 * CHOOSE(CONTROL!$C$32, $C$9, 100%, $E$9)</f>
        <v>6.9992999999999999</v>
      </c>
      <c r="F430" s="11">
        <f>6.9993 * CHOOSE(CONTROL!$C$32, $C$9, 100%, $E$9)</f>
        <v>6.9992999999999999</v>
      </c>
      <c r="G430" s="11">
        <f>7.0045 * CHOOSE(CONTROL!$C$32, $C$9, 100%, $E$9)</f>
        <v>7.0045000000000002</v>
      </c>
      <c r="H430" s="11">
        <f>13.7111 * CHOOSE(CONTROL!$C$32, $C$9, 100%, $E$9)</f>
        <v>13.7111</v>
      </c>
      <c r="I430" s="11">
        <f>13.7164 * CHOOSE(CONTROL!$C$32, $C$9, 100%, $E$9)</f>
        <v>13.7164</v>
      </c>
      <c r="J430" s="11">
        <f>13.7111 * CHOOSE(CONTROL!$C$32, $C$9, 100%, $E$9)</f>
        <v>13.7111</v>
      </c>
      <c r="K430" s="11">
        <f>13.7164 * CHOOSE(CONTROL!$C$32, $C$9, 100%, $E$9)</f>
        <v>13.7164</v>
      </c>
      <c r="L430" s="11">
        <f>6.9993 * CHOOSE(CONTROL!$C$32, $C$9, 100%, $E$9)</f>
        <v>6.9992999999999999</v>
      </c>
      <c r="M430" s="11">
        <f>7.0045 * CHOOSE(CONTROL!$C$32, $C$9, 100%, $E$9)</f>
        <v>7.0045000000000002</v>
      </c>
      <c r="N430" s="11">
        <f>6.9993 * CHOOSE(CONTROL!$C$32, $C$9, 100%, $E$9)</f>
        <v>6.9992999999999999</v>
      </c>
      <c r="O430" s="11">
        <f>7.0045 * CHOOSE(CONTROL!$C$32, $C$9, 100%, $E$9)</f>
        <v>7.0045000000000002</v>
      </c>
    </row>
    <row r="431" spans="1:15" ht="15" x14ac:dyDescent="0.2">
      <c r="A431" s="13">
        <v>53966</v>
      </c>
      <c r="B431" s="9">
        <f>6.2581 * CHOOSE(CONTROL!$C$32, $C$9, 100%, $E$9)</f>
        <v>6.2580999999999998</v>
      </c>
      <c r="C431" s="9">
        <f>6.2581 * CHOOSE(CONTROL!$C$32, $C$9, 100%, $E$9)</f>
        <v>6.2580999999999998</v>
      </c>
      <c r="D431" s="9">
        <f>6.2592 * CHOOSE(CONTROL!$C$32, $C$9, 100%, $E$9)</f>
        <v>6.2591999999999999</v>
      </c>
      <c r="E431" s="11">
        <f>7.0467 * CHOOSE(CONTROL!$C$32, $C$9, 100%, $E$9)</f>
        <v>7.0467000000000004</v>
      </c>
      <c r="F431" s="11">
        <f>7.0467 * CHOOSE(CONTROL!$C$32, $C$9, 100%, $E$9)</f>
        <v>7.0467000000000004</v>
      </c>
      <c r="G431" s="11">
        <f>7.0504 * CHOOSE(CONTROL!$C$32, $C$9, 100%, $E$9)</f>
        <v>7.0503999999999998</v>
      </c>
      <c r="H431" s="11">
        <f>13.7397 * CHOOSE(CONTROL!$C$32, $C$9, 100%, $E$9)</f>
        <v>13.739699999999999</v>
      </c>
      <c r="I431" s="11">
        <f>13.7433 * CHOOSE(CONTROL!$C$32, $C$9, 100%, $E$9)</f>
        <v>13.7433</v>
      </c>
      <c r="J431" s="11">
        <f>13.7397 * CHOOSE(CONTROL!$C$32, $C$9, 100%, $E$9)</f>
        <v>13.739699999999999</v>
      </c>
      <c r="K431" s="11">
        <f>13.7433 * CHOOSE(CONTROL!$C$32, $C$9, 100%, $E$9)</f>
        <v>13.7433</v>
      </c>
      <c r="L431" s="11">
        <f>7.0467 * CHOOSE(CONTROL!$C$32, $C$9, 100%, $E$9)</f>
        <v>7.0467000000000004</v>
      </c>
      <c r="M431" s="11">
        <f>7.0504 * CHOOSE(CONTROL!$C$32, $C$9, 100%, $E$9)</f>
        <v>7.0503999999999998</v>
      </c>
      <c r="N431" s="11">
        <f>7.0467 * CHOOSE(CONTROL!$C$32, $C$9, 100%, $E$9)</f>
        <v>7.0467000000000004</v>
      </c>
      <c r="O431" s="11">
        <f>7.0504 * CHOOSE(CONTROL!$C$32, $C$9, 100%, $E$9)</f>
        <v>7.0503999999999998</v>
      </c>
    </row>
    <row r="432" spans="1:15" ht="15" x14ac:dyDescent="0.2">
      <c r="A432" s="13">
        <v>53997</v>
      </c>
      <c r="B432" s="9">
        <f>6.2611 * CHOOSE(CONTROL!$C$32, $C$9, 100%, $E$9)</f>
        <v>6.2610999999999999</v>
      </c>
      <c r="C432" s="9">
        <f>6.2611 * CHOOSE(CONTROL!$C$32, $C$9, 100%, $E$9)</f>
        <v>6.2610999999999999</v>
      </c>
      <c r="D432" s="9">
        <f>6.2622 * CHOOSE(CONTROL!$C$32, $C$9, 100%, $E$9)</f>
        <v>6.2622</v>
      </c>
      <c r="E432" s="11">
        <f>7.0793 * CHOOSE(CONTROL!$C$32, $C$9, 100%, $E$9)</f>
        <v>7.0792999999999999</v>
      </c>
      <c r="F432" s="11">
        <f>7.0793 * CHOOSE(CONTROL!$C$32, $C$9, 100%, $E$9)</f>
        <v>7.0792999999999999</v>
      </c>
      <c r="G432" s="11">
        <f>7.0829 * CHOOSE(CONTROL!$C$32, $C$9, 100%, $E$9)</f>
        <v>7.0829000000000004</v>
      </c>
      <c r="H432" s="11">
        <f>13.7683 * CHOOSE(CONTROL!$C$32, $C$9, 100%, $E$9)</f>
        <v>13.7683</v>
      </c>
      <c r="I432" s="11">
        <f>13.7719 * CHOOSE(CONTROL!$C$32, $C$9, 100%, $E$9)</f>
        <v>13.7719</v>
      </c>
      <c r="J432" s="11">
        <f>13.7683 * CHOOSE(CONTROL!$C$32, $C$9, 100%, $E$9)</f>
        <v>13.7683</v>
      </c>
      <c r="K432" s="11">
        <f>13.7719 * CHOOSE(CONTROL!$C$32, $C$9, 100%, $E$9)</f>
        <v>13.7719</v>
      </c>
      <c r="L432" s="11">
        <f>7.0793 * CHOOSE(CONTROL!$C$32, $C$9, 100%, $E$9)</f>
        <v>7.0792999999999999</v>
      </c>
      <c r="M432" s="11">
        <f>7.0829 * CHOOSE(CONTROL!$C$32, $C$9, 100%, $E$9)</f>
        <v>7.0829000000000004</v>
      </c>
      <c r="N432" s="11">
        <f>7.0793 * CHOOSE(CONTROL!$C$32, $C$9, 100%, $E$9)</f>
        <v>7.0792999999999999</v>
      </c>
      <c r="O432" s="11">
        <f>7.0829 * CHOOSE(CONTROL!$C$32, $C$9, 100%, $E$9)</f>
        <v>7.0829000000000004</v>
      </c>
    </row>
    <row r="433" spans="1:15" ht="15" x14ac:dyDescent="0.2">
      <c r="A433" s="13">
        <v>54027</v>
      </c>
      <c r="B433" s="9">
        <f>6.2611 * CHOOSE(CONTROL!$C$32, $C$9, 100%, $E$9)</f>
        <v>6.2610999999999999</v>
      </c>
      <c r="C433" s="9">
        <f>6.2611 * CHOOSE(CONTROL!$C$32, $C$9, 100%, $E$9)</f>
        <v>6.2610999999999999</v>
      </c>
      <c r="D433" s="9">
        <f>6.2622 * CHOOSE(CONTROL!$C$32, $C$9, 100%, $E$9)</f>
        <v>6.2622</v>
      </c>
      <c r="E433" s="11">
        <f>7.0032 * CHOOSE(CONTROL!$C$32, $C$9, 100%, $E$9)</f>
        <v>7.0031999999999996</v>
      </c>
      <c r="F433" s="11">
        <f>7.0032 * CHOOSE(CONTROL!$C$32, $C$9, 100%, $E$9)</f>
        <v>7.0031999999999996</v>
      </c>
      <c r="G433" s="11">
        <f>7.0068 * CHOOSE(CONTROL!$C$32, $C$9, 100%, $E$9)</f>
        <v>7.0068000000000001</v>
      </c>
      <c r="H433" s="11">
        <f>13.797 * CHOOSE(CONTROL!$C$32, $C$9, 100%, $E$9)</f>
        <v>13.797000000000001</v>
      </c>
      <c r="I433" s="11">
        <f>13.8006 * CHOOSE(CONTROL!$C$32, $C$9, 100%, $E$9)</f>
        <v>13.800599999999999</v>
      </c>
      <c r="J433" s="11">
        <f>13.797 * CHOOSE(CONTROL!$C$32, $C$9, 100%, $E$9)</f>
        <v>13.797000000000001</v>
      </c>
      <c r="K433" s="11">
        <f>13.8006 * CHOOSE(CONTROL!$C$32, $C$9, 100%, $E$9)</f>
        <v>13.800599999999999</v>
      </c>
      <c r="L433" s="11">
        <f>7.0032 * CHOOSE(CONTROL!$C$32, $C$9, 100%, $E$9)</f>
        <v>7.0031999999999996</v>
      </c>
      <c r="M433" s="11">
        <f>7.0068 * CHOOSE(CONTROL!$C$32, $C$9, 100%, $E$9)</f>
        <v>7.0068000000000001</v>
      </c>
      <c r="N433" s="11">
        <f>7.0032 * CHOOSE(CONTROL!$C$32, $C$9, 100%, $E$9)</f>
        <v>7.0031999999999996</v>
      </c>
      <c r="O433" s="11">
        <f>7.0068 * CHOOSE(CONTROL!$C$32, $C$9, 100%, $E$9)</f>
        <v>7.0068000000000001</v>
      </c>
    </row>
    <row r="434" spans="1:15" ht="15" x14ac:dyDescent="0.2">
      <c r="A434" s="13">
        <v>54058</v>
      </c>
      <c r="B434" s="9">
        <f>6.3089 * CHOOSE(CONTROL!$C$32, $C$9, 100%, $E$9)</f>
        <v>6.3089000000000004</v>
      </c>
      <c r="C434" s="9">
        <f>6.3089 * CHOOSE(CONTROL!$C$32, $C$9, 100%, $E$9)</f>
        <v>6.3089000000000004</v>
      </c>
      <c r="D434" s="9">
        <f>6.3099 * CHOOSE(CONTROL!$C$32, $C$9, 100%, $E$9)</f>
        <v>6.3098999999999998</v>
      </c>
      <c r="E434" s="11">
        <f>7.1107 * CHOOSE(CONTROL!$C$32, $C$9, 100%, $E$9)</f>
        <v>7.1106999999999996</v>
      </c>
      <c r="F434" s="11">
        <f>7.1107 * CHOOSE(CONTROL!$C$32, $C$9, 100%, $E$9)</f>
        <v>7.1106999999999996</v>
      </c>
      <c r="G434" s="11">
        <f>7.1143 * CHOOSE(CONTROL!$C$32, $C$9, 100%, $E$9)</f>
        <v>7.1143000000000001</v>
      </c>
      <c r="H434" s="11">
        <f>13.8257 * CHOOSE(CONTROL!$C$32, $C$9, 100%, $E$9)</f>
        <v>13.825699999999999</v>
      </c>
      <c r="I434" s="11">
        <f>13.8293 * CHOOSE(CONTROL!$C$32, $C$9, 100%, $E$9)</f>
        <v>13.8293</v>
      </c>
      <c r="J434" s="11">
        <f>13.8257 * CHOOSE(CONTROL!$C$32, $C$9, 100%, $E$9)</f>
        <v>13.825699999999999</v>
      </c>
      <c r="K434" s="11">
        <f>13.8293 * CHOOSE(CONTROL!$C$32, $C$9, 100%, $E$9)</f>
        <v>13.8293</v>
      </c>
      <c r="L434" s="11">
        <f>7.1107 * CHOOSE(CONTROL!$C$32, $C$9, 100%, $E$9)</f>
        <v>7.1106999999999996</v>
      </c>
      <c r="M434" s="11">
        <f>7.1143 * CHOOSE(CONTROL!$C$32, $C$9, 100%, $E$9)</f>
        <v>7.1143000000000001</v>
      </c>
      <c r="N434" s="11">
        <f>7.1107 * CHOOSE(CONTROL!$C$32, $C$9, 100%, $E$9)</f>
        <v>7.1106999999999996</v>
      </c>
      <c r="O434" s="11">
        <f>7.1143 * CHOOSE(CONTROL!$C$32, $C$9, 100%, $E$9)</f>
        <v>7.1143000000000001</v>
      </c>
    </row>
    <row r="435" spans="1:15" ht="15" x14ac:dyDescent="0.2">
      <c r="A435" s="13">
        <v>54089</v>
      </c>
      <c r="B435" s="9">
        <f>6.3058 * CHOOSE(CONTROL!$C$32, $C$9, 100%, $E$9)</f>
        <v>6.3057999999999996</v>
      </c>
      <c r="C435" s="9">
        <f>6.3058 * CHOOSE(CONTROL!$C$32, $C$9, 100%, $E$9)</f>
        <v>6.3057999999999996</v>
      </c>
      <c r="D435" s="9">
        <f>6.3069 * CHOOSE(CONTROL!$C$32, $C$9, 100%, $E$9)</f>
        <v>6.3068999999999997</v>
      </c>
      <c r="E435" s="11">
        <f>6.96 * CHOOSE(CONTROL!$C$32, $C$9, 100%, $E$9)</f>
        <v>6.96</v>
      </c>
      <c r="F435" s="11">
        <f>6.96 * CHOOSE(CONTROL!$C$32, $C$9, 100%, $E$9)</f>
        <v>6.96</v>
      </c>
      <c r="G435" s="11">
        <f>6.9636 * CHOOSE(CONTROL!$C$32, $C$9, 100%, $E$9)</f>
        <v>6.9635999999999996</v>
      </c>
      <c r="H435" s="11">
        <f>13.8545 * CHOOSE(CONTROL!$C$32, $C$9, 100%, $E$9)</f>
        <v>13.8545</v>
      </c>
      <c r="I435" s="11">
        <f>13.8581 * CHOOSE(CONTROL!$C$32, $C$9, 100%, $E$9)</f>
        <v>13.8581</v>
      </c>
      <c r="J435" s="11">
        <f>13.8545 * CHOOSE(CONTROL!$C$32, $C$9, 100%, $E$9)</f>
        <v>13.8545</v>
      </c>
      <c r="K435" s="11">
        <f>13.8581 * CHOOSE(CONTROL!$C$32, $C$9, 100%, $E$9)</f>
        <v>13.8581</v>
      </c>
      <c r="L435" s="11">
        <f>6.96 * CHOOSE(CONTROL!$C$32, $C$9, 100%, $E$9)</f>
        <v>6.96</v>
      </c>
      <c r="M435" s="11">
        <f>6.9636 * CHOOSE(CONTROL!$C$32, $C$9, 100%, $E$9)</f>
        <v>6.9635999999999996</v>
      </c>
      <c r="N435" s="11">
        <f>6.96 * CHOOSE(CONTROL!$C$32, $C$9, 100%, $E$9)</f>
        <v>6.96</v>
      </c>
      <c r="O435" s="11">
        <f>6.9636 * CHOOSE(CONTROL!$C$32, $C$9, 100%, $E$9)</f>
        <v>6.9635999999999996</v>
      </c>
    </row>
    <row r="436" spans="1:15" ht="15" x14ac:dyDescent="0.2">
      <c r="A436" s="13">
        <v>54118</v>
      </c>
      <c r="B436" s="9">
        <f>6.3028 * CHOOSE(CONTROL!$C$32, $C$9, 100%, $E$9)</f>
        <v>6.3028000000000004</v>
      </c>
      <c r="C436" s="9">
        <f>6.3028 * CHOOSE(CONTROL!$C$32, $C$9, 100%, $E$9)</f>
        <v>6.3028000000000004</v>
      </c>
      <c r="D436" s="9">
        <f>6.3038 * CHOOSE(CONTROL!$C$32, $C$9, 100%, $E$9)</f>
        <v>6.3037999999999998</v>
      </c>
      <c r="E436" s="11">
        <f>7.075 * CHOOSE(CONTROL!$C$32, $C$9, 100%, $E$9)</f>
        <v>7.0750000000000002</v>
      </c>
      <c r="F436" s="11">
        <f>7.075 * CHOOSE(CONTROL!$C$32, $C$9, 100%, $E$9)</f>
        <v>7.0750000000000002</v>
      </c>
      <c r="G436" s="11">
        <f>7.0786 * CHOOSE(CONTROL!$C$32, $C$9, 100%, $E$9)</f>
        <v>7.0785999999999998</v>
      </c>
      <c r="H436" s="11">
        <f>13.8834 * CHOOSE(CONTROL!$C$32, $C$9, 100%, $E$9)</f>
        <v>13.8834</v>
      </c>
      <c r="I436" s="11">
        <f>13.887 * CHOOSE(CONTROL!$C$32, $C$9, 100%, $E$9)</f>
        <v>13.887</v>
      </c>
      <c r="J436" s="11">
        <f>13.8834 * CHOOSE(CONTROL!$C$32, $C$9, 100%, $E$9)</f>
        <v>13.8834</v>
      </c>
      <c r="K436" s="11">
        <f>13.887 * CHOOSE(CONTROL!$C$32, $C$9, 100%, $E$9)</f>
        <v>13.887</v>
      </c>
      <c r="L436" s="11">
        <f>7.075 * CHOOSE(CONTROL!$C$32, $C$9, 100%, $E$9)</f>
        <v>7.0750000000000002</v>
      </c>
      <c r="M436" s="11">
        <f>7.0786 * CHOOSE(CONTROL!$C$32, $C$9, 100%, $E$9)</f>
        <v>7.0785999999999998</v>
      </c>
      <c r="N436" s="11">
        <f>7.075 * CHOOSE(CONTROL!$C$32, $C$9, 100%, $E$9)</f>
        <v>7.0750000000000002</v>
      </c>
      <c r="O436" s="11">
        <f>7.0786 * CHOOSE(CONTROL!$C$32, $C$9, 100%, $E$9)</f>
        <v>7.0785999999999998</v>
      </c>
    </row>
    <row r="437" spans="1:15" ht="15" x14ac:dyDescent="0.2">
      <c r="A437" s="13">
        <v>54149</v>
      </c>
      <c r="B437" s="9">
        <f>6.3027 * CHOOSE(CONTROL!$C$32, $C$9, 100%, $E$9)</f>
        <v>6.3026999999999997</v>
      </c>
      <c r="C437" s="9">
        <f>6.3027 * CHOOSE(CONTROL!$C$32, $C$9, 100%, $E$9)</f>
        <v>6.3026999999999997</v>
      </c>
      <c r="D437" s="9">
        <f>6.3037 * CHOOSE(CONTROL!$C$32, $C$9, 100%, $E$9)</f>
        <v>6.3037000000000001</v>
      </c>
      <c r="E437" s="11">
        <f>7.1965 * CHOOSE(CONTROL!$C$32, $C$9, 100%, $E$9)</f>
        <v>7.1965000000000003</v>
      </c>
      <c r="F437" s="11">
        <f>7.1965 * CHOOSE(CONTROL!$C$32, $C$9, 100%, $E$9)</f>
        <v>7.1965000000000003</v>
      </c>
      <c r="G437" s="11">
        <f>7.2001 * CHOOSE(CONTROL!$C$32, $C$9, 100%, $E$9)</f>
        <v>7.2000999999999999</v>
      </c>
      <c r="H437" s="11">
        <f>13.9123 * CHOOSE(CONTROL!$C$32, $C$9, 100%, $E$9)</f>
        <v>13.9123</v>
      </c>
      <c r="I437" s="11">
        <f>13.9159 * CHOOSE(CONTROL!$C$32, $C$9, 100%, $E$9)</f>
        <v>13.915900000000001</v>
      </c>
      <c r="J437" s="11">
        <f>13.9123 * CHOOSE(CONTROL!$C$32, $C$9, 100%, $E$9)</f>
        <v>13.9123</v>
      </c>
      <c r="K437" s="11">
        <f>13.9159 * CHOOSE(CONTROL!$C$32, $C$9, 100%, $E$9)</f>
        <v>13.915900000000001</v>
      </c>
      <c r="L437" s="11">
        <f>7.1965 * CHOOSE(CONTROL!$C$32, $C$9, 100%, $E$9)</f>
        <v>7.1965000000000003</v>
      </c>
      <c r="M437" s="11">
        <f>7.2001 * CHOOSE(CONTROL!$C$32, $C$9, 100%, $E$9)</f>
        <v>7.2000999999999999</v>
      </c>
      <c r="N437" s="11">
        <f>7.1965 * CHOOSE(CONTROL!$C$32, $C$9, 100%, $E$9)</f>
        <v>7.1965000000000003</v>
      </c>
      <c r="O437" s="11">
        <f>7.2001 * CHOOSE(CONTROL!$C$32, $C$9, 100%, $E$9)</f>
        <v>7.2000999999999999</v>
      </c>
    </row>
    <row r="438" spans="1:15" ht="15" x14ac:dyDescent="0.2">
      <c r="A438" s="13">
        <v>54179</v>
      </c>
      <c r="B438" s="9">
        <f>6.3027 * CHOOSE(CONTROL!$C$32, $C$9, 100%, $E$9)</f>
        <v>6.3026999999999997</v>
      </c>
      <c r="C438" s="9">
        <f>6.3027 * CHOOSE(CONTROL!$C$32, $C$9, 100%, $E$9)</f>
        <v>6.3026999999999997</v>
      </c>
      <c r="D438" s="9">
        <f>6.3042 * CHOOSE(CONTROL!$C$32, $C$9, 100%, $E$9)</f>
        <v>6.3041999999999998</v>
      </c>
      <c r="E438" s="11">
        <f>7.2437 * CHOOSE(CONTROL!$C$32, $C$9, 100%, $E$9)</f>
        <v>7.2436999999999996</v>
      </c>
      <c r="F438" s="11">
        <f>7.2437 * CHOOSE(CONTROL!$C$32, $C$9, 100%, $E$9)</f>
        <v>7.2436999999999996</v>
      </c>
      <c r="G438" s="11">
        <f>7.249 * CHOOSE(CONTROL!$C$32, $C$9, 100%, $E$9)</f>
        <v>7.2489999999999997</v>
      </c>
      <c r="H438" s="11">
        <f>13.9413 * CHOOSE(CONTROL!$C$32, $C$9, 100%, $E$9)</f>
        <v>13.9413</v>
      </c>
      <c r="I438" s="11">
        <f>13.9466 * CHOOSE(CONTROL!$C$32, $C$9, 100%, $E$9)</f>
        <v>13.9466</v>
      </c>
      <c r="J438" s="11">
        <f>13.9413 * CHOOSE(CONTROL!$C$32, $C$9, 100%, $E$9)</f>
        <v>13.9413</v>
      </c>
      <c r="K438" s="11">
        <f>13.9466 * CHOOSE(CONTROL!$C$32, $C$9, 100%, $E$9)</f>
        <v>13.9466</v>
      </c>
      <c r="L438" s="11">
        <f>7.2437 * CHOOSE(CONTROL!$C$32, $C$9, 100%, $E$9)</f>
        <v>7.2436999999999996</v>
      </c>
      <c r="M438" s="11">
        <f>7.249 * CHOOSE(CONTROL!$C$32, $C$9, 100%, $E$9)</f>
        <v>7.2489999999999997</v>
      </c>
      <c r="N438" s="11">
        <f>7.2437 * CHOOSE(CONTROL!$C$32, $C$9, 100%, $E$9)</f>
        <v>7.2436999999999996</v>
      </c>
      <c r="O438" s="11">
        <f>7.249 * CHOOSE(CONTROL!$C$32, $C$9, 100%, $E$9)</f>
        <v>7.2489999999999997</v>
      </c>
    </row>
    <row r="439" spans="1:15" ht="15" x14ac:dyDescent="0.2">
      <c r="A439" s="13">
        <v>54210</v>
      </c>
      <c r="B439" s="9">
        <f>6.3087 * CHOOSE(CONTROL!$C$32, $C$9, 100%, $E$9)</f>
        <v>6.3087</v>
      </c>
      <c r="C439" s="9">
        <f>6.3087 * CHOOSE(CONTROL!$C$32, $C$9, 100%, $E$9)</f>
        <v>6.3087</v>
      </c>
      <c r="D439" s="9">
        <f>6.3103 * CHOOSE(CONTROL!$C$32, $C$9, 100%, $E$9)</f>
        <v>6.3102999999999998</v>
      </c>
      <c r="E439" s="11">
        <f>7.2008 * CHOOSE(CONTROL!$C$32, $C$9, 100%, $E$9)</f>
        <v>7.2008000000000001</v>
      </c>
      <c r="F439" s="11">
        <f>7.2008 * CHOOSE(CONTROL!$C$32, $C$9, 100%, $E$9)</f>
        <v>7.2008000000000001</v>
      </c>
      <c r="G439" s="11">
        <f>7.206 * CHOOSE(CONTROL!$C$32, $C$9, 100%, $E$9)</f>
        <v>7.2060000000000004</v>
      </c>
      <c r="H439" s="11">
        <f>13.9703 * CHOOSE(CONTROL!$C$32, $C$9, 100%, $E$9)</f>
        <v>13.9703</v>
      </c>
      <c r="I439" s="11">
        <f>13.9756 * CHOOSE(CONTROL!$C$32, $C$9, 100%, $E$9)</f>
        <v>13.9756</v>
      </c>
      <c r="J439" s="11">
        <f>13.9703 * CHOOSE(CONTROL!$C$32, $C$9, 100%, $E$9)</f>
        <v>13.9703</v>
      </c>
      <c r="K439" s="11">
        <f>13.9756 * CHOOSE(CONTROL!$C$32, $C$9, 100%, $E$9)</f>
        <v>13.9756</v>
      </c>
      <c r="L439" s="11">
        <f>7.2008 * CHOOSE(CONTROL!$C$32, $C$9, 100%, $E$9)</f>
        <v>7.2008000000000001</v>
      </c>
      <c r="M439" s="11">
        <f>7.206 * CHOOSE(CONTROL!$C$32, $C$9, 100%, $E$9)</f>
        <v>7.2060000000000004</v>
      </c>
      <c r="N439" s="11">
        <f>7.2008 * CHOOSE(CONTROL!$C$32, $C$9, 100%, $E$9)</f>
        <v>7.2008000000000001</v>
      </c>
      <c r="O439" s="11">
        <f>7.206 * CHOOSE(CONTROL!$C$32, $C$9, 100%, $E$9)</f>
        <v>7.2060000000000004</v>
      </c>
    </row>
    <row r="440" spans="1:15" ht="15" x14ac:dyDescent="0.2">
      <c r="A440" s="13">
        <v>54240</v>
      </c>
      <c r="B440" s="9">
        <f>6.3926 * CHOOSE(CONTROL!$C$32, $C$9, 100%, $E$9)</f>
        <v>6.3925999999999998</v>
      </c>
      <c r="C440" s="9">
        <f>6.3926 * CHOOSE(CONTROL!$C$32, $C$9, 100%, $E$9)</f>
        <v>6.3925999999999998</v>
      </c>
      <c r="D440" s="9">
        <f>6.3942 * CHOOSE(CONTROL!$C$32, $C$9, 100%, $E$9)</f>
        <v>6.3941999999999997</v>
      </c>
      <c r="E440" s="11">
        <f>7.2866 * CHOOSE(CONTROL!$C$32, $C$9, 100%, $E$9)</f>
        <v>7.2866</v>
      </c>
      <c r="F440" s="11">
        <f>7.2866 * CHOOSE(CONTROL!$C$32, $C$9, 100%, $E$9)</f>
        <v>7.2866</v>
      </c>
      <c r="G440" s="11">
        <f>7.2919 * CHOOSE(CONTROL!$C$32, $C$9, 100%, $E$9)</f>
        <v>7.2919</v>
      </c>
      <c r="H440" s="11">
        <f>13.9994 * CHOOSE(CONTROL!$C$32, $C$9, 100%, $E$9)</f>
        <v>13.9994</v>
      </c>
      <c r="I440" s="11">
        <f>14.0047 * CHOOSE(CONTROL!$C$32, $C$9, 100%, $E$9)</f>
        <v>14.0047</v>
      </c>
      <c r="J440" s="11">
        <f>13.9994 * CHOOSE(CONTROL!$C$32, $C$9, 100%, $E$9)</f>
        <v>13.9994</v>
      </c>
      <c r="K440" s="11">
        <f>14.0047 * CHOOSE(CONTROL!$C$32, $C$9, 100%, $E$9)</f>
        <v>14.0047</v>
      </c>
      <c r="L440" s="11">
        <f>7.2866 * CHOOSE(CONTROL!$C$32, $C$9, 100%, $E$9)</f>
        <v>7.2866</v>
      </c>
      <c r="M440" s="11">
        <f>7.2919 * CHOOSE(CONTROL!$C$32, $C$9, 100%, $E$9)</f>
        <v>7.2919</v>
      </c>
      <c r="N440" s="11">
        <f>7.2866 * CHOOSE(CONTROL!$C$32, $C$9, 100%, $E$9)</f>
        <v>7.2866</v>
      </c>
      <c r="O440" s="11">
        <f>7.2919 * CHOOSE(CONTROL!$C$32, $C$9, 100%, $E$9)</f>
        <v>7.2919</v>
      </c>
    </row>
    <row r="441" spans="1:15" ht="15" x14ac:dyDescent="0.2">
      <c r="A441" s="13">
        <v>54271</v>
      </c>
      <c r="B441" s="9">
        <f>6.3993 * CHOOSE(CONTROL!$C$32, $C$9, 100%, $E$9)</f>
        <v>6.3993000000000002</v>
      </c>
      <c r="C441" s="9">
        <f>6.3993 * CHOOSE(CONTROL!$C$32, $C$9, 100%, $E$9)</f>
        <v>6.3993000000000002</v>
      </c>
      <c r="D441" s="9">
        <f>6.4009 * CHOOSE(CONTROL!$C$32, $C$9, 100%, $E$9)</f>
        <v>6.4009</v>
      </c>
      <c r="E441" s="11">
        <f>7.1497 * CHOOSE(CONTROL!$C$32, $C$9, 100%, $E$9)</f>
        <v>7.1497000000000002</v>
      </c>
      <c r="F441" s="11">
        <f>7.1497 * CHOOSE(CONTROL!$C$32, $C$9, 100%, $E$9)</f>
        <v>7.1497000000000002</v>
      </c>
      <c r="G441" s="11">
        <f>7.155 * CHOOSE(CONTROL!$C$32, $C$9, 100%, $E$9)</f>
        <v>7.1550000000000002</v>
      </c>
      <c r="H441" s="11">
        <f>14.0286 * CHOOSE(CONTROL!$C$32, $C$9, 100%, $E$9)</f>
        <v>14.028600000000001</v>
      </c>
      <c r="I441" s="11">
        <f>14.0339 * CHOOSE(CONTROL!$C$32, $C$9, 100%, $E$9)</f>
        <v>14.033899999999999</v>
      </c>
      <c r="J441" s="11">
        <f>14.0286 * CHOOSE(CONTROL!$C$32, $C$9, 100%, $E$9)</f>
        <v>14.028600000000001</v>
      </c>
      <c r="K441" s="11">
        <f>14.0339 * CHOOSE(CONTROL!$C$32, $C$9, 100%, $E$9)</f>
        <v>14.033899999999999</v>
      </c>
      <c r="L441" s="11">
        <f>7.1497 * CHOOSE(CONTROL!$C$32, $C$9, 100%, $E$9)</f>
        <v>7.1497000000000002</v>
      </c>
      <c r="M441" s="11">
        <f>7.155 * CHOOSE(CONTROL!$C$32, $C$9, 100%, $E$9)</f>
        <v>7.1550000000000002</v>
      </c>
      <c r="N441" s="11">
        <f>7.1497 * CHOOSE(CONTROL!$C$32, $C$9, 100%, $E$9)</f>
        <v>7.1497000000000002</v>
      </c>
      <c r="O441" s="11">
        <f>7.155 * CHOOSE(CONTROL!$C$32, $C$9, 100%, $E$9)</f>
        <v>7.1550000000000002</v>
      </c>
    </row>
    <row r="442" spans="1:15" ht="15" x14ac:dyDescent="0.2">
      <c r="A442" s="13">
        <v>54302</v>
      </c>
      <c r="B442" s="9">
        <f>6.3963 * CHOOSE(CONTROL!$C$32, $C$9, 100%, $E$9)</f>
        <v>6.3963000000000001</v>
      </c>
      <c r="C442" s="9">
        <f>6.3963 * CHOOSE(CONTROL!$C$32, $C$9, 100%, $E$9)</f>
        <v>6.3963000000000001</v>
      </c>
      <c r="D442" s="9">
        <f>6.3978 * CHOOSE(CONTROL!$C$32, $C$9, 100%, $E$9)</f>
        <v>6.3978000000000002</v>
      </c>
      <c r="E442" s="11">
        <f>7.1319 * CHOOSE(CONTROL!$C$32, $C$9, 100%, $E$9)</f>
        <v>7.1318999999999999</v>
      </c>
      <c r="F442" s="11">
        <f>7.1319 * CHOOSE(CONTROL!$C$32, $C$9, 100%, $E$9)</f>
        <v>7.1318999999999999</v>
      </c>
      <c r="G442" s="11">
        <f>7.1372 * CHOOSE(CONTROL!$C$32, $C$9, 100%, $E$9)</f>
        <v>7.1372</v>
      </c>
      <c r="H442" s="11">
        <f>14.0578 * CHOOSE(CONTROL!$C$32, $C$9, 100%, $E$9)</f>
        <v>14.0578</v>
      </c>
      <c r="I442" s="11">
        <f>14.0631 * CHOOSE(CONTROL!$C$32, $C$9, 100%, $E$9)</f>
        <v>14.0631</v>
      </c>
      <c r="J442" s="11">
        <f>14.0578 * CHOOSE(CONTROL!$C$32, $C$9, 100%, $E$9)</f>
        <v>14.0578</v>
      </c>
      <c r="K442" s="11">
        <f>14.0631 * CHOOSE(CONTROL!$C$32, $C$9, 100%, $E$9)</f>
        <v>14.0631</v>
      </c>
      <c r="L442" s="11">
        <f>7.1319 * CHOOSE(CONTROL!$C$32, $C$9, 100%, $E$9)</f>
        <v>7.1318999999999999</v>
      </c>
      <c r="M442" s="11">
        <f>7.1372 * CHOOSE(CONTROL!$C$32, $C$9, 100%, $E$9)</f>
        <v>7.1372</v>
      </c>
      <c r="N442" s="11">
        <f>7.1319 * CHOOSE(CONTROL!$C$32, $C$9, 100%, $E$9)</f>
        <v>7.1318999999999999</v>
      </c>
      <c r="O442" s="11">
        <f>7.1372 * CHOOSE(CONTROL!$C$32, $C$9, 100%, $E$9)</f>
        <v>7.1372</v>
      </c>
    </row>
    <row r="443" spans="1:15" ht="15" x14ac:dyDescent="0.2">
      <c r="A443" s="13">
        <v>54332</v>
      </c>
      <c r="B443" s="9">
        <f>6.4002 * CHOOSE(CONTROL!$C$32, $C$9, 100%, $E$9)</f>
        <v>6.4001999999999999</v>
      </c>
      <c r="C443" s="9">
        <f>6.4002 * CHOOSE(CONTROL!$C$32, $C$9, 100%, $E$9)</f>
        <v>6.4001999999999999</v>
      </c>
      <c r="D443" s="9">
        <f>6.4013 * CHOOSE(CONTROL!$C$32, $C$9, 100%, $E$9)</f>
        <v>6.4013</v>
      </c>
      <c r="E443" s="11">
        <f>7.1814 * CHOOSE(CONTROL!$C$32, $C$9, 100%, $E$9)</f>
        <v>7.1814</v>
      </c>
      <c r="F443" s="11">
        <f>7.1814 * CHOOSE(CONTROL!$C$32, $C$9, 100%, $E$9)</f>
        <v>7.1814</v>
      </c>
      <c r="G443" s="11">
        <f>7.185 * CHOOSE(CONTROL!$C$32, $C$9, 100%, $E$9)</f>
        <v>7.1849999999999996</v>
      </c>
      <c r="H443" s="11">
        <f>14.0871 * CHOOSE(CONTROL!$C$32, $C$9, 100%, $E$9)</f>
        <v>14.0871</v>
      </c>
      <c r="I443" s="11">
        <f>14.0907 * CHOOSE(CONTROL!$C$32, $C$9, 100%, $E$9)</f>
        <v>14.0907</v>
      </c>
      <c r="J443" s="11">
        <f>14.0871 * CHOOSE(CONTROL!$C$32, $C$9, 100%, $E$9)</f>
        <v>14.0871</v>
      </c>
      <c r="K443" s="11">
        <f>14.0907 * CHOOSE(CONTROL!$C$32, $C$9, 100%, $E$9)</f>
        <v>14.0907</v>
      </c>
      <c r="L443" s="11">
        <f>7.1814 * CHOOSE(CONTROL!$C$32, $C$9, 100%, $E$9)</f>
        <v>7.1814</v>
      </c>
      <c r="M443" s="11">
        <f>7.185 * CHOOSE(CONTROL!$C$32, $C$9, 100%, $E$9)</f>
        <v>7.1849999999999996</v>
      </c>
      <c r="N443" s="11">
        <f>7.1814 * CHOOSE(CONTROL!$C$32, $C$9, 100%, $E$9)</f>
        <v>7.1814</v>
      </c>
      <c r="O443" s="11">
        <f>7.185 * CHOOSE(CONTROL!$C$32, $C$9, 100%, $E$9)</f>
        <v>7.1849999999999996</v>
      </c>
    </row>
    <row r="444" spans="1:15" ht="15" x14ac:dyDescent="0.2">
      <c r="A444" s="13">
        <v>54363</v>
      </c>
      <c r="B444" s="9">
        <f>6.4033 * CHOOSE(CONTROL!$C$32, $C$9, 100%, $E$9)</f>
        <v>6.4032999999999998</v>
      </c>
      <c r="C444" s="9">
        <f>6.4033 * CHOOSE(CONTROL!$C$32, $C$9, 100%, $E$9)</f>
        <v>6.4032999999999998</v>
      </c>
      <c r="D444" s="9">
        <f>6.4043 * CHOOSE(CONTROL!$C$32, $C$9, 100%, $E$9)</f>
        <v>6.4043000000000001</v>
      </c>
      <c r="E444" s="11">
        <f>7.2149 * CHOOSE(CONTROL!$C$32, $C$9, 100%, $E$9)</f>
        <v>7.2149000000000001</v>
      </c>
      <c r="F444" s="11">
        <f>7.2149 * CHOOSE(CONTROL!$C$32, $C$9, 100%, $E$9)</f>
        <v>7.2149000000000001</v>
      </c>
      <c r="G444" s="11">
        <f>7.2185 * CHOOSE(CONTROL!$C$32, $C$9, 100%, $E$9)</f>
        <v>7.2184999999999997</v>
      </c>
      <c r="H444" s="11">
        <f>14.1165 * CHOOSE(CONTROL!$C$32, $C$9, 100%, $E$9)</f>
        <v>14.1165</v>
      </c>
      <c r="I444" s="11">
        <f>14.1201 * CHOOSE(CONTROL!$C$32, $C$9, 100%, $E$9)</f>
        <v>14.120100000000001</v>
      </c>
      <c r="J444" s="11">
        <f>14.1165 * CHOOSE(CONTROL!$C$32, $C$9, 100%, $E$9)</f>
        <v>14.1165</v>
      </c>
      <c r="K444" s="11">
        <f>14.1201 * CHOOSE(CONTROL!$C$32, $C$9, 100%, $E$9)</f>
        <v>14.120100000000001</v>
      </c>
      <c r="L444" s="11">
        <f>7.2149 * CHOOSE(CONTROL!$C$32, $C$9, 100%, $E$9)</f>
        <v>7.2149000000000001</v>
      </c>
      <c r="M444" s="11">
        <f>7.2185 * CHOOSE(CONTROL!$C$32, $C$9, 100%, $E$9)</f>
        <v>7.2184999999999997</v>
      </c>
      <c r="N444" s="11">
        <f>7.2149 * CHOOSE(CONTROL!$C$32, $C$9, 100%, $E$9)</f>
        <v>7.2149000000000001</v>
      </c>
      <c r="O444" s="11">
        <f>7.2185 * CHOOSE(CONTROL!$C$32, $C$9, 100%, $E$9)</f>
        <v>7.2184999999999997</v>
      </c>
    </row>
    <row r="445" spans="1:15" ht="15" x14ac:dyDescent="0.2">
      <c r="A445" s="13">
        <v>54393</v>
      </c>
      <c r="B445" s="9">
        <f>6.4033 * CHOOSE(CONTROL!$C$32, $C$9, 100%, $E$9)</f>
        <v>6.4032999999999998</v>
      </c>
      <c r="C445" s="9">
        <f>6.4033 * CHOOSE(CONTROL!$C$32, $C$9, 100%, $E$9)</f>
        <v>6.4032999999999998</v>
      </c>
      <c r="D445" s="9">
        <f>6.4043 * CHOOSE(CONTROL!$C$32, $C$9, 100%, $E$9)</f>
        <v>6.4043000000000001</v>
      </c>
      <c r="E445" s="11">
        <f>7.1363 * CHOOSE(CONTROL!$C$32, $C$9, 100%, $E$9)</f>
        <v>7.1363000000000003</v>
      </c>
      <c r="F445" s="11">
        <f>7.1363 * CHOOSE(CONTROL!$C$32, $C$9, 100%, $E$9)</f>
        <v>7.1363000000000003</v>
      </c>
      <c r="G445" s="11">
        <f>7.1399 * CHOOSE(CONTROL!$C$32, $C$9, 100%, $E$9)</f>
        <v>7.1398999999999999</v>
      </c>
      <c r="H445" s="11">
        <f>14.1459 * CHOOSE(CONTROL!$C$32, $C$9, 100%, $E$9)</f>
        <v>14.145899999999999</v>
      </c>
      <c r="I445" s="11">
        <f>14.1495 * CHOOSE(CONTROL!$C$32, $C$9, 100%, $E$9)</f>
        <v>14.1495</v>
      </c>
      <c r="J445" s="11">
        <f>14.1459 * CHOOSE(CONTROL!$C$32, $C$9, 100%, $E$9)</f>
        <v>14.145899999999999</v>
      </c>
      <c r="K445" s="11">
        <f>14.1495 * CHOOSE(CONTROL!$C$32, $C$9, 100%, $E$9)</f>
        <v>14.1495</v>
      </c>
      <c r="L445" s="11">
        <f>7.1363 * CHOOSE(CONTROL!$C$32, $C$9, 100%, $E$9)</f>
        <v>7.1363000000000003</v>
      </c>
      <c r="M445" s="11">
        <f>7.1399 * CHOOSE(CONTROL!$C$32, $C$9, 100%, $E$9)</f>
        <v>7.1398999999999999</v>
      </c>
      <c r="N445" s="11">
        <f>7.1363 * CHOOSE(CONTROL!$C$32, $C$9, 100%, $E$9)</f>
        <v>7.1363000000000003</v>
      </c>
      <c r="O445" s="11">
        <f>7.1399 * CHOOSE(CONTROL!$C$32, $C$9, 100%, $E$9)</f>
        <v>7.1398999999999999</v>
      </c>
    </row>
    <row r="446" spans="1:15" ht="15" x14ac:dyDescent="0.2">
      <c r="A446" s="13">
        <v>54424</v>
      </c>
      <c r="B446" s="9">
        <f>6.4519 * CHOOSE(CONTROL!$C$32, $C$9, 100%, $E$9)</f>
        <v>6.4519000000000002</v>
      </c>
      <c r="C446" s="9">
        <f>6.4519 * CHOOSE(CONTROL!$C$32, $C$9, 100%, $E$9)</f>
        <v>6.4519000000000002</v>
      </c>
      <c r="D446" s="9">
        <f>6.453 * CHOOSE(CONTROL!$C$32, $C$9, 100%, $E$9)</f>
        <v>6.4530000000000003</v>
      </c>
      <c r="E446" s="11">
        <f>7.2513 * CHOOSE(CONTROL!$C$32, $C$9, 100%, $E$9)</f>
        <v>7.2512999999999996</v>
      </c>
      <c r="F446" s="11">
        <f>7.2513 * CHOOSE(CONTROL!$C$32, $C$9, 100%, $E$9)</f>
        <v>7.2512999999999996</v>
      </c>
      <c r="G446" s="11">
        <f>7.2549 * CHOOSE(CONTROL!$C$32, $C$9, 100%, $E$9)</f>
        <v>7.2549000000000001</v>
      </c>
      <c r="H446" s="11">
        <f>14.1753 * CHOOSE(CONTROL!$C$32, $C$9, 100%, $E$9)</f>
        <v>14.1753</v>
      </c>
      <c r="I446" s="11">
        <f>14.179 * CHOOSE(CONTROL!$C$32, $C$9, 100%, $E$9)</f>
        <v>14.179</v>
      </c>
      <c r="J446" s="11">
        <f>14.1753 * CHOOSE(CONTROL!$C$32, $C$9, 100%, $E$9)</f>
        <v>14.1753</v>
      </c>
      <c r="K446" s="11">
        <f>14.179 * CHOOSE(CONTROL!$C$32, $C$9, 100%, $E$9)</f>
        <v>14.179</v>
      </c>
      <c r="L446" s="11">
        <f>7.2513 * CHOOSE(CONTROL!$C$32, $C$9, 100%, $E$9)</f>
        <v>7.2512999999999996</v>
      </c>
      <c r="M446" s="11">
        <f>7.2549 * CHOOSE(CONTROL!$C$32, $C$9, 100%, $E$9)</f>
        <v>7.2549000000000001</v>
      </c>
      <c r="N446" s="11">
        <f>7.2513 * CHOOSE(CONTROL!$C$32, $C$9, 100%, $E$9)</f>
        <v>7.2512999999999996</v>
      </c>
      <c r="O446" s="11">
        <f>7.2549 * CHOOSE(CONTROL!$C$32, $C$9, 100%, $E$9)</f>
        <v>7.2549000000000001</v>
      </c>
    </row>
    <row r="447" spans="1:15" ht="15" x14ac:dyDescent="0.2">
      <c r="A447" s="13">
        <v>54455</v>
      </c>
      <c r="B447" s="9">
        <f>6.4489 * CHOOSE(CONTROL!$C$32, $C$9, 100%, $E$9)</f>
        <v>6.4489000000000001</v>
      </c>
      <c r="C447" s="9">
        <f>6.4489 * CHOOSE(CONTROL!$C$32, $C$9, 100%, $E$9)</f>
        <v>6.4489000000000001</v>
      </c>
      <c r="D447" s="9">
        <f>6.45 * CHOOSE(CONTROL!$C$32, $C$9, 100%, $E$9)</f>
        <v>6.45</v>
      </c>
      <c r="E447" s="11">
        <f>7.0958 * CHOOSE(CONTROL!$C$32, $C$9, 100%, $E$9)</f>
        <v>7.0957999999999997</v>
      </c>
      <c r="F447" s="11">
        <f>7.0958 * CHOOSE(CONTROL!$C$32, $C$9, 100%, $E$9)</f>
        <v>7.0957999999999997</v>
      </c>
      <c r="G447" s="11">
        <f>7.0994 * CHOOSE(CONTROL!$C$32, $C$9, 100%, $E$9)</f>
        <v>7.0994000000000002</v>
      </c>
      <c r="H447" s="11">
        <f>14.2049 * CHOOSE(CONTROL!$C$32, $C$9, 100%, $E$9)</f>
        <v>14.2049</v>
      </c>
      <c r="I447" s="11">
        <f>14.2085 * CHOOSE(CONTROL!$C$32, $C$9, 100%, $E$9)</f>
        <v>14.208500000000001</v>
      </c>
      <c r="J447" s="11">
        <f>14.2049 * CHOOSE(CONTROL!$C$32, $C$9, 100%, $E$9)</f>
        <v>14.2049</v>
      </c>
      <c r="K447" s="11">
        <f>14.2085 * CHOOSE(CONTROL!$C$32, $C$9, 100%, $E$9)</f>
        <v>14.208500000000001</v>
      </c>
      <c r="L447" s="11">
        <f>7.0958 * CHOOSE(CONTROL!$C$32, $C$9, 100%, $E$9)</f>
        <v>7.0957999999999997</v>
      </c>
      <c r="M447" s="11">
        <f>7.0994 * CHOOSE(CONTROL!$C$32, $C$9, 100%, $E$9)</f>
        <v>7.0994000000000002</v>
      </c>
      <c r="N447" s="11">
        <f>7.0958 * CHOOSE(CONTROL!$C$32, $C$9, 100%, $E$9)</f>
        <v>7.0957999999999997</v>
      </c>
      <c r="O447" s="11">
        <f>7.0994 * CHOOSE(CONTROL!$C$32, $C$9, 100%, $E$9)</f>
        <v>7.0994000000000002</v>
      </c>
    </row>
    <row r="448" spans="1:15" ht="15" x14ac:dyDescent="0.2">
      <c r="A448" s="13">
        <v>54483</v>
      </c>
      <c r="B448" s="9">
        <f>6.4459 * CHOOSE(CONTROL!$C$32, $C$9, 100%, $E$9)</f>
        <v>6.4459</v>
      </c>
      <c r="C448" s="9">
        <f>6.4459 * CHOOSE(CONTROL!$C$32, $C$9, 100%, $E$9)</f>
        <v>6.4459</v>
      </c>
      <c r="D448" s="9">
        <f>6.4469 * CHOOSE(CONTROL!$C$32, $C$9, 100%, $E$9)</f>
        <v>6.4469000000000003</v>
      </c>
      <c r="E448" s="11">
        <f>7.2146 * CHOOSE(CONTROL!$C$32, $C$9, 100%, $E$9)</f>
        <v>7.2145999999999999</v>
      </c>
      <c r="F448" s="11">
        <f>7.2146 * CHOOSE(CONTROL!$C$32, $C$9, 100%, $E$9)</f>
        <v>7.2145999999999999</v>
      </c>
      <c r="G448" s="11">
        <f>7.2182 * CHOOSE(CONTROL!$C$32, $C$9, 100%, $E$9)</f>
        <v>7.2182000000000004</v>
      </c>
      <c r="H448" s="11">
        <f>14.2345 * CHOOSE(CONTROL!$C$32, $C$9, 100%, $E$9)</f>
        <v>14.234500000000001</v>
      </c>
      <c r="I448" s="11">
        <f>14.2381 * CHOOSE(CONTROL!$C$32, $C$9, 100%, $E$9)</f>
        <v>14.238099999999999</v>
      </c>
      <c r="J448" s="11">
        <f>14.2345 * CHOOSE(CONTROL!$C$32, $C$9, 100%, $E$9)</f>
        <v>14.234500000000001</v>
      </c>
      <c r="K448" s="11">
        <f>14.2381 * CHOOSE(CONTROL!$C$32, $C$9, 100%, $E$9)</f>
        <v>14.238099999999999</v>
      </c>
      <c r="L448" s="11">
        <f>7.2146 * CHOOSE(CONTROL!$C$32, $C$9, 100%, $E$9)</f>
        <v>7.2145999999999999</v>
      </c>
      <c r="M448" s="11">
        <f>7.2182 * CHOOSE(CONTROL!$C$32, $C$9, 100%, $E$9)</f>
        <v>7.2182000000000004</v>
      </c>
      <c r="N448" s="11">
        <f>7.2146 * CHOOSE(CONTROL!$C$32, $C$9, 100%, $E$9)</f>
        <v>7.2145999999999999</v>
      </c>
      <c r="O448" s="11">
        <f>7.2182 * CHOOSE(CONTROL!$C$32, $C$9, 100%, $E$9)</f>
        <v>7.2182000000000004</v>
      </c>
    </row>
    <row r="449" spans="1:15" ht="15" x14ac:dyDescent="0.2">
      <c r="A449" s="13">
        <v>54514</v>
      </c>
      <c r="B449" s="9">
        <f>6.4459 * CHOOSE(CONTROL!$C$32, $C$9, 100%, $E$9)</f>
        <v>6.4459</v>
      </c>
      <c r="C449" s="9">
        <f>6.4459 * CHOOSE(CONTROL!$C$32, $C$9, 100%, $E$9)</f>
        <v>6.4459</v>
      </c>
      <c r="D449" s="9">
        <f>6.447 * CHOOSE(CONTROL!$C$32, $C$9, 100%, $E$9)</f>
        <v>6.4470000000000001</v>
      </c>
      <c r="E449" s="11">
        <f>7.3402 * CHOOSE(CONTROL!$C$32, $C$9, 100%, $E$9)</f>
        <v>7.3402000000000003</v>
      </c>
      <c r="F449" s="11">
        <f>7.3402 * CHOOSE(CONTROL!$C$32, $C$9, 100%, $E$9)</f>
        <v>7.3402000000000003</v>
      </c>
      <c r="G449" s="11">
        <f>7.3438 * CHOOSE(CONTROL!$C$32, $C$9, 100%, $E$9)</f>
        <v>7.3437999999999999</v>
      </c>
      <c r="H449" s="11">
        <f>14.2641 * CHOOSE(CONTROL!$C$32, $C$9, 100%, $E$9)</f>
        <v>14.264099999999999</v>
      </c>
      <c r="I449" s="11">
        <f>14.2677 * CHOOSE(CONTROL!$C$32, $C$9, 100%, $E$9)</f>
        <v>14.2677</v>
      </c>
      <c r="J449" s="11">
        <f>14.2641 * CHOOSE(CONTROL!$C$32, $C$9, 100%, $E$9)</f>
        <v>14.264099999999999</v>
      </c>
      <c r="K449" s="11">
        <f>14.2677 * CHOOSE(CONTROL!$C$32, $C$9, 100%, $E$9)</f>
        <v>14.2677</v>
      </c>
      <c r="L449" s="11">
        <f>7.3402 * CHOOSE(CONTROL!$C$32, $C$9, 100%, $E$9)</f>
        <v>7.3402000000000003</v>
      </c>
      <c r="M449" s="11">
        <f>7.3438 * CHOOSE(CONTROL!$C$32, $C$9, 100%, $E$9)</f>
        <v>7.3437999999999999</v>
      </c>
      <c r="N449" s="11">
        <f>7.3402 * CHOOSE(CONTROL!$C$32, $C$9, 100%, $E$9)</f>
        <v>7.3402000000000003</v>
      </c>
      <c r="O449" s="11">
        <f>7.3438 * CHOOSE(CONTROL!$C$32, $C$9, 100%, $E$9)</f>
        <v>7.3437999999999999</v>
      </c>
    </row>
    <row r="450" spans="1:15" ht="15" x14ac:dyDescent="0.2">
      <c r="A450" s="13">
        <v>54544</v>
      </c>
      <c r="B450" s="9">
        <f>6.4459 * CHOOSE(CONTROL!$C$32, $C$9, 100%, $E$9)</f>
        <v>6.4459</v>
      </c>
      <c r="C450" s="9">
        <f>6.4459 * CHOOSE(CONTROL!$C$32, $C$9, 100%, $E$9)</f>
        <v>6.4459</v>
      </c>
      <c r="D450" s="9">
        <f>6.4475 * CHOOSE(CONTROL!$C$32, $C$9, 100%, $E$9)</f>
        <v>6.4474999999999998</v>
      </c>
      <c r="E450" s="11">
        <f>7.3889 * CHOOSE(CONTROL!$C$32, $C$9, 100%, $E$9)</f>
        <v>7.3888999999999996</v>
      </c>
      <c r="F450" s="11">
        <f>7.3889 * CHOOSE(CONTROL!$C$32, $C$9, 100%, $E$9)</f>
        <v>7.3888999999999996</v>
      </c>
      <c r="G450" s="11">
        <f>7.3942 * CHOOSE(CONTROL!$C$32, $C$9, 100%, $E$9)</f>
        <v>7.3941999999999997</v>
      </c>
      <c r="H450" s="11">
        <f>14.2938 * CHOOSE(CONTROL!$C$32, $C$9, 100%, $E$9)</f>
        <v>14.293799999999999</v>
      </c>
      <c r="I450" s="11">
        <f>14.2991 * CHOOSE(CONTROL!$C$32, $C$9, 100%, $E$9)</f>
        <v>14.299099999999999</v>
      </c>
      <c r="J450" s="11">
        <f>14.2938 * CHOOSE(CONTROL!$C$32, $C$9, 100%, $E$9)</f>
        <v>14.293799999999999</v>
      </c>
      <c r="K450" s="11">
        <f>14.2991 * CHOOSE(CONTROL!$C$32, $C$9, 100%, $E$9)</f>
        <v>14.299099999999999</v>
      </c>
      <c r="L450" s="11">
        <f>7.3889 * CHOOSE(CONTROL!$C$32, $C$9, 100%, $E$9)</f>
        <v>7.3888999999999996</v>
      </c>
      <c r="M450" s="11">
        <f>7.3942 * CHOOSE(CONTROL!$C$32, $C$9, 100%, $E$9)</f>
        <v>7.3941999999999997</v>
      </c>
      <c r="N450" s="11">
        <f>7.3889 * CHOOSE(CONTROL!$C$32, $C$9, 100%, $E$9)</f>
        <v>7.3888999999999996</v>
      </c>
      <c r="O450" s="11">
        <f>7.3942 * CHOOSE(CONTROL!$C$32, $C$9, 100%, $E$9)</f>
        <v>7.3941999999999997</v>
      </c>
    </row>
    <row r="451" spans="1:15" ht="15" x14ac:dyDescent="0.2">
      <c r="A451" s="13">
        <v>54575</v>
      </c>
      <c r="B451" s="9">
        <f>6.452 * CHOOSE(CONTROL!$C$32, $C$9, 100%, $E$9)</f>
        <v>6.452</v>
      </c>
      <c r="C451" s="9">
        <f>6.452 * CHOOSE(CONTROL!$C$32, $C$9, 100%, $E$9)</f>
        <v>6.452</v>
      </c>
      <c r="D451" s="9">
        <f>6.4535 * CHOOSE(CONTROL!$C$32, $C$9, 100%, $E$9)</f>
        <v>6.4535</v>
      </c>
      <c r="E451" s="11">
        <f>7.3444 * CHOOSE(CONTROL!$C$32, $C$9, 100%, $E$9)</f>
        <v>7.3444000000000003</v>
      </c>
      <c r="F451" s="11">
        <f>7.3444 * CHOOSE(CONTROL!$C$32, $C$9, 100%, $E$9)</f>
        <v>7.3444000000000003</v>
      </c>
      <c r="G451" s="11">
        <f>7.3497 * CHOOSE(CONTROL!$C$32, $C$9, 100%, $E$9)</f>
        <v>7.3497000000000003</v>
      </c>
      <c r="H451" s="11">
        <f>14.3236 * CHOOSE(CONTROL!$C$32, $C$9, 100%, $E$9)</f>
        <v>14.323600000000001</v>
      </c>
      <c r="I451" s="11">
        <f>14.3289 * CHOOSE(CONTROL!$C$32, $C$9, 100%, $E$9)</f>
        <v>14.328900000000001</v>
      </c>
      <c r="J451" s="11">
        <f>14.3236 * CHOOSE(CONTROL!$C$32, $C$9, 100%, $E$9)</f>
        <v>14.323600000000001</v>
      </c>
      <c r="K451" s="11">
        <f>14.3289 * CHOOSE(CONTROL!$C$32, $C$9, 100%, $E$9)</f>
        <v>14.328900000000001</v>
      </c>
      <c r="L451" s="11">
        <f>7.3444 * CHOOSE(CONTROL!$C$32, $C$9, 100%, $E$9)</f>
        <v>7.3444000000000003</v>
      </c>
      <c r="M451" s="11">
        <f>7.3497 * CHOOSE(CONTROL!$C$32, $C$9, 100%, $E$9)</f>
        <v>7.3497000000000003</v>
      </c>
      <c r="N451" s="11">
        <f>7.3444 * CHOOSE(CONTROL!$C$32, $C$9, 100%, $E$9)</f>
        <v>7.3444000000000003</v>
      </c>
      <c r="O451" s="11">
        <f>7.3497 * CHOOSE(CONTROL!$C$32, $C$9, 100%, $E$9)</f>
        <v>7.3497000000000003</v>
      </c>
    </row>
    <row r="452" spans="1:15" ht="15" x14ac:dyDescent="0.2">
      <c r="A452" s="13">
        <v>54605</v>
      </c>
      <c r="B452" s="9">
        <f>6.5374 * CHOOSE(CONTROL!$C$32, $C$9, 100%, $E$9)</f>
        <v>6.5373999999999999</v>
      </c>
      <c r="C452" s="9">
        <f>6.5374 * CHOOSE(CONTROL!$C$32, $C$9, 100%, $E$9)</f>
        <v>6.5373999999999999</v>
      </c>
      <c r="D452" s="9">
        <f>6.539 * CHOOSE(CONTROL!$C$32, $C$9, 100%, $E$9)</f>
        <v>6.5389999999999997</v>
      </c>
      <c r="E452" s="11">
        <f>7.4428 * CHOOSE(CONTROL!$C$32, $C$9, 100%, $E$9)</f>
        <v>7.4428000000000001</v>
      </c>
      <c r="F452" s="11">
        <f>7.4428 * CHOOSE(CONTROL!$C$32, $C$9, 100%, $E$9)</f>
        <v>7.4428000000000001</v>
      </c>
      <c r="G452" s="11">
        <f>7.448 * CHOOSE(CONTROL!$C$32, $C$9, 100%, $E$9)</f>
        <v>7.4480000000000004</v>
      </c>
      <c r="H452" s="11">
        <f>14.3535 * CHOOSE(CONTROL!$C$32, $C$9, 100%, $E$9)</f>
        <v>14.3535</v>
      </c>
      <c r="I452" s="11">
        <f>14.3587 * CHOOSE(CONTROL!$C$32, $C$9, 100%, $E$9)</f>
        <v>14.358700000000001</v>
      </c>
      <c r="J452" s="11">
        <f>14.3535 * CHOOSE(CONTROL!$C$32, $C$9, 100%, $E$9)</f>
        <v>14.3535</v>
      </c>
      <c r="K452" s="11">
        <f>14.3587 * CHOOSE(CONTROL!$C$32, $C$9, 100%, $E$9)</f>
        <v>14.358700000000001</v>
      </c>
      <c r="L452" s="11">
        <f>7.4428 * CHOOSE(CONTROL!$C$32, $C$9, 100%, $E$9)</f>
        <v>7.4428000000000001</v>
      </c>
      <c r="M452" s="11">
        <f>7.448 * CHOOSE(CONTROL!$C$32, $C$9, 100%, $E$9)</f>
        <v>7.4480000000000004</v>
      </c>
      <c r="N452" s="11">
        <f>7.4428 * CHOOSE(CONTROL!$C$32, $C$9, 100%, $E$9)</f>
        <v>7.4428000000000001</v>
      </c>
      <c r="O452" s="11">
        <f>7.448 * CHOOSE(CONTROL!$C$32, $C$9, 100%, $E$9)</f>
        <v>7.4480000000000004</v>
      </c>
    </row>
    <row r="453" spans="1:15" ht="15" x14ac:dyDescent="0.2">
      <c r="A453" s="13">
        <v>54636</v>
      </c>
      <c r="B453" s="9">
        <f>6.5441 * CHOOSE(CONTROL!$C$32, $C$9, 100%, $E$9)</f>
        <v>6.5441000000000003</v>
      </c>
      <c r="C453" s="9">
        <f>6.5441 * CHOOSE(CONTROL!$C$32, $C$9, 100%, $E$9)</f>
        <v>6.5441000000000003</v>
      </c>
      <c r="D453" s="9">
        <f>6.5457 * CHOOSE(CONTROL!$C$32, $C$9, 100%, $E$9)</f>
        <v>6.5457000000000001</v>
      </c>
      <c r="E453" s="11">
        <f>7.3013 * CHOOSE(CONTROL!$C$32, $C$9, 100%, $E$9)</f>
        <v>7.3013000000000003</v>
      </c>
      <c r="F453" s="11">
        <f>7.3013 * CHOOSE(CONTROL!$C$32, $C$9, 100%, $E$9)</f>
        <v>7.3013000000000003</v>
      </c>
      <c r="G453" s="11">
        <f>7.3066 * CHOOSE(CONTROL!$C$32, $C$9, 100%, $E$9)</f>
        <v>7.3066000000000004</v>
      </c>
      <c r="H453" s="11">
        <f>14.3834 * CHOOSE(CONTROL!$C$32, $C$9, 100%, $E$9)</f>
        <v>14.3834</v>
      </c>
      <c r="I453" s="11">
        <f>14.3886 * CHOOSE(CONTROL!$C$32, $C$9, 100%, $E$9)</f>
        <v>14.3886</v>
      </c>
      <c r="J453" s="11">
        <f>14.3834 * CHOOSE(CONTROL!$C$32, $C$9, 100%, $E$9)</f>
        <v>14.3834</v>
      </c>
      <c r="K453" s="11">
        <f>14.3886 * CHOOSE(CONTROL!$C$32, $C$9, 100%, $E$9)</f>
        <v>14.3886</v>
      </c>
      <c r="L453" s="11">
        <f>7.3013 * CHOOSE(CONTROL!$C$32, $C$9, 100%, $E$9)</f>
        <v>7.3013000000000003</v>
      </c>
      <c r="M453" s="11">
        <f>7.3066 * CHOOSE(CONTROL!$C$32, $C$9, 100%, $E$9)</f>
        <v>7.3066000000000004</v>
      </c>
      <c r="N453" s="11">
        <f>7.3013 * CHOOSE(CONTROL!$C$32, $C$9, 100%, $E$9)</f>
        <v>7.3013000000000003</v>
      </c>
      <c r="O453" s="11">
        <f>7.3066 * CHOOSE(CONTROL!$C$32, $C$9, 100%, $E$9)</f>
        <v>7.3066000000000004</v>
      </c>
    </row>
    <row r="454" spans="1:15" ht="15" x14ac:dyDescent="0.2">
      <c r="A454" s="13">
        <v>54667</v>
      </c>
      <c r="B454" s="9">
        <f>6.541 * CHOOSE(CONTROL!$C$32, $C$9, 100%, $E$9)</f>
        <v>6.5410000000000004</v>
      </c>
      <c r="C454" s="9">
        <f>6.541 * CHOOSE(CONTROL!$C$32, $C$9, 100%, $E$9)</f>
        <v>6.5410000000000004</v>
      </c>
      <c r="D454" s="9">
        <f>6.5426 * CHOOSE(CONTROL!$C$32, $C$9, 100%, $E$9)</f>
        <v>6.5426000000000002</v>
      </c>
      <c r="E454" s="11">
        <f>7.283 * CHOOSE(CONTROL!$C$32, $C$9, 100%, $E$9)</f>
        <v>7.2830000000000004</v>
      </c>
      <c r="F454" s="11">
        <f>7.283 * CHOOSE(CONTROL!$C$32, $C$9, 100%, $E$9)</f>
        <v>7.2830000000000004</v>
      </c>
      <c r="G454" s="11">
        <f>7.2883 * CHOOSE(CONTROL!$C$32, $C$9, 100%, $E$9)</f>
        <v>7.2882999999999996</v>
      </c>
      <c r="H454" s="11">
        <f>14.4133 * CHOOSE(CONTROL!$C$32, $C$9, 100%, $E$9)</f>
        <v>14.4133</v>
      </c>
      <c r="I454" s="11">
        <f>14.4186 * CHOOSE(CONTROL!$C$32, $C$9, 100%, $E$9)</f>
        <v>14.4186</v>
      </c>
      <c r="J454" s="11">
        <f>14.4133 * CHOOSE(CONTROL!$C$32, $C$9, 100%, $E$9)</f>
        <v>14.4133</v>
      </c>
      <c r="K454" s="11">
        <f>14.4186 * CHOOSE(CONTROL!$C$32, $C$9, 100%, $E$9)</f>
        <v>14.4186</v>
      </c>
      <c r="L454" s="11">
        <f>7.283 * CHOOSE(CONTROL!$C$32, $C$9, 100%, $E$9)</f>
        <v>7.2830000000000004</v>
      </c>
      <c r="M454" s="11">
        <f>7.2883 * CHOOSE(CONTROL!$C$32, $C$9, 100%, $E$9)</f>
        <v>7.2882999999999996</v>
      </c>
      <c r="N454" s="11">
        <f>7.283 * CHOOSE(CONTROL!$C$32, $C$9, 100%, $E$9)</f>
        <v>7.2830000000000004</v>
      </c>
      <c r="O454" s="11">
        <f>7.2883 * CHOOSE(CONTROL!$C$32, $C$9, 100%, $E$9)</f>
        <v>7.2882999999999996</v>
      </c>
    </row>
    <row r="455" spans="1:15" ht="15" x14ac:dyDescent="0.2">
      <c r="A455" s="13">
        <v>54697</v>
      </c>
      <c r="B455" s="9">
        <f>6.5456 * CHOOSE(CONTROL!$C$32, $C$9, 100%, $E$9)</f>
        <v>6.5456000000000003</v>
      </c>
      <c r="C455" s="9">
        <f>6.5456 * CHOOSE(CONTROL!$C$32, $C$9, 100%, $E$9)</f>
        <v>6.5456000000000003</v>
      </c>
      <c r="D455" s="9">
        <f>6.5466 * CHOOSE(CONTROL!$C$32, $C$9, 100%, $E$9)</f>
        <v>6.5465999999999998</v>
      </c>
      <c r="E455" s="11">
        <f>7.3345 * CHOOSE(CONTROL!$C$32, $C$9, 100%, $E$9)</f>
        <v>7.3345000000000002</v>
      </c>
      <c r="F455" s="11">
        <f>7.3345 * CHOOSE(CONTROL!$C$32, $C$9, 100%, $E$9)</f>
        <v>7.3345000000000002</v>
      </c>
      <c r="G455" s="11">
        <f>7.3381 * CHOOSE(CONTROL!$C$32, $C$9, 100%, $E$9)</f>
        <v>7.3380999999999998</v>
      </c>
      <c r="H455" s="11">
        <f>14.4433 * CHOOSE(CONTROL!$C$32, $C$9, 100%, $E$9)</f>
        <v>14.443300000000001</v>
      </c>
      <c r="I455" s="11">
        <f>14.447 * CHOOSE(CONTROL!$C$32, $C$9, 100%, $E$9)</f>
        <v>14.446999999999999</v>
      </c>
      <c r="J455" s="11">
        <f>14.4433 * CHOOSE(CONTROL!$C$32, $C$9, 100%, $E$9)</f>
        <v>14.443300000000001</v>
      </c>
      <c r="K455" s="11">
        <f>14.447 * CHOOSE(CONTROL!$C$32, $C$9, 100%, $E$9)</f>
        <v>14.446999999999999</v>
      </c>
      <c r="L455" s="11">
        <f>7.3345 * CHOOSE(CONTROL!$C$32, $C$9, 100%, $E$9)</f>
        <v>7.3345000000000002</v>
      </c>
      <c r="M455" s="11">
        <f>7.3381 * CHOOSE(CONTROL!$C$32, $C$9, 100%, $E$9)</f>
        <v>7.3380999999999998</v>
      </c>
      <c r="N455" s="11">
        <f>7.3345 * CHOOSE(CONTROL!$C$32, $C$9, 100%, $E$9)</f>
        <v>7.3345000000000002</v>
      </c>
      <c r="O455" s="11">
        <f>7.3381 * CHOOSE(CONTROL!$C$32, $C$9, 100%, $E$9)</f>
        <v>7.3380999999999998</v>
      </c>
    </row>
    <row r="456" spans="1:15" ht="15" x14ac:dyDescent="0.2">
      <c r="A456" s="13">
        <v>54728</v>
      </c>
      <c r="B456" s="9">
        <f>6.5486 * CHOOSE(CONTROL!$C$32, $C$9, 100%, $E$9)</f>
        <v>6.5486000000000004</v>
      </c>
      <c r="C456" s="9">
        <f>6.5486 * CHOOSE(CONTROL!$C$32, $C$9, 100%, $E$9)</f>
        <v>6.5486000000000004</v>
      </c>
      <c r="D456" s="9">
        <f>6.5497 * CHOOSE(CONTROL!$C$32, $C$9, 100%, $E$9)</f>
        <v>6.5496999999999996</v>
      </c>
      <c r="E456" s="11">
        <f>7.3691 * CHOOSE(CONTROL!$C$32, $C$9, 100%, $E$9)</f>
        <v>7.3691000000000004</v>
      </c>
      <c r="F456" s="11">
        <f>7.3691 * CHOOSE(CONTROL!$C$32, $C$9, 100%, $E$9)</f>
        <v>7.3691000000000004</v>
      </c>
      <c r="G456" s="11">
        <f>7.3727 * CHOOSE(CONTROL!$C$32, $C$9, 100%, $E$9)</f>
        <v>7.3727</v>
      </c>
      <c r="H456" s="11">
        <f>14.4734 * CHOOSE(CONTROL!$C$32, $C$9, 100%, $E$9)</f>
        <v>14.4734</v>
      </c>
      <c r="I456" s="11">
        <f>14.4771 * CHOOSE(CONTROL!$C$32, $C$9, 100%, $E$9)</f>
        <v>14.4771</v>
      </c>
      <c r="J456" s="11">
        <f>14.4734 * CHOOSE(CONTROL!$C$32, $C$9, 100%, $E$9)</f>
        <v>14.4734</v>
      </c>
      <c r="K456" s="11">
        <f>14.4771 * CHOOSE(CONTROL!$C$32, $C$9, 100%, $E$9)</f>
        <v>14.4771</v>
      </c>
      <c r="L456" s="11">
        <f>7.3691 * CHOOSE(CONTROL!$C$32, $C$9, 100%, $E$9)</f>
        <v>7.3691000000000004</v>
      </c>
      <c r="M456" s="11">
        <f>7.3727 * CHOOSE(CONTROL!$C$32, $C$9, 100%, $E$9)</f>
        <v>7.3727</v>
      </c>
      <c r="N456" s="11">
        <f>7.3691 * CHOOSE(CONTROL!$C$32, $C$9, 100%, $E$9)</f>
        <v>7.3691000000000004</v>
      </c>
      <c r="O456" s="11">
        <f>7.3727 * CHOOSE(CONTROL!$C$32, $C$9, 100%, $E$9)</f>
        <v>7.3727</v>
      </c>
    </row>
    <row r="457" spans="1:15" ht="15" x14ac:dyDescent="0.2">
      <c r="A457" s="13">
        <v>54758</v>
      </c>
      <c r="B457" s="9">
        <f>6.5486 * CHOOSE(CONTROL!$C$32, $C$9, 100%, $E$9)</f>
        <v>6.5486000000000004</v>
      </c>
      <c r="C457" s="9">
        <f>6.5486 * CHOOSE(CONTROL!$C$32, $C$9, 100%, $E$9)</f>
        <v>6.5486000000000004</v>
      </c>
      <c r="D457" s="9">
        <f>6.5497 * CHOOSE(CONTROL!$C$32, $C$9, 100%, $E$9)</f>
        <v>6.5496999999999996</v>
      </c>
      <c r="E457" s="11">
        <f>7.2879 * CHOOSE(CONTROL!$C$32, $C$9, 100%, $E$9)</f>
        <v>7.2878999999999996</v>
      </c>
      <c r="F457" s="11">
        <f>7.2879 * CHOOSE(CONTROL!$C$32, $C$9, 100%, $E$9)</f>
        <v>7.2878999999999996</v>
      </c>
      <c r="G457" s="11">
        <f>7.2915 * CHOOSE(CONTROL!$C$32, $C$9, 100%, $E$9)</f>
        <v>7.2915000000000001</v>
      </c>
      <c r="H457" s="11">
        <f>14.5036 * CHOOSE(CONTROL!$C$32, $C$9, 100%, $E$9)</f>
        <v>14.5036</v>
      </c>
      <c r="I457" s="11">
        <f>14.5072 * CHOOSE(CONTROL!$C$32, $C$9, 100%, $E$9)</f>
        <v>14.507199999999999</v>
      </c>
      <c r="J457" s="11">
        <f>14.5036 * CHOOSE(CONTROL!$C$32, $C$9, 100%, $E$9)</f>
        <v>14.5036</v>
      </c>
      <c r="K457" s="11">
        <f>14.5072 * CHOOSE(CONTROL!$C$32, $C$9, 100%, $E$9)</f>
        <v>14.507199999999999</v>
      </c>
      <c r="L457" s="11">
        <f>7.2879 * CHOOSE(CONTROL!$C$32, $C$9, 100%, $E$9)</f>
        <v>7.2878999999999996</v>
      </c>
      <c r="M457" s="11">
        <f>7.2915 * CHOOSE(CONTROL!$C$32, $C$9, 100%, $E$9)</f>
        <v>7.2915000000000001</v>
      </c>
      <c r="N457" s="11">
        <f>7.2879 * CHOOSE(CONTROL!$C$32, $C$9, 100%, $E$9)</f>
        <v>7.2878999999999996</v>
      </c>
      <c r="O457" s="11">
        <f>7.2915 * CHOOSE(CONTROL!$C$32, $C$9, 100%, $E$9)</f>
        <v>7.2915000000000001</v>
      </c>
    </row>
    <row r="458" spans="1:15" ht="15" x14ac:dyDescent="0.2">
      <c r="A458" s="13">
        <v>54789</v>
      </c>
      <c r="B458" s="9">
        <f>6.5983 * CHOOSE(CONTROL!$C$32, $C$9, 100%, $E$9)</f>
        <v>6.5983000000000001</v>
      </c>
      <c r="C458" s="9">
        <f>6.5983 * CHOOSE(CONTROL!$C$32, $C$9, 100%, $E$9)</f>
        <v>6.5983000000000001</v>
      </c>
      <c r="D458" s="9">
        <f>6.5993 * CHOOSE(CONTROL!$C$32, $C$9, 100%, $E$9)</f>
        <v>6.5993000000000004</v>
      </c>
      <c r="E458" s="11">
        <f>7.4077 * CHOOSE(CONTROL!$C$32, $C$9, 100%, $E$9)</f>
        <v>7.4077000000000002</v>
      </c>
      <c r="F458" s="11">
        <f>7.4077 * CHOOSE(CONTROL!$C$32, $C$9, 100%, $E$9)</f>
        <v>7.4077000000000002</v>
      </c>
      <c r="G458" s="11">
        <f>7.4113 * CHOOSE(CONTROL!$C$32, $C$9, 100%, $E$9)</f>
        <v>7.4112999999999998</v>
      </c>
      <c r="H458" s="11">
        <f>14.5338 * CHOOSE(CONTROL!$C$32, $C$9, 100%, $E$9)</f>
        <v>14.533799999999999</v>
      </c>
      <c r="I458" s="11">
        <f>14.5374 * CHOOSE(CONTROL!$C$32, $C$9, 100%, $E$9)</f>
        <v>14.5374</v>
      </c>
      <c r="J458" s="11">
        <f>14.5338 * CHOOSE(CONTROL!$C$32, $C$9, 100%, $E$9)</f>
        <v>14.533799999999999</v>
      </c>
      <c r="K458" s="11">
        <f>14.5374 * CHOOSE(CONTROL!$C$32, $C$9, 100%, $E$9)</f>
        <v>14.5374</v>
      </c>
      <c r="L458" s="11">
        <f>7.4077 * CHOOSE(CONTROL!$C$32, $C$9, 100%, $E$9)</f>
        <v>7.4077000000000002</v>
      </c>
      <c r="M458" s="11">
        <f>7.4113 * CHOOSE(CONTROL!$C$32, $C$9, 100%, $E$9)</f>
        <v>7.4112999999999998</v>
      </c>
      <c r="N458" s="11">
        <f>7.4077 * CHOOSE(CONTROL!$C$32, $C$9, 100%, $E$9)</f>
        <v>7.4077000000000002</v>
      </c>
      <c r="O458" s="11">
        <f>7.4113 * CHOOSE(CONTROL!$C$32, $C$9, 100%, $E$9)</f>
        <v>7.4112999999999998</v>
      </c>
    </row>
    <row r="459" spans="1:15" ht="15" x14ac:dyDescent="0.2">
      <c r="A459" s="13">
        <v>54820</v>
      </c>
      <c r="B459" s="9">
        <f>6.5952 * CHOOSE(CONTROL!$C$32, $C$9, 100%, $E$9)</f>
        <v>6.5952000000000002</v>
      </c>
      <c r="C459" s="9">
        <f>6.5952 * CHOOSE(CONTROL!$C$32, $C$9, 100%, $E$9)</f>
        <v>6.5952000000000002</v>
      </c>
      <c r="D459" s="9">
        <f>6.5963 * CHOOSE(CONTROL!$C$32, $C$9, 100%, $E$9)</f>
        <v>6.5963000000000003</v>
      </c>
      <c r="E459" s="11">
        <f>7.2472 * CHOOSE(CONTROL!$C$32, $C$9, 100%, $E$9)</f>
        <v>7.2472000000000003</v>
      </c>
      <c r="F459" s="11">
        <f>7.2472 * CHOOSE(CONTROL!$C$32, $C$9, 100%, $E$9)</f>
        <v>7.2472000000000003</v>
      </c>
      <c r="G459" s="11">
        <f>7.2508 * CHOOSE(CONTROL!$C$32, $C$9, 100%, $E$9)</f>
        <v>7.2507999999999999</v>
      </c>
      <c r="H459" s="11">
        <f>14.5641 * CHOOSE(CONTROL!$C$32, $C$9, 100%, $E$9)</f>
        <v>14.5641</v>
      </c>
      <c r="I459" s="11">
        <f>14.5677 * CHOOSE(CONTROL!$C$32, $C$9, 100%, $E$9)</f>
        <v>14.5677</v>
      </c>
      <c r="J459" s="11">
        <f>14.5641 * CHOOSE(CONTROL!$C$32, $C$9, 100%, $E$9)</f>
        <v>14.5641</v>
      </c>
      <c r="K459" s="11">
        <f>14.5677 * CHOOSE(CONTROL!$C$32, $C$9, 100%, $E$9)</f>
        <v>14.5677</v>
      </c>
      <c r="L459" s="11">
        <f>7.2472 * CHOOSE(CONTROL!$C$32, $C$9, 100%, $E$9)</f>
        <v>7.2472000000000003</v>
      </c>
      <c r="M459" s="11">
        <f>7.2508 * CHOOSE(CONTROL!$C$32, $C$9, 100%, $E$9)</f>
        <v>7.2507999999999999</v>
      </c>
      <c r="N459" s="11">
        <f>7.2472 * CHOOSE(CONTROL!$C$32, $C$9, 100%, $E$9)</f>
        <v>7.2472000000000003</v>
      </c>
      <c r="O459" s="11">
        <f>7.2508 * CHOOSE(CONTROL!$C$32, $C$9, 100%, $E$9)</f>
        <v>7.2507999999999999</v>
      </c>
    </row>
    <row r="460" spans="1:15" ht="15" x14ac:dyDescent="0.2">
      <c r="A460" s="13">
        <v>54848</v>
      </c>
      <c r="B460" s="9">
        <f>6.5922 * CHOOSE(CONTROL!$C$32, $C$9, 100%, $E$9)</f>
        <v>6.5922000000000001</v>
      </c>
      <c r="C460" s="9">
        <f>6.5922 * CHOOSE(CONTROL!$C$32, $C$9, 100%, $E$9)</f>
        <v>6.5922000000000001</v>
      </c>
      <c r="D460" s="9">
        <f>6.5933 * CHOOSE(CONTROL!$C$32, $C$9, 100%, $E$9)</f>
        <v>6.5933000000000002</v>
      </c>
      <c r="E460" s="11">
        <f>7.3699 * CHOOSE(CONTROL!$C$32, $C$9, 100%, $E$9)</f>
        <v>7.3699000000000003</v>
      </c>
      <c r="F460" s="11">
        <f>7.3699 * CHOOSE(CONTROL!$C$32, $C$9, 100%, $E$9)</f>
        <v>7.3699000000000003</v>
      </c>
      <c r="G460" s="11">
        <f>7.3735 * CHOOSE(CONTROL!$C$32, $C$9, 100%, $E$9)</f>
        <v>7.3734999999999999</v>
      </c>
      <c r="H460" s="11">
        <f>14.5944 * CHOOSE(CONTROL!$C$32, $C$9, 100%, $E$9)</f>
        <v>14.5944</v>
      </c>
      <c r="I460" s="11">
        <f>14.598 * CHOOSE(CONTROL!$C$32, $C$9, 100%, $E$9)</f>
        <v>14.598000000000001</v>
      </c>
      <c r="J460" s="11">
        <f>14.5944 * CHOOSE(CONTROL!$C$32, $C$9, 100%, $E$9)</f>
        <v>14.5944</v>
      </c>
      <c r="K460" s="11">
        <f>14.598 * CHOOSE(CONTROL!$C$32, $C$9, 100%, $E$9)</f>
        <v>14.598000000000001</v>
      </c>
      <c r="L460" s="11">
        <f>7.3699 * CHOOSE(CONTROL!$C$32, $C$9, 100%, $E$9)</f>
        <v>7.3699000000000003</v>
      </c>
      <c r="M460" s="11">
        <f>7.3735 * CHOOSE(CONTROL!$C$32, $C$9, 100%, $E$9)</f>
        <v>7.3734999999999999</v>
      </c>
      <c r="N460" s="11">
        <f>7.3699 * CHOOSE(CONTROL!$C$32, $C$9, 100%, $E$9)</f>
        <v>7.3699000000000003</v>
      </c>
      <c r="O460" s="11">
        <f>7.3735 * CHOOSE(CONTROL!$C$32, $C$9, 100%, $E$9)</f>
        <v>7.3734999999999999</v>
      </c>
    </row>
    <row r="461" spans="1:15" ht="15" x14ac:dyDescent="0.2">
      <c r="A461" s="13">
        <v>54879</v>
      </c>
      <c r="B461" s="9">
        <f>6.5923 * CHOOSE(CONTROL!$C$32, $C$9, 100%, $E$9)</f>
        <v>6.5922999999999998</v>
      </c>
      <c r="C461" s="9">
        <f>6.5923 * CHOOSE(CONTROL!$C$32, $C$9, 100%, $E$9)</f>
        <v>6.5922999999999998</v>
      </c>
      <c r="D461" s="9">
        <f>6.5934 * CHOOSE(CONTROL!$C$32, $C$9, 100%, $E$9)</f>
        <v>6.5933999999999999</v>
      </c>
      <c r="E461" s="11">
        <f>7.4998 * CHOOSE(CONTROL!$C$32, $C$9, 100%, $E$9)</f>
        <v>7.4997999999999996</v>
      </c>
      <c r="F461" s="11">
        <f>7.4998 * CHOOSE(CONTROL!$C$32, $C$9, 100%, $E$9)</f>
        <v>7.4997999999999996</v>
      </c>
      <c r="G461" s="11">
        <f>7.5034 * CHOOSE(CONTROL!$C$32, $C$9, 100%, $E$9)</f>
        <v>7.5034000000000001</v>
      </c>
      <c r="H461" s="11">
        <f>14.6248 * CHOOSE(CONTROL!$C$32, $C$9, 100%, $E$9)</f>
        <v>14.6248</v>
      </c>
      <c r="I461" s="11">
        <f>14.6284 * CHOOSE(CONTROL!$C$32, $C$9, 100%, $E$9)</f>
        <v>14.628399999999999</v>
      </c>
      <c r="J461" s="11">
        <f>14.6248 * CHOOSE(CONTROL!$C$32, $C$9, 100%, $E$9)</f>
        <v>14.6248</v>
      </c>
      <c r="K461" s="11">
        <f>14.6284 * CHOOSE(CONTROL!$C$32, $C$9, 100%, $E$9)</f>
        <v>14.628399999999999</v>
      </c>
      <c r="L461" s="11">
        <f>7.4998 * CHOOSE(CONTROL!$C$32, $C$9, 100%, $E$9)</f>
        <v>7.4997999999999996</v>
      </c>
      <c r="M461" s="11">
        <f>7.5034 * CHOOSE(CONTROL!$C$32, $C$9, 100%, $E$9)</f>
        <v>7.5034000000000001</v>
      </c>
      <c r="N461" s="11">
        <f>7.4998 * CHOOSE(CONTROL!$C$32, $C$9, 100%, $E$9)</f>
        <v>7.4997999999999996</v>
      </c>
      <c r="O461" s="11">
        <f>7.5034 * CHOOSE(CONTROL!$C$32, $C$9, 100%, $E$9)</f>
        <v>7.5034000000000001</v>
      </c>
    </row>
    <row r="462" spans="1:15" ht="15" x14ac:dyDescent="0.2">
      <c r="A462" s="13">
        <v>54909</v>
      </c>
      <c r="B462" s="9">
        <f>6.5923 * CHOOSE(CONTROL!$C$32, $C$9, 100%, $E$9)</f>
        <v>6.5922999999999998</v>
      </c>
      <c r="C462" s="9">
        <f>6.5923 * CHOOSE(CONTROL!$C$32, $C$9, 100%, $E$9)</f>
        <v>6.5922999999999998</v>
      </c>
      <c r="D462" s="9">
        <f>6.5939 * CHOOSE(CONTROL!$C$32, $C$9, 100%, $E$9)</f>
        <v>6.5938999999999997</v>
      </c>
      <c r="E462" s="11">
        <f>7.55 * CHOOSE(CONTROL!$C$32, $C$9, 100%, $E$9)</f>
        <v>7.55</v>
      </c>
      <c r="F462" s="11">
        <f>7.55 * CHOOSE(CONTROL!$C$32, $C$9, 100%, $E$9)</f>
        <v>7.55</v>
      </c>
      <c r="G462" s="11">
        <f>7.5553 * CHOOSE(CONTROL!$C$32, $C$9, 100%, $E$9)</f>
        <v>7.5552999999999999</v>
      </c>
      <c r="H462" s="11">
        <f>14.6553 * CHOOSE(CONTROL!$C$32, $C$9, 100%, $E$9)</f>
        <v>14.6553</v>
      </c>
      <c r="I462" s="11">
        <f>14.6606 * CHOOSE(CONTROL!$C$32, $C$9, 100%, $E$9)</f>
        <v>14.660600000000001</v>
      </c>
      <c r="J462" s="11">
        <f>14.6553 * CHOOSE(CONTROL!$C$32, $C$9, 100%, $E$9)</f>
        <v>14.6553</v>
      </c>
      <c r="K462" s="11">
        <f>14.6606 * CHOOSE(CONTROL!$C$32, $C$9, 100%, $E$9)</f>
        <v>14.660600000000001</v>
      </c>
      <c r="L462" s="11">
        <f>7.55 * CHOOSE(CONTROL!$C$32, $C$9, 100%, $E$9)</f>
        <v>7.55</v>
      </c>
      <c r="M462" s="11">
        <f>7.5553 * CHOOSE(CONTROL!$C$32, $C$9, 100%, $E$9)</f>
        <v>7.5552999999999999</v>
      </c>
      <c r="N462" s="11">
        <f>7.55 * CHOOSE(CONTROL!$C$32, $C$9, 100%, $E$9)</f>
        <v>7.55</v>
      </c>
      <c r="O462" s="11">
        <f>7.5553 * CHOOSE(CONTROL!$C$32, $C$9, 100%, $E$9)</f>
        <v>7.5552999999999999</v>
      </c>
    </row>
    <row r="463" spans="1:15" ht="15" x14ac:dyDescent="0.2">
      <c r="A463" s="13">
        <v>54940</v>
      </c>
      <c r="B463" s="9">
        <f>6.5984 * CHOOSE(CONTROL!$C$32, $C$9, 100%, $E$9)</f>
        <v>6.5983999999999998</v>
      </c>
      <c r="C463" s="9">
        <f>6.5984 * CHOOSE(CONTROL!$C$32, $C$9, 100%, $E$9)</f>
        <v>6.5983999999999998</v>
      </c>
      <c r="D463" s="9">
        <f>6.6 * CHOOSE(CONTROL!$C$32, $C$9, 100%, $E$9)</f>
        <v>6.6</v>
      </c>
      <c r="E463" s="11">
        <f>7.504 * CHOOSE(CONTROL!$C$32, $C$9, 100%, $E$9)</f>
        <v>7.5039999999999996</v>
      </c>
      <c r="F463" s="11">
        <f>7.504 * CHOOSE(CONTROL!$C$32, $C$9, 100%, $E$9)</f>
        <v>7.5039999999999996</v>
      </c>
      <c r="G463" s="11">
        <f>7.5093 * CHOOSE(CONTROL!$C$32, $C$9, 100%, $E$9)</f>
        <v>7.5092999999999996</v>
      </c>
      <c r="H463" s="11">
        <f>14.6858 * CHOOSE(CONTROL!$C$32, $C$9, 100%, $E$9)</f>
        <v>14.6858</v>
      </c>
      <c r="I463" s="11">
        <f>14.6911 * CHOOSE(CONTROL!$C$32, $C$9, 100%, $E$9)</f>
        <v>14.6911</v>
      </c>
      <c r="J463" s="11">
        <f>14.6858 * CHOOSE(CONTROL!$C$32, $C$9, 100%, $E$9)</f>
        <v>14.6858</v>
      </c>
      <c r="K463" s="11">
        <f>14.6911 * CHOOSE(CONTROL!$C$32, $C$9, 100%, $E$9)</f>
        <v>14.6911</v>
      </c>
      <c r="L463" s="11">
        <f>7.504 * CHOOSE(CONTROL!$C$32, $C$9, 100%, $E$9)</f>
        <v>7.5039999999999996</v>
      </c>
      <c r="M463" s="11">
        <f>7.5093 * CHOOSE(CONTROL!$C$32, $C$9, 100%, $E$9)</f>
        <v>7.5092999999999996</v>
      </c>
      <c r="N463" s="11">
        <f>7.504 * CHOOSE(CONTROL!$C$32, $C$9, 100%, $E$9)</f>
        <v>7.5039999999999996</v>
      </c>
      <c r="O463" s="11">
        <f>7.5093 * CHOOSE(CONTROL!$C$32, $C$9, 100%, $E$9)</f>
        <v>7.5092999999999996</v>
      </c>
    </row>
    <row r="464" spans="1:15" ht="15" x14ac:dyDescent="0.2">
      <c r="A464" s="13">
        <v>54970</v>
      </c>
      <c r="B464" s="9">
        <f>6.6855 * CHOOSE(CONTROL!$C$32, $C$9, 100%, $E$9)</f>
        <v>6.6855000000000002</v>
      </c>
      <c r="C464" s="9">
        <f>6.6855 * CHOOSE(CONTROL!$C$32, $C$9, 100%, $E$9)</f>
        <v>6.6855000000000002</v>
      </c>
      <c r="D464" s="9">
        <f>6.6871 * CHOOSE(CONTROL!$C$32, $C$9, 100%, $E$9)</f>
        <v>6.6871</v>
      </c>
      <c r="E464" s="11">
        <f>7.6081 * CHOOSE(CONTROL!$C$32, $C$9, 100%, $E$9)</f>
        <v>7.6081000000000003</v>
      </c>
      <c r="F464" s="11">
        <f>7.6081 * CHOOSE(CONTROL!$C$32, $C$9, 100%, $E$9)</f>
        <v>7.6081000000000003</v>
      </c>
      <c r="G464" s="11">
        <f>7.6134 * CHOOSE(CONTROL!$C$32, $C$9, 100%, $E$9)</f>
        <v>7.6134000000000004</v>
      </c>
      <c r="H464" s="11">
        <f>14.7164 * CHOOSE(CONTROL!$C$32, $C$9, 100%, $E$9)</f>
        <v>14.7164</v>
      </c>
      <c r="I464" s="11">
        <f>14.7217 * CHOOSE(CONTROL!$C$32, $C$9, 100%, $E$9)</f>
        <v>14.7217</v>
      </c>
      <c r="J464" s="11">
        <f>14.7164 * CHOOSE(CONTROL!$C$32, $C$9, 100%, $E$9)</f>
        <v>14.7164</v>
      </c>
      <c r="K464" s="11">
        <f>14.7217 * CHOOSE(CONTROL!$C$32, $C$9, 100%, $E$9)</f>
        <v>14.7217</v>
      </c>
      <c r="L464" s="11">
        <f>7.6081 * CHOOSE(CONTROL!$C$32, $C$9, 100%, $E$9)</f>
        <v>7.6081000000000003</v>
      </c>
      <c r="M464" s="11">
        <f>7.6134 * CHOOSE(CONTROL!$C$32, $C$9, 100%, $E$9)</f>
        <v>7.6134000000000004</v>
      </c>
      <c r="N464" s="11">
        <f>7.6081 * CHOOSE(CONTROL!$C$32, $C$9, 100%, $E$9)</f>
        <v>7.6081000000000003</v>
      </c>
      <c r="O464" s="11">
        <f>7.6134 * CHOOSE(CONTROL!$C$32, $C$9, 100%, $E$9)</f>
        <v>7.6134000000000004</v>
      </c>
    </row>
    <row r="465" spans="1:15" ht="15" x14ac:dyDescent="0.2">
      <c r="A465" s="13">
        <v>55001</v>
      </c>
      <c r="B465" s="9">
        <f>6.6922 * CHOOSE(CONTROL!$C$32, $C$9, 100%, $E$9)</f>
        <v>6.6921999999999997</v>
      </c>
      <c r="C465" s="9">
        <f>6.6922 * CHOOSE(CONTROL!$C$32, $C$9, 100%, $E$9)</f>
        <v>6.6921999999999997</v>
      </c>
      <c r="D465" s="9">
        <f>6.6937 * CHOOSE(CONTROL!$C$32, $C$9, 100%, $E$9)</f>
        <v>6.6936999999999998</v>
      </c>
      <c r="E465" s="11">
        <f>7.4619 * CHOOSE(CONTROL!$C$32, $C$9, 100%, $E$9)</f>
        <v>7.4619</v>
      </c>
      <c r="F465" s="11">
        <f>7.4619 * CHOOSE(CONTROL!$C$32, $C$9, 100%, $E$9)</f>
        <v>7.4619</v>
      </c>
      <c r="G465" s="11">
        <f>7.4672 * CHOOSE(CONTROL!$C$32, $C$9, 100%, $E$9)</f>
        <v>7.4672000000000001</v>
      </c>
      <c r="H465" s="11">
        <f>14.7471 * CHOOSE(CONTROL!$C$32, $C$9, 100%, $E$9)</f>
        <v>14.7471</v>
      </c>
      <c r="I465" s="11">
        <f>14.7524 * CHOOSE(CONTROL!$C$32, $C$9, 100%, $E$9)</f>
        <v>14.7524</v>
      </c>
      <c r="J465" s="11">
        <f>14.7471 * CHOOSE(CONTROL!$C$32, $C$9, 100%, $E$9)</f>
        <v>14.7471</v>
      </c>
      <c r="K465" s="11">
        <f>14.7524 * CHOOSE(CONTROL!$C$32, $C$9, 100%, $E$9)</f>
        <v>14.7524</v>
      </c>
      <c r="L465" s="11">
        <f>7.4619 * CHOOSE(CONTROL!$C$32, $C$9, 100%, $E$9)</f>
        <v>7.4619</v>
      </c>
      <c r="M465" s="11">
        <f>7.4672 * CHOOSE(CONTROL!$C$32, $C$9, 100%, $E$9)</f>
        <v>7.4672000000000001</v>
      </c>
      <c r="N465" s="11">
        <f>7.4619 * CHOOSE(CONTROL!$C$32, $C$9, 100%, $E$9)</f>
        <v>7.4619</v>
      </c>
      <c r="O465" s="11">
        <f>7.4672 * CHOOSE(CONTROL!$C$32, $C$9, 100%, $E$9)</f>
        <v>7.4672000000000001</v>
      </c>
    </row>
    <row r="466" spans="1:15" ht="15" x14ac:dyDescent="0.2">
      <c r="A466" s="13">
        <v>55032</v>
      </c>
      <c r="B466" s="9">
        <f>6.6891 * CHOOSE(CONTROL!$C$32, $C$9, 100%, $E$9)</f>
        <v>6.6890999999999998</v>
      </c>
      <c r="C466" s="9">
        <f>6.6891 * CHOOSE(CONTROL!$C$32, $C$9, 100%, $E$9)</f>
        <v>6.6890999999999998</v>
      </c>
      <c r="D466" s="9">
        <f>6.6907 * CHOOSE(CONTROL!$C$32, $C$9, 100%, $E$9)</f>
        <v>6.6906999999999996</v>
      </c>
      <c r="E466" s="11">
        <f>7.443 * CHOOSE(CONTROL!$C$32, $C$9, 100%, $E$9)</f>
        <v>7.4429999999999996</v>
      </c>
      <c r="F466" s="11">
        <f>7.443 * CHOOSE(CONTROL!$C$32, $C$9, 100%, $E$9)</f>
        <v>7.4429999999999996</v>
      </c>
      <c r="G466" s="11">
        <f>7.4483 * CHOOSE(CONTROL!$C$32, $C$9, 100%, $E$9)</f>
        <v>7.4482999999999997</v>
      </c>
      <c r="H466" s="11">
        <f>14.7778 * CHOOSE(CONTROL!$C$32, $C$9, 100%, $E$9)</f>
        <v>14.777799999999999</v>
      </c>
      <c r="I466" s="11">
        <f>14.7831 * CHOOSE(CONTROL!$C$32, $C$9, 100%, $E$9)</f>
        <v>14.783099999999999</v>
      </c>
      <c r="J466" s="11">
        <f>14.7778 * CHOOSE(CONTROL!$C$32, $C$9, 100%, $E$9)</f>
        <v>14.777799999999999</v>
      </c>
      <c r="K466" s="11">
        <f>14.7831 * CHOOSE(CONTROL!$C$32, $C$9, 100%, $E$9)</f>
        <v>14.783099999999999</v>
      </c>
      <c r="L466" s="11">
        <f>7.443 * CHOOSE(CONTROL!$C$32, $C$9, 100%, $E$9)</f>
        <v>7.4429999999999996</v>
      </c>
      <c r="M466" s="11">
        <f>7.4483 * CHOOSE(CONTROL!$C$32, $C$9, 100%, $E$9)</f>
        <v>7.4482999999999997</v>
      </c>
      <c r="N466" s="11">
        <f>7.443 * CHOOSE(CONTROL!$C$32, $C$9, 100%, $E$9)</f>
        <v>7.4429999999999996</v>
      </c>
      <c r="O466" s="11">
        <f>7.4483 * CHOOSE(CONTROL!$C$32, $C$9, 100%, $E$9)</f>
        <v>7.4482999999999997</v>
      </c>
    </row>
    <row r="467" spans="1:15" ht="15" x14ac:dyDescent="0.2">
      <c r="A467" s="13">
        <v>55062</v>
      </c>
      <c r="B467" s="9">
        <f>6.6942 * CHOOSE(CONTROL!$C$32, $C$9, 100%, $E$9)</f>
        <v>6.6942000000000004</v>
      </c>
      <c r="C467" s="9">
        <f>6.6942 * CHOOSE(CONTROL!$C$32, $C$9, 100%, $E$9)</f>
        <v>6.6942000000000004</v>
      </c>
      <c r="D467" s="9">
        <f>6.6953 * CHOOSE(CONTROL!$C$32, $C$9, 100%, $E$9)</f>
        <v>6.6952999999999996</v>
      </c>
      <c r="E467" s="11">
        <f>7.4966 * CHOOSE(CONTROL!$C$32, $C$9, 100%, $E$9)</f>
        <v>7.4965999999999999</v>
      </c>
      <c r="F467" s="11">
        <f>7.4966 * CHOOSE(CONTROL!$C$32, $C$9, 100%, $E$9)</f>
        <v>7.4965999999999999</v>
      </c>
      <c r="G467" s="11">
        <f>7.5002 * CHOOSE(CONTROL!$C$32, $C$9, 100%, $E$9)</f>
        <v>7.5002000000000004</v>
      </c>
      <c r="H467" s="11">
        <f>14.8086 * CHOOSE(CONTROL!$C$32, $C$9, 100%, $E$9)</f>
        <v>14.8086</v>
      </c>
      <c r="I467" s="11">
        <f>14.8122 * CHOOSE(CONTROL!$C$32, $C$9, 100%, $E$9)</f>
        <v>14.812200000000001</v>
      </c>
      <c r="J467" s="11">
        <f>14.8086 * CHOOSE(CONTROL!$C$32, $C$9, 100%, $E$9)</f>
        <v>14.8086</v>
      </c>
      <c r="K467" s="11">
        <f>14.8122 * CHOOSE(CONTROL!$C$32, $C$9, 100%, $E$9)</f>
        <v>14.812200000000001</v>
      </c>
      <c r="L467" s="11">
        <f>7.4966 * CHOOSE(CONTROL!$C$32, $C$9, 100%, $E$9)</f>
        <v>7.4965999999999999</v>
      </c>
      <c r="M467" s="11">
        <f>7.5002 * CHOOSE(CONTROL!$C$32, $C$9, 100%, $E$9)</f>
        <v>7.5002000000000004</v>
      </c>
      <c r="N467" s="11">
        <f>7.4966 * CHOOSE(CONTROL!$C$32, $C$9, 100%, $E$9)</f>
        <v>7.4965999999999999</v>
      </c>
      <c r="O467" s="11">
        <f>7.5002 * CHOOSE(CONTROL!$C$32, $C$9, 100%, $E$9)</f>
        <v>7.5002000000000004</v>
      </c>
    </row>
    <row r="468" spans="1:15" ht="15" x14ac:dyDescent="0.2">
      <c r="A468" s="13">
        <v>55093</v>
      </c>
      <c r="B468" s="9">
        <f>6.6972 * CHOOSE(CONTROL!$C$32, $C$9, 100%, $E$9)</f>
        <v>6.6971999999999996</v>
      </c>
      <c r="C468" s="9">
        <f>6.6972 * CHOOSE(CONTROL!$C$32, $C$9, 100%, $E$9)</f>
        <v>6.6971999999999996</v>
      </c>
      <c r="D468" s="9">
        <f>6.6983 * CHOOSE(CONTROL!$C$32, $C$9, 100%, $E$9)</f>
        <v>6.6982999999999997</v>
      </c>
      <c r="E468" s="11">
        <f>7.5323 * CHOOSE(CONTROL!$C$32, $C$9, 100%, $E$9)</f>
        <v>7.5323000000000002</v>
      </c>
      <c r="F468" s="11">
        <f>7.5323 * CHOOSE(CONTROL!$C$32, $C$9, 100%, $E$9)</f>
        <v>7.5323000000000002</v>
      </c>
      <c r="G468" s="11">
        <f>7.5359 * CHOOSE(CONTROL!$C$32, $C$9, 100%, $E$9)</f>
        <v>7.5358999999999998</v>
      </c>
      <c r="H468" s="11">
        <f>14.8394 * CHOOSE(CONTROL!$C$32, $C$9, 100%, $E$9)</f>
        <v>14.839399999999999</v>
      </c>
      <c r="I468" s="11">
        <f>14.8431 * CHOOSE(CONTROL!$C$32, $C$9, 100%, $E$9)</f>
        <v>14.8431</v>
      </c>
      <c r="J468" s="11">
        <f>14.8394 * CHOOSE(CONTROL!$C$32, $C$9, 100%, $E$9)</f>
        <v>14.839399999999999</v>
      </c>
      <c r="K468" s="11">
        <f>14.8431 * CHOOSE(CONTROL!$C$32, $C$9, 100%, $E$9)</f>
        <v>14.8431</v>
      </c>
      <c r="L468" s="11">
        <f>7.5323 * CHOOSE(CONTROL!$C$32, $C$9, 100%, $E$9)</f>
        <v>7.5323000000000002</v>
      </c>
      <c r="M468" s="11">
        <f>7.5359 * CHOOSE(CONTROL!$C$32, $C$9, 100%, $E$9)</f>
        <v>7.5358999999999998</v>
      </c>
      <c r="N468" s="11">
        <f>7.5323 * CHOOSE(CONTROL!$C$32, $C$9, 100%, $E$9)</f>
        <v>7.5323000000000002</v>
      </c>
      <c r="O468" s="11">
        <f>7.5359 * CHOOSE(CONTROL!$C$32, $C$9, 100%, $E$9)</f>
        <v>7.5358999999999998</v>
      </c>
    </row>
    <row r="469" spans="1:15" ht="15" x14ac:dyDescent="0.2">
      <c r="A469" s="13">
        <v>55123</v>
      </c>
      <c r="B469" s="9">
        <f>6.6972 * CHOOSE(CONTROL!$C$32, $C$9, 100%, $E$9)</f>
        <v>6.6971999999999996</v>
      </c>
      <c r="C469" s="9">
        <f>6.6972 * CHOOSE(CONTROL!$C$32, $C$9, 100%, $E$9)</f>
        <v>6.6971999999999996</v>
      </c>
      <c r="D469" s="9">
        <f>6.6983 * CHOOSE(CONTROL!$C$32, $C$9, 100%, $E$9)</f>
        <v>6.6982999999999997</v>
      </c>
      <c r="E469" s="11">
        <f>7.4485 * CHOOSE(CONTROL!$C$32, $C$9, 100%, $E$9)</f>
        <v>7.4485000000000001</v>
      </c>
      <c r="F469" s="11">
        <f>7.4485 * CHOOSE(CONTROL!$C$32, $C$9, 100%, $E$9)</f>
        <v>7.4485000000000001</v>
      </c>
      <c r="G469" s="11">
        <f>7.4521 * CHOOSE(CONTROL!$C$32, $C$9, 100%, $E$9)</f>
        <v>7.4520999999999997</v>
      </c>
      <c r="H469" s="11">
        <f>14.8704 * CHOOSE(CONTROL!$C$32, $C$9, 100%, $E$9)</f>
        <v>14.8704</v>
      </c>
      <c r="I469" s="11">
        <f>14.874 * CHOOSE(CONTROL!$C$32, $C$9, 100%, $E$9)</f>
        <v>14.874000000000001</v>
      </c>
      <c r="J469" s="11">
        <f>14.8704 * CHOOSE(CONTROL!$C$32, $C$9, 100%, $E$9)</f>
        <v>14.8704</v>
      </c>
      <c r="K469" s="11">
        <f>14.874 * CHOOSE(CONTROL!$C$32, $C$9, 100%, $E$9)</f>
        <v>14.874000000000001</v>
      </c>
      <c r="L469" s="11">
        <f>7.4485 * CHOOSE(CONTROL!$C$32, $C$9, 100%, $E$9)</f>
        <v>7.4485000000000001</v>
      </c>
      <c r="M469" s="11">
        <f>7.4521 * CHOOSE(CONTROL!$C$32, $C$9, 100%, $E$9)</f>
        <v>7.4520999999999997</v>
      </c>
      <c r="N469" s="11">
        <f>7.4485 * CHOOSE(CONTROL!$C$32, $C$9, 100%, $E$9)</f>
        <v>7.4485000000000001</v>
      </c>
      <c r="O469" s="11">
        <f>7.4521 * CHOOSE(CONTROL!$C$32, $C$9, 100%, $E$9)</f>
        <v>7.4520999999999997</v>
      </c>
    </row>
    <row r="470" spans="1:15" ht="15" x14ac:dyDescent="0.2">
      <c r="A470" s="13">
        <v>55154</v>
      </c>
      <c r="B470" s="9">
        <f>6.7479 * CHOOSE(CONTROL!$C$32, $C$9, 100%, $E$9)</f>
        <v>6.7478999999999996</v>
      </c>
      <c r="C470" s="9">
        <f>6.7479 * CHOOSE(CONTROL!$C$32, $C$9, 100%, $E$9)</f>
        <v>6.7478999999999996</v>
      </c>
      <c r="D470" s="9">
        <f>6.749 * CHOOSE(CONTROL!$C$32, $C$9, 100%, $E$9)</f>
        <v>6.7489999999999997</v>
      </c>
      <c r="E470" s="11">
        <f>7.571 * CHOOSE(CONTROL!$C$32, $C$9, 100%, $E$9)</f>
        <v>7.5709999999999997</v>
      </c>
      <c r="F470" s="11">
        <f>7.571 * CHOOSE(CONTROL!$C$32, $C$9, 100%, $E$9)</f>
        <v>7.5709999999999997</v>
      </c>
      <c r="G470" s="11">
        <f>7.5746 * CHOOSE(CONTROL!$C$32, $C$9, 100%, $E$9)</f>
        <v>7.5746000000000002</v>
      </c>
      <c r="H470" s="11">
        <f>14.9013 * CHOOSE(CONTROL!$C$32, $C$9, 100%, $E$9)</f>
        <v>14.901300000000001</v>
      </c>
      <c r="I470" s="11">
        <f>14.905 * CHOOSE(CONTROL!$C$32, $C$9, 100%, $E$9)</f>
        <v>14.904999999999999</v>
      </c>
      <c r="J470" s="11">
        <f>14.9013 * CHOOSE(CONTROL!$C$32, $C$9, 100%, $E$9)</f>
        <v>14.901300000000001</v>
      </c>
      <c r="K470" s="11">
        <f>14.905 * CHOOSE(CONTROL!$C$32, $C$9, 100%, $E$9)</f>
        <v>14.904999999999999</v>
      </c>
      <c r="L470" s="11">
        <f>7.571 * CHOOSE(CONTROL!$C$32, $C$9, 100%, $E$9)</f>
        <v>7.5709999999999997</v>
      </c>
      <c r="M470" s="11">
        <f>7.5746 * CHOOSE(CONTROL!$C$32, $C$9, 100%, $E$9)</f>
        <v>7.5746000000000002</v>
      </c>
      <c r="N470" s="11">
        <f>7.571 * CHOOSE(CONTROL!$C$32, $C$9, 100%, $E$9)</f>
        <v>7.5709999999999997</v>
      </c>
      <c r="O470" s="11">
        <f>7.5746 * CHOOSE(CONTROL!$C$32, $C$9, 100%, $E$9)</f>
        <v>7.5746000000000002</v>
      </c>
    </row>
    <row r="471" spans="1:15" ht="15" x14ac:dyDescent="0.2">
      <c r="A471" s="13">
        <v>55185</v>
      </c>
      <c r="B471" s="9">
        <f>6.7449 * CHOOSE(CONTROL!$C$32, $C$9, 100%, $E$9)</f>
        <v>6.7449000000000003</v>
      </c>
      <c r="C471" s="9">
        <f>6.7449 * CHOOSE(CONTROL!$C$32, $C$9, 100%, $E$9)</f>
        <v>6.7449000000000003</v>
      </c>
      <c r="D471" s="9">
        <f>6.746 * CHOOSE(CONTROL!$C$32, $C$9, 100%, $E$9)</f>
        <v>6.7460000000000004</v>
      </c>
      <c r="E471" s="11">
        <f>7.4053 * CHOOSE(CONTROL!$C$32, $C$9, 100%, $E$9)</f>
        <v>7.4053000000000004</v>
      </c>
      <c r="F471" s="11">
        <f>7.4053 * CHOOSE(CONTROL!$C$32, $C$9, 100%, $E$9)</f>
        <v>7.4053000000000004</v>
      </c>
      <c r="G471" s="11">
        <f>7.409 * CHOOSE(CONTROL!$C$32, $C$9, 100%, $E$9)</f>
        <v>7.4089999999999998</v>
      </c>
      <c r="H471" s="11">
        <f>14.9324 * CHOOSE(CONTROL!$C$32, $C$9, 100%, $E$9)</f>
        <v>14.932399999999999</v>
      </c>
      <c r="I471" s="11">
        <f>14.936 * CHOOSE(CONTROL!$C$32, $C$9, 100%, $E$9)</f>
        <v>14.936</v>
      </c>
      <c r="J471" s="11">
        <f>14.9324 * CHOOSE(CONTROL!$C$32, $C$9, 100%, $E$9)</f>
        <v>14.932399999999999</v>
      </c>
      <c r="K471" s="11">
        <f>14.936 * CHOOSE(CONTROL!$C$32, $C$9, 100%, $E$9)</f>
        <v>14.936</v>
      </c>
      <c r="L471" s="11">
        <f>7.4053 * CHOOSE(CONTROL!$C$32, $C$9, 100%, $E$9)</f>
        <v>7.4053000000000004</v>
      </c>
      <c r="M471" s="11">
        <f>7.409 * CHOOSE(CONTROL!$C$32, $C$9, 100%, $E$9)</f>
        <v>7.4089999999999998</v>
      </c>
      <c r="N471" s="11">
        <f>7.4053 * CHOOSE(CONTROL!$C$32, $C$9, 100%, $E$9)</f>
        <v>7.4053000000000004</v>
      </c>
      <c r="O471" s="11">
        <f>7.409 * CHOOSE(CONTROL!$C$32, $C$9, 100%, $E$9)</f>
        <v>7.4089999999999998</v>
      </c>
    </row>
    <row r="472" spans="1:15" ht="15" x14ac:dyDescent="0.2">
      <c r="A472" s="13">
        <v>55213</v>
      </c>
      <c r="B472" s="9">
        <f>6.7418 * CHOOSE(CONTROL!$C$32, $C$9, 100%, $E$9)</f>
        <v>6.7417999999999996</v>
      </c>
      <c r="C472" s="9">
        <f>6.7418 * CHOOSE(CONTROL!$C$32, $C$9, 100%, $E$9)</f>
        <v>6.7417999999999996</v>
      </c>
      <c r="D472" s="9">
        <f>6.7429 * CHOOSE(CONTROL!$C$32, $C$9, 100%, $E$9)</f>
        <v>6.7428999999999997</v>
      </c>
      <c r="E472" s="11">
        <f>7.5321 * CHOOSE(CONTROL!$C$32, $C$9, 100%, $E$9)</f>
        <v>7.5320999999999998</v>
      </c>
      <c r="F472" s="11">
        <f>7.5321 * CHOOSE(CONTROL!$C$32, $C$9, 100%, $E$9)</f>
        <v>7.5320999999999998</v>
      </c>
      <c r="G472" s="11">
        <f>7.5357 * CHOOSE(CONTROL!$C$32, $C$9, 100%, $E$9)</f>
        <v>7.5357000000000003</v>
      </c>
      <c r="H472" s="11">
        <f>14.9635 * CHOOSE(CONTROL!$C$32, $C$9, 100%, $E$9)</f>
        <v>14.9635</v>
      </c>
      <c r="I472" s="11">
        <f>14.9671 * CHOOSE(CONTROL!$C$32, $C$9, 100%, $E$9)</f>
        <v>14.9671</v>
      </c>
      <c r="J472" s="11">
        <f>14.9635 * CHOOSE(CONTROL!$C$32, $C$9, 100%, $E$9)</f>
        <v>14.9635</v>
      </c>
      <c r="K472" s="11">
        <f>14.9671 * CHOOSE(CONTROL!$C$32, $C$9, 100%, $E$9)</f>
        <v>14.9671</v>
      </c>
      <c r="L472" s="11">
        <f>7.5321 * CHOOSE(CONTROL!$C$32, $C$9, 100%, $E$9)</f>
        <v>7.5320999999999998</v>
      </c>
      <c r="M472" s="11">
        <f>7.5357 * CHOOSE(CONTROL!$C$32, $C$9, 100%, $E$9)</f>
        <v>7.5357000000000003</v>
      </c>
      <c r="N472" s="11">
        <f>7.5321 * CHOOSE(CONTROL!$C$32, $C$9, 100%, $E$9)</f>
        <v>7.5320999999999998</v>
      </c>
      <c r="O472" s="11">
        <f>7.5357 * CHOOSE(CONTROL!$C$32, $C$9, 100%, $E$9)</f>
        <v>7.5357000000000003</v>
      </c>
    </row>
    <row r="473" spans="1:15" ht="15" x14ac:dyDescent="0.2">
      <c r="A473" s="13">
        <v>55244</v>
      </c>
      <c r="B473" s="9">
        <f>6.7421 * CHOOSE(CONTROL!$C$32, $C$9, 100%, $E$9)</f>
        <v>6.7420999999999998</v>
      </c>
      <c r="C473" s="9">
        <f>6.7421 * CHOOSE(CONTROL!$C$32, $C$9, 100%, $E$9)</f>
        <v>6.7420999999999998</v>
      </c>
      <c r="D473" s="9">
        <f>6.7432 * CHOOSE(CONTROL!$C$32, $C$9, 100%, $E$9)</f>
        <v>6.7431999999999999</v>
      </c>
      <c r="E473" s="11">
        <f>7.6663 * CHOOSE(CONTROL!$C$32, $C$9, 100%, $E$9)</f>
        <v>7.6662999999999997</v>
      </c>
      <c r="F473" s="11">
        <f>7.6663 * CHOOSE(CONTROL!$C$32, $C$9, 100%, $E$9)</f>
        <v>7.6662999999999997</v>
      </c>
      <c r="G473" s="11">
        <f>7.6699 * CHOOSE(CONTROL!$C$32, $C$9, 100%, $E$9)</f>
        <v>7.6699000000000002</v>
      </c>
      <c r="H473" s="11">
        <f>14.9947 * CHOOSE(CONTROL!$C$32, $C$9, 100%, $E$9)</f>
        <v>14.9947</v>
      </c>
      <c r="I473" s="11">
        <f>14.9983 * CHOOSE(CONTROL!$C$32, $C$9, 100%, $E$9)</f>
        <v>14.9983</v>
      </c>
      <c r="J473" s="11">
        <f>14.9947 * CHOOSE(CONTROL!$C$32, $C$9, 100%, $E$9)</f>
        <v>14.9947</v>
      </c>
      <c r="K473" s="11">
        <f>14.9983 * CHOOSE(CONTROL!$C$32, $C$9, 100%, $E$9)</f>
        <v>14.9983</v>
      </c>
      <c r="L473" s="11">
        <f>7.6663 * CHOOSE(CONTROL!$C$32, $C$9, 100%, $E$9)</f>
        <v>7.6662999999999997</v>
      </c>
      <c r="M473" s="11">
        <f>7.6699 * CHOOSE(CONTROL!$C$32, $C$9, 100%, $E$9)</f>
        <v>7.6699000000000002</v>
      </c>
      <c r="N473" s="11">
        <f>7.6663 * CHOOSE(CONTROL!$C$32, $C$9, 100%, $E$9)</f>
        <v>7.6662999999999997</v>
      </c>
      <c r="O473" s="11">
        <f>7.6699 * CHOOSE(CONTROL!$C$32, $C$9, 100%, $E$9)</f>
        <v>7.6699000000000002</v>
      </c>
    </row>
    <row r="474" spans="1:15" ht="15" x14ac:dyDescent="0.2">
      <c r="A474" s="13">
        <v>55274</v>
      </c>
      <c r="B474" s="9">
        <f>6.7421 * CHOOSE(CONTROL!$C$32, $C$9, 100%, $E$9)</f>
        <v>6.7420999999999998</v>
      </c>
      <c r="C474" s="9">
        <f>6.7421 * CHOOSE(CONTROL!$C$32, $C$9, 100%, $E$9)</f>
        <v>6.7420999999999998</v>
      </c>
      <c r="D474" s="9">
        <f>6.7437 * CHOOSE(CONTROL!$C$32, $C$9, 100%, $E$9)</f>
        <v>6.7436999999999996</v>
      </c>
      <c r="E474" s="11">
        <f>7.7182 * CHOOSE(CONTROL!$C$32, $C$9, 100%, $E$9)</f>
        <v>7.7182000000000004</v>
      </c>
      <c r="F474" s="11">
        <f>7.7182 * CHOOSE(CONTROL!$C$32, $C$9, 100%, $E$9)</f>
        <v>7.7182000000000004</v>
      </c>
      <c r="G474" s="11">
        <f>7.7235 * CHOOSE(CONTROL!$C$32, $C$9, 100%, $E$9)</f>
        <v>7.7234999999999996</v>
      </c>
      <c r="H474" s="11">
        <f>15.0259 * CHOOSE(CONTROL!$C$32, $C$9, 100%, $E$9)</f>
        <v>15.0259</v>
      </c>
      <c r="I474" s="11">
        <f>15.0312 * CHOOSE(CONTROL!$C$32, $C$9, 100%, $E$9)</f>
        <v>15.0312</v>
      </c>
      <c r="J474" s="11">
        <f>15.0259 * CHOOSE(CONTROL!$C$32, $C$9, 100%, $E$9)</f>
        <v>15.0259</v>
      </c>
      <c r="K474" s="11">
        <f>15.0312 * CHOOSE(CONTROL!$C$32, $C$9, 100%, $E$9)</f>
        <v>15.0312</v>
      </c>
      <c r="L474" s="11">
        <f>7.7182 * CHOOSE(CONTROL!$C$32, $C$9, 100%, $E$9)</f>
        <v>7.7182000000000004</v>
      </c>
      <c r="M474" s="11">
        <f>7.7235 * CHOOSE(CONTROL!$C$32, $C$9, 100%, $E$9)</f>
        <v>7.7234999999999996</v>
      </c>
      <c r="N474" s="11">
        <f>7.7182 * CHOOSE(CONTROL!$C$32, $C$9, 100%, $E$9)</f>
        <v>7.7182000000000004</v>
      </c>
      <c r="O474" s="11">
        <f>7.7235 * CHOOSE(CONTROL!$C$32, $C$9, 100%, $E$9)</f>
        <v>7.7234999999999996</v>
      </c>
    </row>
    <row r="475" spans="1:15" ht="15" x14ac:dyDescent="0.2">
      <c r="A475" s="13">
        <v>55305</v>
      </c>
      <c r="B475" s="9">
        <f>6.7482 * CHOOSE(CONTROL!$C$32, $C$9, 100%, $E$9)</f>
        <v>6.7481999999999998</v>
      </c>
      <c r="C475" s="9">
        <f>6.7482 * CHOOSE(CONTROL!$C$32, $C$9, 100%, $E$9)</f>
        <v>6.7481999999999998</v>
      </c>
      <c r="D475" s="9">
        <f>6.7498 * CHOOSE(CONTROL!$C$32, $C$9, 100%, $E$9)</f>
        <v>6.7497999999999996</v>
      </c>
      <c r="E475" s="11">
        <f>7.6706 * CHOOSE(CONTROL!$C$32, $C$9, 100%, $E$9)</f>
        <v>7.6706000000000003</v>
      </c>
      <c r="F475" s="11">
        <f>7.6706 * CHOOSE(CONTROL!$C$32, $C$9, 100%, $E$9)</f>
        <v>7.6706000000000003</v>
      </c>
      <c r="G475" s="11">
        <f>7.6759 * CHOOSE(CONTROL!$C$32, $C$9, 100%, $E$9)</f>
        <v>7.6759000000000004</v>
      </c>
      <c r="H475" s="11">
        <f>15.0572 * CHOOSE(CONTROL!$C$32, $C$9, 100%, $E$9)</f>
        <v>15.0572</v>
      </c>
      <c r="I475" s="11">
        <f>15.0625 * CHOOSE(CONTROL!$C$32, $C$9, 100%, $E$9)</f>
        <v>15.0625</v>
      </c>
      <c r="J475" s="11">
        <f>15.0572 * CHOOSE(CONTROL!$C$32, $C$9, 100%, $E$9)</f>
        <v>15.0572</v>
      </c>
      <c r="K475" s="11">
        <f>15.0625 * CHOOSE(CONTROL!$C$32, $C$9, 100%, $E$9)</f>
        <v>15.0625</v>
      </c>
      <c r="L475" s="11">
        <f>7.6706 * CHOOSE(CONTROL!$C$32, $C$9, 100%, $E$9)</f>
        <v>7.6706000000000003</v>
      </c>
      <c r="M475" s="11">
        <f>7.6759 * CHOOSE(CONTROL!$C$32, $C$9, 100%, $E$9)</f>
        <v>7.6759000000000004</v>
      </c>
      <c r="N475" s="11">
        <f>7.6706 * CHOOSE(CONTROL!$C$32, $C$9, 100%, $E$9)</f>
        <v>7.6706000000000003</v>
      </c>
      <c r="O475" s="11">
        <f>7.6759 * CHOOSE(CONTROL!$C$32, $C$9, 100%, $E$9)</f>
        <v>7.6759000000000004</v>
      </c>
    </row>
    <row r="476" spans="1:15" ht="15" x14ac:dyDescent="0.2">
      <c r="A476" s="13">
        <v>55335</v>
      </c>
      <c r="B476" s="9">
        <f>6.8369 * CHOOSE(CONTROL!$C$32, $C$9, 100%, $E$9)</f>
        <v>6.8369</v>
      </c>
      <c r="C476" s="9">
        <f>6.8369 * CHOOSE(CONTROL!$C$32, $C$9, 100%, $E$9)</f>
        <v>6.8369</v>
      </c>
      <c r="D476" s="9">
        <f>6.8385 * CHOOSE(CONTROL!$C$32, $C$9, 100%, $E$9)</f>
        <v>6.8384999999999998</v>
      </c>
      <c r="E476" s="11">
        <f>7.7751 * CHOOSE(CONTROL!$C$32, $C$9, 100%, $E$9)</f>
        <v>7.7751000000000001</v>
      </c>
      <c r="F476" s="11">
        <f>7.7751 * CHOOSE(CONTROL!$C$32, $C$9, 100%, $E$9)</f>
        <v>7.7751000000000001</v>
      </c>
      <c r="G476" s="11">
        <f>7.7804 * CHOOSE(CONTROL!$C$32, $C$9, 100%, $E$9)</f>
        <v>7.7804000000000002</v>
      </c>
      <c r="H476" s="11">
        <f>15.0886 * CHOOSE(CONTROL!$C$32, $C$9, 100%, $E$9)</f>
        <v>15.0886</v>
      </c>
      <c r="I476" s="11">
        <f>15.0939 * CHOOSE(CONTROL!$C$32, $C$9, 100%, $E$9)</f>
        <v>15.0939</v>
      </c>
      <c r="J476" s="11">
        <f>15.0886 * CHOOSE(CONTROL!$C$32, $C$9, 100%, $E$9)</f>
        <v>15.0886</v>
      </c>
      <c r="K476" s="11">
        <f>15.0939 * CHOOSE(CONTROL!$C$32, $C$9, 100%, $E$9)</f>
        <v>15.0939</v>
      </c>
      <c r="L476" s="11">
        <f>7.7751 * CHOOSE(CONTROL!$C$32, $C$9, 100%, $E$9)</f>
        <v>7.7751000000000001</v>
      </c>
      <c r="M476" s="11">
        <f>7.7804 * CHOOSE(CONTROL!$C$32, $C$9, 100%, $E$9)</f>
        <v>7.7804000000000002</v>
      </c>
      <c r="N476" s="11">
        <f>7.7751 * CHOOSE(CONTROL!$C$32, $C$9, 100%, $E$9)</f>
        <v>7.7751000000000001</v>
      </c>
      <c r="O476" s="11">
        <f>7.7804 * CHOOSE(CONTROL!$C$32, $C$9, 100%, $E$9)</f>
        <v>7.7804000000000002</v>
      </c>
    </row>
    <row r="477" spans="1:15" ht="15" x14ac:dyDescent="0.2">
      <c r="A477" s="13">
        <v>55366</v>
      </c>
      <c r="B477" s="9">
        <f>6.8436 * CHOOSE(CONTROL!$C$32, $C$9, 100%, $E$9)</f>
        <v>6.8436000000000003</v>
      </c>
      <c r="C477" s="9">
        <f>6.8436 * CHOOSE(CONTROL!$C$32, $C$9, 100%, $E$9)</f>
        <v>6.8436000000000003</v>
      </c>
      <c r="D477" s="9">
        <f>6.8452 * CHOOSE(CONTROL!$C$32, $C$9, 100%, $E$9)</f>
        <v>6.8452000000000002</v>
      </c>
      <c r="E477" s="11">
        <f>7.6241 * CHOOSE(CONTROL!$C$32, $C$9, 100%, $E$9)</f>
        <v>7.6241000000000003</v>
      </c>
      <c r="F477" s="11">
        <f>7.6241 * CHOOSE(CONTROL!$C$32, $C$9, 100%, $E$9)</f>
        <v>7.6241000000000003</v>
      </c>
      <c r="G477" s="11">
        <f>7.6294 * CHOOSE(CONTROL!$C$32, $C$9, 100%, $E$9)</f>
        <v>7.6294000000000004</v>
      </c>
      <c r="H477" s="11">
        <f>15.12 * CHOOSE(CONTROL!$C$32, $C$9, 100%, $E$9)</f>
        <v>15.12</v>
      </c>
      <c r="I477" s="11">
        <f>15.1253 * CHOOSE(CONTROL!$C$32, $C$9, 100%, $E$9)</f>
        <v>15.125299999999999</v>
      </c>
      <c r="J477" s="11">
        <f>15.12 * CHOOSE(CONTROL!$C$32, $C$9, 100%, $E$9)</f>
        <v>15.12</v>
      </c>
      <c r="K477" s="11">
        <f>15.1253 * CHOOSE(CONTROL!$C$32, $C$9, 100%, $E$9)</f>
        <v>15.125299999999999</v>
      </c>
      <c r="L477" s="11">
        <f>7.6241 * CHOOSE(CONTROL!$C$32, $C$9, 100%, $E$9)</f>
        <v>7.6241000000000003</v>
      </c>
      <c r="M477" s="11">
        <f>7.6294 * CHOOSE(CONTROL!$C$32, $C$9, 100%, $E$9)</f>
        <v>7.6294000000000004</v>
      </c>
      <c r="N477" s="11">
        <f>7.6241 * CHOOSE(CONTROL!$C$32, $C$9, 100%, $E$9)</f>
        <v>7.6241000000000003</v>
      </c>
      <c r="O477" s="11">
        <f>7.6294 * CHOOSE(CONTROL!$C$32, $C$9, 100%, $E$9)</f>
        <v>7.6294000000000004</v>
      </c>
    </row>
    <row r="478" spans="1:15" ht="15" x14ac:dyDescent="0.2">
      <c r="A478" s="13">
        <v>55397</v>
      </c>
      <c r="B478" s="9">
        <f>6.8406 * CHOOSE(CONTROL!$C$32, $C$9, 100%, $E$9)</f>
        <v>6.8406000000000002</v>
      </c>
      <c r="C478" s="9">
        <f>6.8406 * CHOOSE(CONTROL!$C$32, $C$9, 100%, $E$9)</f>
        <v>6.8406000000000002</v>
      </c>
      <c r="D478" s="9">
        <f>6.8422 * CHOOSE(CONTROL!$C$32, $C$9, 100%, $E$9)</f>
        <v>6.8422000000000001</v>
      </c>
      <c r="E478" s="11">
        <f>7.6046 * CHOOSE(CONTROL!$C$32, $C$9, 100%, $E$9)</f>
        <v>7.6045999999999996</v>
      </c>
      <c r="F478" s="11">
        <f>7.6046 * CHOOSE(CONTROL!$C$32, $C$9, 100%, $E$9)</f>
        <v>7.6045999999999996</v>
      </c>
      <c r="G478" s="11">
        <f>7.6099 * CHOOSE(CONTROL!$C$32, $C$9, 100%, $E$9)</f>
        <v>7.6098999999999997</v>
      </c>
      <c r="H478" s="11">
        <f>15.1515 * CHOOSE(CONTROL!$C$32, $C$9, 100%, $E$9)</f>
        <v>15.1515</v>
      </c>
      <c r="I478" s="11">
        <f>15.1568 * CHOOSE(CONTROL!$C$32, $C$9, 100%, $E$9)</f>
        <v>15.1568</v>
      </c>
      <c r="J478" s="11">
        <f>15.1515 * CHOOSE(CONTROL!$C$32, $C$9, 100%, $E$9)</f>
        <v>15.1515</v>
      </c>
      <c r="K478" s="11">
        <f>15.1568 * CHOOSE(CONTROL!$C$32, $C$9, 100%, $E$9)</f>
        <v>15.1568</v>
      </c>
      <c r="L478" s="11">
        <f>7.6046 * CHOOSE(CONTROL!$C$32, $C$9, 100%, $E$9)</f>
        <v>7.6045999999999996</v>
      </c>
      <c r="M478" s="11">
        <f>7.6099 * CHOOSE(CONTROL!$C$32, $C$9, 100%, $E$9)</f>
        <v>7.6098999999999997</v>
      </c>
      <c r="N478" s="11">
        <f>7.6046 * CHOOSE(CONTROL!$C$32, $C$9, 100%, $E$9)</f>
        <v>7.6045999999999996</v>
      </c>
      <c r="O478" s="11">
        <f>7.6099 * CHOOSE(CONTROL!$C$32, $C$9, 100%, $E$9)</f>
        <v>7.6098999999999997</v>
      </c>
    </row>
    <row r="479" spans="1:15" ht="15" x14ac:dyDescent="0.2">
      <c r="A479" s="13">
        <v>55427</v>
      </c>
      <c r="B479" s="9">
        <f>6.8462 * CHOOSE(CONTROL!$C$32, $C$9, 100%, $E$9)</f>
        <v>6.8461999999999996</v>
      </c>
      <c r="C479" s="9">
        <f>6.8462 * CHOOSE(CONTROL!$C$32, $C$9, 100%, $E$9)</f>
        <v>6.8461999999999996</v>
      </c>
      <c r="D479" s="9">
        <f>6.8473 * CHOOSE(CONTROL!$C$32, $C$9, 100%, $E$9)</f>
        <v>6.8472999999999997</v>
      </c>
      <c r="E479" s="11">
        <f>7.6604 * CHOOSE(CONTROL!$C$32, $C$9, 100%, $E$9)</f>
        <v>7.6604000000000001</v>
      </c>
      <c r="F479" s="11">
        <f>7.6604 * CHOOSE(CONTROL!$C$32, $C$9, 100%, $E$9)</f>
        <v>7.6604000000000001</v>
      </c>
      <c r="G479" s="11">
        <f>7.6641 * CHOOSE(CONTROL!$C$32, $C$9, 100%, $E$9)</f>
        <v>7.6641000000000004</v>
      </c>
      <c r="H479" s="11">
        <f>15.1831 * CHOOSE(CONTROL!$C$32, $C$9, 100%, $E$9)</f>
        <v>15.1831</v>
      </c>
      <c r="I479" s="11">
        <f>15.1867 * CHOOSE(CONTROL!$C$32, $C$9, 100%, $E$9)</f>
        <v>15.1867</v>
      </c>
      <c r="J479" s="11">
        <f>15.1831 * CHOOSE(CONTROL!$C$32, $C$9, 100%, $E$9)</f>
        <v>15.1831</v>
      </c>
      <c r="K479" s="11">
        <f>15.1867 * CHOOSE(CONTROL!$C$32, $C$9, 100%, $E$9)</f>
        <v>15.1867</v>
      </c>
      <c r="L479" s="11">
        <f>7.6604 * CHOOSE(CONTROL!$C$32, $C$9, 100%, $E$9)</f>
        <v>7.6604000000000001</v>
      </c>
      <c r="M479" s="11">
        <f>7.6641 * CHOOSE(CONTROL!$C$32, $C$9, 100%, $E$9)</f>
        <v>7.6641000000000004</v>
      </c>
      <c r="N479" s="11">
        <f>7.6604 * CHOOSE(CONTROL!$C$32, $C$9, 100%, $E$9)</f>
        <v>7.6604000000000001</v>
      </c>
      <c r="O479" s="11">
        <f>7.6641 * CHOOSE(CONTROL!$C$32, $C$9, 100%, $E$9)</f>
        <v>7.6641000000000004</v>
      </c>
    </row>
    <row r="480" spans="1:15" ht="15" x14ac:dyDescent="0.2">
      <c r="A480" s="13">
        <v>55458</v>
      </c>
      <c r="B480" s="9">
        <f>6.8492 * CHOOSE(CONTROL!$C$32, $C$9, 100%, $E$9)</f>
        <v>6.8491999999999997</v>
      </c>
      <c r="C480" s="9">
        <f>6.8492 * CHOOSE(CONTROL!$C$32, $C$9, 100%, $E$9)</f>
        <v>6.8491999999999997</v>
      </c>
      <c r="D480" s="9">
        <f>6.8503 * CHOOSE(CONTROL!$C$32, $C$9, 100%, $E$9)</f>
        <v>6.8502999999999998</v>
      </c>
      <c r="E480" s="11">
        <f>7.6972 * CHOOSE(CONTROL!$C$32, $C$9, 100%, $E$9)</f>
        <v>7.6971999999999996</v>
      </c>
      <c r="F480" s="11">
        <f>7.6972 * CHOOSE(CONTROL!$C$32, $C$9, 100%, $E$9)</f>
        <v>7.6971999999999996</v>
      </c>
      <c r="G480" s="11">
        <f>7.7008 * CHOOSE(CONTROL!$C$32, $C$9, 100%, $E$9)</f>
        <v>7.7008000000000001</v>
      </c>
      <c r="H480" s="11">
        <f>15.2147 * CHOOSE(CONTROL!$C$32, $C$9, 100%, $E$9)</f>
        <v>15.214700000000001</v>
      </c>
      <c r="I480" s="11">
        <f>15.2183 * CHOOSE(CONTROL!$C$32, $C$9, 100%, $E$9)</f>
        <v>15.218299999999999</v>
      </c>
      <c r="J480" s="11">
        <f>15.2147 * CHOOSE(CONTROL!$C$32, $C$9, 100%, $E$9)</f>
        <v>15.214700000000001</v>
      </c>
      <c r="K480" s="11">
        <f>15.2183 * CHOOSE(CONTROL!$C$32, $C$9, 100%, $E$9)</f>
        <v>15.218299999999999</v>
      </c>
      <c r="L480" s="11">
        <f>7.6972 * CHOOSE(CONTROL!$C$32, $C$9, 100%, $E$9)</f>
        <v>7.6971999999999996</v>
      </c>
      <c r="M480" s="11">
        <f>7.7008 * CHOOSE(CONTROL!$C$32, $C$9, 100%, $E$9)</f>
        <v>7.7008000000000001</v>
      </c>
      <c r="N480" s="11">
        <f>7.6972 * CHOOSE(CONTROL!$C$32, $C$9, 100%, $E$9)</f>
        <v>7.6971999999999996</v>
      </c>
      <c r="O480" s="11">
        <f>7.7008 * CHOOSE(CONTROL!$C$32, $C$9, 100%, $E$9)</f>
        <v>7.7008000000000001</v>
      </c>
    </row>
    <row r="481" spans="1:15" ht="15" x14ac:dyDescent="0.2">
      <c r="A481" s="13">
        <v>55488</v>
      </c>
      <c r="B481" s="9">
        <f>6.8492 * CHOOSE(CONTROL!$C$32, $C$9, 100%, $E$9)</f>
        <v>6.8491999999999997</v>
      </c>
      <c r="C481" s="9">
        <f>6.8492 * CHOOSE(CONTROL!$C$32, $C$9, 100%, $E$9)</f>
        <v>6.8491999999999997</v>
      </c>
      <c r="D481" s="9">
        <f>6.8503 * CHOOSE(CONTROL!$C$32, $C$9, 100%, $E$9)</f>
        <v>6.8502999999999998</v>
      </c>
      <c r="E481" s="11">
        <f>7.6106 * CHOOSE(CONTROL!$C$32, $C$9, 100%, $E$9)</f>
        <v>7.6105999999999998</v>
      </c>
      <c r="F481" s="11">
        <f>7.6106 * CHOOSE(CONTROL!$C$32, $C$9, 100%, $E$9)</f>
        <v>7.6105999999999998</v>
      </c>
      <c r="G481" s="11">
        <f>7.6143 * CHOOSE(CONTROL!$C$32, $C$9, 100%, $E$9)</f>
        <v>7.6143000000000001</v>
      </c>
      <c r="H481" s="11">
        <f>15.2464 * CHOOSE(CONTROL!$C$32, $C$9, 100%, $E$9)</f>
        <v>15.2464</v>
      </c>
      <c r="I481" s="11">
        <f>15.25 * CHOOSE(CONTROL!$C$32, $C$9, 100%, $E$9)</f>
        <v>15.25</v>
      </c>
      <c r="J481" s="11">
        <f>15.2464 * CHOOSE(CONTROL!$C$32, $C$9, 100%, $E$9)</f>
        <v>15.2464</v>
      </c>
      <c r="K481" s="11">
        <f>15.25 * CHOOSE(CONTROL!$C$32, $C$9, 100%, $E$9)</f>
        <v>15.25</v>
      </c>
      <c r="L481" s="11">
        <f>7.6106 * CHOOSE(CONTROL!$C$32, $C$9, 100%, $E$9)</f>
        <v>7.6105999999999998</v>
      </c>
      <c r="M481" s="11">
        <f>7.6143 * CHOOSE(CONTROL!$C$32, $C$9, 100%, $E$9)</f>
        <v>7.6143000000000001</v>
      </c>
      <c r="N481" s="11">
        <f>7.6106 * CHOOSE(CONTROL!$C$32, $C$9, 100%, $E$9)</f>
        <v>7.6105999999999998</v>
      </c>
      <c r="O481" s="11">
        <f>7.6143 * CHOOSE(CONTROL!$C$32, $C$9, 100%, $E$9)</f>
        <v>7.6143000000000001</v>
      </c>
    </row>
    <row r="482" spans="1:15" ht="15" x14ac:dyDescent="0.2">
      <c r="A482" s="13">
        <v>55519</v>
      </c>
      <c r="B482" s="9">
        <f>6.901 * CHOOSE(CONTROL!$C$32, $C$9, 100%, $E$9)</f>
        <v>6.9009999999999998</v>
      </c>
      <c r="C482" s="9">
        <f>6.901 * CHOOSE(CONTROL!$C$32, $C$9, 100%, $E$9)</f>
        <v>6.9009999999999998</v>
      </c>
      <c r="D482" s="9">
        <f>6.9021 * CHOOSE(CONTROL!$C$32, $C$9, 100%, $E$9)</f>
        <v>6.9020999999999999</v>
      </c>
      <c r="E482" s="11">
        <f>7.7372 * CHOOSE(CONTROL!$C$32, $C$9, 100%, $E$9)</f>
        <v>7.7371999999999996</v>
      </c>
      <c r="F482" s="11">
        <f>7.7372 * CHOOSE(CONTROL!$C$32, $C$9, 100%, $E$9)</f>
        <v>7.7371999999999996</v>
      </c>
      <c r="G482" s="11">
        <f>7.7408 * CHOOSE(CONTROL!$C$32, $C$9, 100%, $E$9)</f>
        <v>7.7408000000000001</v>
      </c>
      <c r="H482" s="11">
        <f>15.2782 * CHOOSE(CONTROL!$C$32, $C$9, 100%, $E$9)</f>
        <v>15.2782</v>
      </c>
      <c r="I482" s="11">
        <f>15.2818 * CHOOSE(CONTROL!$C$32, $C$9, 100%, $E$9)</f>
        <v>15.2818</v>
      </c>
      <c r="J482" s="11">
        <f>15.2782 * CHOOSE(CONTROL!$C$32, $C$9, 100%, $E$9)</f>
        <v>15.2782</v>
      </c>
      <c r="K482" s="11">
        <f>15.2818 * CHOOSE(CONTROL!$C$32, $C$9, 100%, $E$9)</f>
        <v>15.2818</v>
      </c>
      <c r="L482" s="11">
        <f>7.7372 * CHOOSE(CONTROL!$C$32, $C$9, 100%, $E$9)</f>
        <v>7.7371999999999996</v>
      </c>
      <c r="M482" s="11">
        <f>7.7408 * CHOOSE(CONTROL!$C$32, $C$9, 100%, $E$9)</f>
        <v>7.7408000000000001</v>
      </c>
      <c r="N482" s="11">
        <f>7.7372 * CHOOSE(CONTROL!$C$32, $C$9, 100%, $E$9)</f>
        <v>7.7371999999999996</v>
      </c>
      <c r="O482" s="11">
        <f>7.7408 * CHOOSE(CONTROL!$C$32, $C$9, 100%, $E$9)</f>
        <v>7.7408000000000001</v>
      </c>
    </row>
    <row r="483" spans="1:15" ht="15" x14ac:dyDescent="0.2">
      <c r="A483" s="13">
        <v>55550</v>
      </c>
      <c r="B483" s="9">
        <f>6.8979 * CHOOSE(CONTROL!$C$32, $C$9, 100%, $E$9)</f>
        <v>6.8978999999999999</v>
      </c>
      <c r="C483" s="9">
        <f>6.8979 * CHOOSE(CONTROL!$C$32, $C$9, 100%, $E$9)</f>
        <v>6.8978999999999999</v>
      </c>
      <c r="D483" s="9">
        <f>6.899 * CHOOSE(CONTROL!$C$32, $C$9, 100%, $E$9)</f>
        <v>6.899</v>
      </c>
      <c r="E483" s="11">
        <f>7.5663 * CHOOSE(CONTROL!$C$32, $C$9, 100%, $E$9)</f>
        <v>7.5663</v>
      </c>
      <c r="F483" s="11">
        <f>7.5663 * CHOOSE(CONTROL!$C$32, $C$9, 100%, $E$9)</f>
        <v>7.5663</v>
      </c>
      <c r="G483" s="11">
        <f>7.5699 * CHOOSE(CONTROL!$C$32, $C$9, 100%, $E$9)</f>
        <v>7.5698999999999996</v>
      </c>
      <c r="H483" s="11">
        <f>15.31 * CHOOSE(CONTROL!$C$32, $C$9, 100%, $E$9)</f>
        <v>15.31</v>
      </c>
      <c r="I483" s="11">
        <f>15.3136 * CHOOSE(CONTROL!$C$32, $C$9, 100%, $E$9)</f>
        <v>15.313599999999999</v>
      </c>
      <c r="J483" s="11">
        <f>15.31 * CHOOSE(CONTROL!$C$32, $C$9, 100%, $E$9)</f>
        <v>15.31</v>
      </c>
      <c r="K483" s="11">
        <f>15.3136 * CHOOSE(CONTROL!$C$32, $C$9, 100%, $E$9)</f>
        <v>15.313599999999999</v>
      </c>
      <c r="L483" s="11">
        <f>7.5663 * CHOOSE(CONTROL!$C$32, $C$9, 100%, $E$9)</f>
        <v>7.5663</v>
      </c>
      <c r="M483" s="11">
        <f>7.5699 * CHOOSE(CONTROL!$C$32, $C$9, 100%, $E$9)</f>
        <v>7.5698999999999996</v>
      </c>
      <c r="N483" s="11">
        <f>7.5663 * CHOOSE(CONTROL!$C$32, $C$9, 100%, $E$9)</f>
        <v>7.5663</v>
      </c>
      <c r="O483" s="11">
        <f>7.5699 * CHOOSE(CONTROL!$C$32, $C$9, 100%, $E$9)</f>
        <v>7.5698999999999996</v>
      </c>
    </row>
    <row r="484" spans="1:15" ht="15" x14ac:dyDescent="0.2">
      <c r="A484" s="13">
        <v>55579</v>
      </c>
      <c r="B484" s="9">
        <f>6.8949 * CHOOSE(CONTROL!$C$32, $C$9, 100%, $E$9)</f>
        <v>6.8948999999999998</v>
      </c>
      <c r="C484" s="9">
        <f>6.8949 * CHOOSE(CONTROL!$C$32, $C$9, 100%, $E$9)</f>
        <v>6.8948999999999998</v>
      </c>
      <c r="D484" s="9">
        <f>6.896 * CHOOSE(CONTROL!$C$32, $C$9, 100%, $E$9)</f>
        <v>6.8959999999999999</v>
      </c>
      <c r="E484" s="11">
        <f>7.6972 * CHOOSE(CONTROL!$C$32, $C$9, 100%, $E$9)</f>
        <v>7.6971999999999996</v>
      </c>
      <c r="F484" s="11">
        <f>7.6972 * CHOOSE(CONTROL!$C$32, $C$9, 100%, $E$9)</f>
        <v>7.6971999999999996</v>
      </c>
      <c r="G484" s="11">
        <f>7.7008 * CHOOSE(CONTROL!$C$32, $C$9, 100%, $E$9)</f>
        <v>7.7008000000000001</v>
      </c>
      <c r="H484" s="11">
        <f>15.3419 * CHOOSE(CONTROL!$C$32, $C$9, 100%, $E$9)</f>
        <v>15.341900000000001</v>
      </c>
      <c r="I484" s="11">
        <f>15.3455 * CHOOSE(CONTROL!$C$32, $C$9, 100%, $E$9)</f>
        <v>15.345499999999999</v>
      </c>
      <c r="J484" s="11">
        <f>15.3419 * CHOOSE(CONTROL!$C$32, $C$9, 100%, $E$9)</f>
        <v>15.341900000000001</v>
      </c>
      <c r="K484" s="11">
        <f>15.3455 * CHOOSE(CONTROL!$C$32, $C$9, 100%, $E$9)</f>
        <v>15.345499999999999</v>
      </c>
      <c r="L484" s="11">
        <f>7.6972 * CHOOSE(CONTROL!$C$32, $C$9, 100%, $E$9)</f>
        <v>7.6971999999999996</v>
      </c>
      <c r="M484" s="11">
        <f>7.7008 * CHOOSE(CONTROL!$C$32, $C$9, 100%, $E$9)</f>
        <v>7.7008000000000001</v>
      </c>
      <c r="N484" s="11">
        <f>7.6972 * CHOOSE(CONTROL!$C$32, $C$9, 100%, $E$9)</f>
        <v>7.6971999999999996</v>
      </c>
      <c r="O484" s="11">
        <f>7.7008 * CHOOSE(CONTROL!$C$32, $C$9, 100%, $E$9)</f>
        <v>7.7008000000000001</v>
      </c>
    </row>
    <row r="485" spans="1:15" ht="15" x14ac:dyDescent="0.2">
      <c r="A485" s="13">
        <v>55610</v>
      </c>
      <c r="B485" s="9">
        <f>6.8953 * CHOOSE(CONTROL!$C$32, $C$9, 100%, $E$9)</f>
        <v>6.8952999999999998</v>
      </c>
      <c r="C485" s="9">
        <f>6.8953 * CHOOSE(CONTROL!$C$32, $C$9, 100%, $E$9)</f>
        <v>6.8952999999999998</v>
      </c>
      <c r="D485" s="9">
        <f>6.8964 * CHOOSE(CONTROL!$C$32, $C$9, 100%, $E$9)</f>
        <v>6.8963999999999999</v>
      </c>
      <c r="E485" s="11">
        <f>7.8359 * CHOOSE(CONTROL!$C$32, $C$9, 100%, $E$9)</f>
        <v>7.8358999999999996</v>
      </c>
      <c r="F485" s="11">
        <f>7.8359 * CHOOSE(CONTROL!$C$32, $C$9, 100%, $E$9)</f>
        <v>7.8358999999999996</v>
      </c>
      <c r="G485" s="11">
        <f>7.8395 * CHOOSE(CONTROL!$C$32, $C$9, 100%, $E$9)</f>
        <v>7.8395000000000001</v>
      </c>
      <c r="H485" s="11">
        <f>15.3739 * CHOOSE(CONTROL!$C$32, $C$9, 100%, $E$9)</f>
        <v>15.373900000000001</v>
      </c>
      <c r="I485" s="11">
        <f>15.3775 * CHOOSE(CONTROL!$C$32, $C$9, 100%, $E$9)</f>
        <v>15.3775</v>
      </c>
      <c r="J485" s="11">
        <f>15.3739 * CHOOSE(CONTROL!$C$32, $C$9, 100%, $E$9)</f>
        <v>15.373900000000001</v>
      </c>
      <c r="K485" s="11">
        <f>15.3775 * CHOOSE(CONTROL!$C$32, $C$9, 100%, $E$9)</f>
        <v>15.3775</v>
      </c>
      <c r="L485" s="11">
        <f>7.8359 * CHOOSE(CONTROL!$C$32, $C$9, 100%, $E$9)</f>
        <v>7.8358999999999996</v>
      </c>
      <c r="M485" s="11">
        <f>7.8395 * CHOOSE(CONTROL!$C$32, $C$9, 100%, $E$9)</f>
        <v>7.8395000000000001</v>
      </c>
      <c r="N485" s="11">
        <f>7.8359 * CHOOSE(CONTROL!$C$32, $C$9, 100%, $E$9)</f>
        <v>7.8358999999999996</v>
      </c>
      <c r="O485" s="11">
        <f>7.8395 * CHOOSE(CONTROL!$C$32, $C$9, 100%, $E$9)</f>
        <v>7.8395000000000001</v>
      </c>
    </row>
    <row r="486" spans="1:15" ht="15" x14ac:dyDescent="0.2">
      <c r="A486" s="13">
        <v>55640</v>
      </c>
      <c r="B486" s="9">
        <f>6.8953 * CHOOSE(CONTROL!$C$32, $C$9, 100%, $E$9)</f>
        <v>6.8952999999999998</v>
      </c>
      <c r="C486" s="9">
        <f>6.8953 * CHOOSE(CONTROL!$C$32, $C$9, 100%, $E$9)</f>
        <v>6.8952999999999998</v>
      </c>
      <c r="D486" s="9">
        <f>6.8969 * CHOOSE(CONTROL!$C$32, $C$9, 100%, $E$9)</f>
        <v>6.8968999999999996</v>
      </c>
      <c r="E486" s="11">
        <f>7.8895 * CHOOSE(CONTROL!$C$32, $C$9, 100%, $E$9)</f>
        <v>7.8895</v>
      </c>
      <c r="F486" s="11">
        <f>7.8895 * CHOOSE(CONTROL!$C$32, $C$9, 100%, $E$9)</f>
        <v>7.8895</v>
      </c>
      <c r="G486" s="11">
        <f>7.8948 * CHOOSE(CONTROL!$C$32, $C$9, 100%, $E$9)</f>
        <v>7.8948</v>
      </c>
      <c r="H486" s="11">
        <f>15.4059 * CHOOSE(CONTROL!$C$32, $C$9, 100%, $E$9)</f>
        <v>15.405900000000001</v>
      </c>
      <c r="I486" s="11">
        <f>15.4112 * CHOOSE(CONTROL!$C$32, $C$9, 100%, $E$9)</f>
        <v>15.411199999999999</v>
      </c>
      <c r="J486" s="11">
        <f>15.4059 * CHOOSE(CONTROL!$C$32, $C$9, 100%, $E$9)</f>
        <v>15.405900000000001</v>
      </c>
      <c r="K486" s="11">
        <f>15.4112 * CHOOSE(CONTROL!$C$32, $C$9, 100%, $E$9)</f>
        <v>15.411199999999999</v>
      </c>
      <c r="L486" s="11">
        <f>7.8895 * CHOOSE(CONTROL!$C$32, $C$9, 100%, $E$9)</f>
        <v>7.8895</v>
      </c>
      <c r="M486" s="11">
        <f>7.8948 * CHOOSE(CONTROL!$C$32, $C$9, 100%, $E$9)</f>
        <v>7.8948</v>
      </c>
      <c r="N486" s="11">
        <f>7.8895 * CHOOSE(CONTROL!$C$32, $C$9, 100%, $E$9)</f>
        <v>7.8895</v>
      </c>
      <c r="O486" s="11">
        <f>7.8948 * CHOOSE(CONTROL!$C$32, $C$9, 100%, $E$9)</f>
        <v>7.8948</v>
      </c>
    </row>
    <row r="487" spans="1:15" ht="15" x14ac:dyDescent="0.2">
      <c r="A487" s="13">
        <v>55671</v>
      </c>
      <c r="B487" s="9">
        <f>6.9014 * CHOOSE(CONTROL!$C$32, $C$9, 100%, $E$9)</f>
        <v>6.9013999999999998</v>
      </c>
      <c r="C487" s="9">
        <f>6.9014 * CHOOSE(CONTROL!$C$32, $C$9, 100%, $E$9)</f>
        <v>6.9013999999999998</v>
      </c>
      <c r="D487" s="9">
        <f>6.903 * CHOOSE(CONTROL!$C$32, $C$9, 100%, $E$9)</f>
        <v>6.9029999999999996</v>
      </c>
      <c r="E487" s="11">
        <f>7.8402 * CHOOSE(CONTROL!$C$32, $C$9, 100%, $E$9)</f>
        <v>7.8402000000000003</v>
      </c>
      <c r="F487" s="11">
        <f>7.8402 * CHOOSE(CONTROL!$C$32, $C$9, 100%, $E$9)</f>
        <v>7.8402000000000003</v>
      </c>
      <c r="G487" s="11">
        <f>7.8455 * CHOOSE(CONTROL!$C$32, $C$9, 100%, $E$9)</f>
        <v>7.8455000000000004</v>
      </c>
      <c r="H487" s="11">
        <f>15.438 * CHOOSE(CONTROL!$C$32, $C$9, 100%, $E$9)</f>
        <v>15.438000000000001</v>
      </c>
      <c r="I487" s="11">
        <f>15.4433 * CHOOSE(CONTROL!$C$32, $C$9, 100%, $E$9)</f>
        <v>15.443300000000001</v>
      </c>
      <c r="J487" s="11">
        <f>15.438 * CHOOSE(CONTROL!$C$32, $C$9, 100%, $E$9)</f>
        <v>15.438000000000001</v>
      </c>
      <c r="K487" s="11">
        <f>15.4433 * CHOOSE(CONTROL!$C$32, $C$9, 100%, $E$9)</f>
        <v>15.443300000000001</v>
      </c>
      <c r="L487" s="11">
        <f>7.8402 * CHOOSE(CONTROL!$C$32, $C$9, 100%, $E$9)</f>
        <v>7.8402000000000003</v>
      </c>
      <c r="M487" s="11">
        <f>7.8455 * CHOOSE(CONTROL!$C$32, $C$9, 100%, $E$9)</f>
        <v>7.8455000000000004</v>
      </c>
      <c r="N487" s="11">
        <f>7.8402 * CHOOSE(CONTROL!$C$32, $C$9, 100%, $E$9)</f>
        <v>7.8402000000000003</v>
      </c>
      <c r="O487" s="11">
        <f>7.8455 * CHOOSE(CONTROL!$C$32, $C$9, 100%, $E$9)</f>
        <v>7.8455000000000004</v>
      </c>
    </row>
    <row r="488" spans="1:15" ht="15" x14ac:dyDescent="0.2">
      <c r="A488" s="13">
        <v>55701</v>
      </c>
      <c r="B488" s="9">
        <f>6.9918 * CHOOSE(CONTROL!$C$32, $C$9, 100%, $E$9)</f>
        <v>6.9917999999999996</v>
      </c>
      <c r="C488" s="9">
        <f>6.9918 * CHOOSE(CONTROL!$C$32, $C$9, 100%, $E$9)</f>
        <v>6.9917999999999996</v>
      </c>
      <c r="D488" s="9">
        <f>6.9934 * CHOOSE(CONTROL!$C$32, $C$9, 100%, $E$9)</f>
        <v>6.9934000000000003</v>
      </c>
      <c r="E488" s="11">
        <f>7.9482 * CHOOSE(CONTROL!$C$32, $C$9, 100%, $E$9)</f>
        <v>7.9481999999999999</v>
      </c>
      <c r="F488" s="11">
        <f>7.9482 * CHOOSE(CONTROL!$C$32, $C$9, 100%, $E$9)</f>
        <v>7.9481999999999999</v>
      </c>
      <c r="G488" s="11">
        <f>7.9535 * CHOOSE(CONTROL!$C$32, $C$9, 100%, $E$9)</f>
        <v>7.9535</v>
      </c>
      <c r="H488" s="11">
        <f>15.4702 * CHOOSE(CONTROL!$C$32, $C$9, 100%, $E$9)</f>
        <v>15.4702</v>
      </c>
      <c r="I488" s="11">
        <f>15.4754 * CHOOSE(CONTROL!$C$32, $C$9, 100%, $E$9)</f>
        <v>15.4754</v>
      </c>
      <c r="J488" s="11">
        <f>15.4702 * CHOOSE(CONTROL!$C$32, $C$9, 100%, $E$9)</f>
        <v>15.4702</v>
      </c>
      <c r="K488" s="11">
        <f>15.4754 * CHOOSE(CONTROL!$C$32, $C$9, 100%, $E$9)</f>
        <v>15.4754</v>
      </c>
      <c r="L488" s="11">
        <f>7.9482 * CHOOSE(CONTROL!$C$32, $C$9, 100%, $E$9)</f>
        <v>7.9481999999999999</v>
      </c>
      <c r="M488" s="11">
        <f>7.9535 * CHOOSE(CONTROL!$C$32, $C$9, 100%, $E$9)</f>
        <v>7.9535</v>
      </c>
      <c r="N488" s="11">
        <f>7.9482 * CHOOSE(CONTROL!$C$32, $C$9, 100%, $E$9)</f>
        <v>7.9481999999999999</v>
      </c>
      <c r="O488" s="11">
        <f>7.9535 * CHOOSE(CONTROL!$C$32, $C$9, 100%, $E$9)</f>
        <v>7.9535</v>
      </c>
    </row>
    <row r="489" spans="1:15" ht="15" x14ac:dyDescent="0.2">
      <c r="A489" s="13">
        <v>55732</v>
      </c>
      <c r="B489" s="9">
        <f>6.9985 * CHOOSE(CONTROL!$C$32, $C$9, 100%, $E$9)</f>
        <v>6.9984999999999999</v>
      </c>
      <c r="C489" s="9">
        <f>6.9985 * CHOOSE(CONTROL!$C$32, $C$9, 100%, $E$9)</f>
        <v>6.9984999999999999</v>
      </c>
      <c r="D489" s="9">
        <f>7.0001 * CHOOSE(CONTROL!$C$32, $C$9, 100%, $E$9)</f>
        <v>7.0000999999999998</v>
      </c>
      <c r="E489" s="11">
        <f>7.7921 * CHOOSE(CONTROL!$C$32, $C$9, 100%, $E$9)</f>
        <v>7.7920999999999996</v>
      </c>
      <c r="F489" s="11">
        <f>7.7921 * CHOOSE(CONTROL!$C$32, $C$9, 100%, $E$9)</f>
        <v>7.7920999999999996</v>
      </c>
      <c r="G489" s="11">
        <f>7.7974 * CHOOSE(CONTROL!$C$32, $C$9, 100%, $E$9)</f>
        <v>7.7973999999999997</v>
      </c>
      <c r="H489" s="11">
        <f>15.5024 * CHOOSE(CONTROL!$C$32, $C$9, 100%, $E$9)</f>
        <v>15.5024</v>
      </c>
      <c r="I489" s="11">
        <f>15.5077 * CHOOSE(CONTROL!$C$32, $C$9, 100%, $E$9)</f>
        <v>15.5077</v>
      </c>
      <c r="J489" s="11">
        <f>15.5024 * CHOOSE(CONTROL!$C$32, $C$9, 100%, $E$9)</f>
        <v>15.5024</v>
      </c>
      <c r="K489" s="11">
        <f>15.5077 * CHOOSE(CONTROL!$C$32, $C$9, 100%, $E$9)</f>
        <v>15.5077</v>
      </c>
      <c r="L489" s="11">
        <f>7.7921 * CHOOSE(CONTROL!$C$32, $C$9, 100%, $E$9)</f>
        <v>7.7920999999999996</v>
      </c>
      <c r="M489" s="11">
        <f>7.7974 * CHOOSE(CONTROL!$C$32, $C$9, 100%, $E$9)</f>
        <v>7.7973999999999997</v>
      </c>
      <c r="N489" s="11">
        <f>7.7921 * CHOOSE(CONTROL!$C$32, $C$9, 100%, $E$9)</f>
        <v>7.7920999999999996</v>
      </c>
      <c r="O489" s="11">
        <f>7.7974 * CHOOSE(CONTROL!$C$32, $C$9, 100%, $E$9)</f>
        <v>7.7973999999999997</v>
      </c>
    </row>
    <row r="490" spans="1:15" ht="15" x14ac:dyDescent="0.2">
      <c r="A490" s="13">
        <v>55763</v>
      </c>
      <c r="B490" s="9">
        <f>6.9955 * CHOOSE(CONTROL!$C$32, $C$9, 100%, $E$9)</f>
        <v>6.9954999999999998</v>
      </c>
      <c r="C490" s="9">
        <f>6.9955 * CHOOSE(CONTROL!$C$32, $C$9, 100%, $E$9)</f>
        <v>6.9954999999999998</v>
      </c>
      <c r="D490" s="9">
        <f>6.997 * CHOOSE(CONTROL!$C$32, $C$9, 100%, $E$9)</f>
        <v>6.9969999999999999</v>
      </c>
      <c r="E490" s="11">
        <f>7.7721 * CHOOSE(CONTROL!$C$32, $C$9, 100%, $E$9)</f>
        <v>7.7721</v>
      </c>
      <c r="F490" s="11">
        <f>7.7721 * CHOOSE(CONTROL!$C$32, $C$9, 100%, $E$9)</f>
        <v>7.7721</v>
      </c>
      <c r="G490" s="11">
        <f>7.7774 * CHOOSE(CONTROL!$C$32, $C$9, 100%, $E$9)</f>
        <v>7.7774000000000001</v>
      </c>
      <c r="H490" s="11">
        <f>15.5347 * CHOOSE(CONTROL!$C$32, $C$9, 100%, $E$9)</f>
        <v>15.534700000000001</v>
      </c>
      <c r="I490" s="11">
        <f>15.54 * CHOOSE(CONTROL!$C$32, $C$9, 100%, $E$9)</f>
        <v>15.54</v>
      </c>
      <c r="J490" s="11">
        <f>15.5347 * CHOOSE(CONTROL!$C$32, $C$9, 100%, $E$9)</f>
        <v>15.534700000000001</v>
      </c>
      <c r="K490" s="11">
        <f>15.54 * CHOOSE(CONTROL!$C$32, $C$9, 100%, $E$9)</f>
        <v>15.54</v>
      </c>
      <c r="L490" s="11">
        <f>7.7721 * CHOOSE(CONTROL!$C$32, $C$9, 100%, $E$9)</f>
        <v>7.7721</v>
      </c>
      <c r="M490" s="11">
        <f>7.7774 * CHOOSE(CONTROL!$C$32, $C$9, 100%, $E$9)</f>
        <v>7.7774000000000001</v>
      </c>
      <c r="N490" s="11">
        <f>7.7721 * CHOOSE(CONTROL!$C$32, $C$9, 100%, $E$9)</f>
        <v>7.7721</v>
      </c>
      <c r="O490" s="11">
        <f>7.7774 * CHOOSE(CONTROL!$C$32, $C$9, 100%, $E$9)</f>
        <v>7.7774000000000001</v>
      </c>
    </row>
    <row r="491" spans="1:15" ht="15" x14ac:dyDescent="0.2">
      <c r="A491" s="13">
        <v>55793</v>
      </c>
      <c r="B491" s="9">
        <f>7.0017 * CHOOSE(CONTROL!$C$32, $C$9, 100%, $E$9)</f>
        <v>7.0016999999999996</v>
      </c>
      <c r="C491" s="9">
        <f>7.0017 * CHOOSE(CONTROL!$C$32, $C$9, 100%, $E$9)</f>
        <v>7.0016999999999996</v>
      </c>
      <c r="D491" s="9">
        <f>7.0027 * CHOOSE(CONTROL!$C$32, $C$9, 100%, $E$9)</f>
        <v>7.0026999999999999</v>
      </c>
      <c r="E491" s="11">
        <f>7.8302 * CHOOSE(CONTROL!$C$32, $C$9, 100%, $E$9)</f>
        <v>7.8301999999999996</v>
      </c>
      <c r="F491" s="11">
        <f>7.8302 * CHOOSE(CONTROL!$C$32, $C$9, 100%, $E$9)</f>
        <v>7.8301999999999996</v>
      </c>
      <c r="G491" s="11">
        <f>7.8338 * CHOOSE(CONTROL!$C$32, $C$9, 100%, $E$9)</f>
        <v>7.8338000000000001</v>
      </c>
      <c r="H491" s="11">
        <f>15.567 * CHOOSE(CONTROL!$C$32, $C$9, 100%, $E$9)</f>
        <v>15.567</v>
      </c>
      <c r="I491" s="11">
        <f>15.5707 * CHOOSE(CONTROL!$C$32, $C$9, 100%, $E$9)</f>
        <v>15.5707</v>
      </c>
      <c r="J491" s="11">
        <f>15.567 * CHOOSE(CONTROL!$C$32, $C$9, 100%, $E$9)</f>
        <v>15.567</v>
      </c>
      <c r="K491" s="11">
        <f>15.5707 * CHOOSE(CONTROL!$C$32, $C$9, 100%, $E$9)</f>
        <v>15.5707</v>
      </c>
      <c r="L491" s="11">
        <f>7.8302 * CHOOSE(CONTROL!$C$32, $C$9, 100%, $E$9)</f>
        <v>7.8301999999999996</v>
      </c>
      <c r="M491" s="11">
        <f>7.8338 * CHOOSE(CONTROL!$C$32, $C$9, 100%, $E$9)</f>
        <v>7.8338000000000001</v>
      </c>
      <c r="N491" s="11">
        <f>7.8302 * CHOOSE(CONTROL!$C$32, $C$9, 100%, $E$9)</f>
        <v>7.8301999999999996</v>
      </c>
      <c r="O491" s="11">
        <f>7.8338 * CHOOSE(CONTROL!$C$32, $C$9, 100%, $E$9)</f>
        <v>7.8338000000000001</v>
      </c>
    </row>
    <row r="492" spans="1:15" ht="15" x14ac:dyDescent="0.2">
      <c r="A492" s="13">
        <v>55824</v>
      </c>
      <c r="B492" s="9">
        <f>7.0047 * CHOOSE(CONTROL!$C$32, $C$9, 100%, $E$9)</f>
        <v>7.0046999999999997</v>
      </c>
      <c r="C492" s="9">
        <f>7.0047 * CHOOSE(CONTROL!$C$32, $C$9, 100%, $E$9)</f>
        <v>7.0046999999999997</v>
      </c>
      <c r="D492" s="9">
        <f>7.0058 * CHOOSE(CONTROL!$C$32, $C$9, 100%, $E$9)</f>
        <v>7.0057999999999998</v>
      </c>
      <c r="E492" s="11">
        <f>7.868 * CHOOSE(CONTROL!$C$32, $C$9, 100%, $E$9)</f>
        <v>7.8680000000000003</v>
      </c>
      <c r="F492" s="11">
        <f>7.868 * CHOOSE(CONTROL!$C$32, $C$9, 100%, $E$9)</f>
        <v>7.8680000000000003</v>
      </c>
      <c r="G492" s="11">
        <f>7.8716 * CHOOSE(CONTROL!$C$32, $C$9, 100%, $E$9)</f>
        <v>7.8715999999999999</v>
      </c>
      <c r="H492" s="11">
        <f>15.5995 * CHOOSE(CONTROL!$C$32, $C$9, 100%, $E$9)</f>
        <v>15.599500000000001</v>
      </c>
      <c r="I492" s="11">
        <f>15.6031 * CHOOSE(CONTROL!$C$32, $C$9, 100%, $E$9)</f>
        <v>15.6031</v>
      </c>
      <c r="J492" s="11">
        <f>15.5995 * CHOOSE(CONTROL!$C$32, $C$9, 100%, $E$9)</f>
        <v>15.599500000000001</v>
      </c>
      <c r="K492" s="11">
        <f>15.6031 * CHOOSE(CONTROL!$C$32, $C$9, 100%, $E$9)</f>
        <v>15.6031</v>
      </c>
      <c r="L492" s="11">
        <f>7.868 * CHOOSE(CONTROL!$C$32, $C$9, 100%, $E$9)</f>
        <v>7.8680000000000003</v>
      </c>
      <c r="M492" s="11">
        <f>7.8716 * CHOOSE(CONTROL!$C$32, $C$9, 100%, $E$9)</f>
        <v>7.8715999999999999</v>
      </c>
      <c r="N492" s="11">
        <f>7.868 * CHOOSE(CONTROL!$C$32, $C$9, 100%, $E$9)</f>
        <v>7.8680000000000003</v>
      </c>
      <c r="O492" s="11">
        <f>7.8716 * CHOOSE(CONTROL!$C$32, $C$9, 100%, $E$9)</f>
        <v>7.8715999999999999</v>
      </c>
    </row>
    <row r="493" spans="1:15" ht="15" x14ac:dyDescent="0.2">
      <c r="A493" s="13">
        <v>55854</v>
      </c>
      <c r="B493" s="9">
        <f>7.0047 * CHOOSE(CONTROL!$C$32, $C$9, 100%, $E$9)</f>
        <v>7.0046999999999997</v>
      </c>
      <c r="C493" s="9">
        <f>7.0047 * CHOOSE(CONTROL!$C$32, $C$9, 100%, $E$9)</f>
        <v>7.0046999999999997</v>
      </c>
      <c r="D493" s="9">
        <f>7.0058 * CHOOSE(CONTROL!$C$32, $C$9, 100%, $E$9)</f>
        <v>7.0057999999999998</v>
      </c>
      <c r="E493" s="11">
        <f>7.7787 * CHOOSE(CONTROL!$C$32, $C$9, 100%, $E$9)</f>
        <v>7.7786999999999997</v>
      </c>
      <c r="F493" s="11">
        <f>7.7787 * CHOOSE(CONTROL!$C$32, $C$9, 100%, $E$9)</f>
        <v>7.7786999999999997</v>
      </c>
      <c r="G493" s="11">
        <f>7.7823 * CHOOSE(CONTROL!$C$32, $C$9, 100%, $E$9)</f>
        <v>7.7823000000000002</v>
      </c>
      <c r="H493" s="11">
        <f>15.632 * CHOOSE(CONTROL!$C$32, $C$9, 100%, $E$9)</f>
        <v>15.632</v>
      </c>
      <c r="I493" s="11">
        <f>15.6356 * CHOOSE(CONTROL!$C$32, $C$9, 100%, $E$9)</f>
        <v>15.6356</v>
      </c>
      <c r="J493" s="11">
        <f>15.632 * CHOOSE(CONTROL!$C$32, $C$9, 100%, $E$9)</f>
        <v>15.632</v>
      </c>
      <c r="K493" s="11">
        <f>15.6356 * CHOOSE(CONTROL!$C$32, $C$9, 100%, $E$9)</f>
        <v>15.6356</v>
      </c>
      <c r="L493" s="11">
        <f>7.7787 * CHOOSE(CONTROL!$C$32, $C$9, 100%, $E$9)</f>
        <v>7.7786999999999997</v>
      </c>
      <c r="M493" s="11">
        <f>7.7823 * CHOOSE(CONTROL!$C$32, $C$9, 100%, $E$9)</f>
        <v>7.7823000000000002</v>
      </c>
      <c r="N493" s="11">
        <f>7.7787 * CHOOSE(CONTROL!$C$32, $C$9, 100%, $E$9)</f>
        <v>7.7786999999999997</v>
      </c>
      <c r="O493" s="11">
        <f>7.7823 * CHOOSE(CONTROL!$C$32, $C$9, 100%, $E$9)</f>
        <v>7.7823000000000002</v>
      </c>
    </row>
    <row r="494" spans="1:15" ht="15" x14ac:dyDescent="0.2">
      <c r="A494" s="13">
        <v>55885</v>
      </c>
      <c r="B494" s="9">
        <f>7.0575 * CHOOSE(CONTROL!$C$32, $C$9, 100%, $E$9)</f>
        <v>7.0575000000000001</v>
      </c>
      <c r="C494" s="9">
        <f>7.0575 * CHOOSE(CONTROL!$C$32, $C$9, 100%, $E$9)</f>
        <v>7.0575000000000001</v>
      </c>
      <c r="D494" s="9">
        <f>7.0586 * CHOOSE(CONTROL!$C$32, $C$9, 100%, $E$9)</f>
        <v>7.0586000000000002</v>
      </c>
      <c r="E494" s="11">
        <f>7.9087 * CHOOSE(CONTROL!$C$32, $C$9, 100%, $E$9)</f>
        <v>7.9086999999999996</v>
      </c>
      <c r="F494" s="11">
        <f>7.9087 * CHOOSE(CONTROL!$C$32, $C$9, 100%, $E$9)</f>
        <v>7.9086999999999996</v>
      </c>
      <c r="G494" s="11">
        <f>7.9124 * CHOOSE(CONTROL!$C$32, $C$9, 100%, $E$9)</f>
        <v>7.9123999999999999</v>
      </c>
      <c r="H494" s="11">
        <f>15.6645 * CHOOSE(CONTROL!$C$32, $C$9, 100%, $E$9)</f>
        <v>15.6645</v>
      </c>
      <c r="I494" s="11">
        <f>15.6682 * CHOOSE(CONTROL!$C$32, $C$9, 100%, $E$9)</f>
        <v>15.668200000000001</v>
      </c>
      <c r="J494" s="11">
        <f>15.6645 * CHOOSE(CONTROL!$C$32, $C$9, 100%, $E$9)</f>
        <v>15.6645</v>
      </c>
      <c r="K494" s="11">
        <f>15.6682 * CHOOSE(CONTROL!$C$32, $C$9, 100%, $E$9)</f>
        <v>15.668200000000001</v>
      </c>
      <c r="L494" s="11">
        <f>7.9087 * CHOOSE(CONTROL!$C$32, $C$9, 100%, $E$9)</f>
        <v>7.9086999999999996</v>
      </c>
      <c r="M494" s="11">
        <f>7.9124 * CHOOSE(CONTROL!$C$32, $C$9, 100%, $E$9)</f>
        <v>7.9123999999999999</v>
      </c>
      <c r="N494" s="11">
        <f>7.9087 * CHOOSE(CONTROL!$C$32, $C$9, 100%, $E$9)</f>
        <v>7.9086999999999996</v>
      </c>
      <c r="O494" s="11">
        <f>7.9124 * CHOOSE(CONTROL!$C$32, $C$9, 100%, $E$9)</f>
        <v>7.9123999999999999</v>
      </c>
    </row>
    <row r="495" spans="1:15" ht="15" x14ac:dyDescent="0.2">
      <c r="A495" s="13">
        <v>55916</v>
      </c>
      <c r="B495" s="9">
        <f>7.0545 * CHOOSE(CONTROL!$C$32, $C$9, 100%, $E$9)</f>
        <v>7.0545</v>
      </c>
      <c r="C495" s="9">
        <f>7.0545 * CHOOSE(CONTROL!$C$32, $C$9, 100%, $E$9)</f>
        <v>7.0545</v>
      </c>
      <c r="D495" s="9">
        <f>7.0555 * CHOOSE(CONTROL!$C$32, $C$9, 100%, $E$9)</f>
        <v>7.0555000000000003</v>
      </c>
      <c r="E495" s="11">
        <f>7.7323 * CHOOSE(CONTROL!$C$32, $C$9, 100%, $E$9)</f>
        <v>7.7323000000000004</v>
      </c>
      <c r="F495" s="11">
        <f>7.7323 * CHOOSE(CONTROL!$C$32, $C$9, 100%, $E$9)</f>
        <v>7.7323000000000004</v>
      </c>
      <c r="G495" s="11">
        <f>7.7359 * CHOOSE(CONTROL!$C$32, $C$9, 100%, $E$9)</f>
        <v>7.7359</v>
      </c>
      <c r="H495" s="11">
        <f>15.6972 * CHOOSE(CONTROL!$C$32, $C$9, 100%, $E$9)</f>
        <v>15.6972</v>
      </c>
      <c r="I495" s="11">
        <f>15.7008 * CHOOSE(CONTROL!$C$32, $C$9, 100%, $E$9)</f>
        <v>15.700799999999999</v>
      </c>
      <c r="J495" s="11">
        <f>15.6972 * CHOOSE(CONTROL!$C$32, $C$9, 100%, $E$9)</f>
        <v>15.6972</v>
      </c>
      <c r="K495" s="11">
        <f>15.7008 * CHOOSE(CONTROL!$C$32, $C$9, 100%, $E$9)</f>
        <v>15.700799999999999</v>
      </c>
      <c r="L495" s="11">
        <f>7.7323 * CHOOSE(CONTROL!$C$32, $C$9, 100%, $E$9)</f>
        <v>7.7323000000000004</v>
      </c>
      <c r="M495" s="11">
        <f>7.7359 * CHOOSE(CONTROL!$C$32, $C$9, 100%, $E$9)</f>
        <v>7.7359</v>
      </c>
      <c r="N495" s="11">
        <f>7.7323 * CHOOSE(CONTROL!$C$32, $C$9, 100%, $E$9)</f>
        <v>7.7323000000000004</v>
      </c>
      <c r="O495" s="11">
        <f>7.7359 * CHOOSE(CONTROL!$C$32, $C$9, 100%, $E$9)</f>
        <v>7.7359</v>
      </c>
    </row>
    <row r="496" spans="1:15" ht="15" x14ac:dyDescent="0.2">
      <c r="A496" s="13">
        <v>55944</v>
      </c>
      <c r="B496" s="9">
        <f>7.0514 * CHOOSE(CONTROL!$C$32, $C$9, 100%, $E$9)</f>
        <v>7.0514000000000001</v>
      </c>
      <c r="C496" s="9">
        <f>7.0514 * CHOOSE(CONTROL!$C$32, $C$9, 100%, $E$9)</f>
        <v>7.0514000000000001</v>
      </c>
      <c r="D496" s="9">
        <f>7.0525 * CHOOSE(CONTROL!$C$32, $C$9, 100%, $E$9)</f>
        <v>7.0525000000000002</v>
      </c>
      <c r="E496" s="11">
        <f>7.8676 * CHOOSE(CONTROL!$C$32, $C$9, 100%, $E$9)</f>
        <v>7.8676000000000004</v>
      </c>
      <c r="F496" s="11">
        <f>7.8676 * CHOOSE(CONTROL!$C$32, $C$9, 100%, $E$9)</f>
        <v>7.8676000000000004</v>
      </c>
      <c r="G496" s="11">
        <f>7.8712 * CHOOSE(CONTROL!$C$32, $C$9, 100%, $E$9)</f>
        <v>7.8712</v>
      </c>
      <c r="H496" s="11">
        <f>15.7299 * CHOOSE(CONTROL!$C$32, $C$9, 100%, $E$9)</f>
        <v>15.729900000000001</v>
      </c>
      <c r="I496" s="11">
        <f>15.7335 * CHOOSE(CONTROL!$C$32, $C$9, 100%, $E$9)</f>
        <v>15.733499999999999</v>
      </c>
      <c r="J496" s="11">
        <f>15.7299 * CHOOSE(CONTROL!$C$32, $C$9, 100%, $E$9)</f>
        <v>15.729900000000001</v>
      </c>
      <c r="K496" s="11">
        <f>15.7335 * CHOOSE(CONTROL!$C$32, $C$9, 100%, $E$9)</f>
        <v>15.733499999999999</v>
      </c>
      <c r="L496" s="11">
        <f>7.8676 * CHOOSE(CONTROL!$C$32, $C$9, 100%, $E$9)</f>
        <v>7.8676000000000004</v>
      </c>
      <c r="M496" s="11">
        <f>7.8712 * CHOOSE(CONTROL!$C$32, $C$9, 100%, $E$9)</f>
        <v>7.8712</v>
      </c>
      <c r="N496" s="11">
        <f>7.8676 * CHOOSE(CONTROL!$C$32, $C$9, 100%, $E$9)</f>
        <v>7.8676000000000004</v>
      </c>
      <c r="O496" s="11">
        <f>7.8712 * CHOOSE(CONTROL!$C$32, $C$9, 100%, $E$9)</f>
        <v>7.8712</v>
      </c>
    </row>
    <row r="497" spans="1:15" ht="15" x14ac:dyDescent="0.2">
      <c r="A497" s="13">
        <v>55975</v>
      </c>
      <c r="B497" s="9">
        <f>7.052 * CHOOSE(CONTROL!$C$32, $C$9, 100%, $E$9)</f>
        <v>7.0519999999999996</v>
      </c>
      <c r="C497" s="9">
        <f>7.052 * CHOOSE(CONTROL!$C$32, $C$9, 100%, $E$9)</f>
        <v>7.0519999999999996</v>
      </c>
      <c r="D497" s="9">
        <f>7.0531 * CHOOSE(CONTROL!$C$32, $C$9, 100%, $E$9)</f>
        <v>7.0530999999999997</v>
      </c>
      <c r="E497" s="11">
        <f>8.011 * CHOOSE(CONTROL!$C$32, $C$9, 100%, $E$9)</f>
        <v>8.0109999999999992</v>
      </c>
      <c r="F497" s="11">
        <f>8.011 * CHOOSE(CONTROL!$C$32, $C$9, 100%, $E$9)</f>
        <v>8.0109999999999992</v>
      </c>
      <c r="G497" s="11">
        <f>8.0146 * CHOOSE(CONTROL!$C$32, $C$9, 100%, $E$9)</f>
        <v>8.0145999999999997</v>
      </c>
      <c r="H497" s="11">
        <f>15.7626 * CHOOSE(CONTROL!$C$32, $C$9, 100%, $E$9)</f>
        <v>15.762600000000001</v>
      </c>
      <c r="I497" s="11">
        <f>15.7663 * CHOOSE(CONTROL!$C$32, $C$9, 100%, $E$9)</f>
        <v>15.766299999999999</v>
      </c>
      <c r="J497" s="11">
        <f>15.7626 * CHOOSE(CONTROL!$C$32, $C$9, 100%, $E$9)</f>
        <v>15.762600000000001</v>
      </c>
      <c r="K497" s="11">
        <f>15.7663 * CHOOSE(CONTROL!$C$32, $C$9, 100%, $E$9)</f>
        <v>15.766299999999999</v>
      </c>
      <c r="L497" s="11">
        <f>8.011 * CHOOSE(CONTROL!$C$32, $C$9, 100%, $E$9)</f>
        <v>8.0109999999999992</v>
      </c>
      <c r="M497" s="11">
        <f>8.0146 * CHOOSE(CONTROL!$C$32, $C$9, 100%, $E$9)</f>
        <v>8.0145999999999997</v>
      </c>
      <c r="N497" s="11">
        <f>8.011 * CHOOSE(CONTROL!$C$32, $C$9, 100%, $E$9)</f>
        <v>8.0109999999999992</v>
      </c>
      <c r="O497" s="11">
        <f>8.0146 * CHOOSE(CONTROL!$C$32, $C$9, 100%, $E$9)</f>
        <v>8.0145999999999997</v>
      </c>
    </row>
    <row r="498" spans="1:15" ht="15" x14ac:dyDescent="0.2">
      <c r="A498" s="13">
        <v>56005</v>
      </c>
      <c r="B498" s="9">
        <f>7.052 * CHOOSE(CONTROL!$C$32, $C$9, 100%, $E$9)</f>
        <v>7.0519999999999996</v>
      </c>
      <c r="C498" s="9">
        <f>7.052 * CHOOSE(CONTROL!$C$32, $C$9, 100%, $E$9)</f>
        <v>7.0519999999999996</v>
      </c>
      <c r="D498" s="9">
        <f>7.0536 * CHOOSE(CONTROL!$C$32, $C$9, 100%, $E$9)</f>
        <v>7.0536000000000003</v>
      </c>
      <c r="E498" s="11">
        <f>8.0663 * CHOOSE(CONTROL!$C$32, $C$9, 100%, $E$9)</f>
        <v>8.0663</v>
      </c>
      <c r="F498" s="11">
        <f>8.0663 * CHOOSE(CONTROL!$C$32, $C$9, 100%, $E$9)</f>
        <v>8.0663</v>
      </c>
      <c r="G498" s="11">
        <f>8.0716 * CHOOSE(CONTROL!$C$32, $C$9, 100%, $E$9)</f>
        <v>8.0716000000000001</v>
      </c>
      <c r="H498" s="11">
        <f>15.7955 * CHOOSE(CONTROL!$C$32, $C$9, 100%, $E$9)</f>
        <v>15.795500000000001</v>
      </c>
      <c r="I498" s="11">
        <f>15.8008 * CHOOSE(CONTROL!$C$32, $C$9, 100%, $E$9)</f>
        <v>15.800800000000001</v>
      </c>
      <c r="J498" s="11">
        <f>15.7955 * CHOOSE(CONTROL!$C$32, $C$9, 100%, $E$9)</f>
        <v>15.795500000000001</v>
      </c>
      <c r="K498" s="11">
        <f>15.8008 * CHOOSE(CONTROL!$C$32, $C$9, 100%, $E$9)</f>
        <v>15.800800000000001</v>
      </c>
      <c r="L498" s="11">
        <f>8.0663 * CHOOSE(CONTROL!$C$32, $C$9, 100%, $E$9)</f>
        <v>8.0663</v>
      </c>
      <c r="M498" s="11">
        <f>8.0716 * CHOOSE(CONTROL!$C$32, $C$9, 100%, $E$9)</f>
        <v>8.0716000000000001</v>
      </c>
      <c r="N498" s="11">
        <f>8.0663 * CHOOSE(CONTROL!$C$32, $C$9, 100%, $E$9)</f>
        <v>8.0663</v>
      </c>
      <c r="O498" s="11">
        <f>8.0716 * CHOOSE(CONTROL!$C$32, $C$9, 100%, $E$9)</f>
        <v>8.0716000000000001</v>
      </c>
    </row>
    <row r="499" spans="1:15" ht="15" x14ac:dyDescent="0.2">
      <c r="A499" s="13">
        <v>56036</v>
      </c>
      <c r="B499" s="9">
        <f>7.0581 * CHOOSE(CONTROL!$C$32, $C$9, 100%, $E$9)</f>
        <v>7.0580999999999996</v>
      </c>
      <c r="C499" s="9">
        <f>7.0581 * CHOOSE(CONTROL!$C$32, $C$9, 100%, $E$9)</f>
        <v>7.0580999999999996</v>
      </c>
      <c r="D499" s="9">
        <f>7.0597 * CHOOSE(CONTROL!$C$32, $C$9, 100%, $E$9)</f>
        <v>7.0597000000000003</v>
      </c>
      <c r="E499" s="11">
        <f>8.0152 * CHOOSE(CONTROL!$C$32, $C$9, 100%, $E$9)</f>
        <v>8.0152000000000001</v>
      </c>
      <c r="F499" s="11">
        <f>8.0152 * CHOOSE(CONTROL!$C$32, $C$9, 100%, $E$9)</f>
        <v>8.0152000000000001</v>
      </c>
      <c r="G499" s="11">
        <f>8.0205 * CHOOSE(CONTROL!$C$32, $C$9, 100%, $E$9)</f>
        <v>8.0205000000000002</v>
      </c>
      <c r="H499" s="11">
        <f>15.8284 * CHOOSE(CONTROL!$C$32, $C$9, 100%, $E$9)</f>
        <v>15.8284</v>
      </c>
      <c r="I499" s="11">
        <f>15.8337 * CHOOSE(CONTROL!$C$32, $C$9, 100%, $E$9)</f>
        <v>15.8337</v>
      </c>
      <c r="J499" s="11">
        <f>15.8284 * CHOOSE(CONTROL!$C$32, $C$9, 100%, $E$9)</f>
        <v>15.8284</v>
      </c>
      <c r="K499" s="11">
        <f>15.8337 * CHOOSE(CONTROL!$C$32, $C$9, 100%, $E$9)</f>
        <v>15.8337</v>
      </c>
      <c r="L499" s="11">
        <f>8.0152 * CHOOSE(CONTROL!$C$32, $C$9, 100%, $E$9)</f>
        <v>8.0152000000000001</v>
      </c>
      <c r="M499" s="11">
        <f>8.0205 * CHOOSE(CONTROL!$C$32, $C$9, 100%, $E$9)</f>
        <v>8.0205000000000002</v>
      </c>
      <c r="N499" s="11">
        <f>8.0152 * CHOOSE(CONTROL!$C$32, $C$9, 100%, $E$9)</f>
        <v>8.0152000000000001</v>
      </c>
      <c r="O499" s="11">
        <f>8.0205 * CHOOSE(CONTROL!$C$32, $C$9, 100%, $E$9)</f>
        <v>8.0205000000000002</v>
      </c>
    </row>
    <row r="500" spans="1:15" ht="15" x14ac:dyDescent="0.2">
      <c r="A500" s="13">
        <v>56066</v>
      </c>
      <c r="B500" s="9">
        <f>7.1502 * CHOOSE(CONTROL!$C$32, $C$9, 100%, $E$9)</f>
        <v>7.1501999999999999</v>
      </c>
      <c r="C500" s="9">
        <f>7.1502 * CHOOSE(CONTROL!$C$32, $C$9, 100%, $E$9)</f>
        <v>7.1501999999999999</v>
      </c>
      <c r="D500" s="9">
        <f>7.1518 * CHOOSE(CONTROL!$C$32, $C$9, 100%, $E$9)</f>
        <v>7.1517999999999997</v>
      </c>
      <c r="E500" s="11">
        <f>8.1252 * CHOOSE(CONTROL!$C$32, $C$9, 100%, $E$9)</f>
        <v>8.1251999999999995</v>
      </c>
      <c r="F500" s="11">
        <f>8.1252 * CHOOSE(CONTROL!$C$32, $C$9, 100%, $E$9)</f>
        <v>8.1251999999999995</v>
      </c>
      <c r="G500" s="11">
        <f>8.1305 * CHOOSE(CONTROL!$C$32, $C$9, 100%, $E$9)</f>
        <v>8.1304999999999996</v>
      </c>
      <c r="H500" s="11">
        <f>15.8614 * CHOOSE(CONTROL!$C$32, $C$9, 100%, $E$9)</f>
        <v>15.8614</v>
      </c>
      <c r="I500" s="11">
        <f>15.8667 * CHOOSE(CONTROL!$C$32, $C$9, 100%, $E$9)</f>
        <v>15.8667</v>
      </c>
      <c r="J500" s="11">
        <f>15.8614 * CHOOSE(CONTROL!$C$32, $C$9, 100%, $E$9)</f>
        <v>15.8614</v>
      </c>
      <c r="K500" s="11">
        <f>15.8667 * CHOOSE(CONTROL!$C$32, $C$9, 100%, $E$9)</f>
        <v>15.8667</v>
      </c>
      <c r="L500" s="11">
        <f>8.1252 * CHOOSE(CONTROL!$C$32, $C$9, 100%, $E$9)</f>
        <v>8.1251999999999995</v>
      </c>
      <c r="M500" s="11">
        <f>8.1305 * CHOOSE(CONTROL!$C$32, $C$9, 100%, $E$9)</f>
        <v>8.1304999999999996</v>
      </c>
      <c r="N500" s="11">
        <f>8.1252 * CHOOSE(CONTROL!$C$32, $C$9, 100%, $E$9)</f>
        <v>8.1251999999999995</v>
      </c>
      <c r="O500" s="11">
        <f>8.1305 * CHOOSE(CONTROL!$C$32, $C$9, 100%, $E$9)</f>
        <v>8.1304999999999996</v>
      </c>
    </row>
    <row r="501" spans="1:15" ht="15" x14ac:dyDescent="0.2">
      <c r="A501" s="13">
        <v>56097</v>
      </c>
      <c r="B501" s="9">
        <f>7.1569 * CHOOSE(CONTROL!$C$32, $C$9, 100%, $E$9)</f>
        <v>7.1569000000000003</v>
      </c>
      <c r="C501" s="9">
        <f>7.1569 * CHOOSE(CONTROL!$C$32, $C$9, 100%, $E$9)</f>
        <v>7.1569000000000003</v>
      </c>
      <c r="D501" s="9">
        <f>7.1585 * CHOOSE(CONTROL!$C$32, $C$9, 100%, $E$9)</f>
        <v>7.1585000000000001</v>
      </c>
      <c r="E501" s="11">
        <f>7.9639 * CHOOSE(CONTROL!$C$32, $C$9, 100%, $E$9)</f>
        <v>7.9638999999999998</v>
      </c>
      <c r="F501" s="11">
        <f>7.9639 * CHOOSE(CONTROL!$C$32, $C$9, 100%, $E$9)</f>
        <v>7.9638999999999998</v>
      </c>
      <c r="G501" s="11">
        <f>7.9692 * CHOOSE(CONTROL!$C$32, $C$9, 100%, $E$9)</f>
        <v>7.9691999999999998</v>
      </c>
      <c r="H501" s="11">
        <f>15.8944 * CHOOSE(CONTROL!$C$32, $C$9, 100%, $E$9)</f>
        <v>15.894399999999999</v>
      </c>
      <c r="I501" s="11">
        <f>15.8997 * CHOOSE(CONTROL!$C$32, $C$9, 100%, $E$9)</f>
        <v>15.899699999999999</v>
      </c>
      <c r="J501" s="11">
        <f>15.8944 * CHOOSE(CONTROL!$C$32, $C$9, 100%, $E$9)</f>
        <v>15.894399999999999</v>
      </c>
      <c r="K501" s="11">
        <f>15.8997 * CHOOSE(CONTROL!$C$32, $C$9, 100%, $E$9)</f>
        <v>15.899699999999999</v>
      </c>
      <c r="L501" s="11">
        <f>7.9639 * CHOOSE(CONTROL!$C$32, $C$9, 100%, $E$9)</f>
        <v>7.9638999999999998</v>
      </c>
      <c r="M501" s="11">
        <f>7.9692 * CHOOSE(CONTROL!$C$32, $C$9, 100%, $E$9)</f>
        <v>7.9691999999999998</v>
      </c>
      <c r="N501" s="11">
        <f>7.9639 * CHOOSE(CONTROL!$C$32, $C$9, 100%, $E$9)</f>
        <v>7.9638999999999998</v>
      </c>
      <c r="O501" s="11">
        <f>7.9692 * CHOOSE(CONTROL!$C$32, $C$9, 100%, $E$9)</f>
        <v>7.9691999999999998</v>
      </c>
    </row>
    <row r="502" spans="1:15" ht="15" x14ac:dyDescent="0.2">
      <c r="A502" s="13">
        <v>56128</v>
      </c>
      <c r="B502" s="9">
        <f>7.1539 * CHOOSE(CONTROL!$C$32, $C$9, 100%, $E$9)</f>
        <v>7.1539000000000001</v>
      </c>
      <c r="C502" s="9">
        <f>7.1539 * CHOOSE(CONTROL!$C$32, $C$9, 100%, $E$9)</f>
        <v>7.1539000000000001</v>
      </c>
      <c r="D502" s="9">
        <f>7.1554 * CHOOSE(CONTROL!$C$32, $C$9, 100%, $E$9)</f>
        <v>7.1554000000000002</v>
      </c>
      <c r="E502" s="11">
        <f>7.9433 * CHOOSE(CONTROL!$C$32, $C$9, 100%, $E$9)</f>
        <v>7.9432999999999998</v>
      </c>
      <c r="F502" s="11">
        <f>7.9433 * CHOOSE(CONTROL!$C$32, $C$9, 100%, $E$9)</f>
        <v>7.9432999999999998</v>
      </c>
      <c r="G502" s="11">
        <f>7.9486 * CHOOSE(CONTROL!$C$32, $C$9, 100%, $E$9)</f>
        <v>7.9485999999999999</v>
      </c>
      <c r="H502" s="11">
        <f>15.9275 * CHOOSE(CONTROL!$C$32, $C$9, 100%, $E$9)</f>
        <v>15.9275</v>
      </c>
      <c r="I502" s="11">
        <f>15.9328 * CHOOSE(CONTROL!$C$32, $C$9, 100%, $E$9)</f>
        <v>15.9328</v>
      </c>
      <c r="J502" s="11">
        <f>15.9275 * CHOOSE(CONTROL!$C$32, $C$9, 100%, $E$9)</f>
        <v>15.9275</v>
      </c>
      <c r="K502" s="11">
        <f>15.9328 * CHOOSE(CONTROL!$C$32, $C$9, 100%, $E$9)</f>
        <v>15.9328</v>
      </c>
      <c r="L502" s="11">
        <f>7.9433 * CHOOSE(CONTROL!$C$32, $C$9, 100%, $E$9)</f>
        <v>7.9432999999999998</v>
      </c>
      <c r="M502" s="11">
        <f>7.9486 * CHOOSE(CONTROL!$C$32, $C$9, 100%, $E$9)</f>
        <v>7.9485999999999999</v>
      </c>
      <c r="N502" s="11">
        <f>7.9433 * CHOOSE(CONTROL!$C$32, $C$9, 100%, $E$9)</f>
        <v>7.9432999999999998</v>
      </c>
      <c r="O502" s="11">
        <f>7.9486 * CHOOSE(CONTROL!$C$32, $C$9, 100%, $E$9)</f>
        <v>7.9485999999999999</v>
      </c>
    </row>
    <row r="503" spans="1:15" ht="15" x14ac:dyDescent="0.2">
      <c r="A503" s="13">
        <v>56158</v>
      </c>
      <c r="B503" s="9">
        <f>7.1607 * CHOOSE(CONTROL!$C$32, $C$9, 100%, $E$9)</f>
        <v>7.1607000000000003</v>
      </c>
      <c r="C503" s="9">
        <f>7.1607 * CHOOSE(CONTROL!$C$32, $C$9, 100%, $E$9)</f>
        <v>7.1607000000000003</v>
      </c>
      <c r="D503" s="9">
        <f>7.1617 * CHOOSE(CONTROL!$C$32, $C$9, 100%, $E$9)</f>
        <v>7.1616999999999997</v>
      </c>
      <c r="E503" s="11">
        <f>8.0037 * CHOOSE(CONTROL!$C$32, $C$9, 100%, $E$9)</f>
        <v>8.0037000000000003</v>
      </c>
      <c r="F503" s="11">
        <f>8.0037 * CHOOSE(CONTROL!$C$32, $C$9, 100%, $E$9)</f>
        <v>8.0037000000000003</v>
      </c>
      <c r="G503" s="11">
        <f>8.0073 * CHOOSE(CONTROL!$C$32, $C$9, 100%, $E$9)</f>
        <v>8.0073000000000008</v>
      </c>
      <c r="H503" s="11">
        <f>15.9607 * CHOOSE(CONTROL!$C$32, $C$9, 100%, $E$9)</f>
        <v>15.960699999999999</v>
      </c>
      <c r="I503" s="11">
        <f>15.9643 * CHOOSE(CONTROL!$C$32, $C$9, 100%, $E$9)</f>
        <v>15.9643</v>
      </c>
      <c r="J503" s="11">
        <f>15.9607 * CHOOSE(CONTROL!$C$32, $C$9, 100%, $E$9)</f>
        <v>15.960699999999999</v>
      </c>
      <c r="K503" s="11">
        <f>15.9643 * CHOOSE(CONTROL!$C$32, $C$9, 100%, $E$9)</f>
        <v>15.9643</v>
      </c>
      <c r="L503" s="11">
        <f>8.0037 * CHOOSE(CONTROL!$C$32, $C$9, 100%, $E$9)</f>
        <v>8.0037000000000003</v>
      </c>
      <c r="M503" s="11">
        <f>8.0073 * CHOOSE(CONTROL!$C$32, $C$9, 100%, $E$9)</f>
        <v>8.0073000000000008</v>
      </c>
      <c r="N503" s="11">
        <f>8.0037 * CHOOSE(CONTROL!$C$32, $C$9, 100%, $E$9)</f>
        <v>8.0037000000000003</v>
      </c>
      <c r="O503" s="11">
        <f>8.0073 * CHOOSE(CONTROL!$C$32, $C$9, 100%, $E$9)</f>
        <v>8.0073000000000008</v>
      </c>
    </row>
    <row r="504" spans="1:15" ht="15" x14ac:dyDescent="0.2">
      <c r="A504" s="13">
        <v>56189</v>
      </c>
      <c r="B504" s="9">
        <f>7.1637 * CHOOSE(CONTROL!$C$32, $C$9, 100%, $E$9)</f>
        <v>7.1637000000000004</v>
      </c>
      <c r="C504" s="9">
        <f>7.1637 * CHOOSE(CONTROL!$C$32, $C$9, 100%, $E$9)</f>
        <v>7.1637000000000004</v>
      </c>
      <c r="D504" s="9">
        <f>7.1648 * CHOOSE(CONTROL!$C$32, $C$9, 100%, $E$9)</f>
        <v>7.1647999999999996</v>
      </c>
      <c r="E504" s="11">
        <f>8.0427 * CHOOSE(CONTROL!$C$32, $C$9, 100%, $E$9)</f>
        <v>8.0427</v>
      </c>
      <c r="F504" s="11">
        <f>8.0427 * CHOOSE(CONTROL!$C$32, $C$9, 100%, $E$9)</f>
        <v>8.0427</v>
      </c>
      <c r="G504" s="11">
        <f>8.0463 * CHOOSE(CONTROL!$C$32, $C$9, 100%, $E$9)</f>
        <v>8.0463000000000005</v>
      </c>
      <c r="H504" s="11">
        <f>15.994 * CHOOSE(CONTROL!$C$32, $C$9, 100%, $E$9)</f>
        <v>15.994</v>
      </c>
      <c r="I504" s="11">
        <f>15.9976 * CHOOSE(CONTROL!$C$32, $C$9, 100%, $E$9)</f>
        <v>15.9976</v>
      </c>
      <c r="J504" s="11">
        <f>15.994 * CHOOSE(CONTROL!$C$32, $C$9, 100%, $E$9)</f>
        <v>15.994</v>
      </c>
      <c r="K504" s="11">
        <f>15.9976 * CHOOSE(CONTROL!$C$32, $C$9, 100%, $E$9)</f>
        <v>15.9976</v>
      </c>
      <c r="L504" s="11">
        <f>8.0427 * CHOOSE(CONTROL!$C$32, $C$9, 100%, $E$9)</f>
        <v>8.0427</v>
      </c>
      <c r="M504" s="11">
        <f>8.0463 * CHOOSE(CONTROL!$C$32, $C$9, 100%, $E$9)</f>
        <v>8.0463000000000005</v>
      </c>
      <c r="N504" s="11">
        <f>8.0427 * CHOOSE(CONTROL!$C$32, $C$9, 100%, $E$9)</f>
        <v>8.0427</v>
      </c>
      <c r="O504" s="11">
        <f>8.0463 * CHOOSE(CONTROL!$C$32, $C$9, 100%, $E$9)</f>
        <v>8.0463000000000005</v>
      </c>
    </row>
    <row r="505" spans="1:15" ht="15" x14ac:dyDescent="0.2">
      <c r="A505" s="13">
        <v>56219</v>
      </c>
      <c r="B505" s="9">
        <f>7.1637 * CHOOSE(CONTROL!$C$32, $C$9, 100%, $E$9)</f>
        <v>7.1637000000000004</v>
      </c>
      <c r="C505" s="9">
        <f>7.1637 * CHOOSE(CONTROL!$C$32, $C$9, 100%, $E$9)</f>
        <v>7.1637000000000004</v>
      </c>
      <c r="D505" s="9">
        <f>7.1648 * CHOOSE(CONTROL!$C$32, $C$9, 100%, $E$9)</f>
        <v>7.1647999999999996</v>
      </c>
      <c r="E505" s="11">
        <f>7.9504 * CHOOSE(CONTROL!$C$32, $C$9, 100%, $E$9)</f>
        <v>7.9504000000000001</v>
      </c>
      <c r="F505" s="11">
        <f>7.9504 * CHOOSE(CONTROL!$C$32, $C$9, 100%, $E$9)</f>
        <v>7.9504000000000001</v>
      </c>
      <c r="G505" s="11">
        <f>7.9541 * CHOOSE(CONTROL!$C$32, $C$9, 100%, $E$9)</f>
        <v>7.9541000000000004</v>
      </c>
      <c r="H505" s="11">
        <f>16.0273 * CHOOSE(CONTROL!$C$32, $C$9, 100%, $E$9)</f>
        <v>16.0273</v>
      </c>
      <c r="I505" s="11">
        <f>16.0309 * CHOOSE(CONTROL!$C$32, $C$9, 100%, $E$9)</f>
        <v>16.030899999999999</v>
      </c>
      <c r="J505" s="11">
        <f>16.0273 * CHOOSE(CONTROL!$C$32, $C$9, 100%, $E$9)</f>
        <v>16.0273</v>
      </c>
      <c r="K505" s="11">
        <f>16.0309 * CHOOSE(CONTROL!$C$32, $C$9, 100%, $E$9)</f>
        <v>16.030899999999999</v>
      </c>
      <c r="L505" s="11">
        <f>7.9504 * CHOOSE(CONTROL!$C$32, $C$9, 100%, $E$9)</f>
        <v>7.9504000000000001</v>
      </c>
      <c r="M505" s="11">
        <f>7.9541 * CHOOSE(CONTROL!$C$32, $C$9, 100%, $E$9)</f>
        <v>7.9541000000000004</v>
      </c>
      <c r="N505" s="11">
        <f>7.9504 * CHOOSE(CONTROL!$C$32, $C$9, 100%, $E$9)</f>
        <v>7.9504000000000001</v>
      </c>
      <c r="O505" s="11">
        <f>7.9541 * CHOOSE(CONTROL!$C$32, $C$9, 100%, $E$9)</f>
        <v>7.9541000000000004</v>
      </c>
    </row>
    <row r="506" spans="1:15" ht="15" x14ac:dyDescent="0.2">
      <c r="A506" s="13">
        <v>56250</v>
      </c>
      <c r="B506" s="9">
        <f>7.2176 * CHOOSE(CONTROL!$C$32, $C$9, 100%, $E$9)</f>
        <v>7.2176</v>
      </c>
      <c r="C506" s="9">
        <f>7.2176 * CHOOSE(CONTROL!$C$32, $C$9, 100%, $E$9)</f>
        <v>7.2176</v>
      </c>
      <c r="D506" s="9">
        <f>7.2187 * CHOOSE(CONTROL!$C$32, $C$9, 100%, $E$9)</f>
        <v>7.2187000000000001</v>
      </c>
      <c r="E506" s="11">
        <f>8.0845 * CHOOSE(CONTROL!$C$32, $C$9, 100%, $E$9)</f>
        <v>8.0845000000000002</v>
      </c>
      <c r="F506" s="11">
        <f>8.0845 * CHOOSE(CONTROL!$C$32, $C$9, 100%, $E$9)</f>
        <v>8.0845000000000002</v>
      </c>
      <c r="G506" s="11">
        <f>8.0881 * CHOOSE(CONTROL!$C$32, $C$9, 100%, $E$9)</f>
        <v>8.0881000000000007</v>
      </c>
      <c r="H506" s="11">
        <f>16.0607 * CHOOSE(CONTROL!$C$32, $C$9, 100%, $E$9)</f>
        <v>16.060700000000001</v>
      </c>
      <c r="I506" s="11">
        <f>16.0643 * CHOOSE(CONTROL!$C$32, $C$9, 100%, $E$9)</f>
        <v>16.064299999999999</v>
      </c>
      <c r="J506" s="11">
        <f>16.0607 * CHOOSE(CONTROL!$C$32, $C$9, 100%, $E$9)</f>
        <v>16.060700000000001</v>
      </c>
      <c r="K506" s="11">
        <f>16.0643 * CHOOSE(CONTROL!$C$32, $C$9, 100%, $E$9)</f>
        <v>16.064299999999999</v>
      </c>
      <c r="L506" s="11">
        <f>8.0845 * CHOOSE(CONTROL!$C$32, $C$9, 100%, $E$9)</f>
        <v>8.0845000000000002</v>
      </c>
      <c r="M506" s="11">
        <f>8.0881 * CHOOSE(CONTROL!$C$32, $C$9, 100%, $E$9)</f>
        <v>8.0881000000000007</v>
      </c>
      <c r="N506" s="11">
        <f>8.0845 * CHOOSE(CONTROL!$C$32, $C$9, 100%, $E$9)</f>
        <v>8.0845000000000002</v>
      </c>
      <c r="O506" s="11">
        <f>8.0881 * CHOOSE(CONTROL!$C$32, $C$9, 100%, $E$9)</f>
        <v>8.0881000000000007</v>
      </c>
    </row>
    <row r="507" spans="1:15" ht="15" x14ac:dyDescent="0.2">
      <c r="A507" s="13">
        <v>56281</v>
      </c>
      <c r="B507" s="9">
        <f>7.2146 * CHOOSE(CONTROL!$C$32, $C$9, 100%, $E$9)</f>
        <v>7.2145999999999999</v>
      </c>
      <c r="C507" s="9">
        <f>7.2146 * CHOOSE(CONTROL!$C$32, $C$9, 100%, $E$9)</f>
        <v>7.2145999999999999</v>
      </c>
      <c r="D507" s="9">
        <f>7.2156 * CHOOSE(CONTROL!$C$32, $C$9, 100%, $E$9)</f>
        <v>7.2156000000000002</v>
      </c>
      <c r="E507" s="11">
        <f>7.9024 * CHOOSE(CONTROL!$C$32, $C$9, 100%, $E$9)</f>
        <v>7.9024000000000001</v>
      </c>
      <c r="F507" s="11">
        <f>7.9024 * CHOOSE(CONTROL!$C$32, $C$9, 100%, $E$9)</f>
        <v>7.9024000000000001</v>
      </c>
      <c r="G507" s="11">
        <f>7.906 * CHOOSE(CONTROL!$C$32, $C$9, 100%, $E$9)</f>
        <v>7.9059999999999997</v>
      </c>
      <c r="H507" s="11">
        <f>16.0941 * CHOOSE(CONTROL!$C$32, $C$9, 100%, $E$9)</f>
        <v>16.094100000000001</v>
      </c>
      <c r="I507" s="11">
        <f>16.0977 * CHOOSE(CONTROL!$C$32, $C$9, 100%, $E$9)</f>
        <v>16.0977</v>
      </c>
      <c r="J507" s="11">
        <f>16.0941 * CHOOSE(CONTROL!$C$32, $C$9, 100%, $E$9)</f>
        <v>16.094100000000001</v>
      </c>
      <c r="K507" s="11">
        <f>16.0977 * CHOOSE(CONTROL!$C$32, $C$9, 100%, $E$9)</f>
        <v>16.0977</v>
      </c>
      <c r="L507" s="11">
        <f>7.9024 * CHOOSE(CONTROL!$C$32, $C$9, 100%, $E$9)</f>
        <v>7.9024000000000001</v>
      </c>
      <c r="M507" s="11">
        <f>7.906 * CHOOSE(CONTROL!$C$32, $C$9, 100%, $E$9)</f>
        <v>7.9059999999999997</v>
      </c>
      <c r="N507" s="11">
        <f>7.9024 * CHOOSE(CONTROL!$C$32, $C$9, 100%, $E$9)</f>
        <v>7.9024000000000001</v>
      </c>
      <c r="O507" s="11">
        <f>7.906 * CHOOSE(CONTROL!$C$32, $C$9, 100%, $E$9)</f>
        <v>7.9059999999999997</v>
      </c>
    </row>
    <row r="508" spans="1:15" ht="15" x14ac:dyDescent="0.2">
      <c r="A508" s="13">
        <v>56309</v>
      </c>
      <c r="B508" s="9">
        <f>7.2115 * CHOOSE(CONTROL!$C$32, $C$9, 100%, $E$9)</f>
        <v>7.2115</v>
      </c>
      <c r="C508" s="9">
        <f>7.2115 * CHOOSE(CONTROL!$C$32, $C$9, 100%, $E$9)</f>
        <v>7.2115</v>
      </c>
      <c r="D508" s="9">
        <f>7.2126 * CHOOSE(CONTROL!$C$32, $C$9, 100%, $E$9)</f>
        <v>7.2126000000000001</v>
      </c>
      <c r="E508" s="11">
        <f>8.0422 * CHOOSE(CONTROL!$C$32, $C$9, 100%, $E$9)</f>
        <v>8.0421999999999993</v>
      </c>
      <c r="F508" s="11">
        <f>8.0422 * CHOOSE(CONTROL!$C$32, $C$9, 100%, $E$9)</f>
        <v>8.0421999999999993</v>
      </c>
      <c r="G508" s="11">
        <f>8.0458 * CHOOSE(CONTROL!$C$32, $C$9, 100%, $E$9)</f>
        <v>8.0457999999999998</v>
      </c>
      <c r="H508" s="11">
        <f>16.1277 * CHOOSE(CONTROL!$C$32, $C$9, 100%, $E$9)</f>
        <v>16.127700000000001</v>
      </c>
      <c r="I508" s="11">
        <f>16.1313 * CHOOSE(CONTROL!$C$32, $C$9, 100%, $E$9)</f>
        <v>16.1313</v>
      </c>
      <c r="J508" s="11">
        <f>16.1277 * CHOOSE(CONTROL!$C$32, $C$9, 100%, $E$9)</f>
        <v>16.127700000000001</v>
      </c>
      <c r="K508" s="11">
        <f>16.1313 * CHOOSE(CONTROL!$C$32, $C$9, 100%, $E$9)</f>
        <v>16.1313</v>
      </c>
      <c r="L508" s="11">
        <f>8.0422 * CHOOSE(CONTROL!$C$32, $C$9, 100%, $E$9)</f>
        <v>8.0421999999999993</v>
      </c>
      <c r="M508" s="11">
        <f>8.0458 * CHOOSE(CONTROL!$C$32, $C$9, 100%, $E$9)</f>
        <v>8.0457999999999998</v>
      </c>
      <c r="N508" s="11">
        <f>8.0422 * CHOOSE(CONTROL!$C$32, $C$9, 100%, $E$9)</f>
        <v>8.0421999999999993</v>
      </c>
      <c r="O508" s="11">
        <f>8.0458 * CHOOSE(CONTROL!$C$32, $C$9, 100%, $E$9)</f>
        <v>8.0457999999999998</v>
      </c>
    </row>
    <row r="509" spans="1:15" ht="15" x14ac:dyDescent="0.2">
      <c r="A509" s="13">
        <v>56340</v>
      </c>
      <c r="B509" s="9">
        <f>7.2123 * CHOOSE(CONTROL!$C$32, $C$9, 100%, $E$9)</f>
        <v>7.2122999999999999</v>
      </c>
      <c r="C509" s="9">
        <f>7.2123 * CHOOSE(CONTROL!$C$32, $C$9, 100%, $E$9)</f>
        <v>7.2122999999999999</v>
      </c>
      <c r="D509" s="9">
        <f>7.2134 * CHOOSE(CONTROL!$C$32, $C$9, 100%, $E$9)</f>
        <v>7.2134</v>
      </c>
      <c r="E509" s="11">
        <f>8.1903 * CHOOSE(CONTROL!$C$32, $C$9, 100%, $E$9)</f>
        <v>8.1903000000000006</v>
      </c>
      <c r="F509" s="11">
        <f>8.1903 * CHOOSE(CONTROL!$C$32, $C$9, 100%, $E$9)</f>
        <v>8.1903000000000006</v>
      </c>
      <c r="G509" s="11">
        <f>8.1939 * CHOOSE(CONTROL!$C$32, $C$9, 100%, $E$9)</f>
        <v>8.1938999999999993</v>
      </c>
      <c r="H509" s="11">
        <f>16.1613 * CHOOSE(CONTROL!$C$32, $C$9, 100%, $E$9)</f>
        <v>16.161300000000001</v>
      </c>
      <c r="I509" s="11">
        <f>16.1649 * CHOOSE(CONTROL!$C$32, $C$9, 100%, $E$9)</f>
        <v>16.164899999999999</v>
      </c>
      <c r="J509" s="11">
        <f>16.1613 * CHOOSE(CONTROL!$C$32, $C$9, 100%, $E$9)</f>
        <v>16.161300000000001</v>
      </c>
      <c r="K509" s="11">
        <f>16.1649 * CHOOSE(CONTROL!$C$32, $C$9, 100%, $E$9)</f>
        <v>16.164899999999999</v>
      </c>
      <c r="L509" s="11">
        <f>8.1903 * CHOOSE(CONTROL!$C$32, $C$9, 100%, $E$9)</f>
        <v>8.1903000000000006</v>
      </c>
      <c r="M509" s="11">
        <f>8.1939 * CHOOSE(CONTROL!$C$32, $C$9, 100%, $E$9)</f>
        <v>8.1938999999999993</v>
      </c>
      <c r="N509" s="11">
        <f>8.1903 * CHOOSE(CONTROL!$C$32, $C$9, 100%, $E$9)</f>
        <v>8.1903000000000006</v>
      </c>
      <c r="O509" s="11">
        <f>8.1939 * CHOOSE(CONTROL!$C$32, $C$9, 100%, $E$9)</f>
        <v>8.1938999999999993</v>
      </c>
    </row>
    <row r="510" spans="1:15" ht="15" x14ac:dyDescent="0.2">
      <c r="A510" s="13">
        <v>56370</v>
      </c>
      <c r="B510" s="9">
        <f>7.2123 * CHOOSE(CONTROL!$C$32, $C$9, 100%, $E$9)</f>
        <v>7.2122999999999999</v>
      </c>
      <c r="C510" s="9">
        <f>7.2123 * CHOOSE(CONTROL!$C$32, $C$9, 100%, $E$9)</f>
        <v>7.2122999999999999</v>
      </c>
      <c r="D510" s="9">
        <f>7.2139 * CHOOSE(CONTROL!$C$32, $C$9, 100%, $E$9)</f>
        <v>7.2138999999999998</v>
      </c>
      <c r="E510" s="11">
        <f>8.2474 * CHOOSE(CONTROL!$C$32, $C$9, 100%, $E$9)</f>
        <v>8.2474000000000007</v>
      </c>
      <c r="F510" s="11">
        <f>8.2474 * CHOOSE(CONTROL!$C$32, $C$9, 100%, $E$9)</f>
        <v>8.2474000000000007</v>
      </c>
      <c r="G510" s="11">
        <f>8.2527 * CHOOSE(CONTROL!$C$32, $C$9, 100%, $E$9)</f>
        <v>8.2527000000000008</v>
      </c>
      <c r="H510" s="11">
        <f>16.1949 * CHOOSE(CONTROL!$C$32, $C$9, 100%, $E$9)</f>
        <v>16.194900000000001</v>
      </c>
      <c r="I510" s="11">
        <f>16.2002 * CHOOSE(CONTROL!$C$32, $C$9, 100%, $E$9)</f>
        <v>16.200199999999999</v>
      </c>
      <c r="J510" s="11">
        <f>16.1949 * CHOOSE(CONTROL!$C$32, $C$9, 100%, $E$9)</f>
        <v>16.194900000000001</v>
      </c>
      <c r="K510" s="11">
        <f>16.2002 * CHOOSE(CONTROL!$C$32, $C$9, 100%, $E$9)</f>
        <v>16.200199999999999</v>
      </c>
      <c r="L510" s="11">
        <f>8.2474 * CHOOSE(CONTROL!$C$32, $C$9, 100%, $E$9)</f>
        <v>8.2474000000000007</v>
      </c>
      <c r="M510" s="11">
        <f>8.2527 * CHOOSE(CONTROL!$C$32, $C$9, 100%, $E$9)</f>
        <v>8.2527000000000008</v>
      </c>
      <c r="N510" s="11">
        <f>8.2474 * CHOOSE(CONTROL!$C$32, $C$9, 100%, $E$9)</f>
        <v>8.2474000000000007</v>
      </c>
      <c r="O510" s="11">
        <f>8.2527 * CHOOSE(CONTROL!$C$32, $C$9, 100%, $E$9)</f>
        <v>8.2527000000000008</v>
      </c>
    </row>
    <row r="511" spans="1:15" ht="15" x14ac:dyDescent="0.2">
      <c r="A511" s="13">
        <v>56401</v>
      </c>
      <c r="B511" s="9">
        <f>7.2184 * CHOOSE(CONTROL!$C$32, $C$9, 100%, $E$9)</f>
        <v>7.2183999999999999</v>
      </c>
      <c r="C511" s="9">
        <f>7.2184 * CHOOSE(CONTROL!$C$32, $C$9, 100%, $E$9)</f>
        <v>7.2183999999999999</v>
      </c>
      <c r="D511" s="9">
        <f>7.2199 * CHOOSE(CONTROL!$C$32, $C$9, 100%, $E$9)</f>
        <v>7.2199</v>
      </c>
      <c r="E511" s="11">
        <f>8.1945 * CHOOSE(CONTROL!$C$32, $C$9, 100%, $E$9)</f>
        <v>8.1944999999999997</v>
      </c>
      <c r="F511" s="11">
        <f>8.1945 * CHOOSE(CONTROL!$C$32, $C$9, 100%, $E$9)</f>
        <v>8.1944999999999997</v>
      </c>
      <c r="G511" s="11">
        <f>8.1998 * CHOOSE(CONTROL!$C$32, $C$9, 100%, $E$9)</f>
        <v>8.1997999999999998</v>
      </c>
      <c r="H511" s="11">
        <f>16.2287 * CHOOSE(CONTROL!$C$32, $C$9, 100%, $E$9)</f>
        <v>16.2287</v>
      </c>
      <c r="I511" s="11">
        <f>16.234 * CHOOSE(CONTROL!$C$32, $C$9, 100%, $E$9)</f>
        <v>16.234000000000002</v>
      </c>
      <c r="J511" s="11">
        <f>16.2287 * CHOOSE(CONTROL!$C$32, $C$9, 100%, $E$9)</f>
        <v>16.2287</v>
      </c>
      <c r="K511" s="11">
        <f>16.234 * CHOOSE(CONTROL!$C$32, $C$9, 100%, $E$9)</f>
        <v>16.234000000000002</v>
      </c>
      <c r="L511" s="11">
        <f>8.1945 * CHOOSE(CONTROL!$C$32, $C$9, 100%, $E$9)</f>
        <v>8.1944999999999997</v>
      </c>
      <c r="M511" s="11">
        <f>8.1998 * CHOOSE(CONTROL!$C$32, $C$9, 100%, $E$9)</f>
        <v>8.1997999999999998</v>
      </c>
      <c r="N511" s="11">
        <f>8.1945 * CHOOSE(CONTROL!$C$32, $C$9, 100%, $E$9)</f>
        <v>8.1944999999999997</v>
      </c>
      <c r="O511" s="11">
        <f>8.1998 * CHOOSE(CONTROL!$C$32, $C$9, 100%, $E$9)</f>
        <v>8.1997999999999998</v>
      </c>
    </row>
    <row r="512" spans="1:15" ht="15" x14ac:dyDescent="0.2">
      <c r="A512" s="13">
        <v>56431</v>
      </c>
      <c r="B512" s="9">
        <f>7.3122 * CHOOSE(CONTROL!$C$32, $C$9, 100%, $E$9)</f>
        <v>7.3121999999999998</v>
      </c>
      <c r="C512" s="9">
        <f>7.3122 * CHOOSE(CONTROL!$C$32, $C$9, 100%, $E$9)</f>
        <v>7.3121999999999998</v>
      </c>
      <c r="D512" s="9">
        <f>7.3138 * CHOOSE(CONTROL!$C$32, $C$9, 100%, $E$9)</f>
        <v>7.3137999999999996</v>
      </c>
      <c r="E512" s="11">
        <f>8.3075 * CHOOSE(CONTROL!$C$32, $C$9, 100%, $E$9)</f>
        <v>8.3074999999999992</v>
      </c>
      <c r="F512" s="11">
        <f>8.3075 * CHOOSE(CONTROL!$C$32, $C$9, 100%, $E$9)</f>
        <v>8.3074999999999992</v>
      </c>
      <c r="G512" s="11">
        <f>8.3128 * CHOOSE(CONTROL!$C$32, $C$9, 100%, $E$9)</f>
        <v>8.3127999999999993</v>
      </c>
      <c r="H512" s="11">
        <f>16.2625 * CHOOSE(CONTROL!$C$32, $C$9, 100%, $E$9)</f>
        <v>16.262499999999999</v>
      </c>
      <c r="I512" s="11">
        <f>16.2678 * CHOOSE(CONTROL!$C$32, $C$9, 100%, $E$9)</f>
        <v>16.267800000000001</v>
      </c>
      <c r="J512" s="11">
        <f>16.2625 * CHOOSE(CONTROL!$C$32, $C$9, 100%, $E$9)</f>
        <v>16.262499999999999</v>
      </c>
      <c r="K512" s="11">
        <f>16.2678 * CHOOSE(CONTROL!$C$32, $C$9, 100%, $E$9)</f>
        <v>16.267800000000001</v>
      </c>
      <c r="L512" s="11">
        <f>8.3075 * CHOOSE(CONTROL!$C$32, $C$9, 100%, $E$9)</f>
        <v>8.3074999999999992</v>
      </c>
      <c r="M512" s="11">
        <f>8.3128 * CHOOSE(CONTROL!$C$32, $C$9, 100%, $E$9)</f>
        <v>8.3127999999999993</v>
      </c>
      <c r="N512" s="11">
        <f>8.3075 * CHOOSE(CONTROL!$C$32, $C$9, 100%, $E$9)</f>
        <v>8.3074999999999992</v>
      </c>
      <c r="O512" s="11">
        <f>8.3128 * CHOOSE(CONTROL!$C$32, $C$9, 100%, $E$9)</f>
        <v>8.3127999999999993</v>
      </c>
    </row>
    <row r="513" spans="1:15" ht="15" x14ac:dyDescent="0.2">
      <c r="A513" s="13">
        <v>56462</v>
      </c>
      <c r="B513" s="9">
        <f>7.3189 * CHOOSE(CONTROL!$C$32, $C$9, 100%, $E$9)</f>
        <v>7.3189000000000002</v>
      </c>
      <c r="C513" s="9">
        <f>7.3189 * CHOOSE(CONTROL!$C$32, $C$9, 100%, $E$9)</f>
        <v>7.3189000000000002</v>
      </c>
      <c r="D513" s="9">
        <f>7.3205 * CHOOSE(CONTROL!$C$32, $C$9, 100%, $E$9)</f>
        <v>7.3205</v>
      </c>
      <c r="E513" s="11">
        <f>8.1407 * CHOOSE(CONTROL!$C$32, $C$9, 100%, $E$9)</f>
        <v>8.1407000000000007</v>
      </c>
      <c r="F513" s="11">
        <f>8.1407 * CHOOSE(CONTROL!$C$32, $C$9, 100%, $E$9)</f>
        <v>8.1407000000000007</v>
      </c>
      <c r="G513" s="11">
        <f>8.146 * CHOOSE(CONTROL!$C$32, $C$9, 100%, $E$9)</f>
        <v>8.1460000000000008</v>
      </c>
      <c r="H513" s="11">
        <f>16.2964 * CHOOSE(CONTROL!$C$32, $C$9, 100%, $E$9)</f>
        <v>16.296399999999998</v>
      </c>
      <c r="I513" s="11">
        <f>16.3017 * CHOOSE(CONTROL!$C$32, $C$9, 100%, $E$9)</f>
        <v>16.3017</v>
      </c>
      <c r="J513" s="11">
        <f>16.2964 * CHOOSE(CONTROL!$C$32, $C$9, 100%, $E$9)</f>
        <v>16.296399999999998</v>
      </c>
      <c r="K513" s="11">
        <f>16.3017 * CHOOSE(CONTROL!$C$32, $C$9, 100%, $E$9)</f>
        <v>16.3017</v>
      </c>
      <c r="L513" s="11">
        <f>8.1407 * CHOOSE(CONTROL!$C$32, $C$9, 100%, $E$9)</f>
        <v>8.1407000000000007</v>
      </c>
      <c r="M513" s="11">
        <f>8.146 * CHOOSE(CONTROL!$C$32, $C$9, 100%, $E$9)</f>
        <v>8.1460000000000008</v>
      </c>
      <c r="N513" s="11">
        <f>8.1407 * CHOOSE(CONTROL!$C$32, $C$9, 100%, $E$9)</f>
        <v>8.1407000000000007</v>
      </c>
      <c r="O513" s="11">
        <f>8.146 * CHOOSE(CONTROL!$C$32, $C$9, 100%, $E$9)</f>
        <v>8.1460000000000008</v>
      </c>
    </row>
    <row r="514" spans="1:15" ht="15" x14ac:dyDescent="0.2">
      <c r="A514" s="13">
        <v>56493</v>
      </c>
      <c r="B514" s="9">
        <f>7.3159 * CHOOSE(CONTROL!$C$32, $C$9, 100%, $E$9)</f>
        <v>7.3159000000000001</v>
      </c>
      <c r="C514" s="9">
        <f>7.3159 * CHOOSE(CONTROL!$C$32, $C$9, 100%, $E$9)</f>
        <v>7.3159000000000001</v>
      </c>
      <c r="D514" s="9">
        <f>7.3174 * CHOOSE(CONTROL!$C$32, $C$9, 100%, $E$9)</f>
        <v>7.3174000000000001</v>
      </c>
      <c r="E514" s="11">
        <f>8.1196 * CHOOSE(CONTROL!$C$32, $C$9, 100%, $E$9)</f>
        <v>8.1196000000000002</v>
      </c>
      <c r="F514" s="11">
        <f>8.1196 * CHOOSE(CONTROL!$C$32, $C$9, 100%, $E$9)</f>
        <v>8.1196000000000002</v>
      </c>
      <c r="G514" s="11">
        <f>8.1249 * CHOOSE(CONTROL!$C$32, $C$9, 100%, $E$9)</f>
        <v>8.1249000000000002</v>
      </c>
      <c r="H514" s="11">
        <f>16.3303 * CHOOSE(CONTROL!$C$32, $C$9, 100%, $E$9)</f>
        <v>16.330300000000001</v>
      </c>
      <c r="I514" s="11">
        <f>16.3356 * CHOOSE(CONTROL!$C$32, $C$9, 100%, $E$9)</f>
        <v>16.335599999999999</v>
      </c>
      <c r="J514" s="11">
        <f>16.3303 * CHOOSE(CONTROL!$C$32, $C$9, 100%, $E$9)</f>
        <v>16.330300000000001</v>
      </c>
      <c r="K514" s="11">
        <f>16.3356 * CHOOSE(CONTROL!$C$32, $C$9, 100%, $E$9)</f>
        <v>16.335599999999999</v>
      </c>
      <c r="L514" s="11">
        <f>8.1196 * CHOOSE(CONTROL!$C$32, $C$9, 100%, $E$9)</f>
        <v>8.1196000000000002</v>
      </c>
      <c r="M514" s="11">
        <f>8.1249 * CHOOSE(CONTROL!$C$32, $C$9, 100%, $E$9)</f>
        <v>8.1249000000000002</v>
      </c>
      <c r="N514" s="11">
        <f>8.1196 * CHOOSE(CONTROL!$C$32, $C$9, 100%, $E$9)</f>
        <v>8.1196000000000002</v>
      </c>
      <c r="O514" s="11">
        <f>8.1249 * CHOOSE(CONTROL!$C$32, $C$9, 100%, $E$9)</f>
        <v>8.1249000000000002</v>
      </c>
    </row>
    <row r="515" spans="1:15" ht="15" x14ac:dyDescent="0.2">
      <c r="A515" s="13">
        <v>56523</v>
      </c>
      <c r="B515" s="9">
        <f>7.3233 * CHOOSE(CONTROL!$C$32, $C$9, 100%, $E$9)</f>
        <v>7.3232999999999997</v>
      </c>
      <c r="C515" s="9">
        <f>7.3233 * CHOOSE(CONTROL!$C$32, $C$9, 100%, $E$9)</f>
        <v>7.3232999999999997</v>
      </c>
      <c r="D515" s="9">
        <f>7.3243 * CHOOSE(CONTROL!$C$32, $C$9, 100%, $E$9)</f>
        <v>7.3243</v>
      </c>
      <c r="E515" s="11">
        <f>8.1823 * CHOOSE(CONTROL!$C$32, $C$9, 100%, $E$9)</f>
        <v>8.1822999999999997</v>
      </c>
      <c r="F515" s="11">
        <f>8.1823 * CHOOSE(CONTROL!$C$32, $C$9, 100%, $E$9)</f>
        <v>8.1822999999999997</v>
      </c>
      <c r="G515" s="11">
        <f>8.186 * CHOOSE(CONTROL!$C$32, $C$9, 100%, $E$9)</f>
        <v>8.1859999999999999</v>
      </c>
      <c r="H515" s="11">
        <f>16.3643 * CHOOSE(CONTROL!$C$32, $C$9, 100%, $E$9)</f>
        <v>16.3643</v>
      </c>
      <c r="I515" s="11">
        <f>16.3679 * CHOOSE(CONTROL!$C$32, $C$9, 100%, $E$9)</f>
        <v>16.367899999999999</v>
      </c>
      <c r="J515" s="11">
        <f>16.3643 * CHOOSE(CONTROL!$C$32, $C$9, 100%, $E$9)</f>
        <v>16.3643</v>
      </c>
      <c r="K515" s="11">
        <f>16.3679 * CHOOSE(CONTROL!$C$32, $C$9, 100%, $E$9)</f>
        <v>16.367899999999999</v>
      </c>
      <c r="L515" s="11">
        <f>8.1823 * CHOOSE(CONTROL!$C$32, $C$9, 100%, $E$9)</f>
        <v>8.1822999999999997</v>
      </c>
      <c r="M515" s="11">
        <f>8.186 * CHOOSE(CONTROL!$C$32, $C$9, 100%, $E$9)</f>
        <v>8.1859999999999999</v>
      </c>
      <c r="N515" s="11">
        <f>8.1823 * CHOOSE(CONTROL!$C$32, $C$9, 100%, $E$9)</f>
        <v>8.1822999999999997</v>
      </c>
      <c r="O515" s="11">
        <f>8.186 * CHOOSE(CONTROL!$C$32, $C$9, 100%, $E$9)</f>
        <v>8.1859999999999999</v>
      </c>
    </row>
    <row r="516" spans="1:15" ht="15" x14ac:dyDescent="0.2">
      <c r="A516" s="13">
        <v>56554</v>
      </c>
      <c r="B516" s="9">
        <f>7.3263 * CHOOSE(CONTROL!$C$32, $C$9, 100%, $E$9)</f>
        <v>7.3262999999999998</v>
      </c>
      <c r="C516" s="9">
        <f>7.3263 * CHOOSE(CONTROL!$C$32, $C$9, 100%, $E$9)</f>
        <v>7.3262999999999998</v>
      </c>
      <c r="D516" s="9">
        <f>7.3274 * CHOOSE(CONTROL!$C$32, $C$9, 100%, $E$9)</f>
        <v>7.3273999999999999</v>
      </c>
      <c r="E516" s="11">
        <f>8.2226 * CHOOSE(CONTROL!$C$32, $C$9, 100%, $E$9)</f>
        <v>8.2225999999999999</v>
      </c>
      <c r="F516" s="11">
        <f>8.2226 * CHOOSE(CONTROL!$C$32, $C$9, 100%, $E$9)</f>
        <v>8.2225999999999999</v>
      </c>
      <c r="G516" s="11">
        <f>8.2262 * CHOOSE(CONTROL!$C$32, $C$9, 100%, $E$9)</f>
        <v>8.2262000000000004</v>
      </c>
      <c r="H516" s="11">
        <f>16.3984 * CHOOSE(CONTROL!$C$32, $C$9, 100%, $E$9)</f>
        <v>16.398399999999999</v>
      </c>
      <c r="I516" s="11">
        <f>16.402 * CHOOSE(CONTROL!$C$32, $C$9, 100%, $E$9)</f>
        <v>16.402000000000001</v>
      </c>
      <c r="J516" s="11">
        <f>16.3984 * CHOOSE(CONTROL!$C$32, $C$9, 100%, $E$9)</f>
        <v>16.398399999999999</v>
      </c>
      <c r="K516" s="11">
        <f>16.402 * CHOOSE(CONTROL!$C$32, $C$9, 100%, $E$9)</f>
        <v>16.402000000000001</v>
      </c>
      <c r="L516" s="11">
        <f>8.2226 * CHOOSE(CONTROL!$C$32, $C$9, 100%, $E$9)</f>
        <v>8.2225999999999999</v>
      </c>
      <c r="M516" s="11">
        <f>8.2262 * CHOOSE(CONTROL!$C$32, $C$9, 100%, $E$9)</f>
        <v>8.2262000000000004</v>
      </c>
      <c r="N516" s="11">
        <f>8.2226 * CHOOSE(CONTROL!$C$32, $C$9, 100%, $E$9)</f>
        <v>8.2225999999999999</v>
      </c>
      <c r="O516" s="11">
        <f>8.2262 * CHOOSE(CONTROL!$C$32, $C$9, 100%, $E$9)</f>
        <v>8.2262000000000004</v>
      </c>
    </row>
    <row r="517" spans="1:15" ht="15" x14ac:dyDescent="0.2">
      <c r="A517" s="13">
        <v>56584</v>
      </c>
      <c r="B517" s="9">
        <f>7.3263 * CHOOSE(CONTROL!$C$32, $C$9, 100%, $E$9)</f>
        <v>7.3262999999999998</v>
      </c>
      <c r="C517" s="9">
        <f>7.3263 * CHOOSE(CONTROL!$C$32, $C$9, 100%, $E$9)</f>
        <v>7.3262999999999998</v>
      </c>
      <c r="D517" s="9">
        <f>7.3274 * CHOOSE(CONTROL!$C$32, $C$9, 100%, $E$9)</f>
        <v>7.3273999999999999</v>
      </c>
      <c r="E517" s="11">
        <f>8.1273 * CHOOSE(CONTROL!$C$32, $C$9, 100%, $E$9)</f>
        <v>8.1273</v>
      </c>
      <c r="F517" s="11">
        <f>8.1273 * CHOOSE(CONTROL!$C$32, $C$9, 100%, $E$9)</f>
        <v>8.1273</v>
      </c>
      <c r="G517" s="11">
        <f>8.1309 * CHOOSE(CONTROL!$C$32, $C$9, 100%, $E$9)</f>
        <v>8.1309000000000005</v>
      </c>
      <c r="H517" s="11">
        <f>16.4326 * CHOOSE(CONTROL!$C$32, $C$9, 100%, $E$9)</f>
        <v>16.432600000000001</v>
      </c>
      <c r="I517" s="11">
        <f>16.4362 * CHOOSE(CONTROL!$C$32, $C$9, 100%, $E$9)</f>
        <v>16.436199999999999</v>
      </c>
      <c r="J517" s="11">
        <f>16.4326 * CHOOSE(CONTROL!$C$32, $C$9, 100%, $E$9)</f>
        <v>16.432600000000001</v>
      </c>
      <c r="K517" s="11">
        <f>16.4362 * CHOOSE(CONTROL!$C$32, $C$9, 100%, $E$9)</f>
        <v>16.436199999999999</v>
      </c>
      <c r="L517" s="11">
        <f>8.1273 * CHOOSE(CONTROL!$C$32, $C$9, 100%, $E$9)</f>
        <v>8.1273</v>
      </c>
      <c r="M517" s="11">
        <f>8.1309 * CHOOSE(CONTROL!$C$32, $C$9, 100%, $E$9)</f>
        <v>8.1309000000000005</v>
      </c>
      <c r="N517" s="11">
        <f>8.1273 * CHOOSE(CONTROL!$C$32, $C$9, 100%, $E$9)</f>
        <v>8.1273</v>
      </c>
      <c r="O517" s="11">
        <f>8.1309 * CHOOSE(CONTROL!$C$32, $C$9, 100%, $E$9)</f>
        <v>8.1309000000000005</v>
      </c>
    </row>
    <row r="518" spans="1:15" ht="15" x14ac:dyDescent="0.2">
      <c r="A518" s="13">
        <v>56615</v>
      </c>
      <c r="B518" s="9">
        <f>7.3813 * CHOOSE(CONTROL!$C$32, $C$9, 100%, $E$9)</f>
        <v>7.3813000000000004</v>
      </c>
      <c r="C518" s="9">
        <f>7.3813 * CHOOSE(CONTROL!$C$32, $C$9, 100%, $E$9)</f>
        <v>7.3813000000000004</v>
      </c>
      <c r="D518" s="9">
        <f>7.3824 * CHOOSE(CONTROL!$C$32, $C$9, 100%, $E$9)</f>
        <v>7.3823999999999996</v>
      </c>
      <c r="E518" s="11">
        <f>8.2653 * CHOOSE(CONTROL!$C$32, $C$9, 100%, $E$9)</f>
        <v>8.2652999999999999</v>
      </c>
      <c r="F518" s="11">
        <f>8.2653 * CHOOSE(CONTROL!$C$32, $C$9, 100%, $E$9)</f>
        <v>8.2652999999999999</v>
      </c>
      <c r="G518" s="11">
        <f>8.2689 * CHOOSE(CONTROL!$C$32, $C$9, 100%, $E$9)</f>
        <v>8.2689000000000004</v>
      </c>
      <c r="H518" s="11">
        <f>16.4668 * CHOOSE(CONTROL!$C$32, $C$9, 100%, $E$9)</f>
        <v>16.466799999999999</v>
      </c>
      <c r="I518" s="11">
        <f>16.4704 * CHOOSE(CONTROL!$C$32, $C$9, 100%, $E$9)</f>
        <v>16.470400000000001</v>
      </c>
      <c r="J518" s="11">
        <f>16.4668 * CHOOSE(CONTROL!$C$32, $C$9, 100%, $E$9)</f>
        <v>16.466799999999999</v>
      </c>
      <c r="K518" s="11">
        <f>16.4704 * CHOOSE(CONTROL!$C$32, $C$9, 100%, $E$9)</f>
        <v>16.470400000000001</v>
      </c>
      <c r="L518" s="11">
        <f>8.2653 * CHOOSE(CONTROL!$C$32, $C$9, 100%, $E$9)</f>
        <v>8.2652999999999999</v>
      </c>
      <c r="M518" s="11">
        <f>8.2689 * CHOOSE(CONTROL!$C$32, $C$9, 100%, $E$9)</f>
        <v>8.2689000000000004</v>
      </c>
      <c r="N518" s="11">
        <f>8.2653 * CHOOSE(CONTROL!$C$32, $C$9, 100%, $E$9)</f>
        <v>8.2652999999999999</v>
      </c>
      <c r="O518" s="11">
        <f>8.2689 * CHOOSE(CONTROL!$C$32, $C$9, 100%, $E$9)</f>
        <v>8.2689000000000004</v>
      </c>
    </row>
    <row r="519" spans="1:15" ht="15" x14ac:dyDescent="0.2">
      <c r="A519" s="13">
        <v>56646</v>
      </c>
      <c r="B519" s="9">
        <f>7.3783 * CHOOSE(CONTROL!$C$32, $C$9, 100%, $E$9)</f>
        <v>7.3783000000000003</v>
      </c>
      <c r="C519" s="9">
        <f>7.3783 * CHOOSE(CONTROL!$C$32, $C$9, 100%, $E$9)</f>
        <v>7.3783000000000003</v>
      </c>
      <c r="D519" s="9">
        <f>7.3794 * CHOOSE(CONTROL!$C$32, $C$9, 100%, $E$9)</f>
        <v>7.3794000000000004</v>
      </c>
      <c r="E519" s="11">
        <f>8.0773 * CHOOSE(CONTROL!$C$32, $C$9, 100%, $E$9)</f>
        <v>8.0772999999999993</v>
      </c>
      <c r="F519" s="11">
        <f>8.0773 * CHOOSE(CONTROL!$C$32, $C$9, 100%, $E$9)</f>
        <v>8.0772999999999993</v>
      </c>
      <c r="G519" s="11">
        <f>8.0809 * CHOOSE(CONTROL!$C$32, $C$9, 100%, $E$9)</f>
        <v>8.0808999999999997</v>
      </c>
      <c r="H519" s="11">
        <f>16.5011 * CHOOSE(CONTROL!$C$32, $C$9, 100%, $E$9)</f>
        <v>16.501100000000001</v>
      </c>
      <c r="I519" s="11">
        <f>16.5047 * CHOOSE(CONTROL!$C$32, $C$9, 100%, $E$9)</f>
        <v>16.5047</v>
      </c>
      <c r="J519" s="11">
        <f>16.5011 * CHOOSE(CONTROL!$C$32, $C$9, 100%, $E$9)</f>
        <v>16.501100000000001</v>
      </c>
      <c r="K519" s="11">
        <f>16.5047 * CHOOSE(CONTROL!$C$32, $C$9, 100%, $E$9)</f>
        <v>16.5047</v>
      </c>
      <c r="L519" s="11">
        <f>8.0773 * CHOOSE(CONTROL!$C$32, $C$9, 100%, $E$9)</f>
        <v>8.0772999999999993</v>
      </c>
      <c r="M519" s="11">
        <f>8.0809 * CHOOSE(CONTROL!$C$32, $C$9, 100%, $E$9)</f>
        <v>8.0808999999999997</v>
      </c>
      <c r="N519" s="11">
        <f>8.0773 * CHOOSE(CONTROL!$C$32, $C$9, 100%, $E$9)</f>
        <v>8.0772999999999993</v>
      </c>
      <c r="O519" s="11">
        <f>8.0809 * CHOOSE(CONTROL!$C$32, $C$9, 100%, $E$9)</f>
        <v>8.0808999999999997</v>
      </c>
    </row>
    <row r="520" spans="1:15" ht="15" x14ac:dyDescent="0.2">
      <c r="A520" s="13">
        <v>56674</v>
      </c>
      <c r="B520" s="9">
        <f>7.3752 * CHOOSE(CONTROL!$C$32, $C$9, 100%, $E$9)</f>
        <v>7.3752000000000004</v>
      </c>
      <c r="C520" s="9">
        <f>7.3752 * CHOOSE(CONTROL!$C$32, $C$9, 100%, $E$9)</f>
        <v>7.3752000000000004</v>
      </c>
      <c r="D520" s="9">
        <f>7.3763 * CHOOSE(CONTROL!$C$32, $C$9, 100%, $E$9)</f>
        <v>7.3762999999999996</v>
      </c>
      <c r="E520" s="11">
        <f>8.2217 * CHOOSE(CONTROL!$C$32, $C$9, 100%, $E$9)</f>
        <v>8.2217000000000002</v>
      </c>
      <c r="F520" s="11">
        <f>8.2217 * CHOOSE(CONTROL!$C$32, $C$9, 100%, $E$9)</f>
        <v>8.2217000000000002</v>
      </c>
      <c r="G520" s="11">
        <f>8.2253 * CHOOSE(CONTROL!$C$32, $C$9, 100%, $E$9)</f>
        <v>8.2253000000000007</v>
      </c>
      <c r="H520" s="11">
        <f>16.5355 * CHOOSE(CONTROL!$C$32, $C$9, 100%, $E$9)</f>
        <v>16.535499999999999</v>
      </c>
      <c r="I520" s="11">
        <f>16.5391 * CHOOSE(CONTROL!$C$32, $C$9, 100%, $E$9)</f>
        <v>16.539100000000001</v>
      </c>
      <c r="J520" s="11">
        <f>16.5355 * CHOOSE(CONTROL!$C$32, $C$9, 100%, $E$9)</f>
        <v>16.535499999999999</v>
      </c>
      <c r="K520" s="11">
        <f>16.5391 * CHOOSE(CONTROL!$C$32, $C$9, 100%, $E$9)</f>
        <v>16.539100000000001</v>
      </c>
      <c r="L520" s="11">
        <f>8.2217 * CHOOSE(CONTROL!$C$32, $C$9, 100%, $E$9)</f>
        <v>8.2217000000000002</v>
      </c>
      <c r="M520" s="11">
        <f>8.2253 * CHOOSE(CONTROL!$C$32, $C$9, 100%, $E$9)</f>
        <v>8.2253000000000007</v>
      </c>
      <c r="N520" s="11">
        <f>8.2217 * CHOOSE(CONTROL!$C$32, $C$9, 100%, $E$9)</f>
        <v>8.2217000000000002</v>
      </c>
      <c r="O520" s="11">
        <f>8.2253 * CHOOSE(CONTROL!$C$32, $C$9, 100%, $E$9)</f>
        <v>8.2253000000000007</v>
      </c>
    </row>
    <row r="521" spans="1:15" ht="15" x14ac:dyDescent="0.2">
      <c r="A521" s="13">
        <v>56705</v>
      </c>
      <c r="B521" s="9">
        <f>7.3762 * CHOOSE(CONTROL!$C$32, $C$9, 100%, $E$9)</f>
        <v>7.3761999999999999</v>
      </c>
      <c r="C521" s="9">
        <f>7.3762 * CHOOSE(CONTROL!$C$32, $C$9, 100%, $E$9)</f>
        <v>7.3761999999999999</v>
      </c>
      <c r="D521" s="9">
        <f>7.3772 * CHOOSE(CONTROL!$C$32, $C$9, 100%, $E$9)</f>
        <v>7.3772000000000002</v>
      </c>
      <c r="E521" s="11">
        <f>8.3748 * CHOOSE(CONTROL!$C$32, $C$9, 100%, $E$9)</f>
        <v>8.3748000000000005</v>
      </c>
      <c r="F521" s="11">
        <f>8.3748 * CHOOSE(CONTROL!$C$32, $C$9, 100%, $E$9)</f>
        <v>8.3748000000000005</v>
      </c>
      <c r="G521" s="11">
        <f>8.3784 * CHOOSE(CONTROL!$C$32, $C$9, 100%, $E$9)</f>
        <v>8.3783999999999992</v>
      </c>
      <c r="H521" s="11">
        <f>16.57 * CHOOSE(CONTROL!$C$32, $C$9, 100%, $E$9)</f>
        <v>16.57</v>
      </c>
      <c r="I521" s="11">
        <f>16.5736 * CHOOSE(CONTROL!$C$32, $C$9, 100%, $E$9)</f>
        <v>16.573599999999999</v>
      </c>
      <c r="J521" s="11">
        <f>16.57 * CHOOSE(CONTROL!$C$32, $C$9, 100%, $E$9)</f>
        <v>16.57</v>
      </c>
      <c r="K521" s="11">
        <f>16.5736 * CHOOSE(CONTROL!$C$32, $C$9, 100%, $E$9)</f>
        <v>16.573599999999999</v>
      </c>
      <c r="L521" s="11">
        <f>8.3748 * CHOOSE(CONTROL!$C$32, $C$9, 100%, $E$9)</f>
        <v>8.3748000000000005</v>
      </c>
      <c r="M521" s="11">
        <f>8.3784 * CHOOSE(CONTROL!$C$32, $C$9, 100%, $E$9)</f>
        <v>8.3783999999999992</v>
      </c>
      <c r="N521" s="11">
        <f>8.3748 * CHOOSE(CONTROL!$C$32, $C$9, 100%, $E$9)</f>
        <v>8.3748000000000005</v>
      </c>
      <c r="O521" s="11">
        <f>8.3784 * CHOOSE(CONTROL!$C$32, $C$9, 100%, $E$9)</f>
        <v>8.3783999999999992</v>
      </c>
    </row>
    <row r="522" spans="1:15" ht="15" x14ac:dyDescent="0.2">
      <c r="A522" s="13">
        <v>56735</v>
      </c>
      <c r="B522" s="9">
        <f>7.3762 * CHOOSE(CONTROL!$C$32, $C$9, 100%, $E$9)</f>
        <v>7.3761999999999999</v>
      </c>
      <c r="C522" s="9">
        <f>7.3762 * CHOOSE(CONTROL!$C$32, $C$9, 100%, $E$9)</f>
        <v>7.3761999999999999</v>
      </c>
      <c r="D522" s="9">
        <f>7.3777 * CHOOSE(CONTROL!$C$32, $C$9, 100%, $E$9)</f>
        <v>7.3776999999999999</v>
      </c>
      <c r="E522" s="11">
        <f>8.4338 * CHOOSE(CONTROL!$C$32, $C$9, 100%, $E$9)</f>
        <v>8.4337999999999997</v>
      </c>
      <c r="F522" s="11">
        <f>8.4338 * CHOOSE(CONTROL!$C$32, $C$9, 100%, $E$9)</f>
        <v>8.4337999999999997</v>
      </c>
      <c r="G522" s="11">
        <f>8.4391 * CHOOSE(CONTROL!$C$32, $C$9, 100%, $E$9)</f>
        <v>8.4390999999999998</v>
      </c>
      <c r="H522" s="11">
        <f>16.6045 * CHOOSE(CONTROL!$C$32, $C$9, 100%, $E$9)</f>
        <v>16.604500000000002</v>
      </c>
      <c r="I522" s="11">
        <f>16.6098 * CHOOSE(CONTROL!$C$32, $C$9, 100%, $E$9)</f>
        <v>16.6098</v>
      </c>
      <c r="J522" s="11">
        <f>16.6045 * CHOOSE(CONTROL!$C$32, $C$9, 100%, $E$9)</f>
        <v>16.604500000000002</v>
      </c>
      <c r="K522" s="11">
        <f>16.6098 * CHOOSE(CONTROL!$C$32, $C$9, 100%, $E$9)</f>
        <v>16.6098</v>
      </c>
      <c r="L522" s="11">
        <f>8.4338 * CHOOSE(CONTROL!$C$32, $C$9, 100%, $E$9)</f>
        <v>8.4337999999999997</v>
      </c>
      <c r="M522" s="11">
        <f>8.4391 * CHOOSE(CONTROL!$C$32, $C$9, 100%, $E$9)</f>
        <v>8.4390999999999998</v>
      </c>
      <c r="N522" s="11">
        <f>8.4338 * CHOOSE(CONTROL!$C$32, $C$9, 100%, $E$9)</f>
        <v>8.4337999999999997</v>
      </c>
      <c r="O522" s="11">
        <f>8.4391 * CHOOSE(CONTROL!$C$32, $C$9, 100%, $E$9)</f>
        <v>8.4390999999999998</v>
      </c>
    </row>
    <row r="523" spans="1:15" ht="15" x14ac:dyDescent="0.2">
      <c r="A523" s="13">
        <v>56766</v>
      </c>
      <c r="B523" s="9">
        <f>7.3822 * CHOOSE(CONTROL!$C$32, $C$9, 100%, $E$9)</f>
        <v>7.3822000000000001</v>
      </c>
      <c r="C523" s="9">
        <f>7.3822 * CHOOSE(CONTROL!$C$32, $C$9, 100%, $E$9)</f>
        <v>7.3822000000000001</v>
      </c>
      <c r="D523" s="9">
        <f>7.3838 * CHOOSE(CONTROL!$C$32, $C$9, 100%, $E$9)</f>
        <v>7.3837999999999999</v>
      </c>
      <c r="E523" s="11">
        <f>8.379 * CHOOSE(CONTROL!$C$32, $C$9, 100%, $E$9)</f>
        <v>8.3789999999999996</v>
      </c>
      <c r="F523" s="11">
        <f>8.379 * CHOOSE(CONTROL!$C$32, $C$9, 100%, $E$9)</f>
        <v>8.3789999999999996</v>
      </c>
      <c r="G523" s="11">
        <f>8.3843 * CHOOSE(CONTROL!$C$32, $C$9, 100%, $E$9)</f>
        <v>8.3842999999999996</v>
      </c>
      <c r="H523" s="11">
        <f>16.6391 * CHOOSE(CONTROL!$C$32, $C$9, 100%, $E$9)</f>
        <v>16.639099999999999</v>
      </c>
      <c r="I523" s="11">
        <f>16.6444 * CHOOSE(CONTROL!$C$32, $C$9, 100%, $E$9)</f>
        <v>16.644400000000001</v>
      </c>
      <c r="J523" s="11">
        <f>16.6391 * CHOOSE(CONTROL!$C$32, $C$9, 100%, $E$9)</f>
        <v>16.639099999999999</v>
      </c>
      <c r="K523" s="11">
        <f>16.6444 * CHOOSE(CONTROL!$C$32, $C$9, 100%, $E$9)</f>
        <v>16.644400000000001</v>
      </c>
      <c r="L523" s="11">
        <f>8.379 * CHOOSE(CONTROL!$C$32, $C$9, 100%, $E$9)</f>
        <v>8.3789999999999996</v>
      </c>
      <c r="M523" s="11">
        <f>8.3843 * CHOOSE(CONTROL!$C$32, $C$9, 100%, $E$9)</f>
        <v>8.3842999999999996</v>
      </c>
      <c r="N523" s="11">
        <f>8.379 * CHOOSE(CONTROL!$C$32, $C$9, 100%, $E$9)</f>
        <v>8.3789999999999996</v>
      </c>
      <c r="O523" s="11">
        <f>8.3843 * CHOOSE(CONTROL!$C$32, $C$9, 100%, $E$9)</f>
        <v>8.3842999999999996</v>
      </c>
    </row>
    <row r="524" spans="1:15" ht="15" x14ac:dyDescent="0.2">
      <c r="A524" s="13">
        <v>56796</v>
      </c>
      <c r="B524" s="9">
        <f>7.4779 * CHOOSE(CONTROL!$C$32, $C$9, 100%, $E$9)</f>
        <v>7.4779</v>
      </c>
      <c r="C524" s="9">
        <f>7.4779 * CHOOSE(CONTROL!$C$32, $C$9, 100%, $E$9)</f>
        <v>7.4779</v>
      </c>
      <c r="D524" s="9">
        <f>7.4795 * CHOOSE(CONTROL!$C$32, $C$9, 100%, $E$9)</f>
        <v>7.4794999999999998</v>
      </c>
      <c r="E524" s="11">
        <f>8.4945 * CHOOSE(CONTROL!$C$32, $C$9, 100%, $E$9)</f>
        <v>8.4945000000000004</v>
      </c>
      <c r="F524" s="11">
        <f>8.4945 * CHOOSE(CONTROL!$C$32, $C$9, 100%, $E$9)</f>
        <v>8.4945000000000004</v>
      </c>
      <c r="G524" s="11">
        <f>8.4998 * CHOOSE(CONTROL!$C$32, $C$9, 100%, $E$9)</f>
        <v>8.4998000000000005</v>
      </c>
      <c r="H524" s="11">
        <f>16.6737 * CHOOSE(CONTROL!$C$32, $C$9, 100%, $E$9)</f>
        <v>16.6737</v>
      </c>
      <c r="I524" s="11">
        <f>16.679 * CHOOSE(CONTROL!$C$32, $C$9, 100%, $E$9)</f>
        <v>16.678999999999998</v>
      </c>
      <c r="J524" s="11">
        <f>16.6737 * CHOOSE(CONTROL!$C$32, $C$9, 100%, $E$9)</f>
        <v>16.6737</v>
      </c>
      <c r="K524" s="11">
        <f>16.679 * CHOOSE(CONTROL!$C$32, $C$9, 100%, $E$9)</f>
        <v>16.678999999999998</v>
      </c>
      <c r="L524" s="11">
        <f>8.4945 * CHOOSE(CONTROL!$C$32, $C$9, 100%, $E$9)</f>
        <v>8.4945000000000004</v>
      </c>
      <c r="M524" s="11">
        <f>8.4998 * CHOOSE(CONTROL!$C$32, $C$9, 100%, $E$9)</f>
        <v>8.4998000000000005</v>
      </c>
      <c r="N524" s="11">
        <f>8.4945 * CHOOSE(CONTROL!$C$32, $C$9, 100%, $E$9)</f>
        <v>8.4945000000000004</v>
      </c>
      <c r="O524" s="11">
        <f>8.4998 * CHOOSE(CONTROL!$C$32, $C$9, 100%, $E$9)</f>
        <v>8.4998000000000005</v>
      </c>
    </row>
    <row r="525" spans="1:15" ht="15" x14ac:dyDescent="0.2">
      <c r="A525" s="13">
        <v>56827</v>
      </c>
      <c r="B525" s="9">
        <f>7.4846 * CHOOSE(CONTROL!$C$32, $C$9, 100%, $E$9)</f>
        <v>7.4846000000000004</v>
      </c>
      <c r="C525" s="9">
        <f>7.4846 * CHOOSE(CONTROL!$C$32, $C$9, 100%, $E$9)</f>
        <v>7.4846000000000004</v>
      </c>
      <c r="D525" s="9">
        <f>7.4862 * CHOOSE(CONTROL!$C$32, $C$9, 100%, $E$9)</f>
        <v>7.4862000000000002</v>
      </c>
      <c r="E525" s="11">
        <f>8.3222 * CHOOSE(CONTROL!$C$32, $C$9, 100%, $E$9)</f>
        <v>8.3222000000000005</v>
      </c>
      <c r="F525" s="11">
        <f>8.3222 * CHOOSE(CONTROL!$C$32, $C$9, 100%, $E$9)</f>
        <v>8.3222000000000005</v>
      </c>
      <c r="G525" s="11">
        <f>8.3275 * CHOOSE(CONTROL!$C$32, $C$9, 100%, $E$9)</f>
        <v>8.3275000000000006</v>
      </c>
      <c r="H525" s="11">
        <f>16.7085 * CHOOSE(CONTROL!$C$32, $C$9, 100%, $E$9)</f>
        <v>16.708500000000001</v>
      </c>
      <c r="I525" s="11">
        <f>16.7138 * CHOOSE(CONTROL!$C$32, $C$9, 100%, $E$9)</f>
        <v>16.713799999999999</v>
      </c>
      <c r="J525" s="11">
        <f>16.7085 * CHOOSE(CONTROL!$C$32, $C$9, 100%, $E$9)</f>
        <v>16.708500000000001</v>
      </c>
      <c r="K525" s="11">
        <f>16.7138 * CHOOSE(CONTROL!$C$32, $C$9, 100%, $E$9)</f>
        <v>16.713799999999999</v>
      </c>
      <c r="L525" s="11">
        <f>8.3222 * CHOOSE(CONTROL!$C$32, $C$9, 100%, $E$9)</f>
        <v>8.3222000000000005</v>
      </c>
      <c r="M525" s="11">
        <f>8.3275 * CHOOSE(CONTROL!$C$32, $C$9, 100%, $E$9)</f>
        <v>8.3275000000000006</v>
      </c>
      <c r="N525" s="11">
        <f>8.3222 * CHOOSE(CONTROL!$C$32, $C$9, 100%, $E$9)</f>
        <v>8.3222000000000005</v>
      </c>
      <c r="O525" s="11">
        <f>8.3275 * CHOOSE(CONTROL!$C$32, $C$9, 100%, $E$9)</f>
        <v>8.3275000000000006</v>
      </c>
    </row>
    <row r="526" spans="1:15" ht="15" x14ac:dyDescent="0.2">
      <c r="A526" s="13">
        <v>56858</v>
      </c>
      <c r="B526" s="9">
        <f>7.4816 * CHOOSE(CONTROL!$C$32, $C$9, 100%, $E$9)</f>
        <v>7.4816000000000003</v>
      </c>
      <c r="C526" s="9">
        <f>7.4816 * CHOOSE(CONTROL!$C$32, $C$9, 100%, $E$9)</f>
        <v>7.4816000000000003</v>
      </c>
      <c r="D526" s="9">
        <f>7.4831 * CHOOSE(CONTROL!$C$32, $C$9, 100%, $E$9)</f>
        <v>7.4831000000000003</v>
      </c>
      <c r="E526" s="11">
        <f>8.3004 * CHOOSE(CONTROL!$C$32, $C$9, 100%, $E$9)</f>
        <v>8.3003999999999998</v>
      </c>
      <c r="F526" s="11">
        <f>8.3004 * CHOOSE(CONTROL!$C$32, $C$9, 100%, $E$9)</f>
        <v>8.3003999999999998</v>
      </c>
      <c r="G526" s="11">
        <f>8.3057 * CHOOSE(CONTROL!$C$32, $C$9, 100%, $E$9)</f>
        <v>8.3056999999999999</v>
      </c>
      <c r="H526" s="11">
        <f>16.7433 * CHOOSE(CONTROL!$C$32, $C$9, 100%, $E$9)</f>
        <v>16.743300000000001</v>
      </c>
      <c r="I526" s="11">
        <f>16.7486 * CHOOSE(CONTROL!$C$32, $C$9, 100%, $E$9)</f>
        <v>16.7486</v>
      </c>
      <c r="J526" s="11">
        <f>16.7433 * CHOOSE(CONTROL!$C$32, $C$9, 100%, $E$9)</f>
        <v>16.743300000000001</v>
      </c>
      <c r="K526" s="11">
        <f>16.7486 * CHOOSE(CONTROL!$C$32, $C$9, 100%, $E$9)</f>
        <v>16.7486</v>
      </c>
      <c r="L526" s="11">
        <f>8.3004 * CHOOSE(CONTROL!$C$32, $C$9, 100%, $E$9)</f>
        <v>8.3003999999999998</v>
      </c>
      <c r="M526" s="11">
        <f>8.3057 * CHOOSE(CONTROL!$C$32, $C$9, 100%, $E$9)</f>
        <v>8.3056999999999999</v>
      </c>
      <c r="N526" s="11">
        <f>8.3004 * CHOOSE(CONTROL!$C$32, $C$9, 100%, $E$9)</f>
        <v>8.3003999999999998</v>
      </c>
      <c r="O526" s="11">
        <f>8.3057 * CHOOSE(CONTROL!$C$32, $C$9, 100%, $E$9)</f>
        <v>8.3056999999999999</v>
      </c>
    </row>
    <row r="527" spans="1:15" ht="15" x14ac:dyDescent="0.2">
      <c r="A527" s="13">
        <v>56888</v>
      </c>
      <c r="B527" s="9">
        <f>7.4896 * CHOOSE(CONTROL!$C$32, $C$9, 100%, $E$9)</f>
        <v>7.4896000000000003</v>
      </c>
      <c r="C527" s="9">
        <f>7.4896 * CHOOSE(CONTROL!$C$32, $C$9, 100%, $E$9)</f>
        <v>7.4896000000000003</v>
      </c>
      <c r="D527" s="9">
        <f>7.4906 * CHOOSE(CONTROL!$C$32, $C$9, 100%, $E$9)</f>
        <v>7.4905999999999997</v>
      </c>
      <c r="E527" s="11">
        <f>8.3656 * CHOOSE(CONTROL!$C$32, $C$9, 100%, $E$9)</f>
        <v>8.3656000000000006</v>
      </c>
      <c r="F527" s="11">
        <f>8.3656 * CHOOSE(CONTROL!$C$32, $C$9, 100%, $E$9)</f>
        <v>8.3656000000000006</v>
      </c>
      <c r="G527" s="11">
        <f>8.3692 * CHOOSE(CONTROL!$C$32, $C$9, 100%, $E$9)</f>
        <v>8.3691999999999993</v>
      </c>
      <c r="H527" s="11">
        <f>16.7782 * CHOOSE(CONTROL!$C$32, $C$9, 100%, $E$9)</f>
        <v>16.778199999999998</v>
      </c>
      <c r="I527" s="11">
        <f>16.7818 * CHOOSE(CONTROL!$C$32, $C$9, 100%, $E$9)</f>
        <v>16.7818</v>
      </c>
      <c r="J527" s="11">
        <f>16.7782 * CHOOSE(CONTROL!$C$32, $C$9, 100%, $E$9)</f>
        <v>16.778199999999998</v>
      </c>
      <c r="K527" s="11">
        <f>16.7818 * CHOOSE(CONTROL!$C$32, $C$9, 100%, $E$9)</f>
        <v>16.7818</v>
      </c>
      <c r="L527" s="11">
        <f>8.3656 * CHOOSE(CONTROL!$C$32, $C$9, 100%, $E$9)</f>
        <v>8.3656000000000006</v>
      </c>
      <c r="M527" s="11">
        <f>8.3692 * CHOOSE(CONTROL!$C$32, $C$9, 100%, $E$9)</f>
        <v>8.3691999999999993</v>
      </c>
      <c r="N527" s="11">
        <f>8.3656 * CHOOSE(CONTROL!$C$32, $C$9, 100%, $E$9)</f>
        <v>8.3656000000000006</v>
      </c>
      <c r="O527" s="11">
        <f>8.3692 * CHOOSE(CONTROL!$C$32, $C$9, 100%, $E$9)</f>
        <v>8.3691999999999993</v>
      </c>
    </row>
    <row r="528" spans="1:15" ht="15" x14ac:dyDescent="0.2">
      <c r="A528" s="13">
        <v>56919</v>
      </c>
      <c r="B528" s="9">
        <f>7.4926 * CHOOSE(CONTROL!$C$32, $C$9, 100%, $E$9)</f>
        <v>7.4926000000000004</v>
      </c>
      <c r="C528" s="9">
        <f>7.4926 * CHOOSE(CONTROL!$C$32, $C$9, 100%, $E$9)</f>
        <v>7.4926000000000004</v>
      </c>
      <c r="D528" s="9">
        <f>7.4937 * CHOOSE(CONTROL!$C$32, $C$9, 100%, $E$9)</f>
        <v>7.4936999999999996</v>
      </c>
      <c r="E528" s="11">
        <f>8.4071 * CHOOSE(CONTROL!$C$32, $C$9, 100%, $E$9)</f>
        <v>8.4070999999999998</v>
      </c>
      <c r="F528" s="11">
        <f>8.4071 * CHOOSE(CONTROL!$C$32, $C$9, 100%, $E$9)</f>
        <v>8.4070999999999998</v>
      </c>
      <c r="G528" s="11">
        <f>8.4107 * CHOOSE(CONTROL!$C$32, $C$9, 100%, $E$9)</f>
        <v>8.4107000000000003</v>
      </c>
      <c r="H528" s="11">
        <f>16.8131 * CHOOSE(CONTROL!$C$32, $C$9, 100%, $E$9)</f>
        <v>16.813099999999999</v>
      </c>
      <c r="I528" s="11">
        <f>16.8167 * CHOOSE(CONTROL!$C$32, $C$9, 100%, $E$9)</f>
        <v>16.816700000000001</v>
      </c>
      <c r="J528" s="11">
        <f>16.8131 * CHOOSE(CONTROL!$C$32, $C$9, 100%, $E$9)</f>
        <v>16.813099999999999</v>
      </c>
      <c r="K528" s="11">
        <f>16.8167 * CHOOSE(CONTROL!$C$32, $C$9, 100%, $E$9)</f>
        <v>16.816700000000001</v>
      </c>
      <c r="L528" s="11">
        <f>8.4071 * CHOOSE(CONTROL!$C$32, $C$9, 100%, $E$9)</f>
        <v>8.4070999999999998</v>
      </c>
      <c r="M528" s="11">
        <f>8.4107 * CHOOSE(CONTROL!$C$32, $C$9, 100%, $E$9)</f>
        <v>8.4107000000000003</v>
      </c>
      <c r="N528" s="11">
        <f>8.4071 * CHOOSE(CONTROL!$C$32, $C$9, 100%, $E$9)</f>
        <v>8.4070999999999998</v>
      </c>
      <c r="O528" s="11">
        <f>8.4107 * CHOOSE(CONTROL!$C$32, $C$9, 100%, $E$9)</f>
        <v>8.4107000000000003</v>
      </c>
    </row>
    <row r="529" spans="1:15" ht="15" x14ac:dyDescent="0.2">
      <c r="A529" s="13">
        <v>56949</v>
      </c>
      <c r="B529" s="9">
        <f>7.4926 * CHOOSE(CONTROL!$C$32, $C$9, 100%, $E$9)</f>
        <v>7.4926000000000004</v>
      </c>
      <c r="C529" s="9">
        <f>7.4926 * CHOOSE(CONTROL!$C$32, $C$9, 100%, $E$9)</f>
        <v>7.4926000000000004</v>
      </c>
      <c r="D529" s="9">
        <f>7.4937 * CHOOSE(CONTROL!$C$32, $C$9, 100%, $E$9)</f>
        <v>7.4936999999999996</v>
      </c>
      <c r="E529" s="11">
        <f>8.3087 * CHOOSE(CONTROL!$C$32, $C$9, 100%, $E$9)</f>
        <v>8.3087</v>
      </c>
      <c r="F529" s="11">
        <f>8.3087 * CHOOSE(CONTROL!$C$32, $C$9, 100%, $E$9)</f>
        <v>8.3087</v>
      </c>
      <c r="G529" s="11">
        <f>8.3124 * CHOOSE(CONTROL!$C$32, $C$9, 100%, $E$9)</f>
        <v>8.3124000000000002</v>
      </c>
      <c r="H529" s="11">
        <f>16.8481 * CHOOSE(CONTROL!$C$32, $C$9, 100%, $E$9)</f>
        <v>16.848099999999999</v>
      </c>
      <c r="I529" s="11">
        <f>16.8518 * CHOOSE(CONTROL!$C$32, $C$9, 100%, $E$9)</f>
        <v>16.851800000000001</v>
      </c>
      <c r="J529" s="11">
        <f>16.8481 * CHOOSE(CONTROL!$C$32, $C$9, 100%, $E$9)</f>
        <v>16.848099999999999</v>
      </c>
      <c r="K529" s="11">
        <f>16.8518 * CHOOSE(CONTROL!$C$32, $C$9, 100%, $E$9)</f>
        <v>16.851800000000001</v>
      </c>
      <c r="L529" s="11">
        <f>8.3087 * CHOOSE(CONTROL!$C$32, $C$9, 100%, $E$9)</f>
        <v>8.3087</v>
      </c>
      <c r="M529" s="11">
        <f>8.3124 * CHOOSE(CONTROL!$C$32, $C$9, 100%, $E$9)</f>
        <v>8.3124000000000002</v>
      </c>
      <c r="N529" s="11">
        <f>8.3087 * CHOOSE(CONTROL!$C$32, $C$9, 100%, $E$9)</f>
        <v>8.3087</v>
      </c>
      <c r="O529" s="11">
        <f>8.3124 * CHOOSE(CONTROL!$C$32, $C$9, 100%, $E$9)</f>
        <v>8.3124000000000002</v>
      </c>
    </row>
    <row r="530" spans="1:15" ht="15" x14ac:dyDescent="0.2">
      <c r="A530" s="13">
        <v>56980</v>
      </c>
      <c r="B530" s="9">
        <f>7.5488 * CHOOSE(CONTROL!$C$32, $C$9, 100%, $E$9)</f>
        <v>7.5488</v>
      </c>
      <c r="C530" s="9">
        <f>7.5488 * CHOOSE(CONTROL!$C$32, $C$9, 100%, $E$9)</f>
        <v>7.5488</v>
      </c>
      <c r="D530" s="9">
        <f>7.5498 * CHOOSE(CONTROL!$C$32, $C$9, 100%, $E$9)</f>
        <v>7.5498000000000003</v>
      </c>
      <c r="E530" s="11">
        <f>8.4508 * CHOOSE(CONTROL!$C$32, $C$9, 100%, $E$9)</f>
        <v>8.4507999999999992</v>
      </c>
      <c r="F530" s="11">
        <f>8.4508 * CHOOSE(CONTROL!$C$32, $C$9, 100%, $E$9)</f>
        <v>8.4507999999999992</v>
      </c>
      <c r="G530" s="11">
        <f>8.4544 * CHOOSE(CONTROL!$C$32, $C$9, 100%, $E$9)</f>
        <v>8.4543999999999997</v>
      </c>
      <c r="H530" s="11">
        <f>16.8832 * CHOOSE(CONTROL!$C$32, $C$9, 100%, $E$9)</f>
        <v>16.883199999999999</v>
      </c>
      <c r="I530" s="11">
        <f>16.8869 * CHOOSE(CONTROL!$C$32, $C$9, 100%, $E$9)</f>
        <v>16.886900000000001</v>
      </c>
      <c r="J530" s="11">
        <f>16.8832 * CHOOSE(CONTROL!$C$32, $C$9, 100%, $E$9)</f>
        <v>16.883199999999999</v>
      </c>
      <c r="K530" s="11">
        <f>16.8869 * CHOOSE(CONTROL!$C$32, $C$9, 100%, $E$9)</f>
        <v>16.886900000000001</v>
      </c>
      <c r="L530" s="11">
        <f>8.4508 * CHOOSE(CONTROL!$C$32, $C$9, 100%, $E$9)</f>
        <v>8.4507999999999992</v>
      </c>
      <c r="M530" s="11">
        <f>8.4544 * CHOOSE(CONTROL!$C$32, $C$9, 100%, $E$9)</f>
        <v>8.4543999999999997</v>
      </c>
      <c r="N530" s="11">
        <f>8.4508 * CHOOSE(CONTROL!$C$32, $C$9, 100%, $E$9)</f>
        <v>8.4507999999999992</v>
      </c>
      <c r="O530" s="11">
        <f>8.4544 * CHOOSE(CONTROL!$C$32, $C$9, 100%, $E$9)</f>
        <v>8.4543999999999997</v>
      </c>
    </row>
    <row r="531" spans="1:15" ht="15" x14ac:dyDescent="0.2">
      <c r="A531" s="13">
        <v>57011</v>
      </c>
      <c r="B531" s="9">
        <f>7.5457 * CHOOSE(CONTROL!$C$32, $C$9, 100%, $E$9)</f>
        <v>7.5457000000000001</v>
      </c>
      <c r="C531" s="9">
        <f>7.5457 * CHOOSE(CONTROL!$C$32, $C$9, 100%, $E$9)</f>
        <v>7.5457000000000001</v>
      </c>
      <c r="D531" s="9">
        <f>7.5468 * CHOOSE(CONTROL!$C$32, $C$9, 100%, $E$9)</f>
        <v>7.5468000000000002</v>
      </c>
      <c r="E531" s="11">
        <f>8.2568 * CHOOSE(CONTROL!$C$32, $C$9, 100%, $E$9)</f>
        <v>8.2568000000000001</v>
      </c>
      <c r="F531" s="11">
        <f>8.2568 * CHOOSE(CONTROL!$C$32, $C$9, 100%, $E$9)</f>
        <v>8.2568000000000001</v>
      </c>
      <c r="G531" s="11">
        <f>8.2604 * CHOOSE(CONTROL!$C$32, $C$9, 100%, $E$9)</f>
        <v>8.2604000000000006</v>
      </c>
      <c r="H531" s="11">
        <f>16.9184 * CHOOSE(CONTROL!$C$32, $C$9, 100%, $E$9)</f>
        <v>16.918399999999998</v>
      </c>
      <c r="I531" s="11">
        <f>16.922 * CHOOSE(CONTROL!$C$32, $C$9, 100%, $E$9)</f>
        <v>16.922000000000001</v>
      </c>
      <c r="J531" s="11">
        <f>16.9184 * CHOOSE(CONTROL!$C$32, $C$9, 100%, $E$9)</f>
        <v>16.918399999999998</v>
      </c>
      <c r="K531" s="11">
        <f>16.922 * CHOOSE(CONTROL!$C$32, $C$9, 100%, $E$9)</f>
        <v>16.922000000000001</v>
      </c>
      <c r="L531" s="11">
        <f>8.2568 * CHOOSE(CONTROL!$C$32, $C$9, 100%, $E$9)</f>
        <v>8.2568000000000001</v>
      </c>
      <c r="M531" s="11">
        <f>8.2604 * CHOOSE(CONTROL!$C$32, $C$9, 100%, $E$9)</f>
        <v>8.2604000000000006</v>
      </c>
      <c r="N531" s="11">
        <f>8.2568 * CHOOSE(CONTROL!$C$32, $C$9, 100%, $E$9)</f>
        <v>8.2568000000000001</v>
      </c>
      <c r="O531" s="11">
        <f>8.2604 * CHOOSE(CONTROL!$C$32, $C$9, 100%, $E$9)</f>
        <v>8.2604000000000006</v>
      </c>
    </row>
    <row r="532" spans="1:15" ht="15" x14ac:dyDescent="0.2">
      <c r="A532" s="13">
        <v>57040</v>
      </c>
      <c r="B532" s="9">
        <f>7.5427 * CHOOSE(CONTROL!$C$32, $C$9, 100%, $E$9)</f>
        <v>7.5427</v>
      </c>
      <c r="C532" s="9">
        <f>7.5427 * CHOOSE(CONTROL!$C$32, $C$9, 100%, $E$9)</f>
        <v>7.5427</v>
      </c>
      <c r="D532" s="9">
        <f>7.5438 * CHOOSE(CONTROL!$C$32, $C$9, 100%, $E$9)</f>
        <v>7.5438000000000001</v>
      </c>
      <c r="E532" s="11">
        <f>8.406 * CHOOSE(CONTROL!$C$32, $C$9, 100%, $E$9)</f>
        <v>8.4060000000000006</v>
      </c>
      <c r="F532" s="11">
        <f>8.406 * CHOOSE(CONTROL!$C$32, $C$9, 100%, $E$9)</f>
        <v>8.4060000000000006</v>
      </c>
      <c r="G532" s="11">
        <f>8.4096 * CHOOSE(CONTROL!$C$32, $C$9, 100%, $E$9)</f>
        <v>8.4095999999999993</v>
      </c>
      <c r="H532" s="11">
        <f>16.9537 * CHOOSE(CONTROL!$C$32, $C$9, 100%, $E$9)</f>
        <v>16.953700000000001</v>
      </c>
      <c r="I532" s="11">
        <f>16.9573 * CHOOSE(CONTROL!$C$32, $C$9, 100%, $E$9)</f>
        <v>16.9573</v>
      </c>
      <c r="J532" s="11">
        <f>16.9537 * CHOOSE(CONTROL!$C$32, $C$9, 100%, $E$9)</f>
        <v>16.953700000000001</v>
      </c>
      <c r="K532" s="11">
        <f>16.9573 * CHOOSE(CONTROL!$C$32, $C$9, 100%, $E$9)</f>
        <v>16.9573</v>
      </c>
      <c r="L532" s="11">
        <f>8.406 * CHOOSE(CONTROL!$C$32, $C$9, 100%, $E$9)</f>
        <v>8.4060000000000006</v>
      </c>
      <c r="M532" s="11">
        <f>8.4096 * CHOOSE(CONTROL!$C$32, $C$9, 100%, $E$9)</f>
        <v>8.4095999999999993</v>
      </c>
      <c r="N532" s="11">
        <f>8.406 * CHOOSE(CONTROL!$C$32, $C$9, 100%, $E$9)</f>
        <v>8.4060000000000006</v>
      </c>
      <c r="O532" s="11">
        <f>8.4096 * CHOOSE(CONTROL!$C$32, $C$9, 100%, $E$9)</f>
        <v>8.4095999999999993</v>
      </c>
    </row>
    <row r="533" spans="1:15" ht="15" x14ac:dyDescent="0.2">
      <c r="A533" s="13">
        <v>57071</v>
      </c>
      <c r="B533" s="9">
        <f>7.5438 * CHOOSE(CONTROL!$C$32, $C$9, 100%, $E$9)</f>
        <v>7.5438000000000001</v>
      </c>
      <c r="C533" s="9">
        <f>7.5438 * CHOOSE(CONTROL!$C$32, $C$9, 100%, $E$9)</f>
        <v>7.5438000000000001</v>
      </c>
      <c r="D533" s="9">
        <f>7.5448 * CHOOSE(CONTROL!$C$32, $C$9, 100%, $E$9)</f>
        <v>7.5448000000000004</v>
      </c>
      <c r="E533" s="11">
        <f>8.5642 * CHOOSE(CONTROL!$C$32, $C$9, 100%, $E$9)</f>
        <v>8.5641999999999996</v>
      </c>
      <c r="F533" s="11">
        <f>8.5642 * CHOOSE(CONTROL!$C$32, $C$9, 100%, $E$9)</f>
        <v>8.5641999999999996</v>
      </c>
      <c r="G533" s="11">
        <f>8.5678 * CHOOSE(CONTROL!$C$32, $C$9, 100%, $E$9)</f>
        <v>8.5678000000000001</v>
      </c>
      <c r="H533" s="11">
        <f>16.989 * CHOOSE(CONTROL!$C$32, $C$9, 100%, $E$9)</f>
        <v>16.989000000000001</v>
      </c>
      <c r="I533" s="11">
        <f>16.9926 * CHOOSE(CONTROL!$C$32, $C$9, 100%, $E$9)</f>
        <v>16.992599999999999</v>
      </c>
      <c r="J533" s="11">
        <f>16.989 * CHOOSE(CONTROL!$C$32, $C$9, 100%, $E$9)</f>
        <v>16.989000000000001</v>
      </c>
      <c r="K533" s="11">
        <f>16.9926 * CHOOSE(CONTROL!$C$32, $C$9, 100%, $E$9)</f>
        <v>16.992599999999999</v>
      </c>
      <c r="L533" s="11">
        <f>8.5642 * CHOOSE(CONTROL!$C$32, $C$9, 100%, $E$9)</f>
        <v>8.5641999999999996</v>
      </c>
      <c r="M533" s="11">
        <f>8.5678 * CHOOSE(CONTROL!$C$32, $C$9, 100%, $E$9)</f>
        <v>8.5678000000000001</v>
      </c>
      <c r="N533" s="11">
        <f>8.5642 * CHOOSE(CONTROL!$C$32, $C$9, 100%, $E$9)</f>
        <v>8.5641999999999996</v>
      </c>
      <c r="O533" s="11">
        <f>8.5678 * CHOOSE(CONTROL!$C$32, $C$9, 100%, $E$9)</f>
        <v>8.5678000000000001</v>
      </c>
    </row>
    <row r="534" spans="1:15" ht="15" x14ac:dyDescent="0.2">
      <c r="A534" s="13">
        <v>57101</v>
      </c>
      <c r="B534" s="9">
        <f>7.5438 * CHOOSE(CONTROL!$C$32, $C$9, 100%, $E$9)</f>
        <v>7.5438000000000001</v>
      </c>
      <c r="C534" s="9">
        <f>7.5438 * CHOOSE(CONTROL!$C$32, $C$9, 100%, $E$9)</f>
        <v>7.5438000000000001</v>
      </c>
      <c r="D534" s="9">
        <f>7.5454 * CHOOSE(CONTROL!$C$32, $C$9, 100%, $E$9)</f>
        <v>7.5453999999999999</v>
      </c>
      <c r="E534" s="11">
        <f>8.6251 * CHOOSE(CONTROL!$C$32, $C$9, 100%, $E$9)</f>
        <v>8.6250999999999998</v>
      </c>
      <c r="F534" s="11">
        <f>8.6251 * CHOOSE(CONTROL!$C$32, $C$9, 100%, $E$9)</f>
        <v>8.6250999999999998</v>
      </c>
      <c r="G534" s="11">
        <f>8.6304 * CHOOSE(CONTROL!$C$32, $C$9, 100%, $E$9)</f>
        <v>8.6303999999999998</v>
      </c>
      <c r="H534" s="11">
        <f>17.0244 * CHOOSE(CONTROL!$C$32, $C$9, 100%, $E$9)</f>
        <v>17.0244</v>
      </c>
      <c r="I534" s="11">
        <f>17.0297 * CHOOSE(CONTROL!$C$32, $C$9, 100%, $E$9)</f>
        <v>17.029699999999998</v>
      </c>
      <c r="J534" s="11">
        <f>17.0244 * CHOOSE(CONTROL!$C$32, $C$9, 100%, $E$9)</f>
        <v>17.0244</v>
      </c>
      <c r="K534" s="11">
        <f>17.0297 * CHOOSE(CONTROL!$C$32, $C$9, 100%, $E$9)</f>
        <v>17.029699999999998</v>
      </c>
      <c r="L534" s="11">
        <f>8.6251 * CHOOSE(CONTROL!$C$32, $C$9, 100%, $E$9)</f>
        <v>8.6250999999999998</v>
      </c>
      <c r="M534" s="11">
        <f>8.6304 * CHOOSE(CONTROL!$C$32, $C$9, 100%, $E$9)</f>
        <v>8.6303999999999998</v>
      </c>
      <c r="N534" s="11">
        <f>8.6251 * CHOOSE(CONTROL!$C$32, $C$9, 100%, $E$9)</f>
        <v>8.6250999999999998</v>
      </c>
      <c r="O534" s="11">
        <f>8.6304 * CHOOSE(CONTROL!$C$32, $C$9, 100%, $E$9)</f>
        <v>8.6303999999999998</v>
      </c>
    </row>
    <row r="535" spans="1:15" ht="15" x14ac:dyDescent="0.2">
      <c r="A535" s="13">
        <v>57132</v>
      </c>
      <c r="B535" s="9">
        <f>7.5499 * CHOOSE(CONTROL!$C$32, $C$9, 100%, $E$9)</f>
        <v>7.5499000000000001</v>
      </c>
      <c r="C535" s="9">
        <f>7.5499 * CHOOSE(CONTROL!$C$32, $C$9, 100%, $E$9)</f>
        <v>7.5499000000000001</v>
      </c>
      <c r="D535" s="9">
        <f>7.5514 * CHOOSE(CONTROL!$C$32, $C$9, 100%, $E$9)</f>
        <v>7.5514000000000001</v>
      </c>
      <c r="E535" s="11">
        <f>8.5684 * CHOOSE(CONTROL!$C$32, $C$9, 100%, $E$9)</f>
        <v>8.5684000000000005</v>
      </c>
      <c r="F535" s="11">
        <f>8.5684 * CHOOSE(CONTROL!$C$32, $C$9, 100%, $E$9)</f>
        <v>8.5684000000000005</v>
      </c>
      <c r="G535" s="11">
        <f>8.5737 * CHOOSE(CONTROL!$C$32, $C$9, 100%, $E$9)</f>
        <v>8.5737000000000005</v>
      </c>
      <c r="H535" s="11">
        <f>17.0598 * CHOOSE(CONTROL!$C$32, $C$9, 100%, $E$9)</f>
        <v>17.059799999999999</v>
      </c>
      <c r="I535" s="11">
        <f>17.0651 * CHOOSE(CONTROL!$C$32, $C$9, 100%, $E$9)</f>
        <v>17.065100000000001</v>
      </c>
      <c r="J535" s="11">
        <f>17.0598 * CHOOSE(CONTROL!$C$32, $C$9, 100%, $E$9)</f>
        <v>17.059799999999999</v>
      </c>
      <c r="K535" s="11">
        <f>17.0651 * CHOOSE(CONTROL!$C$32, $C$9, 100%, $E$9)</f>
        <v>17.065100000000001</v>
      </c>
      <c r="L535" s="11">
        <f>8.5684 * CHOOSE(CONTROL!$C$32, $C$9, 100%, $E$9)</f>
        <v>8.5684000000000005</v>
      </c>
      <c r="M535" s="11">
        <f>8.5737 * CHOOSE(CONTROL!$C$32, $C$9, 100%, $E$9)</f>
        <v>8.5737000000000005</v>
      </c>
      <c r="N535" s="11">
        <f>8.5684 * CHOOSE(CONTROL!$C$32, $C$9, 100%, $E$9)</f>
        <v>8.5684000000000005</v>
      </c>
      <c r="O535" s="11">
        <f>8.5737 * CHOOSE(CONTROL!$C$32, $C$9, 100%, $E$9)</f>
        <v>8.5737000000000005</v>
      </c>
    </row>
    <row r="536" spans="1:15" ht="15" x14ac:dyDescent="0.2">
      <c r="A536" s="13">
        <v>57162</v>
      </c>
      <c r="B536" s="9">
        <f>7.6474 * CHOOSE(CONTROL!$C$32, $C$9, 100%, $E$9)</f>
        <v>7.6474000000000002</v>
      </c>
      <c r="C536" s="9">
        <f>7.6474 * CHOOSE(CONTROL!$C$32, $C$9, 100%, $E$9)</f>
        <v>7.6474000000000002</v>
      </c>
      <c r="D536" s="9">
        <f>7.6489 * CHOOSE(CONTROL!$C$32, $C$9, 100%, $E$9)</f>
        <v>7.6489000000000003</v>
      </c>
      <c r="E536" s="11">
        <f>8.6867 * CHOOSE(CONTROL!$C$32, $C$9, 100%, $E$9)</f>
        <v>8.6867000000000001</v>
      </c>
      <c r="F536" s="11">
        <f>8.6867 * CHOOSE(CONTROL!$C$32, $C$9, 100%, $E$9)</f>
        <v>8.6867000000000001</v>
      </c>
      <c r="G536" s="11">
        <f>8.692 * CHOOSE(CONTROL!$C$32, $C$9, 100%, $E$9)</f>
        <v>8.6920000000000002</v>
      </c>
      <c r="H536" s="11">
        <f>17.0954 * CHOOSE(CONTROL!$C$32, $C$9, 100%, $E$9)</f>
        <v>17.095400000000001</v>
      </c>
      <c r="I536" s="11">
        <f>17.1007 * CHOOSE(CONTROL!$C$32, $C$9, 100%, $E$9)</f>
        <v>17.1007</v>
      </c>
      <c r="J536" s="11">
        <f>17.0954 * CHOOSE(CONTROL!$C$32, $C$9, 100%, $E$9)</f>
        <v>17.095400000000001</v>
      </c>
      <c r="K536" s="11">
        <f>17.1007 * CHOOSE(CONTROL!$C$32, $C$9, 100%, $E$9)</f>
        <v>17.1007</v>
      </c>
      <c r="L536" s="11">
        <f>8.6867 * CHOOSE(CONTROL!$C$32, $C$9, 100%, $E$9)</f>
        <v>8.6867000000000001</v>
      </c>
      <c r="M536" s="11">
        <f>8.692 * CHOOSE(CONTROL!$C$32, $C$9, 100%, $E$9)</f>
        <v>8.6920000000000002</v>
      </c>
      <c r="N536" s="11">
        <f>8.6867 * CHOOSE(CONTROL!$C$32, $C$9, 100%, $E$9)</f>
        <v>8.6867000000000001</v>
      </c>
      <c r="O536" s="11">
        <f>8.692 * CHOOSE(CONTROL!$C$32, $C$9, 100%, $E$9)</f>
        <v>8.6920000000000002</v>
      </c>
    </row>
    <row r="537" spans="1:15" ht="15" x14ac:dyDescent="0.2">
      <c r="A537" s="13">
        <v>57193</v>
      </c>
      <c r="B537" s="9">
        <f>7.654 * CHOOSE(CONTROL!$C$32, $C$9, 100%, $E$9)</f>
        <v>7.6539999999999999</v>
      </c>
      <c r="C537" s="9">
        <f>7.654 * CHOOSE(CONTROL!$C$32, $C$9, 100%, $E$9)</f>
        <v>7.6539999999999999</v>
      </c>
      <c r="D537" s="9">
        <f>7.6556 * CHOOSE(CONTROL!$C$32, $C$9, 100%, $E$9)</f>
        <v>7.6555999999999997</v>
      </c>
      <c r="E537" s="11">
        <f>8.5087 * CHOOSE(CONTROL!$C$32, $C$9, 100%, $E$9)</f>
        <v>8.5086999999999993</v>
      </c>
      <c r="F537" s="11">
        <f>8.5087 * CHOOSE(CONTROL!$C$32, $C$9, 100%, $E$9)</f>
        <v>8.5086999999999993</v>
      </c>
      <c r="G537" s="11">
        <f>8.5139 * CHOOSE(CONTROL!$C$32, $C$9, 100%, $E$9)</f>
        <v>8.5138999999999996</v>
      </c>
      <c r="H537" s="11">
        <f>17.131 * CHOOSE(CONTROL!$C$32, $C$9, 100%, $E$9)</f>
        <v>17.131</v>
      </c>
      <c r="I537" s="11">
        <f>17.1363 * CHOOSE(CONTROL!$C$32, $C$9, 100%, $E$9)</f>
        <v>17.136299999999999</v>
      </c>
      <c r="J537" s="11">
        <f>17.131 * CHOOSE(CONTROL!$C$32, $C$9, 100%, $E$9)</f>
        <v>17.131</v>
      </c>
      <c r="K537" s="11">
        <f>17.1363 * CHOOSE(CONTROL!$C$32, $C$9, 100%, $E$9)</f>
        <v>17.136299999999999</v>
      </c>
      <c r="L537" s="11">
        <f>8.5087 * CHOOSE(CONTROL!$C$32, $C$9, 100%, $E$9)</f>
        <v>8.5086999999999993</v>
      </c>
      <c r="M537" s="11">
        <f>8.5139 * CHOOSE(CONTROL!$C$32, $C$9, 100%, $E$9)</f>
        <v>8.5138999999999996</v>
      </c>
      <c r="N537" s="11">
        <f>8.5087 * CHOOSE(CONTROL!$C$32, $C$9, 100%, $E$9)</f>
        <v>8.5086999999999993</v>
      </c>
      <c r="O537" s="11">
        <f>8.5139 * CHOOSE(CONTROL!$C$32, $C$9, 100%, $E$9)</f>
        <v>8.5138999999999996</v>
      </c>
    </row>
    <row r="538" spans="1:15" ht="15" x14ac:dyDescent="0.2">
      <c r="A538" s="13">
        <v>57224</v>
      </c>
      <c r="B538" s="9">
        <f>7.651 * CHOOSE(CONTROL!$C$32, $C$9, 100%, $E$9)</f>
        <v>7.6509999999999998</v>
      </c>
      <c r="C538" s="9">
        <f>7.651 * CHOOSE(CONTROL!$C$32, $C$9, 100%, $E$9)</f>
        <v>7.6509999999999998</v>
      </c>
      <c r="D538" s="9">
        <f>7.6526 * CHOOSE(CONTROL!$C$32, $C$9, 100%, $E$9)</f>
        <v>7.6525999999999996</v>
      </c>
      <c r="E538" s="11">
        <f>8.4862 * CHOOSE(CONTROL!$C$32, $C$9, 100%, $E$9)</f>
        <v>8.4862000000000002</v>
      </c>
      <c r="F538" s="11">
        <f>8.4862 * CHOOSE(CONTROL!$C$32, $C$9, 100%, $E$9)</f>
        <v>8.4862000000000002</v>
      </c>
      <c r="G538" s="11">
        <f>8.4915 * CHOOSE(CONTROL!$C$32, $C$9, 100%, $E$9)</f>
        <v>8.4915000000000003</v>
      </c>
      <c r="H538" s="11">
        <f>17.1667 * CHOOSE(CONTROL!$C$32, $C$9, 100%, $E$9)</f>
        <v>17.166699999999999</v>
      </c>
      <c r="I538" s="11">
        <f>17.172 * CHOOSE(CONTROL!$C$32, $C$9, 100%, $E$9)</f>
        <v>17.172000000000001</v>
      </c>
      <c r="J538" s="11">
        <f>17.1667 * CHOOSE(CONTROL!$C$32, $C$9, 100%, $E$9)</f>
        <v>17.166699999999999</v>
      </c>
      <c r="K538" s="11">
        <f>17.172 * CHOOSE(CONTROL!$C$32, $C$9, 100%, $E$9)</f>
        <v>17.172000000000001</v>
      </c>
      <c r="L538" s="11">
        <f>8.4862 * CHOOSE(CONTROL!$C$32, $C$9, 100%, $E$9)</f>
        <v>8.4862000000000002</v>
      </c>
      <c r="M538" s="11">
        <f>8.4915 * CHOOSE(CONTROL!$C$32, $C$9, 100%, $E$9)</f>
        <v>8.4915000000000003</v>
      </c>
      <c r="N538" s="11">
        <f>8.4862 * CHOOSE(CONTROL!$C$32, $C$9, 100%, $E$9)</f>
        <v>8.4862000000000002</v>
      </c>
      <c r="O538" s="11">
        <f>8.4915 * CHOOSE(CONTROL!$C$32, $C$9, 100%, $E$9)</f>
        <v>8.4915000000000003</v>
      </c>
    </row>
    <row r="539" spans="1:15" ht="15" x14ac:dyDescent="0.2">
      <c r="A539" s="13">
        <v>57254</v>
      </c>
      <c r="B539" s="9">
        <f>7.6597 * CHOOSE(CONTROL!$C$32, $C$9, 100%, $E$9)</f>
        <v>7.6597</v>
      </c>
      <c r="C539" s="9">
        <f>7.6597 * CHOOSE(CONTROL!$C$32, $C$9, 100%, $E$9)</f>
        <v>7.6597</v>
      </c>
      <c r="D539" s="9">
        <f>7.6607 * CHOOSE(CONTROL!$C$32, $C$9, 100%, $E$9)</f>
        <v>7.6607000000000003</v>
      </c>
      <c r="E539" s="11">
        <f>8.554 * CHOOSE(CONTROL!$C$32, $C$9, 100%, $E$9)</f>
        <v>8.5540000000000003</v>
      </c>
      <c r="F539" s="11">
        <f>8.554 * CHOOSE(CONTROL!$C$32, $C$9, 100%, $E$9)</f>
        <v>8.5540000000000003</v>
      </c>
      <c r="G539" s="11">
        <f>8.5577 * CHOOSE(CONTROL!$C$32, $C$9, 100%, $E$9)</f>
        <v>8.5577000000000005</v>
      </c>
      <c r="H539" s="11">
        <f>17.2025 * CHOOSE(CONTROL!$C$32, $C$9, 100%, $E$9)</f>
        <v>17.202500000000001</v>
      </c>
      <c r="I539" s="11">
        <f>17.2061 * CHOOSE(CONTROL!$C$32, $C$9, 100%, $E$9)</f>
        <v>17.206099999999999</v>
      </c>
      <c r="J539" s="11">
        <f>17.2025 * CHOOSE(CONTROL!$C$32, $C$9, 100%, $E$9)</f>
        <v>17.202500000000001</v>
      </c>
      <c r="K539" s="11">
        <f>17.2061 * CHOOSE(CONTROL!$C$32, $C$9, 100%, $E$9)</f>
        <v>17.206099999999999</v>
      </c>
      <c r="L539" s="11">
        <f>8.554 * CHOOSE(CONTROL!$C$32, $C$9, 100%, $E$9)</f>
        <v>8.5540000000000003</v>
      </c>
      <c r="M539" s="11">
        <f>8.5577 * CHOOSE(CONTROL!$C$32, $C$9, 100%, $E$9)</f>
        <v>8.5577000000000005</v>
      </c>
      <c r="N539" s="11">
        <f>8.554 * CHOOSE(CONTROL!$C$32, $C$9, 100%, $E$9)</f>
        <v>8.5540000000000003</v>
      </c>
      <c r="O539" s="11">
        <f>8.5577 * CHOOSE(CONTROL!$C$32, $C$9, 100%, $E$9)</f>
        <v>8.5577000000000005</v>
      </c>
    </row>
    <row r="540" spans="1:15" ht="15" x14ac:dyDescent="0.2">
      <c r="A540" s="13">
        <v>57285</v>
      </c>
      <c r="B540" s="9">
        <f>7.6627 * CHOOSE(CONTROL!$C$32, $C$9, 100%, $E$9)</f>
        <v>7.6627000000000001</v>
      </c>
      <c r="C540" s="9">
        <f>7.6627 * CHOOSE(CONTROL!$C$32, $C$9, 100%, $E$9)</f>
        <v>7.6627000000000001</v>
      </c>
      <c r="D540" s="9">
        <f>7.6638 * CHOOSE(CONTROL!$C$32, $C$9, 100%, $E$9)</f>
        <v>7.6638000000000002</v>
      </c>
      <c r="E540" s="11">
        <f>8.5968 * CHOOSE(CONTROL!$C$32, $C$9, 100%, $E$9)</f>
        <v>8.5968</v>
      </c>
      <c r="F540" s="11">
        <f>8.5968 * CHOOSE(CONTROL!$C$32, $C$9, 100%, $E$9)</f>
        <v>8.5968</v>
      </c>
      <c r="G540" s="11">
        <f>8.6004 * CHOOSE(CONTROL!$C$32, $C$9, 100%, $E$9)</f>
        <v>8.6004000000000005</v>
      </c>
      <c r="H540" s="11">
        <f>17.2383 * CHOOSE(CONTROL!$C$32, $C$9, 100%, $E$9)</f>
        <v>17.238299999999999</v>
      </c>
      <c r="I540" s="11">
        <f>17.2419 * CHOOSE(CONTROL!$C$32, $C$9, 100%, $E$9)</f>
        <v>17.241900000000001</v>
      </c>
      <c r="J540" s="11">
        <f>17.2383 * CHOOSE(CONTROL!$C$32, $C$9, 100%, $E$9)</f>
        <v>17.238299999999999</v>
      </c>
      <c r="K540" s="11">
        <f>17.2419 * CHOOSE(CONTROL!$C$32, $C$9, 100%, $E$9)</f>
        <v>17.241900000000001</v>
      </c>
      <c r="L540" s="11">
        <f>8.5968 * CHOOSE(CONTROL!$C$32, $C$9, 100%, $E$9)</f>
        <v>8.5968</v>
      </c>
      <c r="M540" s="11">
        <f>8.6004 * CHOOSE(CONTROL!$C$32, $C$9, 100%, $E$9)</f>
        <v>8.6004000000000005</v>
      </c>
      <c r="N540" s="11">
        <f>8.5968 * CHOOSE(CONTROL!$C$32, $C$9, 100%, $E$9)</f>
        <v>8.5968</v>
      </c>
      <c r="O540" s="11">
        <f>8.6004 * CHOOSE(CONTROL!$C$32, $C$9, 100%, $E$9)</f>
        <v>8.6004000000000005</v>
      </c>
    </row>
    <row r="541" spans="1:15" ht="15" x14ac:dyDescent="0.2">
      <c r="A541" s="13">
        <v>57315</v>
      </c>
      <c r="B541" s="9">
        <f>7.6627 * CHOOSE(CONTROL!$C$32, $C$9, 100%, $E$9)</f>
        <v>7.6627000000000001</v>
      </c>
      <c r="C541" s="9">
        <f>7.6627 * CHOOSE(CONTROL!$C$32, $C$9, 100%, $E$9)</f>
        <v>7.6627000000000001</v>
      </c>
      <c r="D541" s="9">
        <f>7.6638 * CHOOSE(CONTROL!$C$32, $C$9, 100%, $E$9)</f>
        <v>7.6638000000000002</v>
      </c>
      <c r="E541" s="11">
        <f>8.4952 * CHOOSE(CONTROL!$C$32, $C$9, 100%, $E$9)</f>
        <v>8.4952000000000005</v>
      </c>
      <c r="F541" s="11">
        <f>8.4952 * CHOOSE(CONTROL!$C$32, $C$9, 100%, $E$9)</f>
        <v>8.4952000000000005</v>
      </c>
      <c r="G541" s="11">
        <f>8.4989 * CHOOSE(CONTROL!$C$32, $C$9, 100%, $E$9)</f>
        <v>8.4989000000000008</v>
      </c>
      <c r="H541" s="11">
        <f>17.2742 * CHOOSE(CONTROL!$C$32, $C$9, 100%, $E$9)</f>
        <v>17.2742</v>
      </c>
      <c r="I541" s="11">
        <f>17.2778 * CHOOSE(CONTROL!$C$32, $C$9, 100%, $E$9)</f>
        <v>17.277799999999999</v>
      </c>
      <c r="J541" s="11">
        <f>17.2742 * CHOOSE(CONTROL!$C$32, $C$9, 100%, $E$9)</f>
        <v>17.2742</v>
      </c>
      <c r="K541" s="11">
        <f>17.2778 * CHOOSE(CONTROL!$C$32, $C$9, 100%, $E$9)</f>
        <v>17.277799999999999</v>
      </c>
      <c r="L541" s="11">
        <f>8.4952 * CHOOSE(CONTROL!$C$32, $C$9, 100%, $E$9)</f>
        <v>8.4952000000000005</v>
      </c>
      <c r="M541" s="11">
        <f>8.4989 * CHOOSE(CONTROL!$C$32, $C$9, 100%, $E$9)</f>
        <v>8.4989000000000008</v>
      </c>
      <c r="N541" s="11">
        <f>8.4952 * CHOOSE(CONTROL!$C$32, $C$9, 100%, $E$9)</f>
        <v>8.4952000000000005</v>
      </c>
      <c r="O541" s="11">
        <f>8.4989 * CHOOSE(CONTROL!$C$32, $C$9, 100%, $E$9)</f>
        <v>8.4989000000000008</v>
      </c>
    </row>
    <row r="542" spans="1:15" ht="15" x14ac:dyDescent="0.2">
      <c r="A542" s="13">
        <v>57346</v>
      </c>
      <c r="B542" s="9">
        <f>7.72 * CHOOSE(CONTROL!$C$32, $C$9, 100%, $E$9)</f>
        <v>7.72</v>
      </c>
      <c r="C542" s="9">
        <f>7.72 * CHOOSE(CONTROL!$C$32, $C$9, 100%, $E$9)</f>
        <v>7.72</v>
      </c>
      <c r="D542" s="9">
        <f>7.7211 * CHOOSE(CONTROL!$C$32, $C$9, 100%, $E$9)</f>
        <v>7.7210999999999999</v>
      </c>
      <c r="E542" s="11">
        <f>8.6415 * CHOOSE(CONTROL!$C$32, $C$9, 100%, $E$9)</f>
        <v>8.6415000000000006</v>
      </c>
      <c r="F542" s="11">
        <f>8.6415 * CHOOSE(CONTROL!$C$32, $C$9, 100%, $E$9)</f>
        <v>8.6415000000000006</v>
      </c>
      <c r="G542" s="11">
        <f>8.6451 * CHOOSE(CONTROL!$C$32, $C$9, 100%, $E$9)</f>
        <v>8.6450999999999993</v>
      </c>
      <c r="H542" s="11">
        <f>17.3102 * CHOOSE(CONTROL!$C$32, $C$9, 100%, $E$9)</f>
        <v>17.310199999999998</v>
      </c>
      <c r="I542" s="11">
        <f>17.3138 * CHOOSE(CONTROL!$C$32, $C$9, 100%, $E$9)</f>
        <v>17.313800000000001</v>
      </c>
      <c r="J542" s="11">
        <f>17.3102 * CHOOSE(CONTROL!$C$32, $C$9, 100%, $E$9)</f>
        <v>17.310199999999998</v>
      </c>
      <c r="K542" s="11">
        <f>17.3138 * CHOOSE(CONTROL!$C$32, $C$9, 100%, $E$9)</f>
        <v>17.313800000000001</v>
      </c>
      <c r="L542" s="11">
        <f>8.6415 * CHOOSE(CONTROL!$C$32, $C$9, 100%, $E$9)</f>
        <v>8.6415000000000006</v>
      </c>
      <c r="M542" s="11">
        <f>8.6451 * CHOOSE(CONTROL!$C$32, $C$9, 100%, $E$9)</f>
        <v>8.6450999999999993</v>
      </c>
      <c r="N542" s="11">
        <f>8.6415 * CHOOSE(CONTROL!$C$32, $C$9, 100%, $E$9)</f>
        <v>8.6415000000000006</v>
      </c>
      <c r="O542" s="11">
        <f>8.6451 * CHOOSE(CONTROL!$C$32, $C$9, 100%, $E$9)</f>
        <v>8.6450999999999993</v>
      </c>
    </row>
    <row r="543" spans="1:15" ht="15" x14ac:dyDescent="0.2">
      <c r="A543" s="13">
        <v>57377</v>
      </c>
      <c r="B543" s="9">
        <f>7.717 * CHOOSE(CONTROL!$C$32, $C$9, 100%, $E$9)</f>
        <v>7.7169999999999996</v>
      </c>
      <c r="C543" s="9">
        <f>7.717 * CHOOSE(CONTROL!$C$32, $C$9, 100%, $E$9)</f>
        <v>7.7169999999999996</v>
      </c>
      <c r="D543" s="9">
        <f>7.7181 * CHOOSE(CONTROL!$C$32, $C$9, 100%, $E$9)</f>
        <v>7.7180999999999997</v>
      </c>
      <c r="E543" s="11">
        <f>8.4413 * CHOOSE(CONTROL!$C$32, $C$9, 100%, $E$9)</f>
        <v>8.4413</v>
      </c>
      <c r="F543" s="11">
        <f>8.4413 * CHOOSE(CONTROL!$C$32, $C$9, 100%, $E$9)</f>
        <v>8.4413</v>
      </c>
      <c r="G543" s="11">
        <f>8.4449 * CHOOSE(CONTROL!$C$32, $C$9, 100%, $E$9)</f>
        <v>8.4449000000000005</v>
      </c>
      <c r="H543" s="11">
        <f>17.3463 * CHOOSE(CONTROL!$C$32, $C$9, 100%, $E$9)</f>
        <v>17.346299999999999</v>
      </c>
      <c r="I543" s="11">
        <f>17.3499 * CHOOSE(CONTROL!$C$32, $C$9, 100%, $E$9)</f>
        <v>17.349900000000002</v>
      </c>
      <c r="J543" s="11">
        <f>17.3463 * CHOOSE(CONTROL!$C$32, $C$9, 100%, $E$9)</f>
        <v>17.346299999999999</v>
      </c>
      <c r="K543" s="11">
        <f>17.3499 * CHOOSE(CONTROL!$C$32, $C$9, 100%, $E$9)</f>
        <v>17.349900000000002</v>
      </c>
      <c r="L543" s="11">
        <f>8.4413 * CHOOSE(CONTROL!$C$32, $C$9, 100%, $E$9)</f>
        <v>8.4413</v>
      </c>
      <c r="M543" s="11">
        <f>8.4449 * CHOOSE(CONTROL!$C$32, $C$9, 100%, $E$9)</f>
        <v>8.4449000000000005</v>
      </c>
      <c r="N543" s="11">
        <f>8.4413 * CHOOSE(CONTROL!$C$32, $C$9, 100%, $E$9)</f>
        <v>8.4413</v>
      </c>
      <c r="O543" s="11">
        <f>8.4449 * CHOOSE(CONTROL!$C$32, $C$9, 100%, $E$9)</f>
        <v>8.4449000000000005</v>
      </c>
    </row>
    <row r="544" spans="1:15" ht="15" x14ac:dyDescent="0.2">
      <c r="A544" s="13">
        <v>57405</v>
      </c>
      <c r="B544" s="9">
        <f>7.7139 * CHOOSE(CONTROL!$C$32, $C$9, 100%, $E$9)</f>
        <v>7.7138999999999998</v>
      </c>
      <c r="C544" s="9">
        <f>7.7139 * CHOOSE(CONTROL!$C$32, $C$9, 100%, $E$9)</f>
        <v>7.7138999999999998</v>
      </c>
      <c r="D544" s="9">
        <f>7.715 * CHOOSE(CONTROL!$C$32, $C$9, 100%, $E$9)</f>
        <v>7.7149999999999999</v>
      </c>
      <c r="E544" s="11">
        <f>8.5954 * CHOOSE(CONTROL!$C$32, $C$9, 100%, $E$9)</f>
        <v>8.5953999999999997</v>
      </c>
      <c r="F544" s="11">
        <f>8.5954 * CHOOSE(CONTROL!$C$32, $C$9, 100%, $E$9)</f>
        <v>8.5953999999999997</v>
      </c>
      <c r="G544" s="11">
        <f>8.599 * CHOOSE(CONTROL!$C$32, $C$9, 100%, $E$9)</f>
        <v>8.5990000000000002</v>
      </c>
      <c r="H544" s="11">
        <f>17.3824 * CHOOSE(CONTROL!$C$32, $C$9, 100%, $E$9)</f>
        <v>17.382400000000001</v>
      </c>
      <c r="I544" s="11">
        <f>17.386 * CHOOSE(CONTROL!$C$32, $C$9, 100%, $E$9)</f>
        <v>17.385999999999999</v>
      </c>
      <c r="J544" s="11">
        <f>17.3824 * CHOOSE(CONTROL!$C$32, $C$9, 100%, $E$9)</f>
        <v>17.382400000000001</v>
      </c>
      <c r="K544" s="11">
        <f>17.386 * CHOOSE(CONTROL!$C$32, $C$9, 100%, $E$9)</f>
        <v>17.385999999999999</v>
      </c>
      <c r="L544" s="11">
        <f>8.5954 * CHOOSE(CONTROL!$C$32, $C$9, 100%, $E$9)</f>
        <v>8.5953999999999997</v>
      </c>
      <c r="M544" s="11">
        <f>8.599 * CHOOSE(CONTROL!$C$32, $C$9, 100%, $E$9)</f>
        <v>8.5990000000000002</v>
      </c>
      <c r="N544" s="11">
        <f>8.5954 * CHOOSE(CONTROL!$C$32, $C$9, 100%, $E$9)</f>
        <v>8.5953999999999997</v>
      </c>
      <c r="O544" s="11">
        <f>8.599 * CHOOSE(CONTROL!$C$32, $C$9, 100%, $E$9)</f>
        <v>8.5990000000000002</v>
      </c>
    </row>
    <row r="545" spans="1:15" ht="15" x14ac:dyDescent="0.2">
      <c r="A545" s="13">
        <v>57436</v>
      </c>
      <c r="B545" s="9">
        <f>7.7152 * CHOOSE(CONTROL!$C$32, $C$9, 100%, $E$9)</f>
        <v>7.7152000000000003</v>
      </c>
      <c r="C545" s="9">
        <f>7.7152 * CHOOSE(CONTROL!$C$32, $C$9, 100%, $E$9)</f>
        <v>7.7152000000000003</v>
      </c>
      <c r="D545" s="9">
        <f>7.7163 * CHOOSE(CONTROL!$C$32, $C$9, 100%, $E$9)</f>
        <v>7.7163000000000004</v>
      </c>
      <c r="E545" s="11">
        <f>8.7588 * CHOOSE(CONTROL!$C$32, $C$9, 100%, $E$9)</f>
        <v>8.7588000000000008</v>
      </c>
      <c r="F545" s="11">
        <f>8.7588 * CHOOSE(CONTROL!$C$32, $C$9, 100%, $E$9)</f>
        <v>8.7588000000000008</v>
      </c>
      <c r="G545" s="11">
        <f>8.7625 * CHOOSE(CONTROL!$C$32, $C$9, 100%, $E$9)</f>
        <v>8.7624999999999993</v>
      </c>
      <c r="H545" s="11">
        <f>17.4186 * CHOOSE(CONTROL!$C$32, $C$9, 100%, $E$9)</f>
        <v>17.418600000000001</v>
      </c>
      <c r="I545" s="11">
        <f>17.4222 * CHOOSE(CONTROL!$C$32, $C$9, 100%, $E$9)</f>
        <v>17.4222</v>
      </c>
      <c r="J545" s="11">
        <f>17.4186 * CHOOSE(CONTROL!$C$32, $C$9, 100%, $E$9)</f>
        <v>17.418600000000001</v>
      </c>
      <c r="K545" s="11">
        <f>17.4222 * CHOOSE(CONTROL!$C$32, $C$9, 100%, $E$9)</f>
        <v>17.4222</v>
      </c>
      <c r="L545" s="11">
        <f>8.7588 * CHOOSE(CONTROL!$C$32, $C$9, 100%, $E$9)</f>
        <v>8.7588000000000008</v>
      </c>
      <c r="M545" s="11">
        <f>8.7625 * CHOOSE(CONTROL!$C$32, $C$9, 100%, $E$9)</f>
        <v>8.7624999999999993</v>
      </c>
      <c r="N545" s="11">
        <f>8.7588 * CHOOSE(CONTROL!$C$32, $C$9, 100%, $E$9)</f>
        <v>8.7588000000000008</v>
      </c>
      <c r="O545" s="11">
        <f>8.7625 * CHOOSE(CONTROL!$C$32, $C$9, 100%, $E$9)</f>
        <v>8.7624999999999993</v>
      </c>
    </row>
    <row r="546" spans="1:15" ht="15" x14ac:dyDescent="0.2">
      <c r="A546" s="13">
        <v>57466</v>
      </c>
      <c r="B546" s="9">
        <f>7.7152 * CHOOSE(CONTROL!$C$32, $C$9, 100%, $E$9)</f>
        <v>7.7152000000000003</v>
      </c>
      <c r="C546" s="9">
        <f>7.7152 * CHOOSE(CONTROL!$C$32, $C$9, 100%, $E$9)</f>
        <v>7.7152000000000003</v>
      </c>
      <c r="D546" s="9">
        <f>7.7168 * CHOOSE(CONTROL!$C$32, $C$9, 100%, $E$9)</f>
        <v>7.7168000000000001</v>
      </c>
      <c r="E546" s="11">
        <f>8.8217 * CHOOSE(CONTROL!$C$32, $C$9, 100%, $E$9)</f>
        <v>8.8216999999999999</v>
      </c>
      <c r="F546" s="11">
        <f>8.8217 * CHOOSE(CONTROL!$C$32, $C$9, 100%, $E$9)</f>
        <v>8.8216999999999999</v>
      </c>
      <c r="G546" s="11">
        <f>8.827 * CHOOSE(CONTROL!$C$32, $C$9, 100%, $E$9)</f>
        <v>8.827</v>
      </c>
      <c r="H546" s="11">
        <f>17.4549 * CHOOSE(CONTROL!$C$32, $C$9, 100%, $E$9)</f>
        <v>17.454899999999999</v>
      </c>
      <c r="I546" s="11">
        <f>17.4602 * CHOOSE(CONTROL!$C$32, $C$9, 100%, $E$9)</f>
        <v>17.4602</v>
      </c>
      <c r="J546" s="11">
        <f>17.4549 * CHOOSE(CONTROL!$C$32, $C$9, 100%, $E$9)</f>
        <v>17.454899999999999</v>
      </c>
      <c r="K546" s="11">
        <f>17.4602 * CHOOSE(CONTROL!$C$32, $C$9, 100%, $E$9)</f>
        <v>17.4602</v>
      </c>
      <c r="L546" s="11">
        <f>8.8217 * CHOOSE(CONTROL!$C$32, $C$9, 100%, $E$9)</f>
        <v>8.8216999999999999</v>
      </c>
      <c r="M546" s="11">
        <f>8.827 * CHOOSE(CONTROL!$C$32, $C$9, 100%, $E$9)</f>
        <v>8.827</v>
      </c>
      <c r="N546" s="11">
        <f>8.8217 * CHOOSE(CONTROL!$C$32, $C$9, 100%, $E$9)</f>
        <v>8.8216999999999999</v>
      </c>
      <c r="O546" s="11">
        <f>8.827 * CHOOSE(CONTROL!$C$32, $C$9, 100%, $E$9)</f>
        <v>8.827</v>
      </c>
    </row>
    <row r="547" spans="1:15" ht="15" x14ac:dyDescent="0.2">
      <c r="A547" s="13">
        <v>57497</v>
      </c>
      <c r="B547" s="9">
        <f>7.7213 * CHOOSE(CONTROL!$C$32, $C$9, 100%, $E$9)</f>
        <v>7.7213000000000003</v>
      </c>
      <c r="C547" s="9">
        <f>7.7213 * CHOOSE(CONTROL!$C$32, $C$9, 100%, $E$9)</f>
        <v>7.7213000000000003</v>
      </c>
      <c r="D547" s="9">
        <f>7.7228 * CHOOSE(CONTROL!$C$32, $C$9, 100%, $E$9)</f>
        <v>7.7228000000000003</v>
      </c>
      <c r="E547" s="11">
        <f>8.7631 * CHOOSE(CONTROL!$C$32, $C$9, 100%, $E$9)</f>
        <v>8.7630999999999997</v>
      </c>
      <c r="F547" s="11">
        <f>8.7631 * CHOOSE(CONTROL!$C$32, $C$9, 100%, $E$9)</f>
        <v>8.7630999999999997</v>
      </c>
      <c r="G547" s="11">
        <f>8.7684 * CHOOSE(CONTROL!$C$32, $C$9, 100%, $E$9)</f>
        <v>8.7683999999999997</v>
      </c>
      <c r="H547" s="11">
        <f>17.4913 * CHOOSE(CONTROL!$C$32, $C$9, 100%, $E$9)</f>
        <v>17.491299999999999</v>
      </c>
      <c r="I547" s="11">
        <f>17.4966 * CHOOSE(CONTROL!$C$32, $C$9, 100%, $E$9)</f>
        <v>17.496600000000001</v>
      </c>
      <c r="J547" s="11">
        <f>17.4913 * CHOOSE(CONTROL!$C$32, $C$9, 100%, $E$9)</f>
        <v>17.491299999999999</v>
      </c>
      <c r="K547" s="11">
        <f>17.4966 * CHOOSE(CONTROL!$C$32, $C$9, 100%, $E$9)</f>
        <v>17.496600000000001</v>
      </c>
      <c r="L547" s="11">
        <f>8.7631 * CHOOSE(CONTROL!$C$32, $C$9, 100%, $E$9)</f>
        <v>8.7630999999999997</v>
      </c>
      <c r="M547" s="11">
        <f>8.7684 * CHOOSE(CONTROL!$C$32, $C$9, 100%, $E$9)</f>
        <v>8.7683999999999997</v>
      </c>
      <c r="N547" s="11">
        <f>8.7631 * CHOOSE(CONTROL!$C$32, $C$9, 100%, $E$9)</f>
        <v>8.7630999999999997</v>
      </c>
      <c r="O547" s="11">
        <f>8.7684 * CHOOSE(CONTROL!$C$32, $C$9, 100%, $E$9)</f>
        <v>8.7683999999999997</v>
      </c>
    </row>
    <row r="548" spans="1:15" ht="15" x14ac:dyDescent="0.2">
      <c r="A548" s="13">
        <v>57527</v>
      </c>
      <c r="B548" s="9">
        <f>7.8207 * CHOOSE(CONTROL!$C$32, $C$9, 100%, $E$9)</f>
        <v>7.8207000000000004</v>
      </c>
      <c r="C548" s="9">
        <f>7.8207 * CHOOSE(CONTROL!$C$32, $C$9, 100%, $E$9)</f>
        <v>7.8207000000000004</v>
      </c>
      <c r="D548" s="9">
        <f>7.8222 * CHOOSE(CONTROL!$C$32, $C$9, 100%, $E$9)</f>
        <v>7.8221999999999996</v>
      </c>
      <c r="E548" s="11">
        <f>8.8842 * CHOOSE(CONTROL!$C$32, $C$9, 100%, $E$9)</f>
        <v>8.8841999999999999</v>
      </c>
      <c r="F548" s="11">
        <f>8.8842 * CHOOSE(CONTROL!$C$32, $C$9, 100%, $E$9)</f>
        <v>8.8841999999999999</v>
      </c>
      <c r="G548" s="11">
        <f>8.8895 * CHOOSE(CONTROL!$C$32, $C$9, 100%, $E$9)</f>
        <v>8.8895</v>
      </c>
      <c r="H548" s="11">
        <f>17.5277 * CHOOSE(CONTROL!$C$32, $C$9, 100%, $E$9)</f>
        <v>17.527699999999999</v>
      </c>
      <c r="I548" s="11">
        <f>17.533 * CHOOSE(CONTROL!$C$32, $C$9, 100%, $E$9)</f>
        <v>17.533000000000001</v>
      </c>
      <c r="J548" s="11">
        <f>17.5277 * CHOOSE(CONTROL!$C$32, $C$9, 100%, $E$9)</f>
        <v>17.527699999999999</v>
      </c>
      <c r="K548" s="11">
        <f>17.533 * CHOOSE(CONTROL!$C$32, $C$9, 100%, $E$9)</f>
        <v>17.533000000000001</v>
      </c>
      <c r="L548" s="11">
        <f>8.8842 * CHOOSE(CONTROL!$C$32, $C$9, 100%, $E$9)</f>
        <v>8.8841999999999999</v>
      </c>
      <c r="M548" s="11">
        <f>8.8895 * CHOOSE(CONTROL!$C$32, $C$9, 100%, $E$9)</f>
        <v>8.8895</v>
      </c>
      <c r="N548" s="11">
        <f>8.8842 * CHOOSE(CONTROL!$C$32, $C$9, 100%, $E$9)</f>
        <v>8.8841999999999999</v>
      </c>
      <c r="O548" s="11">
        <f>8.8895 * CHOOSE(CONTROL!$C$32, $C$9, 100%, $E$9)</f>
        <v>8.8895</v>
      </c>
    </row>
    <row r="549" spans="1:15" ht="15" x14ac:dyDescent="0.2">
      <c r="A549" s="13">
        <v>57558</v>
      </c>
      <c r="B549" s="9">
        <f>7.8273 * CHOOSE(CONTROL!$C$32, $C$9, 100%, $E$9)</f>
        <v>7.8273000000000001</v>
      </c>
      <c r="C549" s="9">
        <f>7.8273 * CHOOSE(CONTROL!$C$32, $C$9, 100%, $E$9)</f>
        <v>7.8273000000000001</v>
      </c>
      <c r="D549" s="9">
        <f>7.8289 * CHOOSE(CONTROL!$C$32, $C$9, 100%, $E$9)</f>
        <v>7.8289</v>
      </c>
      <c r="E549" s="11">
        <f>8.7002 * CHOOSE(CONTROL!$C$32, $C$9, 100%, $E$9)</f>
        <v>8.7002000000000006</v>
      </c>
      <c r="F549" s="11">
        <f>8.7002 * CHOOSE(CONTROL!$C$32, $C$9, 100%, $E$9)</f>
        <v>8.7002000000000006</v>
      </c>
      <c r="G549" s="11">
        <f>8.7055 * CHOOSE(CONTROL!$C$32, $C$9, 100%, $E$9)</f>
        <v>8.7055000000000007</v>
      </c>
      <c r="H549" s="11">
        <f>17.5642 * CHOOSE(CONTROL!$C$32, $C$9, 100%, $E$9)</f>
        <v>17.5642</v>
      </c>
      <c r="I549" s="11">
        <f>17.5695 * CHOOSE(CONTROL!$C$32, $C$9, 100%, $E$9)</f>
        <v>17.569500000000001</v>
      </c>
      <c r="J549" s="11">
        <f>17.5642 * CHOOSE(CONTROL!$C$32, $C$9, 100%, $E$9)</f>
        <v>17.5642</v>
      </c>
      <c r="K549" s="11">
        <f>17.5695 * CHOOSE(CONTROL!$C$32, $C$9, 100%, $E$9)</f>
        <v>17.569500000000001</v>
      </c>
      <c r="L549" s="11">
        <f>8.7002 * CHOOSE(CONTROL!$C$32, $C$9, 100%, $E$9)</f>
        <v>8.7002000000000006</v>
      </c>
      <c r="M549" s="11">
        <f>8.7055 * CHOOSE(CONTROL!$C$32, $C$9, 100%, $E$9)</f>
        <v>8.7055000000000007</v>
      </c>
      <c r="N549" s="11">
        <f>8.7002 * CHOOSE(CONTROL!$C$32, $C$9, 100%, $E$9)</f>
        <v>8.7002000000000006</v>
      </c>
      <c r="O549" s="11">
        <f>8.7055 * CHOOSE(CONTROL!$C$32, $C$9, 100%, $E$9)</f>
        <v>8.7055000000000007</v>
      </c>
    </row>
    <row r="550" spans="1:15" ht="15" x14ac:dyDescent="0.2">
      <c r="A550" s="13">
        <v>57589</v>
      </c>
      <c r="B550" s="9">
        <f>7.8243 * CHOOSE(CONTROL!$C$32, $C$9, 100%, $E$9)</f>
        <v>7.8243</v>
      </c>
      <c r="C550" s="9">
        <f>7.8243 * CHOOSE(CONTROL!$C$32, $C$9, 100%, $E$9)</f>
        <v>7.8243</v>
      </c>
      <c r="D550" s="9">
        <f>7.8259 * CHOOSE(CONTROL!$C$32, $C$9, 100%, $E$9)</f>
        <v>7.8258999999999999</v>
      </c>
      <c r="E550" s="11">
        <f>8.6771 * CHOOSE(CONTROL!$C$32, $C$9, 100%, $E$9)</f>
        <v>8.6770999999999994</v>
      </c>
      <c r="F550" s="11">
        <f>8.6771 * CHOOSE(CONTROL!$C$32, $C$9, 100%, $E$9)</f>
        <v>8.6770999999999994</v>
      </c>
      <c r="G550" s="11">
        <f>8.6824 * CHOOSE(CONTROL!$C$32, $C$9, 100%, $E$9)</f>
        <v>8.6823999999999995</v>
      </c>
      <c r="H550" s="11">
        <f>17.6008 * CHOOSE(CONTROL!$C$32, $C$9, 100%, $E$9)</f>
        <v>17.6008</v>
      </c>
      <c r="I550" s="11">
        <f>17.6061 * CHOOSE(CONTROL!$C$32, $C$9, 100%, $E$9)</f>
        <v>17.606100000000001</v>
      </c>
      <c r="J550" s="11">
        <f>17.6008 * CHOOSE(CONTROL!$C$32, $C$9, 100%, $E$9)</f>
        <v>17.6008</v>
      </c>
      <c r="K550" s="11">
        <f>17.6061 * CHOOSE(CONTROL!$C$32, $C$9, 100%, $E$9)</f>
        <v>17.606100000000001</v>
      </c>
      <c r="L550" s="11">
        <f>8.6771 * CHOOSE(CONTROL!$C$32, $C$9, 100%, $E$9)</f>
        <v>8.6770999999999994</v>
      </c>
      <c r="M550" s="11">
        <f>8.6824 * CHOOSE(CONTROL!$C$32, $C$9, 100%, $E$9)</f>
        <v>8.6823999999999995</v>
      </c>
      <c r="N550" s="11">
        <f>8.6771 * CHOOSE(CONTROL!$C$32, $C$9, 100%, $E$9)</f>
        <v>8.6770999999999994</v>
      </c>
      <c r="O550" s="11">
        <f>8.6824 * CHOOSE(CONTROL!$C$32, $C$9, 100%, $E$9)</f>
        <v>8.6823999999999995</v>
      </c>
    </row>
    <row r="551" spans="1:15" ht="15" x14ac:dyDescent="0.2">
      <c r="A551" s="13">
        <v>57619</v>
      </c>
      <c r="B551" s="9">
        <f>7.8336 * CHOOSE(CONTROL!$C$32, $C$9, 100%, $E$9)</f>
        <v>7.8335999999999997</v>
      </c>
      <c r="C551" s="9">
        <f>7.8336 * CHOOSE(CONTROL!$C$32, $C$9, 100%, $E$9)</f>
        <v>7.8335999999999997</v>
      </c>
      <c r="D551" s="9">
        <f>7.8347 * CHOOSE(CONTROL!$C$32, $C$9, 100%, $E$9)</f>
        <v>7.8346999999999998</v>
      </c>
      <c r="E551" s="11">
        <f>8.7475 * CHOOSE(CONTROL!$C$32, $C$9, 100%, $E$9)</f>
        <v>8.7475000000000005</v>
      </c>
      <c r="F551" s="11">
        <f>8.7475 * CHOOSE(CONTROL!$C$32, $C$9, 100%, $E$9)</f>
        <v>8.7475000000000005</v>
      </c>
      <c r="G551" s="11">
        <f>8.7511 * CHOOSE(CONTROL!$C$32, $C$9, 100%, $E$9)</f>
        <v>8.7510999999999992</v>
      </c>
      <c r="H551" s="11">
        <f>17.6375 * CHOOSE(CONTROL!$C$32, $C$9, 100%, $E$9)</f>
        <v>17.637499999999999</v>
      </c>
      <c r="I551" s="11">
        <f>17.6411 * CHOOSE(CONTROL!$C$32, $C$9, 100%, $E$9)</f>
        <v>17.641100000000002</v>
      </c>
      <c r="J551" s="11">
        <f>17.6375 * CHOOSE(CONTROL!$C$32, $C$9, 100%, $E$9)</f>
        <v>17.637499999999999</v>
      </c>
      <c r="K551" s="11">
        <f>17.6411 * CHOOSE(CONTROL!$C$32, $C$9, 100%, $E$9)</f>
        <v>17.641100000000002</v>
      </c>
      <c r="L551" s="11">
        <f>8.7475 * CHOOSE(CONTROL!$C$32, $C$9, 100%, $E$9)</f>
        <v>8.7475000000000005</v>
      </c>
      <c r="M551" s="11">
        <f>8.7511 * CHOOSE(CONTROL!$C$32, $C$9, 100%, $E$9)</f>
        <v>8.7510999999999992</v>
      </c>
      <c r="N551" s="11">
        <f>8.7475 * CHOOSE(CONTROL!$C$32, $C$9, 100%, $E$9)</f>
        <v>8.7475000000000005</v>
      </c>
      <c r="O551" s="11">
        <f>8.7511 * CHOOSE(CONTROL!$C$32, $C$9, 100%, $E$9)</f>
        <v>8.7510999999999992</v>
      </c>
    </row>
    <row r="552" spans="1:15" ht="15" x14ac:dyDescent="0.2">
      <c r="A552" s="13">
        <v>57650</v>
      </c>
      <c r="B552" s="9">
        <f>7.8366 * CHOOSE(CONTROL!$C$32, $C$9, 100%, $E$9)</f>
        <v>7.8365999999999998</v>
      </c>
      <c r="C552" s="9">
        <f>7.8366 * CHOOSE(CONTROL!$C$32, $C$9, 100%, $E$9)</f>
        <v>7.8365999999999998</v>
      </c>
      <c r="D552" s="9">
        <f>7.8377 * CHOOSE(CONTROL!$C$32, $C$9, 100%, $E$9)</f>
        <v>7.8376999999999999</v>
      </c>
      <c r="E552" s="11">
        <f>8.7916 * CHOOSE(CONTROL!$C$32, $C$9, 100%, $E$9)</f>
        <v>8.7916000000000007</v>
      </c>
      <c r="F552" s="11">
        <f>8.7916 * CHOOSE(CONTROL!$C$32, $C$9, 100%, $E$9)</f>
        <v>8.7916000000000007</v>
      </c>
      <c r="G552" s="11">
        <f>8.7952 * CHOOSE(CONTROL!$C$32, $C$9, 100%, $E$9)</f>
        <v>8.7951999999999995</v>
      </c>
      <c r="H552" s="11">
        <f>17.6742 * CHOOSE(CONTROL!$C$32, $C$9, 100%, $E$9)</f>
        <v>17.674199999999999</v>
      </c>
      <c r="I552" s="11">
        <f>17.6778 * CHOOSE(CONTROL!$C$32, $C$9, 100%, $E$9)</f>
        <v>17.677800000000001</v>
      </c>
      <c r="J552" s="11">
        <f>17.6742 * CHOOSE(CONTROL!$C$32, $C$9, 100%, $E$9)</f>
        <v>17.674199999999999</v>
      </c>
      <c r="K552" s="11">
        <f>17.6778 * CHOOSE(CONTROL!$C$32, $C$9, 100%, $E$9)</f>
        <v>17.677800000000001</v>
      </c>
      <c r="L552" s="11">
        <f>8.7916 * CHOOSE(CONTROL!$C$32, $C$9, 100%, $E$9)</f>
        <v>8.7916000000000007</v>
      </c>
      <c r="M552" s="11">
        <f>8.7952 * CHOOSE(CONTROL!$C$32, $C$9, 100%, $E$9)</f>
        <v>8.7951999999999995</v>
      </c>
      <c r="N552" s="11">
        <f>8.7916 * CHOOSE(CONTROL!$C$32, $C$9, 100%, $E$9)</f>
        <v>8.7916000000000007</v>
      </c>
      <c r="O552" s="11">
        <f>8.7952 * CHOOSE(CONTROL!$C$32, $C$9, 100%, $E$9)</f>
        <v>8.7951999999999995</v>
      </c>
    </row>
    <row r="553" spans="1:15" ht="15" x14ac:dyDescent="0.2">
      <c r="A553" s="13">
        <v>57680</v>
      </c>
      <c r="B553" s="9">
        <f>7.8366 * CHOOSE(CONTROL!$C$32, $C$9, 100%, $E$9)</f>
        <v>7.8365999999999998</v>
      </c>
      <c r="C553" s="9">
        <f>7.8366 * CHOOSE(CONTROL!$C$32, $C$9, 100%, $E$9)</f>
        <v>7.8365999999999998</v>
      </c>
      <c r="D553" s="9">
        <f>7.8377 * CHOOSE(CONTROL!$C$32, $C$9, 100%, $E$9)</f>
        <v>7.8376999999999999</v>
      </c>
      <c r="E553" s="11">
        <f>8.6867 * CHOOSE(CONTROL!$C$32, $C$9, 100%, $E$9)</f>
        <v>8.6867000000000001</v>
      </c>
      <c r="F553" s="11">
        <f>8.6867 * CHOOSE(CONTROL!$C$32, $C$9, 100%, $E$9)</f>
        <v>8.6867000000000001</v>
      </c>
      <c r="G553" s="11">
        <f>8.6904 * CHOOSE(CONTROL!$C$32, $C$9, 100%, $E$9)</f>
        <v>8.6904000000000003</v>
      </c>
      <c r="H553" s="11">
        <f>17.711 * CHOOSE(CONTROL!$C$32, $C$9, 100%, $E$9)</f>
        <v>17.710999999999999</v>
      </c>
      <c r="I553" s="11">
        <f>17.7147 * CHOOSE(CONTROL!$C$32, $C$9, 100%, $E$9)</f>
        <v>17.714700000000001</v>
      </c>
      <c r="J553" s="11">
        <f>17.711 * CHOOSE(CONTROL!$C$32, $C$9, 100%, $E$9)</f>
        <v>17.710999999999999</v>
      </c>
      <c r="K553" s="11">
        <f>17.7147 * CHOOSE(CONTROL!$C$32, $C$9, 100%, $E$9)</f>
        <v>17.714700000000001</v>
      </c>
      <c r="L553" s="11">
        <f>8.6867 * CHOOSE(CONTROL!$C$32, $C$9, 100%, $E$9)</f>
        <v>8.6867000000000001</v>
      </c>
      <c r="M553" s="11">
        <f>8.6904 * CHOOSE(CONTROL!$C$32, $C$9, 100%, $E$9)</f>
        <v>8.6904000000000003</v>
      </c>
      <c r="N553" s="11">
        <f>8.6867 * CHOOSE(CONTROL!$C$32, $C$9, 100%, $E$9)</f>
        <v>8.6867000000000001</v>
      </c>
      <c r="O553" s="11">
        <f>8.6904 * CHOOSE(CONTROL!$C$32, $C$9, 100%, $E$9)</f>
        <v>8.6904000000000003</v>
      </c>
    </row>
    <row r="554" spans="1:15" ht="15" x14ac:dyDescent="0.2">
      <c r="A554" s="13">
        <v>57711</v>
      </c>
      <c r="B554" s="9">
        <f>7.8952 * CHOOSE(CONTROL!$C$32, $C$9, 100%, $E$9)</f>
        <v>7.8952</v>
      </c>
      <c r="C554" s="9">
        <f>7.8952 * CHOOSE(CONTROL!$C$32, $C$9, 100%, $E$9)</f>
        <v>7.8952</v>
      </c>
      <c r="D554" s="9">
        <f>7.8962 * CHOOSE(CONTROL!$C$32, $C$9, 100%, $E$9)</f>
        <v>7.8962000000000003</v>
      </c>
      <c r="E554" s="11">
        <f>8.8374 * CHOOSE(CONTROL!$C$32, $C$9, 100%, $E$9)</f>
        <v>8.8374000000000006</v>
      </c>
      <c r="F554" s="11">
        <f>8.8374 * CHOOSE(CONTROL!$C$32, $C$9, 100%, $E$9)</f>
        <v>8.8374000000000006</v>
      </c>
      <c r="G554" s="11">
        <f>8.841 * CHOOSE(CONTROL!$C$32, $C$9, 100%, $E$9)</f>
        <v>8.8409999999999993</v>
      </c>
      <c r="H554" s="11">
        <f>17.7479 * CHOOSE(CONTROL!$C$32, $C$9, 100%, $E$9)</f>
        <v>17.747900000000001</v>
      </c>
      <c r="I554" s="11">
        <f>17.7516 * CHOOSE(CONTROL!$C$32, $C$9, 100%, $E$9)</f>
        <v>17.7516</v>
      </c>
      <c r="J554" s="11">
        <f>17.7479 * CHOOSE(CONTROL!$C$32, $C$9, 100%, $E$9)</f>
        <v>17.747900000000001</v>
      </c>
      <c r="K554" s="11">
        <f>17.7516 * CHOOSE(CONTROL!$C$32, $C$9, 100%, $E$9)</f>
        <v>17.7516</v>
      </c>
      <c r="L554" s="11">
        <f>8.8374 * CHOOSE(CONTROL!$C$32, $C$9, 100%, $E$9)</f>
        <v>8.8374000000000006</v>
      </c>
      <c r="M554" s="11">
        <f>8.841 * CHOOSE(CONTROL!$C$32, $C$9, 100%, $E$9)</f>
        <v>8.8409999999999993</v>
      </c>
      <c r="N554" s="11">
        <f>8.8374 * CHOOSE(CONTROL!$C$32, $C$9, 100%, $E$9)</f>
        <v>8.8374000000000006</v>
      </c>
      <c r="O554" s="11">
        <f>8.841 * CHOOSE(CONTROL!$C$32, $C$9, 100%, $E$9)</f>
        <v>8.8409999999999993</v>
      </c>
    </row>
    <row r="555" spans="1:15" ht="15" x14ac:dyDescent="0.2">
      <c r="A555" s="13">
        <v>57742</v>
      </c>
      <c r="B555" s="9">
        <f>7.8921 * CHOOSE(CONTROL!$C$32, $C$9, 100%, $E$9)</f>
        <v>7.8921000000000001</v>
      </c>
      <c r="C555" s="9">
        <f>7.8921 * CHOOSE(CONTROL!$C$32, $C$9, 100%, $E$9)</f>
        <v>7.8921000000000001</v>
      </c>
      <c r="D555" s="9">
        <f>7.8932 * CHOOSE(CONTROL!$C$32, $C$9, 100%, $E$9)</f>
        <v>7.8932000000000002</v>
      </c>
      <c r="E555" s="11">
        <f>8.6307 * CHOOSE(CONTROL!$C$32, $C$9, 100%, $E$9)</f>
        <v>8.6306999999999992</v>
      </c>
      <c r="F555" s="11">
        <f>8.6307 * CHOOSE(CONTROL!$C$32, $C$9, 100%, $E$9)</f>
        <v>8.6306999999999992</v>
      </c>
      <c r="G555" s="11">
        <f>8.6344 * CHOOSE(CONTROL!$C$32, $C$9, 100%, $E$9)</f>
        <v>8.6343999999999994</v>
      </c>
      <c r="H555" s="11">
        <f>17.7849 * CHOOSE(CONTROL!$C$32, $C$9, 100%, $E$9)</f>
        <v>17.7849</v>
      </c>
      <c r="I555" s="11">
        <f>17.7885 * CHOOSE(CONTROL!$C$32, $C$9, 100%, $E$9)</f>
        <v>17.788499999999999</v>
      </c>
      <c r="J555" s="11">
        <f>17.7849 * CHOOSE(CONTROL!$C$32, $C$9, 100%, $E$9)</f>
        <v>17.7849</v>
      </c>
      <c r="K555" s="11">
        <f>17.7885 * CHOOSE(CONTROL!$C$32, $C$9, 100%, $E$9)</f>
        <v>17.788499999999999</v>
      </c>
      <c r="L555" s="11">
        <f>8.6307 * CHOOSE(CONTROL!$C$32, $C$9, 100%, $E$9)</f>
        <v>8.6306999999999992</v>
      </c>
      <c r="M555" s="11">
        <f>8.6344 * CHOOSE(CONTROL!$C$32, $C$9, 100%, $E$9)</f>
        <v>8.6343999999999994</v>
      </c>
      <c r="N555" s="11">
        <f>8.6307 * CHOOSE(CONTROL!$C$32, $C$9, 100%, $E$9)</f>
        <v>8.6306999999999992</v>
      </c>
      <c r="O555" s="11">
        <f>8.6344 * CHOOSE(CONTROL!$C$32, $C$9, 100%, $E$9)</f>
        <v>8.6343999999999994</v>
      </c>
    </row>
    <row r="556" spans="1:15" ht="15" x14ac:dyDescent="0.2">
      <c r="A556" s="13">
        <v>57770</v>
      </c>
      <c r="B556" s="9">
        <f>7.8891 * CHOOSE(CONTROL!$C$32, $C$9, 100%, $E$9)</f>
        <v>7.8891</v>
      </c>
      <c r="C556" s="9">
        <f>7.8891 * CHOOSE(CONTROL!$C$32, $C$9, 100%, $E$9)</f>
        <v>7.8891</v>
      </c>
      <c r="D556" s="9">
        <f>7.8902 * CHOOSE(CONTROL!$C$32, $C$9, 100%, $E$9)</f>
        <v>7.8902000000000001</v>
      </c>
      <c r="E556" s="11">
        <f>8.7899 * CHOOSE(CONTROL!$C$32, $C$9, 100%, $E$9)</f>
        <v>8.7898999999999994</v>
      </c>
      <c r="F556" s="11">
        <f>8.7899 * CHOOSE(CONTROL!$C$32, $C$9, 100%, $E$9)</f>
        <v>8.7898999999999994</v>
      </c>
      <c r="G556" s="11">
        <f>8.7935 * CHOOSE(CONTROL!$C$32, $C$9, 100%, $E$9)</f>
        <v>8.7934999999999999</v>
      </c>
      <c r="H556" s="11">
        <f>17.822 * CHOOSE(CONTROL!$C$32, $C$9, 100%, $E$9)</f>
        <v>17.821999999999999</v>
      </c>
      <c r="I556" s="11">
        <f>17.8256 * CHOOSE(CONTROL!$C$32, $C$9, 100%, $E$9)</f>
        <v>17.825600000000001</v>
      </c>
      <c r="J556" s="11">
        <f>17.822 * CHOOSE(CONTROL!$C$32, $C$9, 100%, $E$9)</f>
        <v>17.821999999999999</v>
      </c>
      <c r="K556" s="11">
        <f>17.8256 * CHOOSE(CONTROL!$C$32, $C$9, 100%, $E$9)</f>
        <v>17.825600000000001</v>
      </c>
      <c r="L556" s="11">
        <f>8.7899 * CHOOSE(CONTROL!$C$32, $C$9, 100%, $E$9)</f>
        <v>8.7898999999999994</v>
      </c>
      <c r="M556" s="11">
        <f>8.7935 * CHOOSE(CONTROL!$C$32, $C$9, 100%, $E$9)</f>
        <v>8.7934999999999999</v>
      </c>
      <c r="N556" s="11">
        <f>8.7899 * CHOOSE(CONTROL!$C$32, $C$9, 100%, $E$9)</f>
        <v>8.7898999999999994</v>
      </c>
      <c r="O556" s="11">
        <f>8.7935 * CHOOSE(CONTROL!$C$32, $C$9, 100%, $E$9)</f>
        <v>8.7934999999999999</v>
      </c>
    </row>
    <row r="557" spans="1:15" ht="15" x14ac:dyDescent="0.2">
      <c r="A557" s="13">
        <v>57801</v>
      </c>
      <c r="B557" s="9">
        <f>7.8905 * CHOOSE(CONTROL!$C$32, $C$9, 100%, $E$9)</f>
        <v>7.8905000000000003</v>
      </c>
      <c r="C557" s="9">
        <f>7.8905 * CHOOSE(CONTROL!$C$32, $C$9, 100%, $E$9)</f>
        <v>7.8905000000000003</v>
      </c>
      <c r="D557" s="9">
        <f>7.8916 * CHOOSE(CONTROL!$C$32, $C$9, 100%, $E$9)</f>
        <v>7.8916000000000004</v>
      </c>
      <c r="E557" s="11">
        <f>8.9588 * CHOOSE(CONTROL!$C$32, $C$9, 100%, $E$9)</f>
        <v>8.9588000000000001</v>
      </c>
      <c r="F557" s="11">
        <f>8.9588 * CHOOSE(CONTROL!$C$32, $C$9, 100%, $E$9)</f>
        <v>8.9588000000000001</v>
      </c>
      <c r="G557" s="11">
        <f>8.9624 * CHOOSE(CONTROL!$C$32, $C$9, 100%, $E$9)</f>
        <v>8.9624000000000006</v>
      </c>
      <c r="H557" s="11">
        <f>17.8591 * CHOOSE(CONTROL!$C$32, $C$9, 100%, $E$9)</f>
        <v>17.859100000000002</v>
      </c>
      <c r="I557" s="11">
        <f>17.8627 * CHOOSE(CONTROL!$C$32, $C$9, 100%, $E$9)</f>
        <v>17.8627</v>
      </c>
      <c r="J557" s="11">
        <f>17.8591 * CHOOSE(CONTROL!$C$32, $C$9, 100%, $E$9)</f>
        <v>17.859100000000002</v>
      </c>
      <c r="K557" s="11">
        <f>17.8627 * CHOOSE(CONTROL!$C$32, $C$9, 100%, $E$9)</f>
        <v>17.8627</v>
      </c>
      <c r="L557" s="11">
        <f>8.9588 * CHOOSE(CONTROL!$C$32, $C$9, 100%, $E$9)</f>
        <v>8.9588000000000001</v>
      </c>
      <c r="M557" s="11">
        <f>8.9624 * CHOOSE(CONTROL!$C$32, $C$9, 100%, $E$9)</f>
        <v>8.9624000000000006</v>
      </c>
      <c r="N557" s="11">
        <f>8.9588 * CHOOSE(CONTROL!$C$32, $C$9, 100%, $E$9)</f>
        <v>8.9588000000000001</v>
      </c>
      <c r="O557" s="11">
        <f>8.9624 * CHOOSE(CONTROL!$C$32, $C$9, 100%, $E$9)</f>
        <v>8.9624000000000006</v>
      </c>
    </row>
    <row r="558" spans="1:15" ht="15" x14ac:dyDescent="0.2">
      <c r="A558" s="13">
        <v>57831</v>
      </c>
      <c r="B558" s="9">
        <f>7.8905 * CHOOSE(CONTROL!$C$32, $C$9, 100%, $E$9)</f>
        <v>7.8905000000000003</v>
      </c>
      <c r="C558" s="9">
        <f>7.8905 * CHOOSE(CONTROL!$C$32, $C$9, 100%, $E$9)</f>
        <v>7.8905000000000003</v>
      </c>
      <c r="D558" s="9">
        <f>7.8921 * CHOOSE(CONTROL!$C$32, $C$9, 100%, $E$9)</f>
        <v>7.8921000000000001</v>
      </c>
      <c r="E558" s="11">
        <f>9.0237 * CHOOSE(CONTROL!$C$32, $C$9, 100%, $E$9)</f>
        <v>9.0236999999999998</v>
      </c>
      <c r="F558" s="11">
        <f>9.0237 * CHOOSE(CONTROL!$C$32, $C$9, 100%, $E$9)</f>
        <v>9.0236999999999998</v>
      </c>
      <c r="G558" s="11">
        <f>9.029 * CHOOSE(CONTROL!$C$32, $C$9, 100%, $E$9)</f>
        <v>9.0289999999999999</v>
      </c>
      <c r="H558" s="11">
        <f>17.8963 * CHOOSE(CONTROL!$C$32, $C$9, 100%, $E$9)</f>
        <v>17.8963</v>
      </c>
      <c r="I558" s="11">
        <f>17.9016 * CHOOSE(CONTROL!$C$32, $C$9, 100%, $E$9)</f>
        <v>17.901599999999998</v>
      </c>
      <c r="J558" s="11">
        <f>17.8963 * CHOOSE(CONTROL!$C$32, $C$9, 100%, $E$9)</f>
        <v>17.8963</v>
      </c>
      <c r="K558" s="11">
        <f>17.9016 * CHOOSE(CONTROL!$C$32, $C$9, 100%, $E$9)</f>
        <v>17.901599999999998</v>
      </c>
      <c r="L558" s="11">
        <f>9.0237 * CHOOSE(CONTROL!$C$32, $C$9, 100%, $E$9)</f>
        <v>9.0236999999999998</v>
      </c>
      <c r="M558" s="11">
        <f>9.029 * CHOOSE(CONTROL!$C$32, $C$9, 100%, $E$9)</f>
        <v>9.0289999999999999</v>
      </c>
      <c r="N558" s="11">
        <f>9.0237 * CHOOSE(CONTROL!$C$32, $C$9, 100%, $E$9)</f>
        <v>9.0236999999999998</v>
      </c>
      <c r="O558" s="11">
        <f>9.029 * CHOOSE(CONTROL!$C$32, $C$9, 100%, $E$9)</f>
        <v>9.0289999999999999</v>
      </c>
    </row>
    <row r="559" spans="1:15" ht="15" x14ac:dyDescent="0.2">
      <c r="A559" s="13">
        <v>57862</v>
      </c>
      <c r="B559" s="9">
        <f>7.8966 * CHOOSE(CONTROL!$C$32, $C$9, 100%, $E$9)</f>
        <v>7.8966000000000003</v>
      </c>
      <c r="C559" s="9">
        <f>7.8966 * CHOOSE(CONTROL!$C$32, $C$9, 100%, $E$9)</f>
        <v>7.8966000000000003</v>
      </c>
      <c r="D559" s="9">
        <f>7.8982 * CHOOSE(CONTROL!$C$32, $C$9, 100%, $E$9)</f>
        <v>7.8982000000000001</v>
      </c>
      <c r="E559" s="11">
        <f>8.963 * CHOOSE(CONTROL!$C$32, $C$9, 100%, $E$9)</f>
        <v>8.9629999999999992</v>
      </c>
      <c r="F559" s="11">
        <f>8.963 * CHOOSE(CONTROL!$C$32, $C$9, 100%, $E$9)</f>
        <v>8.9629999999999992</v>
      </c>
      <c r="G559" s="11">
        <f>8.9683 * CHOOSE(CONTROL!$C$32, $C$9, 100%, $E$9)</f>
        <v>8.9682999999999993</v>
      </c>
      <c r="H559" s="11">
        <f>17.9336 * CHOOSE(CONTROL!$C$32, $C$9, 100%, $E$9)</f>
        <v>17.933599999999998</v>
      </c>
      <c r="I559" s="11">
        <f>17.9389 * CHOOSE(CONTROL!$C$32, $C$9, 100%, $E$9)</f>
        <v>17.9389</v>
      </c>
      <c r="J559" s="11">
        <f>17.9336 * CHOOSE(CONTROL!$C$32, $C$9, 100%, $E$9)</f>
        <v>17.933599999999998</v>
      </c>
      <c r="K559" s="11">
        <f>17.9389 * CHOOSE(CONTROL!$C$32, $C$9, 100%, $E$9)</f>
        <v>17.9389</v>
      </c>
      <c r="L559" s="11">
        <f>8.963 * CHOOSE(CONTROL!$C$32, $C$9, 100%, $E$9)</f>
        <v>8.9629999999999992</v>
      </c>
      <c r="M559" s="11">
        <f>8.9683 * CHOOSE(CONTROL!$C$32, $C$9, 100%, $E$9)</f>
        <v>8.9682999999999993</v>
      </c>
      <c r="N559" s="11">
        <f>8.963 * CHOOSE(CONTROL!$C$32, $C$9, 100%, $E$9)</f>
        <v>8.9629999999999992</v>
      </c>
      <c r="O559" s="11">
        <f>8.9683 * CHOOSE(CONTROL!$C$32, $C$9, 100%, $E$9)</f>
        <v>8.9682999999999993</v>
      </c>
    </row>
    <row r="560" spans="1:15" ht="15" x14ac:dyDescent="0.2">
      <c r="A560" s="13">
        <v>57892</v>
      </c>
      <c r="B560" s="9">
        <f>7.9979 * CHOOSE(CONTROL!$C$32, $C$9, 100%, $E$9)</f>
        <v>7.9978999999999996</v>
      </c>
      <c r="C560" s="9">
        <f>7.9979 * CHOOSE(CONTROL!$C$32, $C$9, 100%, $E$9)</f>
        <v>7.9978999999999996</v>
      </c>
      <c r="D560" s="9">
        <f>7.9995 * CHOOSE(CONTROL!$C$32, $C$9, 100%, $E$9)</f>
        <v>7.9995000000000003</v>
      </c>
      <c r="E560" s="11">
        <f>9.0871 * CHOOSE(CONTROL!$C$32, $C$9, 100%, $E$9)</f>
        <v>9.0870999999999995</v>
      </c>
      <c r="F560" s="11">
        <f>9.0871 * CHOOSE(CONTROL!$C$32, $C$9, 100%, $E$9)</f>
        <v>9.0870999999999995</v>
      </c>
      <c r="G560" s="11">
        <f>9.0924 * CHOOSE(CONTROL!$C$32, $C$9, 100%, $E$9)</f>
        <v>9.0923999999999996</v>
      </c>
      <c r="H560" s="11">
        <f>17.9709 * CHOOSE(CONTROL!$C$32, $C$9, 100%, $E$9)</f>
        <v>17.9709</v>
      </c>
      <c r="I560" s="11">
        <f>17.9762 * CHOOSE(CONTROL!$C$32, $C$9, 100%, $E$9)</f>
        <v>17.976199999999999</v>
      </c>
      <c r="J560" s="11">
        <f>17.9709 * CHOOSE(CONTROL!$C$32, $C$9, 100%, $E$9)</f>
        <v>17.9709</v>
      </c>
      <c r="K560" s="11">
        <f>17.9762 * CHOOSE(CONTROL!$C$32, $C$9, 100%, $E$9)</f>
        <v>17.976199999999999</v>
      </c>
      <c r="L560" s="11">
        <f>9.0871 * CHOOSE(CONTROL!$C$32, $C$9, 100%, $E$9)</f>
        <v>9.0870999999999995</v>
      </c>
      <c r="M560" s="11">
        <f>9.0924 * CHOOSE(CONTROL!$C$32, $C$9, 100%, $E$9)</f>
        <v>9.0923999999999996</v>
      </c>
      <c r="N560" s="11">
        <f>9.0871 * CHOOSE(CONTROL!$C$32, $C$9, 100%, $E$9)</f>
        <v>9.0870999999999995</v>
      </c>
      <c r="O560" s="11">
        <f>9.0924 * CHOOSE(CONTROL!$C$32, $C$9, 100%, $E$9)</f>
        <v>9.0923999999999996</v>
      </c>
    </row>
    <row r="561" spans="1:15" ht="15" x14ac:dyDescent="0.2">
      <c r="A561" s="13">
        <v>57923</v>
      </c>
      <c r="B561" s="9">
        <f>8.0046 * CHOOSE(CONTROL!$C$32, $C$9, 100%, $E$9)</f>
        <v>8.0045999999999999</v>
      </c>
      <c r="C561" s="9">
        <f>8.0046 * CHOOSE(CONTROL!$C$32, $C$9, 100%, $E$9)</f>
        <v>8.0045999999999999</v>
      </c>
      <c r="D561" s="9">
        <f>8.0062 * CHOOSE(CONTROL!$C$32, $C$9, 100%, $E$9)</f>
        <v>8.0061999999999998</v>
      </c>
      <c r="E561" s="11">
        <f>8.897 * CHOOSE(CONTROL!$C$32, $C$9, 100%, $E$9)</f>
        <v>8.8970000000000002</v>
      </c>
      <c r="F561" s="11">
        <f>8.897 * CHOOSE(CONTROL!$C$32, $C$9, 100%, $E$9)</f>
        <v>8.8970000000000002</v>
      </c>
      <c r="G561" s="11">
        <f>8.9022 * CHOOSE(CONTROL!$C$32, $C$9, 100%, $E$9)</f>
        <v>8.9022000000000006</v>
      </c>
      <c r="H561" s="11">
        <f>18.0084 * CHOOSE(CONTROL!$C$32, $C$9, 100%, $E$9)</f>
        <v>18.008400000000002</v>
      </c>
      <c r="I561" s="11">
        <f>18.0137 * CHOOSE(CONTROL!$C$32, $C$9, 100%, $E$9)</f>
        <v>18.0137</v>
      </c>
      <c r="J561" s="11">
        <f>18.0084 * CHOOSE(CONTROL!$C$32, $C$9, 100%, $E$9)</f>
        <v>18.008400000000002</v>
      </c>
      <c r="K561" s="11">
        <f>18.0137 * CHOOSE(CONTROL!$C$32, $C$9, 100%, $E$9)</f>
        <v>18.0137</v>
      </c>
      <c r="L561" s="11">
        <f>8.897 * CHOOSE(CONTROL!$C$32, $C$9, 100%, $E$9)</f>
        <v>8.8970000000000002</v>
      </c>
      <c r="M561" s="11">
        <f>8.9022 * CHOOSE(CONTROL!$C$32, $C$9, 100%, $E$9)</f>
        <v>8.9022000000000006</v>
      </c>
      <c r="N561" s="11">
        <f>8.897 * CHOOSE(CONTROL!$C$32, $C$9, 100%, $E$9)</f>
        <v>8.8970000000000002</v>
      </c>
      <c r="O561" s="11">
        <f>8.9022 * CHOOSE(CONTROL!$C$32, $C$9, 100%, $E$9)</f>
        <v>8.9022000000000006</v>
      </c>
    </row>
    <row r="562" spans="1:15" ht="15" x14ac:dyDescent="0.2">
      <c r="A562" s="13">
        <v>57954</v>
      </c>
      <c r="B562" s="9">
        <f>8.0015 * CHOOSE(CONTROL!$C$32, $C$9, 100%, $E$9)</f>
        <v>8.0015000000000001</v>
      </c>
      <c r="C562" s="9">
        <f>8.0015 * CHOOSE(CONTROL!$C$32, $C$9, 100%, $E$9)</f>
        <v>8.0015000000000001</v>
      </c>
      <c r="D562" s="9">
        <f>8.0031 * CHOOSE(CONTROL!$C$32, $C$9, 100%, $E$9)</f>
        <v>8.0030999999999999</v>
      </c>
      <c r="E562" s="11">
        <f>8.8732 * CHOOSE(CONTROL!$C$32, $C$9, 100%, $E$9)</f>
        <v>8.8732000000000006</v>
      </c>
      <c r="F562" s="11">
        <f>8.8732 * CHOOSE(CONTROL!$C$32, $C$9, 100%, $E$9)</f>
        <v>8.8732000000000006</v>
      </c>
      <c r="G562" s="11">
        <f>8.8785 * CHOOSE(CONTROL!$C$32, $C$9, 100%, $E$9)</f>
        <v>8.8785000000000007</v>
      </c>
      <c r="H562" s="11">
        <f>18.0459 * CHOOSE(CONTROL!$C$32, $C$9, 100%, $E$9)</f>
        <v>18.0459</v>
      </c>
      <c r="I562" s="11">
        <f>18.0512 * CHOOSE(CONTROL!$C$32, $C$9, 100%, $E$9)</f>
        <v>18.051200000000001</v>
      </c>
      <c r="J562" s="11">
        <f>18.0459 * CHOOSE(CONTROL!$C$32, $C$9, 100%, $E$9)</f>
        <v>18.0459</v>
      </c>
      <c r="K562" s="11">
        <f>18.0512 * CHOOSE(CONTROL!$C$32, $C$9, 100%, $E$9)</f>
        <v>18.051200000000001</v>
      </c>
      <c r="L562" s="11">
        <f>8.8732 * CHOOSE(CONTROL!$C$32, $C$9, 100%, $E$9)</f>
        <v>8.8732000000000006</v>
      </c>
      <c r="M562" s="11">
        <f>8.8785 * CHOOSE(CONTROL!$C$32, $C$9, 100%, $E$9)</f>
        <v>8.8785000000000007</v>
      </c>
      <c r="N562" s="11">
        <f>8.8732 * CHOOSE(CONTROL!$C$32, $C$9, 100%, $E$9)</f>
        <v>8.8732000000000006</v>
      </c>
      <c r="O562" s="11">
        <f>8.8785 * CHOOSE(CONTROL!$C$32, $C$9, 100%, $E$9)</f>
        <v>8.8785000000000007</v>
      </c>
    </row>
    <row r="563" spans="1:15" ht="15" x14ac:dyDescent="0.2">
      <c r="A563" s="13">
        <v>57984</v>
      </c>
      <c r="B563" s="9">
        <f>8.0115 * CHOOSE(CONTROL!$C$32, $C$9, 100%, $E$9)</f>
        <v>8.0114999999999998</v>
      </c>
      <c r="C563" s="9">
        <f>8.0115 * CHOOSE(CONTROL!$C$32, $C$9, 100%, $E$9)</f>
        <v>8.0114999999999998</v>
      </c>
      <c r="D563" s="9">
        <f>8.0126 * CHOOSE(CONTROL!$C$32, $C$9, 100%, $E$9)</f>
        <v>8.0126000000000008</v>
      </c>
      <c r="E563" s="11">
        <f>8.9464 * CHOOSE(CONTROL!$C$32, $C$9, 100%, $E$9)</f>
        <v>8.9464000000000006</v>
      </c>
      <c r="F563" s="11">
        <f>8.9464 * CHOOSE(CONTROL!$C$32, $C$9, 100%, $E$9)</f>
        <v>8.9464000000000006</v>
      </c>
      <c r="G563" s="11">
        <f>8.95 * CHOOSE(CONTROL!$C$32, $C$9, 100%, $E$9)</f>
        <v>8.9499999999999993</v>
      </c>
      <c r="H563" s="11">
        <f>18.0835 * CHOOSE(CONTROL!$C$32, $C$9, 100%, $E$9)</f>
        <v>18.083500000000001</v>
      </c>
      <c r="I563" s="11">
        <f>18.0871 * CHOOSE(CONTROL!$C$32, $C$9, 100%, $E$9)</f>
        <v>18.0871</v>
      </c>
      <c r="J563" s="11">
        <f>18.0835 * CHOOSE(CONTROL!$C$32, $C$9, 100%, $E$9)</f>
        <v>18.083500000000001</v>
      </c>
      <c r="K563" s="11">
        <f>18.0871 * CHOOSE(CONTROL!$C$32, $C$9, 100%, $E$9)</f>
        <v>18.0871</v>
      </c>
      <c r="L563" s="11">
        <f>8.9464 * CHOOSE(CONTROL!$C$32, $C$9, 100%, $E$9)</f>
        <v>8.9464000000000006</v>
      </c>
      <c r="M563" s="11">
        <f>8.95 * CHOOSE(CONTROL!$C$32, $C$9, 100%, $E$9)</f>
        <v>8.9499999999999993</v>
      </c>
      <c r="N563" s="11">
        <f>8.9464 * CHOOSE(CONTROL!$C$32, $C$9, 100%, $E$9)</f>
        <v>8.9464000000000006</v>
      </c>
      <c r="O563" s="11">
        <f>8.95 * CHOOSE(CONTROL!$C$32, $C$9, 100%, $E$9)</f>
        <v>8.9499999999999993</v>
      </c>
    </row>
    <row r="564" spans="1:15" ht="15" x14ac:dyDescent="0.2">
      <c r="A564" s="13">
        <v>58015</v>
      </c>
      <c r="B564" s="9">
        <f>8.0145 * CHOOSE(CONTROL!$C$32, $C$9, 100%, $E$9)</f>
        <v>8.0145</v>
      </c>
      <c r="C564" s="9">
        <f>8.0145 * CHOOSE(CONTROL!$C$32, $C$9, 100%, $E$9)</f>
        <v>8.0145</v>
      </c>
      <c r="D564" s="9">
        <f>8.0156 * CHOOSE(CONTROL!$C$32, $C$9, 100%, $E$9)</f>
        <v>8.0155999999999992</v>
      </c>
      <c r="E564" s="11">
        <f>8.9918 * CHOOSE(CONTROL!$C$32, $C$9, 100%, $E$9)</f>
        <v>8.9917999999999996</v>
      </c>
      <c r="F564" s="11">
        <f>8.9918 * CHOOSE(CONTROL!$C$32, $C$9, 100%, $E$9)</f>
        <v>8.9917999999999996</v>
      </c>
      <c r="G564" s="11">
        <f>8.9954 * CHOOSE(CONTROL!$C$32, $C$9, 100%, $E$9)</f>
        <v>8.9954000000000001</v>
      </c>
      <c r="H564" s="11">
        <f>18.1212 * CHOOSE(CONTROL!$C$32, $C$9, 100%, $E$9)</f>
        <v>18.121200000000002</v>
      </c>
      <c r="I564" s="11">
        <f>18.1248 * CHOOSE(CONTROL!$C$32, $C$9, 100%, $E$9)</f>
        <v>18.1248</v>
      </c>
      <c r="J564" s="11">
        <f>18.1212 * CHOOSE(CONTROL!$C$32, $C$9, 100%, $E$9)</f>
        <v>18.121200000000002</v>
      </c>
      <c r="K564" s="11">
        <f>18.1248 * CHOOSE(CONTROL!$C$32, $C$9, 100%, $E$9)</f>
        <v>18.1248</v>
      </c>
      <c r="L564" s="11">
        <f>8.9918 * CHOOSE(CONTROL!$C$32, $C$9, 100%, $E$9)</f>
        <v>8.9917999999999996</v>
      </c>
      <c r="M564" s="11">
        <f>8.9954 * CHOOSE(CONTROL!$C$32, $C$9, 100%, $E$9)</f>
        <v>8.9954000000000001</v>
      </c>
      <c r="N564" s="11">
        <f>8.9918 * CHOOSE(CONTROL!$C$32, $C$9, 100%, $E$9)</f>
        <v>8.9917999999999996</v>
      </c>
      <c r="O564" s="11">
        <f>8.9954 * CHOOSE(CONTROL!$C$32, $C$9, 100%, $E$9)</f>
        <v>8.9954000000000001</v>
      </c>
    </row>
    <row r="565" spans="1:15" ht="15" x14ac:dyDescent="0.2">
      <c r="A565" s="13">
        <v>58045</v>
      </c>
      <c r="B565" s="9">
        <f>8.0145 * CHOOSE(CONTROL!$C$32, $C$9, 100%, $E$9)</f>
        <v>8.0145</v>
      </c>
      <c r="C565" s="9">
        <f>8.0145 * CHOOSE(CONTROL!$C$32, $C$9, 100%, $E$9)</f>
        <v>8.0145</v>
      </c>
      <c r="D565" s="9">
        <f>8.0156 * CHOOSE(CONTROL!$C$32, $C$9, 100%, $E$9)</f>
        <v>8.0155999999999992</v>
      </c>
      <c r="E565" s="11">
        <f>8.8835 * CHOOSE(CONTROL!$C$32, $C$9, 100%, $E$9)</f>
        <v>8.8834999999999997</v>
      </c>
      <c r="F565" s="11">
        <f>8.8835 * CHOOSE(CONTROL!$C$32, $C$9, 100%, $E$9)</f>
        <v>8.8834999999999997</v>
      </c>
      <c r="G565" s="11">
        <f>8.8872 * CHOOSE(CONTROL!$C$32, $C$9, 100%, $E$9)</f>
        <v>8.8872</v>
      </c>
      <c r="H565" s="11">
        <f>18.1589 * CHOOSE(CONTROL!$C$32, $C$9, 100%, $E$9)</f>
        <v>18.158899999999999</v>
      </c>
      <c r="I565" s="11">
        <f>18.1625 * CHOOSE(CONTROL!$C$32, $C$9, 100%, $E$9)</f>
        <v>18.162500000000001</v>
      </c>
      <c r="J565" s="11">
        <f>18.1589 * CHOOSE(CONTROL!$C$32, $C$9, 100%, $E$9)</f>
        <v>18.158899999999999</v>
      </c>
      <c r="K565" s="11">
        <f>18.1625 * CHOOSE(CONTROL!$C$32, $C$9, 100%, $E$9)</f>
        <v>18.162500000000001</v>
      </c>
      <c r="L565" s="11">
        <f>8.8835 * CHOOSE(CONTROL!$C$32, $C$9, 100%, $E$9)</f>
        <v>8.8834999999999997</v>
      </c>
      <c r="M565" s="11">
        <f>8.8872 * CHOOSE(CONTROL!$C$32, $C$9, 100%, $E$9)</f>
        <v>8.8872</v>
      </c>
      <c r="N565" s="11">
        <f>8.8835 * CHOOSE(CONTROL!$C$32, $C$9, 100%, $E$9)</f>
        <v>8.8834999999999997</v>
      </c>
      <c r="O565" s="11">
        <f>8.8872 * CHOOSE(CONTROL!$C$32, $C$9, 100%, $E$9)</f>
        <v>8.8872</v>
      </c>
    </row>
    <row r="566" spans="1:15" ht="15" x14ac:dyDescent="0.2">
      <c r="A566" s="13">
        <v>58076</v>
      </c>
      <c r="B566" s="9">
        <f>8.0743 * CHOOSE(CONTROL!$C$32, $C$9, 100%, $E$9)</f>
        <v>8.0742999999999991</v>
      </c>
      <c r="C566" s="9">
        <f>8.0743 * CHOOSE(CONTROL!$C$32, $C$9, 100%, $E$9)</f>
        <v>8.0742999999999991</v>
      </c>
      <c r="D566" s="9">
        <f>8.0754 * CHOOSE(CONTROL!$C$32, $C$9, 100%, $E$9)</f>
        <v>8.0754000000000001</v>
      </c>
      <c r="E566" s="11">
        <f>9.0387 * CHOOSE(CONTROL!$C$32, $C$9, 100%, $E$9)</f>
        <v>9.0387000000000004</v>
      </c>
      <c r="F566" s="11">
        <f>9.0387 * CHOOSE(CONTROL!$C$32, $C$9, 100%, $E$9)</f>
        <v>9.0387000000000004</v>
      </c>
      <c r="G566" s="11">
        <f>9.0423 * CHOOSE(CONTROL!$C$32, $C$9, 100%, $E$9)</f>
        <v>9.0422999999999991</v>
      </c>
      <c r="H566" s="11">
        <f>18.1968 * CHOOSE(CONTROL!$C$32, $C$9, 100%, $E$9)</f>
        <v>18.1968</v>
      </c>
      <c r="I566" s="11">
        <f>18.2004 * CHOOSE(CONTROL!$C$32, $C$9, 100%, $E$9)</f>
        <v>18.200399999999998</v>
      </c>
      <c r="J566" s="11">
        <f>18.1968 * CHOOSE(CONTROL!$C$32, $C$9, 100%, $E$9)</f>
        <v>18.1968</v>
      </c>
      <c r="K566" s="11">
        <f>18.2004 * CHOOSE(CONTROL!$C$32, $C$9, 100%, $E$9)</f>
        <v>18.200399999999998</v>
      </c>
      <c r="L566" s="11">
        <f>9.0387 * CHOOSE(CONTROL!$C$32, $C$9, 100%, $E$9)</f>
        <v>9.0387000000000004</v>
      </c>
      <c r="M566" s="11">
        <f>9.0423 * CHOOSE(CONTROL!$C$32, $C$9, 100%, $E$9)</f>
        <v>9.0422999999999991</v>
      </c>
      <c r="N566" s="11">
        <f>9.0387 * CHOOSE(CONTROL!$C$32, $C$9, 100%, $E$9)</f>
        <v>9.0387000000000004</v>
      </c>
      <c r="O566" s="11">
        <f>9.0423 * CHOOSE(CONTROL!$C$32, $C$9, 100%, $E$9)</f>
        <v>9.0422999999999991</v>
      </c>
    </row>
    <row r="567" spans="1:15" ht="15" x14ac:dyDescent="0.2">
      <c r="A567" s="13">
        <v>58107</v>
      </c>
      <c r="B567" s="9">
        <f>8.0713 * CHOOSE(CONTROL!$C$32, $C$9, 100%, $E$9)</f>
        <v>8.0713000000000008</v>
      </c>
      <c r="C567" s="9">
        <f>8.0713 * CHOOSE(CONTROL!$C$32, $C$9, 100%, $E$9)</f>
        <v>8.0713000000000008</v>
      </c>
      <c r="D567" s="9">
        <f>8.0723 * CHOOSE(CONTROL!$C$32, $C$9, 100%, $E$9)</f>
        <v>8.0723000000000003</v>
      </c>
      <c r="E567" s="11">
        <f>8.8254 * CHOOSE(CONTROL!$C$32, $C$9, 100%, $E$9)</f>
        <v>8.8254000000000001</v>
      </c>
      <c r="F567" s="11">
        <f>8.8254 * CHOOSE(CONTROL!$C$32, $C$9, 100%, $E$9)</f>
        <v>8.8254000000000001</v>
      </c>
      <c r="G567" s="11">
        <f>8.829 * CHOOSE(CONTROL!$C$32, $C$9, 100%, $E$9)</f>
        <v>8.8290000000000006</v>
      </c>
      <c r="H567" s="11">
        <f>18.2347 * CHOOSE(CONTROL!$C$32, $C$9, 100%, $E$9)</f>
        <v>18.2347</v>
      </c>
      <c r="I567" s="11">
        <f>18.2383 * CHOOSE(CONTROL!$C$32, $C$9, 100%, $E$9)</f>
        <v>18.238299999999999</v>
      </c>
      <c r="J567" s="11">
        <f>18.2347 * CHOOSE(CONTROL!$C$32, $C$9, 100%, $E$9)</f>
        <v>18.2347</v>
      </c>
      <c r="K567" s="11">
        <f>18.2383 * CHOOSE(CONTROL!$C$32, $C$9, 100%, $E$9)</f>
        <v>18.238299999999999</v>
      </c>
      <c r="L567" s="11">
        <f>8.8254 * CHOOSE(CONTROL!$C$32, $C$9, 100%, $E$9)</f>
        <v>8.8254000000000001</v>
      </c>
      <c r="M567" s="11">
        <f>8.829 * CHOOSE(CONTROL!$C$32, $C$9, 100%, $E$9)</f>
        <v>8.8290000000000006</v>
      </c>
      <c r="N567" s="11">
        <f>8.8254 * CHOOSE(CONTROL!$C$32, $C$9, 100%, $E$9)</f>
        <v>8.8254000000000001</v>
      </c>
      <c r="O567" s="11">
        <f>8.829 * CHOOSE(CONTROL!$C$32, $C$9, 100%, $E$9)</f>
        <v>8.8290000000000006</v>
      </c>
    </row>
    <row r="568" spans="1:15" ht="15" x14ac:dyDescent="0.2">
      <c r="A568" s="13">
        <v>58135</v>
      </c>
      <c r="B568" s="9">
        <f>8.0682 * CHOOSE(CONTROL!$C$32, $C$9, 100%, $E$9)</f>
        <v>8.0681999999999992</v>
      </c>
      <c r="C568" s="9">
        <f>8.0682 * CHOOSE(CONTROL!$C$32, $C$9, 100%, $E$9)</f>
        <v>8.0681999999999992</v>
      </c>
      <c r="D568" s="9">
        <f>8.0693 * CHOOSE(CONTROL!$C$32, $C$9, 100%, $E$9)</f>
        <v>8.0693000000000001</v>
      </c>
      <c r="E568" s="11">
        <f>8.9897 * CHOOSE(CONTROL!$C$32, $C$9, 100%, $E$9)</f>
        <v>8.9896999999999991</v>
      </c>
      <c r="F568" s="11">
        <f>8.9897 * CHOOSE(CONTROL!$C$32, $C$9, 100%, $E$9)</f>
        <v>8.9896999999999991</v>
      </c>
      <c r="G568" s="11">
        <f>8.9934 * CHOOSE(CONTROL!$C$32, $C$9, 100%, $E$9)</f>
        <v>8.9933999999999994</v>
      </c>
      <c r="H568" s="11">
        <f>18.2727 * CHOOSE(CONTROL!$C$32, $C$9, 100%, $E$9)</f>
        <v>18.2727</v>
      </c>
      <c r="I568" s="11">
        <f>18.2763 * CHOOSE(CONTROL!$C$32, $C$9, 100%, $E$9)</f>
        <v>18.276299999999999</v>
      </c>
      <c r="J568" s="11">
        <f>18.2727 * CHOOSE(CONTROL!$C$32, $C$9, 100%, $E$9)</f>
        <v>18.2727</v>
      </c>
      <c r="K568" s="11">
        <f>18.2763 * CHOOSE(CONTROL!$C$32, $C$9, 100%, $E$9)</f>
        <v>18.276299999999999</v>
      </c>
      <c r="L568" s="11">
        <f>8.9897 * CHOOSE(CONTROL!$C$32, $C$9, 100%, $E$9)</f>
        <v>8.9896999999999991</v>
      </c>
      <c r="M568" s="11">
        <f>8.9934 * CHOOSE(CONTROL!$C$32, $C$9, 100%, $E$9)</f>
        <v>8.9933999999999994</v>
      </c>
      <c r="N568" s="11">
        <f>8.9897 * CHOOSE(CONTROL!$C$32, $C$9, 100%, $E$9)</f>
        <v>8.9896999999999991</v>
      </c>
      <c r="O568" s="11">
        <f>8.9934 * CHOOSE(CONTROL!$C$32, $C$9, 100%, $E$9)</f>
        <v>8.9933999999999994</v>
      </c>
    </row>
    <row r="569" spans="1:15" ht="15" x14ac:dyDescent="0.2">
      <c r="A569" s="13">
        <v>58166</v>
      </c>
      <c r="B569" s="9">
        <f>8.0698 * CHOOSE(CONTROL!$C$32, $C$9, 100%, $E$9)</f>
        <v>8.0698000000000008</v>
      </c>
      <c r="C569" s="9">
        <f>8.0698 * CHOOSE(CONTROL!$C$32, $C$9, 100%, $E$9)</f>
        <v>8.0698000000000008</v>
      </c>
      <c r="D569" s="9">
        <f>8.0709 * CHOOSE(CONTROL!$C$32, $C$9, 100%, $E$9)</f>
        <v>8.0709</v>
      </c>
      <c r="E569" s="11">
        <f>9.1643 * CHOOSE(CONTROL!$C$32, $C$9, 100%, $E$9)</f>
        <v>9.1643000000000008</v>
      </c>
      <c r="F569" s="11">
        <f>9.1643 * CHOOSE(CONTROL!$C$32, $C$9, 100%, $E$9)</f>
        <v>9.1643000000000008</v>
      </c>
      <c r="G569" s="11">
        <f>9.1679 * CHOOSE(CONTROL!$C$32, $C$9, 100%, $E$9)</f>
        <v>9.1678999999999995</v>
      </c>
      <c r="H569" s="11">
        <f>18.3107 * CHOOSE(CONTROL!$C$32, $C$9, 100%, $E$9)</f>
        <v>18.310700000000001</v>
      </c>
      <c r="I569" s="11">
        <f>18.3143 * CHOOSE(CONTROL!$C$32, $C$9, 100%, $E$9)</f>
        <v>18.314299999999999</v>
      </c>
      <c r="J569" s="11">
        <f>18.3107 * CHOOSE(CONTROL!$C$32, $C$9, 100%, $E$9)</f>
        <v>18.310700000000001</v>
      </c>
      <c r="K569" s="11">
        <f>18.3143 * CHOOSE(CONTROL!$C$32, $C$9, 100%, $E$9)</f>
        <v>18.314299999999999</v>
      </c>
      <c r="L569" s="11">
        <f>9.1643 * CHOOSE(CONTROL!$C$32, $C$9, 100%, $E$9)</f>
        <v>9.1643000000000008</v>
      </c>
      <c r="M569" s="11">
        <f>9.1679 * CHOOSE(CONTROL!$C$32, $C$9, 100%, $E$9)</f>
        <v>9.1678999999999995</v>
      </c>
      <c r="N569" s="11">
        <f>9.1643 * CHOOSE(CONTROL!$C$32, $C$9, 100%, $E$9)</f>
        <v>9.1643000000000008</v>
      </c>
      <c r="O569" s="11">
        <f>9.1679 * CHOOSE(CONTROL!$C$32, $C$9, 100%, $E$9)</f>
        <v>9.1678999999999995</v>
      </c>
    </row>
    <row r="570" spans="1:15" ht="15" x14ac:dyDescent="0.2">
      <c r="A570" s="13">
        <v>58196</v>
      </c>
      <c r="B570" s="9">
        <f>8.0698 * CHOOSE(CONTROL!$C$32, $C$9, 100%, $E$9)</f>
        <v>8.0698000000000008</v>
      </c>
      <c r="C570" s="9">
        <f>8.0698 * CHOOSE(CONTROL!$C$32, $C$9, 100%, $E$9)</f>
        <v>8.0698000000000008</v>
      </c>
      <c r="D570" s="9">
        <f>8.0714 * CHOOSE(CONTROL!$C$32, $C$9, 100%, $E$9)</f>
        <v>8.0714000000000006</v>
      </c>
      <c r="E570" s="11">
        <f>9.2313 * CHOOSE(CONTROL!$C$32, $C$9, 100%, $E$9)</f>
        <v>9.2312999999999992</v>
      </c>
      <c r="F570" s="11">
        <f>9.2313 * CHOOSE(CONTROL!$C$32, $C$9, 100%, $E$9)</f>
        <v>9.2312999999999992</v>
      </c>
      <c r="G570" s="11">
        <f>9.2366 * CHOOSE(CONTROL!$C$32, $C$9, 100%, $E$9)</f>
        <v>9.2365999999999993</v>
      </c>
      <c r="H570" s="11">
        <f>18.3489 * CHOOSE(CONTROL!$C$32, $C$9, 100%, $E$9)</f>
        <v>18.3489</v>
      </c>
      <c r="I570" s="11">
        <f>18.3542 * CHOOSE(CONTROL!$C$32, $C$9, 100%, $E$9)</f>
        <v>18.354199999999999</v>
      </c>
      <c r="J570" s="11">
        <f>18.3489 * CHOOSE(CONTROL!$C$32, $C$9, 100%, $E$9)</f>
        <v>18.3489</v>
      </c>
      <c r="K570" s="11">
        <f>18.3542 * CHOOSE(CONTROL!$C$32, $C$9, 100%, $E$9)</f>
        <v>18.354199999999999</v>
      </c>
      <c r="L570" s="11">
        <f>9.2313 * CHOOSE(CONTROL!$C$32, $C$9, 100%, $E$9)</f>
        <v>9.2312999999999992</v>
      </c>
      <c r="M570" s="11">
        <f>9.2366 * CHOOSE(CONTROL!$C$32, $C$9, 100%, $E$9)</f>
        <v>9.2365999999999993</v>
      </c>
      <c r="N570" s="11">
        <f>9.2313 * CHOOSE(CONTROL!$C$32, $C$9, 100%, $E$9)</f>
        <v>9.2312999999999992</v>
      </c>
      <c r="O570" s="11">
        <f>9.2366 * CHOOSE(CONTROL!$C$32, $C$9, 100%, $E$9)</f>
        <v>9.2365999999999993</v>
      </c>
    </row>
    <row r="571" spans="1:15" ht="15" x14ac:dyDescent="0.2">
      <c r="A571" s="13">
        <v>58227</v>
      </c>
      <c r="B571" s="9">
        <f>8.0759 * CHOOSE(CONTROL!$C$32, $C$9, 100%, $E$9)</f>
        <v>8.0759000000000007</v>
      </c>
      <c r="C571" s="9">
        <f>8.0759 * CHOOSE(CONTROL!$C$32, $C$9, 100%, $E$9)</f>
        <v>8.0759000000000007</v>
      </c>
      <c r="D571" s="9">
        <f>8.0775 * CHOOSE(CONTROL!$C$32, $C$9, 100%, $E$9)</f>
        <v>8.0775000000000006</v>
      </c>
      <c r="E571" s="11">
        <f>9.1685 * CHOOSE(CONTROL!$C$32, $C$9, 100%, $E$9)</f>
        <v>9.1684999999999999</v>
      </c>
      <c r="F571" s="11">
        <f>9.1685 * CHOOSE(CONTROL!$C$32, $C$9, 100%, $E$9)</f>
        <v>9.1684999999999999</v>
      </c>
      <c r="G571" s="11">
        <f>9.1738 * CHOOSE(CONTROL!$C$32, $C$9, 100%, $E$9)</f>
        <v>9.1738</v>
      </c>
      <c r="H571" s="11">
        <f>18.3871 * CHOOSE(CONTROL!$C$32, $C$9, 100%, $E$9)</f>
        <v>18.3871</v>
      </c>
      <c r="I571" s="11">
        <f>18.3924 * CHOOSE(CONTROL!$C$32, $C$9, 100%, $E$9)</f>
        <v>18.392399999999999</v>
      </c>
      <c r="J571" s="11">
        <f>18.3871 * CHOOSE(CONTROL!$C$32, $C$9, 100%, $E$9)</f>
        <v>18.3871</v>
      </c>
      <c r="K571" s="11">
        <f>18.3924 * CHOOSE(CONTROL!$C$32, $C$9, 100%, $E$9)</f>
        <v>18.392399999999999</v>
      </c>
      <c r="L571" s="11">
        <f>9.1685 * CHOOSE(CONTROL!$C$32, $C$9, 100%, $E$9)</f>
        <v>9.1684999999999999</v>
      </c>
      <c r="M571" s="11">
        <f>9.1738 * CHOOSE(CONTROL!$C$32, $C$9, 100%, $E$9)</f>
        <v>9.1738</v>
      </c>
      <c r="N571" s="11">
        <f>9.1685 * CHOOSE(CONTROL!$C$32, $C$9, 100%, $E$9)</f>
        <v>9.1684999999999999</v>
      </c>
      <c r="O571" s="11">
        <f>9.1738 * CHOOSE(CONTROL!$C$32, $C$9, 100%, $E$9)</f>
        <v>9.1738</v>
      </c>
    </row>
    <row r="572" spans="1:15" ht="15" x14ac:dyDescent="0.2">
      <c r="A572" s="13">
        <v>58257</v>
      </c>
      <c r="B572" s="9">
        <f>8.1792 * CHOOSE(CONTROL!$C$32, $C$9, 100%, $E$9)</f>
        <v>8.1791999999999998</v>
      </c>
      <c r="C572" s="9">
        <f>8.1792 * CHOOSE(CONTROL!$C$32, $C$9, 100%, $E$9)</f>
        <v>8.1791999999999998</v>
      </c>
      <c r="D572" s="9">
        <f>8.1807 * CHOOSE(CONTROL!$C$32, $C$9, 100%, $E$9)</f>
        <v>8.1806999999999999</v>
      </c>
      <c r="E572" s="11">
        <f>9.2956 * CHOOSE(CONTROL!$C$32, $C$9, 100%, $E$9)</f>
        <v>9.2956000000000003</v>
      </c>
      <c r="F572" s="11">
        <f>9.2956 * CHOOSE(CONTROL!$C$32, $C$9, 100%, $E$9)</f>
        <v>9.2956000000000003</v>
      </c>
      <c r="G572" s="11">
        <f>9.3009 * CHOOSE(CONTROL!$C$32, $C$9, 100%, $E$9)</f>
        <v>9.3009000000000004</v>
      </c>
      <c r="H572" s="11">
        <f>18.4254 * CHOOSE(CONTROL!$C$32, $C$9, 100%, $E$9)</f>
        <v>18.4254</v>
      </c>
      <c r="I572" s="11">
        <f>18.4307 * CHOOSE(CONTROL!$C$32, $C$9, 100%, $E$9)</f>
        <v>18.430700000000002</v>
      </c>
      <c r="J572" s="11">
        <f>18.4254 * CHOOSE(CONTROL!$C$32, $C$9, 100%, $E$9)</f>
        <v>18.4254</v>
      </c>
      <c r="K572" s="11">
        <f>18.4307 * CHOOSE(CONTROL!$C$32, $C$9, 100%, $E$9)</f>
        <v>18.430700000000002</v>
      </c>
      <c r="L572" s="11">
        <f>9.2956 * CHOOSE(CONTROL!$C$32, $C$9, 100%, $E$9)</f>
        <v>9.2956000000000003</v>
      </c>
      <c r="M572" s="11">
        <f>9.3009 * CHOOSE(CONTROL!$C$32, $C$9, 100%, $E$9)</f>
        <v>9.3009000000000004</v>
      </c>
      <c r="N572" s="11">
        <f>9.2956 * CHOOSE(CONTROL!$C$32, $C$9, 100%, $E$9)</f>
        <v>9.2956000000000003</v>
      </c>
      <c r="O572" s="11">
        <f>9.3009 * CHOOSE(CONTROL!$C$32, $C$9, 100%, $E$9)</f>
        <v>9.3009000000000004</v>
      </c>
    </row>
    <row r="573" spans="1:15" ht="15" x14ac:dyDescent="0.2">
      <c r="A573" s="13">
        <v>58288</v>
      </c>
      <c r="B573" s="9">
        <f>8.1858 * CHOOSE(CONTROL!$C$32, $C$9, 100%, $E$9)</f>
        <v>8.1858000000000004</v>
      </c>
      <c r="C573" s="9">
        <f>8.1858 * CHOOSE(CONTROL!$C$32, $C$9, 100%, $E$9)</f>
        <v>8.1858000000000004</v>
      </c>
      <c r="D573" s="9">
        <f>8.1874 * CHOOSE(CONTROL!$C$32, $C$9, 100%, $E$9)</f>
        <v>8.1874000000000002</v>
      </c>
      <c r="E573" s="11">
        <f>9.0991 * CHOOSE(CONTROL!$C$32, $C$9, 100%, $E$9)</f>
        <v>9.0991</v>
      </c>
      <c r="F573" s="11">
        <f>9.0991 * CHOOSE(CONTROL!$C$32, $C$9, 100%, $E$9)</f>
        <v>9.0991</v>
      </c>
      <c r="G573" s="11">
        <f>9.1044 * CHOOSE(CONTROL!$C$32, $C$9, 100%, $E$9)</f>
        <v>9.1044</v>
      </c>
      <c r="H573" s="11">
        <f>18.4638 * CHOOSE(CONTROL!$C$32, $C$9, 100%, $E$9)</f>
        <v>18.463799999999999</v>
      </c>
      <c r="I573" s="11">
        <f>18.4691 * CHOOSE(CONTROL!$C$32, $C$9, 100%, $E$9)</f>
        <v>18.469100000000001</v>
      </c>
      <c r="J573" s="11">
        <f>18.4638 * CHOOSE(CONTROL!$C$32, $C$9, 100%, $E$9)</f>
        <v>18.463799999999999</v>
      </c>
      <c r="K573" s="11">
        <f>18.4691 * CHOOSE(CONTROL!$C$32, $C$9, 100%, $E$9)</f>
        <v>18.469100000000001</v>
      </c>
      <c r="L573" s="11">
        <f>9.0991 * CHOOSE(CONTROL!$C$32, $C$9, 100%, $E$9)</f>
        <v>9.0991</v>
      </c>
      <c r="M573" s="11">
        <f>9.1044 * CHOOSE(CONTROL!$C$32, $C$9, 100%, $E$9)</f>
        <v>9.1044</v>
      </c>
      <c r="N573" s="11">
        <f>9.0991 * CHOOSE(CONTROL!$C$32, $C$9, 100%, $E$9)</f>
        <v>9.0991</v>
      </c>
      <c r="O573" s="11">
        <f>9.1044 * CHOOSE(CONTROL!$C$32, $C$9, 100%, $E$9)</f>
        <v>9.1044</v>
      </c>
    </row>
    <row r="574" spans="1:15" ht="15" x14ac:dyDescent="0.2">
      <c r="A574" s="13">
        <v>58319</v>
      </c>
      <c r="B574" s="9">
        <f>8.1828 * CHOOSE(CONTROL!$C$32, $C$9, 100%, $E$9)</f>
        <v>8.1828000000000003</v>
      </c>
      <c r="C574" s="9">
        <f>8.1828 * CHOOSE(CONTROL!$C$32, $C$9, 100%, $E$9)</f>
        <v>8.1828000000000003</v>
      </c>
      <c r="D574" s="9">
        <f>8.1844 * CHOOSE(CONTROL!$C$32, $C$9, 100%, $E$9)</f>
        <v>8.1844000000000001</v>
      </c>
      <c r="E574" s="11">
        <f>9.0746 * CHOOSE(CONTROL!$C$32, $C$9, 100%, $E$9)</f>
        <v>9.0746000000000002</v>
      </c>
      <c r="F574" s="11">
        <f>9.0746 * CHOOSE(CONTROL!$C$32, $C$9, 100%, $E$9)</f>
        <v>9.0746000000000002</v>
      </c>
      <c r="G574" s="11">
        <f>9.0799 * CHOOSE(CONTROL!$C$32, $C$9, 100%, $E$9)</f>
        <v>9.0799000000000003</v>
      </c>
      <c r="H574" s="11">
        <f>18.5023 * CHOOSE(CONTROL!$C$32, $C$9, 100%, $E$9)</f>
        <v>18.502300000000002</v>
      </c>
      <c r="I574" s="11">
        <f>18.5076 * CHOOSE(CONTROL!$C$32, $C$9, 100%, $E$9)</f>
        <v>18.5076</v>
      </c>
      <c r="J574" s="11">
        <f>18.5023 * CHOOSE(CONTROL!$C$32, $C$9, 100%, $E$9)</f>
        <v>18.502300000000002</v>
      </c>
      <c r="K574" s="11">
        <f>18.5076 * CHOOSE(CONTROL!$C$32, $C$9, 100%, $E$9)</f>
        <v>18.5076</v>
      </c>
      <c r="L574" s="11">
        <f>9.0746 * CHOOSE(CONTROL!$C$32, $C$9, 100%, $E$9)</f>
        <v>9.0746000000000002</v>
      </c>
      <c r="M574" s="11">
        <f>9.0799 * CHOOSE(CONTROL!$C$32, $C$9, 100%, $E$9)</f>
        <v>9.0799000000000003</v>
      </c>
      <c r="N574" s="11">
        <f>9.0746 * CHOOSE(CONTROL!$C$32, $C$9, 100%, $E$9)</f>
        <v>9.0746000000000002</v>
      </c>
      <c r="O574" s="11">
        <f>9.0799 * CHOOSE(CONTROL!$C$32, $C$9, 100%, $E$9)</f>
        <v>9.0799000000000003</v>
      </c>
    </row>
    <row r="575" spans="1:15" ht="15" x14ac:dyDescent="0.2">
      <c r="A575" s="13">
        <v>58349</v>
      </c>
      <c r="B575" s="9">
        <f>8.1934 * CHOOSE(CONTROL!$C$32, $C$9, 100%, $E$9)</f>
        <v>8.1934000000000005</v>
      </c>
      <c r="C575" s="9">
        <f>8.1934 * CHOOSE(CONTROL!$C$32, $C$9, 100%, $E$9)</f>
        <v>8.1934000000000005</v>
      </c>
      <c r="D575" s="9">
        <f>8.1945 * CHOOSE(CONTROL!$C$32, $C$9, 100%, $E$9)</f>
        <v>8.1944999999999997</v>
      </c>
      <c r="E575" s="11">
        <f>9.1506 * CHOOSE(CONTROL!$C$32, $C$9, 100%, $E$9)</f>
        <v>9.1506000000000007</v>
      </c>
      <c r="F575" s="11">
        <f>9.1506 * CHOOSE(CONTROL!$C$32, $C$9, 100%, $E$9)</f>
        <v>9.1506000000000007</v>
      </c>
      <c r="G575" s="11">
        <f>9.1542 * CHOOSE(CONTROL!$C$32, $C$9, 100%, $E$9)</f>
        <v>9.1541999999999994</v>
      </c>
      <c r="H575" s="11">
        <f>18.5408 * CHOOSE(CONTROL!$C$32, $C$9, 100%, $E$9)</f>
        <v>18.540800000000001</v>
      </c>
      <c r="I575" s="11">
        <f>18.5444 * CHOOSE(CONTROL!$C$32, $C$9, 100%, $E$9)</f>
        <v>18.5444</v>
      </c>
      <c r="J575" s="11">
        <f>18.5408 * CHOOSE(CONTROL!$C$32, $C$9, 100%, $E$9)</f>
        <v>18.540800000000001</v>
      </c>
      <c r="K575" s="11">
        <f>18.5444 * CHOOSE(CONTROL!$C$32, $C$9, 100%, $E$9)</f>
        <v>18.5444</v>
      </c>
      <c r="L575" s="11">
        <f>9.1506 * CHOOSE(CONTROL!$C$32, $C$9, 100%, $E$9)</f>
        <v>9.1506000000000007</v>
      </c>
      <c r="M575" s="11">
        <f>9.1542 * CHOOSE(CONTROL!$C$32, $C$9, 100%, $E$9)</f>
        <v>9.1541999999999994</v>
      </c>
      <c r="N575" s="11">
        <f>9.1506 * CHOOSE(CONTROL!$C$32, $C$9, 100%, $E$9)</f>
        <v>9.1506000000000007</v>
      </c>
      <c r="O575" s="11">
        <f>9.1542 * CHOOSE(CONTROL!$C$32, $C$9, 100%, $E$9)</f>
        <v>9.1541999999999994</v>
      </c>
    </row>
    <row r="576" spans="1:15" ht="15" x14ac:dyDescent="0.2">
      <c r="A576" s="13">
        <v>58380</v>
      </c>
      <c r="B576" s="9">
        <f>8.1965 * CHOOSE(CONTROL!$C$32, $C$9, 100%, $E$9)</f>
        <v>8.1965000000000003</v>
      </c>
      <c r="C576" s="9">
        <f>8.1965 * CHOOSE(CONTROL!$C$32, $C$9, 100%, $E$9)</f>
        <v>8.1965000000000003</v>
      </c>
      <c r="D576" s="9">
        <f>8.1976 * CHOOSE(CONTROL!$C$32, $C$9, 100%, $E$9)</f>
        <v>8.1975999999999996</v>
      </c>
      <c r="E576" s="11">
        <f>9.1974 * CHOOSE(CONTROL!$C$32, $C$9, 100%, $E$9)</f>
        <v>9.1974</v>
      </c>
      <c r="F576" s="11">
        <f>9.1974 * CHOOSE(CONTROL!$C$32, $C$9, 100%, $E$9)</f>
        <v>9.1974</v>
      </c>
      <c r="G576" s="11">
        <f>9.2011 * CHOOSE(CONTROL!$C$32, $C$9, 100%, $E$9)</f>
        <v>9.2011000000000003</v>
      </c>
      <c r="H576" s="11">
        <f>18.5794 * CHOOSE(CONTROL!$C$32, $C$9, 100%, $E$9)</f>
        <v>18.5794</v>
      </c>
      <c r="I576" s="11">
        <f>18.583 * CHOOSE(CONTROL!$C$32, $C$9, 100%, $E$9)</f>
        <v>18.582999999999998</v>
      </c>
      <c r="J576" s="11">
        <f>18.5794 * CHOOSE(CONTROL!$C$32, $C$9, 100%, $E$9)</f>
        <v>18.5794</v>
      </c>
      <c r="K576" s="11">
        <f>18.583 * CHOOSE(CONTROL!$C$32, $C$9, 100%, $E$9)</f>
        <v>18.582999999999998</v>
      </c>
      <c r="L576" s="11">
        <f>9.1974 * CHOOSE(CONTROL!$C$32, $C$9, 100%, $E$9)</f>
        <v>9.1974</v>
      </c>
      <c r="M576" s="11">
        <f>9.2011 * CHOOSE(CONTROL!$C$32, $C$9, 100%, $E$9)</f>
        <v>9.2011000000000003</v>
      </c>
      <c r="N576" s="11">
        <f>9.1974 * CHOOSE(CONTROL!$C$32, $C$9, 100%, $E$9)</f>
        <v>9.1974</v>
      </c>
      <c r="O576" s="11">
        <f>9.2011 * CHOOSE(CONTROL!$C$32, $C$9, 100%, $E$9)</f>
        <v>9.2011000000000003</v>
      </c>
    </row>
    <row r="577" spans="1:15" ht="15" x14ac:dyDescent="0.2">
      <c r="A577" s="13">
        <v>58410</v>
      </c>
      <c r="B577" s="9">
        <f>8.1965 * CHOOSE(CONTROL!$C$32, $C$9, 100%, $E$9)</f>
        <v>8.1965000000000003</v>
      </c>
      <c r="C577" s="9">
        <f>8.1965 * CHOOSE(CONTROL!$C$32, $C$9, 100%, $E$9)</f>
        <v>8.1965000000000003</v>
      </c>
      <c r="D577" s="9">
        <f>8.1976 * CHOOSE(CONTROL!$C$32, $C$9, 100%, $E$9)</f>
        <v>8.1975999999999996</v>
      </c>
      <c r="E577" s="11">
        <f>9.0857 * CHOOSE(CONTROL!$C$32, $C$9, 100%, $E$9)</f>
        <v>9.0856999999999992</v>
      </c>
      <c r="F577" s="11">
        <f>9.0857 * CHOOSE(CONTROL!$C$32, $C$9, 100%, $E$9)</f>
        <v>9.0856999999999992</v>
      </c>
      <c r="G577" s="11">
        <f>9.0893 * CHOOSE(CONTROL!$C$32, $C$9, 100%, $E$9)</f>
        <v>9.0892999999999997</v>
      </c>
      <c r="H577" s="11">
        <f>18.6181 * CHOOSE(CONTROL!$C$32, $C$9, 100%, $E$9)</f>
        <v>18.618099999999998</v>
      </c>
      <c r="I577" s="11">
        <f>18.6218 * CHOOSE(CONTROL!$C$32, $C$9, 100%, $E$9)</f>
        <v>18.6218</v>
      </c>
      <c r="J577" s="11">
        <f>18.6181 * CHOOSE(CONTROL!$C$32, $C$9, 100%, $E$9)</f>
        <v>18.618099999999998</v>
      </c>
      <c r="K577" s="11">
        <f>18.6218 * CHOOSE(CONTROL!$C$32, $C$9, 100%, $E$9)</f>
        <v>18.6218</v>
      </c>
      <c r="L577" s="11">
        <f>9.0857 * CHOOSE(CONTROL!$C$32, $C$9, 100%, $E$9)</f>
        <v>9.0856999999999992</v>
      </c>
      <c r="M577" s="11">
        <f>9.0893 * CHOOSE(CONTROL!$C$32, $C$9, 100%, $E$9)</f>
        <v>9.0892999999999997</v>
      </c>
      <c r="N577" s="11">
        <f>9.0857 * CHOOSE(CONTROL!$C$32, $C$9, 100%, $E$9)</f>
        <v>9.0856999999999992</v>
      </c>
      <c r="O577" s="11">
        <f>9.0893 * CHOOSE(CONTROL!$C$32, $C$9, 100%, $E$9)</f>
        <v>9.0892999999999997</v>
      </c>
    </row>
    <row r="578" spans="1:15" ht="15" x14ac:dyDescent="0.2">
      <c r="A578" s="13">
        <v>58441</v>
      </c>
      <c r="B578" s="9">
        <f>8.2575 * CHOOSE(CONTROL!$C$32, $C$9, 100%, $E$9)</f>
        <v>8.2575000000000003</v>
      </c>
      <c r="C578" s="9">
        <f>8.2575 * CHOOSE(CONTROL!$C$32, $C$9, 100%, $E$9)</f>
        <v>8.2575000000000003</v>
      </c>
      <c r="D578" s="9">
        <f>8.2586 * CHOOSE(CONTROL!$C$32, $C$9, 100%, $E$9)</f>
        <v>8.2585999999999995</v>
      </c>
      <c r="E578" s="11">
        <f>9.2455 * CHOOSE(CONTROL!$C$32, $C$9, 100%, $E$9)</f>
        <v>9.2454999999999998</v>
      </c>
      <c r="F578" s="11">
        <f>9.2455 * CHOOSE(CONTROL!$C$32, $C$9, 100%, $E$9)</f>
        <v>9.2454999999999998</v>
      </c>
      <c r="G578" s="11">
        <f>9.2491 * CHOOSE(CONTROL!$C$32, $C$9, 100%, $E$9)</f>
        <v>9.2491000000000003</v>
      </c>
      <c r="H578" s="11">
        <f>18.6569 * CHOOSE(CONTROL!$C$32, $C$9, 100%, $E$9)</f>
        <v>18.6569</v>
      </c>
      <c r="I578" s="11">
        <f>18.6605 * CHOOSE(CONTROL!$C$32, $C$9, 100%, $E$9)</f>
        <v>18.660499999999999</v>
      </c>
      <c r="J578" s="11">
        <f>18.6569 * CHOOSE(CONTROL!$C$32, $C$9, 100%, $E$9)</f>
        <v>18.6569</v>
      </c>
      <c r="K578" s="11">
        <f>18.6605 * CHOOSE(CONTROL!$C$32, $C$9, 100%, $E$9)</f>
        <v>18.660499999999999</v>
      </c>
      <c r="L578" s="11">
        <f>9.2455 * CHOOSE(CONTROL!$C$32, $C$9, 100%, $E$9)</f>
        <v>9.2454999999999998</v>
      </c>
      <c r="M578" s="11">
        <f>9.2491 * CHOOSE(CONTROL!$C$32, $C$9, 100%, $E$9)</f>
        <v>9.2491000000000003</v>
      </c>
      <c r="N578" s="11">
        <f>9.2455 * CHOOSE(CONTROL!$C$32, $C$9, 100%, $E$9)</f>
        <v>9.2454999999999998</v>
      </c>
      <c r="O578" s="11">
        <f>9.2491 * CHOOSE(CONTROL!$C$32, $C$9, 100%, $E$9)</f>
        <v>9.2491000000000003</v>
      </c>
    </row>
    <row r="579" spans="1:15" ht="15" x14ac:dyDescent="0.2">
      <c r="A579" s="13">
        <v>58472</v>
      </c>
      <c r="B579" s="9">
        <f>8.2544 * CHOOSE(CONTROL!$C$32, $C$9, 100%, $E$9)</f>
        <v>8.2544000000000004</v>
      </c>
      <c r="C579" s="9">
        <f>8.2544 * CHOOSE(CONTROL!$C$32, $C$9, 100%, $E$9)</f>
        <v>8.2544000000000004</v>
      </c>
      <c r="D579" s="9">
        <f>8.2555 * CHOOSE(CONTROL!$C$32, $C$9, 100%, $E$9)</f>
        <v>8.2554999999999996</v>
      </c>
      <c r="E579" s="11">
        <f>9.0253 * CHOOSE(CONTROL!$C$32, $C$9, 100%, $E$9)</f>
        <v>9.0252999999999997</v>
      </c>
      <c r="F579" s="11">
        <f>9.0253 * CHOOSE(CONTROL!$C$32, $C$9, 100%, $E$9)</f>
        <v>9.0252999999999997</v>
      </c>
      <c r="G579" s="11">
        <f>9.0289 * CHOOSE(CONTROL!$C$32, $C$9, 100%, $E$9)</f>
        <v>9.0289000000000001</v>
      </c>
      <c r="H579" s="11">
        <f>18.6958 * CHOOSE(CONTROL!$C$32, $C$9, 100%, $E$9)</f>
        <v>18.695799999999998</v>
      </c>
      <c r="I579" s="11">
        <f>18.6994 * CHOOSE(CONTROL!$C$32, $C$9, 100%, $E$9)</f>
        <v>18.699400000000001</v>
      </c>
      <c r="J579" s="11">
        <f>18.6958 * CHOOSE(CONTROL!$C$32, $C$9, 100%, $E$9)</f>
        <v>18.695799999999998</v>
      </c>
      <c r="K579" s="11">
        <f>18.6994 * CHOOSE(CONTROL!$C$32, $C$9, 100%, $E$9)</f>
        <v>18.699400000000001</v>
      </c>
      <c r="L579" s="11">
        <f>9.0253 * CHOOSE(CONTROL!$C$32, $C$9, 100%, $E$9)</f>
        <v>9.0252999999999997</v>
      </c>
      <c r="M579" s="11">
        <f>9.0289 * CHOOSE(CONTROL!$C$32, $C$9, 100%, $E$9)</f>
        <v>9.0289000000000001</v>
      </c>
      <c r="N579" s="11">
        <f>9.0253 * CHOOSE(CONTROL!$C$32, $C$9, 100%, $E$9)</f>
        <v>9.0252999999999997</v>
      </c>
      <c r="O579" s="11">
        <f>9.0289 * CHOOSE(CONTROL!$C$32, $C$9, 100%, $E$9)</f>
        <v>9.0289000000000001</v>
      </c>
    </row>
    <row r="580" spans="1:15" ht="15" x14ac:dyDescent="0.2">
      <c r="A580" s="13">
        <v>58501</v>
      </c>
      <c r="B580" s="9">
        <f>8.2514 * CHOOSE(CONTROL!$C$32, $C$9, 100%, $E$9)</f>
        <v>8.2514000000000003</v>
      </c>
      <c r="C580" s="9">
        <f>8.2514 * CHOOSE(CONTROL!$C$32, $C$9, 100%, $E$9)</f>
        <v>8.2514000000000003</v>
      </c>
      <c r="D580" s="9">
        <f>8.2525 * CHOOSE(CONTROL!$C$32, $C$9, 100%, $E$9)</f>
        <v>8.2524999999999995</v>
      </c>
      <c r="E580" s="11">
        <f>9.1951 * CHOOSE(CONTROL!$C$32, $C$9, 100%, $E$9)</f>
        <v>9.1951000000000001</v>
      </c>
      <c r="F580" s="11">
        <f>9.1951 * CHOOSE(CONTROL!$C$32, $C$9, 100%, $E$9)</f>
        <v>9.1951000000000001</v>
      </c>
      <c r="G580" s="11">
        <f>9.1987 * CHOOSE(CONTROL!$C$32, $C$9, 100%, $E$9)</f>
        <v>9.1987000000000005</v>
      </c>
      <c r="H580" s="11">
        <f>18.7347 * CHOOSE(CONTROL!$C$32, $C$9, 100%, $E$9)</f>
        <v>18.7347</v>
      </c>
      <c r="I580" s="11">
        <f>18.7384 * CHOOSE(CONTROL!$C$32, $C$9, 100%, $E$9)</f>
        <v>18.738399999999999</v>
      </c>
      <c r="J580" s="11">
        <f>18.7347 * CHOOSE(CONTROL!$C$32, $C$9, 100%, $E$9)</f>
        <v>18.7347</v>
      </c>
      <c r="K580" s="11">
        <f>18.7384 * CHOOSE(CONTROL!$C$32, $C$9, 100%, $E$9)</f>
        <v>18.738399999999999</v>
      </c>
      <c r="L580" s="11">
        <f>9.1951 * CHOOSE(CONTROL!$C$32, $C$9, 100%, $E$9)</f>
        <v>9.1951000000000001</v>
      </c>
      <c r="M580" s="11">
        <f>9.1987 * CHOOSE(CONTROL!$C$32, $C$9, 100%, $E$9)</f>
        <v>9.1987000000000005</v>
      </c>
      <c r="N580" s="11">
        <f>9.1951 * CHOOSE(CONTROL!$C$32, $C$9, 100%, $E$9)</f>
        <v>9.1951000000000001</v>
      </c>
      <c r="O580" s="11">
        <f>9.1987 * CHOOSE(CONTROL!$C$32, $C$9, 100%, $E$9)</f>
        <v>9.1987000000000005</v>
      </c>
    </row>
    <row r="581" spans="1:15" ht="15" x14ac:dyDescent="0.2">
      <c r="A581" s="13">
        <v>58532</v>
      </c>
      <c r="B581" s="9">
        <f>8.2532 * CHOOSE(CONTROL!$C$32, $C$9, 100%, $E$9)</f>
        <v>8.2531999999999996</v>
      </c>
      <c r="C581" s="9">
        <f>8.2532 * CHOOSE(CONTROL!$C$32, $C$9, 100%, $E$9)</f>
        <v>8.2531999999999996</v>
      </c>
      <c r="D581" s="9">
        <f>8.2542 * CHOOSE(CONTROL!$C$32, $C$9, 100%, $E$9)</f>
        <v>8.2542000000000009</v>
      </c>
      <c r="E581" s="11">
        <f>9.3755 * CHOOSE(CONTROL!$C$32, $C$9, 100%, $E$9)</f>
        <v>9.3755000000000006</v>
      </c>
      <c r="F581" s="11">
        <f>9.3755 * CHOOSE(CONTROL!$C$32, $C$9, 100%, $E$9)</f>
        <v>9.3755000000000006</v>
      </c>
      <c r="G581" s="11">
        <f>9.3791 * CHOOSE(CONTROL!$C$32, $C$9, 100%, $E$9)</f>
        <v>9.3790999999999993</v>
      </c>
      <c r="H581" s="11">
        <f>18.7738 * CHOOSE(CONTROL!$C$32, $C$9, 100%, $E$9)</f>
        <v>18.773800000000001</v>
      </c>
      <c r="I581" s="11">
        <f>18.7774 * CHOOSE(CONTROL!$C$32, $C$9, 100%, $E$9)</f>
        <v>18.7774</v>
      </c>
      <c r="J581" s="11">
        <f>18.7738 * CHOOSE(CONTROL!$C$32, $C$9, 100%, $E$9)</f>
        <v>18.773800000000001</v>
      </c>
      <c r="K581" s="11">
        <f>18.7774 * CHOOSE(CONTROL!$C$32, $C$9, 100%, $E$9)</f>
        <v>18.7774</v>
      </c>
      <c r="L581" s="11">
        <f>9.3755 * CHOOSE(CONTROL!$C$32, $C$9, 100%, $E$9)</f>
        <v>9.3755000000000006</v>
      </c>
      <c r="M581" s="11">
        <f>9.3791 * CHOOSE(CONTROL!$C$32, $C$9, 100%, $E$9)</f>
        <v>9.3790999999999993</v>
      </c>
      <c r="N581" s="11">
        <f>9.3755 * CHOOSE(CONTROL!$C$32, $C$9, 100%, $E$9)</f>
        <v>9.3755000000000006</v>
      </c>
      <c r="O581" s="11">
        <f>9.3791 * CHOOSE(CONTROL!$C$32, $C$9, 100%, $E$9)</f>
        <v>9.3790999999999993</v>
      </c>
    </row>
    <row r="582" spans="1:15" ht="15" x14ac:dyDescent="0.2">
      <c r="A582" s="13">
        <v>58562</v>
      </c>
      <c r="B582" s="9">
        <f>8.2532 * CHOOSE(CONTROL!$C$32, $C$9, 100%, $E$9)</f>
        <v>8.2531999999999996</v>
      </c>
      <c r="C582" s="9">
        <f>8.2532 * CHOOSE(CONTROL!$C$32, $C$9, 100%, $E$9)</f>
        <v>8.2531999999999996</v>
      </c>
      <c r="D582" s="9">
        <f>8.2548 * CHOOSE(CONTROL!$C$32, $C$9, 100%, $E$9)</f>
        <v>8.2547999999999995</v>
      </c>
      <c r="E582" s="11">
        <f>9.4447 * CHOOSE(CONTROL!$C$32, $C$9, 100%, $E$9)</f>
        <v>9.4446999999999992</v>
      </c>
      <c r="F582" s="11">
        <f>9.4447 * CHOOSE(CONTROL!$C$32, $C$9, 100%, $E$9)</f>
        <v>9.4446999999999992</v>
      </c>
      <c r="G582" s="11">
        <f>9.45 * CHOOSE(CONTROL!$C$32, $C$9, 100%, $E$9)</f>
        <v>9.4499999999999993</v>
      </c>
      <c r="H582" s="11">
        <f>18.8129 * CHOOSE(CONTROL!$C$32, $C$9, 100%, $E$9)</f>
        <v>18.812899999999999</v>
      </c>
      <c r="I582" s="11">
        <f>18.8182 * CHOOSE(CONTROL!$C$32, $C$9, 100%, $E$9)</f>
        <v>18.818200000000001</v>
      </c>
      <c r="J582" s="11">
        <f>18.8129 * CHOOSE(CONTROL!$C$32, $C$9, 100%, $E$9)</f>
        <v>18.812899999999999</v>
      </c>
      <c r="K582" s="11">
        <f>18.8182 * CHOOSE(CONTROL!$C$32, $C$9, 100%, $E$9)</f>
        <v>18.818200000000001</v>
      </c>
      <c r="L582" s="11">
        <f>9.4447 * CHOOSE(CONTROL!$C$32, $C$9, 100%, $E$9)</f>
        <v>9.4446999999999992</v>
      </c>
      <c r="M582" s="11">
        <f>9.45 * CHOOSE(CONTROL!$C$32, $C$9, 100%, $E$9)</f>
        <v>9.4499999999999993</v>
      </c>
      <c r="N582" s="11">
        <f>9.4447 * CHOOSE(CONTROL!$C$32, $C$9, 100%, $E$9)</f>
        <v>9.4446999999999992</v>
      </c>
      <c r="O582" s="11">
        <f>9.45 * CHOOSE(CONTROL!$C$32, $C$9, 100%, $E$9)</f>
        <v>9.4499999999999993</v>
      </c>
    </row>
    <row r="583" spans="1:15" ht="15" x14ac:dyDescent="0.2">
      <c r="A583" s="13">
        <v>58593</v>
      </c>
      <c r="B583" s="9">
        <f>8.2593 * CHOOSE(CONTROL!$C$32, $C$9, 100%, $E$9)</f>
        <v>8.2592999999999996</v>
      </c>
      <c r="C583" s="9">
        <f>8.2593 * CHOOSE(CONTROL!$C$32, $C$9, 100%, $E$9)</f>
        <v>8.2592999999999996</v>
      </c>
      <c r="D583" s="9">
        <f>8.2608 * CHOOSE(CONTROL!$C$32, $C$9, 100%, $E$9)</f>
        <v>8.2607999999999997</v>
      </c>
      <c r="E583" s="11">
        <f>9.3797 * CHOOSE(CONTROL!$C$32, $C$9, 100%, $E$9)</f>
        <v>9.3796999999999997</v>
      </c>
      <c r="F583" s="11">
        <f>9.3797 * CHOOSE(CONTROL!$C$32, $C$9, 100%, $E$9)</f>
        <v>9.3796999999999997</v>
      </c>
      <c r="G583" s="11">
        <f>9.385 * CHOOSE(CONTROL!$C$32, $C$9, 100%, $E$9)</f>
        <v>9.3849999999999998</v>
      </c>
      <c r="H583" s="11">
        <f>18.8521 * CHOOSE(CONTROL!$C$32, $C$9, 100%, $E$9)</f>
        <v>18.8521</v>
      </c>
      <c r="I583" s="11">
        <f>18.8574 * CHOOSE(CONTROL!$C$32, $C$9, 100%, $E$9)</f>
        <v>18.857399999999998</v>
      </c>
      <c r="J583" s="11">
        <f>18.8521 * CHOOSE(CONTROL!$C$32, $C$9, 100%, $E$9)</f>
        <v>18.8521</v>
      </c>
      <c r="K583" s="11">
        <f>18.8574 * CHOOSE(CONTROL!$C$32, $C$9, 100%, $E$9)</f>
        <v>18.857399999999998</v>
      </c>
      <c r="L583" s="11">
        <f>9.3797 * CHOOSE(CONTROL!$C$32, $C$9, 100%, $E$9)</f>
        <v>9.3796999999999997</v>
      </c>
      <c r="M583" s="11">
        <f>9.385 * CHOOSE(CONTROL!$C$32, $C$9, 100%, $E$9)</f>
        <v>9.3849999999999998</v>
      </c>
      <c r="N583" s="11">
        <f>9.3797 * CHOOSE(CONTROL!$C$32, $C$9, 100%, $E$9)</f>
        <v>9.3796999999999997</v>
      </c>
      <c r="O583" s="11">
        <f>9.385 * CHOOSE(CONTROL!$C$32, $C$9, 100%, $E$9)</f>
        <v>9.3849999999999998</v>
      </c>
    </row>
    <row r="584" spans="1:15" ht="15" x14ac:dyDescent="0.2">
      <c r="A584" s="13">
        <v>58623</v>
      </c>
      <c r="B584" s="9">
        <f>8.3645 * CHOOSE(CONTROL!$C$32, $C$9, 100%, $E$9)</f>
        <v>8.3644999999999996</v>
      </c>
      <c r="C584" s="9">
        <f>8.3645 * CHOOSE(CONTROL!$C$32, $C$9, 100%, $E$9)</f>
        <v>8.3644999999999996</v>
      </c>
      <c r="D584" s="9">
        <f>8.3661 * CHOOSE(CONTROL!$C$32, $C$9, 100%, $E$9)</f>
        <v>8.3660999999999994</v>
      </c>
      <c r="E584" s="11">
        <f>9.5099 * CHOOSE(CONTROL!$C$32, $C$9, 100%, $E$9)</f>
        <v>9.5099</v>
      </c>
      <c r="F584" s="11">
        <f>9.5099 * CHOOSE(CONTROL!$C$32, $C$9, 100%, $E$9)</f>
        <v>9.5099</v>
      </c>
      <c r="G584" s="11">
        <f>9.5151 * CHOOSE(CONTROL!$C$32, $C$9, 100%, $E$9)</f>
        <v>9.5151000000000003</v>
      </c>
      <c r="H584" s="11">
        <f>18.8914 * CHOOSE(CONTROL!$C$32, $C$9, 100%, $E$9)</f>
        <v>18.891400000000001</v>
      </c>
      <c r="I584" s="11">
        <f>18.8966 * CHOOSE(CONTROL!$C$32, $C$9, 100%, $E$9)</f>
        <v>18.896599999999999</v>
      </c>
      <c r="J584" s="11">
        <f>18.8914 * CHOOSE(CONTROL!$C$32, $C$9, 100%, $E$9)</f>
        <v>18.891400000000001</v>
      </c>
      <c r="K584" s="11">
        <f>18.8966 * CHOOSE(CONTROL!$C$32, $C$9, 100%, $E$9)</f>
        <v>18.896599999999999</v>
      </c>
      <c r="L584" s="11">
        <f>9.5099 * CHOOSE(CONTROL!$C$32, $C$9, 100%, $E$9)</f>
        <v>9.5099</v>
      </c>
      <c r="M584" s="11">
        <f>9.5151 * CHOOSE(CONTROL!$C$32, $C$9, 100%, $E$9)</f>
        <v>9.5151000000000003</v>
      </c>
      <c r="N584" s="11">
        <f>9.5099 * CHOOSE(CONTROL!$C$32, $C$9, 100%, $E$9)</f>
        <v>9.5099</v>
      </c>
      <c r="O584" s="11">
        <f>9.5151 * CHOOSE(CONTROL!$C$32, $C$9, 100%, $E$9)</f>
        <v>9.5151000000000003</v>
      </c>
    </row>
    <row r="585" spans="1:15" ht="15" x14ac:dyDescent="0.2">
      <c r="A585" s="13">
        <v>58654</v>
      </c>
      <c r="B585" s="9">
        <f>8.3712 * CHOOSE(CONTROL!$C$32, $C$9, 100%, $E$9)</f>
        <v>8.3712</v>
      </c>
      <c r="C585" s="9">
        <f>8.3712 * CHOOSE(CONTROL!$C$32, $C$9, 100%, $E$9)</f>
        <v>8.3712</v>
      </c>
      <c r="D585" s="9">
        <f>8.3728 * CHOOSE(CONTROL!$C$32, $C$9, 100%, $E$9)</f>
        <v>8.3727999999999998</v>
      </c>
      <c r="E585" s="11">
        <f>9.3068 * CHOOSE(CONTROL!$C$32, $C$9, 100%, $E$9)</f>
        <v>9.3068000000000008</v>
      </c>
      <c r="F585" s="11">
        <f>9.3068 * CHOOSE(CONTROL!$C$32, $C$9, 100%, $E$9)</f>
        <v>9.3068000000000008</v>
      </c>
      <c r="G585" s="11">
        <f>9.3121 * CHOOSE(CONTROL!$C$32, $C$9, 100%, $E$9)</f>
        <v>9.3120999999999992</v>
      </c>
      <c r="H585" s="11">
        <f>18.9307 * CHOOSE(CONTROL!$C$32, $C$9, 100%, $E$9)</f>
        <v>18.930700000000002</v>
      </c>
      <c r="I585" s="11">
        <f>18.936 * CHOOSE(CONTROL!$C$32, $C$9, 100%, $E$9)</f>
        <v>18.936</v>
      </c>
      <c r="J585" s="11">
        <f>18.9307 * CHOOSE(CONTROL!$C$32, $C$9, 100%, $E$9)</f>
        <v>18.930700000000002</v>
      </c>
      <c r="K585" s="11">
        <f>18.936 * CHOOSE(CONTROL!$C$32, $C$9, 100%, $E$9)</f>
        <v>18.936</v>
      </c>
      <c r="L585" s="11">
        <f>9.3068 * CHOOSE(CONTROL!$C$32, $C$9, 100%, $E$9)</f>
        <v>9.3068000000000008</v>
      </c>
      <c r="M585" s="11">
        <f>9.3121 * CHOOSE(CONTROL!$C$32, $C$9, 100%, $E$9)</f>
        <v>9.3120999999999992</v>
      </c>
      <c r="N585" s="11">
        <f>9.3068 * CHOOSE(CONTROL!$C$32, $C$9, 100%, $E$9)</f>
        <v>9.3068000000000008</v>
      </c>
      <c r="O585" s="11">
        <f>9.3121 * CHOOSE(CONTROL!$C$32, $C$9, 100%, $E$9)</f>
        <v>9.3120999999999992</v>
      </c>
    </row>
    <row r="586" spans="1:15" ht="15" x14ac:dyDescent="0.2">
      <c r="A586" s="13">
        <v>58685</v>
      </c>
      <c r="B586" s="9">
        <f>8.3682 * CHOOSE(CONTROL!$C$32, $C$9, 100%, $E$9)</f>
        <v>8.3681999999999999</v>
      </c>
      <c r="C586" s="9">
        <f>8.3682 * CHOOSE(CONTROL!$C$32, $C$9, 100%, $E$9)</f>
        <v>8.3681999999999999</v>
      </c>
      <c r="D586" s="9">
        <f>8.3698 * CHOOSE(CONTROL!$C$32, $C$9, 100%, $E$9)</f>
        <v>8.3697999999999997</v>
      </c>
      <c r="E586" s="11">
        <f>9.2816 * CHOOSE(CONTROL!$C$32, $C$9, 100%, $E$9)</f>
        <v>9.2815999999999992</v>
      </c>
      <c r="F586" s="11">
        <f>9.2816 * CHOOSE(CONTROL!$C$32, $C$9, 100%, $E$9)</f>
        <v>9.2815999999999992</v>
      </c>
      <c r="G586" s="11">
        <f>9.2869 * CHOOSE(CONTROL!$C$32, $C$9, 100%, $E$9)</f>
        <v>9.2868999999999993</v>
      </c>
      <c r="H586" s="11">
        <f>18.9702 * CHOOSE(CONTROL!$C$32, $C$9, 100%, $E$9)</f>
        <v>18.970199999999998</v>
      </c>
      <c r="I586" s="11">
        <f>18.9754 * CHOOSE(CONTROL!$C$32, $C$9, 100%, $E$9)</f>
        <v>18.9754</v>
      </c>
      <c r="J586" s="11">
        <f>18.9702 * CHOOSE(CONTROL!$C$32, $C$9, 100%, $E$9)</f>
        <v>18.970199999999998</v>
      </c>
      <c r="K586" s="11">
        <f>18.9754 * CHOOSE(CONTROL!$C$32, $C$9, 100%, $E$9)</f>
        <v>18.9754</v>
      </c>
      <c r="L586" s="11">
        <f>9.2816 * CHOOSE(CONTROL!$C$32, $C$9, 100%, $E$9)</f>
        <v>9.2815999999999992</v>
      </c>
      <c r="M586" s="11">
        <f>9.2869 * CHOOSE(CONTROL!$C$32, $C$9, 100%, $E$9)</f>
        <v>9.2868999999999993</v>
      </c>
      <c r="N586" s="11">
        <f>9.2816 * CHOOSE(CONTROL!$C$32, $C$9, 100%, $E$9)</f>
        <v>9.2815999999999992</v>
      </c>
      <c r="O586" s="11">
        <f>9.2869 * CHOOSE(CONTROL!$C$32, $C$9, 100%, $E$9)</f>
        <v>9.2868999999999993</v>
      </c>
    </row>
    <row r="587" spans="1:15" ht="15" x14ac:dyDescent="0.2">
      <c r="A587" s="13">
        <v>58715</v>
      </c>
      <c r="B587" s="9">
        <f>8.3795 * CHOOSE(CONTROL!$C$32, $C$9, 100%, $E$9)</f>
        <v>8.3795000000000002</v>
      </c>
      <c r="C587" s="9">
        <f>8.3795 * CHOOSE(CONTROL!$C$32, $C$9, 100%, $E$9)</f>
        <v>8.3795000000000002</v>
      </c>
      <c r="D587" s="9">
        <f>8.3806 * CHOOSE(CONTROL!$C$32, $C$9, 100%, $E$9)</f>
        <v>8.3805999999999994</v>
      </c>
      <c r="E587" s="11">
        <f>9.3605 * CHOOSE(CONTROL!$C$32, $C$9, 100%, $E$9)</f>
        <v>9.3605</v>
      </c>
      <c r="F587" s="11">
        <f>9.3605 * CHOOSE(CONTROL!$C$32, $C$9, 100%, $E$9)</f>
        <v>9.3605</v>
      </c>
      <c r="G587" s="11">
        <f>9.3641 * CHOOSE(CONTROL!$C$32, $C$9, 100%, $E$9)</f>
        <v>9.3641000000000005</v>
      </c>
      <c r="H587" s="11">
        <f>19.0097 * CHOOSE(CONTROL!$C$32, $C$9, 100%, $E$9)</f>
        <v>19.009699999999999</v>
      </c>
      <c r="I587" s="11">
        <f>19.0133 * CHOOSE(CONTROL!$C$32, $C$9, 100%, $E$9)</f>
        <v>19.013300000000001</v>
      </c>
      <c r="J587" s="11">
        <f>19.0097 * CHOOSE(CONTROL!$C$32, $C$9, 100%, $E$9)</f>
        <v>19.009699999999999</v>
      </c>
      <c r="K587" s="11">
        <f>19.0133 * CHOOSE(CONTROL!$C$32, $C$9, 100%, $E$9)</f>
        <v>19.013300000000001</v>
      </c>
      <c r="L587" s="11">
        <f>9.3605 * CHOOSE(CONTROL!$C$32, $C$9, 100%, $E$9)</f>
        <v>9.3605</v>
      </c>
      <c r="M587" s="11">
        <f>9.3641 * CHOOSE(CONTROL!$C$32, $C$9, 100%, $E$9)</f>
        <v>9.3641000000000005</v>
      </c>
      <c r="N587" s="11">
        <f>9.3605 * CHOOSE(CONTROL!$C$32, $C$9, 100%, $E$9)</f>
        <v>9.3605</v>
      </c>
      <c r="O587" s="11">
        <f>9.3641 * CHOOSE(CONTROL!$C$32, $C$9, 100%, $E$9)</f>
        <v>9.3641000000000005</v>
      </c>
    </row>
    <row r="588" spans="1:15" ht="15" x14ac:dyDescent="0.2">
      <c r="A588" s="13">
        <v>58746</v>
      </c>
      <c r="B588" s="9">
        <f>8.3826 * CHOOSE(CONTROL!$C$32, $C$9, 100%, $E$9)</f>
        <v>8.3826000000000001</v>
      </c>
      <c r="C588" s="9">
        <f>8.3826 * CHOOSE(CONTROL!$C$32, $C$9, 100%, $E$9)</f>
        <v>8.3826000000000001</v>
      </c>
      <c r="D588" s="9">
        <f>8.3836 * CHOOSE(CONTROL!$C$32, $C$9, 100%, $E$9)</f>
        <v>8.3835999999999995</v>
      </c>
      <c r="E588" s="11">
        <f>9.4088 * CHOOSE(CONTROL!$C$32, $C$9, 100%, $E$9)</f>
        <v>9.4087999999999994</v>
      </c>
      <c r="F588" s="11">
        <f>9.4088 * CHOOSE(CONTROL!$C$32, $C$9, 100%, $E$9)</f>
        <v>9.4087999999999994</v>
      </c>
      <c r="G588" s="11">
        <f>9.4124 * CHOOSE(CONTROL!$C$32, $C$9, 100%, $E$9)</f>
        <v>9.4123999999999999</v>
      </c>
      <c r="H588" s="11">
        <f>19.0493 * CHOOSE(CONTROL!$C$32, $C$9, 100%, $E$9)</f>
        <v>19.049299999999999</v>
      </c>
      <c r="I588" s="11">
        <f>19.0529 * CHOOSE(CONTROL!$C$32, $C$9, 100%, $E$9)</f>
        <v>19.052900000000001</v>
      </c>
      <c r="J588" s="11">
        <f>19.0493 * CHOOSE(CONTROL!$C$32, $C$9, 100%, $E$9)</f>
        <v>19.049299999999999</v>
      </c>
      <c r="K588" s="11">
        <f>19.0529 * CHOOSE(CONTROL!$C$32, $C$9, 100%, $E$9)</f>
        <v>19.052900000000001</v>
      </c>
      <c r="L588" s="11">
        <f>9.4088 * CHOOSE(CONTROL!$C$32, $C$9, 100%, $E$9)</f>
        <v>9.4087999999999994</v>
      </c>
      <c r="M588" s="11">
        <f>9.4124 * CHOOSE(CONTROL!$C$32, $C$9, 100%, $E$9)</f>
        <v>9.4123999999999999</v>
      </c>
      <c r="N588" s="11">
        <f>9.4088 * CHOOSE(CONTROL!$C$32, $C$9, 100%, $E$9)</f>
        <v>9.4087999999999994</v>
      </c>
      <c r="O588" s="11">
        <f>9.4124 * CHOOSE(CONTROL!$C$32, $C$9, 100%, $E$9)</f>
        <v>9.4123999999999999</v>
      </c>
    </row>
    <row r="589" spans="1:15" ht="15" x14ac:dyDescent="0.2">
      <c r="A589" s="13">
        <v>58776</v>
      </c>
      <c r="B589" s="9">
        <f>8.3826 * CHOOSE(CONTROL!$C$32, $C$9, 100%, $E$9)</f>
        <v>8.3826000000000001</v>
      </c>
      <c r="C589" s="9">
        <f>8.3826 * CHOOSE(CONTROL!$C$32, $C$9, 100%, $E$9)</f>
        <v>8.3826000000000001</v>
      </c>
      <c r="D589" s="9">
        <f>8.3836 * CHOOSE(CONTROL!$C$32, $C$9, 100%, $E$9)</f>
        <v>8.3835999999999995</v>
      </c>
      <c r="E589" s="11">
        <f>9.2934 * CHOOSE(CONTROL!$C$32, $C$9, 100%, $E$9)</f>
        <v>9.2934000000000001</v>
      </c>
      <c r="F589" s="11">
        <f>9.2934 * CHOOSE(CONTROL!$C$32, $C$9, 100%, $E$9)</f>
        <v>9.2934000000000001</v>
      </c>
      <c r="G589" s="11">
        <f>9.297 * CHOOSE(CONTROL!$C$32, $C$9, 100%, $E$9)</f>
        <v>9.2970000000000006</v>
      </c>
      <c r="H589" s="11">
        <f>19.089 * CHOOSE(CONTROL!$C$32, $C$9, 100%, $E$9)</f>
        <v>19.088999999999999</v>
      </c>
      <c r="I589" s="11">
        <f>19.0926 * CHOOSE(CONTROL!$C$32, $C$9, 100%, $E$9)</f>
        <v>19.092600000000001</v>
      </c>
      <c r="J589" s="11">
        <f>19.089 * CHOOSE(CONTROL!$C$32, $C$9, 100%, $E$9)</f>
        <v>19.088999999999999</v>
      </c>
      <c r="K589" s="11">
        <f>19.0926 * CHOOSE(CONTROL!$C$32, $C$9, 100%, $E$9)</f>
        <v>19.092600000000001</v>
      </c>
      <c r="L589" s="11">
        <f>9.2934 * CHOOSE(CONTROL!$C$32, $C$9, 100%, $E$9)</f>
        <v>9.2934000000000001</v>
      </c>
      <c r="M589" s="11">
        <f>9.297 * CHOOSE(CONTROL!$C$32, $C$9, 100%, $E$9)</f>
        <v>9.2970000000000006</v>
      </c>
      <c r="N589" s="11">
        <f>9.2934 * CHOOSE(CONTROL!$C$32, $C$9, 100%, $E$9)</f>
        <v>9.2934000000000001</v>
      </c>
      <c r="O589" s="11">
        <f>9.297 * CHOOSE(CONTROL!$C$32, $C$9, 100%, $E$9)</f>
        <v>9.2970000000000006</v>
      </c>
    </row>
    <row r="590" spans="1:15" ht="15" x14ac:dyDescent="0.2">
      <c r="A590" s="13">
        <v>58807</v>
      </c>
      <c r="B590" s="9">
        <f>8.4448 * CHOOSE(CONTROL!$C$32, $C$9, 100%, $E$9)</f>
        <v>8.4448000000000008</v>
      </c>
      <c r="C590" s="9">
        <f>8.4448 * CHOOSE(CONTROL!$C$32, $C$9, 100%, $E$9)</f>
        <v>8.4448000000000008</v>
      </c>
      <c r="D590" s="9">
        <f>8.4459 * CHOOSE(CONTROL!$C$32, $C$9, 100%, $E$9)</f>
        <v>8.4459</v>
      </c>
      <c r="E590" s="11">
        <f>9.458 * CHOOSE(CONTROL!$C$32, $C$9, 100%, $E$9)</f>
        <v>9.4580000000000002</v>
      </c>
      <c r="F590" s="11">
        <f>9.458 * CHOOSE(CONTROL!$C$32, $C$9, 100%, $E$9)</f>
        <v>9.4580000000000002</v>
      </c>
      <c r="G590" s="11">
        <f>9.4616 * CHOOSE(CONTROL!$C$32, $C$9, 100%, $E$9)</f>
        <v>9.4616000000000007</v>
      </c>
      <c r="H590" s="11">
        <f>19.1287 * CHOOSE(CONTROL!$C$32, $C$9, 100%, $E$9)</f>
        <v>19.128699999999998</v>
      </c>
      <c r="I590" s="11">
        <f>19.1323 * CHOOSE(CONTROL!$C$32, $C$9, 100%, $E$9)</f>
        <v>19.132300000000001</v>
      </c>
      <c r="J590" s="11">
        <f>19.1287 * CHOOSE(CONTROL!$C$32, $C$9, 100%, $E$9)</f>
        <v>19.128699999999998</v>
      </c>
      <c r="K590" s="11">
        <f>19.1323 * CHOOSE(CONTROL!$C$32, $C$9, 100%, $E$9)</f>
        <v>19.132300000000001</v>
      </c>
      <c r="L590" s="11">
        <f>9.458 * CHOOSE(CONTROL!$C$32, $C$9, 100%, $E$9)</f>
        <v>9.4580000000000002</v>
      </c>
      <c r="M590" s="11">
        <f>9.4616 * CHOOSE(CONTROL!$C$32, $C$9, 100%, $E$9)</f>
        <v>9.4616000000000007</v>
      </c>
      <c r="N590" s="11">
        <f>9.458 * CHOOSE(CONTROL!$C$32, $C$9, 100%, $E$9)</f>
        <v>9.4580000000000002</v>
      </c>
      <c r="O590" s="11">
        <f>9.4616 * CHOOSE(CONTROL!$C$32, $C$9, 100%, $E$9)</f>
        <v>9.4616000000000007</v>
      </c>
    </row>
    <row r="591" spans="1:15" ht="15" x14ac:dyDescent="0.2">
      <c r="A591" s="13">
        <v>58838</v>
      </c>
      <c r="B591" s="9">
        <f>8.4418 * CHOOSE(CONTROL!$C$32, $C$9, 100%, $E$9)</f>
        <v>8.4418000000000006</v>
      </c>
      <c r="C591" s="9">
        <f>8.4418 * CHOOSE(CONTROL!$C$32, $C$9, 100%, $E$9)</f>
        <v>8.4418000000000006</v>
      </c>
      <c r="D591" s="9">
        <f>8.4429 * CHOOSE(CONTROL!$C$32, $C$9, 100%, $E$9)</f>
        <v>8.4428999999999998</v>
      </c>
      <c r="E591" s="11">
        <f>9.2307 * CHOOSE(CONTROL!$C$32, $C$9, 100%, $E$9)</f>
        <v>9.2307000000000006</v>
      </c>
      <c r="F591" s="11">
        <f>9.2307 * CHOOSE(CONTROL!$C$32, $C$9, 100%, $E$9)</f>
        <v>9.2307000000000006</v>
      </c>
      <c r="G591" s="11">
        <f>9.2343 * CHOOSE(CONTROL!$C$32, $C$9, 100%, $E$9)</f>
        <v>9.2342999999999993</v>
      </c>
      <c r="H591" s="11">
        <f>19.1686 * CHOOSE(CONTROL!$C$32, $C$9, 100%, $E$9)</f>
        <v>19.168600000000001</v>
      </c>
      <c r="I591" s="11">
        <f>19.1722 * CHOOSE(CONTROL!$C$32, $C$9, 100%, $E$9)</f>
        <v>19.1722</v>
      </c>
      <c r="J591" s="11">
        <f>19.1686 * CHOOSE(CONTROL!$C$32, $C$9, 100%, $E$9)</f>
        <v>19.168600000000001</v>
      </c>
      <c r="K591" s="11">
        <f>19.1722 * CHOOSE(CONTROL!$C$32, $C$9, 100%, $E$9)</f>
        <v>19.1722</v>
      </c>
      <c r="L591" s="11">
        <f>9.2307 * CHOOSE(CONTROL!$C$32, $C$9, 100%, $E$9)</f>
        <v>9.2307000000000006</v>
      </c>
      <c r="M591" s="11">
        <f>9.2343 * CHOOSE(CONTROL!$C$32, $C$9, 100%, $E$9)</f>
        <v>9.2342999999999993</v>
      </c>
      <c r="N591" s="11">
        <f>9.2307 * CHOOSE(CONTROL!$C$32, $C$9, 100%, $E$9)</f>
        <v>9.2307000000000006</v>
      </c>
      <c r="O591" s="11">
        <f>9.2343 * CHOOSE(CONTROL!$C$32, $C$9, 100%, $E$9)</f>
        <v>9.2342999999999993</v>
      </c>
    </row>
    <row r="592" spans="1:15" ht="15" x14ac:dyDescent="0.2">
      <c r="A592" s="13">
        <v>58866</v>
      </c>
      <c r="B592" s="9">
        <f>8.4388 * CHOOSE(CONTROL!$C$32, $C$9, 100%, $E$9)</f>
        <v>8.4388000000000005</v>
      </c>
      <c r="C592" s="9">
        <f>8.4388 * CHOOSE(CONTROL!$C$32, $C$9, 100%, $E$9)</f>
        <v>8.4388000000000005</v>
      </c>
      <c r="D592" s="9">
        <f>8.4398 * CHOOSE(CONTROL!$C$32, $C$9, 100%, $E$9)</f>
        <v>8.4398</v>
      </c>
      <c r="E592" s="11">
        <f>9.4061 * CHOOSE(CONTROL!$C$32, $C$9, 100%, $E$9)</f>
        <v>9.4061000000000003</v>
      </c>
      <c r="F592" s="11">
        <f>9.4061 * CHOOSE(CONTROL!$C$32, $C$9, 100%, $E$9)</f>
        <v>9.4061000000000003</v>
      </c>
      <c r="G592" s="11">
        <f>9.4097 * CHOOSE(CONTROL!$C$32, $C$9, 100%, $E$9)</f>
        <v>9.4097000000000008</v>
      </c>
      <c r="H592" s="11">
        <f>19.2085 * CHOOSE(CONTROL!$C$32, $C$9, 100%, $E$9)</f>
        <v>19.208500000000001</v>
      </c>
      <c r="I592" s="11">
        <f>19.2121 * CHOOSE(CONTROL!$C$32, $C$9, 100%, $E$9)</f>
        <v>19.2121</v>
      </c>
      <c r="J592" s="11">
        <f>19.2085 * CHOOSE(CONTROL!$C$32, $C$9, 100%, $E$9)</f>
        <v>19.208500000000001</v>
      </c>
      <c r="K592" s="11">
        <f>19.2121 * CHOOSE(CONTROL!$C$32, $C$9, 100%, $E$9)</f>
        <v>19.2121</v>
      </c>
      <c r="L592" s="11">
        <f>9.4061 * CHOOSE(CONTROL!$C$32, $C$9, 100%, $E$9)</f>
        <v>9.4061000000000003</v>
      </c>
      <c r="M592" s="11">
        <f>9.4097 * CHOOSE(CONTROL!$C$32, $C$9, 100%, $E$9)</f>
        <v>9.4097000000000008</v>
      </c>
      <c r="N592" s="11">
        <f>9.4061 * CHOOSE(CONTROL!$C$32, $C$9, 100%, $E$9)</f>
        <v>9.4061000000000003</v>
      </c>
      <c r="O592" s="11">
        <f>9.4097 * CHOOSE(CONTROL!$C$32, $C$9, 100%, $E$9)</f>
        <v>9.4097000000000008</v>
      </c>
    </row>
    <row r="593" spans="1:15" ht="15" x14ac:dyDescent="0.2">
      <c r="A593" s="13">
        <v>58897</v>
      </c>
      <c r="B593" s="9">
        <f>8.4407 * CHOOSE(CONTROL!$C$32, $C$9, 100%, $E$9)</f>
        <v>8.4406999999999996</v>
      </c>
      <c r="C593" s="9">
        <f>8.4407 * CHOOSE(CONTROL!$C$32, $C$9, 100%, $E$9)</f>
        <v>8.4406999999999996</v>
      </c>
      <c r="D593" s="9">
        <f>8.4418 * CHOOSE(CONTROL!$C$32, $C$9, 100%, $E$9)</f>
        <v>8.4418000000000006</v>
      </c>
      <c r="E593" s="11">
        <f>9.5925 * CHOOSE(CONTROL!$C$32, $C$9, 100%, $E$9)</f>
        <v>9.5924999999999994</v>
      </c>
      <c r="F593" s="11">
        <f>9.5925 * CHOOSE(CONTROL!$C$32, $C$9, 100%, $E$9)</f>
        <v>9.5924999999999994</v>
      </c>
      <c r="G593" s="11">
        <f>9.5961 * CHOOSE(CONTROL!$C$32, $C$9, 100%, $E$9)</f>
        <v>9.5960999999999999</v>
      </c>
      <c r="H593" s="11">
        <f>19.2485 * CHOOSE(CONTROL!$C$32, $C$9, 100%, $E$9)</f>
        <v>19.2485</v>
      </c>
      <c r="I593" s="11">
        <f>19.2522 * CHOOSE(CONTROL!$C$32, $C$9, 100%, $E$9)</f>
        <v>19.252199999999998</v>
      </c>
      <c r="J593" s="11">
        <f>19.2485 * CHOOSE(CONTROL!$C$32, $C$9, 100%, $E$9)</f>
        <v>19.2485</v>
      </c>
      <c r="K593" s="11">
        <f>19.2522 * CHOOSE(CONTROL!$C$32, $C$9, 100%, $E$9)</f>
        <v>19.252199999999998</v>
      </c>
      <c r="L593" s="11">
        <f>9.5925 * CHOOSE(CONTROL!$C$32, $C$9, 100%, $E$9)</f>
        <v>9.5924999999999994</v>
      </c>
      <c r="M593" s="11">
        <f>9.5961 * CHOOSE(CONTROL!$C$32, $C$9, 100%, $E$9)</f>
        <v>9.5960999999999999</v>
      </c>
      <c r="N593" s="11">
        <f>9.5925 * CHOOSE(CONTROL!$C$32, $C$9, 100%, $E$9)</f>
        <v>9.5924999999999994</v>
      </c>
      <c r="O593" s="11">
        <f>9.5961 * CHOOSE(CONTROL!$C$32, $C$9, 100%, $E$9)</f>
        <v>9.5960999999999999</v>
      </c>
    </row>
    <row r="594" spans="1:15" ht="15" x14ac:dyDescent="0.2">
      <c r="A594" s="13">
        <v>58927</v>
      </c>
      <c r="B594" s="9">
        <f>8.4407 * CHOOSE(CONTROL!$C$32, $C$9, 100%, $E$9)</f>
        <v>8.4406999999999996</v>
      </c>
      <c r="C594" s="9">
        <f>8.4407 * CHOOSE(CONTROL!$C$32, $C$9, 100%, $E$9)</f>
        <v>8.4406999999999996</v>
      </c>
      <c r="D594" s="9">
        <f>8.4423 * CHOOSE(CONTROL!$C$32, $C$9, 100%, $E$9)</f>
        <v>8.4422999999999995</v>
      </c>
      <c r="E594" s="11">
        <f>9.6639 * CHOOSE(CONTROL!$C$32, $C$9, 100%, $E$9)</f>
        <v>9.6638999999999999</v>
      </c>
      <c r="F594" s="11">
        <f>9.6639 * CHOOSE(CONTROL!$C$32, $C$9, 100%, $E$9)</f>
        <v>9.6638999999999999</v>
      </c>
      <c r="G594" s="11">
        <f>9.6692 * CHOOSE(CONTROL!$C$32, $C$9, 100%, $E$9)</f>
        <v>9.6692</v>
      </c>
      <c r="H594" s="11">
        <f>19.2886 * CHOOSE(CONTROL!$C$32, $C$9, 100%, $E$9)</f>
        <v>19.288599999999999</v>
      </c>
      <c r="I594" s="11">
        <f>19.2939 * CHOOSE(CONTROL!$C$32, $C$9, 100%, $E$9)</f>
        <v>19.293900000000001</v>
      </c>
      <c r="J594" s="11">
        <f>19.2886 * CHOOSE(CONTROL!$C$32, $C$9, 100%, $E$9)</f>
        <v>19.288599999999999</v>
      </c>
      <c r="K594" s="11">
        <f>19.2939 * CHOOSE(CONTROL!$C$32, $C$9, 100%, $E$9)</f>
        <v>19.293900000000001</v>
      </c>
      <c r="L594" s="11">
        <f>9.6639 * CHOOSE(CONTROL!$C$32, $C$9, 100%, $E$9)</f>
        <v>9.6638999999999999</v>
      </c>
      <c r="M594" s="11">
        <f>9.6692 * CHOOSE(CONTROL!$C$32, $C$9, 100%, $E$9)</f>
        <v>9.6692</v>
      </c>
      <c r="N594" s="11">
        <f>9.6639 * CHOOSE(CONTROL!$C$32, $C$9, 100%, $E$9)</f>
        <v>9.6638999999999999</v>
      </c>
      <c r="O594" s="11">
        <f>9.6692 * CHOOSE(CONTROL!$C$32, $C$9, 100%, $E$9)</f>
        <v>9.6692</v>
      </c>
    </row>
    <row r="595" spans="1:15" ht="15" x14ac:dyDescent="0.2">
      <c r="A595" s="13">
        <v>58958</v>
      </c>
      <c r="B595" s="9">
        <f>8.4468 * CHOOSE(CONTROL!$C$32, $C$9, 100%, $E$9)</f>
        <v>8.4467999999999996</v>
      </c>
      <c r="C595" s="9">
        <f>8.4468 * CHOOSE(CONTROL!$C$32, $C$9, 100%, $E$9)</f>
        <v>8.4467999999999996</v>
      </c>
      <c r="D595" s="9">
        <f>8.4484 * CHOOSE(CONTROL!$C$32, $C$9, 100%, $E$9)</f>
        <v>8.4483999999999995</v>
      </c>
      <c r="E595" s="11">
        <f>9.5967 * CHOOSE(CONTROL!$C$32, $C$9, 100%, $E$9)</f>
        <v>9.5967000000000002</v>
      </c>
      <c r="F595" s="11">
        <f>9.5967 * CHOOSE(CONTROL!$C$32, $C$9, 100%, $E$9)</f>
        <v>9.5967000000000002</v>
      </c>
      <c r="G595" s="11">
        <f>9.602 * CHOOSE(CONTROL!$C$32, $C$9, 100%, $E$9)</f>
        <v>9.6020000000000003</v>
      </c>
      <c r="H595" s="11">
        <f>19.3288 * CHOOSE(CONTROL!$C$32, $C$9, 100%, $E$9)</f>
        <v>19.328800000000001</v>
      </c>
      <c r="I595" s="11">
        <f>19.3341 * CHOOSE(CONTROL!$C$32, $C$9, 100%, $E$9)</f>
        <v>19.334099999999999</v>
      </c>
      <c r="J595" s="11">
        <f>19.3288 * CHOOSE(CONTROL!$C$32, $C$9, 100%, $E$9)</f>
        <v>19.328800000000001</v>
      </c>
      <c r="K595" s="11">
        <f>19.3341 * CHOOSE(CONTROL!$C$32, $C$9, 100%, $E$9)</f>
        <v>19.334099999999999</v>
      </c>
      <c r="L595" s="11">
        <f>9.5967 * CHOOSE(CONTROL!$C$32, $C$9, 100%, $E$9)</f>
        <v>9.5967000000000002</v>
      </c>
      <c r="M595" s="11">
        <f>9.602 * CHOOSE(CONTROL!$C$32, $C$9, 100%, $E$9)</f>
        <v>9.6020000000000003</v>
      </c>
      <c r="N595" s="11">
        <f>9.5967 * CHOOSE(CONTROL!$C$32, $C$9, 100%, $E$9)</f>
        <v>9.5967000000000002</v>
      </c>
      <c r="O595" s="11">
        <f>9.602 * CHOOSE(CONTROL!$C$32, $C$9, 100%, $E$9)</f>
        <v>9.6020000000000003</v>
      </c>
    </row>
    <row r="596" spans="1:15" ht="15" x14ac:dyDescent="0.2">
      <c r="A596" s="13">
        <v>58988</v>
      </c>
      <c r="B596" s="9">
        <f>8.5541 * CHOOSE(CONTROL!$C$32, $C$9, 100%, $E$9)</f>
        <v>8.5541</v>
      </c>
      <c r="C596" s="9">
        <f>8.5541 * CHOOSE(CONTROL!$C$32, $C$9, 100%, $E$9)</f>
        <v>8.5541</v>
      </c>
      <c r="D596" s="9">
        <f>8.5557 * CHOOSE(CONTROL!$C$32, $C$9, 100%, $E$9)</f>
        <v>8.5556999999999999</v>
      </c>
      <c r="E596" s="11">
        <f>9.73 * CHOOSE(CONTROL!$C$32, $C$9, 100%, $E$9)</f>
        <v>9.73</v>
      </c>
      <c r="F596" s="11">
        <f>9.73 * CHOOSE(CONTROL!$C$32, $C$9, 100%, $E$9)</f>
        <v>9.73</v>
      </c>
      <c r="G596" s="11">
        <f>9.7353 * CHOOSE(CONTROL!$C$32, $C$9, 100%, $E$9)</f>
        <v>9.7353000000000005</v>
      </c>
      <c r="H596" s="11">
        <f>19.3691 * CHOOSE(CONTROL!$C$32, $C$9, 100%, $E$9)</f>
        <v>19.3691</v>
      </c>
      <c r="I596" s="11">
        <f>19.3744 * CHOOSE(CONTROL!$C$32, $C$9, 100%, $E$9)</f>
        <v>19.374400000000001</v>
      </c>
      <c r="J596" s="11">
        <f>19.3691 * CHOOSE(CONTROL!$C$32, $C$9, 100%, $E$9)</f>
        <v>19.3691</v>
      </c>
      <c r="K596" s="11">
        <f>19.3744 * CHOOSE(CONTROL!$C$32, $C$9, 100%, $E$9)</f>
        <v>19.374400000000001</v>
      </c>
      <c r="L596" s="11">
        <f>9.73 * CHOOSE(CONTROL!$C$32, $C$9, 100%, $E$9)</f>
        <v>9.73</v>
      </c>
      <c r="M596" s="11">
        <f>9.7353 * CHOOSE(CONTROL!$C$32, $C$9, 100%, $E$9)</f>
        <v>9.7353000000000005</v>
      </c>
      <c r="N596" s="11">
        <f>9.73 * CHOOSE(CONTROL!$C$32, $C$9, 100%, $E$9)</f>
        <v>9.73</v>
      </c>
      <c r="O596" s="11">
        <f>9.7353 * CHOOSE(CONTROL!$C$32, $C$9, 100%, $E$9)</f>
        <v>9.7353000000000005</v>
      </c>
    </row>
    <row r="597" spans="1:15" ht="15" x14ac:dyDescent="0.2">
      <c r="A597" s="13">
        <v>59019</v>
      </c>
      <c r="B597" s="9">
        <f>8.5608 * CHOOSE(CONTROL!$C$32, $C$9, 100%, $E$9)</f>
        <v>8.5608000000000004</v>
      </c>
      <c r="C597" s="9">
        <f>8.5608 * CHOOSE(CONTROL!$C$32, $C$9, 100%, $E$9)</f>
        <v>8.5608000000000004</v>
      </c>
      <c r="D597" s="9">
        <f>8.5624 * CHOOSE(CONTROL!$C$32, $C$9, 100%, $E$9)</f>
        <v>8.5624000000000002</v>
      </c>
      <c r="E597" s="11">
        <f>9.5203 * CHOOSE(CONTROL!$C$32, $C$9, 100%, $E$9)</f>
        <v>9.5203000000000007</v>
      </c>
      <c r="F597" s="11">
        <f>9.5203 * CHOOSE(CONTROL!$C$32, $C$9, 100%, $E$9)</f>
        <v>9.5203000000000007</v>
      </c>
      <c r="G597" s="11">
        <f>9.5256 * CHOOSE(CONTROL!$C$32, $C$9, 100%, $E$9)</f>
        <v>9.5256000000000007</v>
      </c>
      <c r="H597" s="11">
        <f>19.4094 * CHOOSE(CONTROL!$C$32, $C$9, 100%, $E$9)</f>
        <v>19.409400000000002</v>
      </c>
      <c r="I597" s="11">
        <f>19.4147 * CHOOSE(CONTROL!$C$32, $C$9, 100%, $E$9)</f>
        <v>19.4147</v>
      </c>
      <c r="J597" s="11">
        <f>19.4094 * CHOOSE(CONTROL!$C$32, $C$9, 100%, $E$9)</f>
        <v>19.409400000000002</v>
      </c>
      <c r="K597" s="11">
        <f>19.4147 * CHOOSE(CONTROL!$C$32, $C$9, 100%, $E$9)</f>
        <v>19.4147</v>
      </c>
      <c r="L597" s="11">
        <f>9.5203 * CHOOSE(CONTROL!$C$32, $C$9, 100%, $E$9)</f>
        <v>9.5203000000000007</v>
      </c>
      <c r="M597" s="11">
        <f>9.5256 * CHOOSE(CONTROL!$C$32, $C$9, 100%, $E$9)</f>
        <v>9.5256000000000007</v>
      </c>
      <c r="N597" s="11">
        <f>9.5203 * CHOOSE(CONTROL!$C$32, $C$9, 100%, $E$9)</f>
        <v>9.5203000000000007</v>
      </c>
      <c r="O597" s="11">
        <f>9.5256 * CHOOSE(CONTROL!$C$32, $C$9, 100%, $E$9)</f>
        <v>9.5256000000000007</v>
      </c>
    </row>
    <row r="598" spans="1:15" ht="15" x14ac:dyDescent="0.2">
      <c r="A598" s="13">
        <v>59050</v>
      </c>
      <c r="B598" s="9">
        <f>8.5578 * CHOOSE(CONTROL!$C$32, $C$9, 100%, $E$9)</f>
        <v>8.5578000000000003</v>
      </c>
      <c r="C598" s="9">
        <f>8.5578 * CHOOSE(CONTROL!$C$32, $C$9, 100%, $E$9)</f>
        <v>8.5578000000000003</v>
      </c>
      <c r="D598" s="9">
        <f>8.5594 * CHOOSE(CONTROL!$C$32, $C$9, 100%, $E$9)</f>
        <v>8.5594000000000001</v>
      </c>
      <c r="E598" s="11">
        <f>9.4943 * CHOOSE(CONTROL!$C$32, $C$9, 100%, $E$9)</f>
        <v>9.4943000000000008</v>
      </c>
      <c r="F598" s="11">
        <f>9.4943 * CHOOSE(CONTROL!$C$32, $C$9, 100%, $E$9)</f>
        <v>9.4943000000000008</v>
      </c>
      <c r="G598" s="11">
        <f>9.4996 * CHOOSE(CONTROL!$C$32, $C$9, 100%, $E$9)</f>
        <v>9.4995999999999992</v>
      </c>
      <c r="H598" s="11">
        <f>19.4499 * CHOOSE(CONTROL!$C$32, $C$9, 100%, $E$9)</f>
        <v>19.4499</v>
      </c>
      <c r="I598" s="11">
        <f>19.4552 * CHOOSE(CONTROL!$C$32, $C$9, 100%, $E$9)</f>
        <v>19.455200000000001</v>
      </c>
      <c r="J598" s="11">
        <f>19.4499 * CHOOSE(CONTROL!$C$32, $C$9, 100%, $E$9)</f>
        <v>19.4499</v>
      </c>
      <c r="K598" s="11">
        <f>19.4552 * CHOOSE(CONTROL!$C$32, $C$9, 100%, $E$9)</f>
        <v>19.455200000000001</v>
      </c>
      <c r="L598" s="11">
        <f>9.4943 * CHOOSE(CONTROL!$C$32, $C$9, 100%, $E$9)</f>
        <v>9.4943000000000008</v>
      </c>
      <c r="M598" s="11">
        <f>9.4996 * CHOOSE(CONTROL!$C$32, $C$9, 100%, $E$9)</f>
        <v>9.4995999999999992</v>
      </c>
      <c r="N598" s="11">
        <f>9.4943 * CHOOSE(CONTROL!$C$32, $C$9, 100%, $E$9)</f>
        <v>9.4943000000000008</v>
      </c>
      <c r="O598" s="11">
        <f>9.4996 * CHOOSE(CONTROL!$C$32, $C$9, 100%, $E$9)</f>
        <v>9.4995999999999992</v>
      </c>
    </row>
    <row r="599" spans="1:15" ht="15" x14ac:dyDescent="0.2">
      <c r="A599" s="13">
        <v>59080</v>
      </c>
      <c r="B599" s="9">
        <f>8.5698 * CHOOSE(CONTROL!$C$32, $C$9, 100%, $E$9)</f>
        <v>8.5698000000000008</v>
      </c>
      <c r="C599" s="9">
        <f>8.5698 * CHOOSE(CONTROL!$C$32, $C$9, 100%, $E$9)</f>
        <v>8.5698000000000008</v>
      </c>
      <c r="D599" s="9">
        <f>8.5709 * CHOOSE(CONTROL!$C$32, $C$9, 100%, $E$9)</f>
        <v>8.5709</v>
      </c>
      <c r="E599" s="11">
        <f>9.5762 * CHOOSE(CONTROL!$C$32, $C$9, 100%, $E$9)</f>
        <v>9.5762</v>
      </c>
      <c r="F599" s="11">
        <f>9.5762 * CHOOSE(CONTROL!$C$32, $C$9, 100%, $E$9)</f>
        <v>9.5762</v>
      </c>
      <c r="G599" s="11">
        <f>9.5798 * CHOOSE(CONTROL!$C$32, $C$9, 100%, $E$9)</f>
        <v>9.5798000000000005</v>
      </c>
      <c r="H599" s="11">
        <f>19.4904 * CHOOSE(CONTROL!$C$32, $C$9, 100%, $E$9)</f>
        <v>19.490400000000001</v>
      </c>
      <c r="I599" s="11">
        <f>19.494 * CHOOSE(CONTROL!$C$32, $C$9, 100%, $E$9)</f>
        <v>19.494</v>
      </c>
      <c r="J599" s="11">
        <f>19.4904 * CHOOSE(CONTROL!$C$32, $C$9, 100%, $E$9)</f>
        <v>19.490400000000001</v>
      </c>
      <c r="K599" s="11">
        <f>19.494 * CHOOSE(CONTROL!$C$32, $C$9, 100%, $E$9)</f>
        <v>19.494</v>
      </c>
      <c r="L599" s="11">
        <f>9.5762 * CHOOSE(CONTROL!$C$32, $C$9, 100%, $E$9)</f>
        <v>9.5762</v>
      </c>
      <c r="M599" s="11">
        <f>9.5798 * CHOOSE(CONTROL!$C$32, $C$9, 100%, $E$9)</f>
        <v>9.5798000000000005</v>
      </c>
      <c r="N599" s="11">
        <f>9.5762 * CHOOSE(CONTROL!$C$32, $C$9, 100%, $E$9)</f>
        <v>9.5762</v>
      </c>
      <c r="O599" s="11">
        <f>9.5798 * CHOOSE(CONTROL!$C$32, $C$9, 100%, $E$9)</f>
        <v>9.5798000000000005</v>
      </c>
    </row>
    <row r="600" spans="1:15" ht="15" x14ac:dyDescent="0.2">
      <c r="A600" s="13">
        <v>59111</v>
      </c>
      <c r="B600" s="9">
        <f>8.5729 * CHOOSE(CONTROL!$C$32, $C$9, 100%, $E$9)</f>
        <v>8.5729000000000006</v>
      </c>
      <c r="C600" s="9">
        <f>8.5729 * CHOOSE(CONTROL!$C$32, $C$9, 100%, $E$9)</f>
        <v>8.5729000000000006</v>
      </c>
      <c r="D600" s="9">
        <f>8.5739 * CHOOSE(CONTROL!$C$32, $C$9, 100%, $E$9)</f>
        <v>8.5739000000000001</v>
      </c>
      <c r="E600" s="11">
        <f>9.626 * CHOOSE(CONTROL!$C$32, $C$9, 100%, $E$9)</f>
        <v>9.6259999999999994</v>
      </c>
      <c r="F600" s="11">
        <f>9.626 * CHOOSE(CONTROL!$C$32, $C$9, 100%, $E$9)</f>
        <v>9.6259999999999994</v>
      </c>
      <c r="G600" s="11">
        <f>9.6296 * CHOOSE(CONTROL!$C$32, $C$9, 100%, $E$9)</f>
        <v>9.6295999999999999</v>
      </c>
      <c r="H600" s="11">
        <f>19.531 * CHOOSE(CONTROL!$C$32, $C$9, 100%, $E$9)</f>
        <v>19.530999999999999</v>
      </c>
      <c r="I600" s="11">
        <f>19.5346 * CHOOSE(CONTROL!$C$32, $C$9, 100%, $E$9)</f>
        <v>19.534600000000001</v>
      </c>
      <c r="J600" s="11">
        <f>19.531 * CHOOSE(CONTROL!$C$32, $C$9, 100%, $E$9)</f>
        <v>19.530999999999999</v>
      </c>
      <c r="K600" s="11">
        <f>19.5346 * CHOOSE(CONTROL!$C$32, $C$9, 100%, $E$9)</f>
        <v>19.534600000000001</v>
      </c>
      <c r="L600" s="11">
        <f>9.626 * CHOOSE(CONTROL!$C$32, $C$9, 100%, $E$9)</f>
        <v>9.6259999999999994</v>
      </c>
      <c r="M600" s="11">
        <f>9.6296 * CHOOSE(CONTROL!$C$32, $C$9, 100%, $E$9)</f>
        <v>9.6295999999999999</v>
      </c>
      <c r="N600" s="11">
        <f>9.626 * CHOOSE(CONTROL!$C$32, $C$9, 100%, $E$9)</f>
        <v>9.6259999999999994</v>
      </c>
      <c r="O600" s="11">
        <f>9.6296 * CHOOSE(CONTROL!$C$32, $C$9, 100%, $E$9)</f>
        <v>9.6295999999999999</v>
      </c>
    </row>
    <row r="601" spans="1:15" ht="15" x14ac:dyDescent="0.2">
      <c r="A601" s="13">
        <v>59141</v>
      </c>
      <c r="B601" s="9">
        <f>8.5729 * CHOOSE(CONTROL!$C$32, $C$9, 100%, $E$9)</f>
        <v>8.5729000000000006</v>
      </c>
      <c r="C601" s="9">
        <f>8.5729 * CHOOSE(CONTROL!$C$32, $C$9, 100%, $E$9)</f>
        <v>8.5729000000000006</v>
      </c>
      <c r="D601" s="9">
        <f>8.5739 * CHOOSE(CONTROL!$C$32, $C$9, 100%, $E$9)</f>
        <v>8.5739000000000001</v>
      </c>
      <c r="E601" s="11">
        <f>9.5068 * CHOOSE(CONTROL!$C$32, $C$9, 100%, $E$9)</f>
        <v>9.5068000000000001</v>
      </c>
      <c r="F601" s="11">
        <f>9.5068 * CHOOSE(CONTROL!$C$32, $C$9, 100%, $E$9)</f>
        <v>9.5068000000000001</v>
      </c>
      <c r="G601" s="11">
        <f>9.5105 * CHOOSE(CONTROL!$C$32, $C$9, 100%, $E$9)</f>
        <v>9.5105000000000004</v>
      </c>
      <c r="H601" s="11">
        <f>19.5717 * CHOOSE(CONTROL!$C$32, $C$9, 100%, $E$9)</f>
        <v>19.5717</v>
      </c>
      <c r="I601" s="11">
        <f>19.5753 * CHOOSE(CONTROL!$C$32, $C$9, 100%, $E$9)</f>
        <v>19.575299999999999</v>
      </c>
      <c r="J601" s="11">
        <f>19.5717 * CHOOSE(CONTROL!$C$32, $C$9, 100%, $E$9)</f>
        <v>19.5717</v>
      </c>
      <c r="K601" s="11">
        <f>19.5753 * CHOOSE(CONTROL!$C$32, $C$9, 100%, $E$9)</f>
        <v>19.575299999999999</v>
      </c>
      <c r="L601" s="11">
        <f>9.5068 * CHOOSE(CONTROL!$C$32, $C$9, 100%, $E$9)</f>
        <v>9.5068000000000001</v>
      </c>
      <c r="M601" s="11">
        <f>9.5105 * CHOOSE(CONTROL!$C$32, $C$9, 100%, $E$9)</f>
        <v>9.5105000000000004</v>
      </c>
      <c r="N601" s="11">
        <f>9.5068 * CHOOSE(CONTROL!$C$32, $C$9, 100%, $E$9)</f>
        <v>9.5068000000000001</v>
      </c>
      <c r="O601" s="11">
        <f>9.5105 * CHOOSE(CONTROL!$C$32, $C$9, 100%, $E$9)</f>
        <v>9.5105000000000004</v>
      </c>
    </row>
    <row r="602" spans="1:15" ht="15" x14ac:dyDescent="0.2">
      <c r="A602" s="13">
        <v>59172</v>
      </c>
      <c r="B602" s="9">
        <f>8.6322 * CHOOSE(CONTROL!$C$32, $C$9, 100%, $E$9)</f>
        <v>8.6321999999999992</v>
      </c>
      <c r="C602" s="9">
        <f>8.6322 * CHOOSE(CONTROL!$C$32, $C$9, 100%, $E$9)</f>
        <v>8.6321999999999992</v>
      </c>
      <c r="D602" s="9">
        <f>8.6333 * CHOOSE(CONTROL!$C$32, $C$9, 100%, $E$9)</f>
        <v>8.6333000000000002</v>
      </c>
      <c r="E602" s="11">
        <f>9.6705 * CHOOSE(CONTROL!$C$32, $C$9, 100%, $E$9)</f>
        <v>9.6705000000000005</v>
      </c>
      <c r="F602" s="11">
        <f>9.6705 * CHOOSE(CONTROL!$C$32, $C$9, 100%, $E$9)</f>
        <v>9.6705000000000005</v>
      </c>
      <c r="G602" s="11">
        <f>9.6741 * CHOOSE(CONTROL!$C$32, $C$9, 100%, $E$9)</f>
        <v>9.6740999999999993</v>
      </c>
      <c r="H602" s="11">
        <f>19.6005 * CHOOSE(CONTROL!$C$32, $C$9, 100%, $E$9)</f>
        <v>19.6005</v>
      </c>
      <c r="I602" s="11">
        <f>19.6042 * CHOOSE(CONTROL!$C$32, $C$9, 100%, $E$9)</f>
        <v>19.604199999999999</v>
      </c>
      <c r="J602" s="11">
        <f>19.6005 * CHOOSE(CONTROL!$C$32, $C$9, 100%, $E$9)</f>
        <v>19.6005</v>
      </c>
      <c r="K602" s="11">
        <f>19.6042 * CHOOSE(CONTROL!$C$32, $C$9, 100%, $E$9)</f>
        <v>19.604199999999999</v>
      </c>
      <c r="L602" s="11">
        <f>9.6705 * CHOOSE(CONTROL!$C$32, $C$9, 100%, $E$9)</f>
        <v>9.6705000000000005</v>
      </c>
      <c r="M602" s="11">
        <f>9.6741 * CHOOSE(CONTROL!$C$32, $C$9, 100%, $E$9)</f>
        <v>9.6740999999999993</v>
      </c>
      <c r="N602" s="11">
        <f>9.6705 * CHOOSE(CONTROL!$C$32, $C$9, 100%, $E$9)</f>
        <v>9.6705000000000005</v>
      </c>
      <c r="O602" s="11">
        <f>9.6741 * CHOOSE(CONTROL!$C$32, $C$9, 100%, $E$9)</f>
        <v>9.6740999999999993</v>
      </c>
    </row>
    <row r="603" spans="1:15" ht="15" x14ac:dyDescent="0.2">
      <c r="A603" s="13">
        <v>59203</v>
      </c>
      <c r="B603" s="9">
        <f>8.6292 * CHOOSE(CONTROL!$C$32, $C$9, 100%, $E$9)</f>
        <v>8.6292000000000009</v>
      </c>
      <c r="C603" s="9">
        <f>8.6292 * CHOOSE(CONTROL!$C$32, $C$9, 100%, $E$9)</f>
        <v>8.6292000000000009</v>
      </c>
      <c r="D603" s="9">
        <f>8.6302 * CHOOSE(CONTROL!$C$32, $C$9, 100%, $E$9)</f>
        <v>8.6302000000000003</v>
      </c>
      <c r="E603" s="11">
        <f>9.4361 * CHOOSE(CONTROL!$C$32, $C$9, 100%, $E$9)</f>
        <v>9.4360999999999997</v>
      </c>
      <c r="F603" s="11">
        <f>9.4361 * CHOOSE(CONTROL!$C$32, $C$9, 100%, $E$9)</f>
        <v>9.4360999999999997</v>
      </c>
      <c r="G603" s="11">
        <f>9.4398 * CHOOSE(CONTROL!$C$32, $C$9, 100%, $E$9)</f>
        <v>9.4398</v>
      </c>
      <c r="H603" s="11">
        <f>19.6414 * CHOOSE(CONTROL!$C$32, $C$9, 100%, $E$9)</f>
        <v>19.641400000000001</v>
      </c>
      <c r="I603" s="11">
        <f>19.645 * CHOOSE(CONTROL!$C$32, $C$9, 100%, $E$9)</f>
        <v>19.645</v>
      </c>
      <c r="J603" s="11">
        <f>19.6414 * CHOOSE(CONTROL!$C$32, $C$9, 100%, $E$9)</f>
        <v>19.641400000000001</v>
      </c>
      <c r="K603" s="11">
        <f>19.645 * CHOOSE(CONTROL!$C$32, $C$9, 100%, $E$9)</f>
        <v>19.645</v>
      </c>
      <c r="L603" s="11">
        <f>9.4361 * CHOOSE(CONTROL!$C$32, $C$9, 100%, $E$9)</f>
        <v>9.4360999999999997</v>
      </c>
      <c r="M603" s="11">
        <f>9.4398 * CHOOSE(CONTROL!$C$32, $C$9, 100%, $E$9)</f>
        <v>9.4398</v>
      </c>
      <c r="N603" s="11">
        <f>9.4361 * CHOOSE(CONTROL!$C$32, $C$9, 100%, $E$9)</f>
        <v>9.4360999999999997</v>
      </c>
      <c r="O603" s="11">
        <f>9.4398 * CHOOSE(CONTROL!$C$32, $C$9, 100%, $E$9)</f>
        <v>9.4398</v>
      </c>
    </row>
    <row r="604" spans="1:15" ht="15" x14ac:dyDescent="0.2">
      <c r="A604" s="13">
        <v>59231</v>
      </c>
      <c r="B604" s="9">
        <f>8.6261 * CHOOSE(CONTROL!$C$32, $C$9, 100%, $E$9)</f>
        <v>8.6260999999999992</v>
      </c>
      <c r="C604" s="9">
        <f>8.6261 * CHOOSE(CONTROL!$C$32, $C$9, 100%, $E$9)</f>
        <v>8.6260999999999992</v>
      </c>
      <c r="D604" s="9">
        <f>8.6272 * CHOOSE(CONTROL!$C$32, $C$9, 100%, $E$9)</f>
        <v>8.6272000000000002</v>
      </c>
      <c r="E604" s="11">
        <f>9.6171 * CHOOSE(CONTROL!$C$32, $C$9, 100%, $E$9)</f>
        <v>9.6171000000000006</v>
      </c>
      <c r="F604" s="11">
        <f>9.6171 * CHOOSE(CONTROL!$C$32, $C$9, 100%, $E$9)</f>
        <v>9.6171000000000006</v>
      </c>
      <c r="G604" s="11">
        <f>9.6207 * CHOOSE(CONTROL!$C$32, $C$9, 100%, $E$9)</f>
        <v>9.6206999999999994</v>
      </c>
      <c r="H604" s="11">
        <f>19.6823 * CHOOSE(CONTROL!$C$32, $C$9, 100%, $E$9)</f>
        <v>19.682300000000001</v>
      </c>
      <c r="I604" s="11">
        <f>19.6859 * CHOOSE(CONTROL!$C$32, $C$9, 100%, $E$9)</f>
        <v>19.6859</v>
      </c>
      <c r="J604" s="11">
        <f>19.6823 * CHOOSE(CONTROL!$C$32, $C$9, 100%, $E$9)</f>
        <v>19.682300000000001</v>
      </c>
      <c r="K604" s="11">
        <f>19.6859 * CHOOSE(CONTROL!$C$32, $C$9, 100%, $E$9)</f>
        <v>19.6859</v>
      </c>
      <c r="L604" s="11">
        <f>9.6171 * CHOOSE(CONTROL!$C$32, $C$9, 100%, $E$9)</f>
        <v>9.6171000000000006</v>
      </c>
      <c r="M604" s="11">
        <f>9.6207 * CHOOSE(CONTROL!$C$32, $C$9, 100%, $E$9)</f>
        <v>9.6206999999999994</v>
      </c>
      <c r="N604" s="11">
        <f>9.6171 * CHOOSE(CONTROL!$C$32, $C$9, 100%, $E$9)</f>
        <v>9.6171000000000006</v>
      </c>
      <c r="O604" s="11">
        <f>9.6207 * CHOOSE(CONTROL!$C$32, $C$9, 100%, $E$9)</f>
        <v>9.6206999999999994</v>
      </c>
    </row>
    <row r="605" spans="1:15" ht="15" x14ac:dyDescent="0.2">
      <c r="A605" s="13">
        <v>59262</v>
      </c>
      <c r="B605" s="9">
        <f>8.6283 * CHOOSE(CONTROL!$C$32, $C$9, 100%, $E$9)</f>
        <v>8.6282999999999994</v>
      </c>
      <c r="C605" s="9">
        <f>8.6283 * CHOOSE(CONTROL!$C$32, $C$9, 100%, $E$9)</f>
        <v>8.6282999999999994</v>
      </c>
      <c r="D605" s="9">
        <f>8.6293 * CHOOSE(CONTROL!$C$32, $C$9, 100%, $E$9)</f>
        <v>8.6293000000000006</v>
      </c>
      <c r="E605" s="11">
        <f>9.8095 * CHOOSE(CONTROL!$C$32, $C$9, 100%, $E$9)</f>
        <v>9.8094999999999999</v>
      </c>
      <c r="F605" s="11">
        <f>9.8095 * CHOOSE(CONTROL!$C$32, $C$9, 100%, $E$9)</f>
        <v>9.8094999999999999</v>
      </c>
      <c r="G605" s="11">
        <f>9.8131 * CHOOSE(CONTROL!$C$32, $C$9, 100%, $E$9)</f>
        <v>9.8131000000000004</v>
      </c>
      <c r="H605" s="11">
        <f>19.7233 * CHOOSE(CONTROL!$C$32, $C$9, 100%, $E$9)</f>
        <v>19.723299999999998</v>
      </c>
      <c r="I605" s="11">
        <f>19.7269 * CHOOSE(CONTROL!$C$32, $C$9, 100%, $E$9)</f>
        <v>19.726900000000001</v>
      </c>
      <c r="J605" s="11">
        <f>19.7233 * CHOOSE(CONTROL!$C$32, $C$9, 100%, $E$9)</f>
        <v>19.723299999999998</v>
      </c>
      <c r="K605" s="11">
        <f>19.7269 * CHOOSE(CONTROL!$C$32, $C$9, 100%, $E$9)</f>
        <v>19.726900000000001</v>
      </c>
      <c r="L605" s="11">
        <f>9.8095 * CHOOSE(CONTROL!$C$32, $C$9, 100%, $E$9)</f>
        <v>9.8094999999999999</v>
      </c>
      <c r="M605" s="11">
        <f>9.8131 * CHOOSE(CONTROL!$C$32, $C$9, 100%, $E$9)</f>
        <v>9.8131000000000004</v>
      </c>
      <c r="N605" s="11">
        <f>9.8095 * CHOOSE(CONTROL!$C$32, $C$9, 100%, $E$9)</f>
        <v>9.8094999999999999</v>
      </c>
      <c r="O605" s="11">
        <f>9.8131 * CHOOSE(CONTROL!$C$32, $C$9, 100%, $E$9)</f>
        <v>9.8131000000000004</v>
      </c>
    </row>
    <row r="606" spans="1:15" ht="15" x14ac:dyDescent="0.2">
      <c r="A606" s="13">
        <v>59292</v>
      </c>
      <c r="B606" s="9">
        <f>8.6283 * CHOOSE(CONTROL!$C$32, $C$9, 100%, $E$9)</f>
        <v>8.6282999999999994</v>
      </c>
      <c r="C606" s="9">
        <f>8.6283 * CHOOSE(CONTROL!$C$32, $C$9, 100%, $E$9)</f>
        <v>8.6282999999999994</v>
      </c>
      <c r="D606" s="9">
        <f>8.6298 * CHOOSE(CONTROL!$C$32, $C$9, 100%, $E$9)</f>
        <v>8.6297999999999995</v>
      </c>
      <c r="E606" s="11">
        <f>9.8832 * CHOOSE(CONTROL!$C$32, $C$9, 100%, $E$9)</f>
        <v>9.8832000000000004</v>
      </c>
      <c r="F606" s="11">
        <f>9.8832 * CHOOSE(CONTROL!$C$32, $C$9, 100%, $E$9)</f>
        <v>9.8832000000000004</v>
      </c>
      <c r="G606" s="11">
        <f>9.8885 * CHOOSE(CONTROL!$C$32, $C$9, 100%, $E$9)</f>
        <v>9.8885000000000005</v>
      </c>
      <c r="H606" s="11">
        <f>19.7644 * CHOOSE(CONTROL!$C$32, $C$9, 100%, $E$9)</f>
        <v>19.764399999999998</v>
      </c>
      <c r="I606" s="11">
        <f>19.7697 * CHOOSE(CONTROL!$C$32, $C$9, 100%, $E$9)</f>
        <v>19.7697</v>
      </c>
      <c r="J606" s="11">
        <f>19.7644 * CHOOSE(CONTROL!$C$32, $C$9, 100%, $E$9)</f>
        <v>19.764399999999998</v>
      </c>
      <c r="K606" s="11">
        <f>19.7697 * CHOOSE(CONTROL!$C$32, $C$9, 100%, $E$9)</f>
        <v>19.7697</v>
      </c>
      <c r="L606" s="11">
        <f>9.8832 * CHOOSE(CONTROL!$C$32, $C$9, 100%, $E$9)</f>
        <v>9.8832000000000004</v>
      </c>
      <c r="M606" s="11">
        <f>9.8885 * CHOOSE(CONTROL!$C$32, $C$9, 100%, $E$9)</f>
        <v>9.8885000000000005</v>
      </c>
      <c r="N606" s="11">
        <f>9.8832 * CHOOSE(CONTROL!$C$32, $C$9, 100%, $E$9)</f>
        <v>9.8832000000000004</v>
      </c>
      <c r="O606" s="11">
        <f>9.8885 * CHOOSE(CONTROL!$C$32, $C$9, 100%, $E$9)</f>
        <v>9.8885000000000005</v>
      </c>
    </row>
    <row r="607" spans="1:15" ht="15" x14ac:dyDescent="0.2">
      <c r="A607" s="13">
        <v>59323</v>
      </c>
      <c r="B607" s="9">
        <f>8.6343 * CHOOSE(CONTROL!$C$32, $C$9, 100%, $E$9)</f>
        <v>8.6342999999999996</v>
      </c>
      <c r="C607" s="9">
        <f>8.6343 * CHOOSE(CONTROL!$C$32, $C$9, 100%, $E$9)</f>
        <v>8.6342999999999996</v>
      </c>
      <c r="D607" s="9">
        <f>8.6359 * CHOOSE(CONTROL!$C$32, $C$9, 100%, $E$9)</f>
        <v>8.6358999999999995</v>
      </c>
      <c r="E607" s="11">
        <f>9.8137 * CHOOSE(CONTROL!$C$32, $C$9, 100%, $E$9)</f>
        <v>9.8137000000000008</v>
      </c>
      <c r="F607" s="11">
        <f>9.8137 * CHOOSE(CONTROL!$C$32, $C$9, 100%, $E$9)</f>
        <v>9.8137000000000008</v>
      </c>
      <c r="G607" s="11">
        <f>9.819 * CHOOSE(CONTROL!$C$32, $C$9, 100%, $E$9)</f>
        <v>9.8190000000000008</v>
      </c>
      <c r="H607" s="11">
        <f>19.8056 * CHOOSE(CONTROL!$C$32, $C$9, 100%, $E$9)</f>
        <v>19.805599999999998</v>
      </c>
      <c r="I607" s="11">
        <f>19.8109 * CHOOSE(CONTROL!$C$32, $C$9, 100%, $E$9)</f>
        <v>19.8109</v>
      </c>
      <c r="J607" s="11">
        <f>19.8056 * CHOOSE(CONTROL!$C$32, $C$9, 100%, $E$9)</f>
        <v>19.805599999999998</v>
      </c>
      <c r="K607" s="11">
        <f>19.8109 * CHOOSE(CONTROL!$C$32, $C$9, 100%, $E$9)</f>
        <v>19.8109</v>
      </c>
      <c r="L607" s="11">
        <f>9.8137 * CHOOSE(CONTROL!$C$32, $C$9, 100%, $E$9)</f>
        <v>9.8137000000000008</v>
      </c>
      <c r="M607" s="11">
        <f>9.819 * CHOOSE(CONTROL!$C$32, $C$9, 100%, $E$9)</f>
        <v>9.8190000000000008</v>
      </c>
      <c r="N607" s="11">
        <f>9.8137 * CHOOSE(CONTROL!$C$32, $C$9, 100%, $E$9)</f>
        <v>9.8137000000000008</v>
      </c>
      <c r="O607" s="11">
        <f>9.819 * CHOOSE(CONTROL!$C$32, $C$9, 100%, $E$9)</f>
        <v>9.8190000000000008</v>
      </c>
    </row>
    <row r="608" spans="1:15" ht="15" x14ac:dyDescent="0.2">
      <c r="A608" s="13">
        <v>59353</v>
      </c>
      <c r="B608" s="9">
        <f>8.7437 * CHOOSE(CONTROL!$C$32, $C$9, 100%, $E$9)</f>
        <v>8.7437000000000005</v>
      </c>
      <c r="C608" s="9">
        <f>8.7437 * CHOOSE(CONTROL!$C$32, $C$9, 100%, $E$9)</f>
        <v>8.7437000000000005</v>
      </c>
      <c r="D608" s="9">
        <f>8.7453 * CHOOSE(CONTROL!$C$32, $C$9, 100%, $E$9)</f>
        <v>8.7453000000000003</v>
      </c>
      <c r="E608" s="11">
        <f>9.9502 * CHOOSE(CONTROL!$C$32, $C$9, 100%, $E$9)</f>
        <v>9.9502000000000006</v>
      </c>
      <c r="F608" s="11">
        <f>9.9502 * CHOOSE(CONTROL!$C$32, $C$9, 100%, $E$9)</f>
        <v>9.9502000000000006</v>
      </c>
      <c r="G608" s="11">
        <f>9.9555 * CHOOSE(CONTROL!$C$32, $C$9, 100%, $E$9)</f>
        <v>9.9555000000000007</v>
      </c>
      <c r="H608" s="11">
        <f>19.8468 * CHOOSE(CONTROL!$C$32, $C$9, 100%, $E$9)</f>
        <v>19.846800000000002</v>
      </c>
      <c r="I608" s="11">
        <f>19.8521 * CHOOSE(CONTROL!$C$32, $C$9, 100%, $E$9)</f>
        <v>19.8521</v>
      </c>
      <c r="J608" s="11">
        <f>19.8468 * CHOOSE(CONTROL!$C$32, $C$9, 100%, $E$9)</f>
        <v>19.846800000000002</v>
      </c>
      <c r="K608" s="11">
        <f>19.8521 * CHOOSE(CONTROL!$C$32, $C$9, 100%, $E$9)</f>
        <v>19.8521</v>
      </c>
      <c r="L608" s="11">
        <f>9.9502 * CHOOSE(CONTROL!$C$32, $C$9, 100%, $E$9)</f>
        <v>9.9502000000000006</v>
      </c>
      <c r="M608" s="11">
        <f>9.9555 * CHOOSE(CONTROL!$C$32, $C$9, 100%, $E$9)</f>
        <v>9.9555000000000007</v>
      </c>
      <c r="N608" s="11">
        <f>9.9502 * CHOOSE(CONTROL!$C$32, $C$9, 100%, $E$9)</f>
        <v>9.9502000000000006</v>
      </c>
      <c r="O608" s="11">
        <f>9.9555 * CHOOSE(CONTROL!$C$32, $C$9, 100%, $E$9)</f>
        <v>9.9555000000000007</v>
      </c>
    </row>
    <row r="609" spans="1:15" ht="15" x14ac:dyDescent="0.2">
      <c r="A609" s="13">
        <v>59384</v>
      </c>
      <c r="B609" s="9">
        <f>8.7504 * CHOOSE(CONTROL!$C$32, $C$9, 100%, $E$9)</f>
        <v>8.7504000000000008</v>
      </c>
      <c r="C609" s="9">
        <f>8.7504 * CHOOSE(CONTROL!$C$32, $C$9, 100%, $E$9)</f>
        <v>8.7504000000000008</v>
      </c>
      <c r="D609" s="9">
        <f>8.752 * CHOOSE(CONTROL!$C$32, $C$9, 100%, $E$9)</f>
        <v>8.7520000000000007</v>
      </c>
      <c r="E609" s="11">
        <f>9.7337 * CHOOSE(CONTROL!$C$32, $C$9, 100%, $E$9)</f>
        <v>9.7337000000000007</v>
      </c>
      <c r="F609" s="11">
        <f>9.7337 * CHOOSE(CONTROL!$C$32, $C$9, 100%, $E$9)</f>
        <v>9.7337000000000007</v>
      </c>
      <c r="G609" s="11">
        <f>9.739 * CHOOSE(CONTROL!$C$32, $C$9, 100%, $E$9)</f>
        <v>9.7390000000000008</v>
      </c>
      <c r="H609" s="11">
        <f>19.8882 * CHOOSE(CONTROL!$C$32, $C$9, 100%, $E$9)</f>
        <v>19.888200000000001</v>
      </c>
      <c r="I609" s="11">
        <f>19.8935 * CHOOSE(CONTROL!$C$32, $C$9, 100%, $E$9)</f>
        <v>19.8935</v>
      </c>
      <c r="J609" s="11">
        <f>19.8882 * CHOOSE(CONTROL!$C$32, $C$9, 100%, $E$9)</f>
        <v>19.888200000000001</v>
      </c>
      <c r="K609" s="11">
        <f>19.8935 * CHOOSE(CONTROL!$C$32, $C$9, 100%, $E$9)</f>
        <v>19.8935</v>
      </c>
      <c r="L609" s="11">
        <f>9.7337 * CHOOSE(CONTROL!$C$32, $C$9, 100%, $E$9)</f>
        <v>9.7337000000000007</v>
      </c>
      <c r="M609" s="11">
        <f>9.739 * CHOOSE(CONTROL!$C$32, $C$9, 100%, $E$9)</f>
        <v>9.7390000000000008</v>
      </c>
      <c r="N609" s="11">
        <f>9.7337 * CHOOSE(CONTROL!$C$32, $C$9, 100%, $E$9)</f>
        <v>9.7337000000000007</v>
      </c>
      <c r="O609" s="11">
        <f>9.739 * CHOOSE(CONTROL!$C$32, $C$9, 100%, $E$9)</f>
        <v>9.7390000000000008</v>
      </c>
    </row>
    <row r="610" spans="1:15" ht="15" x14ac:dyDescent="0.2">
      <c r="A610" s="13">
        <v>59415</v>
      </c>
      <c r="B610" s="9">
        <f>8.7474 * CHOOSE(CONTROL!$C$32, $C$9, 100%, $E$9)</f>
        <v>8.7474000000000007</v>
      </c>
      <c r="C610" s="9">
        <f>8.7474 * CHOOSE(CONTROL!$C$32, $C$9, 100%, $E$9)</f>
        <v>8.7474000000000007</v>
      </c>
      <c r="D610" s="9">
        <f>8.749 * CHOOSE(CONTROL!$C$32, $C$9, 100%, $E$9)</f>
        <v>8.7490000000000006</v>
      </c>
      <c r="E610" s="11">
        <f>9.707 * CHOOSE(CONTROL!$C$32, $C$9, 100%, $E$9)</f>
        <v>9.7070000000000007</v>
      </c>
      <c r="F610" s="11">
        <f>9.707 * CHOOSE(CONTROL!$C$32, $C$9, 100%, $E$9)</f>
        <v>9.7070000000000007</v>
      </c>
      <c r="G610" s="11">
        <f>9.7123 * CHOOSE(CONTROL!$C$32, $C$9, 100%, $E$9)</f>
        <v>9.7123000000000008</v>
      </c>
      <c r="H610" s="11">
        <f>19.9296 * CHOOSE(CONTROL!$C$32, $C$9, 100%, $E$9)</f>
        <v>19.929600000000001</v>
      </c>
      <c r="I610" s="11">
        <f>19.9349 * CHOOSE(CONTROL!$C$32, $C$9, 100%, $E$9)</f>
        <v>19.934899999999999</v>
      </c>
      <c r="J610" s="11">
        <f>19.9296 * CHOOSE(CONTROL!$C$32, $C$9, 100%, $E$9)</f>
        <v>19.929600000000001</v>
      </c>
      <c r="K610" s="11">
        <f>19.9349 * CHOOSE(CONTROL!$C$32, $C$9, 100%, $E$9)</f>
        <v>19.934899999999999</v>
      </c>
      <c r="L610" s="11">
        <f>9.707 * CHOOSE(CONTROL!$C$32, $C$9, 100%, $E$9)</f>
        <v>9.7070000000000007</v>
      </c>
      <c r="M610" s="11">
        <f>9.7123 * CHOOSE(CONTROL!$C$32, $C$9, 100%, $E$9)</f>
        <v>9.7123000000000008</v>
      </c>
      <c r="N610" s="11">
        <f>9.707 * CHOOSE(CONTROL!$C$32, $C$9, 100%, $E$9)</f>
        <v>9.7070000000000007</v>
      </c>
      <c r="O610" s="11">
        <f>9.7123 * CHOOSE(CONTROL!$C$32, $C$9, 100%, $E$9)</f>
        <v>9.7123000000000008</v>
      </c>
    </row>
    <row r="611" spans="1:15" ht="15" x14ac:dyDescent="0.2">
      <c r="A611" s="13">
        <v>59445</v>
      </c>
      <c r="B611" s="9">
        <f>8.7601 * CHOOSE(CONTROL!$C$32, $C$9, 100%, $E$9)</f>
        <v>8.7600999999999996</v>
      </c>
      <c r="C611" s="9">
        <f>8.7601 * CHOOSE(CONTROL!$C$32, $C$9, 100%, $E$9)</f>
        <v>8.7600999999999996</v>
      </c>
      <c r="D611" s="9">
        <f>8.7612 * CHOOSE(CONTROL!$C$32, $C$9, 100%, $E$9)</f>
        <v>8.7612000000000005</v>
      </c>
      <c r="E611" s="11">
        <f>9.7919 * CHOOSE(CONTROL!$C$32, $C$9, 100%, $E$9)</f>
        <v>9.7919</v>
      </c>
      <c r="F611" s="11">
        <f>9.7919 * CHOOSE(CONTROL!$C$32, $C$9, 100%, $E$9)</f>
        <v>9.7919</v>
      </c>
      <c r="G611" s="11">
        <f>9.7955 * CHOOSE(CONTROL!$C$32, $C$9, 100%, $E$9)</f>
        <v>9.7955000000000005</v>
      </c>
      <c r="H611" s="11">
        <f>19.9711 * CHOOSE(CONTROL!$C$32, $C$9, 100%, $E$9)</f>
        <v>19.9711</v>
      </c>
      <c r="I611" s="11">
        <f>19.9747 * CHOOSE(CONTROL!$C$32, $C$9, 100%, $E$9)</f>
        <v>19.974699999999999</v>
      </c>
      <c r="J611" s="11">
        <f>19.9711 * CHOOSE(CONTROL!$C$32, $C$9, 100%, $E$9)</f>
        <v>19.9711</v>
      </c>
      <c r="K611" s="11">
        <f>19.9747 * CHOOSE(CONTROL!$C$32, $C$9, 100%, $E$9)</f>
        <v>19.974699999999999</v>
      </c>
      <c r="L611" s="11">
        <f>9.7919 * CHOOSE(CONTROL!$C$32, $C$9, 100%, $E$9)</f>
        <v>9.7919</v>
      </c>
      <c r="M611" s="11">
        <f>9.7955 * CHOOSE(CONTROL!$C$32, $C$9, 100%, $E$9)</f>
        <v>9.7955000000000005</v>
      </c>
      <c r="N611" s="11">
        <f>9.7919 * CHOOSE(CONTROL!$C$32, $C$9, 100%, $E$9)</f>
        <v>9.7919</v>
      </c>
      <c r="O611" s="11">
        <f>9.7955 * CHOOSE(CONTROL!$C$32, $C$9, 100%, $E$9)</f>
        <v>9.7955000000000005</v>
      </c>
    </row>
    <row r="612" spans="1:15" ht="15" x14ac:dyDescent="0.2">
      <c r="A612" s="13">
        <v>59476</v>
      </c>
      <c r="B612" s="9">
        <f>8.7632 * CHOOSE(CONTROL!$C$32, $C$9, 100%, $E$9)</f>
        <v>8.7631999999999994</v>
      </c>
      <c r="C612" s="9">
        <f>8.7632 * CHOOSE(CONTROL!$C$32, $C$9, 100%, $E$9)</f>
        <v>8.7631999999999994</v>
      </c>
      <c r="D612" s="9">
        <f>8.7643 * CHOOSE(CONTROL!$C$32, $C$9, 100%, $E$9)</f>
        <v>8.7643000000000004</v>
      </c>
      <c r="E612" s="11">
        <f>9.8432 * CHOOSE(CONTROL!$C$32, $C$9, 100%, $E$9)</f>
        <v>9.8431999999999995</v>
      </c>
      <c r="F612" s="11">
        <f>9.8432 * CHOOSE(CONTROL!$C$32, $C$9, 100%, $E$9)</f>
        <v>9.8431999999999995</v>
      </c>
      <c r="G612" s="11">
        <f>9.8468 * CHOOSE(CONTROL!$C$32, $C$9, 100%, $E$9)</f>
        <v>9.8468</v>
      </c>
      <c r="H612" s="11">
        <f>20.0127 * CHOOSE(CONTROL!$C$32, $C$9, 100%, $E$9)</f>
        <v>20.012699999999999</v>
      </c>
      <c r="I612" s="11">
        <f>20.0163 * CHOOSE(CONTROL!$C$32, $C$9, 100%, $E$9)</f>
        <v>20.016300000000001</v>
      </c>
      <c r="J612" s="11">
        <f>20.0127 * CHOOSE(CONTROL!$C$32, $C$9, 100%, $E$9)</f>
        <v>20.012699999999999</v>
      </c>
      <c r="K612" s="11">
        <f>20.0163 * CHOOSE(CONTROL!$C$32, $C$9, 100%, $E$9)</f>
        <v>20.016300000000001</v>
      </c>
      <c r="L612" s="11">
        <f>9.8432 * CHOOSE(CONTROL!$C$32, $C$9, 100%, $E$9)</f>
        <v>9.8431999999999995</v>
      </c>
      <c r="M612" s="11">
        <f>9.8468 * CHOOSE(CONTROL!$C$32, $C$9, 100%, $E$9)</f>
        <v>9.8468</v>
      </c>
      <c r="N612" s="11">
        <f>9.8432 * CHOOSE(CONTROL!$C$32, $C$9, 100%, $E$9)</f>
        <v>9.8431999999999995</v>
      </c>
      <c r="O612" s="11">
        <f>9.8468 * CHOOSE(CONTROL!$C$32, $C$9, 100%, $E$9)</f>
        <v>9.8468</v>
      </c>
    </row>
    <row r="613" spans="1:15" ht="15" x14ac:dyDescent="0.2">
      <c r="A613" s="13">
        <v>59506</v>
      </c>
      <c r="B613" s="9">
        <f>8.7632 * CHOOSE(CONTROL!$C$32, $C$9, 100%, $E$9)</f>
        <v>8.7631999999999994</v>
      </c>
      <c r="C613" s="9">
        <f>8.7632 * CHOOSE(CONTROL!$C$32, $C$9, 100%, $E$9)</f>
        <v>8.7631999999999994</v>
      </c>
      <c r="D613" s="9">
        <f>8.7643 * CHOOSE(CONTROL!$C$32, $C$9, 100%, $E$9)</f>
        <v>8.7643000000000004</v>
      </c>
      <c r="E613" s="11">
        <f>9.7203 * CHOOSE(CONTROL!$C$32, $C$9, 100%, $E$9)</f>
        <v>9.7202999999999999</v>
      </c>
      <c r="F613" s="11">
        <f>9.7203 * CHOOSE(CONTROL!$C$32, $C$9, 100%, $E$9)</f>
        <v>9.7202999999999999</v>
      </c>
      <c r="G613" s="11">
        <f>9.7239 * CHOOSE(CONTROL!$C$32, $C$9, 100%, $E$9)</f>
        <v>9.7239000000000004</v>
      </c>
      <c r="H613" s="11">
        <f>20.0544 * CHOOSE(CONTROL!$C$32, $C$9, 100%, $E$9)</f>
        <v>20.054400000000001</v>
      </c>
      <c r="I613" s="11">
        <f>20.058 * CHOOSE(CONTROL!$C$32, $C$9, 100%, $E$9)</f>
        <v>20.058</v>
      </c>
      <c r="J613" s="11">
        <f>20.0544 * CHOOSE(CONTROL!$C$32, $C$9, 100%, $E$9)</f>
        <v>20.054400000000001</v>
      </c>
      <c r="K613" s="11">
        <f>20.058 * CHOOSE(CONTROL!$C$32, $C$9, 100%, $E$9)</f>
        <v>20.058</v>
      </c>
      <c r="L613" s="11">
        <f>9.7203 * CHOOSE(CONTROL!$C$32, $C$9, 100%, $E$9)</f>
        <v>9.7202999999999999</v>
      </c>
      <c r="M613" s="11">
        <f>9.7239 * CHOOSE(CONTROL!$C$32, $C$9, 100%, $E$9)</f>
        <v>9.7239000000000004</v>
      </c>
      <c r="N613" s="11">
        <f>9.7203 * CHOOSE(CONTROL!$C$32, $C$9, 100%, $E$9)</f>
        <v>9.7202999999999999</v>
      </c>
      <c r="O613" s="11">
        <f>9.7239 * CHOOSE(CONTROL!$C$32, $C$9, 100%, $E$9)</f>
        <v>9.7239000000000004</v>
      </c>
    </row>
    <row r="614" spans="1:15" ht="15" x14ac:dyDescent="0.2">
      <c r="A614" s="13">
        <v>59537</v>
      </c>
      <c r="B614" s="9">
        <f>8.8196 * CHOOSE(CONTROL!$C$32, $C$9, 100%, $E$9)</f>
        <v>8.8195999999999994</v>
      </c>
      <c r="C614" s="9">
        <f>8.8196 * CHOOSE(CONTROL!$C$32, $C$9, 100%, $E$9)</f>
        <v>8.8195999999999994</v>
      </c>
      <c r="D614" s="9">
        <f>8.8206 * CHOOSE(CONTROL!$C$32, $C$9, 100%, $E$9)</f>
        <v>8.8206000000000007</v>
      </c>
      <c r="E614" s="11">
        <f>9.883 * CHOOSE(CONTROL!$C$32, $C$9, 100%, $E$9)</f>
        <v>9.8829999999999991</v>
      </c>
      <c r="F614" s="11">
        <f>9.883 * CHOOSE(CONTROL!$C$32, $C$9, 100%, $E$9)</f>
        <v>9.8829999999999991</v>
      </c>
      <c r="G614" s="11">
        <f>9.8866 * CHOOSE(CONTROL!$C$32, $C$9, 100%, $E$9)</f>
        <v>9.8865999999999996</v>
      </c>
      <c r="H614" s="11">
        <f>20.0723 * CHOOSE(CONTROL!$C$32, $C$9, 100%, $E$9)</f>
        <v>20.072299999999998</v>
      </c>
      <c r="I614" s="11">
        <f>20.076 * CHOOSE(CONTROL!$C$32, $C$9, 100%, $E$9)</f>
        <v>20.076000000000001</v>
      </c>
      <c r="J614" s="11">
        <f>20.0723 * CHOOSE(CONTROL!$C$32, $C$9, 100%, $E$9)</f>
        <v>20.072299999999998</v>
      </c>
      <c r="K614" s="11">
        <f>20.076 * CHOOSE(CONTROL!$C$32, $C$9, 100%, $E$9)</f>
        <v>20.076000000000001</v>
      </c>
      <c r="L614" s="11">
        <f>9.883 * CHOOSE(CONTROL!$C$32, $C$9, 100%, $E$9)</f>
        <v>9.8829999999999991</v>
      </c>
      <c r="M614" s="11">
        <f>9.8866 * CHOOSE(CONTROL!$C$32, $C$9, 100%, $E$9)</f>
        <v>9.8865999999999996</v>
      </c>
      <c r="N614" s="11">
        <f>9.883 * CHOOSE(CONTROL!$C$32, $C$9, 100%, $E$9)</f>
        <v>9.8829999999999991</v>
      </c>
      <c r="O614" s="11">
        <f>9.8866 * CHOOSE(CONTROL!$C$32, $C$9, 100%, $E$9)</f>
        <v>9.8865999999999996</v>
      </c>
    </row>
    <row r="615" spans="1:15" ht="15" x14ac:dyDescent="0.2">
      <c r="A615" s="13">
        <v>59568</v>
      </c>
      <c r="B615" s="9">
        <f>8.8165 * CHOOSE(CONTROL!$C$32, $C$9, 100%, $E$9)</f>
        <v>8.8164999999999996</v>
      </c>
      <c r="C615" s="9">
        <f>8.8165 * CHOOSE(CONTROL!$C$32, $C$9, 100%, $E$9)</f>
        <v>8.8164999999999996</v>
      </c>
      <c r="D615" s="9">
        <f>8.8176 * CHOOSE(CONTROL!$C$32, $C$9, 100%, $E$9)</f>
        <v>8.8176000000000005</v>
      </c>
      <c r="E615" s="11">
        <f>9.6416 * CHOOSE(CONTROL!$C$32, $C$9, 100%, $E$9)</f>
        <v>9.6416000000000004</v>
      </c>
      <c r="F615" s="11">
        <f>9.6416 * CHOOSE(CONTROL!$C$32, $C$9, 100%, $E$9)</f>
        <v>9.6416000000000004</v>
      </c>
      <c r="G615" s="11">
        <f>9.6452 * CHOOSE(CONTROL!$C$32, $C$9, 100%, $E$9)</f>
        <v>9.6452000000000009</v>
      </c>
      <c r="H615" s="11">
        <f>20.1142 * CHOOSE(CONTROL!$C$32, $C$9, 100%, $E$9)</f>
        <v>20.1142</v>
      </c>
      <c r="I615" s="11">
        <f>20.1178 * CHOOSE(CONTROL!$C$32, $C$9, 100%, $E$9)</f>
        <v>20.117799999999999</v>
      </c>
      <c r="J615" s="11">
        <f>20.1142 * CHOOSE(CONTROL!$C$32, $C$9, 100%, $E$9)</f>
        <v>20.1142</v>
      </c>
      <c r="K615" s="11">
        <f>20.1178 * CHOOSE(CONTROL!$C$32, $C$9, 100%, $E$9)</f>
        <v>20.117799999999999</v>
      </c>
      <c r="L615" s="11">
        <f>9.6416 * CHOOSE(CONTROL!$C$32, $C$9, 100%, $E$9)</f>
        <v>9.6416000000000004</v>
      </c>
      <c r="M615" s="11">
        <f>9.6452 * CHOOSE(CONTROL!$C$32, $C$9, 100%, $E$9)</f>
        <v>9.6452000000000009</v>
      </c>
      <c r="N615" s="11">
        <f>9.6416 * CHOOSE(CONTROL!$C$32, $C$9, 100%, $E$9)</f>
        <v>9.6416000000000004</v>
      </c>
      <c r="O615" s="11">
        <f>9.6452 * CHOOSE(CONTROL!$C$32, $C$9, 100%, $E$9)</f>
        <v>9.6452000000000009</v>
      </c>
    </row>
    <row r="616" spans="1:15" ht="15" x14ac:dyDescent="0.2">
      <c r="A616" s="13">
        <v>59596</v>
      </c>
      <c r="B616" s="9">
        <f>8.8135 * CHOOSE(CONTROL!$C$32, $C$9, 100%, $E$9)</f>
        <v>8.8134999999999994</v>
      </c>
      <c r="C616" s="9">
        <f>8.8135 * CHOOSE(CONTROL!$C$32, $C$9, 100%, $E$9)</f>
        <v>8.8134999999999994</v>
      </c>
      <c r="D616" s="9">
        <f>8.8146 * CHOOSE(CONTROL!$C$32, $C$9, 100%, $E$9)</f>
        <v>8.8146000000000004</v>
      </c>
      <c r="E616" s="11">
        <f>9.8281 * CHOOSE(CONTROL!$C$32, $C$9, 100%, $E$9)</f>
        <v>9.8280999999999992</v>
      </c>
      <c r="F616" s="11">
        <f>9.8281 * CHOOSE(CONTROL!$C$32, $C$9, 100%, $E$9)</f>
        <v>9.8280999999999992</v>
      </c>
      <c r="G616" s="11">
        <f>9.8317 * CHOOSE(CONTROL!$C$32, $C$9, 100%, $E$9)</f>
        <v>9.8316999999999997</v>
      </c>
      <c r="H616" s="11">
        <f>20.1561 * CHOOSE(CONTROL!$C$32, $C$9, 100%, $E$9)</f>
        <v>20.156099999999999</v>
      </c>
      <c r="I616" s="11">
        <f>20.1597 * CHOOSE(CONTROL!$C$32, $C$9, 100%, $E$9)</f>
        <v>20.159700000000001</v>
      </c>
      <c r="J616" s="11">
        <f>20.1561 * CHOOSE(CONTROL!$C$32, $C$9, 100%, $E$9)</f>
        <v>20.156099999999999</v>
      </c>
      <c r="K616" s="11">
        <f>20.1597 * CHOOSE(CONTROL!$C$32, $C$9, 100%, $E$9)</f>
        <v>20.159700000000001</v>
      </c>
      <c r="L616" s="11">
        <f>9.8281 * CHOOSE(CONTROL!$C$32, $C$9, 100%, $E$9)</f>
        <v>9.8280999999999992</v>
      </c>
      <c r="M616" s="11">
        <f>9.8317 * CHOOSE(CONTROL!$C$32, $C$9, 100%, $E$9)</f>
        <v>9.8316999999999997</v>
      </c>
      <c r="N616" s="11">
        <f>9.8281 * CHOOSE(CONTROL!$C$32, $C$9, 100%, $E$9)</f>
        <v>9.8280999999999992</v>
      </c>
      <c r="O616" s="11">
        <f>9.8317 * CHOOSE(CONTROL!$C$32, $C$9, 100%, $E$9)</f>
        <v>9.8316999999999997</v>
      </c>
    </row>
    <row r="617" spans="1:15" ht="15" x14ac:dyDescent="0.2">
      <c r="A617" s="13">
        <v>59627</v>
      </c>
      <c r="B617" s="9">
        <f>8.8158 * CHOOSE(CONTROL!$C$32, $C$9, 100%, $E$9)</f>
        <v>8.8157999999999994</v>
      </c>
      <c r="C617" s="9">
        <f>8.8158 * CHOOSE(CONTROL!$C$32, $C$9, 100%, $E$9)</f>
        <v>8.8157999999999994</v>
      </c>
      <c r="D617" s="9">
        <f>8.8169 * CHOOSE(CONTROL!$C$32, $C$9, 100%, $E$9)</f>
        <v>8.8169000000000004</v>
      </c>
      <c r="E617" s="11">
        <f>10.0265 * CHOOSE(CONTROL!$C$32, $C$9, 100%, $E$9)</f>
        <v>10.0265</v>
      </c>
      <c r="F617" s="11">
        <f>10.0265 * CHOOSE(CONTROL!$C$32, $C$9, 100%, $E$9)</f>
        <v>10.0265</v>
      </c>
      <c r="G617" s="11">
        <f>10.0301 * CHOOSE(CONTROL!$C$32, $C$9, 100%, $E$9)</f>
        <v>10.030099999999999</v>
      </c>
      <c r="H617" s="11">
        <f>20.1981 * CHOOSE(CONTROL!$C$32, $C$9, 100%, $E$9)</f>
        <v>20.1981</v>
      </c>
      <c r="I617" s="11">
        <f>20.2017 * CHOOSE(CONTROL!$C$32, $C$9, 100%, $E$9)</f>
        <v>20.201699999999999</v>
      </c>
      <c r="J617" s="11">
        <f>20.1981 * CHOOSE(CONTROL!$C$32, $C$9, 100%, $E$9)</f>
        <v>20.1981</v>
      </c>
      <c r="K617" s="11">
        <f>20.2017 * CHOOSE(CONTROL!$C$32, $C$9, 100%, $E$9)</f>
        <v>20.201699999999999</v>
      </c>
      <c r="L617" s="11">
        <f>10.0265 * CHOOSE(CONTROL!$C$32, $C$9, 100%, $E$9)</f>
        <v>10.0265</v>
      </c>
      <c r="M617" s="11">
        <f>10.0301 * CHOOSE(CONTROL!$C$32, $C$9, 100%, $E$9)</f>
        <v>10.030099999999999</v>
      </c>
      <c r="N617" s="11">
        <f>10.0265 * CHOOSE(CONTROL!$C$32, $C$9, 100%, $E$9)</f>
        <v>10.0265</v>
      </c>
      <c r="O617" s="11">
        <f>10.0301 * CHOOSE(CONTROL!$C$32, $C$9, 100%, $E$9)</f>
        <v>10.030099999999999</v>
      </c>
    </row>
    <row r="618" spans="1:15" ht="15" x14ac:dyDescent="0.2">
      <c r="A618" s="13">
        <v>59657</v>
      </c>
      <c r="B618" s="9">
        <f>8.8158 * CHOOSE(CONTROL!$C$32, $C$9, 100%, $E$9)</f>
        <v>8.8157999999999994</v>
      </c>
      <c r="C618" s="9">
        <f>8.8158 * CHOOSE(CONTROL!$C$32, $C$9, 100%, $E$9)</f>
        <v>8.8157999999999994</v>
      </c>
      <c r="D618" s="9">
        <f>8.8174 * CHOOSE(CONTROL!$C$32, $C$9, 100%, $E$9)</f>
        <v>8.8173999999999992</v>
      </c>
      <c r="E618" s="11">
        <f>10.1024 * CHOOSE(CONTROL!$C$32, $C$9, 100%, $E$9)</f>
        <v>10.102399999999999</v>
      </c>
      <c r="F618" s="11">
        <f>10.1024 * CHOOSE(CONTROL!$C$32, $C$9, 100%, $E$9)</f>
        <v>10.102399999999999</v>
      </c>
      <c r="G618" s="11">
        <f>10.1077 * CHOOSE(CONTROL!$C$32, $C$9, 100%, $E$9)</f>
        <v>10.107699999999999</v>
      </c>
      <c r="H618" s="11">
        <f>20.2401 * CHOOSE(CONTROL!$C$32, $C$9, 100%, $E$9)</f>
        <v>20.240100000000002</v>
      </c>
      <c r="I618" s="11">
        <f>20.2454 * CHOOSE(CONTROL!$C$32, $C$9, 100%, $E$9)</f>
        <v>20.2454</v>
      </c>
      <c r="J618" s="11">
        <f>20.2401 * CHOOSE(CONTROL!$C$32, $C$9, 100%, $E$9)</f>
        <v>20.240100000000002</v>
      </c>
      <c r="K618" s="11">
        <f>20.2454 * CHOOSE(CONTROL!$C$32, $C$9, 100%, $E$9)</f>
        <v>20.2454</v>
      </c>
      <c r="L618" s="11">
        <f>10.1024 * CHOOSE(CONTROL!$C$32, $C$9, 100%, $E$9)</f>
        <v>10.102399999999999</v>
      </c>
      <c r="M618" s="11">
        <f>10.1077 * CHOOSE(CONTROL!$C$32, $C$9, 100%, $E$9)</f>
        <v>10.107699999999999</v>
      </c>
      <c r="N618" s="11">
        <f>10.1024 * CHOOSE(CONTROL!$C$32, $C$9, 100%, $E$9)</f>
        <v>10.102399999999999</v>
      </c>
      <c r="O618" s="11">
        <f>10.1077 * CHOOSE(CONTROL!$C$32, $C$9, 100%, $E$9)</f>
        <v>10.107699999999999</v>
      </c>
    </row>
    <row r="619" spans="1:15" ht="15" x14ac:dyDescent="0.2">
      <c r="A619" s="13">
        <v>59688</v>
      </c>
      <c r="B619" s="9">
        <f>8.8219 * CHOOSE(CONTROL!$C$32, $C$9, 100%, $E$9)</f>
        <v>8.8218999999999994</v>
      </c>
      <c r="C619" s="9">
        <f>8.8219 * CHOOSE(CONTROL!$C$32, $C$9, 100%, $E$9)</f>
        <v>8.8218999999999994</v>
      </c>
      <c r="D619" s="9">
        <f>8.8235 * CHOOSE(CONTROL!$C$32, $C$9, 100%, $E$9)</f>
        <v>8.8234999999999992</v>
      </c>
      <c r="E619" s="11">
        <f>10.0307 * CHOOSE(CONTROL!$C$32, $C$9, 100%, $E$9)</f>
        <v>10.0307</v>
      </c>
      <c r="F619" s="11">
        <f>10.0307 * CHOOSE(CONTROL!$C$32, $C$9, 100%, $E$9)</f>
        <v>10.0307</v>
      </c>
      <c r="G619" s="11">
        <f>10.036 * CHOOSE(CONTROL!$C$32, $C$9, 100%, $E$9)</f>
        <v>10.036</v>
      </c>
      <c r="H619" s="11">
        <f>20.2823 * CHOOSE(CONTROL!$C$32, $C$9, 100%, $E$9)</f>
        <v>20.282299999999999</v>
      </c>
      <c r="I619" s="11">
        <f>20.2876 * CHOOSE(CONTROL!$C$32, $C$9, 100%, $E$9)</f>
        <v>20.287600000000001</v>
      </c>
      <c r="J619" s="11">
        <f>20.2823 * CHOOSE(CONTROL!$C$32, $C$9, 100%, $E$9)</f>
        <v>20.282299999999999</v>
      </c>
      <c r="K619" s="11">
        <f>20.2876 * CHOOSE(CONTROL!$C$32, $C$9, 100%, $E$9)</f>
        <v>20.287600000000001</v>
      </c>
      <c r="L619" s="11">
        <f>10.0307 * CHOOSE(CONTROL!$C$32, $C$9, 100%, $E$9)</f>
        <v>10.0307</v>
      </c>
      <c r="M619" s="11">
        <f>10.036 * CHOOSE(CONTROL!$C$32, $C$9, 100%, $E$9)</f>
        <v>10.036</v>
      </c>
      <c r="N619" s="11">
        <f>10.0307 * CHOOSE(CONTROL!$C$32, $C$9, 100%, $E$9)</f>
        <v>10.0307</v>
      </c>
      <c r="O619" s="11">
        <f>10.036 * CHOOSE(CONTROL!$C$32, $C$9, 100%, $E$9)</f>
        <v>10.036</v>
      </c>
    </row>
    <row r="620" spans="1:15" ht="15" x14ac:dyDescent="0.2">
      <c r="A620" s="13">
        <v>59718</v>
      </c>
      <c r="B620" s="9">
        <f>8.9333 * CHOOSE(CONTROL!$C$32, $C$9, 100%, $E$9)</f>
        <v>8.9332999999999991</v>
      </c>
      <c r="C620" s="9">
        <f>8.9333 * CHOOSE(CONTROL!$C$32, $C$9, 100%, $E$9)</f>
        <v>8.9332999999999991</v>
      </c>
      <c r="D620" s="9">
        <f>8.9349 * CHOOSE(CONTROL!$C$32, $C$9, 100%, $E$9)</f>
        <v>8.9349000000000007</v>
      </c>
      <c r="E620" s="11">
        <f>10.1704 * CHOOSE(CONTROL!$C$32, $C$9, 100%, $E$9)</f>
        <v>10.170400000000001</v>
      </c>
      <c r="F620" s="11">
        <f>10.1704 * CHOOSE(CONTROL!$C$32, $C$9, 100%, $E$9)</f>
        <v>10.170400000000001</v>
      </c>
      <c r="G620" s="11">
        <f>10.1757 * CHOOSE(CONTROL!$C$32, $C$9, 100%, $E$9)</f>
        <v>10.175700000000001</v>
      </c>
      <c r="H620" s="11">
        <f>20.3246 * CHOOSE(CONTROL!$C$32, $C$9, 100%, $E$9)</f>
        <v>20.3246</v>
      </c>
      <c r="I620" s="11">
        <f>20.3298 * CHOOSE(CONTROL!$C$32, $C$9, 100%, $E$9)</f>
        <v>20.329799999999999</v>
      </c>
      <c r="J620" s="11">
        <f>20.3246 * CHOOSE(CONTROL!$C$32, $C$9, 100%, $E$9)</f>
        <v>20.3246</v>
      </c>
      <c r="K620" s="11">
        <f>20.3298 * CHOOSE(CONTROL!$C$32, $C$9, 100%, $E$9)</f>
        <v>20.329799999999999</v>
      </c>
      <c r="L620" s="11">
        <f>10.1704 * CHOOSE(CONTROL!$C$32, $C$9, 100%, $E$9)</f>
        <v>10.170400000000001</v>
      </c>
      <c r="M620" s="11">
        <f>10.1757 * CHOOSE(CONTROL!$C$32, $C$9, 100%, $E$9)</f>
        <v>10.175700000000001</v>
      </c>
      <c r="N620" s="11">
        <f>10.1704 * CHOOSE(CONTROL!$C$32, $C$9, 100%, $E$9)</f>
        <v>10.170400000000001</v>
      </c>
      <c r="O620" s="11">
        <f>10.1757 * CHOOSE(CONTROL!$C$32, $C$9, 100%, $E$9)</f>
        <v>10.175700000000001</v>
      </c>
    </row>
    <row r="621" spans="1:15" ht="15" x14ac:dyDescent="0.2">
      <c r="A621" s="13">
        <v>59749</v>
      </c>
      <c r="B621" s="9">
        <f>8.94 * CHOOSE(CONTROL!$C$32, $C$9, 100%, $E$9)</f>
        <v>8.94</v>
      </c>
      <c r="C621" s="9">
        <f>8.94 * CHOOSE(CONTROL!$C$32, $C$9, 100%, $E$9)</f>
        <v>8.94</v>
      </c>
      <c r="D621" s="9">
        <f>8.9416 * CHOOSE(CONTROL!$C$32, $C$9, 100%, $E$9)</f>
        <v>8.9415999999999993</v>
      </c>
      <c r="E621" s="11">
        <f>9.9471 * CHOOSE(CONTROL!$C$32, $C$9, 100%, $E$9)</f>
        <v>9.9471000000000007</v>
      </c>
      <c r="F621" s="11">
        <f>9.9471 * CHOOSE(CONTROL!$C$32, $C$9, 100%, $E$9)</f>
        <v>9.9471000000000007</v>
      </c>
      <c r="G621" s="11">
        <f>9.9524 * CHOOSE(CONTROL!$C$32, $C$9, 100%, $E$9)</f>
        <v>9.9524000000000008</v>
      </c>
      <c r="H621" s="11">
        <f>20.3669 * CHOOSE(CONTROL!$C$32, $C$9, 100%, $E$9)</f>
        <v>20.366900000000001</v>
      </c>
      <c r="I621" s="11">
        <f>20.3722 * CHOOSE(CONTROL!$C$32, $C$9, 100%, $E$9)</f>
        <v>20.372199999999999</v>
      </c>
      <c r="J621" s="11">
        <f>20.3669 * CHOOSE(CONTROL!$C$32, $C$9, 100%, $E$9)</f>
        <v>20.366900000000001</v>
      </c>
      <c r="K621" s="11">
        <f>20.3722 * CHOOSE(CONTROL!$C$32, $C$9, 100%, $E$9)</f>
        <v>20.372199999999999</v>
      </c>
      <c r="L621" s="11">
        <f>9.9471 * CHOOSE(CONTROL!$C$32, $C$9, 100%, $E$9)</f>
        <v>9.9471000000000007</v>
      </c>
      <c r="M621" s="11">
        <f>9.9524 * CHOOSE(CONTROL!$C$32, $C$9, 100%, $E$9)</f>
        <v>9.9524000000000008</v>
      </c>
      <c r="N621" s="11">
        <f>9.9471 * CHOOSE(CONTROL!$C$32, $C$9, 100%, $E$9)</f>
        <v>9.9471000000000007</v>
      </c>
      <c r="O621" s="11">
        <f>9.9524 * CHOOSE(CONTROL!$C$32, $C$9, 100%, $E$9)</f>
        <v>9.9524000000000008</v>
      </c>
    </row>
    <row r="622" spans="1:15" ht="15" x14ac:dyDescent="0.2">
      <c r="A622" s="13">
        <v>59780</v>
      </c>
      <c r="B622" s="9">
        <f>8.937 * CHOOSE(CONTROL!$C$32, $C$9, 100%, $E$9)</f>
        <v>8.9369999999999994</v>
      </c>
      <c r="C622" s="9">
        <f>8.937 * CHOOSE(CONTROL!$C$32, $C$9, 100%, $E$9)</f>
        <v>8.9369999999999994</v>
      </c>
      <c r="D622" s="9">
        <f>8.9386 * CHOOSE(CONTROL!$C$32, $C$9, 100%, $E$9)</f>
        <v>8.9385999999999992</v>
      </c>
      <c r="E622" s="11">
        <f>9.9197 * CHOOSE(CONTROL!$C$32, $C$9, 100%, $E$9)</f>
        <v>9.9197000000000006</v>
      </c>
      <c r="F622" s="11">
        <f>9.9197 * CHOOSE(CONTROL!$C$32, $C$9, 100%, $E$9)</f>
        <v>9.9197000000000006</v>
      </c>
      <c r="G622" s="11">
        <f>9.925 * CHOOSE(CONTROL!$C$32, $C$9, 100%, $E$9)</f>
        <v>9.9250000000000007</v>
      </c>
      <c r="H622" s="11">
        <f>20.4093 * CHOOSE(CONTROL!$C$32, $C$9, 100%, $E$9)</f>
        <v>20.409300000000002</v>
      </c>
      <c r="I622" s="11">
        <f>20.4146 * CHOOSE(CONTROL!$C$32, $C$9, 100%, $E$9)</f>
        <v>20.4146</v>
      </c>
      <c r="J622" s="11">
        <f>20.4093 * CHOOSE(CONTROL!$C$32, $C$9, 100%, $E$9)</f>
        <v>20.409300000000002</v>
      </c>
      <c r="K622" s="11">
        <f>20.4146 * CHOOSE(CONTROL!$C$32, $C$9, 100%, $E$9)</f>
        <v>20.4146</v>
      </c>
      <c r="L622" s="11">
        <f>9.9197 * CHOOSE(CONTROL!$C$32, $C$9, 100%, $E$9)</f>
        <v>9.9197000000000006</v>
      </c>
      <c r="M622" s="11">
        <f>9.925 * CHOOSE(CONTROL!$C$32, $C$9, 100%, $E$9)</f>
        <v>9.9250000000000007</v>
      </c>
      <c r="N622" s="11">
        <f>9.9197 * CHOOSE(CONTROL!$C$32, $C$9, 100%, $E$9)</f>
        <v>9.9197000000000006</v>
      </c>
      <c r="O622" s="11">
        <f>9.925 * CHOOSE(CONTROL!$C$32, $C$9, 100%, $E$9)</f>
        <v>9.9250000000000007</v>
      </c>
    </row>
    <row r="623" spans="1:15" ht="15" x14ac:dyDescent="0.2">
      <c r="A623" s="13">
        <v>59810</v>
      </c>
      <c r="B623" s="9">
        <f>8.9505 * CHOOSE(CONTROL!$C$32, $C$9, 100%, $E$9)</f>
        <v>8.9504999999999999</v>
      </c>
      <c r="C623" s="9">
        <f>8.9505 * CHOOSE(CONTROL!$C$32, $C$9, 100%, $E$9)</f>
        <v>8.9504999999999999</v>
      </c>
      <c r="D623" s="9">
        <f>8.9515 * CHOOSE(CONTROL!$C$32, $C$9, 100%, $E$9)</f>
        <v>8.9514999999999993</v>
      </c>
      <c r="E623" s="11">
        <f>10.0076 * CHOOSE(CONTROL!$C$32, $C$9, 100%, $E$9)</f>
        <v>10.0076</v>
      </c>
      <c r="F623" s="11">
        <f>10.0076 * CHOOSE(CONTROL!$C$32, $C$9, 100%, $E$9)</f>
        <v>10.0076</v>
      </c>
      <c r="G623" s="11">
        <f>10.0112 * CHOOSE(CONTROL!$C$32, $C$9, 100%, $E$9)</f>
        <v>10.011200000000001</v>
      </c>
      <c r="H623" s="11">
        <f>20.4518 * CHOOSE(CONTROL!$C$32, $C$9, 100%, $E$9)</f>
        <v>20.451799999999999</v>
      </c>
      <c r="I623" s="11">
        <f>20.4555 * CHOOSE(CONTROL!$C$32, $C$9, 100%, $E$9)</f>
        <v>20.455500000000001</v>
      </c>
      <c r="J623" s="11">
        <f>20.4518 * CHOOSE(CONTROL!$C$32, $C$9, 100%, $E$9)</f>
        <v>20.451799999999999</v>
      </c>
      <c r="K623" s="11">
        <f>20.4555 * CHOOSE(CONTROL!$C$32, $C$9, 100%, $E$9)</f>
        <v>20.455500000000001</v>
      </c>
      <c r="L623" s="11">
        <f>10.0076 * CHOOSE(CONTROL!$C$32, $C$9, 100%, $E$9)</f>
        <v>10.0076</v>
      </c>
      <c r="M623" s="11">
        <f>10.0112 * CHOOSE(CONTROL!$C$32, $C$9, 100%, $E$9)</f>
        <v>10.011200000000001</v>
      </c>
      <c r="N623" s="11">
        <f>10.0076 * CHOOSE(CONTROL!$C$32, $C$9, 100%, $E$9)</f>
        <v>10.0076</v>
      </c>
      <c r="O623" s="11">
        <f>10.0112 * CHOOSE(CONTROL!$C$32, $C$9, 100%, $E$9)</f>
        <v>10.011200000000001</v>
      </c>
    </row>
    <row r="624" spans="1:15" ht="15" x14ac:dyDescent="0.2">
      <c r="A624" s="13">
        <v>59841</v>
      </c>
      <c r="B624" s="9">
        <f>8.9535 * CHOOSE(CONTROL!$C$32, $C$9, 100%, $E$9)</f>
        <v>8.9535</v>
      </c>
      <c r="C624" s="9">
        <f>8.9535 * CHOOSE(CONTROL!$C$32, $C$9, 100%, $E$9)</f>
        <v>8.9535</v>
      </c>
      <c r="D624" s="9">
        <f>8.9546 * CHOOSE(CONTROL!$C$32, $C$9, 100%, $E$9)</f>
        <v>8.9545999999999992</v>
      </c>
      <c r="E624" s="11">
        <f>10.0603 * CHOOSE(CONTROL!$C$32, $C$9, 100%, $E$9)</f>
        <v>10.0603</v>
      </c>
      <c r="F624" s="11">
        <f>10.0603 * CHOOSE(CONTROL!$C$32, $C$9, 100%, $E$9)</f>
        <v>10.0603</v>
      </c>
      <c r="G624" s="11">
        <f>10.064 * CHOOSE(CONTROL!$C$32, $C$9, 100%, $E$9)</f>
        <v>10.064</v>
      </c>
      <c r="H624" s="11">
        <f>20.4945 * CHOOSE(CONTROL!$C$32, $C$9, 100%, $E$9)</f>
        <v>20.494499999999999</v>
      </c>
      <c r="I624" s="11">
        <f>20.4981 * CHOOSE(CONTROL!$C$32, $C$9, 100%, $E$9)</f>
        <v>20.498100000000001</v>
      </c>
      <c r="J624" s="11">
        <f>20.4945 * CHOOSE(CONTROL!$C$32, $C$9, 100%, $E$9)</f>
        <v>20.494499999999999</v>
      </c>
      <c r="K624" s="11">
        <f>20.4981 * CHOOSE(CONTROL!$C$32, $C$9, 100%, $E$9)</f>
        <v>20.498100000000001</v>
      </c>
      <c r="L624" s="11">
        <f>10.0603 * CHOOSE(CONTROL!$C$32, $C$9, 100%, $E$9)</f>
        <v>10.0603</v>
      </c>
      <c r="M624" s="11">
        <f>10.064 * CHOOSE(CONTROL!$C$32, $C$9, 100%, $E$9)</f>
        <v>10.064</v>
      </c>
      <c r="N624" s="11">
        <f>10.0603 * CHOOSE(CONTROL!$C$32, $C$9, 100%, $E$9)</f>
        <v>10.0603</v>
      </c>
      <c r="O624" s="11">
        <f>10.064 * CHOOSE(CONTROL!$C$32, $C$9, 100%, $E$9)</f>
        <v>10.064</v>
      </c>
    </row>
    <row r="625" spans="1:15" ht="15" x14ac:dyDescent="0.2">
      <c r="A625" s="13">
        <v>59871</v>
      </c>
      <c r="B625" s="9">
        <f>8.9535 * CHOOSE(CONTROL!$C$32, $C$9, 100%, $E$9)</f>
        <v>8.9535</v>
      </c>
      <c r="C625" s="9">
        <f>8.9535 * CHOOSE(CONTROL!$C$32, $C$9, 100%, $E$9)</f>
        <v>8.9535</v>
      </c>
      <c r="D625" s="9">
        <f>8.9546 * CHOOSE(CONTROL!$C$32, $C$9, 100%, $E$9)</f>
        <v>8.9545999999999992</v>
      </c>
      <c r="E625" s="11">
        <f>9.9337 * CHOOSE(CONTROL!$C$32, $C$9, 100%, $E$9)</f>
        <v>9.9337</v>
      </c>
      <c r="F625" s="11">
        <f>9.9337 * CHOOSE(CONTROL!$C$32, $C$9, 100%, $E$9)</f>
        <v>9.9337</v>
      </c>
      <c r="G625" s="11">
        <f>9.9373 * CHOOSE(CONTROL!$C$32, $C$9, 100%, $E$9)</f>
        <v>9.9373000000000005</v>
      </c>
      <c r="H625" s="11">
        <f>20.5372 * CHOOSE(CONTROL!$C$32, $C$9, 100%, $E$9)</f>
        <v>20.537199999999999</v>
      </c>
      <c r="I625" s="11">
        <f>20.5408 * CHOOSE(CONTROL!$C$32, $C$9, 100%, $E$9)</f>
        <v>20.540800000000001</v>
      </c>
      <c r="J625" s="11">
        <f>20.5372 * CHOOSE(CONTROL!$C$32, $C$9, 100%, $E$9)</f>
        <v>20.537199999999999</v>
      </c>
      <c r="K625" s="11">
        <f>20.5408 * CHOOSE(CONTROL!$C$32, $C$9, 100%, $E$9)</f>
        <v>20.540800000000001</v>
      </c>
      <c r="L625" s="11">
        <f>9.9337 * CHOOSE(CONTROL!$C$32, $C$9, 100%, $E$9)</f>
        <v>9.9337</v>
      </c>
      <c r="M625" s="11">
        <f>9.9373 * CHOOSE(CONTROL!$C$32, $C$9, 100%, $E$9)</f>
        <v>9.9373000000000005</v>
      </c>
      <c r="N625" s="11">
        <f>9.9337 * CHOOSE(CONTROL!$C$32, $C$9, 100%, $E$9)</f>
        <v>9.9337</v>
      </c>
      <c r="O625" s="11">
        <f>9.9373 * CHOOSE(CONTROL!$C$32, $C$9, 100%, $E$9)</f>
        <v>9.9373000000000005</v>
      </c>
    </row>
    <row r="626" spans="1:15" ht="15" x14ac:dyDescent="0.2">
      <c r="A626" s="13">
        <v>59902</v>
      </c>
      <c r="B626" s="9">
        <f>9.0069 * CHOOSE(CONTROL!$C$32, $C$9, 100%, $E$9)</f>
        <v>9.0068999999999999</v>
      </c>
      <c r="C626" s="9">
        <f>9.0069 * CHOOSE(CONTROL!$C$32, $C$9, 100%, $E$9)</f>
        <v>9.0068999999999999</v>
      </c>
      <c r="D626" s="9">
        <f>9.008 * CHOOSE(CONTROL!$C$32, $C$9, 100%, $E$9)</f>
        <v>9.0079999999999991</v>
      </c>
      <c r="E626" s="11">
        <f>10.0955 * CHOOSE(CONTROL!$C$32, $C$9, 100%, $E$9)</f>
        <v>10.095499999999999</v>
      </c>
      <c r="F626" s="11">
        <f>10.0955 * CHOOSE(CONTROL!$C$32, $C$9, 100%, $E$9)</f>
        <v>10.095499999999999</v>
      </c>
      <c r="G626" s="11">
        <f>10.0991 * CHOOSE(CONTROL!$C$32, $C$9, 100%, $E$9)</f>
        <v>10.0991</v>
      </c>
      <c r="H626" s="11">
        <f>20.5441 * CHOOSE(CONTROL!$C$32, $C$9, 100%, $E$9)</f>
        <v>20.5441</v>
      </c>
      <c r="I626" s="11">
        <f>20.5478 * CHOOSE(CONTROL!$C$32, $C$9, 100%, $E$9)</f>
        <v>20.547799999999999</v>
      </c>
      <c r="J626" s="11">
        <f>20.5441 * CHOOSE(CONTROL!$C$32, $C$9, 100%, $E$9)</f>
        <v>20.5441</v>
      </c>
      <c r="K626" s="11">
        <f>20.5478 * CHOOSE(CONTROL!$C$32, $C$9, 100%, $E$9)</f>
        <v>20.547799999999999</v>
      </c>
      <c r="L626" s="11">
        <f>10.0955 * CHOOSE(CONTROL!$C$32, $C$9, 100%, $E$9)</f>
        <v>10.095499999999999</v>
      </c>
      <c r="M626" s="11">
        <f>10.0991 * CHOOSE(CONTROL!$C$32, $C$9, 100%, $E$9)</f>
        <v>10.0991</v>
      </c>
      <c r="N626" s="11">
        <f>10.0955 * CHOOSE(CONTROL!$C$32, $C$9, 100%, $E$9)</f>
        <v>10.095499999999999</v>
      </c>
      <c r="O626" s="11">
        <f>10.0991 * CHOOSE(CONTROL!$C$32, $C$9, 100%, $E$9)</f>
        <v>10.0991</v>
      </c>
    </row>
    <row r="627" spans="1:15" ht="15" x14ac:dyDescent="0.2">
      <c r="A627" s="13">
        <v>59933</v>
      </c>
      <c r="B627" s="9">
        <f>9.0039 * CHOOSE(CONTROL!$C$32, $C$9, 100%, $E$9)</f>
        <v>9.0038999999999998</v>
      </c>
      <c r="C627" s="9">
        <f>9.0039 * CHOOSE(CONTROL!$C$32, $C$9, 100%, $E$9)</f>
        <v>9.0038999999999998</v>
      </c>
      <c r="D627" s="9">
        <f>9.005 * CHOOSE(CONTROL!$C$32, $C$9, 100%, $E$9)</f>
        <v>9.0050000000000008</v>
      </c>
      <c r="E627" s="11">
        <f>9.847 * CHOOSE(CONTROL!$C$32, $C$9, 100%, $E$9)</f>
        <v>9.8469999999999995</v>
      </c>
      <c r="F627" s="11">
        <f>9.847 * CHOOSE(CONTROL!$C$32, $C$9, 100%, $E$9)</f>
        <v>9.8469999999999995</v>
      </c>
      <c r="G627" s="11">
        <f>9.8506 * CHOOSE(CONTROL!$C$32, $C$9, 100%, $E$9)</f>
        <v>9.8506</v>
      </c>
      <c r="H627" s="11">
        <f>20.5869 * CHOOSE(CONTROL!$C$32, $C$9, 100%, $E$9)</f>
        <v>20.5869</v>
      </c>
      <c r="I627" s="11">
        <f>20.5906 * CHOOSE(CONTROL!$C$32, $C$9, 100%, $E$9)</f>
        <v>20.590599999999998</v>
      </c>
      <c r="J627" s="11">
        <f>20.5869 * CHOOSE(CONTROL!$C$32, $C$9, 100%, $E$9)</f>
        <v>20.5869</v>
      </c>
      <c r="K627" s="11">
        <f>20.5906 * CHOOSE(CONTROL!$C$32, $C$9, 100%, $E$9)</f>
        <v>20.590599999999998</v>
      </c>
      <c r="L627" s="11">
        <f>9.847 * CHOOSE(CONTROL!$C$32, $C$9, 100%, $E$9)</f>
        <v>9.8469999999999995</v>
      </c>
      <c r="M627" s="11">
        <f>9.8506 * CHOOSE(CONTROL!$C$32, $C$9, 100%, $E$9)</f>
        <v>9.8506</v>
      </c>
      <c r="N627" s="11">
        <f>9.847 * CHOOSE(CONTROL!$C$32, $C$9, 100%, $E$9)</f>
        <v>9.8469999999999995</v>
      </c>
      <c r="O627" s="11">
        <f>9.8506 * CHOOSE(CONTROL!$C$32, $C$9, 100%, $E$9)</f>
        <v>9.8506</v>
      </c>
    </row>
    <row r="628" spans="1:15" ht="15" x14ac:dyDescent="0.2">
      <c r="A628" s="13">
        <v>59962</v>
      </c>
      <c r="B628" s="9">
        <f>9.0008 * CHOOSE(CONTROL!$C$32, $C$9, 100%, $E$9)</f>
        <v>9.0007999999999999</v>
      </c>
      <c r="C628" s="9">
        <f>9.0008 * CHOOSE(CONTROL!$C$32, $C$9, 100%, $E$9)</f>
        <v>9.0007999999999999</v>
      </c>
      <c r="D628" s="9">
        <f>9.0019 * CHOOSE(CONTROL!$C$32, $C$9, 100%, $E$9)</f>
        <v>9.0018999999999991</v>
      </c>
      <c r="E628" s="11">
        <f>10.0391 * CHOOSE(CONTROL!$C$32, $C$9, 100%, $E$9)</f>
        <v>10.039099999999999</v>
      </c>
      <c r="F628" s="11">
        <f>10.0391 * CHOOSE(CONTROL!$C$32, $C$9, 100%, $E$9)</f>
        <v>10.039099999999999</v>
      </c>
      <c r="G628" s="11">
        <f>10.0427 * CHOOSE(CONTROL!$C$32, $C$9, 100%, $E$9)</f>
        <v>10.0427</v>
      </c>
      <c r="H628" s="11">
        <f>20.6298 * CHOOSE(CONTROL!$C$32, $C$9, 100%, $E$9)</f>
        <v>20.629799999999999</v>
      </c>
      <c r="I628" s="11">
        <f>20.6335 * CHOOSE(CONTROL!$C$32, $C$9, 100%, $E$9)</f>
        <v>20.633500000000002</v>
      </c>
      <c r="J628" s="11">
        <f>20.6298 * CHOOSE(CONTROL!$C$32, $C$9, 100%, $E$9)</f>
        <v>20.629799999999999</v>
      </c>
      <c r="K628" s="11">
        <f>20.6335 * CHOOSE(CONTROL!$C$32, $C$9, 100%, $E$9)</f>
        <v>20.633500000000002</v>
      </c>
      <c r="L628" s="11">
        <f>10.0391 * CHOOSE(CONTROL!$C$32, $C$9, 100%, $E$9)</f>
        <v>10.039099999999999</v>
      </c>
      <c r="M628" s="11">
        <f>10.0427 * CHOOSE(CONTROL!$C$32, $C$9, 100%, $E$9)</f>
        <v>10.0427</v>
      </c>
      <c r="N628" s="11">
        <f>10.0391 * CHOOSE(CONTROL!$C$32, $C$9, 100%, $E$9)</f>
        <v>10.039099999999999</v>
      </c>
      <c r="O628" s="11">
        <f>10.0427 * CHOOSE(CONTROL!$C$32, $C$9, 100%, $E$9)</f>
        <v>10.0427</v>
      </c>
    </row>
    <row r="629" spans="1:15" ht="15" x14ac:dyDescent="0.2">
      <c r="A629" s="13">
        <v>59993</v>
      </c>
      <c r="B629" s="9">
        <f>9.0033 * CHOOSE(CONTROL!$C$32, $C$9, 100%, $E$9)</f>
        <v>9.0032999999999994</v>
      </c>
      <c r="C629" s="9">
        <f>9.0033 * CHOOSE(CONTROL!$C$32, $C$9, 100%, $E$9)</f>
        <v>9.0032999999999994</v>
      </c>
      <c r="D629" s="9">
        <f>9.0044 * CHOOSE(CONTROL!$C$32, $C$9, 100%, $E$9)</f>
        <v>9.0044000000000004</v>
      </c>
      <c r="E629" s="11">
        <f>10.2435 * CHOOSE(CONTROL!$C$32, $C$9, 100%, $E$9)</f>
        <v>10.243499999999999</v>
      </c>
      <c r="F629" s="11">
        <f>10.2435 * CHOOSE(CONTROL!$C$32, $C$9, 100%, $E$9)</f>
        <v>10.243499999999999</v>
      </c>
      <c r="G629" s="11">
        <f>10.2471 * CHOOSE(CONTROL!$C$32, $C$9, 100%, $E$9)</f>
        <v>10.2471</v>
      </c>
      <c r="H629" s="11">
        <f>20.6728 * CHOOSE(CONTROL!$C$32, $C$9, 100%, $E$9)</f>
        <v>20.672799999999999</v>
      </c>
      <c r="I629" s="11">
        <f>20.6764 * CHOOSE(CONTROL!$C$32, $C$9, 100%, $E$9)</f>
        <v>20.676400000000001</v>
      </c>
      <c r="J629" s="11">
        <f>20.6728 * CHOOSE(CONTROL!$C$32, $C$9, 100%, $E$9)</f>
        <v>20.672799999999999</v>
      </c>
      <c r="K629" s="11">
        <f>20.6764 * CHOOSE(CONTROL!$C$32, $C$9, 100%, $E$9)</f>
        <v>20.676400000000001</v>
      </c>
      <c r="L629" s="11">
        <f>10.2435 * CHOOSE(CONTROL!$C$32, $C$9, 100%, $E$9)</f>
        <v>10.243499999999999</v>
      </c>
      <c r="M629" s="11">
        <f>10.2471 * CHOOSE(CONTROL!$C$32, $C$9, 100%, $E$9)</f>
        <v>10.2471</v>
      </c>
      <c r="N629" s="11">
        <f>10.2435 * CHOOSE(CONTROL!$C$32, $C$9, 100%, $E$9)</f>
        <v>10.243499999999999</v>
      </c>
      <c r="O629" s="11">
        <f>10.2471 * CHOOSE(CONTROL!$C$32, $C$9, 100%, $E$9)</f>
        <v>10.2471</v>
      </c>
    </row>
    <row r="630" spans="1:15" ht="15" x14ac:dyDescent="0.2">
      <c r="A630" s="13">
        <v>60023</v>
      </c>
      <c r="B630" s="9">
        <f>9.0033 * CHOOSE(CONTROL!$C$32, $C$9, 100%, $E$9)</f>
        <v>9.0032999999999994</v>
      </c>
      <c r="C630" s="9">
        <f>9.0033 * CHOOSE(CONTROL!$C$32, $C$9, 100%, $E$9)</f>
        <v>9.0032999999999994</v>
      </c>
      <c r="D630" s="9">
        <f>9.0049 * CHOOSE(CONTROL!$C$32, $C$9, 100%, $E$9)</f>
        <v>9.0048999999999992</v>
      </c>
      <c r="E630" s="11">
        <f>10.3217 * CHOOSE(CONTROL!$C$32, $C$9, 100%, $E$9)</f>
        <v>10.3217</v>
      </c>
      <c r="F630" s="11">
        <f>10.3217 * CHOOSE(CONTROL!$C$32, $C$9, 100%, $E$9)</f>
        <v>10.3217</v>
      </c>
      <c r="G630" s="11">
        <f>10.327 * CHOOSE(CONTROL!$C$32, $C$9, 100%, $E$9)</f>
        <v>10.327</v>
      </c>
      <c r="H630" s="11">
        <f>20.7159 * CHOOSE(CONTROL!$C$32, $C$9, 100%, $E$9)</f>
        <v>20.715900000000001</v>
      </c>
      <c r="I630" s="11">
        <f>20.7212 * CHOOSE(CONTROL!$C$32, $C$9, 100%, $E$9)</f>
        <v>20.7212</v>
      </c>
      <c r="J630" s="11">
        <f>20.7159 * CHOOSE(CONTROL!$C$32, $C$9, 100%, $E$9)</f>
        <v>20.715900000000001</v>
      </c>
      <c r="K630" s="11">
        <f>20.7212 * CHOOSE(CONTROL!$C$32, $C$9, 100%, $E$9)</f>
        <v>20.7212</v>
      </c>
      <c r="L630" s="11">
        <f>10.3217 * CHOOSE(CONTROL!$C$32, $C$9, 100%, $E$9)</f>
        <v>10.3217</v>
      </c>
      <c r="M630" s="11">
        <f>10.327 * CHOOSE(CONTROL!$C$32, $C$9, 100%, $E$9)</f>
        <v>10.327</v>
      </c>
      <c r="N630" s="11">
        <f>10.3217 * CHOOSE(CONTROL!$C$32, $C$9, 100%, $E$9)</f>
        <v>10.3217</v>
      </c>
      <c r="O630" s="11">
        <f>10.327 * CHOOSE(CONTROL!$C$32, $C$9, 100%, $E$9)</f>
        <v>10.327</v>
      </c>
    </row>
    <row r="631" spans="1:15" ht="15" x14ac:dyDescent="0.2">
      <c r="A631" s="13">
        <v>60054</v>
      </c>
      <c r="B631" s="9">
        <f>9.0094 * CHOOSE(CONTROL!$C$32, $C$9, 100%, $E$9)</f>
        <v>9.0093999999999994</v>
      </c>
      <c r="C631" s="9">
        <f>9.0094 * CHOOSE(CONTROL!$C$32, $C$9, 100%, $E$9)</f>
        <v>9.0093999999999994</v>
      </c>
      <c r="D631" s="9">
        <f>9.011 * CHOOSE(CONTROL!$C$32, $C$9, 100%, $E$9)</f>
        <v>9.0109999999999992</v>
      </c>
      <c r="E631" s="11">
        <f>10.2477 * CHOOSE(CONTROL!$C$32, $C$9, 100%, $E$9)</f>
        <v>10.2477</v>
      </c>
      <c r="F631" s="11">
        <f>10.2477 * CHOOSE(CONTROL!$C$32, $C$9, 100%, $E$9)</f>
        <v>10.2477</v>
      </c>
      <c r="G631" s="11">
        <f>10.253 * CHOOSE(CONTROL!$C$32, $C$9, 100%, $E$9)</f>
        <v>10.253</v>
      </c>
      <c r="H631" s="11">
        <f>20.759 * CHOOSE(CONTROL!$C$32, $C$9, 100%, $E$9)</f>
        <v>20.759</v>
      </c>
      <c r="I631" s="11">
        <f>20.7643 * CHOOSE(CONTROL!$C$32, $C$9, 100%, $E$9)</f>
        <v>20.764299999999999</v>
      </c>
      <c r="J631" s="11">
        <f>20.759 * CHOOSE(CONTROL!$C$32, $C$9, 100%, $E$9)</f>
        <v>20.759</v>
      </c>
      <c r="K631" s="11">
        <f>20.7643 * CHOOSE(CONTROL!$C$32, $C$9, 100%, $E$9)</f>
        <v>20.764299999999999</v>
      </c>
      <c r="L631" s="11">
        <f>10.2477 * CHOOSE(CONTROL!$C$32, $C$9, 100%, $E$9)</f>
        <v>10.2477</v>
      </c>
      <c r="M631" s="11">
        <f>10.253 * CHOOSE(CONTROL!$C$32, $C$9, 100%, $E$9)</f>
        <v>10.253</v>
      </c>
      <c r="N631" s="11">
        <f>10.2477 * CHOOSE(CONTROL!$C$32, $C$9, 100%, $E$9)</f>
        <v>10.2477</v>
      </c>
      <c r="O631" s="11">
        <f>10.253 * CHOOSE(CONTROL!$C$32, $C$9, 100%, $E$9)</f>
        <v>10.253</v>
      </c>
    </row>
    <row r="632" spans="1:15" ht="15" x14ac:dyDescent="0.2">
      <c r="A632" s="13">
        <v>60084</v>
      </c>
      <c r="B632" s="9">
        <f>9.1229 * CHOOSE(CONTROL!$C$32, $C$9, 100%, $E$9)</f>
        <v>9.1228999999999996</v>
      </c>
      <c r="C632" s="9">
        <f>9.1229 * CHOOSE(CONTROL!$C$32, $C$9, 100%, $E$9)</f>
        <v>9.1228999999999996</v>
      </c>
      <c r="D632" s="9">
        <f>9.1245 * CHOOSE(CONTROL!$C$32, $C$9, 100%, $E$9)</f>
        <v>9.1244999999999994</v>
      </c>
      <c r="E632" s="11">
        <f>10.3906 * CHOOSE(CONTROL!$C$32, $C$9, 100%, $E$9)</f>
        <v>10.390599999999999</v>
      </c>
      <c r="F632" s="11">
        <f>10.3906 * CHOOSE(CONTROL!$C$32, $C$9, 100%, $E$9)</f>
        <v>10.390599999999999</v>
      </c>
      <c r="G632" s="11">
        <f>10.3959 * CHOOSE(CONTROL!$C$32, $C$9, 100%, $E$9)</f>
        <v>10.395899999999999</v>
      </c>
      <c r="H632" s="11">
        <f>20.8023 * CHOOSE(CONTROL!$C$32, $C$9, 100%, $E$9)</f>
        <v>20.802299999999999</v>
      </c>
      <c r="I632" s="11">
        <f>20.8076 * CHOOSE(CONTROL!$C$32, $C$9, 100%, $E$9)</f>
        <v>20.807600000000001</v>
      </c>
      <c r="J632" s="11">
        <f>20.8023 * CHOOSE(CONTROL!$C$32, $C$9, 100%, $E$9)</f>
        <v>20.802299999999999</v>
      </c>
      <c r="K632" s="11">
        <f>20.8076 * CHOOSE(CONTROL!$C$32, $C$9, 100%, $E$9)</f>
        <v>20.807600000000001</v>
      </c>
      <c r="L632" s="11">
        <f>10.3906 * CHOOSE(CONTROL!$C$32, $C$9, 100%, $E$9)</f>
        <v>10.390599999999999</v>
      </c>
      <c r="M632" s="11">
        <f>10.3959 * CHOOSE(CONTROL!$C$32, $C$9, 100%, $E$9)</f>
        <v>10.395899999999999</v>
      </c>
      <c r="N632" s="11">
        <f>10.3906 * CHOOSE(CONTROL!$C$32, $C$9, 100%, $E$9)</f>
        <v>10.390599999999999</v>
      </c>
      <c r="O632" s="11">
        <f>10.3959 * CHOOSE(CONTROL!$C$32, $C$9, 100%, $E$9)</f>
        <v>10.395899999999999</v>
      </c>
    </row>
    <row r="633" spans="1:15" ht="15" x14ac:dyDescent="0.2">
      <c r="A633" s="13">
        <v>60115</v>
      </c>
      <c r="B633" s="9">
        <f>9.1296 * CHOOSE(CONTROL!$C$32, $C$9, 100%, $E$9)</f>
        <v>9.1295999999999999</v>
      </c>
      <c r="C633" s="9">
        <f>9.1296 * CHOOSE(CONTROL!$C$32, $C$9, 100%, $E$9)</f>
        <v>9.1295999999999999</v>
      </c>
      <c r="D633" s="9">
        <f>9.1312 * CHOOSE(CONTROL!$C$32, $C$9, 100%, $E$9)</f>
        <v>9.1311999999999998</v>
      </c>
      <c r="E633" s="11">
        <f>10.1606 * CHOOSE(CONTROL!$C$32, $C$9, 100%, $E$9)</f>
        <v>10.160600000000001</v>
      </c>
      <c r="F633" s="11">
        <f>10.1606 * CHOOSE(CONTROL!$C$32, $C$9, 100%, $E$9)</f>
        <v>10.160600000000001</v>
      </c>
      <c r="G633" s="11">
        <f>10.1659 * CHOOSE(CONTROL!$C$32, $C$9, 100%, $E$9)</f>
        <v>10.165900000000001</v>
      </c>
      <c r="H633" s="11">
        <f>20.8456 * CHOOSE(CONTROL!$C$32, $C$9, 100%, $E$9)</f>
        <v>20.845600000000001</v>
      </c>
      <c r="I633" s="11">
        <f>20.8509 * CHOOSE(CONTROL!$C$32, $C$9, 100%, $E$9)</f>
        <v>20.850899999999999</v>
      </c>
      <c r="J633" s="11">
        <f>20.8456 * CHOOSE(CONTROL!$C$32, $C$9, 100%, $E$9)</f>
        <v>20.845600000000001</v>
      </c>
      <c r="K633" s="11">
        <f>20.8509 * CHOOSE(CONTROL!$C$32, $C$9, 100%, $E$9)</f>
        <v>20.850899999999999</v>
      </c>
      <c r="L633" s="11">
        <f>10.1606 * CHOOSE(CONTROL!$C$32, $C$9, 100%, $E$9)</f>
        <v>10.160600000000001</v>
      </c>
      <c r="M633" s="11">
        <f>10.1659 * CHOOSE(CONTROL!$C$32, $C$9, 100%, $E$9)</f>
        <v>10.165900000000001</v>
      </c>
      <c r="N633" s="11">
        <f>10.1606 * CHOOSE(CONTROL!$C$32, $C$9, 100%, $E$9)</f>
        <v>10.160600000000001</v>
      </c>
      <c r="O633" s="11">
        <f>10.1659 * CHOOSE(CONTROL!$C$32, $C$9, 100%, $E$9)</f>
        <v>10.165900000000001</v>
      </c>
    </row>
    <row r="634" spans="1:15" ht="15" x14ac:dyDescent="0.2">
      <c r="A634" s="13">
        <v>60146</v>
      </c>
      <c r="B634" s="9">
        <f>9.1266 * CHOOSE(CONTROL!$C$32, $C$9, 100%, $E$9)</f>
        <v>9.1265999999999998</v>
      </c>
      <c r="C634" s="9">
        <f>9.1266 * CHOOSE(CONTROL!$C$32, $C$9, 100%, $E$9)</f>
        <v>9.1265999999999998</v>
      </c>
      <c r="D634" s="9">
        <f>9.1282 * CHOOSE(CONTROL!$C$32, $C$9, 100%, $E$9)</f>
        <v>9.1281999999999996</v>
      </c>
      <c r="E634" s="11">
        <f>10.1324 * CHOOSE(CONTROL!$C$32, $C$9, 100%, $E$9)</f>
        <v>10.132400000000001</v>
      </c>
      <c r="F634" s="11">
        <f>10.1324 * CHOOSE(CONTROL!$C$32, $C$9, 100%, $E$9)</f>
        <v>10.132400000000001</v>
      </c>
      <c r="G634" s="11">
        <f>10.1377 * CHOOSE(CONTROL!$C$32, $C$9, 100%, $E$9)</f>
        <v>10.137700000000001</v>
      </c>
      <c r="H634" s="11">
        <f>20.8891 * CHOOSE(CONTROL!$C$32, $C$9, 100%, $E$9)</f>
        <v>20.889099999999999</v>
      </c>
      <c r="I634" s="11">
        <f>20.8943 * CHOOSE(CONTROL!$C$32, $C$9, 100%, $E$9)</f>
        <v>20.894300000000001</v>
      </c>
      <c r="J634" s="11">
        <f>20.8891 * CHOOSE(CONTROL!$C$32, $C$9, 100%, $E$9)</f>
        <v>20.889099999999999</v>
      </c>
      <c r="K634" s="11">
        <f>20.8943 * CHOOSE(CONTROL!$C$32, $C$9, 100%, $E$9)</f>
        <v>20.894300000000001</v>
      </c>
      <c r="L634" s="11">
        <f>10.1324 * CHOOSE(CONTROL!$C$32, $C$9, 100%, $E$9)</f>
        <v>10.132400000000001</v>
      </c>
      <c r="M634" s="11">
        <f>10.1377 * CHOOSE(CONTROL!$C$32, $C$9, 100%, $E$9)</f>
        <v>10.137700000000001</v>
      </c>
      <c r="N634" s="11">
        <f>10.1324 * CHOOSE(CONTROL!$C$32, $C$9, 100%, $E$9)</f>
        <v>10.132400000000001</v>
      </c>
      <c r="O634" s="11">
        <f>10.1377 * CHOOSE(CONTROL!$C$32, $C$9, 100%, $E$9)</f>
        <v>10.137700000000001</v>
      </c>
    </row>
    <row r="635" spans="1:15" ht="15" x14ac:dyDescent="0.2">
      <c r="A635" s="13">
        <v>60176</v>
      </c>
      <c r="B635" s="9">
        <f>9.1408 * CHOOSE(CONTROL!$C$32, $C$9, 100%, $E$9)</f>
        <v>9.1408000000000005</v>
      </c>
      <c r="C635" s="9">
        <f>9.1408 * CHOOSE(CONTROL!$C$32, $C$9, 100%, $E$9)</f>
        <v>9.1408000000000005</v>
      </c>
      <c r="D635" s="9">
        <f>9.1418 * CHOOSE(CONTROL!$C$32, $C$9, 100%, $E$9)</f>
        <v>9.1417999999999999</v>
      </c>
      <c r="E635" s="11">
        <f>10.2233 * CHOOSE(CONTROL!$C$32, $C$9, 100%, $E$9)</f>
        <v>10.2233</v>
      </c>
      <c r="F635" s="11">
        <f>10.2233 * CHOOSE(CONTROL!$C$32, $C$9, 100%, $E$9)</f>
        <v>10.2233</v>
      </c>
      <c r="G635" s="11">
        <f>10.2269 * CHOOSE(CONTROL!$C$32, $C$9, 100%, $E$9)</f>
        <v>10.226900000000001</v>
      </c>
      <c r="H635" s="11">
        <f>20.9326 * CHOOSE(CONTROL!$C$32, $C$9, 100%, $E$9)</f>
        <v>20.932600000000001</v>
      </c>
      <c r="I635" s="11">
        <f>20.9362 * CHOOSE(CONTROL!$C$32, $C$9, 100%, $E$9)</f>
        <v>20.936199999999999</v>
      </c>
      <c r="J635" s="11">
        <f>20.9326 * CHOOSE(CONTROL!$C$32, $C$9, 100%, $E$9)</f>
        <v>20.932600000000001</v>
      </c>
      <c r="K635" s="11">
        <f>20.9362 * CHOOSE(CONTROL!$C$32, $C$9, 100%, $E$9)</f>
        <v>20.936199999999999</v>
      </c>
      <c r="L635" s="11">
        <f>10.2233 * CHOOSE(CONTROL!$C$32, $C$9, 100%, $E$9)</f>
        <v>10.2233</v>
      </c>
      <c r="M635" s="11">
        <f>10.2269 * CHOOSE(CONTROL!$C$32, $C$9, 100%, $E$9)</f>
        <v>10.226900000000001</v>
      </c>
      <c r="N635" s="11">
        <f>10.2233 * CHOOSE(CONTROL!$C$32, $C$9, 100%, $E$9)</f>
        <v>10.2233</v>
      </c>
      <c r="O635" s="11">
        <f>10.2269 * CHOOSE(CONTROL!$C$32, $C$9, 100%, $E$9)</f>
        <v>10.226900000000001</v>
      </c>
    </row>
    <row r="636" spans="1:15" ht="15" x14ac:dyDescent="0.2">
      <c r="A636" s="13">
        <v>60207</v>
      </c>
      <c r="B636" s="9">
        <f>9.1438 * CHOOSE(CONTROL!$C$32, $C$9, 100%, $E$9)</f>
        <v>9.1438000000000006</v>
      </c>
      <c r="C636" s="9">
        <f>9.1438 * CHOOSE(CONTROL!$C$32, $C$9, 100%, $E$9)</f>
        <v>9.1438000000000006</v>
      </c>
      <c r="D636" s="9">
        <f>9.1449 * CHOOSE(CONTROL!$C$32, $C$9, 100%, $E$9)</f>
        <v>9.1448999999999998</v>
      </c>
      <c r="E636" s="11">
        <f>10.2775 * CHOOSE(CONTROL!$C$32, $C$9, 100%, $E$9)</f>
        <v>10.2775</v>
      </c>
      <c r="F636" s="11">
        <f>10.2775 * CHOOSE(CONTROL!$C$32, $C$9, 100%, $E$9)</f>
        <v>10.2775</v>
      </c>
      <c r="G636" s="11">
        <f>10.2811 * CHOOSE(CONTROL!$C$32, $C$9, 100%, $E$9)</f>
        <v>10.2811</v>
      </c>
      <c r="H636" s="11">
        <f>20.9762 * CHOOSE(CONTROL!$C$32, $C$9, 100%, $E$9)</f>
        <v>20.976199999999999</v>
      </c>
      <c r="I636" s="11">
        <f>20.9798 * CHOOSE(CONTROL!$C$32, $C$9, 100%, $E$9)</f>
        <v>20.979800000000001</v>
      </c>
      <c r="J636" s="11">
        <f>20.9762 * CHOOSE(CONTROL!$C$32, $C$9, 100%, $E$9)</f>
        <v>20.976199999999999</v>
      </c>
      <c r="K636" s="11">
        <f>20.9798 * CHOOSE(CONTROL!$C$32, $C$9, 100%, $E$9)</f>
        <v>20.979800000000001</v>
      </c>
      <c r="L636" s="11">
        <f>10.2775 * CHOOSE(CONTROL!$C$32, $C$9, 100%, $E$9)</f>
        <v>10.2775</v>
      </c>
      <c r="M636" s="11">
        <f>10.2811 * CHOOSE(CONTROL!$C$32, $C$9, 100%, $E$9)</f>
        <v>10.2811</v>
      </c>
      <c r="N636" s="11">
        <f>10.2775 * CHOOSE(CONTROL!$C$32, $C$9, 100%, $E$9)</f>
        <v>10.2775</v>
      </c>
      <c r="O636" s="11">
        <f>10.2811 * CHOOSE(CONTROL!$C$32, $C$9, 100%, $E$9)</f>
        <v>10.2811</v>
      </c>
    </row>
    <row r="637" spans="1:15" ht="15" x14ac:dyDescent="0.2">
      <c r="A637" s="13">
        <v>60237</v>
      </c>
      <c r="B637" s="9">
        <f>9.1438 * CHOOSE(CONTROL!$C$32, $C$9, 100%, $E$9)</f>
        <v>9.1438000000000006</v>
      </c>
      <c r="C637" s="9">
        <f>9.1438 * CHOOSE(CONTROL!$C$32, $C$9, 100%, $E$9)</f>
        <v>9.1438000000000006</v>
      </c>
      <c r="D637" s="9">
        <f>9.1449 * CHOOSE(CONTROL!$C$32, $C$9, 100%, $E$9)</f>
        <v>9.1448999999999998</v>
      </c>
      <c r="E637" s="11">
        <f>10.1471 * CHOOSE(CONTROL!$C$32, $C$9, 100%, $E$9)</f>
        <v>10.1471</v>
      </c>
      <c r="F637" s="11">
        <f>10.1471 * CHOOSE(CONTROL!$C$32, $C$9, 100%, $E$9)</f>
        <v>10.1471</v>
      </c>
      <c r="G637" s="11">
        <f>10.1508 * CHOOSE(CONTROL!$C$32, $C$9, 100%, $E$9)</f>
        <v>10.1508</v>
      </c>
      <c r="H637" s="11">
        <f>21.0199 * CHOOSE(CONTROL!$C$32, $C$9, 100%, $E$9)</f>
        <v>21.0199</v>
      </c>
      <c r="I637" s="11">
        <f>21.0235 * CHOOSE(CONTROL!$C$32, $C$9, 100%, $E$9)</f>
        <v>21.023499999999999</v>
      </c>
      <c r="J637" s="11">
        <f>21.0199 * CHOOSE(CONTROL!$C$32, $C$9, 100%, $E$9)</f>
        <v>21.0199</v>
      </c>
      <c r="K637" s="11">
        <f>21.0235 * CHOOSE(CONTROL!$C$32, $C$9, 100%, $E$9)</f>
        <v>21.023499999999999</v>
      </c>
      <c r="L637" s="11">
        <f>10.1471 * CHOOSE(CONTROL!$C$32, $C$9, 100%, $E$9)</f>
        <v>10.1471</v>
      </c>
      <c r="M637" s="11">
        <f>10.1508 * CHOOSE(CONTROL!$C$32, $C$9, 100%, $E$9)</f>
        <v>10.1508</v>
      </c>
      <c r="N637" s="11">
        <f>10.1471 * CHOOSE(CONTROL!$C$32, $C$9, 100%, $E$9)</f>
        <v>10.1471</v>
      </c>
      <c r="O637" s="11">
        <f>10.1508 * CHOOSE(CONTROL!$C$32, $C$9, 100%, $E$9)</f>
        <v>10.1508</v>
      </c>
    </row>
    <row r="638" spans="1:15" ht="15" x14ac:dyDescent="0.2">
      <c r="A638" s="13">
        <v>60268</v>
      </c>
      <c r="B638" s="9">
        <f>9.1943 * CHOOSE(CONTROL!$C$32, $C$9, 100%, $E$9)</f>
        <v>9.1943000000000001</v>
      </c>
      <c r="C638" s="9">
        <f>9.1943 * CHOOSE(CONTROL!$C$32, $C$9, 100%, $E$9)</f>
        <v>9.1943000000000001</v>
      </c>
      <c r="D638" s="9">
        <f>9.1954 * CHOOSE(CONTROL!$C$32, $C$9, 100%, $E$9)</f>
        <v>9.1953999999999994</v>
      </c>
      <c r="E638" s="11">
        <f>10.308 * CHOOSE(CONTROL!$C$32, $C$9, 100%, $E$9)</f>
        <v>10.308</v>
      </c>
      <c r="F638" s="11">
        <f>10.308 * CHOOSE(CONTROL!$C$32, $C$9, 100%, $E$9)</f>
        <v>10.308</v>
      </c>
      <c r="G638" s="11">
        <f>10.3116 * CHOOSE(CONTROL!$C$32, $C$9, 100%, $E$9)</f>
        <v>10.3116</v>
      </c>
      <c r="H638" s="11">
        <f>21.0159 * CHOOSE(CONTROL!$C$32, $C$9, 100%, $E$9)</f>
        <v>21.015899999999998</v>
      </c>
      <c r="I638" s="11">
        <f>21.0196 * CHOOSE(CONTROL!$C$32, $C$9, 100%, $E$9)</f>
        <v>21.019600000000001</v>
      </c>
      <c r="J638" s="11">
        <f>21.0159 * CHOOSE(CONTROL!$C$32, $C$9, 100%, $E$9)</f>
        <v>21.015899999999998</v>
      </c>
      <c r="K638" s="11">
        <f>21.0196 * CHOOSE(CONTROL!$C$32, $C$9, 100%, $E$9)</f>
        <v>21.019600000000001</v>
      </c>
      <c r="L638" s="11">
        <f>10.308 * CHOOSE(CONTROL!$C$32, $C$9, 100%, $E$9)</f>
        <v>10.308</v>
      </c>
      <c r="M638" s="11">
        <f>10.3116 * CHOOSE(CONTROL!$C$32, $C$9, 100%, $E$9)</f>
        <v>10.3116</v>
      </c>
      <c r="N638" s="11">
        <f>10.308 * CHOOSE(CONTROL!$C$32, $C$9, 100%, $E$9)</f>
        <v>10.308</v>
      </c>
      <c r="O638" s="11">
        <f>10.3116 * CHOOSE(CONTROL!$C$32, $C$9, 100%, $E$9)</f>
        <v>10.3116</v>
      </c>
    </row>
    <row r="639" spans="1:15" ht="15" x14ac:dyDescent="0.2">
      <c r="A639" s="13">
        <v>60299</v>
      </c>
      <c r="B639" s="9">
        <f>9.1912 * CHOOSE(CONTROL!$C$32, $C$9, 100%, $E$9)</f>
        <v>9.1912000000000003</v>
      </c>
      <c r="C639" s="9">
        <f>9.1912 * CHOOSE(CONTROL!$C$32, $C$9, 100%, $E$9)</f>
        <v>9.1912000000000003</v>
      </c>
      <c r="D639" s="9">
        <f>9.1923 * CHOOSE(CONTROL!$C$32, $C$9, 100%, $E$9)</f>
        <v>9.1922999999999995</v>
      </c>
      <c r="E639" s="11">
        <f>10.0524 * CHOOSE(CONTROL!$C$32, $C$9, 100%, $E$9)</f>
        <v>10.0524</v>
      </c>
      <c r="F639" s="11">
        <f>10.0524 * CHOOSE(CONTROL!$C$32, $C$9, 100%, $E$9)</f>
        <v>10.0524</v>
      </c>
      <c r="G639" s="11">
        <f>10.056 * CHOOSE(CONTROL!$C$32, $C$9, 100%, $E$9)</f>
        <v>10.055999999999999</v>
      </c>
      <c r="H639" s="11">
        <f>21.0597 * CHOOSE(CONTROL!$C$32, $C$9, 100%, $E$9)</f>
        <v>21.059699999999999</v>
      </c>
      <c r="I639" s="11">
        <f>21.0633 * CHOOSE(CONTROL!$C$32, $C$9, 100%, $E$9)</f>
        <v>21.063300000000002</v>
      </c>
      <c r="J639" s="11">
        <f>21.0597 * CHOOSE(CONTROL!$C$32, $C$9, 100%, $E$9)</f>
        <v>21.059699999999999</v>
      </c>
      <c r="K639" s="11">
        <f>21.0633 * CHOOSE(CONTROL!$C$32, $C$9, 100%, $E$9)</f>
        <v>21.063300000000002</v>
      </c>
      <c r="L639" s="11">
        <f>10.0524 * CHOOSE(CONTROL!$C$32, $C$9, 100%, $E$9)</f>
        <v>10.0524</v>
      </c>
      <c r="M639" s="11">
        <f>10.056 * CHOOSE(CONTROL!$C$32, $C$9, 100%, $E$9)</f>
        <v>10.055999999999999</v>
      </c>
      <c r="N639" s="11">
        <f>10.0524 * CHOOSE(CONTROL!$C$32, $C$9, 100%, $E$9)</f>
        <v>10.0524</v>
      </c>
      <c r="O639" s="11">
        <f>10.056 * CHOOSE(CONTROL!$C$32, $C$9, 100%, $E$9)</f>
        <v>10.055999999999999</v>
      </c>
    </row>
    <row r="640" spans="1:15" ht="15" x14ac:dyDescent="0.2">
      <c r="A640" s="13">
        <v>60327</v>
      </c>
      <c r="B640" s="9">
        <f>9.1882 * CHOOSE(CONTROL!$C$32, $C$9, 100%, $E$9)</f>
        <v>9.1882000000000001</v>
      </c>
      <c r="C640" s="9">
        <f>9.1882 * CHOOSE(CONTROL!$C$32, $C$9, 100%, $E$9)</f>
        <v>9.1882000000000001</v>
      </c>
      <c r="D640" s="9">
        <f>9.1893 * CHOOSE(CONTROL!$C$32, $C$9, 100%, $E$9)</f>
        <v>9.1892999999999994</v>
      </c>
      <c r="E640" s="11">
        <f>10.2501 * CHOOSE(CONTROL!$C$32, $C$9, 100%, $E$9)</f>
        <v>10.2501</v>
      </c>
      <c r="F640" s="11">
        <f>10.2501 * CHOOSE(CONTROL!$C$32, $C$9, 100%, $E$9)</f>
        <v>10.2501</v>
      </c>
      <c r="G640" s="11">
        <f>10.2537 * CHOOSE(CONTROL!$C$32, $C$9, 100%, $E$9)</f>
        <v>10.2537</v>
      </c>
      <c r="H640" s="11">
        <f>21.1036 * CHOOSE(CONTROL!$C$32, $C$9, 100%, $E$9)</f>
        <v>21.1036</v>
      </c>
      <c r="I640" s="11">
        <f>21.1072 * CHOOSE(CONTROL!$C$32, $C$9, 100%, $E$9)</f>
        <v>21.107199999999999</v>
      </c>
      <c r="J640" s="11">
        <f>21.1036 * CHOOSE(CONTROL!$C$32, $C$9, 100%, $E$9)</f>
        <v>21.1036</v>
      </c>
      <c r="K640" s="11">
        <f>21.1072 * CHOOSE(CONTROL!$C$32, $C$9, 100%, $E$9)</f>
        <v>21.107199999999999</v>
      </c>
      <c r="L640" s="11">
        <f>10.2501 * CHOOSE(CONTROL!$C$32, $C$9, 100%, $E$9)</f>
        <v>10.2501</v>
      </c>
      <c r="M640" s="11">
        <f>10.2537 * CHOOSE(CONTROL!$C$32, $C$9, 100%, $E$9)</f>
        <v>10.2537</v>
      </c>
      <c r="N640" s="11">
        <f>10.2501 * CHOOSE(CONTROL!$C$32, $C$9, 100%, $E$9)</f>
        <v>10.2501</v>
      </c>
      <c r="O640" s="11">
        <f>10.2537 * CHOOSE(CONTROL!$C$32, $C$9, 100%, $E$9)</f>
        <v>10.2537</v>
      </c>
    </row>
    <row r="641" spans="1:15" ht="15" x14ac:dyDescent="0.2">
      <c r="A641" s="13">
        <v>60358</v>
      </c>
      <c r="B641" s="9">
        <f>9.1909 * CHOOSE(CONTROL!$C$32, $C$9, 100%, $E$9)</f>
        <v>9.1908999999999992</v>
      </c>
      <c r="C641" s="9">
        <f>9.1909 * CHOOSE(CONTROL!$C$32, $C$9, 100%, $E$9)</f>
        <v>9.1908999999999992</v>
      </c>
      <c r="D641" s="9">
        <f>9.192 * CHOOSE(CONTROL!$C$32, $C$9, 100%, $E$9)</f>
        <v>9.1920000000000002</v>
      </c>
      <c r="E641" s="11">
        <f>10.4605 * CHOOSE(CONTROL!$C$32, $C$9, 100%, $E$9)</f>
        <v>10.4605</v>
      </c>
      <c r="F641" s="11">
        <f>10.4605 * CHOOSE(CONTROL!$C$32, $C$9, 100%, $E$9)</f>
        <v>10.4605</v>
      </c>
      <c r="G641" s="11">
        <f>10.4641 * CHOOSE(CONTROL!$C$32, $C$9, 100%, $E$9)</f>
        <v>10.4641</v>
      </c>
      <c r="H641" s="11">
        <f>21.1476 * CHOOSE(CONTROL!$C$32, $C$9, 100%, $E$9)</f>
        <v>21.147600000000001</v>
      </c>
      <c r="I641" s="11">
        <f>21.1512 * CHOOSE(CONTROL!$C$32, $C$9, 100%, $E$9)</f>
        <v>21.151199999999999</v>
      </c>
      <c r="J641" s="11">
        <f>21.1476 * CHOOSE(CONTROL!$C$32, $C$9, 100%, $E$9)</f>
        <v>21.147600000000001</v>
      </c>
      <c r="K641" s="11">
        <f>21.1512 * CHOOSE(CONTROL!$C$32, $C$9, 100%, $E$9)</f>
        <v>21.151199999999999</v>
      </c>
      <c r="L641" s="11">
        <f>10.4605 * CHOOSE(CONTROL!$C$32, $C$9, 100%, $E$9)</f>
        <v>10.4605</v>
      </c>
      <c r="M641" s="11">
        <f>10.4641 * CHOOSE(CONTROL!$C$32, $C$9, 100%, $E$9)</f>
        <v>10.4641</v>
      </c>
      <c r="N641" s="11">
        <f>10.4605 * CHOOSE(CONTROL!$C$32, $C$9, 100%, $E$9)</f>
        <v>10.4605</v>
      </c>
      <c r="O641" s="11">
        <f>10.4641 * CHOOSE(CONTROL!$C$32, $C$9, 100%, $E$9)</f>
        <v>10.4641</v>
      </c>
    </row>
    <row r="642" spans="1:15" ht="15" x14ac:dyDescent="0.2">
      <c r="A642" s="13">
        <v>60388</v>
      </c>
      <c r="B642" s="9">
        <f>9.1909 * CHOOSE(CONTROL!$C$32, $C$9, 100%, $E$9)</f>
        <v>9.1908999999999992</v>
      </c>
      <c r="C642" s="9">
        <f>9.1909 * CHOOSE(CONTROL!$C$32, $C$9, 100%, $E$9)</f>
        <v>9.1908999999999992</v>
      </c>
      <c r="D642" s="9">
        <f>9.1925 * CHOOSE(CONTROL!$C$32, $C$9, 100%, $E$9)</f>
        <v>9.1925000000000008</v>
      </c>
      <c r="E642" s="11">
        <f>10.541 * CHOOSE(CONTROL!$C$32, $C$9, 100%, $E$9)</f>
        <v>10.541</v>
      </c>
      <c r="F642" s="11">
        <f>10.541 * CHOOSE(CONTROL!$C$32, $C$9, 100%, $E$9)</f>
        <v>10.541</v>
      </c>
      <c r="G642" s="11">
        <f>10.5462 * CHOOSE(CONTROL!$C$32, $C$9, 100%, $E$9)</f>
        <v>10.546200000000001</v>
      </c>
      <c r="H642" s="11">
        <f>21.1916 * CHOOSE(CONTROL!$C$32, $C$9, 100%, $E$9)</f>
        <v>21.191600000000001</v>
      </c>
      <c r="I642" s="11">
        <f>21.1969 * CHOOSE(CONTROL!$C$32, $C$9, 100%, $E$9)</f>
        <v>21.196899999999999</v>
      </c>
      <c r="J642" s="11">
        <f>21.1916 * CHOOSE(CONTROL!$C$32, $C$9, 100%, $E$9)</f>
        <v>21.191600000000001</v>
      </c>
      <c r="K642" s="11">
        <f>21.1969 * CHOOSE(CONTROL!$C$32, $C$9, 100%, $E$9)</f>
        <v>21.196899999999999</v>
      </c>
      <c r="L642" s="11">
        <f>10.541 * CHOOSE(CONTROL!$C$32, $C$9, 100%, $E$9)</f>
        <v>10.541</v>
      </c>
      <c r="M642" s="11">
        <f>10.5462 * CHOOSE(CONTROL!$C$32, $C$9, 100%, $E$9)</f>
        <v>10.546200000000001</v>
      </c>
      <c r="N642" s="11">
        <f>10.541 * CHOOSE(CONTROL!$C$32, $C$9, 100%, $E$9)</f>
        <v>10.541</v>
      </c>
      <c r="O642" s="11">
        <f>10.5462 * CHOOSE(CONTROL!$C$32, $C$9, 100%, $E$9)</f>
        <v>10.546200000000001</v>
      </c>
    </row>
    <row r="643" spans="1:15" ht="15" x14ac:dyDescent="0.2">
      <c r="A643" s="13">
        <v>60419</v>
      </c>
      <c r="B643" s="9">
        <f>9.197 * CHOOSE(CONTROL!$C$32, $C$9, 100%, $E$9)</f>
        <v>9.1969999999999992</v>
      </c>
      <c r="C643" s="9">
        <f>9.197 * CHOOSE(CONTROL!$C$32, $C$9, 100%, $E$9)</f>
        <v>9.1969999999999992</v>
      </c>
      <c r="D643" s="9">
        <f>9.1985 * CHOOSE(CONTROL!$C$32, $C$9, 100%, $E$9)</f>
        <v>9.1984999999999992</v>
      </c>
      <c r="E643" s="11">
        <f>10.4647 * CHOOSE(CONTROL!$C$32, $C$9, 100%, $E$9)</f>
        <v>10.464700000000001</v>
      </c>
      <c r="F643" s="11">
        <f>10.4647 * CHOOSE(CONTROL!$C$32, $C$9, 100%, $E$9)</f>
        <v>10.464700000000001</v>
      </c>
      <c r="G643" s="11">
        <f>10.47 * CHOOSE(CONTROL!$C$32, $C$9, 100%, $E$9)</f>
        <v>10.47</v>
      </c>
      <c r="H643" s="11">
        <f>21.2358 * CHOOSE(CONTROL!$C$32, $C$9, 100%, $E$9)</f>
        <v>21.235800000000001</v>
      </c>
      <c r="I643" s="11">
        <f>21.2411 * CHOOSE(CONTROL!$C$32, $C$9, 100%, $E$9)</f>
        <v>21.241099999999999</v>
      </c>
      <c r="J643" s="11">
        <f>21.2358 * CHOOSE(CONTROL!$C$32, $C$9, 100%, $E$9)</f>
        <v>21.235800000000001</v>
      </c>
      <c r="K643" s="11">
        <f>21.2411 * CHOOSE(CONTROL!$C$32, $C$9, 100%, $E$9)</f>
        <v>21.241099999999999</v>
      </c>
      <c r="L643" s="11">
        <f>10.4647 * CHOOSE(CONTROL!$C$32, $C$9, 100%, $E$9)</f>
        <v>10.464700000000001</v>
      </c>
      <c r="M643" s="11">
        <f>10.47 * CHOOSE(CONTROL!$C$32, $C$9, 100%, $E$9)</f>
        <v>10.47</v>
      </c>
      <c r="N643" s="11">
        <f>10.4647 * CHOOSE(CONTROL!$C$32, $C$9, 100%, $E$9)</f>
        <v>10.464700000000001</v>
      </c>
      <c r="O643" s="11">
        <f>10.47 * CHOOSE(CONTROL!$C$32, $C$9, 100%, $E$9)</f>
        <v>10.47</v>
      </c>
    </row>
    <row r="644" spans="1:15" ht="15" x14ac:dyDescent="0.2">
      <c r="A644" s="13">
        <v>60449</v>
      </c>
      <c r="B644" s="9">
        <f>9.3125 * CHOOSE(CONTROL!$C$32, $C$9, 100%, $E$9)</f>
        <v>9.3125</v>
      </c>
      <c r="C644" s="9">
        <f>9.3125 * CHOOSE(CONTROL!$C$32, $C$9, 100%, $E$9)</f>
        <v>9.3125</v>
      </c>
      <c r="D644" s="9">
        <f>9.3141 * CHOOSE(CONTROL!$C$32, $C$9, 100%, $E$9)</f>
        <v>9.3140999999999998</v>
      </c>
      <c r="E644" s="11">
        <f>10.6108 * CHOOSE(CONTROL!$C$32, $C$9, 100%, $E$9)</f>
        <v>10.610799999999999</v>
      </c>
      <c r="F644" s="11">
        <f>10.6108 * CHOOSE(CONTROL!$C$32, $C$9, 100%, $E$9)</f>
        <v>10.610799999999999</v>
      </c>
      <c r="G644" s="11">
        <f>10.6161 * CHOOSE(CONTROL!$C$32, $C$9, 100%, $E$9)</f>
        <v>10.616099999999999</v>
      </c>
      <c r="H644" s="11">
        <f>21.28 * CHOOSE(CONTROL!$C$32, $C$9, 100%, $E$9)</f>
        <v>21.28</v>
      </c>
      <c r="I644" s="11">
        <f>21.2853 * CHOOSE(CONTROL!$C$32, $C$9, 100%, $E$9)</f>
        <v>21.285299999999999</v>
      </c>
      <c r="J644" s="11">
        <f>21.28 * CHOOSE(CONTROL!$C$32, $C$9, 100%, $E$9)</f>
        <v>21.28</v>
      </c>
      <c r="K644" s="11">
        <f>21.2853 * CHOOSE(CONTROL!$C$32, $C$9, 100%, $E$9)</f>
        <v>21.285299999999999</v>
      </c>
      <c r="L644" s="11">
        <f>10.6108 * CHOOSE(CONTROL!$C$32, $C$9, 100%, $E$9)</f>
        <v>10.610799999999999</v>
      </c>
      <c r="M644" s="11">
        <f>10.6161 * CHOOSE(CONTROL!$C$32, $C$9, 100%, $E$9)</f>
        <v>10.616099999999999</v>
      </c>
      <c r="N644" s="11">
        <f>10.6108 * CHOOSE(CONTROL!$C$32, $C$9, 100%, $E$9)</f>
        <v>10.610799999999999</v>
      </c>
      <c r="O644" s="11">
        <f>10.6161 * CHOOSE(CONTROL!$C$32, $C$9, 100%, $E$9)</f>
        <v>10.616099999999999</v>
      </c>
    </row>
    <row r="645" spans="1:15" ht="15" x14ac:dyDescent="0.2">
      <c r="A645" s="13">
        <v>60480</v>
      </c>
      <c r="B645" s="9">
        <f>9.3192 * CHOOSE(CONTROL!$C$32, $C$9, 100%, $E$9)</f>
        <v>9.3192000000000004</v>
      </c>
      <c r="C645" s="9">
        <f>9.3192 * CHOOSE(CONTROL!$C$32, $C$9, 100%, $E$9)</f>
        <v>9.3192000000000004</v>
      </c>
      <c r="D645" s="9">
        <f>9.3208 * CHOOSE(CONTROL!$C$32, $C$9, 100%, $E$9)</f>
        <v>9.3208000000000002</v>
      </c>
      <c r="E645" s="11">
        <f>10.374 * CHOOSE(CONTROL!$C$32, $C$9, 100%, $E$9)</f>
        <v>10.374000000000001</v>
      </c>
      <c r="F645" s="11">
        <f>10.374 * CHOOSE(CONTROL!$C$32, $C$9, 100%, $E$9)</f>
        <v>10.374000000000001</v>
      </c>
      <c r="G645" s="11">
        <f>10.3793 * CHOOSE(CONTROL!$C$32, $C$9, 100%, $E$9)</f>
        <v>10.379300000000001</v>
      </c>
      <c r="H645" s="11">
        <f>21.3244 * CHOOSE(CONTROL!$C$32, $C$9, 100%, $E$9)</f>
        <v>21.324400000000001</v>
      </c>
      <c r="I645" s="11">
        <f>21.3296 * CHOOSE(CONTROL!$C$32, $C$9, 100%, $E$9)</f>
        <v>21.329599999999999</v>
      </c>
      <c r="J645" s="11">
        <f>21.3244 * CHOOSE(CONTROL!$C$32, $C$9, 100%, $E$9)</f>
        <v>21.324400000000001</v>
      </c>
      <c r="K645" s="11">
        <f>21.3296 * CHOOSE(CONTROL!$C$32, $C$9, 100%, $E$9)</f>
        <v>21.329599999999999</v>
      </c>
      <c r="L645" s="11">
        <f>10.374 * CHOOSE(CONTROL!$C$32, $C$9, 100%, $E$9)</f>
        <v>10.374000000000001</v>
      </c>
      <c r="M645" s="11">
        <f>10.3793 * CHOOSE(CONTROL!$C$32, $C$9, 100%, $E$9)</f>
        <v>10.379300000000001</v>
      </c>
      <c r="N645" s="11">
        <f>10.374 * CHOOSE(CONTROL!$C$32, $C$9, 100%, $E$9)</f>
        <v>10.374000000000001</v>
      </c>
      <c r="O645" s="11">
        <f>10.3793 * CHOOSE(CONTROL!$C$32, $C$9, 100%, $E$9)</f>
        <v>10.379300000000001</v>
      </c>
    </row>
    <row r="646" spans="1:15" ht="15" x14ac:dyDescent="0.2">
      <c r="A646" s="13">
        <v>60511</v>
      </c>
      <c r="B646" s="9">
        <f>9.3162 * CHOOSE(CONTROL!$C$32, $C$9, 100%, $E$9)</f>
        <v>9.3162000000000003</v>
      </c>
      <c r="C646" s="9">
        <f>9.3162 * CHOOSE(CONTROL!$C$32, $C$9, 100%, $E$9)</f>
        <v>9.3162000000000003</v>
      </c>
      <c r="D646" s="9">
        <f>9.3178 * CHOOSE(CONTROL!$C$32, $C$9, 100%, $E$9)</f>
        <v>9.3178000000000001</v>
      </c>
      <c r="E646" s="11">
        <f>10.345 * CHOOSE(CONTROL!$C$32, $C$9, 100%, $E$9)</f>
        <v>10.345000000000001</v>
      </c>
      <c r="F646" s="11">
        <f>10.345 * CHOOSE(CONTROL!$C$32, $C$9, 100%, $E$9)</f>
        <v>10.345000000000001</v>
      </c>
      <c r="G646" s="11">
        <f>10.3503 * CHOOSE(CONTROL!$C$32, $C$9, 100%, $E$9)</f>
        <v>10.350300000000001</v>
      </c>
      <c r="H646" s="11">
        <f>21.3688 * CHOOSE(CONTROL!$C$32, $C$9, 100%, $E$9)</f>
        <v>21.3688</v>
      </c>
      <c r="I646" s="11">
        <f>21.3741 * CHOOSE(CONTROL!$C$32, $C$9, 100%, $E$9)</f>
        <v>21.374099999999999</v>
      </c>
      <c r="J646" s="11">
        <f>21.3688 * CHOOSE(CONTROL!$C$32, $C$9, 100%, $E$9)</f>
        <v>21.3688</v>
      </c>
      <c r="K646" s="11">
        <f>21.3741 * CHOOSE(CONTROL!$C$32, $C$9, 100%, $E$9)</f>
        <v>21.374099999999999</v>
      </c>
      <c r="L646" s="11">
        <f>10.345 * CHOOSE(CONTROL!$C$32, $C$9, 100%, $E$9)</f>
        <v>10.345000000000001</v>
      </c>
      <c r="M646" s="11">
        <f>10.3503 * CHOOSE(CONTROL!$C$32, $C$9, 100%, $E$9)</f>
        <v>10.350300000000001</v>
      </c>
      <c r="N646" s="11">
        <f>10.345 * CHOOSE(CONTROL!$C$32, $C$9, 100%, $E$9)</f>
        <v>10.345000000000001</v>
      </c>
      <c r="O646" s="11">
        <f>10.3503 * CHOOSE(CONTROL!$C$32, $C$9, 100%, $E$9)</f>
        <v>10.350300000000001</v>
      </c>
    </row>
    <row r="647" spans="1:15" ht="15" x14ac:dyDescent="0.2">
      <c r="A647" s="13">
        <v>60541</v>
      </c>
      <c r="B647" s="9">
        <f>9.3311 * CHOOSE(CONTROL!$C$32, $C$9, 100%, $E$9)</f>
        <v>9.3310999999999993</v>
      </c>
      <c r="C647" s="9">
        <f>9.3311 * CHOOSE(CONTROL!$C$32, $C$9, 100%, $E$9)</f>
        <v>9.3310999999999993</v>
      </c>
      <c r="D647" s="9">
        <f>9.3321 * CHOOSE(CONTROL!$C$32, $C$9, 100%, $E$9)</f>
        <v>9.3321000000000005</v>
      </c>
      <c r="E647" s="11">
        <f>10.4389 * CHOOSE(CONTROL!$C$32, $C$9, 100%, $E$9)</f>
        <v>10.4389</v>
      </c>
      <c r="F647" s="11">
        <f>10.4389 * CHOOSE(CONTROL!$C$32, $C$9, 100%, $E$9)</f>
        <v>10.4389</v>
      </c>
      <c r="G647" s="11">
        <f>10.4426 * CHOOSE(CONTROL!$C$32, $C$9, 100%, $E$9)</f>
        <v>10.442600000000001</v>
      </c>
      <c r="H647" s="11">
        <f>21.4133 * CHOOSE(CONTROL!$C$32, $C$9, 100%, $E$9)</f>
        <v>21.4133</v>
      </c>
      <c r="I647" s="11">
        <f>21.4169 * CHOOSE(CONTROL!$C$32, $C$9, 100%, $E$9)</f>
        <v>21.416899999999998</v>
      </c>
      <c r="J647" s="11">
        <f>21.4133 * CHOOSE(CONTROL!$C$32, $C$9, 100%, $E$9)</f>
        <v>21.4133</v>
      </c>
      <c r="K647" s="11">
        <f>21.4169 * CHOOSE(CONTROL!$C$32, $C$9, 100%, $E$9)</f>
        <v>21.416899999999998</v>
      </c>
      <c r="L647" s="11">
        <f>10.4389 * CHOOSE(CONTROL!$C$32, $C$9, 100%, $E$9)</f>
        <v>10.4389</v>
      </c>
      <c r="M647" s="11">
        <f>10.4426 * CHOOSE(CONTROL!$C$32, $C$9, 100%, $E$9)</f>
        <v>10.442600000000001</v>
      </c>
      <c r="N647" s="11">
        <f>10.4389 * CHOOSE(CONTROL!$C$32, $C$9, 100%, $E$9)</f>
        <v>10.4389</v>
      </c>
      <c r="O647" s="11">
        <f>10.4426 * CHOOSE(CONTROL!$C$32, $C$9, 100%, $E$9)</f>
        <v>10.442600000000001</v>
      </c>
    </row>
    <row r="648" spans="1:15" ht="15" x14ac:dyDescent="0.2">
      <c r="A648" s="13">
        <v>60572</v>
      </c>
      <c r="B648" s="9">
        <f>9.3341 * CHOOSE(CONTROL!$C$32, $C$9, 100%, $E$9)</f>
        <v>9.3340999999999994</v>
      </c>
      <c r="C648" s="9">
        <f>9.3341 * CHOOSE(CONTROL!$C$32, $C$9, 100%, $E$9)</f>
        <v>9.3340999999999994</v>
      </c>
      <c r="D648" s="9">
        <f>9.3352 * CHOOSE(CONTROL!$C$32, $C$9, 100%, $E$9)</f>
        <v>9.3352000000000004</v>
      </c>
      <c r="E648" s="11">
        <f>10.4947 * CHOOSE(CONTROL!$C$32, $C$9, 100%, $E$9)</f>
        <v>10.4947</v>
      </c>
      <c r="F648" s="11">
        <f>10.4947 * CHOOSE(CONTROL!$C$32, $C$9, 100%, $E$9)</f>
        <v>10.4947</v>
      </c>
      <c r="G648" s="11">
        <f>10.4983 * CHOOSE(CONTROL!$C$32, $C$9, 100%, $E$9)</f>
        <v>10.4983</v>
      </c>
      <c r="H648" s="11">
        <f>21.4579 * CHOOSE(CONTROL!$C$32, $C$9, 100%, $E$9)</f>
        <v>21.457899999999999</v>
      </c>
      <c r="I648" s="11">
        <f>21.4615 * CHOOSE(CONTROL!$C$32, $C$9, 100%, $E$9)</f>
        <v>21.461500000000001</v>
      </c>
      <c r="J648" s="11">
        <f>21.4579 * CHOOSE(CONTROL!$C$32, $C$9, 100%, $E$9)</f>
        <v>21.457899999999999</v>
      </c>
      <c r="K648" s="11">
        <f>21.4615 * CHOOSE(CONTROL!$C$32, $C$9, 100%, $E$9)</f>
        <v>21.461500000000001</v>
      </c>
      <c r="L648" s="11">
        <f>10.4947 * CHOOSE(CONTROL!$C$32, $C$9, 100%, $E$9)</f>
        <v>10.4947</v>
      </c>
      <c r="M648" s="11">
        <f>10.4983 * CHOOSE(CONTROL!$C$32, $C$9, 100%, $E$9)</f>
        <v>10.4983</v>
      </c>
      <c r="N648" s="11">
        <f>10.4947 * CHOOSE(CONTROL!$C$32, $C$9, 100%, $E$9)</f>
        <v>10.4947</v>
      </c>
      <c r="O648" s="11">
        <f>10.4983 * CHOOSE(CONTROL!$C$32, $C$9, 100%, $E$9)</f>
        <v>10.4983</v>
      </c>
    </row>
    <row r="649" spans="1:15" ht="15" x14ac:dyDescent="0.2">
      <c r="A649" s="13">
        <v>60602</v>
      </c>
      <c r="B649" s="9">
        <f>9.3341 * CHOOSE(CONTROL!$C$32, $C$9, 100%, $E$9)</f>
        <v>9.3340999999999994</v>
      </c>
      <c r="C649" s="9">
        <f>9.3341 * CHOOSE(CONTROL!$C$32, $C$9, 100%, $E$9)</f>
        <v>9.3340999999999994</v>
      </c>
      <c r="D649" s="9">
        <f>9.3352 * CHOOSE(CONTROL!$C$32, $C$9, 100%, $E$9)</f>
        <v>9.3352000000000004</v>
      </c>
      <c r="E649" s="11">
        <f>10.3606 * CHOOSE(CONTROL!$C$32, $C$9, 100%, $E$9)</f>
        <v>10.3606</v>
      </c>
      <c r="F649" s="11">
        <f>10.3606 * CHOOSE(CONTROL!$C$32, $C$9, 100%, $E$9)</f>
        <v>10.3606</v>
      </c>
      <c r="G649" s="11">
        <f>10.3642 * CHOOSE(CONTROL!$C$32, $C$9, 100%, $E$9)</f>
        <v>10.3642</v>
      </c>
      <c r="H649" s="11">
        <f>21.5026 * CHOOSE(CONTROL!$C$32, $C$9, 100%, $E$9)</f>
        <v>21.502600000000001</v>
      </c>
      <c r="I649" s="11">
        <f>21.5062 * CHOOSE(CONTROL!$C$32, $C$9, 100%, $E$9)</f>
        <v>21.5062</v>
      </c>
      <c r="J649" s="11">
        <f>21.5026 * CHOOSE(CONTROL!$C$32, $C$9, 100%, $E$9)</f>
        <v>21.502600000000001</v>
      </c>
      <c r="K649" s="11">
        <f>21.5062 * CHOOSE(CONTROL!$C$32, $C$9, 100%, $E$9)</f>
        <v>21.5062</v>
      </c>
      <c r="L649" s="11">
        <f>10.3606 * CHOOSE(CONTROL!$C$32, $C$9, 100%, $E$9)</f>
        <v>10.3606</v>
      </c>
      <c r="M649" s="11">
        <f>10.3642 * CHOOSE(CONTROL!$C$32, $C$9, 100%, $E$9)</f>
        <v>10.3642</v>
      </c>
      <c r="N649" s="11">
        <f>10.3606 * CHOOSE(CONTROL!$C$32, $C$9, 100%, $E$9)</f>
        <v>10.3606</v>
      </c>
      <c r="O649" s="11">
        <f>10.3642 * CHOOSE(CONTROL!$C$32, $C$9, 100%, $E$9)</f>
        <v>10.3642</v>
      </c>
    </row>
    <row r="650" spans="1:15" ht="15" x14ac:dyDescent="0.2">
      <c r="A650" s="13">
        <v>60633</v>
      </c>
      <c r="B650" s="9">
        <f>9.3816 * CHOOSE(CONTROL!$C$32, $C$9, 100%, $E$9)</f>
        <v>9.3816000000000006</v>
      </c>
      <c r="C650" s="9">
        <f>9.3816 * CHOOSE(CONTROL!$C$32, $C$9, 100%, $E$9)</f>
        <v>9.3816000000000006</v>
      </c>
      <c r="D650" s="9">
        <f>9.3827 * CHOOSE(CONTROL!$C$32, $C$9, 100%, $E$9)</f>
        <v>9.3826999999999998</v>
      </c>
      <c r="E650" s="11">
        <f>10.5205 * CHOOSE(CONTROL!$C$32, $C$9, 100%, $E$9)</f>
        <v>10.5205</v>
      </c>
      <c r="F650" s="11">
        <f>10.5205 * CHOOSE(CONTROL!$C$32, $C$9, 100%, $E$9)</f>
        <v>10.5205</v>
      </c>
      <c r="G650" s="11">
        <f>10.5241 * CHOOSE(CONTROL!$C$32, $C$9, 100%, $E$9)</f>
        <v>10.524100000000001</v>
      </c>
      <c r="H650" s="11">
        <f>21.4878 * CHOOSE(CONTROL!$C$32, $C$9, 100%, $E$9)</f>
        <v>21.4878</v>
      </c>
      <c r="I650" s="11">
        <f>21.4914 * CHOOSE(CONTROL!$C$32, $C$9, 100%, $E$9)</f>
        <v>21.491399999999999</v>
      </c>
      <c r="J650" s="11">
        <f>21.4878 * CHOOSE(CONTROL!$C$32, $C$9, 100%, $E$9)</f>
        <v>21.4878</v>
      </c>
      <c r="K650" s="11">
        <f>21.4914 * CHOOSE(CONTROL!$C$32, $C$9, 100%, $E$9)</f>
        <v>21.491399999999999</v>
      </c>
      <c r="L650" s="11">
        <f>10.5205 * CHOOSE(CONTROL!$C$32, $C$9, 100%, $E$9)</f>
        <v>10.5205</v>
      </c>
      <c r="M650" s="11">
        <f>10.5241 * CHOOSE(CONTROL!$C$32, $C$9, 100%, $E$9)</f>
        <v>10.524100000000001</v>
      </c>
      <c r="N650" s="11">
        <f>10.5205 * CHOOSE(CONTROL!$C$32, $C$9, 100%, $E$9)</f>
        <v>10.5205</v>
      </c>
      <c r="O650" s="11">
        <f>10.5241 * CHOOSE(CONTROL!$C$32, $C$9, 100%, $E$9)</f>
        <v>10.524100000000001</v>
      </c>
    </row>
    <row r="651" spans="1:15" ht="15" x14ac:dyDescent="0.2">
      <c r="A651" s="13">
        <v>60664</v>
      </c>
      <c r="B651" s="9">
        <f>9.3786 * CHOOSE(CONTROL!$C$32, $C$9, 100%, $E$9)</f>
        <v>9.3786000000000005</v>
      </c>
      <c r="C651" s="9">
        <f>9.3786 * CHOOSE(CONTROL!$C$32, $C$9, 100%, $E$9)</f>
        <v>9.3786000000000005</v>
      </c>
      <c r="D651" s="9">
        <f>9.3797 * CHOOSE(CONTROL!$C$32, $C$9, 100%, $E$9)</f>
        <v>9.3796999999999997</v>
      </c>
      <c r="E651" s="11">
        <f>10.2578 * CHOOSE(CONTROL!$C$32, $C$9, 100%, $E$9)</f>
        <v>10.2578</v>
      </c>
      <c r="F651" s="11">
        <f>10.2578 * CHOOSE(CONTROL!$C$32, $C$9, 100%, $E$9)</f>
        <v>10.2578</v>
      </c>
      <c r="G651" s="11">
        <f>10.2614 * CHOOSE(CONTROL!$C$32, $C$9, 100%, $E$9)</f>
        <v>10.2614</v>
      </c>
      <c r="H651" s="11">
        <f>21.5325 * CHOOSE(CONTROL!$C$32, $C$9, 100%, $E$9)</f>
        <v>21.532499999999999</v>
      </c>
      <c r="I651" s="11">
        <f>21.5361 * CHOOSE(CONTROL!$C$32, $C$9, 100%, $E$9)</f>
        <v>21.536100000000001</v>
      </c>
      <c r="J651" s="11">
        <f>21.5325 * CHOOSE(CONTROL!$C$32, $C$9, 100%, $E$9)</f>
        <v>21.532499999999999</v>
      </c>
      <c r="K651" s="11">
        <f>21.5361 * CHOOSE(CONTROL!$C$32, $C$9, 100%, $E$9)</f>
        <v>21.536100000000001</v>
      </c>
      <c r="L651" s="11">
        <f>10.2578 * CHOOSE(CONTROL!$C$32, $C$9, 100%, $E$9)</f>
        <v>10.2578</v>
      </c>
      <c r="M651" s="11">
        <f>10.2614 * CHOOSE(CONTROL!$C$32, $C$9, 100%, $E$9)</f>
        <v>10.2614</v>
      </c>
      <c r="N651" s="11">
        <f>10.2578 * CHOOSE(CONTROL!$C$32, $C$9, 100%, $E$9)</f>
        <v>10.2578</v>
      </c>
      <c r="O651" s="11">
        <f>10.2614 * CHOOSE(CONTROL!$C$32, $C$9, 100%, $E$9)</f>
        <v>10.2614</v>
      </c>
    </row>
    <row r="652" spans="1:15" ht="15" x14ac:dyDescent="0.2">
      <c r="A652" s="13">
        <v>60692</v>
      </c>
      <c r="B652" s="9">
        <f>9.3756 * CHOOSE(CONTROL!$C$32, $C$9, 100%, $E$9)</f>
        <v>9.3756000000000004</v>
      </c>
      <c r="C652" s="9">
        <f>9.3756 * CHOOSE(CONTROL!$C$32, $C$9, 100%, $E$9)</f>
        <v>9.3756000000000004</v>
      </c>
      <c r="D652" s="9">
        <f>9.3766 * CHOOSE(CONTROL!$C$32, $C$9, 100%, $E$9)</f>
        <v>9.3765999999999998</v>
      </c>
      <c r="E652" s="11">
        <f>10.4611 * CHOOSE(CONTROL!$C$32, $C$9, 100%, $E$9)</f>
        <v>10.4611</v>
      </c>
      <c r="F652" s="11">
        <f>10.4611 * CHOOSE(CONTROL!$C$32, $C$9, 100%, $E$9)</f>
        <v>10.4611</v>
      </c>
      <c r="G652" s="11">
        <f>10.4647 * CHOOSE(CONTROL!$C$32, $C$9, 100%, $E$9)</f>
        <v>10.464700000000001</v>
      </c>
      <c r="H652" s="11">
        <f>21.5774 * CHOOSE(CONTROL!$C$32, $C$9, 100%, $E$9)</f>
        <v>21.577400000000001</v>
      </c>
      <c r="I652" s="11">
        <f>21.581 * CHOOSE(CONTROL!$C$32, $C$9, 100%, $E$9)</f>
        <v>21.581</v>
      </c>
      <c r="J652" s="11">
        <f>21.5774 * CHOOSE(CONTROL!$C$32, $C$9, 100%, $E$9)</f>
        <v>21.577400000000001</v>
      </c>
      <c r="K652" s="11">
        <f>21.581 * CHOOSE(CONTROL!$C$32, $C$9, 100%, $E$9)</f>
        <v>21.581</v>
      </c>
      <c r="L652" s="11">
        <f>10.4611 * CHOOSE(CONTROL!$C$32, $C$9, 100%, $E$9)</f>
        <v>10.4611</v>
      </c>
      <c r="M652" s="11">
        <f>10.4647 * CHOOSE(CONTROL!$C$32, $C$9, 100%, $E$9)</f>
        <v>10.464700000000001</v>
      </c>
      <c r="N652" s="11">
        <f>10.4611 * CHOOSE(CONTROL!$C$32, $C$9, 100%, $E$9)</f>
        <v>10.4611</v>
      </c>
      <c r="O652" s="11">
        <f>10.4647 * CHOOSE(CONTROL!$C$32, $C$9, 100%, $E$9)</f>
        <v>10.464700000000001</v>
      </c>
    </row>
    <row r="653" spans="1:15" ht="15" x14ac:dyDescent="0.2">
      <c r="A653" s="13">
        <v>60723</v>
      </c>
      <c r="B653" s="9">
        <f>9.3784 * CHOOSE(CONTROL!$C$32, $C$9, 100%, $E$9)</f>
        <v>9.3783999999999992</v>
      </c>
      <c r="C653" s="9">
        <f>9.3784 * CHOOSE(CONTROL!$C$32, $C$9, 100%, $E$9)</f>
        <v>9.3783999999999992</v>
      </c>
      <c r="D653" s="9">
        <f>9.3795 * CHOOSE(CONTROL!$C$32, $C$9, 100%, $E$9)</f>
        <v>9.3795000000000002</v>
      </c>
      <c r="E653" s="11">
        <f>10.6775 * CHOOSE(CONTROL!$C$32, $C$9, 100%, $E$9)</f>
        <v>10.6775</v>
      </c>
      <c r="F653" s="11">
        <f>10.6775 * CHOOSE(CONTROL!$C$32, $C$9, 100%, $E$9)</f>
        <v>10.6775</v>
      </c>
      <c r="G653" s="11">
        <f>10.6811 * CHOOSE(CONTROL!$C$32, $C$9, 100%, $E$9)</f>
        <v>10.681100000000001</v>
      </c>
      <c r="H653" s="11">
        <f>21.6223 * CHOOSE(CONTROL!$C$32, $C$9, 100%, $E$9)</f>
        <v>21.622299999999999</v>
      </c>
      <c r="I653" s="11">
        <f>21.6259 * CHOOSE(CONTROL!$C$32, $C$9, 100%, $E$9)</f>
        <v>21.625900000000001</v>
      </c>
      <c r="J653" s="11">
        <f>21.6223 * CHOOSE(CONTROL!$C$32, $C$9, 100%, $E$9)</f>
        <v>21.622299999999999</v>
      </c>
      <c r="K653" s="11">
        <f>21.6259 * CHOOSE(CONTROL!$C$32, $C$9, 100%, $E$9)</f>
        <v>21.625900000000001</v>
      </c>
      <c r="L653" s="11">
        <f>10.6775 * CHOOSE(CONTROL!$C$32, $C$9, 100%, $E$9)</f>
        <v>10.6775</v>
      </c>
      <c r="M653" s="11">
        <f>10.6811 * CHOOSE(CONTROL!$C$32, $C$9, 100%, $E$9)</f>
        <v>10.681100000000001</v>
      </c>
      <c r="N653" s="11">
        <f>10.6775 * CHOOSE(CONTROL!$C$32, $C$9, 100%, $E$9)</f>
        <v>10.6775</v>
      </c>
      <c r="O653" s="11">
        <f>10.6811 * CHOOSE(CONTROL!$C$32, $C$9, 100%, $E$9)</f>
        <v>10.681100000000001</v>
      </c>
    </row>
    <row r="654" spans="1:15" ht="15" x14ac:dyDescent="0.2">
      <c r="A654" s="13">
        <v>60753</v>
      </c>
      <c r="B654" s="9">
        <f>9.3784 * CHOOSE(CONTROL!$C$32, $C$9, 100%, $E$9)</f>
        <v>9.3783999999999992</v>
      </c>
      <c r="C654" s="9">
        <f>9.3784 * CHOOSE(CONTROL!$C$32, $C$9, 100%, $E$9)</f>
        <v>9.3783999999999992</v>
      </c>
      <c r="D654" s="9">
        <f>9.38 * CHOOSE(CONTROL!$C$32, $C$9, 100%, $E$9)</f>
        <v>9.3800000000000008</v>
      </c>
      <c r="E654" s="11">
        <f>10.7602 * CHOOSE(CONTROL!$C$32, $C$9, 100%, $E$9)</f>
        <v>10.760199999999999</v>
      </c>
      <c r="F654" s="11">
        <f>10.7602 * CHOOSE(CONTROL!$C$32, $C$9, 100%, $E$9)</f>
        <v>10.760199999999999</v>
      </c>
      <c r="G654" s="11">
        <f>10.7655 * CHOOSE(CONTROL!$C$32, $C$9, 100%, $E$9)</f>
        <v>10.765499999999999</v>
      </c>
      <c r="H654" s="11">
        <f>21.6674 * CHOOSE(CONTROL!$C$32, $C$9, 100%, $E$9)</f>
        <v>21.667400000000001</v>
      </c>
      <c r="I654" s="11">
        <f>21.6727 * CHOOSE(CONTROL!$C$32, $C$9, 100%, $E$9)</f>
        <v>21.672699999999999</v>
      </c>
      <c r="J654" s="11">
        <f>21.6674 * CHOOSE(CONTROL!$C$32, $C$9, 100%, $E$9)</f>
        <v>21.667400000000001</v>
      </c>
      <c r="K654" s="11">
        <f>21.6727 * CHOOSE(CONTROL!$C$32, $C$9, 100%, $E$9)</f>
        <v>21.672699999999999</v>
      </c>
      <c r="L654" s="11">
        <f>10.7602 * CHOOSE(CONTROL!$C$32, $C$9, 100%, $E$9)</f>
        <v>10.760199999999999</v>
      </c>
      <c r="M654" s="11">
        <f>10.7655 * CHOOSE(CONTROL!$C$32, $C$9, 100%, $E$9)</f>
        <v>10.765499999999999</v>
      </c>
      <c r="N654" s="11">
        <f>10.7602 * CHOOSE(CONTROL!$C$32, $C$9, 100%, $E$9)</f>
        <v>10.760199999999999</v>
      </c>
      <c r="O654" s="11">
        <f>10.7655 * CHOOSE(CONTROL!$C$32, $C$9, 100%, $E$9)</f>
        <v>10.765499999999999</v>
      </c>
    </row>
    <row r="655" spans="1:15" ht="15" x14ac:dyDescent="0.2">
      <c r="A655" s="13">
        <v>60784</v>
      </c>
      <c r="B655" s="9">
        <f>9.3845 * CHOOSE(CONTROL!$C$32, $C$9, 100%, $E$9)</f>
        <v>9.3844999999999992</v>
      </c>
      <c r="C655" s="9">
        <f>9.3845 * CHOOSE(CONTROL!$C$32, $C$9, 100%, $E$9)</f>
        <v>9.3844999999999992</v>
      </c>
      <c r="D655" s="9">
        <f>9.3861 * CHOOSE(CONTROL!$C$32, $C$9, 100%, $E$9)</f>
        <v>9.3861000000000008</v>
      </c>
      <c r="E655" s="11">
        <f>10.6817 * CHOOSE(CONTROL!$C$32, $C$9, 100%, $E$9)</f>
        <v>10.681699999999999</v>
      </c>
      <c r="F655" s="11">
        <f>10.6817 * CHOOSE(CONTROL!$C$32, $C$9, 100%, $E$9)</f>
        <v>10.681699999999999</v>
      </c>
      <c r="G655" s="11">
        <f>10.687 * CHOOSE(CONTROL!$C$32, $C$9, 100%, $E$9)</f>
        <v>10.686999999999999</v>
      </c>
      <c r="H655" s="11">
        <f>21.7125 * CHOOSE(CONTROL!$C$32, $C$9, 100%, $E$9)</f>
        <v>21.712499999999999</v>
      </c>
      <c r="I655" s="11">
        <f>21.7178 * CHOOSE(CONTROL!$C$32, $C$9, 100%, $E$9)</f>
        <v>21.7178</v>
      </c>
      <c r="J655" s="11">
        <f>21.7125 * CHOOSE(CONTROL!$C$32, $C$9, 100%, $E$9)</f>
        <v>21.712499999999999</v>
      </c>
      <c r="K655" s="11">
        <f>21.7178 * CHOOSE(CONTROL!$C$32, $C$9, 100%, $E$9)</f>
        <v>21.7178</v>
      </c>
      <c r="L655" s="11">
        <f>10.6817 * CHOOSE(CONTROL!$C$32, $C$9, 100%, $E$9)</f>
        <v>10.681699999999999</v>
      </c>
      <c r="M655" s="11">
        <f>10.687 * CHOOSE(CONTROL!$C$32, $C$9, 100%, $E$9)</f>
        <v>10.686999999999999</v>
      </c>
      <c r="N655" s="11">
        <f>10.6817 * CHOOSE(CONTROL!$C$32, $C$9, 100%, $E$9)</f>
        <v>10.681699999999999</v>
      </c>
      <c r="O655" s="11">
        <f>10.687 * CHOOSE(CONTROL!$C$32, $C$9, 100%, $E$9)</f>
        <v>10.686999999999999</v>
      </c>
    </row>
    <row r="656" spans="1:15" ht="15" x14ac:dyDescent="0.2">
      <c r="A656" s="13">
        <v>60814</v>
      </c>
      <c r="B656" s="9">
        <f>9.5021 * CHOOSE(CONTROL!$C$32, $C$9, 100%, $E$9)</f>
        <v>9.5021000000000004</v>
      </c>
      <c r="C656" s="9">
        <f>9.5021 * CHOOSE(CONTROL!$C$32, $C$9, 100%, $E$9)</f>
        <v>9.5021000000000004</v>
      </c>
      <c r="D656" s="9">
        <f>9.5037 * CHOOSE(CONTROL!$C$32, $C$9, 100%, $E$9)</f>
        <v>9.5037000000000003</v>
      </c>
      <c r="E656" s="11">
        <f>10.8309 * CHOOSE(CONTROL!$C$32, $C$9, 100%, $E$9)</f>
        <v>10.8309</v>
      </c>
      <c r="F656" s="11">
        <f>10.8309 * CHOOSE(CONTROL!$C$32, $C$9, 100%, $E$9)</f>
        <v>10.8309</v>
      </c>
      <c r="G656" s="11">
        <f>10.8362 * CHOOSE(CONTROL!$C$32, $C$9, 100%, $E$9)</f>
        <v>10.8362</v>
      </c>
      <c r="H656" s="11">
        <f>21.7578 * CHOOSE(CONTROL!$C$32, $C$9, 100%, $E$9)</f>
        <v>21.7578</v>
      </c>
      <c r="I656" s="11">
        <f>21.763 * CHOOSE(CONTROL!$C$32, $C$9, 100%, $E$9)</f>
        <v>21.763000000000002</v>
      </c>
      <c r="J656" s="11">
        <f>21.7578 * CHOOSE(CONTROL!$C$32, $C$9, 100%, $E$9)</f>
        <v>21.7578</v>
      </c>
      <c r="K656" s="11">
        <f>21.763 * CHOOSE(CONTROL!$C$32, $C$9, 100%, $E$9)</f>
        <v>21.763000000000002</v>
      </c>
      <c r="L656" s="11">
        <f>10.8309 * CHOOSE(CONTROL!$C$32, $C$9, 100%, $E$9)</f>
        <v>10.8309</v>
      </c>
      <c r="M656" s="11">
        <f>10.8362 * CHOOSE(CONTROL!$C$32, $C$9, 100%, $E$9)</f>
        <v>10.8362</v>
      </c>
      <c r="N656" s="11">
        <f>10.8309 * CHOOSE(CONTROL!$C$32, $C$9, 100%, $E$9)</f>
        <v>10.8309</v>
      </c>
      <c r="O656" s="11">
        <f>10.8362 * CHOOSE(CONTROL!$C$32, $C$9, 100%, $E$9)</f>
        <v>10.8362</v>
      </c>
    </row>
    <row r="657" spans="1:15" ht="15" x14ac:dyDescent="0.2">
      <c r="A657" s="13">
        <v>60845</v>
      </c>
      <c r="B657" s="9">
        <f>9.5088 * CHOOSE(CONTROL!$C$32, $C$9, 100%, $E$9)</f>
        <v>9.5088000000000008</v>
      </c>
      <c r="C657" s="9">
        <f>9.5088 * CHOOSE(CONTROL!$C$32, $C$9, 100%, $E$9)</f>
        <v>9.5088000000000008</v>
      </c>
      <c r="D657" s="9">
        <f>9.5104 * CHOOSE(CONTROL!$C$32, $C$9, 100%, $E$9)</f>
        <v>9.5104000000000006</v>
      </c>
      <c r="E657" s="11">
        <f>10.5874 * CHOOSE(CONTROL!$C$32, $C$9, 100%, $E$9)</f>
        <v>10.587400000000001</v>
      </c>
      <c r="F657" s="11">
        <f>10.5874 * CHOOSE(CONTROL!$C$32, $C$9, 100%, $E$9)</f>
        <v>10.587400000000001</v>
      </c>
      <c r="G657" s="11">
        <f>10.5927 * CHOOSE(CONTROL!$C$32, $C$9, 100%, $E$9)</f>
        <v>10.592700000000001</v>
      </c>
      <c r="H657" s="11">
        <f>21.8031 * CHOOSE(CONTROL!$C$32, $C$9, 100%, $E$9)</f>
        <v>21.803100000000001</v>
      </c>
      <c r="I657" s="11">
        <f>21.8084 * CHOOSE(CONTROL!$C$32, $C$9, 100%, $E$9)</f>
        <v>21.808399999999999</v>
      </c>
      <c r="J657" s="11">
        <f>21.8031 * CHOOSE(CONTROL!$C$32, $C$9, 100%, $E$9)</f>
        <v>21.803100000000001</v>
      </c>
      <c r="K657" s="11">
        <f>21.8084 * CHOOSE(CONTROL!$C$32, $C$9, 100%, $E$9)</f>
        <v>21.808399999999999</v>
      </c>
      <c r="L657" s="11">
        <f>10.5874 * CHOOSE(CONTROL!$C$32, $C$9, 100%, $E$9)</f>
        <v>10.587400000000001</v>
      </c>
      <c r="M657" s="11">
        <f>10.5927 * CHOOSE(CONTROL!$C$32, $C$9, 100%, $E$9)</f>
        <v>10.592700000000001</v>
      </c>
      <c r="N657" s="11">
        <f>10.5874 * CHOOSE(CONTROL!$C$32, $C$9, 100%, $E$9)</f>
        <v>10.587400000000001</v>
      </c>
      <c r="O657" s="11">
        <f>10.5927 * CHOOSE(CONTROL!$C$32, $C$9, 100%, $E$9)</f>
        <v>10.592700000000001</v>
      </c>
    </row>
    <row r="658" spans="1:15" ht="15" x14ac:dyDescent="0.2">
      <c r="A658" s="13">
        <v>60876</v>
      </c>
      <c r="B658" s="9">
        <f>9.5058 * CHOOSE(CONTROL!$C$32, $C$9, 100%, $E$9)</f>
        <v>9.5058000000000007</v>
      </c>
      <c r="C658" s="9">
        <f>9.5058 * CHOOSE(CONTROL!$C$32, $C$9, 100%, $E$9)</f>
        <v>9.5058000000000007</v>
      </c>
      <c r="D658" s="9">
        <f>9.5074 * CHOOSE(CONTROL!$C$32, $C$9, 100%, $E$9)</f>
        <v>9.5074000000000005</v>
      </c>
      <c r="E658" s="11">
        <f>10.5577 * CHOOSE(CONTROL!$C$32, $C$9, 100%, $E$9)</f>
        <v>10.557700000000001</v>
      </c>
      <c r="F658" s="11">
        <f>10.5577 * CHOOSE(CONTROL!$C$32, $C$9, 100%, $E$9)</f>
        <v>10.557700000000001</v>
      </c>
      <c r="G658" s="11">
        <f>10.563 * CHOOSE(CONTROL!$C$32, $C$9, 100%, $E$9)</f>
        <v>10.563000000000001</v>
      </c>
      <c r="H658" s="11">
        <f>21.8485 * CHOOSE(CONTROL!$C$32, $C$9, 100%, $E$9)</f>
        <v>21.848500000000001</v>
      </c>
      <c r="I658" s="11">
        <f>21.8538 * CHOOSE(CONTROL!$C$32, $C$9, 100%, $E$9)</f>
        <v>21.8538</v>
      </c>
      <c r="J658" s="11">
        <f>21.8485 * CHOOSE(CONTROL!$C$32, $C$9, 100%, $E$9)</f>
        <v>21.848500000000001</v>
      </c>
      <c r="K658" s="11">
        <f>21.8538 * CHOOSE(CONTROL!$C$32, $C$9, 100%, $E$9)</f>
        <v>21.8538</v>
      </c>
      <c r="L658" s="11">
        <f>10.5577 * CHOOSE(CONTROL!$C$32, $C$9, 100%, $E$9)</f>
        <v>10.557700000000001</v>
      </c>
      <c r="M658" s="11">
        <f>10.563 * CHOOSE(CONTROL!$C$32, $C$9, 100%, $E$9)</f>
        <v>10.563000000000001</v>
      </c>
      <c r="N658" s="11">
        <f>10.5577 * CHOOSE(CONTROL!$C$32, $C$9, 100%, $E$9)</f>
        <v>10.557700000000001</v>
      </c>
      <c r="O658" s="11">
        <f>10.563 * CHOOSE(CONTROL!$C$32, $C$9, 100%, $E$9)</f>
        <v>10.563000000000001</v>
      </c>
    </row>
    <row r="659" spans="1:15" ht="15" x14ac:dyDescent="0.2">
      <c r="A659" s="13">
        <v>60906</v>
      </c>
      <c r="B659" s="9">
        <f>9.5214 * CHOOSE(CONTROL!$C$32, $C$9, 100%, $E$9)</f>
        <v>9.5213999999999999</v>
      </c>
      <c r="C659" s="9">
        <f>9.5214 * CHOOSE(CONTROL!$C$32, $C$9, 100%, $E$9)</f>
        <v>9.5213999999999999</v>
      </c>
      <c r="D659" s="9">
        <f>9.5225 * CHOOSE(CONTROL!$C$32, $C$9, 100%, $E$9)</f>
        <v>9.5225000000000009</v>
      </c>
      <c r="E659" s="11">
        <f>10.6546 * CHOOSE(CONTROL!$C$32, $C$9, 100%, $E$9)</f>
        <v>10.6546</v>
      </c>
      <c r="F659" s="11">
        <f>10.6546 * CHOOSE(CONTROL!$C$32, $C$9, 100%, $E$9)</f>
        <v>10.6546</v>
      </c>
      <c r="G659" s="11">
        <f>10.6582 * CHOOSE(CONTROL!$C$32, $C$9, 100%, $E$9)</f>
        <v>10.658200000000001</v>
      </c>
      <c r="H659" s="11">
        <f>21.894 * CHOOSE(CONTROL!$C$32, $C$9, 100%, $E$9)</f>
        <v>21.893999999999998</v>
      </c>
      <c r="I659" s="11">
        <f>21.8976 * CHOOSE(CONTROL!$C$32, $C$9, 100%, $E$9)</f>
        <v>21.897600000000001</v>
      </c>
      <c r="J659" s="11">
        <f>21.894 * CHOOSE(CONTROL!$C$32, $C$9, 100%, $E$9)</f>
        <v>21.893999999999998</v>
      </c>
      <c r="K659" s="11">
        <f>21.8976 * CHOOSE(CONTROL!$C$32, $C$9, 100%, $E$9)</f>
        <v>21.897600000000001</v>
      </c>
      <c r="L659" s="11">
        <f>10.6546 * CHOOSE(CONTROL!$C$32, $C$9, 100%, $E$9)</f>
        <v>10.6546</v>
      </c>
      <c r="M659" s="11">
        <f>10.6582 * CHOOSE(CONTROL!$C$32, $C$9, 100%, $E$9)</f>
        <v>10.658200000000001</v>
      </c>
      <c r="N659" s="11">
        <f>10.6546 * CHOOSE(CONTROL!$C$32, $C$9, 100%, $E$9)</f>
        <v>10.6546</v>
      </c>
      <c r="O659" s="11">
        <f>10.6582 * CHOOSE(CONTROL!$C$32, $C$9, 100%, $E$9)</f>
        <v>10.658200000000001</v>
      </c>
    </row>
    <row r="660" spans="1:15" ht="15" x14ac:dyDescent="0.2">
      <c r="A660" s="13">
        <v>60937</v>
      </c>
      <c r="B660" s="9">
        <f>9.5244 * CHOOSE(CONTROL!$C$32, $C$9, 100%, $E$9)</f>
        <v>9.5244</v>
      </c>
      <c r="C660" s="9">
        <f>9.5244 * CHOOSE(CONTROL!$C$32, $C$9, 100%, $E$9)</f>
        <v>9.5244</v>
      </c>
      <c r="D660" s="9">
        <f>9.5255 * CHOOSE(CONTROL!$C$32, $C$9, 100%, $E$9)</f>
        <v>9.5254999999999992</v>
      </c>
      <c r="E660" s="11">
        <f>10.7119 * CHOOSE(CONTROL!$C$32, $C$9, 100%, $E$9)</f>
        <v>10.7119</v>
      </c>
      <c r="F660" s="11">
        <f>10.7119 * CHOOSE(CONTROL!$C$32, $C$9, 100%, $E$9)</f>
        <v>10.7119</v>
      </c>
      <c r="G660" s="11">
        <f>10.7155 * CHOOSE(CONTROL!$C$32, $C$9, 100%, $E$9)</f>
        <v>10.7155</v>
      </c>
      <c r="H660" s="11">
        <f>21.9396 * CHOOSE(CONTROL!$C$32, $C$9, 100%, $E$9)</f>
        <v>21.939599999999999</v>
      </c>
      <c r="I660" s="11">
        <f>21.9433 * CHOOSE(CONTROL!$C$32, $C$9, 100%, $E$9)</f>
        <v>21.943300000000001</v>
      </c>
      <c r="J660" s="11">
        <f>21.9396 * CHOOSE(CONTROL!$C$32, $C$9, 100%, $E$9)</f>
        <v>21.939599999999999</v>
      </c>
      <c r="K660" s="11">
        <f>21.9433 * CHOOSE(CONTROL!$C$32, $C$9, 100%, $E$9)</f>
        <v>21.943300000000001</v>
      </c>
      <c r="L660" s="11">
        <f>10.7119 * CHOOSE(CONTROL!$C$32, $C$9, 100%, $E$9)</f>
        <v>10.7119</v>
      </c>
      <c r="M660" s="11">
        <f>10.7155 * CHOOSE(CONTROL!$C$32, $C$9, 100%, $E$9)</f>
        <v>10.7155</v>
      </c>
      <c r="N660" s="11">
        <f>10.7119 * CHOOSE(CONTROL!$C$32, $C$9, 100%, $E$9)</f>
        <v>10.7119</v>
      </c>
      <c r="O660" s="11">
        <f>10.7155 * CHOOSE(CONTROL!$C$32, $C$9, 100%, $E$9)</f>
        <v>10.7155</v>
      </c>
    </row>
    <row r="661" spans="1:15" ht="15" x14ac:dyDescent="0.2">
      <c r="A661" s="13">
        <v>60967</v>
      </c>
      <c r="B661" s="9">
        <f>9.5244 * CHOOSE(CONTROL!$C$32, $C$9, 100%, $E$9)</f>
        <v>9.5244</v>
      </c>
      <c r="C661" s="9">
        <f>9.5244 * CHOOSE(CONTROL!$C$32, $C$9, 100%, $E$9)</f>
        <v>9.5244</v>
      </c>
      <c r="D661" s="9">
        <f>9.5255 * CHOOSE(CONTROL!$C$32, $C$9, 100%, $E$9)</f>
        <v>9.5254999999999992</v>
      </c>
      <c r="E661" s="11">
        <f>10.574 * CHOOSE(CONTROL!$C$32, $C$9, 100%, $E$9)</f>
        <v>10.574</v>
      </c>
      <c r="F661" s="11">
        <f>10.574 * CHOOSE(CONTROL!$C$32, $C$9, 100%, $E$9)</f>
        <v>10.574</v>
      </c>
      <c r="G661" s="11">
        <f>10.5776 * CHOOSE(CONTROL!$C$32, $C$9, 100%, $E$9)</f>
        <v>10.5776</v>
      </c>
      <c r="H661" s="11">
        <f>21.9853 * CHOOSE(CONTROL!$C$32, $C$9, 100%, $E$9)</f>
        <v>21.985299999999999</v>
      </c>
      <c r="I661" s="11">
        <f>21.989 * CHOOSE(CONTROL!$C$32, $C$9, 100%, $E$9)</f>
        <v>21.989000000000001</v>
      </c>
      <c r="J661" s="11">
        <f>21.9853 * CHOOSE(CONTROL!$C$32, $C$9, 100%, $E$9)</f>
        <v>21.985299999999999</v>
      </c>
      <c r="K661" s="11">
        <f>21.989 * CHOOSE(CONTROL!$C$32, $C$9, 100%, $E$9)</f>
        <v>21.989000000000001</v>
      </c>
      <c r="L661" s="11">
        <f>10.574 * CHOOSE(CONTROL!$C$32, $C$9, 100%, $E$9)</f>
        <v>10.574</v>
      </c>
      <c r="M661" s="11">
        <f>10.5776 * CHOOSE(CONTROL!$C$32, $C$9, 100%, $E$9)</f>
        <v>10.5776</v>
      </c>
      <c r="N661" s="11">
        <f>10.574 * CHOOSE(CONTROL!$C$32, $C$9, 100%, $E$9)</f>
        <v>10.574</v>
      </c>
      <c r="O661" s="11">
        <f>10.5776 * CHOOSE(CONTROL!$C$32, $C$9, 100%, $E$9)</f>
        <v>10.5776</v>
      </c>
    </row>
    <row r="662" spans="1:15" ht="15" x14ac:dyDescent="0.2">
      <c r="A662" s="13">
        <v>60998</v>
      </c>
      <c r="B662" s="9">
        <f>9.569 * CHOOSE(CONTROL!$C$32, $C$9, 100%, $E$9)</f>
        <v>9.5690000000000008</v>
      </c>
      <c r="C662" s="9">
        <f>9.569 * CHOOSE(CONTROL!$C$32, $C$9, 100%, $E$9)</f>
        <v>9.5690000000000008</v>
      </c>
      <c r="D662" s="9">
        <f>9.5701 * CHOOSE(CONTROL!$C$32, $C$9, 100%, $E$9)</f>
        <v>9.5701000000000001</v>
      </c>
      <c r="E662" s="11">
        <f>10.733 * CHOOSE(CONTROL!$C$32, $C$9, 100%, $E$9)</f>
        <v>10.733000000000001</v>
      </c>
      <c r="F662" s="11">
        <f>10.733 * CHOOSE(CONTROL!$C$32, $C$9, 100%, $E$9)</f>
        <v>10.733000000000001</v>
      </c>
      <c r="G662" s="11">
        <f>10.7366 * CHOOSE(CONTROL!$C$32, $C$9, 100%, $E$9)</f>
        <v>10.736599999999999</v>
      </c>
      <c r="H662" s="11">
        <f>21.9596 * CHOOSE(CONTROL!$C$32, $C$9, 100%, $E$9)</f>
        <v>21.959599999999998</v>
      </c>
      <c r="I662" s="11">
        <f>21.9632 * CHOOSE(CONTROL!$C$32, $C$9, 100%, $E$9)</f>
        <v>21.963200000000001</v>
      </c>
      <c r="J662" s="11">
        <f>21.9596 * CHOOSE(CONTROL!$C$32, $C$9, 100%, $E$9)</f>
        <v>21.959599999999998</v>
      </c>
      <c r="K662" s="11">
        <f>21.9632 * CHOOSE(CONTROL!$C$32, $C$9, 100%, $E$9)</f>
        <v>21.963200000000001</v>
      </c>
      <c r="L662" s="11">
        <f>10.733 * CHOOSE(CONTROL!$C$32, $C$9, 100%, $E$9)</f>
        <v>10.733000000000001</v>
      </c>
      <c r="M662" s="11">
        <f>10.7366 * CHOOSE(CONTROL!$C$32, $C$9, 100%, $E$9)</f>
        <v>10.736599999999999</v>
      </c>
      <c r="N662" s="11">
        <f>10.733 * CHOOSE(CONTROL!$C$32, $C$9, 100%, $E$9)</f>
        <v>10.733000000000001</v>
      </c>
      <c r="O662" s="11">
        <f>10.7366 * CHOOSE(CONTROL!$C$32, $C$9, 100%, $E$9)</f>
        <v>10.736599999999999</v>
      </c>
    </row>
    <row r="663" spans="1:15" ht="15" x14ac:dyDescent="0.2">
      <c r="A663" s="13">
        <v>61029</v>
      </c>
      <c r="B663" s="9">
        <f>9.566 * CHOOSE(CONTROL!$C$32, $C$9, 100%, $E$9)</f>
        <v>9.5660000000000007</v>
      </c>
      <c r="C663" s="9">
        <f>9.566 * CHOOSE(CONTROL!$C$32, $C$9, 100%, $E$9)</f>
        <v>9.5660000000000007</v>
      </c>
      <c r="D663" s="9">
        <f>9.567 * CHOOSE(CONTROL!$C$32, $C$9, 100%, $E$9)</f>
        <v>9.5670000000000002</v>
      </c>
      <c r="E663" s="11">
        <f>10.4632 * CHOOSE(CONTROL!$C$32, $C$9, 100%, $E$9)</f>
        <v>10.463200000000001</v>
      </c>
      <c r="F663" s="11">
        <f>10.4632 * CHOOSE(CONTROL!$C$32, $C$9, 100%, $E$9)</f>
        <v>10.463200000000001</v>
      </c>
      <c r="G663" s="11">
        <f>10.4669 * CHOOSE(CONTROL!$C$32, $C$9, 100%, $E$9)</f>
        <v>10.466900000000001</v>
      </c>
      <c r="H663" s="11">
        <f>22.0053 * CHOOSE(CONTROL!$C$32, $C$9, 100%, $E$9)</f>
        <v>22.005299999999998</v>
      </c>
      <c r="I663" s="11">
        <f>22.0089 * CHOOSE(CONTROL!$C$32, $C$9, 100%, $E$9)</f>
        <v>22.008900000000001</v>
      </c>
      <c r="J663" s="11">
        <f>22.0053 * CHOOSE(CONTROL!$C$32, $C$9, 100%, $E$9)</f>
        <v>22.005299999999998</v>
      </c>
      <c r="K663" s="11">
        <f>22.0089 * CHOOSE(CONTROL!$C$32, $C$9, 100%, $E$9)</f>
        <v>22.008900000000001</v>
      </c>
      <c r="L663" s="11">
        <f>10.4632 * CHOOSE(CONTROL!$C$32, $C$9, 100%, $E$9)</f>
        <v>10.463200000000001</v>
      </c>
      <c r="M663" s="11">
        <f>10.4669 * CHOOSE(CONTROL!$C$32, $C$9, 100%, $E$9)</f>
        <v>10.466900000000001</v>
      </c>
      <c r="N663" s="11">
        <f>10.4632 * CHOOSE(CONTROL!$C$32, $C$9, 100%, $E$9)</f>
        <v>10.463200000000001</v>
      </c>
      <c r="O663" s="11">
        <f>10.4669 * CHOOSE(CONTROL!$C$32, $C$9, 100%, $E$9)</f>
        <v>10.466900000000001</v>
      </c>
    </row>
    <row r="664" spans="1:15" ht="15" x14ac:dyDescent="0.2">
      <c r="A664" s="13">
        <v>61057</v>
      </c>
      <c r="B664" s="9">
        <f>9.5629 * CHOOSE(CONTROL!$C$32, $C$9, 100%, $E$9)</f>
        <v>9.5629000000000008</v>
      </c>
      <c r="C664" s="9">
        <f>9.5629 * CHOOSE(CONTROL!$C$32, $C$9, 100%, $E$9)</f>
        <v>9.5629000000000008</v>
      </c>
      <c r="D664" s="9">
        <f>9.564 * CHOOSE(CONTROL!$C$32, $C$9, 100%, $E$9)</f>
        <v>9.5640000000000001</v>
      </c>
      <c r="E664" s="11">
        <f>10.6721 * CHOOSE(CONTROL!$C$32, $C$9, 100%, $E$9)</f>
        <v>10.6721</v>
      </c>
      <c r="F664" s="11">
        <f>10.6721 * CHOOSE(CONTROL!$C$32, $C$9, 100%, $E$9)</f>
        <v>10.6721</v>
      </c>
      <c r="G664" s="11">
        <f>10.6757 * CHOOSE(CONTROL!$C$32, $C$9, 100%, $E$9)</f>
        <v>10.675700000000001</v>
      </c>
      <c r="H664" s="11">
        <f>22.0512 * CHOOSE(CONTROL!$C$32, $C$9, 100%, $E$9)</f>
        <v>22.051200000000001</v>
      </c>
      <c r="I664" s="11">
        <f>22.0548 * CHOOSE(CONTROL!$C$32, $C$9, 100%, $E$9)</f>
        <v>22.0548</v>
      </c>
      <c r="J664" s="11">
        <f>22.0512 * CHOOSE(CONTROL!$C$32, $C$9, 100%, $E$9)</f>
        <v>22.051200000000001</v>
      </c>
      <c r="K664" s="11">
        <f>22.0548 * CHOOSE(CONTROL!$C$32, $C$9, 100%, $E$9)</f>
        <v>22.0548</v>
      </c>
      <c r="L664" s="11">
        <f>10.6721 * CHOOSE(CONTROL!$C$32, $C$9, 100%, $E$9)</f>
        <v>10.6721</v>
      </c>
      <c r="M664" s="11">
        <f>10.6757 * CHOOSE(CONTROL!$C$32, $C$9, 100%, $E$9)</f>
        <v>10.675700000000001</v>
      </c>
      <c r="N664" s="11">
        <f>10.6721 * CHOOSE(CONTROL!$C$32, $C$9, 100%, $E$9)</f>
        <v>10.6721</v>
      </c>
      <c r="O664" s="11">
        <f>10.6757 * CHOOSE(CONTROL!$C$32, $C$9, 100%, $E$9)</f>
        <v>10.675700000000001</v>
      </c>
    </row>
    <row r="665" spans="1:15" ht="15" x14ac:dyDescent="0.2">
      <c r="A665" s="13">
        <v>61088</v>
      </c>
      <c r="B665" s="9">
        <f>9.566 * CHOOSE(CONTROL!$C$32, $C$9, 100%, $E$9)</f>
        <v>9.5660000000000007</v>
      </c>
      <c r="C665" s="9">
        <f>9.566 * CHOOSE(CONTROL!$C$32, $C$9, 100%, $E$9)</f>
        <v>9.5660000000000007</v>
      </c>
      <c r="D665" s="9">
        <f>9.567 * CHOOSE(CONTROL!$C$32, $C$9, 100%, $E$9)</f>
        <v>9.5670000000000002</v>
      </c>
      <c r="E665" s="11">
        <f>10.8945 * CHOOSE(CONTROL!$C$32, $C$9, 100%, $E$9)</f>
        <v>10.894500000000001</v>
      </c>
      <c r="F665" s="11">
        <f>10.8945 * CHOOSE(CONTROL!$C$32, $C$9, 100%, $E$9)</f>
        <v>10.894500000000001</v>
      </c>
      <c r="G665" s="11">
        <f>10.8981 * CHOOSE(CONTROL!$C$32, $C$9, 100%, $E$9)</f>
        <v>10.898099999999999</v>
      </c>
      <c r="H665" s="11">
        <f>22.0971 * CHOOSE(CONTROL!$C$32, $C$9, 100%, $E$9)</f>
        <v>22.097100000000001</v>
      </c>
      <c r="I665" s="11">
        <f>22.1007 * CHOOSE(CONTROL!$C$32, $C$9, 100%, $E$9)</f>
        <v>22.1007</v>
      </c>
      <c r="J665" s="11">
        <f>22.0971 * CHOOSE(CONTROL!$C$32, $C$9, 100%, $E$9)</f>
        <v>22.097100000000001</v>
      </c>
      <c r="K665" s="11">
        <f>22.1007 * CHOOSE(CONTROL!$C$32, $C$9, 100%, $E$9)</f>
        <v>22.1007</v>
      </c>
      <c r="L665" s="11">
        <f>10.8945 * CHOOSE(CONTROL!$C$32, $C$9, 100%, $E$9)</f>
        <v>10.894500000000001</v>
      </c>
      <c r="M665" s="11">
        <f>10.8981 * CHOOSE(CONTROL!$C$32, $C$9, 100%, $E$9)</f>
        <v>10.898099999999999</v>
      </c>
      <c r="N665" s="11">
        <f>10.8945 * CHOOSE(CONTROL!$C$32, $C$9, 100%, $E$9)</f>
        <v>10.894500000000001</v>
      </c>
      <c r="O665" s="11">
        <f>10.8981 * CHOOSE(CONTROL!$C$32, $C$9, 100%, $E$9)</f>
        <v>10.898099999999999</v>
      </c>
    </row>
    <row r="666" spans="1:15" ht="15" x14ac:dyDescent="0.2">
      <c r="A666" s="13">
        <v>61118</v>
      </c>
      <c r="B666" s="9">
        <f>9.566 * CHOOSE(CONTROL!$C$32, $C$9, 100%, $E$9)</f>
        <v>9.5660000000000007</v>
      </c>
      <c r="C666" s="9">
        <f>9.566 * CHOOSE(CONTROL!$C$32, $C$9, 100%, $E$9)</f>
        <v>9.5660000000000007</v>
      </c>
      <c r="D666" s="9">
        <f>9.5675 * CHOOSE(CONTROL!$C$32, $C$9, 100%, $E$9)</f>
        <v>9.5675000000000008</v>
      </c>
      <c r="E666" s="11">
        <f>10.9795 * CHOOSE(CONTROL!$C$32, $C$9, 100%, $E$9)</f>
        <v>10.9795</v>
      </c>
      <c r="F666" s="11">
        <f>10.9795 * CHOOSE(CONTROL!$C$32, $C$9, 100%, $E$9)</f>
        <v>10.9795</v>
      </c>
      <c r="G666" s="11">
        <f>10.9848 * CHOOSE(CONTROL!$C$32, $C$9, 100%, $E$9)</f>
        <v>10.9848</v>
      </c>
      <c r="H666" s="11">
        <f>22.1431 * CHOOSE(CONTROL!$C$32, $C$9, 100%, $E$9)</f>
        <v>22.1431</v>
      </c>
      <c r="I666" s="11">
        <f>22.1484 * CHOOSE(CONTROL!$C$32, $C$9, 100%, $E$9)</f>
        <v>22.148399999999999</v>
      </c>
      <c r="J666" s="11">
        <f>22.1431 * CHOOSE(CONTROL!$C$32, $C$9, 100%, $E$9)</f>
        <v>22.1431</v>
      </c>
      <c r="K666" s="11">
        <f>22.1484 * CHOOSE(CONTROL!$C$32, $C$9, 100%, $E$9)</f>
        <v>22.148399999999999</v>
      </c>
      <c r="L666" s="11">
        <f>10.9795 * CHOOSE(CONTROL!$C$32, $C$9, 100%, $E$9)</f>
        <v>10.9795</v>
      </c>
      <c r="M666" s="11">
        <f>10.9848 * CHOOSE(CONTROL!$C$32, $C$9, 100%, $E$9)</f>
        <v>10.9848</v>
      </c>
      <c r="N666" s="11">
        <f>10.9795 * CHOOSE(CONTROL!$C$32, $C$9, 100%, $E$9)</f>
        <v>10.9795</v>
      </c>
      <c r="O666" s="11">
        <f>10.9848 * CHOOSE(CONTROL!$C$32, $C$9, 100%, $E$9)</f>
        <v>10.9848</v>
      </c>
    </row>
    <row r="667" spans="1:15" ht="15" x14ac:dyDescent="0.2">
      <c r="A667" s="13">
        <v>61149</v>
      </c>
      <c r="B667" s="9">
        <f>9.572 * CHOOSE(CONTROL!$C$32, $C$9, 100%, $E$9)</f>
        <v>9.5719999999999992</v>
      </c>
      <c r="C667" s="9">
        <f>9.572 * CHOOSE(CONTROL!$C$32, $C$9, 100%, $E$9)</f>
        <v>9.5719999999999992</v>
      </c>
      <c r="D667" s="9">
        <f>9.5736 * CHOOSE(CONTROL!$C$32, $C$9, 100%, $E$9)</f>
        <v>9.5736000000000008</v>
      </c>
      <c r="E667" s="11">
        <f>10.8987 * CHOOSE(CONTROL!$C$32, $C$9, 100%, $E$9)</f>
        <v>10.8987</v>
      </c>
      <c r="F667" s="11">
        <f>10.8987 * CHOOSE(CONTROL!$C$32, $C$9, 100%, $E$9)</f>
        <v>10.8987</v>
      </c>
      <c r="G667" s="11">
        <f>10.904 * CHOOSE(CONTROL!$C$32, $C$9, 100%, $E$9)</f>
        <v>10.904</v>
      </c>
      <c r="H667" s="11">
        <f>22.1893 * CHOOSE(CONTROL!$C$32, $C$9, 100%, $E$9)</f>
        <v>22.189299999999999</v>
      </c>
      <c r="I667" s="11">
        <f>22.1946 * CHOOSE(CONTROL!$C$32, $C$9, 100%, $E$9)</f>
        <v>22.194600000000001</v>
      </c>
      <c r="J667" s="11">
        <f>22.1893 * CHOOSE(CONTROL!$C$32, $C$9, 100%, $E$9)</f>
        <v>22.189299999999999</v>
      </c>
      <c r="K667" s="11">
        <f>22.1946 * CHOOSE(CONTROL!$C$32, $C$9, 100%, $E$9)</f>
        <v>22.194600000000001</v>
      </c>
      <c r="L667" s="11">
        <f>10.8987 * CHOOSE(CONTROL!$C$32, $C$9, 100%, $E$9)</f>
        <v>10.8987</v>
      </c>
      <c r="M667" s="11">
        <f>10.904 * CHOOSE(CONTROL!$C$32, $C$9, 100%, $E$9)</f>
        <v>10.904</v>
      </c>
      <c r="N667" s="11">
        <f>10.8987 * CHOOSE(CONTROL!$C$32, $C$9, 100%, $E$9)</f>
        <v>10.8987</v>
      </c>
      <c r="O667" s="11">
        <f>10.904 * CHOOSE(CONTROL!$C$32, $C$9, 100%, $E$9)</f>
        <v>10.904</v>
      </c>
    </row>
    <row r="668" spans="1:15" ht="15" x14ac:dyDescent="0.2">
      <c r="A668" s="13">
        <v>61179</v>
      </c>
      <c r="B668" s="9">
        <f>9.6917 * CHOOSE(CONTROL!$C$32, $C$9, 100%, $E$9)</f>
        <v>9.6917000000000009</v>
      </c>
      <c r="C668" s="9">
        <f>9.6917 * CHOOSE(CONTROL!$C$32, $C$9, 100%, $E$9)</f>
        <v>9.6917000000000009</v>
      </c>
      <c r="D668" s="9">
        <f>9.6933 * CHOOSE(CONTROL!$C$32, $C$9, 100%, $E$9)</f>
        <v>9.6933000000000007</v>
      </c>
      <c r="E668" s="11">
        <f>11.0511 * CHOOSE(CONTROL!$C$32, $C$9, 100%, $E$9)</f>
        <v>11.0511</v>
      </c>
      <c r="F668" s="11">
        <f>11.0511 * CHOOSE(CONTROL!$C$32, $C$9, 100%, $E$9)</f>
        <v>11.0511</v>
      </c>
      <c r="G668" s="11">
        <f>11.0564 * CHOOSE(CONTROL!$C$32, $C$9, 100%, $E$9)</f>
        <v>11.0564</v>
      </c>
      <c r="H668" s="11">
        <f>22.2355 * CHOOSE(CONTROL!$C$32, $C$9, 100%, $E$9)</f>
        <v>22.235499999999998</v>
      </c>
      <c r="I668" s="11">
        <f>22.2408 * CHOOSE(CONTROL!$C$32, $C$9, 100%, $E$9)</f>
        <v>22.2408</v>
      </c>
      <c r="J668" s="11">
        <f>22.2355 * CHOOSE(CONTROL!$C$32, $C$9, 100%, $E$9)</f>
        <v>22.235499999999998</v>
      </c>
      <c r="K668" s="11">
        <f>22.2408 * CHOOSE(CONTROL!$C$32, $C$9, 100%, $E$9)</f>
        <v>22.2408</v>
      </c>
      <c r="L668" s="11">
        <f>11.0511 * CHOOSE(CONTROL!$C$32, $C$9, 100%, $E$9)</f>
        <v>11.0511</v>
      </c>
      <c r="M668" s="11">
        <f>11.0564 * CHOOSE(CONTROL!$C$32, $C$9, 100%, $E$9)</f>
        <v>11.0564</v>
      </c>
      <c r="N668" s="11">
        <f>11.0511 * CHOOSE(CONTROL!$C$32, $C$9, 100%, $E$9)</f>
        <v>11.0511</v>
      </c>
      <c r="O668" s="11">
        <f>11.0564 * CHOOSE(CONTROL!$C$32, $C$9, 100%, $E$9)</f>
        <v>11.0564</v>
      </c>
    </row>
    <row r="669" spans="1:15" ht="15" x14ac:dyDescent="0.2">
      <c r="A669" s="13">
        <v>61210</v>
      </c>
      <c r="B669" s="9">
        <f>9.6984 * CHOOSE(CONTROL!$C$32, $C$9, 100%, $E$9)</f>
        <v>9.6983999999999995</v>
      </c>
      <c r="C669" s="9">
        <f>9.6984 * CHOOSE(CONTROL!$C$32, $C$9, 100%, $E$9)</f>
        <v>9.6983999999999995</v>
      </c>
      <c r="D669" s="9">
        <f>9.7 * CHOOSE(CONTROL!$C$32, $C$9, 100%, $E$9)</f>
        <v>9.6999999999999993</v>
      </c>
      <c r="E669" s="11">
        <f>10.8009 * CHOOSE(CONTROL!$C$32, $C$9, 100%, $E$9)</f>
        <v>10.8009</v>
      </c>
      <c r="F669" s="11">
        <f>10.8009 * CHOOSE(CONTROL!$C$32, $C$9, 100%, $E$9)</f>
        <v>10.8009</v>
      </c>
      <c r="G669" s="11">
        <f>10.8062 * CHOOSE(CONTROL!$C$32, $C$9, 100%, $E$9)</f>
        <v>10.8062</v>
      </c>
      <c r="H669" s="11">
        <f>22.2818 * CHOOSE(CONTROL!$C$32, $C$9, 100%, $E$9)</f>
        <v>22.2818</v>
      </c>
      <c r="I669" s="11">
        <f>22.2871 * CHOOSE(CONTROL!$C$32, $C$9, 100%, $E$9)</f>
        <v>22.287099999999999</v>
      </c>
      <c r="J669" s="11">
        <f>22.2818 * CHOOSE(CONTROL!$C$32, $C$9, 100%, $E$9)</f>
        <v>22.2818</v>
      </c>
      <c r="K669" s="11">
        <f>22.2871 * CHOOSE(CONTROL!$C$32, $C$9, 100%, $E$9)</f>
        <v>22.287099999999999</v>
      </c>
      <c r="L669" s="11">
        <f>10.8009 * CHOOSE(CONTROL!$C$32, $C$9, 100%, $E$9)</f>
        <v>10.8009</v>
      </c>
      <c r="M669" s="11">
        <f>10.8062 * CHOOSE(CONTROL!$C$32, $C$9, 100%, $E$9)</f>
        <v>10.8062</v>
      </c>
      <c r="N669" s="11">
        <f>10.8009 * CHOOSE(CONTROL!$C$32, $C$9, 100%, $E$9)</f>
        <v>10.8009</v>
      </c>
      <c r="O669" s="11">
        <f>10.8062 * CHOOSE(CONTROL!$C$32, $C$9, 100%, $E$9)</f>
        <v>10.8062</v>
      </c>
    </row>
    <row r="670" spans="1:15" ht="15" x14ac:dyDescent="0.2">
      <c r="A670" s="13">
        <v>61241</v>
      </c>
      <c r="B670" s="9">
        <f>9.6954 * CHOOSE(CONTROL!$C$32, $C$9, 100%, $E$9)</f>
        <v>9.6953999999999994</v>
      </c>
      <c r="C670" s="9">
        <f>9.6954 * CHOOSE(CONTROL!$C$32, $C$9, 100%, $E$9)</f>
        <v>9.6953999999999994</v>
      </c>
      <c r="D670" s="9">
        <f>9.697 * CHOOSE(CONTROL!$C$32, $C$9, 100%, $E$9)</f>
        <v>9.6969999999999992</v>
      </c>
      <c r="E670" s="11">
        <f>10.7704 * CHOOSE(CONTROL!$C$32, $C$9, 100%, $E$9)</f>
        <v>10.7704</v>
      </c>
      <c r="F670" s="11">
        <f>10.7704 * CHOOSE(CONTROL!$C$32, $C$9, 100%, $E$9)</f>
        <v>10.7704</v>
      </c>
      <c r="G670" s="11">
        <f>10.7757 * CHOOSE(CONTROL!$C$32, $C$9, 100%, $E$9)</f>
        <v>10.775700000000001</v>
      </c>
      <c r="H670" s="11">
        <f>22.3282 * CHOOSE(CONTROL!$C$32, $C$9, 100%, $E$9)</f>
        <v>22.328199999999999</v>
      </c>
      <c r="I670" s="11">
        <f>22.3335 * CHOOSE(CONTROL!$C$32, $C$9, 100%, $E$9)</f>
        <v>22.333500000000001</v>
      </c>
      <c r="J670" s="11">
        <f>22.3282 * CHOOSE(CONTROL!$C$32, $C$9, 100%, $E$9)</f>
        <v>22.328199999999999</v>
      </c>
      <c r="K670" s="11">
        <f>22.3335 * CHOOSE(CONTROL!$C$32, $C$9, 100%, $E$9)</f>
        <v>22.333500000000001</v>
      </c>
      <c r="L670" s="11">
        <f>10.7704 * CHOOSE(CONTROL!$C$32, $C$9, 100%, $E$9)</f>
        <v>10.7704</v>
      </c>
      <c r="M670" s="11">
        <f>10.7757 * CHOOSE(CONTROL!$C$32, $C$9, 100%, $E$9)</f>
        <v>10.775700000000001</v>
      </c>
      <c r="N670" s="11">
        <f>10.7704 * CHOOSE(CONTROL!$C$32, $C$9, 100%, $E$9)</f>
        <v>10.7704</v>
      </c>
      <c r="O670" s="11">
        <f>10.7757 * CHOOSE(CONTROL!$C$32, $C$9, 100%, $E$9)</f>
        <v>10.775700000000001</v>
      </c>
    </row>
    <row r="671" spans="1:15" ht="15" x14ac:dyDescent="0.2">
      <c r="A671" s="13">
        <v>61271</v>
      </c>
      <c r="B671" s="9">
        <f>9.7117 * CHOOSE(CONTROL!$C$32, $C$9, 100%, $E$9)</f>
        <v>9.7117000000000004</v>
      </c>
      <c r="C671" s="9">
        <f>9.7117 * CHOOSE(CONTROL!$C$32, $C$9, 100%, $E$9)</f>
        <v>9.7117000000000004</v>
      </c>
      <c r="D671" s="9">
        <f>9.7128 * CHOOSE(CONTROL!$C$32, $C$9, 100%, $E$9)</f>
        <v>9.7127999999999997</v>
      </c>
      <c r="E671" s="11">
        <f>10.8703 * CHOOSE(CONTROL!$C$32, $C$9, 100%, $E$9)</f>
        <v>10.8703</v>
      </c>
      <c r="F671" s="11">
        <f>10.8703 * CHOOSE(CONTROL!$C$32, $C$9, 100%, $E$9)</f>
        <v>10.8703</v>
      </c>
      <c r="G671" s="11">
        <f>10.8739 * CHOOSE(CONTROL!$C$32, $C$9, 100%, $E$9)</f>
        <v>10.873900000000001</v>
      </c>
      <c r="H671" s="11">
        <f>22.3747 * CHOOSE(CONTROL!$C$32, $C$9, 100%, $E$9)</f>
        <v>22.374700000000001</v>
      </c>
      <c r="I671" s="11">
        <f>22.3784 * CHOOSE(CONTROL!$C$32, $C$9, 100%, $E$9)</f>
        <v>22.378399999999999</v>
      </c>
      <c r="J671" s="11">
        <f>22.3747 * CHOOSE(CONTROL!$C$32, $C$9, 100%, $E$9)</f>
        <v>22.374700000000001</v>
      </c>
      <c r="K671" s="11">
        <f>22.3784 * CHOOSE(CONTROL!$C$32, $C$9, 100%, $E$9)</f>
        <v>22.378399999999999</v>
      </c>
      <c r="L671" s="11">
        <f>10.8703 * CHOOSE(CONTROL!$C$32, $C$9, 100%, $E$9)</f>
        <v>10.8703</v>
      </c>
      <c r="M671" s="11">
        <f>10.8739 * CHOOSE(CONTROL!$C$32, $C$9, 100%, $E$9)</f>
        <v>10.873900000000001</v>
      </c>
      <c r="N671" s="11">
        <f>10.8703 * CHOOSE(CONTROL!$C$32, $C$9, 100%, $E$9)</f>
        <v>10.8703</v>
      </c>
      <c r="O671" s="11">
        <f>10.8739 * CHOOSE(CONTROL!$C$32, $C$9, 100%, $E$9)</f>
        <v>10.873900000000001</v>
      </c>
    </row>
    <row r="672" spans="1:15" ht="15" x14ac:dyDescent="0.2">
      <c r="A672" s="13">
        <v>61302</v>
      </c>
      <c r="B672" s="9">
        <f>9.7147 * CHOOSE(CONTROL!$C$32, $C$9, 100%, $E$9)</f>
        <v>9.7147000000000006</v>
      </c>
      <c r="C672" s="9">
        <f>9.7147 * CHOOSE(CONTROL!$C$32, $C$9, 100%, $E$9)</f>
        <v>9.7147000000000006</v>
      </c>
      <c r="D672" s="9">
        <f>9.7158 * CHOOSE(CONTROL!$C$32, $C$9, 100%, $E$9)</f>
        <v>9.7157999999999998</v>
      </c>
      <c r="E672" s="11">
        <f>10.9291 * CHOOSE(CONTROL!$C$32, $C$9, 100%, $E$9)</f>
        <v>10.9291</v>
      </c>
      <c r="F672" s="11">
        <f>10.9291 * CHOOSE(CONTROL!$C$32, $C$9, 100%, $E$9)</f>
        <v>10.9291</v>
      </c>
      <c r="G672" s="11">
        <f>10.9327 * CHOOSE(CONTROL!$C$32, $C$9, 100%, $E$9)</f>
        <v>10.932700000000001</v>
      </c>
      <c r="H672" s="11">
        <f>22.4214 * CHOOSE(CONTROL!$C$32, $C$9, 100%, $E$9)</f>
        <v>22.421399999999998</v>
      </c>
      <c r="I672" s="11">
        <f>22.425 * CHOOSE(CONTROL!$C$32, $C$9, 100%, $E$9)</f>
        <v>22.425000000000001</v>
      </c>
      <c r="J672" s="11">
        <f>22.4214 * CHOOSE(CONTROL!$C$32, $C$9, 100%, $E$9)</f>
        <v>22.421399999999998</v>
      </c>
      <c r="K672" s="11">
        <f>22.425 * CHOOSE(CONTROL!$C$32, $C$9, 100%, $E$9)</f>
        <v>22.425000000000001</v>
      </c>
      <c r="L672" s="11">
        <f>10.9291 * CHOOSE(CONTROL!$C$32, $C$9, 100%, $E$9)</f>
        <v>10.9291</v>
      </c>
      <c r="M672" s="11">
        <f>10.9327 * CHOOSE(CONTROL!$C$32, $C$9, 100%, $E$9)</f>
        <v>10.932700000000001</v>
      </c>
      <c r="N672" s="11">
        <f>10.9291 * CHOOSE(CONTROL!$C$32, $C$9, 100%, $E$9)</f>
        <v>10.9291</v>
      </c>
      <c r="O672" s="11">
        <f>10.9327 * CHOOSE(CONTROL!$C$32, $C$9, 100%, $E$9)</f>
        <v>10.932700000000001</v>
      </c>
    </row>
    <row r="673" spans="1:15" ht="15" x14ac:dyDescent="0.2">
      <c r="A673" s="13">
        <v>61332</v>
      </c>
      <c r="B673" s="9">
        <f>9.7147 * CHOOSE(CONTROL!$C$32, $C$9, 100%, $E$9)</f>
        <v>9.7147000000000006</v>
      </c>
      <c r="C673" s="9">
        <f>9.7147 * CHOOSE(CONTROL!$C$32, $C$9, 100%, $E$9)</f>
        <v>9.7147000000000006</v>
      </c>
      <c r="D673" s="9">
        <f>9.7158 * CHOOSE(CONTROL!$C$32, $C$9, 100%, $E$9)</f>
        <v>9.7157999999999998</v>
      </c>
      <c r="E673" s="11">
        <f>10.7874 * CHOOSE(CONTROL!$C$32, $C$9, 100%, $E$9)</f>
        <v>10.7874</v>
      </c>
      <c r="F673" s="11">
        <f>10.7874 * CHOOSE(CONTROL!$C$32, $C$9, 100%, $E$9)</f>
        <v>10.7874</v>
      </c>
      <c r="G673" s="11">
        <f>10.7911 * CHOOSE(CONTROL!$C$32, $C$9, 100%, $E$9)</f>
        <v>10.7911</v>
      </c>
      <c r="H673" s="11">
        <f>22.4681 * CHOOSE(CONTROL!$C$32, $C$9, 100%, $E$9)</f>
        <v>22.4681</v>
      </c>
      <c r="I673" s="11">
        <f>22.4717 * CHOOSE(CONTROL!$C$32, $C$9, 100%, $E$9)</f>
        <v>22.471699999999998</v>
      </c>
      <c r="J673" s="11">
        <f>22.4681 * CHOOSE(CONTROL!$C$32, $C$9, 100%, $E$9)</f>
        <v>22.4681</v>
      </c>
      <c r="K673" s="11">
        <f>22.4717 * CHOOSE(CONTROL!$C$32, $C$9, 100%, $E$9)</f>
        <v>22.471699999999998</v>
      </c>
      <c r="L673" s="11">
        <f>10.7874 * CHOOSE(CONTROL!$C$32, $C$9, 100%, $E$9)</f>
        <v>10.7874</v>
      </c>
      <c r="M673" s="11">
        <f>10.7911 * CHOOSE(CONTROL!$C$32, $C$9, 100%, $E$9)</f>
        <v>10.7911</v>
      </c>
      <c r="N673" s="11">
        <f>10.7874 * CHOOSE(CONTROL!$C$32, $C$9, 100%, $E$9)</f>
        <v>10.7874</v>
      </c>
      <c r="O673" s="11">
        <f>10.7911 * CHOOSE(CONTROL!$C$32, $C$9, 100%, $E$9)</f>
        <v>10.7911</v>
      </c>
    </row>
    <row r="674" spans="1:15" ht="15" x14ac:dyDescent="0.2">
      <c r="A674" s="13">
        <v>61363</v>
      </c>
      <c r="B674" s="9">
        <f>9.7564 * CHOOSE(CONTROL!$C$32, $C$9, 100%, $E$9)</f>
        <v>9.7563999999999993</v>
      </c>
      <c r="C674" s="9">
        <f>9.7564 * CHOOSE(CONTROL!$C$32, $C$9, 100%, $E$9)</f>
        <v>9.7563999999999993</v>
      </c>
      <c r="D674" s="9">
        <f>9.7574 * CHOOSE(CONTROL!$C$32, $C$9, 100%, $E$9)</f>
        <v>9.7574000000000005</v>
      </c>
      <c r="E674" s="11">
        <f>10.9455 * CHOOSE(CONTROL!$C$32, $C$9, 100%, $E$9)</f>
        <v>10.945499999999999</v>
      </c>
      <c r="F674" s="11">
        <f>10.9455 * CHOOSE(CONTROL!$C$32, $C$9, 100%, $E$9)</f>
        <v>10.945499999999999</v>
      </c>
      <c r="G674" s="11">
        <f>10.9491 * CHOOSE(CONTROL!$C$32, $C$9, 100%, $E$9)</f>
        <v>10.9491</v>
      </c>
      <c r="H674" s="11">
        <f>22.4314 * CHOOSE(CONTROL!$C$32, $C$9, 100%, $E$9)</f>
        <v>22.4314</v>
      </c>
      <c r="I674" s="11">
        <f>22.435 * CHOOSE(CONTROL!$C$32, $C$9, 100%, $E$9)</f>
        <v>22.434999999999999</v>
      </c>
      <c r="J674" s="11">
        <f>22.4314 * CHOOSE(CONTROL!$C$32, $C$9, 100%, $E$9)</f>
        <v>22.4314</v>
      </c>
      <c r="K674" s="11">
        <f>22.435 * CHOOSE(CONTROL!$C$32, $C$9, 100%, $E$9)</f>
        <v>22.434999999999999</v>
      </c>
      <c r="L674" s="11">
        <f>10.9455 * CHOOSE(CONTROL!$C$32, $C$9, 100%, $E$9)</f>
        <v>10.945499999999999</v>
      </c>
      <c r="M674" s="11">
        <f>10.9491 * CHOOSE(CONTROL!$C$32, $C$9, 100%, $E$9)</f>
        <v>10.9491</v>
      </c>
      <c r="N674" s="11">
        <f>10.9455 * CHOOSE(CONTROL!$C$32, $C$9, 100%, $E$9)</f>
        <v>10.945499999999999</v>
      </c>
      <c r="O674" s="11">
        <f>10.9491 * CHOOSE(CONTROL!$C$32, $C$9, 100%, $E$9)</f>
        <v>10.9491</v>
      </c>
    </row>
    <row r="675" spans="1:15" ht="15" x14ac:dyDescent="0.2">
      <c r="A675" s="13">
        <v>61394</v>
      </c>
      <c r="B675" s="9">
        <f>9.7533 * CHOOSE(CONTROL!$C$32, $C$9, 100%, $E$9)</f>
        <v>9.7532999999999994</v>
      </c>
      <c r="C675" s="9">
        <f>9.7533 * CHOOSE(CONTROL!$C$32, $C$9, 100%, $E$9)</f>
        <v>9.7532999999999994</v>
      </c>
      <c r="D675" s="9">
        <f>9.7544 * CHOOSE(CONTROL!$C$32, $C$9, 100%, $E$9)</f>
        <v>9.7544000000000004</v>
      </c>
      <c r="E675" s="11">
        <f>10.6687 * CHOOSE(CONTROL!$C$32, $C$9, 100%, $E$9)</f>
        <v>10.668699999999999</v>
      </c>
      <c r="F675" s="11">
        <f>10.6687 * CHOOSE(CONTROL!$C$32, $C$9, 100%, $E$9)</f>
        <v>10.668699999999999</v>
      </c>
      <c r="G675" s="11">
        <f>10.6723 * CHOOSE(CONTROL!$C$32, $C$9, 100%, $E$9)</f>
        <v>10.6723</v>
      </c>
      <c r="H675" s="11">
        <f>22.4781 * CHOOSE(CONTROL!$C$32, $C$9, 100%, $E$9)</f>
        <v>22.478100000000001</v>
      </c>
      <c r="I675" s="11">
        <f>22.4817 * CHOOSE(CONTROL!$C$32, $C$9, 100%, $E$9)</f>
        <v>22.4817</v>
      </c>
      <c r="J675" s="11">
        <f>22.4781 * CHOOSE(CONTROL!$C$32, $C$9, 100%, $E$9)</f>
        <v>22.478100000000001</v>
      </c>
      <c r="K675" s="11">
        <f>22.4817 * CHOOSE(CONTROL!$C$32, $C$9, 100%, $E$9)</f>
        <v>22.4817</v>
      </c>
      <c r="L675" s="11">
        <f>10.6687 * CHOOSE(CONTROL!$C$32, $C$9, 100%, $E$9)</f>
        <v>10.668699999999999</v>
      </c>
      <c r="M675" s="11">
        <f>10.6723 * CHOOSE(CONTROL!$C$32, $C$9, 100%, $E$9)</f>
        <v>10.6723</v>
      </c>
      <c r="N675" s="11">
        <f>10.6687 * CHOOSE(CONTROL!$C$32, $C$9, 100%, $E$9)</f>
        <v>10.668699999999999</v>
      </c>
      <c r="O675" s="11">
        <f>10.6723 * CHOOSE(CONTROL!$C$32, $C$9, 100%, $E$9)</f>
        <v>10.6723</v>
      </c>
    </row>
    <row r="676" spans="1:15" ht="15" x14ac:dyDescent="0.2">
      <c r="A676" s="13">
        <v>61423</v>
      </c>
      <c r="B676" s="9">
        <f>9.7503 * CHOOSE(CONTROL!$C$32, $C$9, 100%, $E$9)</f>
        <v>9.7502999999999993</v>
      </c>
      <c r="C676" s="9">
        <f>9.7503 * CHOOSE(CONTROL!$C$32, $C$9, 100%, $E$9)</f>
        <v>9.7502999999999993</v>
      </c>
      <c r="D676" s="9">
        <f>9.7513 * CHOOSE(CONTROL!$C$32, $C$9, 100%, $E$9)</f>
        <v>9.7513000000000005</v>
      </c>
      <c r="E676" s="11">
        <f>10.8831 * CHOOSE(CONTROL!$C$32, $C$9, 100%, $E$9)</f>
        <v>10.883100000000001</v>
      </c>
      <c r="F676" s="11">
        <f>10.8831 * CHOOSE(CONTROL!$C$32, $C$9, 100%, $E$9)</f>
        <v>10.883100000000001</v>
      </c>
      <c r="G676" s="11">
        <f>10.8867 * CHOOSE(CONTROL!$C$32, $C$9, 100%, $E$9)</f>
        <v>10.886699999999999</v>
      </c>
      <c r="H676" s="11">
        <f>22.5249 * CHOOSE(CONTROL!$C$32, $C$9, 100%, $E$9)</f>
        <v>22.524899999999999</v>
      </c>
      <c r="I676" s="11">
        <f>22.5285 * CHOOSE(CONTROL!$C$32, $C$9, 100%, $E$9)</f>
        <v>22.528500000000001</v>
      </c>
      <c r="J676" s="11">
        <f>22.5249 * CHOOSE(CONTROL!$C$32, $C$9, 100%, $E$9)</f>
        <v>22.524899999999999</v>
      </c>
      <c r="K676" s="11">
        <f>22.5285 * CHOOSE(CONTROL!$C$32, $C$9, 100%, $E$9)</f>
        <v>22.528500000000001</v>
      </c>
      <c r="L676" s="11">
        <f>10.8831 * CHOOSE(CONTROL!$C$32, $C$9, 100%, $E$9)</f>
        <v>10.883100000000001</v>
      </c>
      <c r="M676" s="11">
        <f>10.8867 * CHOOSE(CONTROL!$C$32, $C$9, 100%, $E$9)</f>
        <v>10.886699999999999</v>
      </c>
      <c r="N676" s="11">
        <f>10.8831 * CHOOSE(CONTROL!$C$32, $C$9, 100%, $E$9)</f>
        <v>10.883100000000001</v>
      </c>
      <c r="O676" s="11">
        <f>10.8867 * CHOOSE(CONTROL!$C$32, $C$9, 100%, $E$9)</f>
        <v>10.886699999999999</v>
      </c>
    </row>
    <row r="677" spans="1:15" ht="15" x14ac:dyDescent="0.2">
      <c r="A677" s="13">
        <v>61454</v>
      </c>
      <c r="B677" s="9">
        <f>9.7535 * CHOOSE(CONTROL!$C$32, $C$9, 100%, $E$9)</f>
        <v>9.7535000000000007</v>
      </c>
      <c r="C677" s="9">
        <f>9.7535 * CHOOSE(CONTROL!$C$32, $C$9, 100%, $E$9)</f>
        <v>9.7535000000000007</v>
      </c>
      <c r="D677" s="9">
        <f>9.7546 * CHOOSE(CONTROL!$C$32, $C$9, 100%, $E$9)</f>
        <v>9.7545999999999999</v>
      </c>
      <c r="E677" s="11">
        <f>11.1115 * CHOOSE(CONTROL!$C$32, $C$9, 100%, $E$9)</f>
        <v>11.111499999999999</v>
      </c>
      <c r="F677" s="11">
        <f>11.1115 * CHOOSE(CONTROL!$C$32, $C$9, 100%, $E$9)</f>
        <v>11.111499999999999</v>
      </c>
      <c r="G677" s="11">
        <f>11.1151 * CHOOSE(CONTROL!$C$32, $C$9, 100%, $E$9)</f>
        <v>11.1151</v>
      </c>
      <c r="H677" s="11">
        <f>22.5719 * CHOOSE(CONTROL!$C$32, $C$9, 100%, $E$9)</f>
        <v>22.571899999999999</v>
      </c>
      <c r="I677" s="11">
        <f>22.5755 * CHOOSE(CONTROL!$C$32, $C$9, 100%, $E$9)</f>
        <v>22.575500000000002</v>
      </c>
      <c r="J677" s="11">
        <f>22.5719 * CHOOSE(CONTROL!$C$32, $C$9, 100%, $E$9)</f>
        <v>22.571899999999999</v>
      </c>
      <c r="K677" s="11">
        <f>22.5755 * CHOOSE(CONTROL!$C$32, $C$9, 100%, $E$9)</f>
        <v>22.575500000000002</v>
      </c>
      <c r="L677" s="11">
        <f>11.1115 * CHOOSE(CONTROL!$C$32, $C$9, 100%, $E$9)</f>
        <v>11.111499999999999</v>
      </c>
      <c r="M677" s="11">
        <f>11.1151 * CHOOSE(CONTROL!$C$32, $C$9, 100%, $E$9)</f>
        <v>11.1151</v>
      </c>
      <c r="N677" s="11">
        <f>11.1115 * CHOOSE(CONTROL!$C$32, $C$9, 100%, $E$9)</f>
        <v>11.111499999999999</v>
      </c>
      <c r="O677" s="11">
        <f>11.1151 * CHOOSE(CONTROL!$C$32, $C$9, 100%, $E$9)</f>
        <v>11.1151</v>
      </c>
    </row>
    <row r="678" spans="1:15" ht="15" x14ac:dyDescent="0.2">
      <c r="A678" s="13">
        <v>61484</v>
      </c>
      <c r="B678" s="9">
        <f>9.7535 * CHOOSE(CONTROL!$C$32, $C$9, 100%, $E$9)</f>
        <v>9.7535000000000007</v>
      </c>
      <c r="C678" s="9">
        <f>9.7535 * CHOOSE(CONTROL!$C$32, $C$9, 100%, $E$9)</f>
        <v>9.7535000000000007</v>
      </c>
      <c r="D678" s="9">
        <f>9.7551 * CHOOSE(CONTROL!$C$32, $C$9, 100%, $E$9)</f>
        <v>9.7551000000000005</v>
      </c>
      <c r="E678" s="11">
        <f>11.1987 * CHOOSE(CONTROL!$C$32, $C$9, 100%, $E$9)</f>
        <v>11.198700000000001</v>
      </c>
      <c r="F678" s="11">
        <f>11.1987 * CHOOSE(CONTROL!$C$32, $C$9, 100%, $E$9)</f>
        <v>11.198700000000001</v>
      </c>
      <c r="G678" s="11">
        <f>11.204 * CHOOSE(CONTROL!$C$32, $C$9, 100%, $E$9)</f>
        <v>11.204000000000001</v>
      </c>
      <c r="H678" s="11">
        <f>22.6189 * CHOOSE(CONTROL!$C$32, $C$9, 100%, $E$9)</f>
        <v>22.6189</v>
      </c>
      <c r="I678" s="11">
        <f>22.6242 * CHOOSE(CONTROL!$C$32, $C$9, 100%, $E$9)</f>
        <v>22.624199999999998</v>
      </c>
      <c r="J678" s="11">
        <f>22.6189 * CHOOSE(CONTROL!$C$32, $C$9, 100%, $E$9)</f>
        <v>22.6189</v>
      </c>
      <c r="K678" s="11">
        <f>22.6242 * CHOOSE(CONTROL!$C$32, $C$9, 100%, $E$9)</f>
        <v>22.624199999999998</v>
      </c>
      <c r="L678" s="11">
        <f>11.1987 * CHOOSE(CONTROL!$C$32, $C$9, 100%, $E$9)</f>
        <v>11.198700000000001</v>
      </c>
      <c r="M678" s="11">
        <f>11.204 * CHOOSE(CONTROL!$C$32, $C$9, 100%, $E$9)</f>
        <v>11.204000000000001</v>
      </c>
      <c r="N678" s="11">
        <f>11.1987 * CHOOSE(CONTROL!$C$32, $C$9, 100%, $E$9)</f>
        <v>11.198700000000001</v>
      </c>
      <c r="O678" s="11">
        <f>11.204 * CHOOSE(CONTROL!$C$32, $C$9, 100%, $E$9)</f>
        <v>11.204000000000001</v>
      </c>
    </row>
    <row r="679" spans="1:15" ht="15" x14ac:dyDescent="0.2">
      <c r="A679" s="13">
        <v>61515</v>
      </c>
      <c r="B679" s="9">
        <f>9.7596 * CHOOSE(CONTROL!$C$32, $C$9, 100%, $E$9)</f>
        <v>9.7596000000000007</v>
      </c>
      <c r="C679" s="9">
        <f>9.7596 * CHOOSE(CONTROL!$C$32, $C$9, 100%, $E$9)</f>
        <v>9.7596000000000007</v>
      </c>
      <c r="D679" s="9">
        <f>9.7612 * CHOOSE(CONTROL!$C$32, $C$9, 100%, $E$9)</f>
        <v>9.7612000000000005</v>
      </c>
      <c r="E679" s="11">
        <f>11.1157 * CHOOSE(CONTROL!$C$32, $C$9, 100%, $E$9)</f>
        <v>11.1157</v>
      </c>
      <c r="F679" s="11">
        <f>11.1157 * CHOOSE(CONTROL!$C$32, $C$9, 100%, $E$9)</f>
        <v>11.1157</v>
      </c>
      <c r="G679" s="11">
        <f>11.121 * CHOOSE(CONTROL!$C$32, $C$9, 100%, $E$9)</f>
        <v>11.121</v>
      </c>
      <c r="H679" s="11">
        <f>22.666 * CHOOSE(CONTROL!$C$32, $C$9, 100%, $E$9)</f>
        <v>22.666</v>
      </c>
      <c r="I679" s="11">
        <f>22.6713 * CHOOSE(CONTROL!$C$32, $C$9, 100%, $E$9)</f>
        <v>22.671299999999999</v>
      </c>
      <c r="J679" s="11">
        <f>22.666 * CHOOSE(CONTROL!$C$32, $C$9, 100%, $E$9)</f>
        <v>22.666</v>
      </c>
      <c r="K679" s="11">
        <f>22.6713 * CHOOSE(CONTROL!$C$32, $C$9, 100%, $E$9)</f>
        <v>22.671299999999999</v>
      </c>
      <c r="L679" s="11">
        <f>11.1157 * CHOOSE(CONTROL!$C$32, $C$9, 100%, $E$9)</f>
        <v>11.1157</v>
      </c>
      <c r="M679" s="11">
        <f>11.121 * CHOOSE(CONTROL!$C$32, $C$9, 100%, $E$9)</f>
        <v>11.121</v>
      </c>
      <c r="N679" s="11">
        <f>11.1157 * CHOOSE(CONTROL!$C$32, $C$9, 100%, $E$9)</f>
        <v>11.1157</v>
      </c>
      <c r="O679" s="11">
        <f>11.121 * CHOOSE(CONTROL!$C$32, $C$9, 100%, $E$9)</f>
        <v>11.121</v>
      </c>
    </row>
    <row r="680" spans="1:15" ht="15" x14ac:dyDescent="0.2">
      <c r="A680" s="13">
        <v>61545</v>
      </c>
      <c r="B680" s="9">
        <f>9.8813 * CHOOSE(CONTROL!$C$32, $C$9, 100%, $E$9)</f>
        <v>9.8812999999999995</v>
      </c>
      <c r="C680" s="9">
        <f>9.8813 * CHOOSE(CONTROL!$C$32, $C$9, 100%, $E$9)</f>
        <v>9.8812999999999995</v>
      </c>
      <c r="D680" s="9">
        <f>9.8829 * CHOOSE(CONTROL!$C$32, $C$9, 100%, $E$9)</f>
        <v>9.8828999999999994</v>
      </c>
      <c r="E680" s="11">
        <f>11.2713 * CHOOSE(CONTROL!$C$32, $C$9, 100%, $E$9)</f>
        <v>11.2713</v>
      </c>
      <c r="F680" s="11">
        <f>11.2713 * CHOOSE(CONTROL!$C$32, $C$9, 100%, $E$9)</f>
        <v>11.2713</v>
      </c>
      <c r="G680" s="11">
        <f>11.2766 * CHOOSE(CONTROL!$C$32, $C$9, 100%, $E$9)</f>
        <v>11.2766</v>
      </c>
      <c r="H680" s="11">
        <f>22.7132 * CHOOSE(CONTROL!$C$32, $C$9, 100%, $E$9)</f>
        <v>22.713200000000001</v>
      </c>
      <c r="I680" s="11">
        <f>22.7185 * CHOOSE(CONTROL!$C$32, $C$9, 100%, $E$9)</f>
        <v>22.718499999999999</v>
      </c>
      <c r="J680" s="11">
        <f>22.7132 * CHOOSE(CONTROL!$C$32, $C$9, 100%, $E$9)</f>
        <v>22.713200000000001</v>
      </c>
      <c r="K680" s="11">
        <f>22.7185 * CHOOSE(CONTROL!$C$32, $C$9, 100%, $E$9)</f>
        <v>22.718499999999999</v>
      </c>
      <c r="L680" s="11">
        <f>11.2713 * CHOOSE(CONTROL!$C$32, $C$9, 100%, $E$9)</f>
        <v>11.2713</v>
      </c>
      <c r="M680" s="11">
        <f>11.2766 * CHOOSE(CONTROL!$C$32, $C$9, 100%, $E$9)</f>
        <v>11.2766</v>
      </c>
      <c r="N680" s="11">
        <f>11.2713 * CHOOSE(CONTROL!$C$32, $C$9, 100%, $E$9)</f>
        <v>11.2713</v>
      </c>
      <c r="O680" s="11">
        <f>11.2766 * CHOOSE(CONTROL!$C$32, $C$9, 100%, $E$9)</f>
        <v>11.2766</v>
      </c>
    </row>
    <row r="681" spans="1:15" ht="15" x14ac:dyDescent="0.2">
      <c r="A681" s="13">
        <v>61576</v>
      </c>
      <c r="B681" s="9">
        <f>9.888 * CHOOSE(CONTROL!$C$32, $C$9, 100%, $E$9)</f>
        <v>9.8879999999999999</v>
      </c>
      <c r="C681" s="9">
        <f>9.888 * CHOOSE(CONTROL!$C$32, $C$9, 100%, $E$9)</f>
        <v>9.8879999999999999</v>
      </c>
      <c r="D681" s="9">
        <f>9.8896 * CHOOSE(CONTROL!$C$32, $C$9, 100%, $E$9)</f>
        <v>9.8895999999999997</v>
      </c>
      <c r="E681" s="11">
        <f>11.0143 * CHOOSE(CONTROL!$C$32, $C$9, 100%, $E$9)</f>
        <v>11.0143</v>
      </c>
      <c r="F681" s="11">
        <f>11.0143 * CHOOSE(CONTROL!$C$32, $C$9, 100%, $E$9)</f>
        <v>11.0143</v>
      </c>
      <c r="G681" s="11">
        <f>11.0196 * CHOOSE(CONTROL!$C$32, $C$9, 100%, $E$9)</f>
        <v>11.019600000000001</v>
      </c>
      <c r="H681" s="11">
        <f>22.7605 * CHOOSE(CONTROL!$C$32, $C$9, 100%, $E$9)</f>
        <v>22.7605</v>
      </c>
      <c r="I681" s="11">
        <f>22.7658 * CHOOSE(CONTROL!$C$32, $C$9, 100%, $E$9)</f>
        <v>22.765799999999999</v>
      </c>
      <c r="J681" s="11">
        <f>22.7605 * CHOOSE(CONTROL!$C$32, $C$9, 100%, $E$9)</f>
        <v>22.7605</v>
      </c>
      <c r="K681" s="11">
        <f>22.7658 * CHOOSE(CONTROL!$C$32, $C$9, 100%, $E$9)</f>
        <v>22.765799999999999</v>
      </c>
      <c r="L681" s="11">
        <f>11.0143 * CHOOSE(CONTROL!$C$32, $C$9, 100%, $E$9)</f>
        <v>11.0143</v>
      </c>
      <c r="M681" s="11">
        <f>11.0196 * CHOOSE(CONTROL!$C$32, $C$9, 100%, $E$9)</f>
        <v>11.019600000000001</v>
      </c>
      <c r="N681" s="11">
        <f>11.0143 * CHOOSE(CONTROL!$C$32, $C$9, 100%, $E$9)</f>
        <v>11.0143</v>
      </c>
      <c r="O681" s="11">
        <f>11.0196 * CHOOSE(CONTROL!$C$32, $C$9, 100%, $E$9)</f>
        <v>11.019600000000001</v>
      </c>
    </row>
    <row r="682" spans="1:15" ht="15" x14ac:dyDescent="0.2">
      <c r="A682" s="13">
        <v>61607</v>
      </c>
      <c r="B682" s="9">
        <f>9.885 * CHOOSE(CONTROL!$C$32, $C$9, 100%, $E$9)</f>
        <v>9.8849999999999998</v>
      </c>
      <c r="C682" s="9">
        <f>9.885 * CHOOSE(CONTROL!$C$32, $C$9, 100%, $E$9)</f>
        <v>9.8849999999999998</v>
      </c>
      <c r="D682" s="9">
        <f>9.8865 * CHOOSE(CONTROL!$C$32, $C$9, 100%, $E$9)</f>
        <v>9.8864999999999998</v>
      </c>
      <c r="E682" s="11">
        <f>10.9831 * CHOOSE(CONTROL!$C$32, $C$9, 100%, $E$9)</f>
        <v>10.9831</v>
      </c>
      <c r="F682" s="11">
        <f>10.9831 * CHOOSE(CONTROL!$C$32, $C$9, 100%, $E$9)</f>
        <v>10.9831</v>
      </c>
      <c r="G682" s="11">
        <f>10.9884 * CHOOSE(CONTROL!$C$32, $C$9, 100%, $E$9)</f>
        <v>10.9884</v>
      </c>
      <c r="H682" s="11">
        <f>22.808 * CHOOSE(CONTROL!$C$32, $C$9, 100%, $E$9)</f>
        <v>22.808</v>
      </c>
      <c r="I682" s="11">
        <f>22.8133 * CHOOSE(CONTROL!$C$32, $C$9, 100%, $E$9)</f>
        <v>22.813300000000002</v>
      </c>
      <c r="J682" s="11">
        <f>22.808 * CHOOSE(CONTROL!$C$32, $C$9, 100%, $E$9)</f>
        <v>22.808</v>
      </c>
      <c r="K682" s="11">
        <f>22.8133 * CHOOSE(CONTROL!$C$32, $C$9, 100%, $E$9)</f>
        <v>22.813300000000002</v>
      </c>
      <c r="L682" s="11">
        <f>10.9831 * CHOOSE(CONTROL!$C$32, $C$9, 100%, $E$9)</f>
        <v>10.9831</v>
      </c>
      <c r="M682" s="11">
        <f>10.9884 * CHOOSE(CONTROL!$C$32, $C$9, 100%, $E$9)</f>
        <v>10.9884</v>
      </c>
      <c r="N682" s="11">
        <f>10.9831 * CHOOSE(CONTROL!$C$32, $C$9, 100%, $E$9)</f>
        <v>10.9831</v>
      </c>
      <c r="O682" s="11">
        <f>10.9884 * CHOOSE(CONTROL!$C$32, $C$9, 100%, $E$9)</f>
        <v>10.9884</v>
      </c>
    </row>
    <row r="683" spans="1:15" ht="15" x14ac:dyDescent="0.2">
      <c r="A683" s="13">
        <v>61637</v>
      </c>
      <c r="B683" s="9">
        <f>9.902 * CHOOSE(CONTROL!$C$32, $C$9, 100%, $E$9)</f>
        <v>9.9019999999999992</v>
      </c>
      <c r="C683" s="9">
        <f>9.902 * CHOOSE(CONTROL!$C$32, $C$9, 100%, $E$9)</f>
        <v>9.9019999999999992</v>
      </c>
      <c r="D683" s="9">
        <f>9.9031 * CHOOSE(CONTROL!$C$32, $C$9, 100%, $E$9)</f>
        <v>9.9031000000000002</v>
      </c>
      <c r="E683" s="11">
        <f>11.086 * CHOOSE(CONTROL!$C$32, $C$9, 100%, $E$9)</f>
        <v>11.086</v>
      </c>
      <c r="F683" s="11">
        <f>11.086 * CHOOSE(CONTROL!$C$32, $C$9, 100%, $E$9)</f>
        <v>11.086</v>
      </c>
      <c r="G683" s="11">
        <f>11.0896 * CHOOSE(CONTROL!$C$32, $C$9, 100%, $E$9)</f>
        <v>11.089600000000001</v>
      </c>
      <c r="H683" s="11">
        <f>22.8555 * CHOOSE(CONTROL!$C$32, $C$9, 100%, $E$9)</f>
        <v>22.855499999999999</v>
      </c>
      <c r="I683" s="11">
        <f>22.8591 * CHOOSE(CONTROL!$C$32, $C$9, 100%, $E$9)</f>
        <v>22.859100000000002</v>
      </c>
      <c r="J683" s="11">
        <f>22.8555 * CHOOSE(CONTROL!$C$32, $C$9, 100%, $E$9)</f>
        <v>22.855499999999999</v>
      </c>
      <c r="K683" s="11">
        <f>22.8591 * CHOOSE(CONTROL!$C$32, $C$9, 100%, $E$9)</f>
        <v>22.859100000000002</v>
      </c>
      <c r="L683" s="11">
        <f>11.086 * CHOOSE(CONTROL!$C$32, $C$9, 100%, $E$9)</f>
        <v>11.086</v>
      </c>
      <c r="M683" s="11">
        <f>11.0896 * CHOOSE(CONTROL!$C$32, $C$9, 100%, $E$9)</f>
        <v>11.089600000000001</v>
      </c>
      <c r="N683" s="11">
        <f>11.086 * CHOOSE(CONTROL!$C$32, $C$9, 100%, $E$9)</f>
        <v>11.086</v>
      </c>
      <c r="O683" s="11">
        <f>11.0896 * CHOOSE(CONTROL!$C$32, $C$9, 100%, $E$9)</f>
        <v>11.089600000000001</v>
      </c>
    </row>
    <row r="684" spans="1:15" ht="15" x14ac:dyDescent="0.2">
      <c r="A684" s="13">
        <v>61668</v>
      </c>
      <c r="B684" s="9">
        <f>9.905 * CHOOSE(CONTROL!$C$32, $C$9, 100%, $E$9)</f>
        <v>9.9049999999999994</v>
      </c>
      <c r="C684" s="9">
        <f>9.905 * CHOOSE(CONTROL!$C$32, $C$9, 100%, $E$9)</f>
        <v>9.9049999999999994</v>
      </c>
      <c r="D684" s="9">
        <f>9.9061 * CHOOSE(CONTROL!$C$32, $C$9, 100%, $E$9)</f>
        <v>9.9061000000000003</v>
      </c>
      <c r="E684" s="11">
        <f>11.1463 * CHOOSE(CONTROL!$C$32, $C$9, 100%, $E$9)</f>
        <v>11.1463</v>
      </c>
      <c r="F684" s="11">
        <f>11.1463 * CHOOSE(CONTROL!$C$32, $C$9, 100%, $E$9)</f>
        <v>11.1463</v>
      </c>
      <c r="G684" s="11">
        <f>11.1499 * CHOOSE(CONTROL!$C$32, $C$9, 100%, $E$9)</f>
        <v>11.149900000000001</v>
      </c>
      <c r="H684" s="11">
        <f>22.9031 * CHOOSE(CONTROL!$C$32, $C$9, 100%, $E$9)</f>
        <v>22.903099999999998</v>
      </c>
      <c r="I684" s="11">
        <f>22.9067 * CHOOSE(CONTROL!$C$32, $C$9, 100%, $E$9)</f>
        <v>22.906700000000001</v>
      </c>
      <c r="J684" s="11">
        <f>22.9031 * CHOOSE(CONTROL!$C$32, $C$9, 100%, $E$9)</f>
        <v>22.903099999999998</v>
      </c>
      <c r="K684" s="11">
        <f>22.9067 * CHOOSE(CONTROL!$C$32, $C$9, 100%, $E$9)</f>
        <v>22.906700000000001</v>
      </c>
      <c r="L684" s="11">
        <f>11.1463 * CHOOSE(CONTROL!$C$32, $C$9, 100%, $E$9)</f>
        <v>11.1463</v>
      </c>
      <c r="M684" s="11">
        <f>11.1499 * CHOOSE(CONTROL!$C$32, $C$9, 100%, $E$9)</f>
        <v>11.149900000000001</v>
      </c>
      <c r="N684" s="11">
        <f>11.1463 * CHOOSE(CONTROL!$C$32, $C$9, 100%, $E$9)</f>
        <v>11.1463</v>
      </c>
      <c r="O684" s="11">
        <f>11.1499 * CHOOSE(CONTROL!$C$32, $C$9, 100%, $E$9)</f>
        <v>11.149900000000001</v>
      </c>
    </row>
    <row r="685" spans="1:15" ht="15" x14ac:dyDescent="0.2">
      <c r="A685" s="13">
        <v>61698</v>
      </c>
      <c r="B685" s="9">
        <f>9.905 * CHOOSE(CONTROL!$C$32, $C$9, 100%, $E$9)</f>
        <v>9.9049999999999994</v>
      </c>
      <c r="C685" s="9">
        <f>9.905 * CHOOSE(CONTROL!$C$32, $C$9, 100%, $E$9)</f>
        <v>9.9049999999999994</v>
      </c>
      <c r="D685" s="9">
        <f>9.9061 * CHOOSE(CONTROL!$C$32, $C$9, 100%, $E$9)</f>
        <v>9.9061000000000003</v>
      </c>
      <c r="E685" s="11">
        <f>11.0009 * CHOOSE(CONTROL!$C$32, $C$9, 100%, $E$9)</f>
        <v>11.0009</v>
      </c>
      <c r="F685" s="11">
        <f>11.0009 * CHOOSE(CONTROL!$C$32, $C$9, 100%, $E$9)</f>
        <v>11.0009</v>
      </c>
      <c r="G685" s="11">
        <f>11.0045 * CHOOSE(CONTROL!$C$32, $C$9, 100%, $E$9)</f>
        <v>11.0045</v>
      </c>
      <c r="H685" s="11">
        <f>22.9508 * CHOOSE(CONTROL!$C$32, $C$9, 100%, $E$9)</f>
        <v>22.950800000000001</v>
      </c>
      <c r="I685" s="11">
        <f>22.9544 * CHOOSE(CONTROL!$C$32, $C$9, 100%, $E$9)</f>
        <v>22.9544</v>
      </c>
      <c r="J685" s="11">
        <f>22.9508 * CHOOSE(CONTROL!$C$32, $C$9, 100%, $E$9)</f>
        <v>22.950800000000001</v>
      </c>
      <c r="K685" s="11">
        <f>22.9544 * CHOOSE(CONTROL!$C$32, $C$9, 100%, $E$9)</f>
        <v>22.9544</v>
      </c>
      <c r="L685" s="11">
        <f>11.0009 * CHOOSE(CONTROL!$C$32, $C$9, 100%, $E$9)</f>
        <v>11.0009</v>
      </c>
      <c r="M685" s="11">
        <f>11.0045 * CHOOSE(CONTROL!$C$32, $C$9, 100%, $E$9)</f>
        <v>11.0045</v>
      </c>
      <c r="N685" s="11">
        <f>11.0009 * CHOOSE(CONTROL!$C$32, $C$9, 100%, $E$9)</f>
        <v>11.0009</v>
      </c>
      <c r="O685" s="11">
        <f>11.0045 * CHOOSE(CONTROL!$C$32, $C$9, 100%, $E$9)</f>
        <v>11.0045</v>
      </c>
    </row>
    <row r="686" spans="1:15" ht="15" x14ac:dyDescent="0.2">
      <c r="A686" s="13">
        <v>61729</v>
      </c>
      <c r="B686" s="9">
        <f>9.9437 * CHOOSE(CONTROL!$C$32, $C$9, 100%, $E$9)</f>
        <v>9.9436999999999998</v>
      </c>
      <c r="C686" s="9">
        <f>9.9437 * CHOOSE(CONTROL!$C$32, $C$9, 100%, $E$9)</f>
        <v>9.9436999999999998</v>
      </c>
      <c r="D686" s="9">
        <f>9.9448 * CHOOSE(CONTROL!$C$32, $C$9, 100%, $E$9)</f>
        <v>9.9448000000000008</v>
      </c>
      <c r="E686" s="11">
        <f>11.158 * CHOOSE(CONTROL!$C$32, $C$9, 100%, $E$9)</f>
        <v>11.157999999999999</v>
      </c>
      <c r="F686" s="11">
        <f>11.158 * CHOOSE(CONTROL!$C$32, $C$9, 100%, $E$9)</f>
        <v>11.157999999999999</v>
      </c>
      <c r="G686" s="11">
        <f>11.1616 * CHOOSE(CONTROL!$C$32, $C$9, 100%, $E$9)</f>
        <v>11.1616</v>
      </c>
      <c r="H686" s="11">
        <f>22.9032 * CHOOSE(CONTROL!$C$32, $C$9, 100%, $E$9)</f>
        <v>22.903199999999998</v>
      </c>
      <c r="I686" s="11">
        <f>22.9068 * CHOOSE(CONTROL!$C$32, $C$9, 100%, $E$9)</f>
        <v>22.9068</v>
      </c>
      <c r="J686" s="11">
        <f>22.9032 * CHOOSE(CONTROL!$C$32, $C$9, 100%, $E$9)</f>
        <v>22.903199999999998</v>
      </c>
      <c r="K686" s="11">
        <f>22.9068 * CHOOSE(CONTROL!$C$32, $C$9, 100%, $E$9)</f>
        <v>22.9068</v>
      </c>
      <c r="L686" s="11">
        <f>11.158 * CHOOSE(CONTROL!$C$32, $C$9, 100%, $E$9)</f>
        <v>11.157999999999999</v>
      </c>
      <c r="M686" s="11">
        <f>11.1616 * CHOOSE(CONTROL!$C$32, $C$9, 100%, $E$9)</f>
        <v>11.1616</v>
      </c>
      <c r="N686" s="11">
        <f>11.158 * CHOOSE(CONTROL!$C$32, $C$9, 100%, $E$9)</f>
        <v>11.157999999999999</v>
      </c>
      <c r="O686" s="11">
        <f>11.1616 * CHOOSE(CONTROL!$C$32, $C$9, 100%, $E$9)</f>
        <v>11.1616</v>
      </c>
    </row>
    <row r="687" spans="1:15" ht="15" x14ac:dyDescent="0.2">
      <c r="A687" s="13">
        <v>61760</v>
      </c>
      <c r="B687" s="9">
        <f>9.9407 * CHOOSE(CONTROL!$C$32, $C$9, 100%, $E$9)</f>
        <v>9.9406999999999996</v>
      </c>
      <c r="C687" s="9">
        <f>9.9407 * CHOOSE(CONTROL!$C$32, $C$9, 100%, $E$9)</f>
        <v>9.9406999999999996</v>
      </c>
      <c r="D687" s="9">
        <f>9.9417 * CHOOSE(CONTROL!$C$32, $C$9, 100%, $E$9)</f>
        <v>9.9417000000000009</v>
      </c>
      <c r="E687" s="11">
        <f>10.8741 * CHOOSE(CONTROL!$C$32, $C$9, 100%, $E$9)</f>
        <v>10.8741</v>
      </c>
      <c r="F687" s="11">
        <f>10.8741 * CHOOSE(CONTROL!$C$32, $C$9, 100%, $E$9)</f>
        <v>10.8741</v>
      </c>
      <c r="G687" s="11">
        <f>10.8777 * CHOOSE(CONTROL!$C$32, $C$9, 100%, $E$9)</f>
        <v>10.877700000000001</v>
      </c>
      <c r="H687" s="11">
        <f>22.9509 * CHOOSE(CONTROL!$C$32, $C$9, 100%, $E$9)</f>
        <v>22.950900000000001</v>
      </c>
      <c r="I687" s="11">
        <f>22.9545 * CHOOSE(CONTROL!$C$32, $C$9, 100%, $E$9)</f>
        <v>22.954499999999999</v>
      </c>
      <c r="J687" s="11">
        <f>22.9509 * CHOOSE(CONTROL!$C$32, $C$9, 100%, $E$9)</f>
        <v>22.950900000000001</v>
      </c>
      <c r="K687" s="11">
        <f>22.9545 * CHOOSE(CONTROL!$C$32, $C$9, 100%, $E$9)</f>
        <v>22.954499999999999</v>
      </c>
      <c r="L687" s="11">
        <f>10.8741 * CHOOSE(CONTROL!$C$32, $C$9, 100%, $E$9)</f>
        <v>10.8741</v>
      </c>
      <c r="M687" s="11">
        <f>10.8777 * CHOOSE(CONTROL!$C$32, $C$9, 100%, $E$9)</f>
        <v>10.877700000000001</v>
      </c>
      <c r="N687" s="11">
        <f>10.8741 * CHOOSE(CONTROL!$C$32, $C$9, 100%, $E$9)</f>
        <v>10.8741</v>
      </c>
      <c r="O687" s="11">
        <f>10.8777 * CHOOSE(CONTROL!$C$32, $C$9, 100%, $E$9)</f>
        <v>10.877700000000001</v>
      </c>
    </row>
    <row r="688" spans="1:15" ht="15" x14ac:dyDescent="0.2">
      <c r="A688" s="13">
        <v>61788</v>
      </c>
      <c r="B688" s="9">
        <f>9.9376 * CHOOSE(CONTROL!$C$32, $C$9, 100%, $E$9)</f>
        <v>9.9375999999999998</v>
      </c>
      <c r="C688" s="9">
        <f>9.9376 * CHOOSE(CONTROL!$C$32, $C$9, 100%, $E$9)</f>
        <v>9.9375999999999998</v>
      </c>
      <c r="D688" s="9">
        <f>9.9387 * CHOOSE(CONTROL!$C$32, $C$9, 100%, $E$9)</f>
        <v>9.9387000000000008</v>
      </c>
      <c r="E688" s="11">
        <f>11.0941 * CHOOSE(CONTROL!$C$32, $C$9, 100%, $E$9)</f>
        <v>11.094099999999999</v>
      </c>
      <c r="F688" s="11">
        <f>11.0941 * CHOOSE(CONTROL!$C$32, $C$9, 100%, $E$9)</f>
        <v>11.094099999999999</v>
      </c>
      <c r="G688" s="11">
        <f>11.0977 * CHOOSE(CONTROL!$C$32, $C$9, 100%, $E$9)</f>
        <v>11.0977</v>
      </c>
      <c r="H688" s="11">
        <f>22.9987 * CHOOSE(CONTROL!$C$32, $C$9, 100%, $E$9)</f>
        <v>22.998699999999999</v>
      </c>
      <c r="I688" s="11">
        <f>23.0023 * CHOOSE(CONTROL!$C$32, $C$9, 100%, $E$9)</f>
        <v>23.002300000000002</v>
      </c>
      <c r="J688" s="11">
        <f>22.9987 * CHOOSE(CONTROL!$C$32, $C$9, 100%, $E$9)</f>
        <v>22.998699999999999</v>
      </c>
      <c r="K688" s="11">
        <f>23.0023 * CHOOSE(CONTROL!$C$32, $C$9, 100%, $E$9)</f>
        <v>23.002300000000002</v>
      </c>
      <c r="L688" s="11">
        <f>11.0941 * CHOOSE(CONTROL!$C$32, $C$9, 100%, $E$9)</f>
        <v>11.094099999999999</v>
      </c>
      <c r="M688" s="11">
        <f>11.0977 * CHOOSE(CONTROL!$C$32, $C$9, 100%, $E$9)</f>
        <v>11.0977</v>
      </c>
      <c r="N688" s="11">
        <f>11.0941 * CHOOSE(CONTROL!$C$32, $C$9, 100%, $E$9)</f>
        <v>11.094099999999999</v>
      </c>
      <c r="O688" s="11">
        <f>11.0977 * CHOOSE(CONTROL!$C$32, $C$9, 100%, $E$9)</f>
        <v>11.0977</v>
      </c>
    </row>
    <row r="689" spans="1:15" ht="15" x14ac:dyDescent="0.2">
      <c r="A689" s="13">
        <v>61819</v>
      </c>
      <c r="B689" s="9">
        <f>9.941 * CHOOSE(CONTROL!$C$32, $C$9, 100%, $E$9)</f>
        <v>9.9410000000000007</v>
      </c>
      <c r="C689" s="9">
        <f>9.941 * CHOOSE(CONTROL!$C$32, $C$9, 100%, $E$9)</f>
        <v>9.9410000000000007</v>
      </c>
      <c r="D689" s="9">
        <f>9.9421 * CHOOSE(CONTROL!$C$32, $C$9, 100%, $E$9)</f>
        <v>9.9420999999999999</v>
      </c>
      <c r="E689" s="11">
        <f>11.3285 * CHOOSE(CONTROL!$C$32, $C$9, 100%, $E$9)</f>
        <v>11.3285</v>
      </c>
      <c r="F689" s="11">
        <f>11.3285 * CHOOSE(CONTROL!$C$32, $C$9, 100%, $E$9)</f>
        <v>11.3285</v>
      </c>
      <c r="G689" s="11">
        <f>11.3321 * CHOOSE(CONTROL!$C$32, $C$9, 100%, $E$9)</f>
        <v>11.332100000000001</v>
      </c>
      <c r="H689" s="11">
        <f>23.0466 * CHOOSE(CONTROL!$C$32, $C$9, 100%, $E$9)</f>
        <v>23.046600000000002</v>
      </c>
      <c r="I689" s="11">
        <f>23.0502 * CHOOSE(CONTROL!$C$32, $C$9, 100%, $E$9)</f>
        <v>23.0502</v>
      </c>
      <c r="J689" s="11">
        <f>23.0466 * CHOOSE(CONTROL!$C$32, $C$9, 100%, $E$9)</f>
        <v>23.046600000000002</v>
      </c>
      <c r="K689" s="11">
        <f>23.0502 * CHOOSE(CONTROL!$C$32, $C$9, 100%, $E$9)</f>
        <v>23.0502</v>
      </c>
      <c r="L689" s="11">
        <f>11.3285 * CHOOSE(CONTROL!$C$32, $C$9, 100%, $E$9)</f>
        <v>11.3285</v>
      </c>
      <c r="M689" s="11">
        <f>11.3321 * CHOOSE(CONTROL!$C$32, $C$9, 100%, $E$9)</f>
        <v>11.332100000000001</v>
      </c>
      <c r="N689" s="11">
        <f>11.3285 * CHOOSE(CONTROL!$C$32, $C$9, 100%, $E$9)</f>
        <v>11.3285</v>
      </c>
      <c r="O689" s="11">
        <f>11.3321 * CHOOSE(CONTROL!$C$32, $C$9, 100%, $E$9)</f>
        <v>11.332100000000001</v>
      </c>
    </row>
    <row r="690" spans="1:15" ht="15" x14ac:dyDescent="0.2">
      <c r="A690" s="13">
        <v>61849</v>
      </c>
      <c r="B690" s="9">
        <f>9.941 * CHOOSE(CONTROL!$C$32, $C$9, 100%, $E$9)</f>
        <v>9.9410000000000007</v>
      </c>
      <c r="C690" s="9">
        <f>9.941 * CHOOSE(CONTROL!$C$32, $C$9, 100%, $E$9)</f>
        <v>9.9410000000000007</v>
      </c>
      <c r="D690" s="9">
        <f>9.9426 * CHOOSE(CONTROL!$C$32, $C$9, 100%, $E$9)</f>
        <v>9.9426000000000005</v>
      </c>
      <c r="E690" s="11">
        <f>11.418 * CHOOSE(CONTROL!$C$32, $C$9, 100%, $E$9)</f>
        <v>11.417999999999999</v>
      </c>
      <c r="F690" s="11">
        <f>11.418 * CHOOSE(CONTROL!$C$32, $C$9, 100%, $E$9)</f>
        <v>11.417999999999999</v>
      </c>
      <c r="G690" s="11">
        <f>11.4233 * CHOOSE(CONTROL!$C$32, $C$9, 100%, $E$9)</f>
        <v>11.423299999999999</v>
      </c>
      <c r="H690" s="11">
        <f>23.0946 * CHOOSE(CONTROL!$C$32, $C$9, 100%, $E$9)</f>
        <v>23.0946</v>
      </c>
      <c r="I690" s="11">
        <f>23.0999 * CHOOSE(CONTROL!$C$32, $C$9, 100%, $E$9)</f>
        <v>23.099900000000002</v>
      </c>
      <c r="J690" s="11">
        <f>23.0946 * CHOOSE(CONTROL!$C$32, $C$9, 100%, $E$9)</f>
        <v>23.0946</v>
      </c>
      <c r="K690" s="11">
        <f>23.0999 * CHOOSE(CONTROL!$C$32, $C$9, 100%, $E$9)</f>
        <v>23.099900000000002</v>
      </c>
      <c r="L690" s="11">
        <f>11.418 * CHOOSE(CONTROL!$C$32, $C$9, 100%, $E$9)</f>
        <v>11.417999999999999</v>
      </c>
      <c r="M690" s="11">
        <f>11.4233 * CHOOSE(CONTROL!$C$32, $C$9, 100%, $E$9)</f>
        <v>11.423299999999999</v>
      </c>
      <c r="N690" s="11">
        <f>11.418 * CHOOSE(CONTROL!$C$32, $C$9, 100%, $E$9)</f>
        <v>11.417999999999999</v>
      </c>
      <c r="O690" s="11">
        <f>11.4233 * CHOOSE(CONTROL!$C$32, $C$9, 100%, $E$9)</f>
        <v>11.423299999999999</v>
      </c>
    </row>
    <row r="691" spans="1:15" ht="15" x14ac:dyDescent="0.2">
      <c r="A691" s="13">
        <v>61880</v>
      </c>
      <c r="B691" s="9">
        <f>9.9471 * CHOOSE(CONTROL!$C$32, $C$9, 100%, $E$9)</f>
        <v>9.9471000000000007</v>
      </c>
      <c r="C691" s="9">
        <f>9.9471 * CHOOSE(CONTROL!$C$32, $C$9, 100%, $E$9)</f>
        <v>9.9471000000000007</v>
      </c>
      <c r="D691" s="9">
        <f>9.9487 * CHOOSE(CONTROL!$C$32, $C$9, 100%, $E$9)</f>
        <v>9.9487000000000005</v>
      </c>
      <c r="E691" s="11">
        <f>11.3327 * CHOOSE(CONTROL!$C$32, $C$9, 100%, $E$9)</f>
        <v>11.332700000000001</v>
      </c>
      <c r="F691" s="11">
        <f>11.3327 * CHOOSE(CONTROL!$C$32, $C$9, 100%, $E$9)</f>
        <v>11.332700000000001</v>
      </c>
      <c r="G691" s="11">
        <f>11.338 * CHOOSE(CONTROL!$C$32, $C$9, 100%, $E$9)</f>
        <v>11.337999999999999</v>
      </c>
      <c r="H691" s="11">
        <f>23.1427 * CHOOSE(CONTROL!$C$32, $C$9, 100%, $E$9)</f>
        <v>23.142700000000001</v>
      </c>
      <c r="I691" s="11">
        <f>23.148 * CHOOSE(CONTROL!$C$32, $C$9, 100%, $E$9)</f>
        <v>23.148</v>
      </c>
      <c r="J691" s="11">
        <f>23.1427 * CHOOSE(CONTROL!$C$32, $C$9, 100%, $E$9)</f>
        <v>23.142700000000001</v>
      </c>
      <c r="K691" s="11">
        <f>23.148 * CHOOSE(CONTROL!$C$32, $C$9, 100%, $E$9)</f>
        <v>23.148</v>
      </c>
      <c r="L691" s="11">
        <f>11.3327 * CHOOSE(CONTROL!$C$32, $C$9, 100%, $E$9)</f>
        <v>11.332700000000001</v>
      </c>
      <c r="M691" s="11">
        <f>11.338 * CHOOSE(CONTROL!$C$32, $C$9, 100%, $E$9)</f>
        <v>11.337999999999999</v>
      </c>
      <c r="N691" s="11">
        <f>11.3327 * CHOOSE(CONTROL!$C$32, $C$9, 100%, $E$9)</f>
        <v>11.332700000000001</v>
      </c>
      <c r="O691" s="11">
        <f>11.338 * CHOOSE(CONTROL!$C$32, $C$9, 100%, $E$9)</f>
        <v>11.337999999999999</v>
      </c>
    </row>
    <row r="692" spans="1:15" ht="15" x14ac:dyDescent="0.2">
      <c r="A692" s="13">
        <v>61910</v>
      </c>
      <c r="B692" s="9">
        <f>10.0709 * CHOOSE(CONTROL!$C$32, $C$9, 100%, $E$9)</f>
        <v>10.0709</v>
      </c>
      <c r="C692" s="9">
        <f>10.0709 * CHOOSE(CONTROL!$C$32, $C$9, 100%, $E$9)</f>
        <v>10.0709</v>
      </c>
      <c r="D692" s="9">
        <f>10.0725 * CHOOSE(CONTROL!$C$32, $C$9, 100%, $E$9)</f>
        <v>10.0725</v>
      </c>
      <c r="E692" s="11">
        <f>11.4915 * CHOOSE(CONTROL!$C$32, $C$9, 100%, $E$9)</f>
        <v>11.4915</v>
      </c>
      <c r="F692" s="11">
        <f>11.4915 * CHOOSE(CONTROL!$C$32, $C$9, 100%, $E$9)</f>
        <v>11.4915</v>
      </c>
      <c r="G692" s="11">
        <f>11.4968 * CHOOSE(CONTROL!$C$32, $C$9, 100%, $E$9)</f>
        <v>11.4968</v>
      </c>
      <c r="H692" s="11">
        <f>23.191 * CHOOSE(CONTROL!$C$32, $C$9, 100%, $E$9)</f>
        <v>23.190999999999999</v>
      </c>
      <c r="I692" s="11">
        <f>23.1962 * CHOOSE(CONTROL!$C$32, $C$9, 100%, $E$9)</f>
        <v>23.196200000000001</v>
      </c>
      <c r="J692" s="11">
        <f>23.191 * CHOOSE(CONTROL!$C$32, $C$9, 100%, $E$9)</f>
        <v>23.190999999999999</v>
      </c>
      <c r="K692" s="11">
        <f>23.1962 * CHOOSE(CONTROL!$C$32, $C$9, 100%, $E$9)</f>
        <v>23.196200000000001</v>
      </c>
      <c r="L692" s="11">
        <f>11.4915 * CHOOSE(CONTROL!$C$32, $C$9, 100%, $E$9)</f>
        <v>11.4915</v>
      </c>
      <c r="M692" s="11">
        <f>11.4968 * CHOOSE(CONTROL!$C$32, $C$9, 100%, $E$9)</f>
        <v>11.4968</v>
      </c>
      <c r="N692" s="11">
        <f>11.4915 * CHOOSE(CONTROL!$C$32, $C$9, 100%, $E$9)</f>
        <v>11.4915</v>
      </c>
      <c r="O692" s="11">
        <f>11.4968 * CHOOSE(CONTROL!$C$32, $C$9, 100%, $E$9)</f>
        <v>11.4968</v>
      </c>
    </row>
    <row r="693" spans="1:15" ht="15" x14ac:dyDescent="0.2">
      <c r="A693" s="13">
        <v>61941</v>
      </c>
      <c r="B693" s="9">
        <f>10.0776 * CHOOSE(CONTROL!$C$32, $C$9, 100%, $E$9)</f>
        <v>10.0776</v>
      </c>
      <c r="C693" s="9">
        <f>10.0776 * CHOOSE(CONTROL!$C$32, $C$9, 100%, $E$9)</f>
        <v>10.0776</v>
      </c>
      <c r="D693" s="9">
        <f>10.0792 * CHOOSE(CONTROL!$C$32, $C$9, 100%, $E$9)</f>
        <v>10.0792</v>
      </c>
      <c r="E693" s="11">
        <f>11.2277 * CHOOSE(CONTROL!$C$32, $C$9, 100%, $E$9)</f>
        <v>11.2277</v>
      </c>
      <c r="F693" s="11">
        <f>11.2277 * CHOOSE(CONTROL!$C$32, $C$9, 100%, $E$9)</f>
        <v>11.2277</v>
      </c>
      <c r="G693" s="11">
        <f>11.233 * CHOOSE(CONTROL!$C$32, $C$9, 100%, $E$9)</f>
        <v>11.233000000000001</v>
      </c>
      <c r="H693" s="11">
        <f>23.2393 * CHOOSE(CONTROL!$C$32, $C$9, 100%, $E$9)</f>
        <v>23.2393</v>
      </c>
      <c r="I693" s="11">
        <f>23.2446 * CHOOSE(CONTROL!$C$32, $C$9, 100%, $E$9)</f>
        <v>23.244599999999998</v>
      </c>
      <c r="J693" s="11">
        <f>23.2393 * CHOOSE(CONTROL!$C$32, $C$9, 100%, $E$9)</f>
        <v>23.2393</v>
      </c>
      <c r="K693" s="11">
        <f>23.2446 * CHOOSE(CONTROL!$C$32, $C$9, 100%, $E$9)</f>
        <v>23.244599999999998</v>
      </c>
      <c r="L693" s="11">
        <f>11.2277 * CHOOSE(CONTROL!$C$32, $C$9, 100%, $E$9)</f>
        <v>11.2277</v>
      </c>
      <c r="M693" s="11">
        <f>11.233 * CHOOSE(CONTROL!$C$32, $C$9, 100%, $E$9)</f>
        <v>11.233000000000001</v>
      </c>
      <c r="N693" s="11">
        <f>11.2277 * CHOOSE(CONTROL!$C$32, $C$9, 100%, $E$9)</f>
        <v>11.2277</v>
      </c>
      <c r="O693" s="11">
        <f>11.233 * CHOOSE(CONTROL!$C$32, $C$9, 100%, $E$9)</f>
        <v>11.233000000000001</v>
      </c>
    </row>
    <row r="694" spans="1:15" ht="15" x14ac:dyDescent="0.2">
      <c r="A694" s="13">
        <v>61972</v>
      </c>
      <c r="B694" s="9">
        <f>10.0746 * CHOOSE(CONTROL!$C$32, $C$9, 100%, $E$9)</f>
        <v>10.0746</v>
      </c>
      <c r="C694" s="9">
        <f>10.0746 * CHOOSE(CONTROL!$C$32, $C$9, 100%, $E$9)</f>
        <v>10.0746</v>
      </c>
      <c r="D694" s="9">
        <f>10.0761 * CHOOSE(CONTROL!$C$32, $C$9, 100%, $E$9)</f>
        <v>10.0761</v>
      </c>
      <c r="E694" s="11">
        <f>11.1958 * CHOOSE(CONTROL!$C$32, $C$9, 100%, $E$9)</f>
        <v>11.1958</v>
      </c>
      <c r="F694" s="11">
        <f>11.1958 * CHOOSE(CONTROL!$C$32, $C$9, 100%, $E$9)</f>
        <v>11.1958</v>
      </c>
      <c r="G694" s="11">
        <f>11.2011 * CHOOSE(CONTROL!$C$32, $C$9, 100%, $E$9)</f>
        <v>11.2011</v>
      </c>
      <c r="H694" s="11">
        <f>23.2877 * CHOOSE(CONTROL!$C$32, $C$9, 100%, $E$9)</f>
        <v>23.287700000000001</v>
      </c>
      <c r="I694" s="11">
        <f>23.293 * CHOOSE(CONTROL!$C$32, $C$9, 100%, $E$9)</f>
        <v>23.292999999999999</v>
      </c>
      <c r="J694" s="11">
        <f>23.2877 * CHOOSE(CONTROL!$C$32, $C$9, 100%, $E$9)</f>
        <v>23.287700000000001</v>
      </c>
      <c r="K694" s="11">
        <f>23.293 * CHOOSE(CONTROL!$C$32, $C$9, 100%, $E$9)</f>
        <v>23.292999999999999</v>
      </c>
      <c r="L694" s="11">
        <f>11.1958 * CHOOSE(CONTROL!$C$32, $C$9, 100%, $E$9)</f>
        <v>11.1958</v>
      </c>
      <c r="M694" s="11">
        <f>11.2011 * CHOOSE(CONTROL!$C$32, $C$9, 100%, $E$9)</f>
        <v>11.2011</v>
      </c>
      <c r="N694" s="11">
        <f>11.1958 * CHOOSE(CONTROL!$C$32, $C$9, 100%, $E$9)</f>
        <v>11.1958</v>
      </c>
      <c r="O694" s="11">
        <f>11.2011 * CHOOSE(CONTROL!$C$32, $C$9, 100%, $E$9)</f>
        <v>11.2011</v>
      </c>
    </row>
    <row r="695" spans="1:15" ht="15" x14ac:dyDescent="0.2">
      <c r="A695" s="13">
        <v>62002</v>
      </c>
      <c r="B695" s="9">
        <f>10.0923 * CHOOSE(CONTROL!$C$32, $C$9, 100%, $E$9)</f>
        <v>10.0923</v>
      </c>
      <c r="C695" s="9">
        <f>10.0923 * CHOOSE(CONTROL!$C$32, $C$9, 100%, $E$9)</f>
        <v>10.0923</v>
      </c>
      <c r="D695" s="9">
        <f>10.0934 * CHOOSE(CONTROL!$C$32, $C$9, 100%, $E$9)</f>
        <v>10.093400000000001</v>
      </c>
      <c r="E695" s="11">
        <f>11.3017 * CHOOSE(CONTROL!$C$32, $C$9, 100%, $E$9)</f>
        <v>11.3017</v>
      </c>
      <c r="F695" s="11">
        <f>11.3017 * CHOOSE(CONTROL!$C$32, $C$9, 100%, $E$9)</f>
        <v>11.3017</v>
      </c>
      <c r="G695" s="11">
        <f>11.3053 * CHOOSE(CONTROL!$C$32, $C$9, 100%, $E$9)</f>
        <v>11.305300000000001</v>
      </c>
      <c r="H695" s="11">
        <f>23.3362 * CHOOSE(CONTROL!$C$32, $C$9, 100%, $E$9)</f>
        <v>23.336200000000002</v>
      </c>
      <c r="I695" s="11">
        <f>23.3398 * CHOOSE(CONTROL!$C$32, $C$9, 100%, $E$9)</f>
        <v>23.3398</v>
      </c>
      <c r="J695" s="11">
        <f>23.3362 * CHOOSE(CONTROL!$C$32, $C$9, 100%, $E$9)</f>
        <v>23.336200000000002</v>
      </c>
      <c r="K695" s="11">
        <f>23.3398 * CHOOSE(CONTROL!$C$32, $C$9, 100%, $E$9)</f>
        <v>23.3398</v>
      </c>
      <c r="L695" s="11">
        <f>11.3017 * CHOOSE(CONTROL!$C$32, $C$9, 100%, $E$9)</f>
        <v>11.3017</v>
      </c>
      <c r="M695" s="11">
        <f>11.3053 * CHOOSE(CONTROL!$C$32, $C$9, 100%, $E$9)</f>
        <v>11.305300000000001</v>
      </c>
      <c r="N695" s="11">
        <f>11.3017 * CHOOSE(CONTROL!$C$32, $C$9, 100%, $E$9)</f>
        <v>11.3017</v>
      </c>
      <c r="O695" s="11">
        <f>11.3053 * CHOOSE(CONTROL!$C$32, $C$9, 100%, $E$9)</f>
        <v>11.305300000000001</v>
      </c>
    </row>
    <row r="696" spans="1:15" ht="15" x14ac:dyDescent="0.2">
      <c r="A696" s="13">
        <v>62033</v>
      </c>
      <c r="B696" s="9">
        <f>10.0953 * CHOOSE(CONTROL!$C$32, $C$9, 100%, $E$9)</f>
        <v>10.0953</v>
      </c>
      <c r="C696" s="9">
        <f>10.0953 * CHOOSE(CONTROL!$C$32, $C$9, 100%, $E$9)</f>
        <v>10.0953</v>
      </c>
      <c r="D696" s="9">
        <f>10.0964 * CHOOSE(CONTROL!$C$32, $C$9, 100%, $E$9)</f>
        <v>10.096399999999999</v>
      </c>
      <c r="E696" s="11">
        <f>11.3634 * CHOOSE(CONTROL!$C$32, $C$9, 100%, $E$9)</f>
        <v>11.3634</v>
      </c>
      <c r="F696" s="11">
        <f>11.3634 * CHOOSE(CONTROL!$C$32, $C$9, 100%, $E$9)</f>
        <v>11.3634</v>
      </c>
      <c r="G696" s="11">
        <f>11.3671 * CHOOSE(CONTROL!$C$32, $C$9, 100%, $E$9)</f>
        <v>11.367100000000001</v>
      </c>
      <c r="H696" s="11">
        <f>23.3848 * CHOOSE(CONTROL!$C$32, $C$9, 100%, $E$9)</f>
        <v>23.384799999999998</v>
      </c>
      <c r="I696" s="11">
        <f>23.3884 * CHOOSE(CONTROL!$C$32, $C$9, 100%, $E$9)</f>
        <v>23.388400000000001</v>
      </c>
      <c r="J696" s="11">
        <f>23.3848 * CHOOSE(CONTROL!$C$32, $C$9, 100%, $E$9)</f>
        <v>23.384799999999998</v>
      </c>
      <c r="K696" s="11">
        <f>23.3884 * CHOOSE(CONTROL!$C$32, $C$9, 100%, $E$9)</f>
        <v>23.388400000000001</v>
      </c>
      <c r="L696" s="11">
        <f>11.3634 * CHOOSE(CONTROL!$C$32, $C$9, 100%, $E$9)</f>
        <v>11.3634</v>
      </c>
      <c r="M696" s="11">
        <f>11.3671 * CHOOSE(CONTROL!$C$32, $C$9, 100%, $E$9)</f>
        <v>11.367100000000001</v>
      </c>
      <c r="N696" s="11">
        <f>11.3634 * CHOOSE(CONTROL!$C$32, $C$9, 100%, $E$9)</f>
        <v>11.3634</v>
      </c>
      <c r="O696" s="11">
        <f>11.3671 * CHOOSE(CONTROL!$C$32, $C$9, 100%, $E$9)</f>
        <v>11.367100000000001</v>
      </c>
    </row>
    <row r="697" spans="1:15" ht="15" x14ac:dyDescent="0.2">
      <c r="A697" s="13">
        <v>62063</v>
      </c>
      <c r="B697" s="9">
        <f>10.0953 * CHOOSE(CONTROL!$C$32, $C$9, 100%, $E$9)</f>
        <v>10.0953</v>
      </c>
      <c r="C697" s="9">
        <f>10.0953 * CHOOSE(CONTROL!$C$32, $C$9, 100%, $E$9)</f>
        <v>10.0953</v>
      </c>
      <c r="D697" s="9">
        <f>10.0964 * CHOOSE(CONTROL!$C$32, $C$9, 100%, $E$9)</f>
        <v>10.096399999999999</v>
      </c>
      <c r="E697" s="11">
        <f>11.2143 * CHOOSE(CONTROL!$C$32, $C$9, 100%, $E$9)</f>
        <v>11.2143</v>
      </c>
      <c r="F697" s="11">
        <f>11.2143 * CHOOSE(CONTROL!$C$32, $C$9, 100%, $E$9)</f>
        <v>11.2143</v>
      </c>
      <c r="G697" s="11">
        <f>11.2179 * CHOOSE(CONTROL!$C$32, $C$9, 100%, $E$9)</f>
        <v>11.2179</v>
      </c>
      <c r="H697" s="11">
        <f>23.4335 * CHOOSE(CONTROL!$C$32, $C$9, 100%, $E$9)</f>
        <v>23.433499999999999</v>
      </c>
      <c r="I697" s="11">
        <f>23.4372 * CHOOSE(CONTROL!$C$32, $C$9, 100%, $E$9)</f>
        <v>23.437200000000001</v>
      </c>
      <c r="J697" s="11">
        <f>23.4335 * CHOOSE(CONTROL!$C$32, $C$9, 100%, $E$9)</f>
        <v>23.433499999999999</v>
      </c>
      <c r="K697" s="11">
        <f>23.4372 * CHOOSE(CONTROL!$C$32, $C$9, 100%, $E$9)</f>
        <v>23.437200000000001</v>
      </c>
      <c r="L697" s="11">
        <f>11.2143 * CHOOSE(CONTROL!$C$32, $C$9, 100%, $E$9)</f>
        <v>11.2143</v>
      </c>
      <c r="M697" s="11">
        <f>11.2179 * CHOOSE(CONTROL!$C$32, $C$9, 100%, $E$9)</f>
        <v>11.2179</v>
      </c>
      <c r="N697" s="11">
        <f>11.2143 * CHOOSE(CONTROL!$C$32, $C$9, 100%, $E$9)</f>
        <v>11.2143</v>
      </c>
      <c r="O697" s="11">
        <f>11.2179 * CHOOSE(CONTROL!$C$32, $C$9, 100%, $E$9)</f>
        <v>11.2179</v>
      </c>
    </row>
    <row r="698" spans="1:15" ht="15" x14ac:dyDescent="0.2">
      <c r="A698" s="13">
        <v>62094</v>
      </c>
      <c r="B698" s="9">
        <f>10.1311 * CHOOSE(CONTROL!$C$32, $C$9, 100%, $E$9)</f>
        <v>10.1311</v>
      </c>
      <c r="C698" s="9">
        <f>10.1311 * CHOOSE(CONTROL!$C$32, $C$9, 100%, $E$9)</f>
        <v>10.1311</v>
      </c>
      <c r="D698" s="9">
        <f>10.1321 * CHOOSE(CONTROL!$C$32, $C$9, 100%, $E$9)</f>
        <v>10.132099999999999</v>
      </c>
      <c r="E698" s="11">
        <f>11.3705 * CHOOSE(CONTROL!$C$32, $C$9, 100%, $E$9)</f>
        <v>11.3705</v>
      </c>
      <c r="F698" s="11">
        <f>11.3705 * CHOOSE(CONTROL!$C$32, $C$9, 100%, $E$9)</f>
        <v>11.3705</v>
      </c>
      <c r="G698" s="11">
        <f>11.3741 * CHOOSE(CONTROL!$C$32, $C$9, 100%, $E$9)</f>
        <v>11.3741</v>
      </c>
      <c r="H698" s="11">
        <f>23.375 * CHOOSE(CONTROL!$C$32, $C$9, 100%, $E$9)</f>
        <v>23.375</v>
      </c>
      <c r="I698" s="11">
        <f>23.3786 * CHOOSE(CONTROL!$C$32, $C$9, 100%, $E$9)</f>
        <v>23.378599999999999</v>
      </c>
      <c r="J698" s="11">
        <f>23.375 * CHOOSE(CONTROL!$C$32, $C$9, 100%, $E$9)</f>
        <v>23.375</v>
      </c>
      <c r="K698" s="11">
        <f>23.3786 * CHOOSE(CONTROL!$C$32, $C$9, 100%, $E$9)</f>
        <v>23.378599999999999</v>
      </c>
      <c r="L698" s="11">
        <f>11.3705 * CHOOSE(CONTROL!$C$32, $C$9, 100%, $E$9)</f>
        <v>11.3705</v>
      </c>
      <c r="M698" s="11">
        <f>11.3741 * CHOOSE(CONTROL!$C$32, $C$9, 100%, $E$9)</f>
        <v>11.3741</v>
      </c>
      <c r="N698" s="11">
        <f>11.3705 * CHOOSE(CONTROL!$C$32, $C$9, 100%, $E$9)</f>
        <v>11.3705</v>
      </c>
      <c r="O698" s="11">
        <f>11.3741 * CHOOSE(CONTROL!$C$32, $C$9, 100%, $E$9)</f>
        <v>11.3741</v>
      </c>
    </row>
    <row r="699" spans="1:15" ht="15" x14ac:dyDescent="0.2">
      <c r="A699" s="13">
        <v>62125</v>
      </c>
      <c r="B699" s="9">
        <f>10.128 * CHOOSE(CONTROL!$C$32, $C$9, 100%, $E$9)</f>
        <v>10.128</v>
      </c>
      <c r="C699" s="9">
        <f>10.128 * CHOOSE(CONTROL!$C$32, $C$9, 100%, $E$9)</f>
        <v>10.128</v>
      </c>
      <c r="D699" s="9">
        <f>10.1291 * CHOOSE(CONTROL!$C$32, $C$9, 100%, $E$9)</f>
        <v>10.129099999999999</v>
      </c>
      <c r="E699" s="11">
        <f>11.0795 * CHOOSE(CONTROL!$C$32, $C$9, 100%, $E$9)</f>
        <v>11.079499999999999</v>
      </c>
      <c r="F699" s="11">
        <f>11.0795 * CHOOSE(CONTROL!$C$32, $C$9, 100%, $E$9)</f>
        <v>11.079499999999999</v>
      </c>
      <c r="G699" s="11">
        <f>11.0831 * CHOOSE(CONTROL!$C$32, $C$9, 100%, $E$9)</f>
        <v>11.0831</v>
      </c>
      <c r="H699" s="11">
        <f>23.4237 * CHOOSE(CONTROL!$C$32, $C$9, 100%, $E$9)</f>
        <v>23.4237</v>
      </c>
      <c r="I699" s="11">
        <f>23.4273 * CHOOSE(CONTROL!$C$32, $C$9, 100%, $E$9)</f>
        <v>23.427299999999999</v>
      </c>
      <c r="J699" s="11">
        <f>23.4237 * CHOOSE(CONTROL!$C$32, $C$9, 100%, $E$9)</f>
        <v>23.4237</v>
      </c>
      <c r="K699" s="11">
        <f>23.4273 * CHOOSE(CONTROL!$C$32, $C$9, 100%, $E$9)</f>
        <v>23.427299999999999</v>
      </c>
      <c r="L699" s="11">
        <f>11.0795 * CHOOSE(CONTROL!$C$32, $C$9, 100%, $E$9)</f>
        <v>11.079499999999999</v>
      </c>
      <c r="M699" s="11">
        <f>11.0831 * CHOOSE(CONTROL!$C$32, $C$9, 100%, $E$9)</f>
        <v>11.0831</v>
      </c>
      <c r="N699" s="11">
        <f>11.0795 * CHOOSE(CONTROL!$C$32, $C$9, 100%, $E$9)</f>
        <v>11.079499999999999</v>
      </c>
      <c r="O699" s="11">
        <f>11.0831 * CHOOSE(CONTROL!$C$32, $C$9, 100%, $E$9)</f>
        <v>11.0831</v>
      </c>
    </row>
    <row r="700" spans="1:15" ht="15" x14ac:dyDescent="0.2">
      <c r="A700" s="13">
        <v>62153</v>
      </c>
      <c r="B700" s="9">
        <f>10.125 * CHOOSE(CONTROL!$C$32, $C$9, 100%, $E$9)</f>
        <v>10.125</v>
      </c>
      <c r="C700" s="9">
        <f>10.125 * CHOOSE(CONTROL!$C$32, $C$9, 100%, $E$9)</f>
        <v>10.125</v>
      </c>
      <c r="D700" s="9">
        <f>10.1261 * CHOOSE(CONTROL!$C$32, $C$9, 100%, $E$9)</f>
        <v>10.126099999999999</v>
      </c>
      <c r="E700" s="11">
        <f>11.3051 * CHOOSE(CONTROL!$C$32, $C$9, 100%, $E$9)</f>
        <v>11.305099999999999</v>
      </c>
      <c r="F700" s="11">
        <f>11.3051 * CHOOSE(CONTROL!$C$32, $C$9, 100%, $E$9)</f>
        <v>11.305099999999999</v>
      </c>
      <c r="G700" s="11">
        <f>11.3087 * CHOOSE(CONTROL!$C$32, $C$9, 100%, $E$9)</f>
        <v>11.3087</v>
      </c>
      <c r="H700" s="11">
        <f>23.4725 * CHOOSE(CONTROL!$C$32, $C$9, 100%, $E$9)</f>
        <v>23.4725</v>
      </c>
      <c r="I700" s="11">
        <f>23.4761 * CHOOSE(CONTROL!$C$32, $C$9, 100%, $E$9)</f>
        <v>23.476099999999999</v>
      </c>
      <c r="J700" s="11">
        <f>23.4725 * CHOOSE(CONTROL!$C$32, $C$9, 100%, $E$9)</f>
        <v>23.4725</v>
      </c>
      <c r="K700" s="11">
        <f>23.4761 * CHOOSE(CONTROL!$C$32, $C$9, 100%, $E$9)</f>
        <v>23.476099999999999</v>
      </c>
      <c r="L700" s="11">
        <f>11.3051 * CHOOSE(CONTROL!$C$32, $C$9, 100%, $E$9)</f>
        <v>11.305099999999999</v>
      </c>
      <c r="M700" s="11">
        <f>11.3087 * CHOOSE(CONTROL!$C$32, $C$9, 100%, $E$9)</f>
        <v>11.3087</v>
      </c>
      <c r="N700" s="11">
        <f>11.3051 * CHOOSE(CONTROL!$C$32, $C$9, 100%, $E$9)</f>
        <v>11.305099999999999</v>
      </c>
      <c r="O700" s="11">
        <f>11.3087 * CHOOSE(CONTROL!$C$32, $C$9, 100%, $E$9)</f>
        <v>11.3087</v>
      </c>
    </row>
    <row r="701" spans="1:15" ht="15" x14ac:dyDescent="0.2">
      <c r="A701" s="13">
        <v>62184</v>
      </c>
      <c r="B701" s="9">
        <f>10.1286 * CHOOSE(CONTROL!$C$32, $C$9, 100%, $E$9)</f>
        <v>10.1286</v>
      </c>
      <c r="C701" s="9">
        <f>10.1286 * CHOOSE(CONTROL!$C$32, $C$9, 100%, $E$9)</f>
        <v>10.1286</v>
      </c>
      <c r="D701" s="9">
        <f>10.1297 * CHOOSE(CONTROL!$C$32, $C$9, 100%, $E$9)</f>
        <v>10.1297</v>
      </c>
      <c r="E701" s="11">
        <f>11.5455 * CHOOSE(CONTROL!$C$32, $C$9, 100%, $E$9)</f>
        <v>11.545500000000001</v>
      </c>
      <c r="F701" s="11">
        <f>11.5455 * CHOOSE(CONTROL!$C$32, $C$9, 100%, $E$9)</f>
        <v>11.545500000000001</v>
      </c>
      <c r="G701" s="11">
        <f>11.5491 * CHOOSE(CONTROL!$C$32, $C$9, 100%, $E$9)</f>
        <v>11.549099999999999</v>
      </c>
      <c r="H701" s="11">
        <f>23.5214 * CHOOSE(CONTROL!$C$32, $C$9, 100%, $E$9)</f>
        <v>23.5214</v>
      </c>
      <c r="I701" s="11">
        <f>23.525 * CHOOSE(CONTROL!$C$32, $C$9, 100%, $E$9)</f>
        <v>23.524999999999999</v>
      </c>
      <c r="J701" s="11">
        <f>23.5214 * CHOOSE(CONTROL!$C$32, $C$9, 100%, $E$9)</f>
        <v>23.5214</v>
      </c>
      <c r="K701" s="11">
        <f>23.525 * CHOOSE(CONTROL!$C$32, $C$9, 100%, $E$9)</f>
        <v>23.524999999999999</v>
      </c>
      <c r="L701" s="11">
        <f>11.5455 * CHOOSE(CONTROL!$C$32, $C$9, 100%, $E$9)</f>
        <v>11.545500000000001</v>
      </c>
      <c r="M701" s="11">
        <f>11.5491 * CHOOSE(CONTROL!$C$32, $C$9, 100%, $E$9)</f>
        <v>11.549099999999999</v>
      </c>
      <c r="N701" s="11">
        <f>11.5455 * CHOOSE(CONTROL!$C$32, $C$9, 100%, $E$9)</f>
        <v>11.545500000000001</v>
      </c>
      <c r="O701" s="11">
        <f>11.5491 * CHOOSE(CONTROL!$C$32, $C$9, 100%, $E$9)</f>
        <v>11.549099999999999</v>
      </c>
    </row>
    <row r="702" spans="1:15" ht="15" x14ac:dyDescent="0.2">
      <c r="A702" s="13">
        <v>62214</v>
      </c>
      <c r="B702" s="9">
        <f>10.1286 * CHOOSE(CONTROL!$C$32, $C$9, 100%, $E$9)</f>
        <v>10.1286</v>
      </c>
      <c r="C702" s="9">
        <f>10.1286 * CHOOSE(CONTROL!$C$32, $C$9, 100%, $E$9)</f>
        <v>10.1286</v>
      </c>
      <c r="D702" s="9">
        <f>10.1302 * CHOOSE(CONTROL!$C$32, $C$9, 100%, $E$9)</f>
        <v>10.1302</v>
      </c>
      <c r="E702" s="11">
        <f>11.6372 * CHOOSE(CONTROL!$C$32, $C$9, 100%, $E$9)</f>
        <v>11.6372</v>
      </c>
      <c r="F702" s="11">
        <f>11.6372 * CHOOSE(CONTROL!$C$32, $C$9, 100%, $E$9)</f>
        <v>11.6372</v>
      </c>
      <c r="G702" s="11">
        <f>11.6425 * CHOOSE(CONTROL!$C$32, $C$9, 100%, $E$9)</f>
        <v>11.6425</v>
      </c>
      <c r="H702" s="11">
        <f>23.5704 * CHOOSE(CONTROL!$C$32, $C$9, 100%, $E$9)</f>
        <v>23.570399999999999</v>
      </c>
      <c r="I702" s="11">
        <f>23.5757 * CHOOSE(CONTROL!$C$32, $C$9, 100%, $E$9)</f>
        <v>23.575700000000001</v>
      </c>
      <c r="J702" s="11">
        <f>23.5704 * CHOOSE(CONTROL!$C$32, $C$9, 100%, $E$9)</f>
        <v>23.570399999999999</v>
      </c>
      <c r="K702" s="11">
        <f>23.5757 * CHOOSE(CONTROL!$C$32, $C$9, 100%, $E$9)</f>
        <v>23.575700000000001</v>
      </c>
      <c r="L702" s="11">
        <f>11.6372 * CHOOSE(CONTROL!$C$32, $C$9, 100%, $E$9)</f>
        <v>11.6372</v>
      </c>
      <c r="M702" s="11">
        <f>11.6425 * CHOOSE(CONTROL!$C$32, $C$9, 100%, $E$9)</f>
        <v>11.6425</v>
      </c>
      <c r="N702" s="11">
        <f>11.6372 * CHOOSE(CONTROL!$C$32, $C$9, 100%, $E$9)</f>
        <v>11.6372</v>
      </c>
      <c r="O702" s="11">
        <f>11.6425 * CHOOSE(CONTROL!$C$32, $C$9, 100%, $E$9)</f>
        <v>11.6425</v>
      </c>
    </row>
    <row r="703" spans="1:15" ht="15" x14ac:dyDescent="0.2">
      <c r="A703" s="13">
        <v>62245</v>
      </c>
      <c r="B703" s="9">
        <f>10.1347 * CHOOSE(CONTROL!$C$32, $C$9, 100%, $E$9)</f>
        <v>10.1347</v>
      </c>
      <c r="C703" s="9">
        <f>10.1347 * CHOOSE(CONTROL!$C$32, $C$9, 100%, $E$9)</f>
        <v>10.1347</v>
      </c>
      <c r="D703" s="9">
        <f>10.1362 * CHOOSE(CONTROL!$C$32, $C$9, 100%, $E$9)</f>
        <v>10.136200000000001</v>
      </c>
      <c r="E703" s="11">
        <f>11.5497 * CHOOSE(CONTROL!$C$32, $C$9, 100%, $E$9)</f>
        <v>11.5497</v>
      </c>
      <c r="F703" s="11">
        <f>11.5497 * CHOOSE(CONTROL!$C$32, $C$9, 100%, $E$9)</f>
        <v>11.5497</v>
      </c>
      <c r="G703" s="11">
        <f>11.555 * CHOOSE(CONTROL!$C$32, $C$9, 100%, $E$9)</f>
        <v>11.555</v>
      </c>
      <c r="H703" s="11">
        <f>23.6195 * CHOOSE(CONTROL!$C$32, $C$9, 100%, $E$9)</f>
        <v>23.619499999999999</v>
      </c>
      <c r="I703" s="11">
        <f>23.6248 * CHOOSE(CONTROL!$C$32, $C$9, 100%, $E$9)</f>
        <v>23.6248</v>
      </c>
      <c r="J703" s="11">
        <f>23.6195 * CHOOSE(CONTROL!$C$32, $C$9, 100%, $E$9)</f>
        <v>23.619499999999999</v>
      </c>
      <c r="K703" s="11">
        <f>23.6248 * CHOOSE(CONTROL!$C$32, $C$9, 100%, $E$9)</f>
        <v>23.6248</v>
      </c>
      <c r="L703" s="11">
        <f>11.5497 * CHOOSE(CONTROL!$C$32, $C$9, 100%, $E$9)</f>
        <v>11.5497</v>
      </c>
      <c r="M703" s="11">
        <f>11.555 * CHOOSE(CONTROL!$C$32, $C$9, 100%, $E$9)</f>
        <v>11.555</v>
      </c>
      <c r="N703" s="11">
        <f>11.5497 * CHOOSE(CONTROL!$C$32, $C$9, 100%, $E$9)</f>
        <v>11.5497</v>
      </c>
      <c r="O703" s="11">
        <f>11.555 * CHOOSE(CONTROL!$C$32, $C$9, 100%, $E$9)</f>
        <v>11.555</v>
      </c>
    </row>
    <row r="704" spans="1:15" ht="15" x14ac:dyDescent="0.2">
      <c r="A704" s="13">
        <v>62275</v>
      </c>
      <c r="B704" s="9">
        <f>10.2605 * CHOOSE(CONTROL!$C$32, $C$9, 100%, $E$9)</f>
        <v>10.2605</v>
      </c>
      <c r="C704" s="9">
        <f>10.2605 * CHOOSE(CONTROL!$C$32, $C$9, 100%, $E$9)</f>
        <v>10.2605</v>
      </c>
      <c r="D704" s="9">
        <f>10.2621 * CHOOSE(CONTROL!$C$32, $C$9, 100%, $E$9)</f>
        <v>10.2621</v>
      </c>
      <c r="E704" s="11">
        <f>11.7117 * CHOOSE(CONTROL!$C$32, $C$9, 100%, $E$9)</f>
        <v>11.7117</v>
      </c>
      <c r="F704" s="11">
        <f>11.7117 * CHOOSE(CONTROL!$C$32, $C$9, 100%, $E$9)</f>
        <v>11.7117</v>
      </c>
      <c r="G704" s="11">
        <f>11.717 * CHOOSE(CONTROL!$C$32, $C$9, 100%, $E$9)</f>
        <v>11.717000000000001</v>
      </c>
      <c r="H704" s="11">
        <f>23.6687 * CHOOSE(CONTROL!$C$32, $C$9, 100%, $E$9)</f>
        <v>23.668700000000001</v>
      </c>
      <c r="I704" s="11">
        <f>23.674 * CHOOSE(CONTROL!$C$32, $C$9, 100%, $E$9)</f>
        <v>23.673999999999999</v>
      </c>
      <c r="J704" s="11">
        <f>23.6687 * CHOOSE(CONTROL!$C$32, $C$9, 100%, $E$9)</f>
        <v>23.668700000000001</v>
      </c>
      <c r="K704" s="11">
        <f>23.674 * CHOOSE(CONTROL!$C$32, $C$9, 100%, $E$9)</f>
        <v>23.673999999999999</v>
      </c>
      <c r="L704" s="11">
        <f>11.7117 * CHOOSE(CONTROL!$C$32, $C$9, 100%, $E$9)</f>
        <v>11.7117</v>
      </c>
      <c r="M704" s="11">
        <f>11.717 * CHOOSE(CONTROL!$C$32, $C$9, 100%, $E$9)</f>
        <v>11.717000000000001</v>
      </c>
      <c r="N704" s="11">
        <f>11.7117 * CHOOSE(CONTROL!$C$32, $C$9, 100%, $E$9)</f>
        <v>11.7117</v>
      </c>
      <c r="O704" s="11">
        <f>11.717 * CHOOSE(CONTROL!$C$32, $C$9, 100%, $E$9)</f>
        <v>11.717000000000001</v>
      </c>
    </row>
    <row r="705" spans="1:15" ht="15" x14ac:dyDescent="0.2">
      <c r="A705" s="13">
        <v>62306</v>
      </c>
      <c r="B705" s="9">
        <f>10.2672 * CHOOSE(CONTROL!$C$32, $C$9, 100%, $E$9)</f>
        <v>10.267200000000001</v>
      </c>
      <c r="C705" s="9">
        <f>10.2672 * CHOOSE(CONTROL!$C$32, $C$9, 100%, $E$9)</f>
        <v>10.267200000000001</v>
      </c>
      <c r="D705" s="9">
        <f>10.2688 * CHOOSE(CONTROL!$C$32, $C$9, 100%, $E$9)</f>
        <v>10.268800000000001</v>
      </c>
      <c r="E705" s="11">
        <f>11.4412 * CHOOSE(CONTROL!$C$32, $C$9, 100%, $E$9)</f>
        <v>11.4412</v>
      </c>
      <c r="F705" s="11">
        <f>11.4412 * CHOOSE(CONTROL!$C$32, $C$9, 100%, $E$9)</f>
        <v>11.4412</v>
      </c>
      <c r="G705" s="11">
        <f>11.4465 * CHOOSE(CONTROL!$C$32, $C$9, 100%, $E$9)</f>
        <v>11.4465</v>
      </c>
      <c r="H705" s="11">
        <f>23.718 * CHOOSE(CONTROL!$C$32, $C$9, 100%, $E$9)</f>
        <v>23.718</v>
      </c>
      <c r="I705" s="11">
        <f>23.7233 * CHOOSE(CONTROL!$C$32, $C$9, 100%, $E$9)</f>
        <v>23.723299999999998</v>
      </c>
      <c r="J705" s="11">
        <f>23.718 * CHOOSE(CONTROL!$C$32, $C$9, 100%, $E$9)</f>
        <v>23.718</v>
      </c>
      <c r="K705" s="11">
        <f>23.7233 * CHOOSE(CONTROL!$C$32, $C$9, 100%, $E$9)</f>
        <v>23.723299999999998</v>
      </c>
      <c r="L705" s="11">
        <f>11.4412 * CHOOSE(CONTROL!$C$32, $C$9, 100%, $E$9)</f>
        <v>11.4412</v>
      </c>
      <c r="M705" s="11">
        <f>11.4465 * CHOOSE(CONTROL!$C$32, $C$9, 100%, $E$9)</f>
        <v>11.4465</v>
      </c>
      <c r="N705" s="11">
        <f>11.4412 * CHOOSE(CONTROL!$C$32, $C$9, 100%, $E$9)</f>
        <v>11.4412</v>
      </c>
      <c r="O705" s="11">
        <f>11.4465 * CHOOSE(CONTROL!$C$32, $C$9, 100%, $E$9)</f>
        <v>11.4465</v>
      </c>
    </row>
    <row r="706" spans="1:15" ht="15" x14ac:dyDescent="0.2">
      <c r="A706" s="13">
        <v>62337</v>
      </c>
      <c r="B706" s="9">
        <f>10.2642 * CHOOSE(CONTROL!$C$32, $C$9, 100%, $E$9)</f>
        <v>10.264200000000001</v>
      </c>
      <c r="C706" s="9">
        <f>10.2642 * CHOOSE(CONTROL!$C$32, $C$9, 100%, $E$9)</f>
        <v>10.264200000000001</v>
      </c>
      <c r="D706" s="9">
        <f>10.2657 * CHOOSE(CONTROL!$C$32, $C$9, 100%, $E$9)</f>
        <v>10.265700000000001</v>
      </c>
      <c r="E706" s="11">
        <f>11.4085 * CHOOSE(CONTROL!$C$32, $C$9, 100%, $E$9)</f>
        <v>11.4085</v>
      </c>
      <c r="F706" s="11">
        <f>11.4085 * CHOOSE(CONTROL!$C$32, $C$9, 100%, $E$9)</f>
        <v>11.4085</v>
      </c>
      <c r="G706" s="11">
        <f>11.4138 * CHOOSE(CONTROL!$C$32, $C$9, 100%, $E$9)</f>
        <v>11.4138</v>
      </c>
      <c r="H706" s="11">
        <f>23.7674 * CHOOSE(CONTROL!$C$32, $C$9, 100%, $E$9)</f>
        <v>23.767399999999999</v>
      </c>
      <c r="I706" s="11">
        <f>23.7727 * CHOOSE(CONTROL!$C$32, $C$9, 100%, $E$9)</f>
        <v>23.7727</v>
      </c>
      <c r="J706" s="11">
        <f>23.7674 * CHOOSE(CONTROL!$C$32, $C$9, 100%, $E$9)</f>
        <v>23.767399999999999</v>
      </c>
      <c r="K706" s="11">
        <f>23.7727 * CHOOSE(CONTROL!$C$32, $C$9, 100%, $E$9)</f>
        <v>23.7727</v>
      </c>
      <c r="L706" s="11">
        <f>11.4085 * CHOOSE(CONTROL!$C$32, $C$9, 100%, $E$9)</f>
        <v>11.4085</v>
      </c>
      <c r="M706" s="11">
        <f>11.4138 * CHOOSE(CONTROL!$C$32, $C$9, 100%, $E$9)</f>
        <v>11.4138</v>
      </c>
      <c r="N706" s="11">
        <f>11.4085 * CHOOSE(CONTROL!$C$32, $C$9, 100%, $E$9)</f>
        <v>11.4085</v>
      </c>
      <c r="O706" s="11">
        <f>11.4138 * CHOOSE(CONTROL!$C$32, $C$9, 100%, $E$9)</f>
        <v>11.4138</v>
      </c>
    </row>
    <row r="707" spans="1:15" ht="15" x14ac:dyDescent="0.2">
      <c r="A707" s="13">
        <v>62367</v>
      </c>
      <c r="B707" s="9">
        <f>10.2826 * CHOOSE(CONTROL!$C$32, $C$9, 100%, $E$9)</f>
        <v>10.2826</v>
      </c>
      <c r="C707" s="9">
        <f>10.2826 * CHOOSE(CONTROL!$C$32, $C$9, 100%, $E$9)</f>
        <v>10.2826</v>
      </c>
      <c r="D707" s="9">
        <f>10.2837 * CHOOSE(CONTROL!$C$32, $C$9, 100%, $E$9)</f>
        <v>10.2837</v>
      </c>
      <c r="E707" s="11">
        <f>11.5173 * CHOOSE(CONTROL!$C$32, $C$9, 100%, $E$9)</f>
        <v>11.517300000000001</v>
      </c>
      <c r="F707" s="11">
        <f>11.5173 * CHOOSE(CONTROL!$C$32, $C$9, 100%, $E$9)</f>
        <v>11.517300000000001</v>
      </c>
      <c r="G707" s="11">
        <f>11.521 * CHOOSE(CONTROL!$C$32, $C$9, 100%, $E$9)</f>
        <v>11.521000000000001</v>
      </c>
      <c r="H707" s="11">
        <f>23.8169 * CHOOSE(CONTROL!$C$32, $C$9, 100%, $E$9)</f>
        <v>23.8169</v>
      </c>
      <c r="I707" s="11">
        <f>23.8205 * CHOOSE(CONTROL!$C$32, $C$9, 100%, $E$9)</f>
        <v>23.820499999999999</v>
      </c>
      <c r="J707" s="11">
        <f>23.8169 * CHOOSE(CONTROL!$C$32, $C$9, 100%, $E$9)</f>
        <v>23.8169</v>
      </c>
      <c r="K707" s="11">
        <f>23.8205 * CHOOSE(CONTROL!$C$32, $C$9, 100%, $E$9)</f>
        <v>23.820499999999999</v>
      </c>
      <c r="L707" s="11">
        <f>11.5173 * CHOOSE(CONTROL!$C$32, $C$9, 100%, $E$9)</f>
        <v>11.517300000000001</v>
      </c>
      <c r="M707" s="11">
        <f>11.521 * CHOOSE(CONTROL!$C$32, $C$9, 100%, $E$9)</f>
        <v>11.521000000000001</v>
      </c>
      <c r="N707" s="11">
        <f>11.5173 * CHOOSE(CONTROL!$C$32, $C$9, 100%, $E$9)</f>
        <v>11.517300000000001</v>
      </c>
      <c r="O707" s="11">
        <f>11.521 * CHOOSE(CONTROL!$C$32, $C$9, 100%, $E$9)</f>
        <v>11.521000000000001</v>
      </c>
    </row>
    <row r="708" spans="1:15" ht="15" x14ac:dyDescent="0.2">
      <c r="A708" s="13">
        <v>62398</v>
      </c>
      <c r="B708" s="9">
        <f>10.2857 * CHOOSE(CONTROL!$C$32, $C$9, 100%, $E$9)</f>
        <v>10.2857</v>
      </c>
      <c r="C708" s="9">
        <f>10.2857 * CHOOSE(CONTROL!$C$32, $C$9, 100%, $E$9)</f>
        <v>10.2857</v>
      </c>
      <c r="D708" s="9">
        <f>10.2867 * CHOOSE(CONTROL!$C$32, $C$9, 100%, $E$9)</f>
        <v>10.2867</v>
      </c>
      <c r="E708" s="11">
        <f>11.5806 * CHOOSE(CONTROL!$C$32, $C$9, 100%, $E$9)</f>
        <v>11.5806</v>
      </c>
      <c r="F708" s="11">
        <f>11.5806 * CHOOSE(CONTROL!$C$32, $C$9, 100%, $E$9)</f>
        <v>11.5806</v>
      </c>
      <c r="G708" s="11">
        <f>11.5842 * CHOOSE(CONTROL!$C$32, $C$9, 100%, $E$9)</f>
        <v>11.584199999999999</v>
      </c>
      <c r="H708" s="11">
        <f>23.8665 * CHOOSE(CONTROL!$C$32, $C$9, 100%, $E$9)</f>
        <v>23.866499999999998</v>
      </c>
      <c r="I708" s="11">
        <f>23.8702 * CHOOSE(CONTROL!$C$32, $C$9, 100%, $E$9)</f>
        <v>23.870200000000001</v>
      </c>
      <c r="J708" s="11">
        <f>23.8665 * CHOOSE(CONTROL!$C$32, $C$9, 100%, $E$9)</f>
        <v>23.866499999999998</v>
      </c>
      <c r="K708" s="11">
        <f>23.8702 * CHOOSE(CONTROL!$C$32, $C$9, 100%, $E$9)</f>
        <v>23.870200000000001</v>
      </c>
      <c r="L708" s="11">
        <f>11.5806 * CHOOSE(CONTROL!$C$32, $C$9, 100%, $E$9)</f>
        <v>11.5806</v>
      </c>
      <c r="M708" s="11">
        <f>11.5842 * CHOOSE(CONTROL!$C$32, $C$9, 100%, $E$9)</f>
        <v>11.584199999999999</v>
      </c>
      <c r="N708" s="11">
        <f>11.5806 * CHOOSE(CONTROL!$C$32, $C$9, 100%, $E$9)</f>
        <v>11.5806</v>
      </c>
      <c r="O708" s="11">
        <f>11.5842 * CHOOSE(CONTROL!$C$32, $C$9, 100%, $E$9)</f>
        <v>11.584199999999999</v>
      </c>
    </row>
    <row r="709" spans="1:15" ht="15" x14ac:dyDescent="0.2">
      <c r="A709" s="13">
        <v>62428</v>
      </c>
      <c r="B709" s="9">
        <f>10.2857 * CHOOSE(CONTROL!$C$32, $C$9, 100%, $E$9)</f>
        <v>10.2857</v>
      </c>
      <c r="C709" s="9">
        <f>10.2857 * CHOOSE(CONTROL!$C$32, $C$9, 100%, $E$9)</f>
        <v>10.2857</v>
      </c>
      <c r="D709" s="9">
        <f>10.2867 * CHOOSE(CONTROL!$C$32, $C$9, 100%, $E$9)</f>
        <v>10.2867</v>
      </c>
      <c r="E709" s="11">
        <f>11.4277 * CHOOSE(CONTROL!$C$32, $C$9, 100%, $E$9)</f>
        <v>11.4277</v>
      </c>
      <c r="F709" s="11">
        <f>11.4277 * CHOOSE(CONTROL!$C$32, $C$9, 100%, $E$9)</f>
        <v>11.4277</v>
      </c>
      <c r="G709" s="11">
        <f>11.4314 * CHOOSE(CONTROL!$C$32, $C$9, 100%, $E$9)</f>
        <v>11.4314</v>
      </c>
      <c r="H709" s="11">
        <f>23.9163 * CHOOSE(CONTROL!$C$32, $C$9, 100%, $E$9)</f>
        <v>23.9163</v>
      </c>
      <c r="I709" s="11">
        <f>23.9199 * CHOOSE(CONTROL!$C$32, $C$9, 100%, $E$9)</f>
        <v>23.919899999999998</v>
      </c>
      <c r="J709" s="11">
        <f>23.9163 * CHOOSE(CONTROL!$C$32, $C$9, 100%, $E$9)</f>
        <v>23.9163</v>
      </c>
      <c r="K709" s="11">
        <f>23.9199 * CHOOSE(CONTROL!$C$32, $C$9, 100%, $E$9)</f>
        <v>23.919899999999998</v>
      </c>
      <c r="L709" s="11">
        <f>11.4277 * CHOOSE(CONTROL!$C$32, $C$9, 100%, $E$9)</f>
        <v>11.4277</v>
      </c>
      <c r="M709" s="11">
        <f>11.4314 * CHOOSE(CONTROL!$C$32, $C$9, 100%, $E$9)</f>
        <v>11.4314</v>
      </c>
      <c r="N709" s="11">
        <f>11.4277 * CHOOSE(CONTROL!$C$32, $C$9, 100%, $E$9)</f>
        <v>11.4277</v>
      </c>
      <c r="O709" s="11">
        <f>11.4314 * CHOOSE(CONTROL!$C$32, $C$9, 100%, $E$9)</f>
        <v>11.4314</v>
      </c>
    </row>
    <row r="710" spans="1:15" ht="15" x14ac:dyDescent="0.2">
      <c r="A710" s="13">
        <v>62459</v>
      </c>
      <c r="B710" s="9">
        <f>10.3184 * CHOOSE(CONTROL!$C$32, $C$9, 100%, $E$9)</f>
        <v>10.3184</v>
      </c>
      <c r="C710" s="9">
        <f>10.3184 * CHOOSE(CONTROL!$C$32, $C$9, 100%, $E$9)</f>
        <v>10.3184</v>
      </c>
      <c r="D710" s="9">
        <f>10.3195 * CHOOSE(CONTROL!$C$32, $C$9, 100%, $E$9)</f>
        <v>10.3195</v>
      </c>
      <c r="E710" s="11">
        <f>11.583 * CHOOSE(CONTROL!$C$32, $C$9, 100%, $E$9)</f>
        <v>11.583</v>
      </c>
      <c r="F710" s="11">
        <f>11.583 * CHOOSE(CONTROL!$C$32, $C$9, 100%, $E$9)</f>
        <v>11.583</v>
      </c>
      <c r="G710" s="11">
        <f>11.5866 * CHOOSE(CONTROL!$C$32, $C$9, 100%, $E$9)</f>
        <v>11.586600000000001</v>
      </c>
      <c r="H710" s="11">
        <f>23.8468 * CHOOSE(CONTROL!$C$32, $C$9, 100%, $E$9)</f>
        <v>23.846800000000002</v>
      </c>
      <c r="I710" s="11">
        <f>23.8504 * CHOOSE(CONTROL!$C$32, $C$9, 100%, $E$9)</f>
        <v>23.8504</v>
      </c>
      <c r="J710" s="11">
        <f>23.8468 * CHOOSE(CONTROL!$C$32, $C$9, 100%, $E$9)</f>
        <v>23.846800000000002</v>
      </c>
      <c r="K710" s="11">
        <f>23.8504 * CHOOSE(CONTROL!$C$32, $C$9, 100%, $E$9)</f>
        <v>23.8504</v>
      </c>
      <c r="L710" s="11">
        <f>11.583 * CHOOSE(CONTROL!$C$32, $C$9, 100%, $E$9)</f>
        <v>11.583</v>
      </c>
      <c r="M710" s="11">
        <f>11.5866 * CHOOSE(CONTROL!$C$32, $C$9, 100%, $E$9)</f>
        <v>11.586600000000001</v>
      </c>
      <c r="N710" s="11">
        <f>11.583 * CHOOSE(CONTROL!$C$32, $C$9, 100%, $E$9)</f>
        <v>11.583</v>
      </c>
      <c r="O710" s="11">
        <f>11.5866 * CHOOSE(CONTROL!$C$32, $C$9, 100%, $E$9)</f>
        <v>11.586600000000001</v>
      </c>
    </row>
    <row r="711" spans="1:15" ht="15" x14ac:dyDescent="0.2">
      <c r="A711" s="13">
        <v>62490</v>
      </c>
      <c r="B711" s="9">
        <f>10.3154 * CHOOSE(CONTROL!$C$32, $C$9, 100%, $E$9)</f>
        <v>10.3154</v>
      </c>
      <c r="C711" s="9">
        <f>10.3154 * CHOOSE(CONTROL!$C$32, $C$9, 100%, $E$9)</f>
        <v>10.3154</v>
      </c>
      <c r="D711" s="9">
        <f>10.3165 * CHOOSE(CONTROL!$C$32, $C$9, 100%, $E$9)</f>
        <v>10.3165</v>
      </c>
      <c r="E711" s="11">
        <f>11.2849 * CHOOSE(CONTROL!$C$32, $C$9, 100%, $E$9)</f>
        <v>11.2849</v>
      </c>
      <c r="F711" s="11">
        <f>11.2849 * CHOOSE(CONTROL!$C$32, $C$9, 100%, $E$9)</f>
        <v>11.2849</v>
      </c>
      <c r="G711" s="11">
        <f>11.2885 * CHOOSE(CONTROL!$C$32, $C$9, 100%, $E$9)</f>
        <v>11.288500000000001</v>
      </c>
      <c r="H711" s="11">
        <f>23.8965 * CHOOSE(CONTROL!$C$32, $C$9, 100%, $E$9)</f>
        <v>23.8965</v>
      </c>
      <c r="I711" s="11">
        <f>23.9001 * CHOOSE(CONTROL!$C$32, $C$9, 100%, $E$9)</f>
        <v>23.900099999999998</v>
      </c>
      <c r="J711" s="11">
        <f>23.8965 * CHOOSE(CONTROL!$C$32, $C$9, 100%, $E$9)</f>
        <v>23.8965</v>
      </c>
      <c r="K711" s="11">
        <f>23.9001 * CHOOSE(CONTROL!$C$32, $C$9, 100%, $E$9)</f>
        <v>23.900099999999998</v>
      </c>
      <c r="L711" s="11">
        <f>11.2849 * CHOOSE(CONTROL!$C$32, $C$9, 100%, $E$9)</f>
        <v>11.2849</v>
      </c>
      <c r="M711" s="11">
        <f>11.2885 * CHOOSE(CONTROL!$C$32, $C$9, 100%, $E$9)</f>
        <v>11.288500000000001</v>
      </c>
      <c r="N711" s="11">
        <f>11.2849 * CHOOSE(CONTROL!$C$32, $C$9, 100%, $E$9)</f>
        <v>11.2849</v>
      </c>
      <c r="O711" s="11">
        <f>11.2885 * CHOOSE(CONTROL!$C$32, $C$9, 100%, $E$9)</f>
        <v>11.288500000000001</v>
      </c>
    </row>
    <row r="712" spans="1:15" ht="15" x14ac:dyDescent="0.2">
      <c r="A712" s="13">
        <v>62518</v>
      </c>
      <c r="B712" s="9">
        <f>10.3123 * CHOOSE(CONTROL!$C$32, $C$9, 100%, $E$9)</f>
        <v>10.3123</v>
      </c>
      <c r="C712" s="9">
        <f>10.3123 * CHOOSE(CONTROL!$C$32, $C$9, 100%, $E$9)</f>
        <v>10.3123</v>
      </c>
      <c r="D712" s="9">
        <f>10.3134 * CHOOSE(CONTROL!$C$32, $C$9, 100%, $E$9)</f>
        <v>10.3134</v>
      </c>
      <c r="E712" s="11">
        <f>11.5161 * CHOOSE(CONTROL!$C$32, $C$9, 100%, $E$9)</f>
        <v>11.5161</v>
      </c>
      <c r="F712" s="11">
        <f>11.5161 * CHOOSE(CONTROL!$C$32, $C$9, 100%, $E$9)</f>
        <v>11.5161</v>
      </c>
      <c r="G712" s="11">
        <f>11.5198 * CHOOSE(CONTROL!$C$32, $C$9, 100%, $E$9)</f>
        <v>11.5198</v>
      </c>
      <c r="H712" s="11">
        <f>23.9462 * CHOOSE(CONTROL!$C$32, $C$9, 100%, $E$9)</f>
        <v>23.946200000000001</v>
      </c>
      <c r="I712" s="11">
        <f>23.9499 * CHOOSE(CONTROL!$C$32, $C$9, 100%, $E$9)</f>
        <v>23.9499</v>
      </c>
      <c r="J712" s="11">
        <f>23.9462 * CHOOSE(CONTROL!$C$32, $C$9, 100%, $E$9)</f>
        <v>23.946200000000001</v>
      </c>
      <c r="K712" s="11">
        <f>23.9499 * CHOOSE(CONTROL!$C$32, $C$9, 100%, $E$9)</f>
        <v>23.9499</v>
      </c>
      <c r="L712" s="11">
        <f>11.5161 * CHOOSE(CONTROL!$C$32, $C$9, 100%, $E$9)</f>
        <v>11.5161</v>
      </c>
      <c r="M712" s="11">
        <f>11.5198 * CHOOSE(CONTROL!$C$32, $C$9, 100%, $E$9)</f>
        <v>11.5198</v>
      </c>
      <c r="N712" s="11">
        <f>11.5161 * CHOOSE(CONTROL!$C$32, $C$9, 100%, $E$9)</f>
        <v>11.5161</v>
      </c>
      <c r="O712" s="11">
        <f>11.5198 * CHOOSE(CONTROL!$C$32, $C$9, 100%, $E$9)</f>
        <v>11.5198</v>
      </c>
    </row>
    <row r="713" spans="1:15" ht="15" x14ac:dyDescent="0.2">
      <c r="A713" s="13">
        <v>62549</v>
      </c>
      <c r="B713" s="9">
        <f>10.3161 * CHOOSE(CONTROL!$C$32, $C$9, 100%, $E$9)</f>
        <v>10.3161</v>
      </c>
      <c r="C713" s="9">
        <f>10.3161 * CHOOSE(CONTROL!$C$32, $C$9, 100%, $E$9)</f>
        <v>10.3161</v>
      </c>
      <c r="D713" s="9">
        <f>10.3172 * CHOOSE(CONTROL!$C$32, $C$9, 100%, $E$9)</f>
        <v>10.3172</v>
      </c>
      <c r="E713" s="11">
        <f>11.7625 * CHOOSE(CONTROL!$C$32, $C$9, 100%, $E$9)</f>
        <v>11.762499999999999</v>
      </c>
      <c r="F713" s="11">
        <f>11.7625 * CHOOSE(CONTROL!$C$32, $C$9, 100%, $E$9)</f>
        <v>11.762499999999999</v>
      </c>
      <c r="G713" s="11">
        <f>11.7661 * CHOOSE(CONTROL!$C$32, $C$9, 100%, $E$9)</f>
        <v>11.7661</v>
      </c>
      <c r="H713" s="11">
        <f>23.9961 * CHOOSE(CONTROL!$C$32, $C$9, 100%, $E$9)</f>
        <v>23.996099999999998</v>
      </c>
      <c r="I713" s="11">
        <f>23.9997 * CHOOSE(CONTROL!$C$32, $C$9, 100%, $E$9)</f>
        <v>23.999700000000001</v>
      </c>
      <c r="J713" s="11">
        <f>23.9961 * CHOOSE(CONTROL!$C$32, $C$9, 100%, $E$9)</f>
        <v>23.996099999999998</v>
      </c>
      <c r="K713" s="11">
        <f>23.9997 * CHOOSE(CONTROL!$C$32, $C$9, 100%, $E$9)</f>
        <v>23.999700000000001</v>
      </c>
      <c r="L713" s="11">
        <f>11.7625 * CHOOSE(CONTROL!$C$32, $C$9, 100%, $E$9)</f>
        <v>11.762499999999999</v>
      </c>
      <c r="M713" s="11">
        <f>11.7661 * CHOOSE(CONTROL!$C$32, $C$9, 100%, $E$9)</f>
        <v>11.7661</v>
      </c>
      <c r="N713" s="11">
        <f>11.7625 * CHOOSE(CONTROL!$C$32, $C$9, 100%, $E$9)</f>
        <v>11.762499999999999</v>
      </c>
      <c r="O713" s="11">
        <f>11.7661 * CHOOSE(CONTROL!$C$32, $C$9, 100%, $E$9)</f>
        <v>11.7661</v>
      </c>
    </row>
    <row r="714" spans="1:15" ht="15" x14ac:dyDescent="0.2">
      <c r="A714" s="13">
        <v>62579</v>
      </c>
      <c r="B714" s="9">
        <f>10.3161 * CHOOSE(CONTROL!$C$32, $C$9, 100%, $E$9)</f>
        <v>10.3161</v>
      </c>
      <c r="C714" s="9">
        <f>10.3161 * CHOOSE(CONTROL!$C$32, $C$9, 100%, $E$9)</f>
        <v>10.3161</v>
      </c>
      <c r="D714" s="9">
        <f>10.3177 * CHOOSE(CONTROL!$C$32, $C$9, 100%, $E$9)</f>
        <v>10.3177</v>
      </c>
      <c r="E714" s="11">
        <f>11.8565 * CHOOSE(CONTROL!$C$32, $C$9, 100%, $E$9)</f>
        <v>11.8565</v>
      </c>
      <c r="F714" s="11">
        <f>11.8565 * CHOOSE(CONTROL!$C$32, $C$9, 100%, $E$9)</f>
        <v>11.8565</v>
      </c>
      <c r="G714" s="11">
        <f>11.8618 * CHOOSE(CONTROL!$C$32, $C$9, 100%, $E$9)</f>
        <v>11.861800000000001</v>
      </c>
      <c r="H714" s="11">
        <f>24.0461 * CHOOSE(CONTROL!$C$32, $C$9, 100%, $E$9)</f>
        <v>24.046099999999999</v>
      </c>
      <c r="I714" s="11">
        <f>24.0514 * CHOOSE(CONTROL!$C$32, $C$9, 100%, $E$9)</f>
        <v>24.051400000000001</v>
      </c>
      <c r="J714" s="11">
        <f>24.0461 * CHOOSE(CONTROL!$C$32, $C$9, 100%, $E$9)</f>
        <v>24.046099999999999</v>
      </c>
      <c r="K714" s="11">
        <f>24.0514 * CHOOSE(CONTROL!$C$32, $C$9, 100%, $E$9)</f>
        <v>24.051400000000001</v>
      </c>
      <c r="L714" s="11">
        <f>11.8565 * CHOOSE(CONTROL!$C$32, $C$9, 100%, $E$9)</f>
        <v>11.8565</v>
      </c>
      <c r="M714" s="11">
        <f>11.8618 * CHOOSE(CONTROL!$C$32, $C$9, 100%, $E$9)</f>
        <v>11.861800000000001</v>
      </c>
      <c r="N714" s="11">
        <f>11.8565 * CHOOSE(CONTROL!$C$32, $C$9, 100%, $E$9)</f>
        <v>11.8565</v>
      </c>
      <c r="O714" s="11">
        <f>11.8618 * CHOOSE(CONTROL!$C$32, $C$9, 100%, $E$9)</f>
        <v>11.861800000000001</v>
      </c>
    </row>
    <row r="715" spans="1:15" ht="15" x14ac:dyDescent="0.2">
      <c r="A715" s="13">
        <v>62610</v>
      </c>
      <c r="B715" s="9">
        <f>10.3222 * CHOOSE(CONTROL!$C$32, $C$9, 100%, $E$9)</f>
        <v>10.3222</v>
      </c>
      <c r="C715" s="9">
        <f>10.3222 * CHOOSE(CONTROL!$C$32, $C$9, 100%, $E$9)</f>
        <v>10.3222</v>
      </c>
      <c r="D715" s="9">
        <f>10.3238 * CHOOSE(CONTROL!$C$32, $C$9, 100%, $E$9)</f>
        <v>10.3238</v>
      </c>
      <c r="E715" s="11">
        <f>11.7667 * CHOOSE(CONTROL!$C$32, $C$9, 100%, $E$9)</f>
        <v>11.7667</v>
      </c>
      <c r="F715" s="11">
        <f>11.7667 * CHOOSE(CONTROL!$C$32, $C$9, 100%, $E$9)</f>
        <v>11.7667</v>
      </c>
      <c r="G715" s="11">
        <f>11.772 * CHOOSE(CONTROL!$C$32, $C$9, 100%, $E$9)</f>
        <v>11.772</v>
      </c>
      <c r="H715" s="11">
        <f>24.0962 * CHOOSE(CONTROL!$C$32, $C$9, 100%, $E$9)</f>
        <v>24.0962</v>
      </c>
      <c r="I715" s="11">
        <f>24.1015 * CHOOSE(CONTROL!$C$32, $C$9, 100%, $E$9)</f>
        <v>24.101500000000001</v>
      </c>
      <c r="J715" s="11">
        <f>24.0962 * CHOOSE(CONTROL!$C$32, $C$9, 100%, $E$9)</f>
        <v>24.0962</v>
      </c>
      <c r="K715" s="11">
        <f>24.1015 * CHOOSE(CONTROL!$C$32, $C$9, 100%, $E$9)</f>
        <v>24.101500000000001</v>
      </c>
      <c r="L715" s="11">
        <f>11.7667 * CHOOSE(CONTROL!$C$32, $C$9, 100%, $E$9)</f>
        <v>11.7667</v>
      </c>
      <c r="M715" s="11">
        <f>11.772 * CHOOSE(CONTROL!$C$32, $C$9, 100%, $E$9)</f>
        <v>11.772</v>
      </c>
      <c r="N715" s="11">
        <f>11.7667 * CHOOSE(CONTROL!$C$32, $C$9, 100%, $E$9)</f>
        <v>11.7667</v>
      </c>
      <c r="O715" s="11">
        <f>11.772 * CHOOSE(CONTROL!$C$32, $C$9, 100%, $E$9)</f>
        <v>11.772</v>
      </c>
    </row>
    <row r="716" spans="1:15" ht="15" x14ac:dyDescent="0.2">
      <c r="A716" s="13">
        <v>62640</v>
      </c>
      <c r="B716" s="9">
        <f>10.4501 * CHOOSE(CONTROL!$C$32, $C$9, 100%, $E$9)</f>
        <v>10.450100000000001</v>
      </c>
      <c r="C716" s="9">
        <f>10.4501 * CHOOSE(CONTROL!$C$32, $C$9, 100%, $E$9)</f>
        <v>10.450100000000001</v>
      </c>
      <c r="D716" s="9">
        <f>10.4517 * CHOOSE(CONTROL!$C$32, $C$9, 100%, $E$9)</f>
        <v>10.451700000000001</v>
      </c>
      <c r="E716" s="11">
        <f>11.9319 * CHOOSE(CONTROL!$C$32, $C$9, 100%, $E$9)</f>
        <v>11.931900000000001</v>
      </c>
      <c r="F716" s="11">
        <f>11.9319 * CHOOSE(CONTROL!$C$32, $C$9, 100%, $E$9)</f>
        <v>11.931900000000001</v>
      </c>
      <c r="G716" s="11">
        <f>11.9371 * CHOOSE(CONTROL!$C$32, $C$9, 100%, $E$9)</f>
        <v>11.937099999999999</v>
      </c>
      <c r="H716" s="11">
        <f>24.1464 * CHOOSE(CONTROL!$C$32, $C$9, 100%, $E$9)</f>
        <v>24.1464</v>
      </c>
      <c r="I716" s="11">
        <f>24.1517 * CHOOSE(CONTROL!$C$32, $C$9, 100%, $E$9)</f>
        <v>24.151700000000002</v>
      </c>
      <c r="J716" s="11">
        <f>24.1464 * CHOOSE(CONTROL!$C$32, $C$9, 100%, $E$9)</f>
        <v>24.1464</v>
      </c>
      <c r="K716" s="11">
        <f>24.1517 * CHOOSE(CONTROL!$C$32, $C$9, 100%, $E$9)</f>
        <v>24.151700000000002</v>
      </c>
      <c r="L716" s="11">
        <f>11.9319 * CHOOSE(CONTROL!$C$32, $C$9, 100%, $E$9)</f>
        <v>11.931900000000001</v>
      </c>
      <c r="M716" s="11">
        <f>11.9371 * CHOOSE(CONTROL!$C$32, $C$9, 100%, $E$9)</f>
        <v>11.937099999999999</v>
      </c>
      <c r="N716" s="11">
        <f>11.9319 * CHOOSE(CONTROL!$C$32, $C$9, 100%, $E$9)</f>
        <v>11.931900000000001</v>
      </c>
      <c r="O716" s="11">
        <f>11.9371 * CHOOSE(CONTROL!$C$32, $C$9, 100%, $E$9)</f>
        <v>11.937099999999999</v>
      </c>
    </row>
    <row r="717" spans="1:15" ht="15" x14ac:dyDescent="0.2">
      <c r="A717" s="13">
        <v>62671</v>
      </c>
      <c r="B717" s="9">
        <f>10.4568 * CHOOSE(CONTROL!$C$32, $C$9, 100%, $E$9)</f>
        <v>10.456799999999999</v>
      </c>
      <c r="C717" s="9">
        <f>10.4568 * CHOOSE(CONTROL!$C$32, $C$9, 100%, $E$9)</f>
        <v>10.456799999999999</v>
      </c>
      <c r="D717" s="9">
        <f>10.4584 * CHOOSE(CONTROL!$C$32, $C$9, 100%, $E$9)</f>
        <v>10.458399999999999</v>
      </c>
      <c r="E717" s="11">
        <f>11.6546 * CHOOSE(CONTROL!$C$32, $C$9, 100%, $E$9)</f>
        <v>11.6546</v>
      </c>
      <c r="F717" s="11">
        <f>11.6546 * CHOOSE(CONTROL!$C$32, $C$9, 100%, $E$9)</f>
        <v>11.6546</v>
      </c>
      <c r="G717" s="11">
        <f>11.6599 * CHOOSE(CONTROL!$C$32, $C$9, 100%, $E$9)</f>
        <v>11.6599</v>
      </c>
      <c r="H717" s="11">
        <f>24.1967 * CHOOSE(CONTROL!$C$32, $C$9, 100%, $E$9)</f>
        <v>24.1967</v>
      </c>
      <c r="I717" s="11">
        <f>24.202 * CHOOSE(CONTROL!$C$32, $C$9, 100%, $E$9)</f>
        <v>24.202000000000002</v>
      </c>
      <c r="J717" s="11">
        <f>24.1967 * CHOOSE(CONTROL!$C$32, $C$9, 100%, $E$9)</f>
        <v>24.1967</v>
      </c>
      <c r="K717" s="11">
        <f>24.202 * CHOOSE(CONTROL!$C$32, $C$9, 100%, $E$9)</f>
        <v>24.202000000000002</v>
      </c>
      <c r="L717" s="11">
        <f>11.6546 * CHOOSE(CONTROL!$C$32, $C$9, 100%, $E$9)</f>
        <v>11.6546</v>
      </c>
      <c r="M717" s="11">
        <f>11.6599 * CHOOSE(CONTROL!$C$32, $C$9, 100%, $E$9)</f>
        <v>11.6599</v>
      </c>
      <c r="N717" s="11">
        <f>11.6546 * CHOOSE(CONTROL!$C$32, $C$9, 100%, $E$9)</f>
        <v>11.6546</v>
      </c>
      <c r="O717" s="11">
        <f>11.6599 * CHOOSE(CONTROL!$C$32, $C$9, 100%, $E$9)</f>
        <v>11.6599</v>
      </c>
    </row>
    <row r="718" spans="1:15" ht="15" x14ac:dyDescent="0.2">
      <c r="A718" s="13">
        <v>62702</v>
      </c>
      <c r="B718" s="9">
        <f>10.4538 * CHOOSE(CONTROL!$C$32, $C$9, 100%, $E$9)</f>
        <v>10.453799999999999</v>
      </c>
      <c r="C718" s="9">
        <f>10.4538 * CHOOSE(CONTROL!$C$32, $C$9, 100%, $E$9)</f>
        <v>10.453799999999999</v>
      </c>
      <c r="D718" s="9">
        <f>10.4553 * CHOOSE(CONTROL!$C$32, $C$9, 100%, $E$9)</f>
        <v>10.455299999999999</v>
      </c>
      <c r="E718" s="11">
        <f>11.6211 * CHOOSE(CONTROL!$C$32, $C$9, 100%, $E$9)</f>
        <v>11.6211</v>
      </c>
      <c r="F718" s="11">
        <f>11.6211 * CHOOSE(CONTROL!$C$32, $C$9, 100%, $E$9)</f>
        <v>11.6211</v>
      </c>
      <c r="G718" s="11">
        <f>11.6264 * CHOOSE(CONTROL!$C$32, $C$9, 100%, $E$9)</f>
        <v>11.6264</v>
      </c>
      <c r="H718" s="11">
        <f>24.2471 * CHOOSE(CONTROL!$C$32, $C$9, 100%, $E$9)</f>
        <v>24.2471</v>
      </c>
      <c r="I718" s="11">
        <f>24.2524 * CHOOSE(CONTROL!$C$32, $C$9, 100%, $E$9)</f>
        <v>24.252400000000002</v>
      </c>
      <c r="J718" s="11">
        <f>24.2471 * CHOOSE(CONTROL!$C$32, $C$9, 100%, $E$9)</f>
        <v>24.2471</v>
      </c>
      <c r="K718" s="11">
        <f>24.2524 * CHOOSE(CONTROL!$C$32, $C$9, 100%, $E$9)</f>
        <v>24.252400000000002</v>
      </c>
      <c r="L718" s="11">
        <f>11.6211 * CHOOSE(CONTROL!$C$32, $C$9, 100%, $E$9)</f>
        <v>11.6211</v>
      </c>
      <c r="M718" s="11">
        <f>11.6264 * CHOOSE(CONTROL!$C$32, $C$9, 100%, $E$9)</f>
        <v>11.6264</v>
      </c>
      <c r="N718" s="11">
        <f>11.6211 * CHOOSE(CONTROL!$C$32, $C$9, 100%, $E$9)</f>
        <v>11.6211</v>
      </c>
      <c r="O718" s="11">
        <f>11.6264 * CHOOSE(CONTROL!$C$32, $C$9, 100%, $E$9)</f>
        <v>11.6264</v>
      </c>
    </row>
    <row r="719" spans="1:15" ht="15" x14ac:dyDescent="0.2">
      <c r="A719" s="13">
        <v>62732</v>
      </c>
      <c r="B719" s="9">
        <f>10.4729 * CHOOSE(CONTROL!$C$32, $C$9, 100%, $E$9)</f>
        <v>10.472899999999999</v>
      </c>
      <c r="C719" s="9">
        <f>10.4729 * CHOOSE(CONTROL!$C$32, $C$9, 100%, $E$9)</f>
        <v>10.472899999999999</v>
      </c>
      <c r="D719" s="9">
        <f>10.474 * CHOOSE(CONTROL!$C$32, $C$9, 100%, $E$9)</f>
        <v>10.474</v>
      </c>
      <c r="E719" s="11">
        <f>11.733 * CHOOSE(CONTROL!$C$32, $C$9, 100%, $E$9)</f>
        <v>11.733000000000001</v>
      </c>
      <c r="F719" s="11">
        <f>11.733 * CHOOSE(CONTROL!$C$32, $C$9, 100%, $E$9)</f>
        <v>11.733000000000001</v>
      </c>
      <c r="G719" s="11">
        <f>11.7366 * CHOOSE(CONTROL!$C$32, $C$9, 100%, $E$9)</f>
        <v>11.736599999999999</v>
      </c>
      <c r="H719" s="11">
        <f>24.2976 * CHOOSE(CONTROL!$C$32, $C$9, 100%, $E$9)</f>
        <v>24.297599999999999</v>
      </c>
      <c r="I719" s="11">
        <f>24.3013 * CHOOSE(CONTROL!$C$32, $C$9, 100%, $E$9)</f>
        <v>24.301300000000001</v>
      </c>
      <c r="J719" s="11">
        <f>24.2976 * CHOOSE(CONTROL!$C$32, $C$9, 100%, $E$9)</f>
        <v>24.297599999999999</v>
      </c>
      <c r="K719" s="11">
        <f>24.3013 * CHOOSE(CONTROL!$C$32, $C$9, 100%, $E$9)</f>
        <v>24.301300000000001</v>
      </c>
      <c r="L719" s="11">
        <f>11.733 * CHOOSE(CONTROL!$C$32, $C$9, 100%, $E$9)</f>
        <v>11.733000000000001</v>
      </c>
      <c r="M719" s="11">
        <f>11.7366 * CHOOSE(CONTROL!$C$32, $C$9, 100%, $E$9)</f>
        <v>11.736599999999999</v>
      </c>
      <c r="N719" s="11">
        <f>11.733 * CHOOSE(CONTROL!$C$32, $C$9, 100%, $E$9)</f>
        <v>11.733000000000001</v>
      </c>
      <c r="O719" s="11">
        <f>11.7366 * CHOOSE(CONTROL!$C$32, $C$9, 100%, $E$9)</f>
        <v>11.736599999999999</v>
      </c>
    </row>
    <row r="720" spans="1:15" ht="15" x14ac:dyDescent="0.2">
      <c r="A720" s="13">
        <v>62763</v>
      </c>
      <c r="B720" s="9">
        <f>10.476 * CHOOSE(CONTROL!$C$32, $C$9, 100%, $E$9)</f>
        <v>10.476000000000001</v>
      </c>
      <c r="C720" s="9">
        <f>10.476 * CHOOSE(CONTROL!$C$32, $C$9, 100%, $E$9)</f>
        <v>10.476000000000001</v>
      </c>
      <c r="D720" s="9">
        <f>10.477 * CHOOSE(CONTROL!$C$32, $C$9, 100%, $E$9)</f>
        <v>10.477</v>
      </c>
      <c r="E720" s="11">
        <f>11.7978 * CHOOSE(CONTROL!$C$32, $C$9, 100%, $E$9)</f>
        <v>11.797800000000001</v>
      </c>
      <c r="F720" s="11">
        <f>11.7978 * CHOOSE(CONTROL!$C$32, $C$9, 100%, $E$9)</f>
        <v>11.797800000000001</v>
      </c>
      <c r="G720" s="11">
        <f>11.8014 * CHOOSE(CONTROL!$C$32, $C$9, 100%, $E$9)</f>
        <v>11.801399999999999</v>
      </c>
      <c r="H720" s="11">
        <f>24.3483 * CHOOSE(CONTROL!$C$32, $C$9, 100%, $E$9)</f>
        <v>24.348299999999998</v>
      </c>
      <c r="I720" s="11">
        <f>24.3519 * CHOOSE(CONTROL!$C$32, $C$9, 100%, $E$9)</f>
        <v>24.351900000000001</v>
      </c>
      <c r="J720" s="11">
        <f>24.3483 * CHOOSE(CONTROL!$C$32, $C$9, 100%, $E$9)</f>
        <v>24.348299999999998</v>
      </c>
      <c r="K720" s="11">
        <f>24.3519 * CHOOSE(CONTROL!$C$32, $C$9, 100%, $E$9)</f>
        <v>24.351900000000001</v>
      </c>
      <c r="L720" s="11">
        <f>11.7978 * CHOOSE(CONTROL!$C$32, $C$9, 100%, $E$9)</f>
        <v>11.797800000000001</v>
      </c>
      <c r="M720" s="11">
        <f>11.8014 * CHOOSE(CONTROL!$C$32, $C$9, 100%, $E$9)</f>
        <v>11.801399999999999</v>
      </c>
      <c r="N720" s="11">
        <f>11.7978 * CHOOSE(CONTROL!$C$32, $C$9, 100%, $E$9)</f>
        <v>11.797800000000001</v>
      </c>
      <c r="O720" s="11">
        <f>11.8014 * CHOOSE(CONTROL!$C$32, $C$9, 100%, $E$9)</f>
        <v>11.801399999999999</v>
      </c>
    </row>
    <row r="721" spans="1:15" ht="15" x14ac:dyDescent="0.2">
      <c r="A721" s="13">
        <v>62793</v>
      </c>
      <c r="B721" s="9">
        <f>10.476 * CHOOSE(CONTROL!$C$32, $C$9, 100%, $E$9)</f>
        <v>10.476000000000001</v>
      </c>
      <c r="C721" s="9">
        <f>10.476 * CHOOSE(CONTROL!$C$32, $C$9, 100%, $E$9)</f>
        <v>10.476000000000001</v>
      </c>
      <c r="D721" s="9">
        <f>10.477 * CHOOSE(CONTROL!$C$32, $C$9, 100%, $E$9)</f>
        <v>10.477</v>
      </c>
      <c r="E721" s="11">
        <f>11.6412 * CHOOSE(CONTROL!$C$32, $C$9, 100%, $E$9)</f>
        <v>11.6412</v>
      </c>
      <c r="F721" s="11">
        <f>11.6412 * CHOOSE(CONTROL!$C$32, $C$9, 100%, $E$9)</f>
        <v>11.6412</v>
      </c>
      <c r="G721" s="11">
        <f>11.6448 * CHOOSE(CONTROL!$C$32, $C$9, 100%, $E$9)</f>
        <v>11.6448</v>
      </c>
      <c r="H721" s="11">
        <f>24.399 * CHOOSE(CONTROL!$C$32, $C$9, 100%, $E$9)</f>
        <v>24.399000000000001</v>
      </c>
      <c r="I721" s="11">
        <f>24.4026 * CHOOSE(CONTROL!$C$32, $C$9, 100%, $E$9)</f>
        <v>24.4026</v>
      </c>
      <c r="J721" s="11">
        <f>24.399 * CHOOSE(CONTROL!$C$32, $C$9, 100%, $E$9)</f>
        <v>24.399000000000001</v>
      </c>
      <c r="K721" s="11">
        <f>24.4026 * CHOOSE(CONTROL!$C$32, $C$9, 100%, $E$9)</f>
        <v>24.4026</v>
      </c>
      <c r="L721" s="11">
        <f>11.6412 * CHOOSE(CONTROL!$C$32, $C$9, 100%, $E$9)</f>
        <v>11.6412</v>
      </c>
      <c r="M721" s="11">
        <f>11.6448 * CHOOSE(CONTROL!$C$32, $C$9, 100%, $E$9)</f>
        <v>11.6448</v>
      </c>
      <c r="N721" s="11">
        <f>11.6412 * CHOOSE(CONTROL!$C$32, $C$9, 100%, $E$9)</f>
        <v>11.6412</v>
      </c>
      <c r="O721" s="11">
        <f>11.6448 * CHOOSE(CONTROL!$C$32, $C$9, 100%, $E$9)</f>
        <v>11.6448</v>
      </c>
    </row>
    <row r="722" spans="1:15" ht="15" x14ac:dyDescent="0.2">
      <c r="A722" s="13">
        <v>62824</v>
      </c>
      <c r="B722" s="9">
        <f>10.5058 * CHOOSE(CONTROL!$C$32, $C$9, 100%, $E$9)</f>
        <v>10.505800000000001</v>
      </c>
      <c r="C722" s="9">
        <f>10.5058 * CHOOSE(CONTROL!$C$32, $C$9, 100%, $E$9)</f>
        <v>10.505800000000001</v>
      </c>
      <c r="D722" s="9">
        <f>10.5069 * CHOOSE(CONTROL!$C$32, $C$9, 100%, $E$9)</f>
        <v>10.5069</v>
      </c>
      <c r="E722" s="11">
        <f>11.7955 * CHOOSE(CONTROL!$C$32, $C$9, 100%, $E$9)</f>
        <v>11.795500000000001</v>
      </c>
      <c r="F722" s="11">
        <f>11.7955 * CHOOSE(CONTROL!$C$32, $C$9, 100%, $E$9)</f>
        <v>11.795500000000001</v>
      </c>
      <c r="G722" s="11">
        <f>11.7991 * CHOOSE(CONTROL!$C$32, $C$9, 100%, $E$9)</f>
        <v>11.799099999999999</v>
      </c>
      <c r="H722" s="11">
        <f>24.3186 * CHOOSE(CONTROL!$C$32, $C$9, 100%, $E$9)</f>
        <v>24.3186</v>
      </c>
      <c r="I722" s="11">
        <f>24.3222 * CHOOSE(CONTROL!$C$32, $C$9, 100%, $E$9)</f>
        <v>24.322199999999999</v>
      </c>
      <c r="J722" s="11">
        <f>24.3186 * CHOOSE(CONTROL!$C$32, $C$9, 100%, $E$9)</f>
        <v>24.3186</v>
      </c>
      <c r="K722" s="11">
        <f>24.3222 * CHOOSE(CONTROL!$C$32, $C$9, 100%, $E$9)</f>
        <v>24.322199999999999</v>
      </c>
      <c r="L722" s="11">
        <f>11.7955 * CHOOSE(CONTROL!$C$32, $C$9, 100%, $E$9)</f>
        <v>11.795500000000001</v>
      </c>
      <c r="M722" s="11">
        <f>11.7991 * CHOOSE(CONTROL!$C$32, $C$9, 100%, $E$9)</f>
        <v>11.799099999999999</v>
      </c>
      <c r="N722" s="11">
        <f>11.7955 * CHOOSE(CONTROL!$C$32, $C$9, 100%, $E$9)</f>
        <v>11.795500000000001</v>
      </c>
      <c r="O722" s="11">
        <f>11.7991 * CHOOSE(CONTROL!$C$32, $C$9, 100%, $E$9)</f>
        <v>11.799099999999999</v>
      </c>
    </row>
    <row r="723" spans="1:15" ht="15" x14ac:dyDescent="0.2">
      <c r="A723" s="13">
        <v>62855</v>
      </c>
      <c r="B723" s="9">
        <f>10.5027 * CHOOSE(CONTROL!$C$32, $C$9, 100%, $E$9)</f>
        <v>10.502700000000001</v>
      </c>
      <c r="C723" s="9">
        <f>10.5027 * CHOOSE(CONTROL!$C$32, $C$9, 100%, $E$9)</f>
        <v>10.502700000000001</v>
      </c>
      <c r="D723" s="9">
        <f>10.5038 * CHOOSE(CONTROL!$C$32, $C$9, 100%, $E$9)</f>
        <v>10.5038</v>
      </c>
      <c r="E723" s="11">
        <f>11.4903 * CHOOSE(CONTROL!$C$32, $C$9, 100%, $E$9)</f>
        <v>11.4903</v>
      </c>
      <c r="F723" s="11">
        <f>11.4903 * CHOOSE(CONTROL!$C$32, $C$9, 100%, $E$9)</f>
        <v>11.4903</v>
      </c>
      <c r="G723" s="11">
        <f>11.4939 * CHOOSE(CONTROL!$C$32, $C$9, 100%, $E$9)</f>
        <v>11.4939</v>
      </c>
      <c r="H723" s="11">
        <f>24.3692 * CHOOSE(CONTROL!$C$32, $C$9, 100%, $E$9)</f>
        <v>24.369199999999999</v>
      </c>
      <c r="I723" s="11">
        <f>24.3729 * CHOOSE(CONTROL!$C$32, $C$9, 100%, $E$9)</f>
        <v>24.372900000000001</v>
      </c>
      <c r="J723" s="11">
        <f>24.3692 * CHOOSE(CONTROL!$C$32, $C$9, 100%, $E$9)</f>
        <v>24.369199999999999</v>
      </c>
      <c r="K723" s="11">
        <f>24.3729 * CHOOSE(CONTROL!$C$32, $C$9, 100%, $E$9)</f>
        <v>24.372900000000001</v>
      </c>
      <c r="L723" s="11">
        <f>11.4903 * CHOOSE(CONTROL!$C$32, $C$9, 100%, $E$9)</f>
        <v>11.4903</v>
      </c>
      <c r="M723" s="11">
        <f>11.4939 * CHOOSE(CONTROL!$C$32, $C$9, 100%, $E$9)</f>
        <v>11.4939</v>
      </c>
      <c r="N723" s="11">
        <f>11.4903 * CHOOSE(CONTROL!$C$32, $C$9, 100%, $E$9)</f>
        <v>11.4903</v>
      </c>
      <c r="O723" s="11">
        <f>11.4939 * CHOOSE(CONTROL!$C$32, $C$9, 100%, $E$9)</f>
        <v>11.4939</v>
      </c>
    </row>
    <row r="724" spans="1:15" ht="15" x14ac:dyDescent="0.2">
      <c r="A724" s="13">
        <v>62884</v>
      </c>
      <c r="B724" s="9">
        <f>10.4997 * CHOOSE(CONTROL!$C$32, $C$9, 100%, $E$9)</f>
        <v>10.499700000000001</v>
      </c>
      <c r="C724" s="9">
        <f>10.4997 * CHOOSE(CONTROL!$C$32, $C$9, 100%, $E$9)</f>
        <v>10.499700000000001</v>
      </c>
      <c r="D724" s="9">
        <f>10.5008 * CHOOSE(CONTROL!$C$32, $C$9, 100%, $E$9)</f>
        <v>10.5008</v>
      </c>
      <c r="E724" s="11">
        <f>11.7271 * CHOOSE(CONTROL!$C$32, $C$9, 100%, $E$9)</f>
        <v>11.7271</v>
      </c>
      <c r="F724" s="11">
        <f>11.7271 * CHOOSE(CONTROL!$C$32, $C$9, 100%, $E$9)</f>
        <v>11.7271</v>
      </c>
      <c r="G724" s="11">
        <f>11.7308 * CHOOSE(CONTROL!$C$32, $C$9, 100%, $E$9)</f>
        <v>11.7308</v>
      </c>
      <c r="H724" s="11">
        <f>24.42 * CHOOSE(CONTROL!$C$32, $C$9, 100%, $E$9)</f>
        <v>24.42</v>
      </c>
      <c r="I724" s="11">
        <f>24.4236 * CHOOSE(CONTROL!$C$32, $C$9, 100%, $E$9)</f>
        <v>24.4236</v>
      </c>
      <c r="J724" s="11">
        <f>24.42 * CHOOSE(CONTROL!$C$32, $C$9, 100%, $E$9)</f>
        <v>24.42</v>
      </c>
      <c r="K724" s="11">
        <f>24.4236 * CHOOSE(CONTROL!$C$32, $C$9, 100%, $E$9)</f>
        <v>24.4236</v>
      </c>
      <c r="L724" s="11">
        <f>11.7271 * CHOOSE(CONTROL!$C$32, $C$9, 100%, $E$9)</f>
        <v>11.7271</v>
      </c>
      <c r="M724" s="11">
        <f>11.7308 * CHOOSE(CONTROL!$C$32, $C$9, 100%, $E$9)</f>
        <v>11.7308</v>
      </c>
      <c r="N724" s="11">
        <f>11.7271 * CHOOSE(CONTROL!$C$32, $C$9, 100%, $E$9)</f>
        <v>11.7271</v>
      </c>
      <c r="O724" s="11">
        <f>11.7308 * CHOOSE(CONTROL!$C$32, $C$9, 100%, $E$9)</f>
        <v>11.7308</v>
      </c>
    </row>
    <row r="725" spans="1:15" ht="15" x14ac:dyDescent="0.2">
      <c r="A725" s="13">
        <v>62915</v>
      </c>
      <c r="B725" s="9">
        <f>10.5037 * CHOOSE(CONTROL!$C$32, $C$9, 100%, $E$9)</f>
        <v>10.5037</v>
      </c>
      <c r="C725" s="9">
        <f>10.5037 * CHOOSE(CONTROL!$C$32, $C$9, 100%, $E$9)</f>
        <v>10.5037</v>
      </c>
      <c r="D725" s="9">
        <f>10.5047 * CHOOSE(CONTROL!$C$32, $C$9, 100%, $E$9)</f>
        <v>10.5047</v>
      </c>
      <c r="E725" s="11">
        <f>11.9795 * CHOOSE(CONTROL!$C$32, $C$9, 100%, $E$9)</f>
        <v>11.9795</v>
      </c>
      <c r="F725" s="11">
        <f>11.9795 * CHOOSE(CONTROL!$C$32, $C$9, 100%, $E$9)</f>
        <v>11.9795</v>
      </c>
      <c r="G725" s="11">
        <f>11.9831 * CHOOSE(CONTROL!$C$32, $C$9, 100%, $E$9)</f>
        <v>11.9831</v>
      </c>
      <c r="H725" s="11">
        <f>24.4709 * CHOOSE(CONTROL!$C$32, $C$9, 100%, $E$9)</f>
        <v>24.4709</v>
      </c>
      <c r="I725" s="11">
        <f>24.4745 * CHOOSE(CONTROL!$C$32, $C$9, 100%, $E$9)</f>
        <v>24.474499999999999</v>
      </c>
      <c r="J725" s="11">
        <f>24.4709 * CHOOSE(CONTROL!$C$32, $C$9, 100%, $E$9)</f>
        <v>24.4709</v>
      </c>
      <c r="K725" s="11">
        <f>24.4745 * CHOOSE(CONTROL!$C$32, $C$9, 100%, $E$9)</f>
        <v>24.474499999999999</v>
      </c>
      <c r="L725" s="11">
        <f>11.9795 * CHOOSE(CONTROL!$C$32, $C$9, 100%, $E$9)</f>
        <v>11.9795</v>
      </c>
      <c r="M725" s="11">
        <f>11.9831 * CHOOSE(CONTROL!$C$32, $C$9, 100%, $E$9)</f>
        <v>11.9831</v>
      </c>
      <c r="N725" s="11">
        <f>11.9795 * CHOOSE(CONTROL!$C$32, $C$9, 100%, $E$9)</f>
        <v>11.9795</v>
      </c>
      <c r="O725" s="11">
        <f>11.9831 * CHOOSE(CONTROL!$C$32, $C$9, 100%, $E$9)</f>
        <v>11.9831</v>
      </c>
    </row>
    <row r="726" spans="1:15" ht="15" x14ac:dyDescent="0.2">
      <c r="A726" s="13">
        <v>62945</v>
      </c>
      <c r="B726" s="9">
        <f>10.5037 * CHOOSE(CONTROL!$C$32, $C$9, 100%, $E$9)</f>
        <v>10.5037</v>
      </c>
      <c r="C726" s="9">
        <f>10.5037 * CHOOSE(CONTROL!$C$32, $C$9, 100%, $E$9)</f>
        <v>10.5037</v>
      </c>
      <c r="D726" s="9">
        <f>10.5052 * CHOOSE(CONTROL!$C$32, $C$9, 100%, $E$9)</f>
        <v>10.5052</v>
      </c>
      <c r="E726" s="11">
        <f>12.0757 * CHOOSE(CONTROL!$C$32, $C$9, 100%, $E$9)</f>
        <v>12.075699999999999</v>
      </c>
      <c r="F726" s="11">
        <f>12.0757 * CHOOSE(CONTROL!$C$32, $C$9, 100%, $E$9)</f>
        <v>12.075699999999999</v>
      </c>
      <c r="G726" s="11">
        <f>12.081 * CHOOSE(CONTROL!$C$32, $C$9, 100%, $E$9)</f>
        <v>12.081</v>
      </c>
      <c r="H726" s="11">
        <f>24.5219 * CHOOSE(CONTROL!$C$32, $C$9, 100%, $E$9)</f>
        <v>24.521899999999999</v>
      </c>
      <c r="I726" s="11">
        <f>24.5272 * CHOOSE(CONTROL!$C$32, $C$9, 100%, $E$9)</f>
        <v>24.527200000000001</v>
      </c>
      <c r="J726" s="11">
        <f>24.5219 * CHOOSE(CONTROL!$C$32, $C$9, 100%, $E$9)</f>
        <v>24.521899999999999</v>
      </c>
      <c r="K726" s="11">
        <f>24.5272 * CHOOSE(CONTROL!$C$32, $C$9, 100%, $E$9)</f>
        <v>24.527200000000001</v>
      </c>
      <c r="L726" s="11">
        <f>12.0757 * CHOOSE(CONTROL!$C$32, $C$9, 100%, $E$9)</f>
        <v>12.075699999999999</v>
      </c>
      <c r="M726" s="11">
        <f>12.081 * CHOOSE(CONTROL!$C$32, $C$9, 100%, $E$9)</f>
        <v>12.081</v>
      </c>
      <c r="N726" s="11">
        <f>12.0757 * CHOOSE(CONTROL!$C$32, $C$9, 100%, $E$9)</f>
        <v>12.075699999999999</v>
      </c>
      <c r="O726" s="11">
        <f>12.081 * CHOOSE(CONTROL!$C$32, $C$9, 100%, $E$9)</f>
        <v>12.081</v>
      </c>
    </row>
    <row r="727" spans="1:15" ht="15" x14ac:dyDescent="0.2">
      <c r="A727" s="13">
        <v>62976</v>
      </c>
      <c r="B727" s="9">
        <f>10.5097 * CHOOSE(CONTROL!$C$32, $C$9, 100%, $E$9)</f>
        <v>10.5097</v>
      </c>
      <c r="C727" s="9">
        <f>10.5097 * CHOOSE(CONTROL!$C$32, $C$9, 100%, $E$9)</f>
        <v>10.5097</v>
      </c>
      <c r="D727" s="9">
        <f>10.5113 * CHOOSE(CONTROL!$C$32, $C$9, 100%, $E$9)</f>
        <v>10.5113</v>
      </c>
      <c r="E727" s="11">
        <f>11.9837 * CHOOSE(CONTROL!$C$32, $C$9, 100%, $E$9)</f>
        <v>11.983700000000001</v>
      </c>
      <c r="F727" s="11">
        <f>11.9837 * CHOOSE(CONTROL!$C$32, $C$9, 100%, $E$9)</f>
        <v>11.983700000000001</v>
      </c>
      <c r="G727" s="11">
        <f>11.989 * CHOOSE(CONTROL!$C$32, $C$9, 100%, $E$9)</f>
        <v>11.989000000000001</v>
      </c>
      <c r="H727" s="11">
        <f>24.573 * CHOOSE(CONTROL!$C$32, $C$9, 100%, $E$9)</f>
        <v>24.573</v>
      </c>
      <c r="I727" s="11">
        <f>24.5783 * CHOOSE(CONTROL!$C$32, $C$9, 100%, $E$9)</f>
        <v>24.578299999999999</v>
      </c>
      <c r="J727" s="11">
        <f>24.573 * CHOOSE(CONTROL!$C$32, $C$9, 100%, $E$9)</f>
        <v>24.573</v>
      </c>
      <c r="K727" s="11">
        <f>24.5783 * CHOOSE(CONTROL!$C$32, $C$9, 100%, $E$9)</f>
        <v>24.578299999999999</v>
      </c>
      <c r="L727" s="11">
        <f>11.9837 * CHOOSE(CONTROL!$C$32, $C$9, 100%, $E$9)</f>
        <v>11.983700000000001</v>
      </c>
      <c r="M727" s="11">
        <f>11.989 * CHOOSE(CONTROL!$C$32, $C$9, 100%, $E$9)</f>
        <v>11.989000000000001</v>
      </c>
      <c r="N727" s="11">
        <f>11.9837 * CHOOSE(CONTROL!$C$32, $C$9, 100%, $E$9)</f>
        <v>11.983700000000001</v>
      </c>
      <c r="O727" s="11">
        <f>11.989 * CHOOSE(CONTROL!$C$32, $C$9, 100%, $E$9)</f>
        <v>11.989000000000001</v>
      </c>
    </row>
    <row r="728" spans="1:15" ht="15" x14ac:dyDescent="0.2">
      <c r="A728" s="13">
        <v>63006</v>
      </c>
      <c r="B728" s="9">
        <f>10.6397 * CHOOSE(CONTROL!$C$32, $C$9, 100%, $E$9)</f>
        <v>10.639699999999999</v>
      </c>
      <c r="C728" s="9">
        <f>10.6397 * CHOOSE(CONTROL!$C$32, $C$9, 100%, $E$9)</f>
        <v>10.639699999999999</v>
      </c>
      <c r="D728" s="9">
        <f>10.6413 * CHOOSE(CONTROL!$C$32, $C$9, 100%, $E$9)</f>
        <v>10.641299999999999</v>
      </c>
      <c r="E728" s="11">
        <f>12.152 * CHOOSE(CONTROL!$C$32, $C$9, 100%, $E$9)</f>
        <v>12.151999999999999</v>
      </c>
      <c r="F728" s="11">
        <f>12.152 * CHOOSE(CONTROL!$C$32, $C$9, 100%, $E$9)</f>
        <v>12.151999999999999</v>
      </c>
      <c r="G728" s="11">
        <f>12.1573 * CHOOSE(CONTROL!$C$32, $C$9, 100%, $E$9)</f>
        <v>12.157299999999999</v>
      </c>
      <c r="H728" s="11">
        <f>24.6242 * CHOOSE(CONTROL!$C$32, $C$9, 100%, $E$9)</f>
        <v>24.624199999999998</v>
      </c>
      <c r="I728" s="11">
        <f>24.6294 * CHOOSE(CONTROL!$C$32, $C$9, 100%, $E$9)</f>
        <v>24.6294</v>
      </c>
      <c r="J728" s="11">
        <f>24.6242 * CHOOSE(CONTROL!$C$32, $C$9, 100%, $E$9)</f>
        <v>24.624199999999998</v>
      </c>
      <c r="K728" s="11">
        <f>24.6294 * CHOOSE(CONTROL!$C$32, $C$9, 100%, $E$9)</f>
        <v>24.6294</v>
      </c>
      <c r="L728" s="11">
        <f>12.152 * CHOOSE(CONTROL!$C$32, $C$9, 100%, $E$9)</f>
        <v>12.151999999999999</v>
      </c>
      <c r="M728" s="11">
        <f>12.1573 * CHOOSE(CONTROL!$C$32, $C$9, 100%, $E$9)</f>
        <v>12.157299999999999</v>
      </c>
      <c r="N728" s="11">
        <f>12.152 * CHOOSE(CONTROL!$C$32, $C$9, 100%, $E$9)</f>
        <v>12.151999999999999</v>
      </c>
      <c r="O728" s="11">
        <f>12.1573 * CHOOSE(CONTROL!$C$32, $C$9, 100%, $E$9)</f>
        <v>12.157299999999999</v>
      </c>
    </row>
    <row r="729" spans="1:15" ht="15" x14ac:dyDescent="0.2">
      <c r="A729" s="13">
        <v>63037</v>
      </c>
      <c r="B729" s="9">
        <f>10.6464 * CHOOSE(CONTROL!$C$32, $C$9, 100%, $E$9)</f>
        <v>10.6464</v>
      </c>
      <c r="C729" s="9">
        <f>10.6464 * CHOOSE(CONTROL!$C$32, $C$9, 100%, $E$9)</f>
        <v>10.6464</v>
      </c>
      <c r="D729" s="9">
        <f>10.648 * CHOOSE(CONTROL!$C$32, $C$9, 100%, $E$9)</f>
        <v>10.648</v>
      </c>
      <c r="E729" s="11">
        <f>11.868 * CHOOSE(CONTROL!$C$32, $C$9, 100%, $E$9)</f>
        <v>11.868</v>
      </c>
      <c r="F729" s="11">
        <f>11.868 * CHOOSE(CONTROL!$C$32, $C$9, 100%, $E$9)</f>
        <v>11.868</v>
      </c>
      <c r="G729" s="11">
        <f>11.8733 * CHOOSE(CONTROL!$C$32, $C$9, 100%, $E$9)</f>
        <v>11.8733</v>
      </c>
      <c r="H729" s="11">
        <f>24.6755 * CHOOSE(CONTROL!$C$32, $C$9, 100%, $E$9)</f>
        <v>24.6755</v>
      </c>
      <c r="I729" s="11">
        <f>24.6807 * CHOOSE(CONTROL!$C$32, $C$9, 100%, $E$9)</f>
        <v>24.680700000000002</v>
      </c>
      <c r="J729" s="11">
        <f>24.6755 * CHOOSE(CONTROL!$C$32, $C$9, 100%, $E$9)</f>
        <v>24.6755</v>
      </c>
      <c r="K729" s="11">
        <f>24.6807 * CHOOSE(CONTROL!$C$32, $C$9, 100%, $E$9)</f>
        <v>24.680700000000002</v>
      </c>
      <c r="L729" s="11">
        <f>11.868 * CHOOSE(CONTROL!$C$32, $C$9, 100%, $E$9)</f>
        <v>11.868</v>
      </c>
      <c r="M729" s="11">
        <f>11.8733 * CHOOSE(CONTROL!$C$32, $C$9, 100%, $E$9)</f>
        <v>11.8733</v>
      </c>
      <c r="N729" s="11">
        <f>11.868 * CHOOSE(CONTROL!$C$32, $C$9, 100%, $E$9)</f>
        <v>11.868</v>
      </c>
      <c r="O729" s="11">
        <f>11.8733 * CHOOSE(CONTROL!$C$32, $C$9, 100%, $E$9)</f>
        <v>11.8733</v>
      </c>
    </row>
    <row r="730" spans="1:15" ht="15" x14ac:dyDescent="0.2">
      <c r="A730" s="13">
        <v>63068</v>
      </c>
      <c r="B730" s="9">
        <f>10.6434 * CHOOSE(CONTROL!$C$32, $C$9, 100%, $E$9)</f>
        <v>10.6434</v>
      </c>
      <c r="C730" s="9">
        <f>10.6434 * CHOOSE(CONTROL!$C$32, $C$9, 100%, $E$9)</f>
        <v>10.6434</v>
      </c>
      <c r="D730" s="9">
        <f>10.6449 * CHOOSE(CONTROL!$C$32, $C$9, 100%, $E$9)</f>
        <v>10.6449</v>
      </c>
      <c r="E730" s="11">
        <f>11.8338 * CHOOSE(CONTROL!$C$32, $C$9, 100%, $E$9)</f>
        <v>11.8338</v>
      </c>
      <c r="F730" s="11">
        <f>11.8338 * CHOOSE(CONTROL!$C$32, $C$9, 100%, $E$9)</f>
        <v>11.8338</v>
      </c>
      <c r="G730" s="11">
        <f>11.8391 * CHOOSE(CONTROL!$C$32, $C$9, 100%, $E$9)</f>
        <v>11.8391</v>
      </c>
      <c r="H730" s="11">
        <f>24.7269 * CHOOSE(CONTROL!$C$32, $C$9, 100%, $E$9)</f>
        <v>24.726900000000001</v>
      </c>
      <c r="I730" s="11">
        <f>24.7322 * CHOOSE(CONTROL!$C$32, $C$9, 100%, $E$9)</f>
        <v>24.732199999999999</v>
      </c>
      <c r="J730" s="11">
        <f>24.7269 * CHOOSE(CONTROL!$C$32, $C$9, 100%, $E$9)</f>
        <v>24.726900000000001</v>
      </c>
      <c r="K730" s="11">
        <f>24.7322 * CHOOSE(CONTROL!$C$32, $C$9, 100%, $E$9)</f>
        <v>24.732199999999999</v>
      </c>
      <c r="L730" s="11">
        <f>11.8338 * CHOOSE(CONTROL!$C$32, $C$9, 100%, $E$9)</f>
        <v>11.8338</v>
      </c>
      <c r="M730" s="11">
        <f>11.8391 * CHOOSE(CONTROL!$C$32, $C$9, 100%, $E$9)</f>
        <v>11.8391</v>
      </c>
      <c r="N730" s="11">
        <f>11.8338 * CHOOSE(CONTROL!$C$32, $C$9, 100%, $E$9)</f>
        <v>11.8338</v>
      </c>
      <c r="O730" s="11">
        <f>11.8391 * CHOOSE(CONTROL!$C$32, $C$9, 100%, $E$9)</f>
        <v>11.8391</v>
      </c>
    </row>
    <row r="731" spans="1:15" ht="15" x14ac:dyDescent="0.2">
      <c r="A731" s="13">
        <v>63098</v>
      </c>
      <c r="B731" s="9">
        <f>10.6632 * CHOOSE(CONTROL!$C$32, $C$9, 100%, $E$9)</f>
        <v>10.6632</v>
      </c>
      <c r="C731" s="9">
        <f>10.6632 * CHOOSE(CONTROL!$C$32, $C$9, 100%, $E$9)</f>
        <v>10.6632</v>
      </c>
      <c r="D731" s="9">
        <f>10.6643 * CHOOSE(CONTROL!$C$32, $C$9, 100%, $E$9)</f>
        <v>10.664300000000001</v>
      </c>
      <c r="E731" s="11">
        <f>11.9487 * CHOOSE(CONTROL!$C$32, $C$9, 100%, $E$9)</f>
        <v>11.948700000000001</v>
      </c>
      <c r="F731" s="11">
        <f>11.9487 * CHOOSE(CONTROL!$C$32, $C$9, 100%, $E$9)</f>
        <v>11.948700000000001</v>
      </c>
      <c r="G731" s="11">
        <f>11.9523 * CHOOSE(CONTROL!$C$32, $C$9, 100%, $E$9)</f>
        <v>11.952299999999999</v>
      </c>
      <c r="H731" s="11">
        <f>24.7784 * CHOOSE(CONTROL!$C$32, $C$9, 100%, $E$9)</f>
        <v>24.778400000000001</v>
      </c>
      <c r="I731" s="11">
        <f>24.782 * CHOOSE(CONTROL!$C$32, $C$9, 100%, $E$9)</f>
        <v>24.782</v>
      </c>
      <c r="J731" s="11">
        <f>24.7784 * CHOOSE(CONTROL!$C$32, $C$9, 100%, $E$9)</f>
        <v>24.778400000000001</v>
      </c>
      <c r="K731" s="11">
        <f>24.782 * CHOOSE(CONTROL!$C$32, $C$9, 100%, $E$9)</f>
        <v>24.782</v>
      </c>
      <c r="L731" s="11">
        <f>11.9487 * CHOOSE(CONTROL!$C$32, $C$9, 100%, $E$9)</f>
        <v>11.948700000000001</v>
      </c>
      <c r="M731" s="11">
        <f>11.9523 * CHOOSE(CONTROL!$C$32, $C$9, 100%, $E$9)</f>
        <v>11.952299999999999</v>
      </c>
      <c r="N731" s="11">
        <f>11.9487 * CHOOSE(CONTROL!$C$32, $C$9, 100%, $E$9)</f>
        <v>11.948700000000001</v>
      </c>
      <c r="O731" s="11">
        <f>11.9523 * CHOOSE(CONTROL!$C$32, $C$9, 100%, $E$9)</f>
        <v>11.952299999999999</v>
      </c>
    </row>
    <row r="732" spans="1:15" ht="15" x14ac:dyDescent="0.2">
      <c r="A732" s="13">
        <v>63129</v>
      </c>
      <c r="B732" s="9">
        <f>10.6663 * CHOOSE(CONTROL!$C$32, $C$9, 100%, $E$9)</f>
        <v>10.6663</v>
      </c>
      <c r="C732" s="9">
        <f>10.6663 * CHOOSE(CONTROL!$C$32, $C$9, 100%, $E$9)</f>
        <v>10.6663</v>
      </c>
      <c r="D732" s="9">
        <f>10.6673 * CHOOSE(CONTROL!$C$32, $C$9, 100%, $E$9)</f>
        <v>10.667299999999999</v>
      </c>
      <c r="E732" s="11">
        <f>12.015 * CHOOSE(CONTROL!$C$32, $C$9, 100%, $E$9)</f>
        <v>12.015000000000001</v>
      </c>
      <c r="F732" s="11">
        <f>12.015 * CHOOSE(CONTROL!$C$32, $C$9, 100%, $E$9)</f>
        <v>12.015000000000001</v>
      </c>
      <c r="G732" s="11">
        <f>12.0186 * CHOOSE(CONTROL!$C$32, $C$9, 100%, $E$9)</f>
        <v>12.018599999999999</v>
      </c>
      <c r="H732" s="11">
        <f>24.83 * CHOOSE(CONTROL!$C$32, $C$9, 100%, $E$9)</f>
        <v>24.83</v>
      </c>
      <c r="I732" s="11">
        <f>24.8336 * CHOOSE(CONTROL!$C$32, $C$9, 100%, $E$9)</f>
        <v>24.833600000000001</v>
      </c>
      <c r="J732" s="11">
        <f>24.83 * CHOOSE(CONTROL!$C$32, $C$9, 100%, $E$9)</f>
        <v>24.83</v>
      </c>
      <c r="K732" s="11">
        <f>24.8336 * CHOOSE(CONTROL!$C$32, $C$9, 100%, $E$9)</f>
        <v>24.833600000000001</v>
      </c>
      <c r="L732" s="11">
        <f>12.015 * CHOOSE(CONTROL!$C$32, $C$9, 100%, $E$9)</f>
        <v>12.015000000000001</v>
      </c>
      <c r="M732" s="11">
        <f>12.0186 * CHOOSE(CONTROL!$C$32, $C$9, 100%, $E$9)</f>
        <v>12.018599999999999</v>
      </c>
      <c r="N732" s="11">
        <f>12.015 * CHOOSE(CONTROL!$C$32, $C$9, 100%, $E$9)</f>
        <v>12.015000000000001</v>
      </c>
      <c r="O732" s="11">
        <f>12.0186 * CHOOSE(CONTROL!$C$32, $C$9, 100%, $E$9)</f>
        <v>12.018599999999999</v>
      </c>
    </row>
    <row r="733" spans="1:15" ht="15" x14ac:dyDescent="0.2">
      <c r="A733" s="13">
        <v>63159</v>
      </c>
      <c r="B733" s="9">
        <f>10.6663 * CHOOSE(CONTROL!$C$32, $C$9, 100%, $E$9)</f>
        <v>10.6663</v>
      </c>
      <c r="C733" s="9">
        <f>10.6663 * CHOOSE(CONTROL!$C$32, $C$9, 100%, $E$9)</f>
        <v>10.6663</v>
      </c>
      <c r="D733" s="9">
        <f>10.6673 * CHOOSE(CONTROL!$C$32, $C$9, 100%, $E$9)</f>
        <v>10.667299999999999</v>
      </c>
      <c r="E733" s="11">
        <f>11.8546 * CHOOSE(CONTROL!$C$32, $C$9, 100%, $E$9)</f>
        <v>11.8546</v>
      </c>
      <c r="F733" s="11">
        <f>11.8546 * CHOOSE(CONTROL!$C$32, $C$9, 100%, $E$9)</f>
        <v>11.8546</v>
      </c>
      <c r="G733" s="11">
        <f>11.8582 * CHOOSE(CONTROL!$C$32, $C$9, 100%, $E$9)</f>
        <v>11.8582</v>
      </c>
      <c r="H733" s="11">
        <f>24.8817 * CHOOSE(CONTROL!$C$32, $C$9, 100%, $E$9)</f>
        <v>24.881699999999999</v>
      </c>
      <c r="I733" s="11">
        <f>24.8853 * CHOOSE(CONTROL!$C$32, $C$9, 100%, $E$9)</f>
        <v>24.885300000000001</v>
      </c>
      <c r="J733" s="11">
        <f>24.8817 * CHOOSE(CONTROL!$C$32, $C$9, 100%, $E$9)</f>
        <v>24.881699999999999</v>
      </c>
      <c r="K733" s="11">
        <f>24.8853 * CHOOSE(CONTROL!$C$32, $C$9, 100%, $E$9)</f>
        <v>24.885300000000001</v>
      </c>
      <c r="L733" s="11">
        <f>11.8546 * CHOOSE(CONTROL!$C$32, $C$9, 100%, $E$9)</f>
        <v>11.8546</v>
      </c>
      <c r="M733" s="11">
        <f>11.8582 * CHOOSE(CONTROL!$C$32, $C$9, 100%, $E$9)</f>
        <v>11.8582</v>
      </c>
      <c r="N733" s="11">
        <f>11.8546 * CHOOSE(CONTROL!$C$32, $C$9, 100%, $E$9)</f>
        <v>11.8546</v>
      </c>
      <c r="O733" s="11">
        <f>11.8582 * CHOOSE(CONTROL!$C$32, $C$9, 100%, $E$9)</f>
        <v>11.8582</v>
      </c>
    </row>
    <row r="734" spans="1:15" ht="15" x14ac:dyDescent="0.2">
      <c r="A734" s="13">
        <v>63190</v>
      </c>
      <c r="B734" s="9">
        <f>10.6931 * CHOOSE(CONTROL!$C$32, $C$9, 100%, $E$9)</f>
        <v>10.693099999999999</v>
      </c>
      <c r="C734" s="9">
        <f>10.6931 * CHOOSE(CONTROL!$C$32, $C$9, 100%, $E$9)</f>
        <v>10.693099999999999</v>
      </c>
      <c r="D734" s="9">
        <f>10.6942 * CHOOSE(CONTROL!$C$32, $C$9, 100%, $E$9)</f>
        <v>10.6942</v>
      </c>
      <c r="E734" s="11">
        <f>12.008 * CHOOSE(CONTROL!$C$32, $C$9, 100%, $E$9)</f>
        <v>12.007999999999999</v>
      </c>
      <c r="F734" s="11">
        <f>12.008 * CHOOSE(CONTROL!$C$32, $C$9, 100%, $E$9)</f>
        <v>12.007999999999999</v>
      </c>
      <c r="G734" s="11">
        <f>12.0116 * CHOOSE(CONTROL!$C$32, $C$9, 100%, $E$9)</f>
        <v>12.0116</v>
      </c>
      <c r="H734" s="11">
        <f>24.7904 * CHOOSE(CONTROL!$C$32, $C$9, 100%, $E$9)</f>
        <v>24.790400000000002</v>
      </c>
      <c r="I734" s="11">
        <f>24.794 * CHOOSE(CONTROL!$C$32, $C$9, 100%, $E$9)</f>
        <v>24.794</v>
      </c>
      <c r="J734" s="11">
        <f>24.7904 * CHOOSE(CONTROL!$C$32, $C$9, 100%, $E$9)</f>
        <v>24.790400000000002</v>
      </c>
      <c r="K734" s="11">
        <f>24.794 * CHOOSE(CONTROL!$C$32, $C$9, 100%, $E$9)</f>
        <v>24.794</v>
      </c>
      <c r="L734" s="11">
        <f>12.008 * CHOOSE(CONTROL!$C$32, $C$9, 100%, $E$9)</f>
        <v>12.007999999999999</v>
      </c>
      <c r="M734" s="11">
        <f>12.0116 * CHOOSE(CONTROL!$C$32, $C$9, 100%, $E$9)</f>
        <v>12.0116</v>
      </c>
      <c r="N734" s="11">
        <f>12.008 * CHOOSE(CONTROL!$C$32, $C$9, 100%, $E$9)</f>
        <v>12.007999999999999</v>
      </c>
      <c r="O734" s="11">
        <f>12.0116 * CHOOSE(CONTROL!$C$32, $C$9, 100%, $E$9)</f>
        <v>12.0116</v>
      </c>
    </row>
    <row r="735" spans="1:15" ht="15" x14ac:dyDescent="0.2">
      <c r="A735" s="13">
        <v>63221</v>
      </c>
      <c r="B735" s="9">
        <f>10.6901 * CHOOSE(CONTROL!$C$32, $C$9, 100%, $E$9)</f>
        <v>10.690099999999999</v>
      </c>
      <c r="C735" s="9">
        <f>10.6901 * CHOOSE(CONTROL!$C$32, $C$9, 100%, $E$9)</f>
        <v>10.690099999999999</v>
      </c>
      <c r="D735" s="9">
        <f>10.6912 * CHOOSE(CONTROL!$C$32, $C$9, 100%, $E$9)</f>
        <v>10.6912</v>
      </c>
      <c r="E735" s="11">
        <f>11.6957 * CHOOSE(CONTROL!$C$32, $C$9, 100%, $E$9)</f>
        <v>11.6957</v>
      </c>
      <c r="F735" s="11">
        <f>11.6957 * CHOOSE(CONTROL!$C$32, $C$9, 100%, $E$9)</f>
        <v>11.6957</v>
      </c>
      <c r="G735" s="11">
        <f>11.6994 * CHOOSE(CONTROL!$C$32, $C$9, 100%, $E$9)</f>
        <v>11.699400000000001</v>
      </c>
      <c r="H735" s="11">
        <f>24.842 * CHOOSE(CONTROL!$C$32, $C$9, 100%, $E$9)</f>
        <v>24.841999999999999</v>
      </c>
      <c r="I735" s="11">
        <f>24.8457 * CHOOSE(CONTROL!$C$32, $C$9, 100%, $E$9)</f>
        <v>24.845700000000001</v>
      </c>
      <c r="J735" s="11">
        <f>24.842 * CHOOSE(CONTROL!$C$32, $C$9, 100%, $E$9)</f>
        <v>24.841999999999999</v>
      </c>
      <c r="K735" s="11">
        <f>24.8457 * CHOOSE(CONTROL!$C$32, $C$9, 100%, $E$9)</f>
        <v>24.845700000000001</v>
      </c>
      <c r="L735" s="11">
        <f>11.6957 * CHOOSE(CONTROL!$C$32, $C$9, 100%, $E$9)</f>
        <v>11.6957</v>
      </c>
      <c r="M735" s="11">
        <f>11.6994 * CHOOSE(CONTROL!$C$32, $C$9, 100%, $E$9)</f>
        <v>11.699400000000001</v>
      </c>
      <c r="N735" s="11">
        <f>11.6957 * CHOOSE(CONTROL!$C$32, $C$9, 100%, $E$9)</f>
        <v>11.6957</v>
      </c>
      <c r="O735" s="11">
        <f>11.6994 * CHOOSE(CONTROL!$C$32, $C$9, 100%, $E$9)</f>
        <v>11.699400000000001</v>
      </c>
    </row>
    <row r="736" spans="1:15" ht="15" x14ac:dyDescent="0.2">
      <c r="A736" s="13">
        <v>63249</v>
      </c>
      <c r="B736" s="9">
        <f>10.6871 * CHOOSE(CONTROL!$C$32, $C$9, 100%, $E$9)</f>
        <v>10.687099999999999</v>
      </c>
      <c r="C736" s="9">
        <f>10.6871 * CHOOSE(CONTROL!$C$32, $C$9, 100%, $E$9)</f>
        <v>10.687099999999999</v>
      </c>
      <c r="D736" s="9">
        <f>10.6881 * CHOOSE(CONTROL!$C$32, $C$9, 100%, $E$9)</f>
        <v>10.6881</v>
      </c>
      <c r="E736" s="11">
        <f>11.9381 * CHOOSE(CONTROL!$C$32, $C$9, 100%, $E$9)</f>
        <v>11.9381</v>
      </c>
      <c r="F736" s="11">
        <f>11.9381 * CHOOSE(CONTROL!$C$32, $C$9, 100%, $E$9)</f>
        <v>11.9381</v>
      </c>
      <c r="G736" s="11">
        <f>11.9418 * CHOOSE(CONTROL!$C$32, $C$9, 100%, $E$9)</f>
        <v>11.941800000000001</v>
      </c>
      <c r="H736" s="11">
        <f>24.8938 * CHOOSE(CONTROL!$C$32, $C$9, 100%, $E$9)</f>
        <v>24.893799999999999</v>
      </c>
      <c r="I736" s="11">
        <f>24.8974 * CHOOSE(CONTROL!$C$32, $C$9, 100%, $E$9)</f>
        <v>24.897400000000001</v>
      </c>
      <c r="J736" s="11">
        <f>24.8938 * CHOOSE(CONTROL!$C$32, $C$9, 100%, $E$9)</f>
        <v>24.893799999999999</v>
      </c>
      <c r="K736" s="11">
        <f>24.8974 * CHOOSE(CONTROL!$C$32, $C$9, 100%, $E$9)</f>
        <v>24.897400000000001</v>
      </c>
      <c r="L736" s="11">
        <f>11.9381 * CHOOSE(CONTROL!$C$32, $C$9, 100%, $E$9)</f>
        <v>11.9381</v>
      </c>
      <c r="M736" s="11">
        <f>11.9418 * CHOOSE(CONTROL!$C$32, $C$9, 100%, $E$9)</f>
        <v>11.941800000000001</v>
      </c>
      <c r="N736" s="11">
        <f>11.9381 * CHOOSE(CONTROL!$C$32, $C$9, 100%, $E$9)</f>
        <v>11.9381</v>
      </c>
      <c r="O736" s="11">
        <f>11.9418 * CHOOSE(CONTROL!$C$32, $C$9, 100%, $E$9)</f>
        <v>11.941800000000001</v>
      </c>
    </row>
    <row r="737" spans="1:15" ht="15" x14ac:dyDescent="0.2">
      <c r="A737" s="13">
        <v>63280</v>
      </c>
      <c r="B737" s="9">
        <f>10.6912 * CHOOSE(CONTROL!$C$32, $C$9, 100%, $E$9)</f>
        <v>10.6912</v>
      </c>
      <c r="C737" s="9">
        <f>10.6912 * CHOOSE(CONTROL!$C$32, $C$9, 100%, $E$9)</f>
        <v>10.6912</v>
      </c>
      <c r="D737" s="9">
        <f>10.6923 * CHOOSE(CONTROL!$C$32, $C$9, 100%, $E$9)</f>
        <v>10.692299999999999</v>
      </c>
      <c r="E737" s="11">
        <f>12.1965 * CHOOSE(CONTROL!$C$32, $C$9, 100%, $E$9)</f>
        <v>12.1965</v>
      </c>
      <c r="F737" s="11">
        <f>12.1965 * CHOOSE(CONTROL!$C$32, $C$9, 100%, $E$9)</f>
        <v>12.1965</v>
      </c>
      <c r="G737" s="11">
        <f>12.2001 * CHOOSE(CONTROL!$C$32, $C$9, 100%, $E$9)</f>
        <v>12.200100000000001</v>
      </c>
      <c r="H737" s="11">
        <f>24.9457 * CHOOSE(CONTROL!$C$32, $C$9, 100%, $E$9)</f>
        <v>24.945699999999999</v>
      </c>
      <c r="I737" s="11">
        <f>24.9493 * CHOOSE(CONTROL!$C$32, $C$9, 100%, $E$9)</f>
        <v>24.949300000000001</v>
      </c>
      <c r="J737" s="11">
        <f>24.9457 * CHOOSE(CONTROL!$C$32, $C$9, 100%, $E$9)</f>
        <v>24.945699999999999</v>
      </c>
      <c r="K737" s="11">
        <f>24.9493 * CHOOSE(CONTROL!$C$32, $C$9, 100%, $E$9)</f>
        <v>24.949300000000001</v>
      </c>
      <c r="L737" s="11">
        <f>12.1965 * CHOOSE(CONTROL!$C$32, $C$9, 100%, $E$9)</f>
        <v>12.1965</v>
      </c>
      <c r="M737" s="11">
        <f>12.2001 * CHOOSE(CONTROL!$C$32, $C$9, 100%, $E$9)</f>
        <v>12.200100000000001</v>
      </c>
      <c r="N737" s="11">
        <f>12.1965 * CHOOSE(CONTROL!$C$32, $C$9, 100%, $E$9)</f>
        <v>12.1965</v>
      </c>
      <c r="O737" s="11">
        <f>12.2001 * CHOOSE(CONTROL!$C$32, $C$9, 100%, $E$9)</f>
        <v>12.200100000000001</v>
      </c>
    </row>
    <row r="738" spans="1:15" ht="15" x14ac:dyDescent="0.2">
      <c r="A738" s="13">
        <v>63310</v>
      </c>
      <c r="B738" s="9">
        <f>10.6912 * CHOOSE(CONTROL!$C$32, $C$9, 100%, $E$9)</f>
        <v>10.6912</v>
      </c>
      <c r="C738" s="9">
        <f>10.6912 * CHOOSE(CONTROL!$C$32, $C$9, 100%, $E$9)</f>
        <v>10.6912</v>
      </c>
      <c r="D738" s="9">
        <f>10.6928 * CHOOSE(CONTROL!$C$32, $C$9, 100%, $E$9)</f>
        <v>10.6928</v>
      </c>
      <c r="E738" s="11">
        <f>12.295 * CHOOSE(CONTROL!$C$32, $C$9, 100%, $E$9)</f>
        <v>12.295</v>
      </c>
      <c r="F738" s="11">
        <f>12.295 * CHOOSE(CONTROL!$C$32, $C$9, 100%, $E$9)</f>
        <v>12.295</v>
      </c>
      <c r="G738" s="11">
        <f>12.3003 * CHOOSE(CONTROL!$C$32, $C$9, 100%, $E$9)</f>
        <v>12.3003</v>
      </c>
      <c r="H738" s="11">
        <f>24.9976 * CHOOSE(CONTROL!$C$32, $C$9, 100%, $E$9)</f>
        <v>24.997599999999998</v>
      </c>
      <c r="I738" s="11">
        <f>25.0029 * CHOOSE(CONTROL!$C$32, $C$9, 100%, $E$9)</f>
        <v>25.0029</v>
      </c>
      <c r="J738" s="11">
        <f>24.9976 * CHOOSE(CONTROL!$C$32, $C$9, 100%, $E$9)</f>
        <v>24.997599999999998</v>
      </c>
      <c r="K738" s="11">
        <f>25.0029 * CHOOSE(CONTROL!$C$32, $C$9, 100%, $E$9)</f>
        <v>25.0029</v>
      </c>
      <c r="L738" s="11">
        <f>12.295 * CHOOSE(CONTROL!$C$32, $C$9, 100%, $E$9)</f>
        <v>12.295</v>
      </c>
      <c r="M738" s="11">
        <f>12.3003 * CHOOSE(CONTROL!$C$32, $C$9, 100%, $E$9)</f>
        <v>12.3003</v>
      </c>
      <c r="N738" s="11">
        <f>12.295 * CHOOSE(CONTROL!$C$32, $C$9, 100%, $E$9)</f>
        <v>12.295</v>
      </c>
      <c r="O738" s="11">
        <f>12.3003 * CHOOSE(CONTROL!$C$32, $C$9, 100%, $E$9)</f>
        <v>12.3003</v>
      </c>
    </row>
    <row r="739" spans="1:15" ht="15" x14ac:dyDescent="0.2">
      <c r="A739" s="13">
        <v>63341</v>
      </c>
      <c r="B739" s="9">
        <f>10.6973 * CHOOSE(CONTROL!$C$32, $C$9, 100%, $E$9)</f>
        <v>10.6973</v>
      </c>
      <c r="C739" s="9">
        <f>10.6973 * CHOOSE(CONTROL!$C$32, $C$9, 100%, $E$9)</f>
        <v>10.6973</v>
      </c>
      <c r="D739" s="9">
        <f>10.6989 * CHOOSE(CONTROL!$C$32, $C$9, 100%, $E$9)</f>
        <v>10.6989</v>
      </c>
      <c r="E739" s="11">
        <f>12.2007 * CHOOSE(CONTROL!$C$32, $C$9, 100%, $E$9)</f>
        <v>12.200699999999999</v>
      </c>
      <c r="F739" s="11">
        <f>12.2007 * CHOOSE(CONTROL!$C$32, $C$9, 100%, $E$9)</f>
        <v>12.200699999999999</v>
      </c>
      <c r="G739" s="11">
        <f>12.206 * CHOOSE(CONTROL!$C$32, $C$9, 100%, $E$9)</f>
        <v>12.206</v>
      </c>
      <c r="H739" s="11">
        <f>25.0497 * CHOOSE(CONTROL!$C$32, $C$9, 100%, $E$9)</f>
        <v>25.049700000000001</v>
      </c>
      <c r="I739" s="11">
        <f>25.055 * CHOOSE(CONTROL!$C$32, $C$9, 100%, $E$9)</f>
        <v>25.055</v>
      </c>
      <c r="J739" s="11">
        <f>25.0497 * CHOOSE(CONTROL!$C$32, $C$9, 100%, $E$9)</f>
        <v>25.049700000000001</v>
      </c>
      <c r="K739" s="11">
        <f>25.055 * CHOOSE(CONTROL!$C$32, $C$9, 100%, $E$9)</f>
        <v>25.055</v>
      </c>
      <c r="L739" s="11">
        <f>12.2007 * CHOOSE(CONTROL!$C$32, $C$9, 100%, $E$9)</f>
        <v>12.200699999999999</v>
      </c>
      <c r="M739" s="11">
        <f>12.206 * CHOOSE(CONTROL!$C$32, $C$9, 100%, $E$9)</f>
        <v>12.206</v>
      </c>
      <c r="N739" s="11">
        <f>12.2007 * CHOOSE(CONTROL!$C$32, $C$9, 100%, $E$9)</f>
        <v>12.200699999999999</v>
      </c>
      <c r="O739" s="11">
        <f>12.206 * CHOOSE(CONTROL!$C$32, $C$9, 100%, $E$9)</f>
        <v>12.206</v>
      </c>
    </row>
    <row r="740" spans="1:15" ht="15" x14ac:dyDescent="0.2">
      <c r="A740" s="13">
        <v>63371</v>
      </c>
      <c r="B740" s="9">
        <f>10.8293 * CHOOSE(CONTROL!$C$32, $C$9, 100%, $E$9)</f>
        <v>10.8293</v>
      </c>
      <c r="C740" s="9">
        <f>10.8293 * CHOOSE(CONTROL!$C$32, $C$9, 100%, $E$9)</f>
        <v>10.8293</v>
      </c>
      <c r="D740" s="9">
        <f>10.8309 * CHOOSE(CONTROL!$C$32, $C$9, 100%, $E$9)</f>
        <v>10.8309</v>
      </c>
      <c r="E740" s="11">
        <f>12.3722 * CHOOSE(CONTROL!$C$32, $C$9, 100%, $E$9)</f>
        <v>12.372199999999999</v>
      </c>
      <c r="F740" s="11">
        <f>12.3722 * CHOOSE(CONTROL!$C$32, $C$9, 100%, $E$9)</f>
        <v>12.372199999999999</v>
      </c>
      <c r="G740" s="11">
        <f>12.3775 * CHOOSE(CONTROL!$C$32, $C$9, 100%, $E$9)</f>
        <v>12.3775</v>
      </c>
      <c r="H740" s="11">
        <f>25.1019 * CHOOSE(CONTROL!$C$32, $C$9, 100%, $E$9)</f>
        <v>25.101900000000001</v>
      </c>
      <c r="I740" s="11">
        <f>25.1072 * CHOOSE(CONTROL!$C$32, $C$9, 100%, $E$9)</f>
        <v>25.107199999999999</v>
      </c>
      <c r="J740" s="11">
        <f>25.1019 * CHOOSE(CONTROL!$C$32, $C$9, 100%, $E$9)</f>
        <v>25.101900000000001</v>
      </c>
      <c r="K740" s="11">
        <f>25.1072 * CHOOSE(CONTROL!$C$32, $C$9, 100%, $E$9)</f>
        <v>25.107199999999999</v>
      </c>
      <c r="L740" s="11">
        <f>12.3722 * CHOOSE(CONTROL!$C$32, $C$9, 100%, $E$9)</f>
        <v>12.372199999999999</v>
      </c>
      <c r="M740" s="11">
        <f>12.3775 * CHOOSE(CONTROL!$C$32, $C$9, 100%, $E$9)</f>
        <v>12.3775</v>
      </c>
      <c r="N740" s="11">
        <f>12.3722 * CHOOSE(CONTROL!$C$32, $C$9, 100%, $E$9)</f>
        <v>12.372199999999999</v>
      </c>
      <c r="O740" s="11">
        <f>12.3775 * CHOOSE(CONTROL!$C$32, $C$9, 100%, $E$9)</f>
        <v>12.3775</v>
      </c>
    </row>
    <row r="741" spans="1:15" ht="15" x14ac:dyDescent="0.2">
      <c r="A741" s="13">
        <v>63402</v>
      </c>
      <c r="B741" s="9">
        <f>10.836 * CHOOSE(CONTROL!$C$32, $C$9, 100%, $E$9)</f>
        <v>10.836</v>
      </c>
      <c r="C741" s="9">
        <f>10.836 * CHOOSE(CONTROL!$C$32, $C$9, 100%, $E$9)</f>
        <v>10.836</v>
      </c>
      <c r="D741" s="9">
        <f>10.8376 * CHOOSE(CONTROL!$C$32, $C$9, 100%, $E$9)</f>
        <v>10.8376</v>
      </c>
      <c r="E741" s="11">
        <f>12.0815 * CHOOSE(CONTROL!$C$32, $C$9, 100%, $E$9)</f>
        <v>12.0815</v>
      </c>
      <c r="F741" s="11">
        <f>12.0815 * CHOOSE(CONTROL!$C$32, $C$9, 100%, $E$9)</f>
        <v>12.0815</v>
      </c>
      <c r="G741" s="11">
        <f>12.0868 * CHOOSE(CONTROL!$C$32, $C$9, 100%, $E$9)</f>
        <v>12.0868</v>
      </c>
      <c r="H741" s="11">
        <f>25.1542 * CHOOSE(CONTROL!$C$32, $C$9, 100%, $E$9)</f>
        <v>25.154199999999999</v>
      </c>
      <c r="I741" s="11">
        <f>25.1595 * CHOOSE(CONTROL!$C$32, $C$9, 100%, $E$9)</f>
        <v>25.159500000000001</v>
      </c>
      <c r="J741" s="11">
        <f>25.1542 * CHOOSE(CONTROL!$C$32, $C$9, 100%, $E$9)</f>
        <v>25.154199999999999</v>
      </c>
      <c r="K741" s="11">
        <f>25.1595 * CHOOSE(CONTROL!$C$32, $C$9, 100%, $E$9)</f>
        <v>25.159500000000001</v>
      </c>
      <c r="L741" s="11">
        <f>12.0815 * CHOOSE(CONTROL!$C$32, $C$9, 100%, $E$9)</f>
        <v>12.0815</v>
      </c>
      <c r="M741" s="11">
        <f>12.0868 * CHOOSE(CONTROL!$C$32, $C$9, 100%, $E$9)</f>
        <v>12.0868</v>
      </c>
      <c r="N741" s="11">
        <f>12.0815 * CHOOSE(CONTROL!$C$32, $C$9, 100%, $E$9)</f>
        <v>12.0815</v>
      </c>
      <c r="O741" s="11">
        <f>12.0868 * CHOOSE(CONTROL!$C$32, $C$9, 100%, $E$9)</f>
        <v>12.0868</v>
      </c>
    </row>
    <row r="742" spans="1:15" ht="15" x14ac:dyDescent="0.2">
      <c r="A742" s="13">
        <v>63433</v>
      </c>
      <c r="B742" s="9">
        <f>10.833 * CHOOSE(CONTROL!$C$32, $C$9, 100%, $E$9)</f>
        <v>10.833</v>
      </c>
      <c r="C742" s="9">
        <f>10.833 * CHOOSE(CONTROL!$C$32, $C$9, 100%, $E$9)</f>
        <v>10.833</v>
      </c>
      <c r="D742" s="9">
        <f>10.8345 * CHOOSE(CONTROL!$C$32, $C$9, 100%, $E$9)</f>
        <v>10.8345</v>
      </c>
      <c r="E742" s="11">
        <f>12.0465 * CHOOSE(CONTROL!$C$32, $C$9, 100%, $E$9)</f>
        <v>12.0465</v>
      </c>
      <c r="F742" s="11">
        <f>12.0465 * CHOOSE(CONTROL!$C$32, $C$9, 100%, $E$9)</f>
        <v>12.0465</v>
      </c>
      <c r="G742" s="11">
        <f>12.0518 * CHOOSE(CONTROL!$C$32, $C$9, 100%, $E$9)</f>
        <v>12.0518</v>
      </c>
      <c r="H742" s="11">
        <f>25.2066 * CHOOSE(CONTROL!$C$32, $C$9, 100%, $E$9)</f>
        <v>25.206600000000002</v>
      </c>
      <c r="I742" s="11">
        <f>25.2119 * CHOOSE(CONTROL!$C$32, $C$9, 100%, $E$9)</f>
        <v>25.2119</v>
      </c>
      <c r="J742" s="11">
        <f>25.2066 * CHOOSE(CONTROL!$C$32, $C$9, 100%, $E$9)</f>
        <v>25.206600000000002</v>
      </c>
      <c r="K742" s="11">
        <f>25.2119 * CHOOSE(CONTROL!$C$32, $C$9, 100%, $E$9)</f>
        <v>25.2119</v>
      </c>
      <c r="L742" s="11">
        <f>12.0465 * CHOOSE(CONTROL!$C$32, $C$9, 100%, $E$9)</f>
        <v>12.0465</v>
      </c>
      <c r="M742" s="11">
        <f>12.0518 * CHOOSE(CONTROL!$C$32, $C$9, 100%, $E$9)</f>
        <v>12.0518</v>
      </c>
      <c r="N742" s="11">
        <f>12.0465 * CHOOSE(CONTROL!$C$32, $C$9, 100%, $E$9)</f>
        <v>12.0465</v>
      </c>
      <c r="O742" s="11">
        <f>12.0518 * CHOOSE(CONTROL!$C$32, $C$9, 100%, $E$9)</f>
        <v>12.0518</v>
      </c>
    </row>
    <row r="743" spans="1:15" ht="15" x14ac:dyDescent="0.2">
      <c r="A743" s="13">
        <v>63463</v>
      </c>
      <c r="B743" s="9">
        <f>10.8535 * CHOOSE(CONTROL!$C$32, $C$9, 100%, $E$9)</f>
        <v>10.8535</v>
      </c>
      <c r="C743" s="9">
        <f>10.8535 * CHOOSE(CONTROL!$C$32, $C$9, 100%, $E$9)</f>
        <v>10.8535</v>
      </c>
      <c r="D743" s="9">
        <f>10.8546 * CHOOSE(CONTROL!$C$32, $C$9, 100%, $E$9)</f>
        <v>10.8546</v>
      </c>
      <c r="E743" s="11">
        <f>12.1644 * CHOOSE(CONTROL!$C$32, $C$9, 100%, $E$9)</f>
        <v>12.164400000000001</v>
      </c>
      <c r="F743" s="11">
        <f>12.1644 * CHOOSE(CONTROL!$C$32, $C$9, 100%, $E$9)</f>
        <v>12.164400000000001</v>
      </c>
      <c r="G743" s="11">
        <f>12.168 * CHOOSE(CONTROL!$C$32, $C$9, 100%, $E$9)</f>
        <v>12.167999999999999</v>
      </c>
      <c r="H743" s="11">
        <f>25.2591 * CHOOSE(CONTROL!$C$32, $C$9, 100%, $E$9)</f>
        <v>25.2591</v>
      </c>
      <c r="I743" s="11">
        <f>25.2627 * CHOOSE(CONTROL!$C$32, $C$9, 100%, $E$9)</f>
        <v>25.262699999999999</v>
      </c>
      <c r="J743" s="11">
        <f>25.2591 * CHOOSE(CONTROL!$C$32, $C$9, 100%, $E$9)</f>
        <v>25.2591</v>
      </c>
      <c r="K743" s="11">
        <f>25.2627 * CHOOSE(CONTROL!$C$32, $C$9, 100%, $E$9)</f>
        <v>25.262699999999999</v>
      </c>
      <c r="L743" s="11">
        <f>12.1644 * CHOOSE(CONTROL!$C$32, $C$9, 100%, $E$9)</f>
        <v>12.164400000000001</v>
      </c>
      <c r="M743" s="11">
        <f>12.168 * CHOOSE(CONTROL!$C$32, $C$9, 100%, $E$9)</f>
        <v>12.167999999999999</v>
      </c>
      <c r="N743" s="11">
        <f>12.1644 * CHOOSE(CONTROL!$C$32, $C$9, 100%, $E$9)</f>
        <v>12.164400000000001</v>
      </c>
      <c r="O743" s="11">
        <f>12.168 * CHOOSE(CONTROL!$C$32, $C$9, 100%, $E$9)</f>
        <v>12.167999999999999</v>
      </c>
    </row>
    <row r="744" spans="1:15" ht="15" x14ac:dyDescent="0.2">
      <c r="A744" s="13">
        <v>63494</v>
      </c>
      <c r="B744" s="9">
        <f>10.8566 * CHOOSE(CONTROL!$C$32, $C$9, 100%, $E$9)</f>
        <v>10.8566</v>
      </c>
      <c r="C744" s="9">
        <f>10.8566 * CHOOSE(CONTROL!$C$32, $C$9, 100%, $E$9)</f>
        <v>10.8566</v>
      </c>
      <c r="D744" s="9">
        <f>10.8576 * CHOOSE(CONTROL!$C$32, $C$9, 100%, $E$9)</f>
        <v>10.8576</v>
      </c>
      <c r="E744" s="11">
        <f>12.2322 * CHOOSE(CONTROL!$C$32, $C$9, 100%, $E$9)</f>
        <v>12.232200000000001</v>
      </c>
      <c r="F744" s="11">
        <f>12.2322 * CHOOSE(CONTROL!$C$32, $C$9, 100%, $E$9)</f>
        <v>12.232200000000001</v>
      </c>
      <c r="G744" s="11">
        <f>12.2358 * CHOOSE(CONTROL!$C$32, $C$9, 100%, $E$9)</f>
        <v>12.235799999999999</v>
      </c>
      <c r="H744" s="11">
        <f>25.3117 * CHOOSE(CONTROL!$C$32, $C$9, 100%, $E$9)</f>
        <v>25.311699999999998</v>
      </c>
      <c r="I744" s="11">
        <f>25.3153 * CHOOSE(CONTROL!$C$32, $C$9, 100%, $E$9)</f>
        <v>25.315300000000001</v>
      </c>
      <c r="J744" s="11">
        <f>25.3117 * CHOOSE(CONTROL!$C$32, $C$9, 100%, $E$9)</f>
        <v>25.311699999999998</v>
      </c>
      <c r="K744" s="11">
        <f>25.3153 * CHOOSE(CONTROL!$C$32, $C$9, 100%, $E$9)</f>
        <v>25.315300000000001</v>
      </c>
      <c r="L744" s="11">
        <f>12.2322 * CHOOSE(CONTROL!$C$32, $C$9, 100%, $E$9)</f>
        <v>12.232200000000001</v>
      </c>
      <c r="M744" s="11">
        <f>12.2358 * CHOOSE(CONTROL!$C$32, $C$9, 100%, $E$9)</f>
        <v>12.235799999999999</v>
      </c>
      <c r="N744" s="11">
        <f>12.2322 * CHOOSE(CONTROL!$C$32, $C$9, 100%, $E$9)</f>
        <v>12.232200000000001</v>
      </c>
      <c r="O744" s="11">
        <f>12.2358 * CHOOSE(CONTROL!$C$32, $C$9, 100%, $E$9)</f>
        <v>12.235799999999999</v>
      </c>
    </row>
    <row r="745" spans="1:15" ht="15" x14ac:dyDescent="0.2">
      <c r="A745" s="13">
        <v>63524</v>
      </c>
      <c r="B745" s="9">
        <f>10.8566 * CHOOSE(CONTROL!$C$32, $C$9, 100%, $E$9)</f>
        <v>10.8566</v>
      </c>
      <c r="C745" s="9">
        <f>10.8566 * CHOOSE(CONTROL!$C$32, $C$9, 100%, $E$9)</f>
        <v>10.8566</v>
      </c>
      <c r="D745" s="9">
        <f>10.8576 * CHOOSE(CONTROL!$C$32, $C$9, 100%, $E$9)</f>
        <v>10.8576</v>
      </c>
      <c r="E745" s="11">
        <f>12.068 * CHOOSE(CONTROL!$C$32, $C$9, 100%, $E$9)</f>
        <v>12.068</v>
      </c>
      <c r="F745" s="11">
        <f>12.068 * CHOOSE(CONTROL!$C$32, $C$9, 100%, $E$9)</f>
        <v>12.068</v>
      </c>
      <c r="G745" s="11">
        <f>12.0717 * CHOOSE(CONTROL!$C$32, $C$9, 100%, $E$9)</f>
        <v>12.0717</v>
      </c>
      <c r="H745" s="11">
        <f>25.3645 * CHOOSE(CONTROL!$C$32, $C$9, 100%, $E$9)</f>
        <v>25.3645</v>
      </c>
      <c r="I745" s="11">
        <f>25.3681 * CHOOSE(CONTROL!$C$32, $C$9, 100%, $E$9)</f>
        <v>25.368099999999998</v>
      </c>
      <c r="J745" s="11">
        <f>25.3645 * CHOOSE(CONTROL!$C$32, $C$9, 100%, $E$9)</f>
        <v>25.3645</v>
      </c>
      <c r="K745" s="11">
        <f>25.3681 * CHOOSE(CONTROL!$C$32, $C$9, 100%, $E$9)</f>
        <v>25.368099999999998</v>
      </c>
      <c r="L745" s="11">
        <f>12.068 * CHOOSE(CONTROL!$C$32, $C$9, 100%, $E$9)</f>
        <v>12.068</v>
      </c>
      <c r="M745" s="11">
        <f>12.0717 * CHOOSE(CONTROL!$C$32, $C$9, 100%, $E$9)</f>
        <v>12.0717</v>
      </c>
      <c r="N745" s="11">
        <f>12.068 * CHOOSE(CONTROL!$C$32, $C$9, 100%, $E$9)</f>
        <v>12.068</v>
      </c>
      <c r="O745" s="11">
        <f>12.0717 * CHOOSE(CONTROL!$C$32, $C$9, 100%, $E$9)</f>
        <v>12.0717</v>
      </c>
    </row>
    <row r="746" spans="1:15" ht="15" x14ac:dyDescent="0.2">
      <c r="A746" s="13">
        <v>63555</v>
      </c>
      <c r="B746" s="9">
        <f>10.8805 * CHOOSE(CONTROL!$C$32, $C$9, 100%, $E$9)</f>
        <v>10.8805</v>
      </c>
      <c r="C746" s="9">
        <f>10.8805 * CHOOSE(CONTROL!$C$32, $C$9, 100%, $E$9)</f>
        <v>10.8805</v>
      </c>
      <c r="D746" s="9">
        <f>10.8816 * CHOOSE(CONTROL!$C$32, $C$9, 100%, $E$9)</f>
        <v>10.881600000000001</v>
      </c>
      <c r="E746" s="11">
        <f>12.2205 * CHOOSE(CONTROL!$C$32, $C$9, 100%, $E$9)</f>
        <v>12.220499999999999</v>
      </c>
      <c r="F746" s="11">
        <f>12.2205 * CHOOSE(CONTROL!$C$32, $C$9, 100%, $E$9)</f>
        <v>12.220499999999999</v>
      </c>
      <c r="G746" s="11">
        <f>12.2242 * CHOOSE(CONTROL!$C$32, $C$9, 100%, $E$9)</f>
        <v>12.2242</v>
      </c>
      <c r="H746" s="11">
        <f>25.2622 * CHOOSE(CONTROL!$C$32, $C$9, 100%, $E$9)</f>
        <v>25.2622</v>
      </c>
      <c r="I746" s="11">
        <f>25.2658 * CHOOSE(CONTROL!$C$32, $C$9, 100%, $E$9)</f>
        <v>25.265799999999999</v>
      </c>
      <c r="J746" s="11">
        <f>25.2622 * CHOOSE(CONTROL!$C$32, $C$9, 100%, $E$9)</f>
        <v>25.2622</v>
      </c>
      <c r="K746" s="11">
        <f>25.2658 * CHOOSE(CONTROL!$C$32, $C$9, 100%, $E$9)</f>
        <v>25.265799999999999</v>
      </c>
      <c r="L746" s="11">
        <f>12.2205 * CHOOSE(CONTROL!$C$32, $C$9, 100%, $E$9)</f>
        <v>12.220499999999999</v>
      </c>
      <c r="M746" s="11">
        <f>12.2242 * CHOOSE(CONTROL!$C$32, $C$9, 100%, $E$9)</f>
        <v>12.2242</v>
      </c>
      <c r="N746" s="11">
        <f>12.2205 * CHOOSE(CONTROL!$C$32, $C$9, 100%, $E$9)</f>
        <v>12.220499999999999</v>
      </c>
      <c r="O746" s="11">
        <f>12.2242 * CHOOSE(CONTROL!$C$32, $C$9, 100%, $E$9)</f>
        <v>12.2242</v>
      </c>
    </row>
    <row r="747" spans="1:15" ht="15" x14ac:dyDescent="0.2">
      <c r="A747" s="13">
        <v>63586</v>
      </c>
      <c r="B747" s="9">
        <f>10.8775 * CHOOSE(CONTROL!$C$32, $C$9, 100%, $E$9)</f>
        <v>10.8775</v>
      </c>
      <c r="C747" s="9">
        <f>10.8775 * CHOOSE(CONTROL!$C$32, $C$9, 100%, $E$9)</f>
        <v>10.8775</v>
      </c>
      <c r="D747" s="9">
        <f>10.8785 * CHOOSE(CONTROL!$C$32, $C$9, 100%, $E$9)</f>
        <v>10.878500000000001</v>
      </c>
      <c r="E747" s="11">
        <f>11.9012 * CHOOSE(CONTROL!$C$32, $C$9, 100%, $E$9)</f>
        <v>11.901199999999999</v>
      </c>
      <c r="F747" s="11">
        <f>11.9012 * CHOOSE(CONTROL!$C$32, $C$9, 100%, $E$9)</f>
        <v>11.901199999999999</v>
      </c>
      <c r="G747" s="11">
        <f>11.9048 * CHOOSE(CONTROL!$C$32, $C$9, 100%, $E$9)</f>
        <v>11.9048</v>
      </c>
      <c r="H747" s="11">
        <f>25.3148 * CHOOSE(CONTROL!$C$32, $C$9, 100%, $E$9)</f>
        <v>25.314800000000002</v>
      </c>
      <c r="I747" s="11">
        <f>25.3184 * CHOOSE(CONTROL!$C$32, $C$9, 100%, $E$9)</f>
        <v>25.3184</v>
      </c>
      <c r="J747" s="11">
        <f>25.3148 * CHOOSE(CONTROL!$C$32, $C$9, 100%, $E$9)</f>
        <v>25.314800000000002</v>
      </c>
      <c r="K747" s="11">
        <f>25.3184 * CHOOSE(CONTROL!$C$32, $C$9, 100%, $E$9)</f>
        <v>25.3184</v>
      </c>
      <c r="L747" s="11">
        <f>11.9012 * CHOOSE(CONTROL!$C$32, $C$9, 100%, $E$9)</f>
        <v>11.901199999999999</v>
      </c>
      <c r="M747" s="11">
        <f>11.9048 * CHOOSE(CONTROL!$C$32, $C$9, 100%, $E$9)</f>
        <v>11.9048</v>
      </c>
      <c r="N747" s="11">
        <f>11.9012 * CHOOSE(CONTROL!$C$32, $C$9, 100%, $E$9)</f>
        <v>11.901199999999999</v>
      </c>
      <c r="O747" s="11">
        <f>11.9048 * CHOOSE(CONTROL!$C$32, $C$9, 100%, $E$9)</f>
        <v>11.9048</v>
      </c>
    </row>
    <row r="748" spans="1:15" ht="15" x14ac:dyDescent="0.2">
      <c r="A748" s="13">
        <v>63614</v>
      </c>
      <c r="B748" s="9">
        <f>10.8744 * CHOOSE(CONTROL!$C$32, $C$9, 100%, $E$9)</f>
        <v>10.8744</v>
      </c>
      <c r="C748" s="9">
        <f>10.8744 * CHOOSE(CONTROL!$C$32, $C$9, 100%, $E$9)</f>
        <v>10.8744</v>
      </c>
      <c r="D748" s="9">
        <f>10.8755 * CHOOSE(CONTROL!$C$32, $C$9, 100%, $E$9)</f>
        <v>10.875500000000001</v>
      </c>
      <c r="E748" s="11">
        <f>12.1491 * CHOOSE(CONTROL!$C$32, $C$9, 100%, $E$9)</f>
        <v>12.149100000000001</v>
      </c>
      <c r="F748" s="11">
        <f>12.1491 * CHOOSE(CONTROL!$C$32, $C$9, 100%, $E$9)</f>
        <v>12.149100000000001</v>
      </c>
      <c r="G748" s="11">
        <f>12.1528 * CHOOSE(CONTROL!$C$32, $C$9, 100%, $E$9)</f>
        <v>12.152799999999999</v>
      </c>
      <c r="H748" s="11">
        <f>25.3676 * CHOOSE(CONTROL!$C$32, $C$9, 100%, $E$9)</f>
        <v>25.367599999999999</v>
      </c>
      <c r="I748" s="11">
        <f>25.3712 * CHOOSE(CONTROL!$C$32, $C$9, 100%, $E$9)</f>
        <v>25.371200000000002</v>
      </c>
      <c r="J748" s="11">
        <f>25.3676 * CHOOSE(CONTROL!$C$32, $C$9, 100%, $E$9)</f>
        <v>25.367599999999999</v>
      </c>
      <c r="K748" s="11">
        <f>25.3712 * CHOOSE(CONTROL!$C$32, $C$9, 100%, $E$9)</f>
        <v>25.371200000000002</v>
      </c>
      <c r="L748" s="11">
        <f>12.1491 * CHOOSE(CONTROL!$C$32, $C$9, 100%, $E$9)</f>
        <v>12.149100000000001</v>
      </c>
      <c r="M748" s="11">
        <f>12.1528 * CHOOSE(CONTROL!$C$32, $C$9, 100%, $E$9)</f>
        <v>12.152799999999999</v>
      </c>
      <c r="N748" s="11">
        <f>12.1491 * CHOOSE(CONTROL!$C$32, $C$9, 100%, $E$9)</f>
        <v>12.149100000000001</v>
      </c>
      <c r="O748" s="11">
        <f>12.1528 * CHOOSE(CONTROL!$C$32, $C$9, 100%, $E$9)</f>
        <v>12.152799999999999</v>
      </c>
    </row>
    <row r="749" spans="1:15" ht="15" x14ac:dyDescent="0.2">
      <c r="A749" s="13">
        <v>63645</v>
      </c>
      <c r="B749" s="9">
        <f>10.8787 * CHOOSE(CONTROL!$C$32, $C$9, 100%, $E$9)</f>
        <v>10.8787</v>
      </c>
      <c r="C749" s="9">
        <f>10.8787 * CHOOSE(CONTROL!$C$32, $C$9, 100%, $E$9)</f>
        <v>10.8787</v>
      </c>
      <c r="D749" s="9">
        <f>10.8798 * CHOOSE(CONTROL!$C$32, $C$9, 100%, $E$9)</f>
        <v>10.879799999999999</v>
      </c>
      <c r="E749" s="11">
        <f>12.4135 * CHOOSE(CONTROL!$C$32, $C$9, 100%, $E$9)</f>
        <v>12.413500000000001</v>
      </c>
      <c r="F749" s="11">
        <f>12.4135 * CHOOSE(CONTROL!$C$32, $C$9, 100%, $E$9)</f>
        <v>12.413500000000001</v>
      </c>
      <c r="G749" s="11">
        <f>12.4171 * CHOOSE(CONTROL!$C$32, $C$9, 100%, $E$9)</f>
        <v>12.4171</v>
      </c>
      <c r="H749" s="11">
        <f>25.4204 * CHOOSE(CONTROL!$C$32, $C$9, 100%, $E$9)</f>
        <v>25.420400000000001</v>
      </c>
      <c r="I749" s="11">
        <f>25.424 * CHOOSE(CONTROL!$C$32, $C$9, 100%, $E$9)</f>
        <v>25.423999999999999</v>
      </c>
      <c r="J749" s="11">
        <f>25.4204 * CHOOSE(CONTROL!$C$32, $C$9, 100%, $E$9)</f>
        <v>25.420400000000001</v>
      </c>
      <c r="K749" s="11">
        <f>25.424 * CHOOSE(CONTROL!$C$32, $C$9, 100%, $E$9)</f>
        <v>25.423999999999999</v>
      </c>
      <c r="L749" s="11">
        <f>12.4135 * CHOOSE(CONTROL!$C$32, $C$9, 100%, $E$9)</f>
        <v>12.413500000000001</v>
      </c>
      <c r="M749" s="11">
        <f>12.4171 * CHOOSE(CONTROL!$C$32, $C$9, 100%, $E$9)</f>
        <v>12.4171</v>
      </c>
      <c r="N749" s="11">
        <f>12.4135 * CHOOSE(CONTROL!$C$32, $C$9, 100%, $E$9)</f>
        <v>12.413500000000001</v>
      </c>
      <c r="O749" s="11">
        <f>12.4171 * CHOOSE(CONTROL!$C$32, $C$9, 100%, $E$9)</f>
        <v>12.4171</v>
      </c>
    </row>
    <row r="750" spans="1:15" ht="15" x14ac:dyDescent="0.2">
      <c r="A750" s="13">
        <v>63675</v>
      </c>
      <c r="B750" s="9">
        <f>10.8787 * CHOOSE(CONTROL!$C$32, $C$9, 100%, $E$9)</f>
        <v>10.8787</v>
      </c>
      <c r="C750" s="9">
        <f>10.8787 * CHOOSE(CONTROL!$C$32, $C$9, 100%, $E$9)</f>
        <v>10.8787</v>
      </c>
      <c r="D750" s="9">
        <f>10.8803 * CHOOSE(CONTROL!$C$32, $C$9, 100%, $E$9)</f>
        <v>10.8803</v>
      </c>
      <c r="E750" s="11">
        <f>12.5142 * CHOOSE(CONTROL!$C$32, $C$9, 100%, $E$9)</f>
        <v>12.514200000000001</v>
      </c>
      <c r="F750" s="11">
        <f>12.5142 * CHOOSE(CONTROL!$C$32, $C$9, 100%, $E$9)</f>
        <v>12.514200000000001</v>
      </c>
      <c r="G750" s="11">
        <f>12.5195 * CHOOSE(CONTROL!$C$32, $C$9, 100%, $E$9)</f>
        <v>12.519500000000001</v>
      </c>
      <c r="H750" s="11">
        <f>25.4734 * CHOOSE(CONTROL!$C$32, $C$9, 100%, $E$9)</f>
        <v>25.473400000000002</v>
      </c>
      <c r="I750" s="11">
        <f>25.4787 * CHOOSE(CONTROL!$C$32, $C$9, 100%, $E$9)</f>
        <v>25.4787</v>
      </c>
      <c r="J750" s="11">
        <f>25.4734 * CHOOSE(CONTROL!$C$32, $C$9, 100%, $E$9)</f>
        <v>25.473400000000002</v>
      </c>
      <c r="K750" s="11">
        <f>25.4787 * CHOOSE(CONTROL!$C$32, $C$9, 100%, $E$9)</f>
        <v>25.4787</v>
      </c>
      <c r="L750" s="11">
        <f>12.5142 * CHOOSE(CONTROL!$C$32, $C$9, 100%, $E$9)</f>
        <v>12.514200000000001</v>
      </c>
      <c r="M750" s="11">
        <f>12.5195 * CHOOSE(CONTROL!$C$32, $C$9, 100%, $E$9)</f>
        <v>12.519500000000001</v>
      </c>
      <c r="N750" s="11">
        <f>12.5142 * CHOOSE(CONTROL!$C$32, $C$9, 100%, $E$9)</f>
        <v>12.514200000000001</v>
      </c>
      <c r="O750" s="11">
        <f>12.5195 * CHOOSE(CONTROL!$C$32, $C$9, 100%, $E$9)</f>
        <v>12.519500000000001</v>
      </c>
    </row>
    <row r="751" spans="1:15" ht="15" x14ac:dyDescent="0.2">
      <c r="A751" s="13">
        <v>63706</v>
      </c>
      <c r="B751" s="9">
        <f>10.8848 * CHOOSE(CONTROL!$C$32, $C$9, 100%, $E$9)</f>
        <v>10.8848</v>
      </c>
      <c r="C751" s="9">
        <f>10.8848 * CHOOSE(CONTROL!$C$32, $C$9, 100%, $E$9)</f>
        <v>10.8848</v>
      </c>
      <c r="D751" s="9">
        <f>10.8864 * CHOOSE(CONTROL!$C$32, $C$9, 100%, $E$9)</f>
        <v>10.8864</v>
      </c>
      <c r="E751" s="11">
        <f>12.4177 * CHOOSE(CONTROL!$C$32, $C$9, 100%, $E$9)</f>
        <v>12.4177</v>
      </c>
      <c r="F751" s="11">
        <f>12.4177 * CHOOSE(CONTROL!$C$32, $C$9, 100%, $E$9)</f>
        <v>12.4177</v>
      </c>
      <c r="G751" s="11">
        <f>12.423 * CHOOSE(CONTROL!$C$32, $C$9, 100%, $E$9)</f>
        <v>12.423</v>
      </c>
      <c r="H751" s="11">
        <f>25.5264 * CHOOSE(CONTROL!$C$32, $C$9, 100%, $E$9)</f>
        <v>25.526399999999999</v>
      </c>
      <c r="I751" s="11">
        <f>25.5317 * CHOOSE(CONTROL!$C$32, $C$9, 100%, $E$9)</f>
        <v>25.531700000000001</v>
      </c>
      <c r="J751" s="11">
        <f>25.5264 * CHOOSE(CONTROL!$C$32, $C$9, 100%, $E$9)</f>
        <v>25.526399999999999</v>
      </c>
      <c r="K751" s="11">
        <f>25.5317 * CHOOSE(CONTROL!$C$32, $C$9, 100%, $E$9)</f>
        <v>25.531700000000001</v>
      </c>
      <c r="L751" s="11">
        <f>12.4177 * CHOOSE(CONTROL!$C$32, $C$9, 100%, $E$9)</f>
        <v>12.4177</v>
      </c>
      <c r="M751" s="11">
        <f>12.423 * CHOOSE(CONTROL!$C$32, $C$9, 100%, $E$9)</f>
        <v>12.423</v>
      </c>
      <c r="N751" s="11">
        <f>12.4177 * CHOOSE(CONTROL!$C$32, $C$9, 100%, $E$9)</f>
        <v>12.4177</v>
      </c>
      <c r="O751" s="11">
        <f>12.423 * CHOOSE(CONTROL!$C$32, $C$9, 100%, $E$9)</f>
        <v>12.423</v>
      </c>
    </row>
    <row r="752" spans="1:15" ht="15" x14ac:dyDescent="0.2">
      <c r="A752" s="13">
        <v>63736</v>
      </c>
      <c r="B752" s="9">
        <f>11.0189 * CHOOSE(CONTROL!$C$32, $C$9, 100%, $E$9)</f>
        <v>11.0189</v>
      </c>
      <c r="C752" s="9">
        <f>11.0189 * CHOOSE(CONTROL!$C$32, $C$9, 100%, $E$9)</f>
        <v>11.0189</v>
      </c>
      <c r="D752" s="9">
        <f>11.0205 * CHOOSE(CONTROL!$C$32, $C$9, 100%, $E$9)</f>
        <v>11.0205</v>
      </c>
      <c r="E752" s="11">
        <f>12.5924 * CHOOSE(CONTROL!$C$32, $C$9, 100%, $E$9)</f>
        <v>12.5924</v>
      </c>
      <c r="F752" s="11">
        <f>12.5924 * CHOOSE(CONTROL!$C$32, $C$9, 100%, $E$9)</f>
        <v>12.5924</v>
      </c>
      <c r="G752" s="11">
        <f>12.5977 * CHOOSE(CONTROL!$C$32, $C$9, 100%, $E$9)</f>
        <v>12.5977</v>
      </c>
      <c r="H752" s="11">
        <f>25.5796 * CHOOSE(CONTROL!$C$32, $C$9, 100%, $E$9)</f>
        <v>25.579599999999999</v>
      </c>
      <c r="I752" s="11">
        <f>25.5849 * CHOOSE(CONTROL!$C$32, $C$9, 100%, $E$9)</f>
        <v>25.584900000000001</v>
      </c>
      <c r="J752" s="11">
        <f>25.5796 * CHOOSE(CONTROL!$C$32, $C$9, 100%, $E$9)</f>
        <v>25.579599999999999</v>
      </c>
      <c r="K752" s="11">
        <f>25.5849 * CHOOSE(CONTROL!$C$32, $C$9, 100%, $E$9)</f>
        <v>25.584900000000001</v>
      </c>
      <c r="L752" s="11">
        <f>12.5924 * CHOOSE(CONTROL!$C$32, $C$9, 100%, $E$9)</f>
        <v>12.5924</v>
      </c>
      <c r="M752" s="11">
        <f>12.5977 * CHOOSE(CONTROL!$C$32, $C$9, 100%, $E$9)</f>
        <v>12.5977</v>
      </c>
      <c r="N752" s="11">
        <f>12.5924 * CHOOSE(CONTROL!$C$32, $C$9, 100%, $E$9)</f>
        <v>12.5924</v>
      </c>
      <c r="O752" s="11">
        <f>12.5977 * CHOOSE(CONTROL!$C$32, $C$9, 100%, $E$9)</f>
        <v>12.5977</v>
      </c>
    </row>
    <row r="753" spans="1:15" ht="15" x14ac:dyDescent="0.2">
      <c r="A753" s="13">
        <v>63767</v>
      </c>
      <c r="B753" s="9">
        <f>11.0256 * CHOOSE(CONTROL!$C$32, $C$9, 100%, $E$9)</f>
        <v>11.025600000000001</v>
      </c>
      <c r="C753" s="9">
        <f>11.0256 * CHOOSE(CONTROL!$C$32, $C$9, 100%, $E$9)</f>
        <v>11.025600000000001</v>
      </c>
      <c r="D753" s="9">
        <f>11.0272 * CHOOSE(CONTROL!$C$32, $C$9, 100%, $E$9)</f>
        <v>11.027200000000001</v>
      </c>
      <c r="E753" s="11">
        <f>12.2949 * CHOOSE(CONTROL!$C$32, $C$9, 100%, $E$9)</f>
        <v>12.2949</v>
      </c>
      <c r="F753" s="11">
        <f>12.2949 * CHOOSE(CONTROL!$C$32, $C$9, 100%, $E$9)</f>
        <v>12.2949</v>
      </c>
      <c r="G753" s="11">
        <f>12.3002 * CHOOSE(CONTROL!$C$32, $C$9, 100%, $E$9)</f>
        <v>12.3002</v>
      </c>
      <c r="H753" s="11">
        <f>25.6329 * CHOOSE(CONTROL!$C$32, $C$9, 100%, $E$9)</f>
        <v>25.632899999999999</v>
      </c>
      <c r="I753" s="11">
        <f>25.6382 * CHOOSE(CONTROL!$C$32, $C$9, 100%, $E$9)</f>
        <v>25.638200000000001</v>
      </c>
      <c r="J753" s="11">
        <f>25.6329 * CHOOSE(CONTROL!$C$32, $C$9, 100%, $E$9)</f>
        <v>25.632899999999999</v>
      </c>
      <c r="K753" s="11">
        <f>25.6382 * CHOOSE(CONTROL!$C$32, $C$9, 100%, $E$9)</f>
        <v>25.638200000000001</v>
      </c>
      <c r="L753" s="11">
        <f>12.2949 * CHOOSE(CONTROL!$C$32, $C$9, 100%, $E$9)</f>
        <v>12.2949</v>
      </c>
      <c r="M753" s="11">
        <f>12.3002 * CHOOSE(CONTROL!$C$32, $C$9, 100%, $E$9)</f>
        <v>12.3002</v>
      </c>
      <c r="N753" s="11">
        <f>12.2949 * CHOOSE(CONTROL!$C$32, $C$9, 100%, $E$9)</f>
        <v>12.2949</v>
      </c>
      <c r="O753" s="11">
        <f>12.3002 * CHOOSE(CONTROL!$C$32, $C$9, 100%, $E$9)</f>
        <v>12.3002</v>
      </c>
    </row>
    <row r="754" spans="1:15" ht="15" x14ac:dyDescent="0.2">
      <c r="A754" s="13">
        <v>63798</v>
      </c>
      <c r="B754" s="9">
        <f>11.0226 * CHOOSE(CONTROL!$C$32, $C$9, 100%, $E$9)</f>
        <v>11.022600000000001</v>
      </c>
      <c r="C754" s="9">
        <f>11.0226 * CHOOSE(CONTROL!$C$32, $C$9, 100%, $E$9)</f>
        <v>11.022600000000001</v>
      </c>
      <c r="D754" s="9">
        <f>11.0241 * CHOOSE(CONTROL!$C$32, $C$9, 100%, $E$9)</f>
        <v>11.024100000000001</v>
      </c>
      <c r="E754" s="11">
        <f>12.2592 * CHOOSE(CONTROL!$C$32, $C$9, 100%, $E$9)</f>
        <v>12.2592</v>
      </c>
      <c r="F754" s="11">
        <f>12.2592 * CHOOSE(CONTROL!$C$32, $C$9, 100%, $E$9)</f>
        <v>12.2592</v>
      </c>
      <c r="G754" s="11">
        <f>12.2645 * CHOOSE(CONTROL!$C$32, $C$9, 100%, $E$9)</f>
        <v>12.2645</v>
      </c>
      <c r="H754" s="11">
        <f>25.6863 * CHOOSE(CONTROL!$C$32, $C$9, 100%, $E$9)</f>
        <v>25.686299999999999</v>
      </c>
      <c r="I754" s="11">
        <f>25.6916 * CHOOSE(CONTROL!$C$32, $C$9, 100%, $E$9)</f>
        <v>25.691600000000001</v>
      </c>
      <c r="J754" s="11">
        <f>25.6863 * CHOOSE(CONTROL!$C$32, $C$9, 100%, $E$9)</f>
        <v>25.686299999999999</v>
      </c>
      <c r="K754" s="11">
        <f>25.6916 * CHOOSE(CONTROL!$C$32, $C$9, 100%, $E$9)</f>
        <v>25.691600000000001</v>
      </c>
      <c r="L754" s="11">
        <f>12.2592 * CHOOSE(CONTROL!$C$32, $C$9, 100%, $E$9)</f>
        <v>12.2592</v>
      </c>
      <c r="M754" s="11">
        <f>12.2645 * CHOOSE(CONTROL!$C$32, $C$9, 100%, $E$9)</f>
        <v>12.2645</v>
      </c>
      <c r="N754" s="11">
        <f>12.2592 * CHOOSE(CONTROL!$C$32, $C$9, 100%, $E$9)</f>
        <v>12.2592</v>
      </c>
      <c r="O754" s="11">
        <f>12.2645 * CHOOSE(CONTROL!$C$32, $C$9, 100%, $E$9)</f>
        <v>12.2645</v>
      </c>
    </row>
    <row r="755" spans="1:15" ht="15" x14ac:dyDescent="0.2">
      <c r="A755" s="13">
        <v>63828</v>
      </c>
      <c r="B755" s="9">
        <f>11.0438 * CHOOSE(CONTROL!$C$32, $C$9, 100%, $E$9)</f>
        <v>11.043799999999999</v>
      </c>
      <c r="C755" s="9">
        <f>11.0438 * CHOOSE(CONTROL!$C$32, $C$9, 100%, $E$9)</f>
        <v>11.043799999999999</v>
      </c>
      <c r="D755" s="9">
        <f>11.0449 * CHOOSE(CONTROL!$C$32, $C$9, 100%, $E$9)</f>
        <v>11.0449</v>
      </c>
      <c r="E755" s="11">
        <f>12.3801 * CHOOSE(CONTROL!$C$32, $C$9, 100%, $E$9)</f>
        <v>12.380100000000001</v>
      </c>
      <c r="F755" s="11">
        <f>12.3801 * CHOOSE(CONTROL!$C$32, $C$9, 100%, $E$9)</f>
        <v>12.380100000000001</v>
      </c>
      <c r="G755" s="11">
        <f>12.3837 * CHOOSE(CONTROL!$C$32, $C$9, 100%, $E$9)</f>
        <v>12.383699999999999</v>
      </c>
      <c r="H755" s="11">
        <f>25.7398 * CHOOSE(CONTROL!$C$32, $C$9, 100%, $E$9)</f>
        <v>25.739799999999999</v>
      </c>
      <c r="I755" s="11">
        <f>25.7434 * CHOOSE(CONTROL!$C$32, $C$9, 100%, $E$9)</f>
        <v>25.743400000000001</v>
      </c>
      <c r="J755" s="11">
        <f>25.7398 * CHOOSE(CONTROL!$C$32, $C$9, 100%, $E$9)</f>
        <v>25.739799999999999</v>
      </c>
      <c r="K755" s="11">
        <f>25.7434 * CHOOSE(CONTROL!$C$32, $C$9, 100%, $E$9)</f>
        <v>25.743400000000001</v>
      </c>
      <c r="L755" s="11">
        <f>12.3801 * CHOOSE(CONTROL!$C$32, $C$9, 100%, $E$9)</f>
        <v>12.380100000000001</v>
      </c>
      <c r="M755" s="11">
        <f>12.3837 * CHOOSE(CONTROL!$C$32, $C$9, 100%, $E$9)</f>
        <v>12.383699999999999</v>
      </c>
      <c r="N755" s="11">
        <f>12.3801 * CHOOSE(CONTROL!$C$32, $C$9, 100%, $E$9)</f>
        <v>12.380100000000001</v>
      </c>
      <c r="O755" s="11">
        <f>12.3837 * CHOOSE(CONTROL!$C$32, $C$9, 100%, $E$9)</f>
        <v>12.383699999999999</v>
      </c>
    </row>
    <row r="756" spans="1:15" ht="15" x14ac:dyDescent="0.2">
      <c r="A756" s="13">
        <v>63859</v>
      </c>
      <c r="B756" s="9">
        <f>11.0469 * CHOOSE(CONTROL!$C$32, $C$9, 100%, $E$9)</f>
        <v>11.046900000000001</v>
      </c>
      <c r="C756" s="9">
        <f>11.0469 * CHOOSE(CONTROL!$C$32, $C$9, 100%, $E$9)</f>
        <v>11.046900000000001</v>
      </c>
      <c r="D756" s="9">
        <f>11.048 * CHOOSE(CONTROL!$C$32, $C$9, 100%, $E$9)</f>
        <v>11.048</v>
      </c>
      <c r="E756" s="11">
        <f>12.4493 * CHOOSE(CONTROL!$C$32, $C$9, 100%, $E$9)</f>
        <v>12.449299999999999</v>
      </c>
      <c r="F756" s="11">
        <f>12.4493 * CHOOSE(CONTROL!$C$32, $C$9, 100%, $E$9)</f>
        <v>12.449299999999999</v>
      </c>
      <c r="G756" s="11">
        <f>12.453 * CHOOSE(CONTROL!$C$32, $C$9, 100%, $E$9)</f>
        <v>12.452999999999999</v>
      </c>
      <c r="H756" s="11">
        <f>25.7934 * CHOOSE(CONTROL!$C$32, $C$9, 100%, $E$9)</f>
        <v>25.793399999999998</v>
      </c>
      <c r="I756" s="11">
        <f>25.7971 * CHOOSE(CONTROL!$C$32, $C$9, 100%, $E$9)</f>
        <v>25.7971</v>
      </c>
      <c r="J756" s="11">
        <f>25.7934 * CHOOSE(CONTROL!$C$32, $C$9, 100%, $E$9)</f>
        <v>25.793399999999998</v>
      </c>
      <c r="K756" s="11">
        <f>25.7971 * CHOOSE(CONTROL!$C$32, $C$9, 100%, $E$9)</f>
        <v>25.7971</v>
      </c>
      <c r="L756" s="11">
        <f>12.4493 * CHOOSE(CONTROL!$C$32, $C$9, 100%, $E$9)</f>
        <v>12.449299999999999</v>
      </c>
      <c r="M756" s="11">
        <f>12.453 * CHOOSE(CONTROL!$C$32, $C$9, 100%, $E$9)</f>
        <v>12.452999999999999</v>
      </c>
      <c r="N756" s="11">
        <f>12.4493 * CHOOSE(CONTROL!$C$32, $C$9, 100%, $E$9)</f>
        <v>12.449299999999999</v>
      </c>
      <c r="O756" s="11">
        <f>12.453 * CHOOSE(CONTROL!$C$32, $C$9, 100%, $E$9)</f>
        <v>12.452999999999999</v>
      </c>
    </row>
    <row r="757" spans="1:15" ht="15" x14ac:dyDescent="0.2">
      <c r="A757" s="13">
        <v>63889</v>
      </c>
      <c r="B757" s="9">
        <f>11.0469 * CHOOSE(CONTROL!$C$32, $C$9, 100%, $E$9)</f>
        <v>11.046900000000001</v>
      </c>
      <c r="C757" s="9">
        <f>11.0469 * CHOOSE(CONTROL!$C$32, $C$9, 100%, $E$9)</f>
        <v>11.046900000000001</v>
      </c>
      <c r="D757" s="9">
        <f>11.048 * CHOOSE(CONTROL!$C$32, $C$9, 100%, $E$9)</f>
        <v>11.048</v>
      </c>
      <c r="E757" s="11">
        <f>12.2815 * CHOOSE(CONTROL!$C$32, $C$9, 100%, $E$9)</f>
        <v>12.281499999999999</v>
      </c>
      <c r="F757" s="11">
        <f>12.2815 * CHOOSE(CONTROL!$C$32, $C$9, 100%, $E$9)</f>
        <v>12.281499999999999</v>
      </c>
      <c r="G757" s="11">
        <f>12.2851 * CHOOSE(CONTROL!$C$32, $C$9, 100%, $E$9)</f>
        <v>12.2851</v>
      </c>
      <c r="H757" s="11">
        <f>25.8472 * CHOOSE(CONTROL!$C$32, $C$9, 100%, $E$9)</f>
        <v>25.847200000000001</v>
      </c>
      <c r="I757" s="11">
        <f>25.8508 * CHOOSE(CONTROL!$C$32, $C$9, 100%, $E$9)</f>
        <v>25.8508</v>
      </c>
      <c r="J757" s="11">
        <f>25.8472 * CHOOSE(CONTROL!$C$32, $C$9, 100%, $E$9)</f>
        <v>25.847200000000001</v>
      </c>
      <c r="K757" s="11">
        <f>25.8508 * CHOOSE(CONTROL!$C$32, $C$9, 100%, $E$9)</f>
        <v>25.8508</v>
      </c>
      <c r="L757" s="11">
        <f>12.2815 * CHOOSE(CONTROL!$C$32, $C$9, 100%, $E$9)</f>
        <v>12.281499999999999</v>
      </c>
      <c r="M757" s="11">
        <f>12.2851 * CHOOSE(CONTROL!$C$32, $C$9, 100%, $E$9)</f>
        <v>12.2851</v>
      </c>
      <c r="N757" s="11">
        <f>12.2815 * CHOOSE(CONTROL!$C$32, $C$9, 100%, $E$9)</f>
        <v>12.281499999999999</v>
      </c>
      <c r="O757" s="11">
        <f>12.2851 * CHOOSE(CONTROL!$C$32, $C$9, 100%, $E$9)</f>
        <v>12.2851</v>
      </c>
    </row>
    <row r="758" spans="1:15" ht="15" x14ac:dyDescent="0.2">
      <c r="A758" s="13">
        <v>63920</v>
      </c>
      <c r="B758" s="9">
        <f>11.0679 * CHOOSE(CONTROL!$C$32, $C$9, 100%, $E$9)</f>
        <v>11.0679</v>
      </c>
      <c r="C758" s="9">
        <f>11.0679 * CHOOSE(CONTROL!$C$32, $C$9, 100%, $E$9)</f>
        <v>11.0679</v>
      </c>
      <c r="D758" s="9">
        <f>11.0689 * CHOOSE(CONTROL!$C$32, $C$9, 100%, $E$9)</f>
        <v>11.068899999999999</v>
      </c>
      <c r="E758" s="11">
        <f>12.433 * CHOOSE(CONTROL!$C$32, $C$9, 100%, $E$9)</f>
        <v>12.433</v>
      </c>
      <c r="F758" s="11">
        <f>12.433 * CHOOSE(CONTROL!$C$32, $C$9, 100%, $E$9)</f>
        <v>12.433</v>
      </c>
      <c r="G758" s="11">
        <f>12.4367 * CHOOSE(CONTROL!$C$32, $C$9, 100%, $E$9)</f>
        <v>12.4367</v>
      </c>
      <c r="H758" s="11">
        <f>25.734 * CHOOSE(CONTROL!$C$32, $C$9, 100%, $E$9)</f>
        <v>25.734000000000002</v>
      </c>
      <c r="I758" s="11">
        <f>25.7376 * CHOOSE(CONTROL!$C$32, $C$9, 100%, $E$9)</f>
        <v>25.7376</v>
      </c>
      <c r="J758" s="11">
        <f>25.734 * CHOOSE(CONTROL!$C$32, $C$9, 100%, $E$9)</f>
        <v>25.734000000000002</v>
      </c>
      <c r="K758" s="11">
        <f>25.7376 * CHOOSE(CONTROL!$C$32, $C$9, 100%, $E$9)</f>
        <v>25.7376</v>
      </c>
      <c r="L758" s="11">
        <f>12.433 * CHOOSE(CONTROL!$C$32, $C$9, 100%, $E$9)</f>
        <v>12.433</v>
      </c>
      <c r="M758" s="11">
        <f>12.4367 * CHOOSE(CONTROL!$C$32, $C$9, 100%, $E$9)</f>
        <v>12.4367</v>
      </c>
      <c r="N758" s="11">
        <f>12.433 * CHOOSE(CONTROL!$C$32, $C$9, 100%, $E$9)</f>
        <v>12.433</v>
      </c>
      <c r="O758" s="11">
        <f>12.4367 * CHOOSE(CONTROL!$C$32, $C$9, 100%, $E$9)</f>
        <v>12.4367</v>
      </c>
    </row>
    <row r="759" spans="1:15" ht="15" x14ac:dyDescent="0.2">
      <c r="A759" s="13">
        <v>63951</v>
      </c>
      <c r="B759" s="9">
        <f>11.0648 * CHOOSE(CONTROL!$C$32, $C$9, 100%, $E$9)</f>
        <v>11.0648</v>
      </c>
      <c r="C759" s="9">
        <f>11.0648 * CHOOSE(CONTROL!$C$32, $C$9, 100%, $E$9)</f>
        <v>11.0648</v>
      </c>
      <c r="D759" s="9">
        <f>11.0659 * CHOOSE(CONTROL!$C$32, $C$9, 100%, $E$9)</f>
        <v>11.065899999999999</v>
      </c>
      <c r="E759" s="11">
        <f>12.1066 * CHOOSE(CONTROL!$C$32, $C$9, 100%, $E$9)</f>
        <v>12.1066</v>
      </c>
      <c r="F759" s="11">
        <f>12.1066 * CHOOSE(CONTROL!$C$32, $C$9, 100%, $E$9)</f>
        <v>12.1066</v>
      </c>
      <c r="G759" s="11">
        <f>12.1102 * CHOOSE(CONTROL!$C$32, $C$9, 100%, $E$9)</f>
        <v>12.110200000000001</v>
      </c>
      <c r="H759" s="11">
        <f>25.7876 * CHOOSE(CONTROL!$C$32, $C$9, 100%, $E$9)</f>
        <v>25.787600000000001</v>
      </c>
      <c r="I759" s="11">
        <f>25.7912 * CHOOSE(CONTROL!$C$32, $C$9, 100%, $E$9)</f>
        <v>25.7912</v>
      </c>
      <c r="J759" s="11">
        <f>25.7876 * CHOOSE(CONTROL!$C$32, $C$9, 100%, $E$9)</f>
        <v>25.787600000000001</v>
      </c>
      <c r="K759" s="11">
        <f>25.7912 * CHOOSE(CONTROL!$C$32, $C$9, 100%, $E$9)</f>
        <v>25.7912</v>
      </c>
      <c r="L759" s="11">
        <f>12.1066 * CHOOSE(CONTROL!$C$32, $C$9, 100%, $E$9)</f>
        <v>12.1066</v>
      </c>
      <c r="M759" s="11">
        <f>12.1102 * CHOOSE(CONTROL!$C$32, $C$9, 100%, $E$9)</f>
        <v>12.110200000000001</v>
      </c>
      <c r="N759" s="11">
        <f>12.1066 * CHOOSE(CONTROL!$C$32, $C$9, 100%, $E$9)</f>
        <v>12.1066</v>
      </c>
      <c r="O759" s="11">
        <f>12.1102 * CHOOSE(CONTROL!$C$32, $C$9, 100%, $E$9)</f>
        <v>12.110200000000001</v>
      </c>
    </row>
    <row r="760" spans="1:15" ht="15" x14ac:dyDescent="0.2">
      <c r="A760" s="13">
        <v>63979</v>
      </c>
      <c r="B760" s="9">
        <f>11.0618 * CHOOSE(CONTROL!$C$32, $C$9, 100%, $E$9)</f>
        <v>11.0618</v>
      </c>
      <c r="C760" s="9">
        <f>11.0618 * CHOOSE(CONTROL!$C$32, $C$9, 100%, $E$9)</f>
        <v>11.0618</v>
      </c>
      <c r="D760" s="9">
        <f>11.0629 * CHOOSE(CONTROL!$C$32, $C$9, 100%, $E$9)</f>
        <v>11.062900000000001</v>
      </c>
      <c r="E760" s="11">
        <f>12.3602 * CHOOSE(CONTROL!$C$32, $C$9, 100%, $E$9)</f>
        <v>12.360200000000001</v>
      </c>
      <c r="F760" s="11">
        <f>12.3602 * CHOOSE(CONTROL!$C$32, $C$9, 100%, $E$9)</f>
        <v>12.360200000000001</v>
      </c>
      <c r="G760" s="11">
        <f>12.3638 * CHOOSE(CONTROL!$C$32, $C$9, 100%, $E$9)</f>
        <v>12.363799999999999</v>
      </c>
      <c r="H760" s="11">
        <f>25.8413 * CHOOSE(CONTROL!$C$32, $C$9, 100%, $E$9)</f>
        <v>25.8413</v>
      </c>
      <c r="I760" s="11">
        <f>25.845 * CHOOSE(CONTROL!$C$32, $C$9, 100%, $E$9)</f>
        <v>25.844999999999999</v>
      </c>
      <c r="J760" s="11">
        <f>25.8413 * CHOOSE(CONTROL!$C$32, $C$9, 100%, $E$9)</f>
        <v>25.8413</v>
      </c>
      <c r="K760" s="11">
        <f>25.845 * CHOOSE(CONTROL!$C$32, $C$9, 100%, $E$9)</f>
        <v>25.844999999999999</v>
      </c>
      <c r="L760" s="11">
        <f>12.3602 * CHOOSE(CONTROL!$C$32, $C$9, 100%, $E$9)</f>
        <v>12.360200000000001</v>
      </c>
      <c r="M760" s="11">
        <f>12.3638 * CHOOSE(CONTROL!$C$32, $C$9, 100%, $E$9)</f>
        <v>12.363799999999999</v>
      </c>
      <c r="N760" s="11">
        <f>12.3602 * CHOOSE(CONTROL!$C$32, $C$9, 100%, $E$9)</f>
        <v>12.360200000000001</v>
      </c>
      <c r="O760" s="11">
        <f>12.3638 * CHOOSE(CONTROL!$C$32, $C$9, 100%, $E$9)</f>
        <v>12.363799999999999</v>
      </c>
    </row>
    <row r="761" spans="1:15" ht="15" x14ac:dyDescent="0.2">
      <c r="A761" s="13">
        <v>64010</v>
      </c>
      <c r="B761" s="9">
        <f>11.0663 * CHOOSE(CONTROL!$C$32, $C$9, 100%, $E$9)</f>
        <v>11.0663</v>
      </c>
      <c r="C761" s="9">
        <f>11.0663 * CHOOSE(CONTROL!$C$32, $C$9, 100%, $E$9)</f>
        <v>11.0663</v>
      </c>
      <c r="D761" s="9">
        <f>11.0674 * CHOOSE(CONTROL!$C$32, $C$9, 100%, $E$9)</f>
        <v>11.067399999999999</v>
      </c>
      <c r="E761" s="11">
        <f>12.6305 * CHOOSE(CONTROL!$C$32, $C$9, 100%, $E$9)</f>
        <v>12.6305</v>
      </c>
      <c r="F761" s="11">
        <f>12.6305 * CHOOSE(CONTROL!$C$32, $C$9, 100%, $E$9)</f>
        <v>12.6305</v>
      </c>
      <c r="G761" s="11">
        <f>12.6341 * CHOOSE(CONTROL!$C$32, $C$9, 100%, $E$9)</f>
        <v>12.6341</v>
      </c>
      <c r="H761" s="11">
        <f>25.8952 * CHOOSE(CONTROL!$C$32, $C$9, 100%, $E$9)</f>
        <v>25.895199999999999</v>
      </c>
      <c r="I761" s="11">
        <f>25.8988 * CHOOSE(CONTROL!$C$32, $C$9, 100%, $E$9)</f>
        <v>25.898800000000001</v>
      </c>
      <c r="J761" s="11">
        <f>25.8952 * CHOOSE(CONTROL!$C$32, $C$9, 100%, $E$9)</f>
        <v>25.895199999999999</v>
      </c>
      <c r="K761" s="11">
        <f>25.8988 * CHOOSE(CONTROL!$C$32, $C$9, 100%, $E$9)</f>
        <v>25.898800000000001</v>
      </c>
      <c r="L761" s="11">
        <f>12.6305 * CHOOSE(CONTROL!$C$32, $C$9, 100%, $E$9)</f>
        <v>12.6305</v>
      </c>
      <c r="M761" s="11">
        <f>12.6341 * CHOOSE(CONTROL!$C$32, $C$9, 100%, $E$9)</f>
        <v>12.6341</v>
      </c>
      <c r="N761" s="11">
        <f>12.6305 * CHOOSE(CONTROL!$C$32, $C$9, 100%, $E$9)</f>
        <v>12.6305</v>
      </c>
      <c r="O761" s="11">
        <f>12.6341 * CHOOSE(CONTROL!$C$32, $C$9, 100%, $E$9)</f>
        <v>12.6341</v>
      </c>
    </row>
    <row r="762" spans="1:15" ht="15" x14ac:dyDescent="0.2">
      <c r="A762" s="13">
        <v>64040</v>
      </c>
      <c r="B762" s="9">
        <f>11.0663 * CHOOSE(CONTROL!$C$32, $C$9, 100%, $E$9)</f>
        <v>11.0663</v>
      </c>
      <c r="C762" s="9">
        <f>11.0663 * CHOOSE(CONTROL!$C$32, $C$9, 100%, $E$9)</f>
        <v>11.0663</v>
      </c>
      <c r="D762" s="9">
        <f>11.0679 * CHOOSE(CONTROL!$C$32, $C$9, 100%, $E$9)</f>
        <v>11.0679</v>
      </c>
      <c r="E762" s="11">
        <f>12.7335 * CHOOSE(CONTROL!$C$32, $C$9, 100%, $E$9)</f>
        <v>12.733499999999999</v>
      </c>
      <c r="F762" s="11">
        <f>12.7335 * CHOOSE(CONTROL!$C$32, $C$9, 100%, $E$9)</f>
        <v>12.733499999999999</v>
      </c>
      <c r="G762" s="11">
        <f>12.7388 * CHOOSE(CONTROL!$C$32, $C$9, 100%, $E$9)</f>
        <v>12.738799999999999</v>
      </c>
      <c r="H762" s="11">
        <f>25.9491 * CHOOSE(CONTROL!$C$32, $C$9, 100%, $E$9)</f>
        <v>25.949100000000001</v>
      </c>
      <c r="I762" s="11">
        <f>25.9544 * CHOOSE(CONTROL!$C$32, $C$9, 100%, $E$9)</f>
        <v>25.9544</v>
      </c>
      <c r="J762" s="11">
        <f>25.9491 * CHOOSE(CONTROL!$C$32, $C$9, 100%, $E$9)</f>
        <v>25.949100000000001</v>
      </c>
      <c r="K762" s="11">
        <f>25.9544 * CHOOSE(CONTROL!$C$32, $C$9, 100%, $E$9)</f>
        <v>25.9544</v>
      </c>
      <c r="L762" s="11">
        <f>12.7335 * CHOOSE(CONTROL!$C$32, $C$9, 100%, $E$9)</f>
        <v>12.733499999999999</v>
      </c>
      <c r="M762" s="11">
        <f>12.7388 * CHOOSE(CONTROL!$C$32, $C$9, 100%, $E$9)</f>
        <v>12.738799999999999</v>
      </c>
      <c r="N762" s="11">
        <f>12.7335 * CHOOSE(CONTROL!$C$32, $C$9, 100%, $E$9)</f>
        <v>12.733499999999999</v>
      </c>
      <c r="O762" s="11">
        <f>12.7388 * CHOOSE(CONTROL!$C$32, $C$9, 100%, $E$9)</f>
        <v>12.738799999999999</v>
      </c>
    </row>
    <row r="763" spans="1:15" ht="15" x14ac:dyDescent="0.2">
      <c r="A763" s="13">
        <v>64071</v>
      </c>
      <c r="B763" s="9">
        <f>11.0724 * CHOOSE(CONTROL!$C$32, $C$9, 100%, $E$9)</f>
        <v>11.0724</v>
      </c>
      <c r="C763" s="9">
        <f>11.0724 * CHOOSE(CONTROL!$C$32, $C$9, 100%, $E$9)</f>
        <v>11.0724</v>
      </c>
      <c r="D763" s="9">
        <f>11.0739 * CHOOSE(CONTROL!$C$32, $C$9, 100%, $E$9)</f>
        <v>11.0739</v>
      </c>
      <c r="E763" s="11">
        <f>12.6347 * CHOOSE(CONTROL!$C$32, $C$9, 100%, $E$9)</f>
        <v>12.6347</v>
      </c>
      <c r="F763" s="11">
        <f>12.6347 * CHOOSE(CONTROL!$C$32, $C$9, 100%, $E$9)</f>
        <v>12.6347</v>
      </c>
      <c r="G763" s="11">
        <f>12.64 * CHOOSE(CONTROL!$C$32, $C$9, 100%, $E$9)</f>
        <v>12.64</v>
      </c>
      <c r="H763" s="11">
        <f>26.0032 * CHOOSE(CONTROL!$C$32, $C$9, 100%, $E$9)</f>
        <v>26.0032</v>
      </c>
      <c r="I763" s="11">
        <f>26.0085 * CHOOSE(CONTROL!$C$32, $C$9, 100%, $E$9)</f>
        <v>26.008500000000002</v>
      </c>
      <c r="J763" s="11">
        <f>26.0032 * CHOOSE(CONTROL!$C$32, $C$9, 100%, $E$9)</f>
        <v>26.0032</v>
      </c>
      <c r="K763" s="11">
        <f>26.0085 * CHOOSE(CONTROL!$C$32, $C$9, 100%, $E$9)</f>
        <v>26.008500000000002</v>
      </c>
      <c r="L763" s="11">
        <f>12.6347 * CHOOSE(CONTROL!$C$32, $C$9, 100%, $E$9)</f>
        <v>12.6347</v>
      </c>
      <c r="M763" s="11">
        <f>12.64 * CHOOSE(CONTROL!$C$32, $C$9, 100%, $E$9)</f>
        <v>12.64</v>
      </c>
      <c r="N763" s="11">
        <f>12.6347 * CHOOSE(CONTROL!$C$32, $C$9, 100%, $E$9)</f>
        <v>12.6347</v>
      </c>
      <c r="O763" s="11">
        <f>12.64 * CHOOSE(CONTROL!$C$32, $C$9, 100%, $E$9)</f>
        <v>12.64</v>
      </c>
    </row>
    <row r="764" spans="1:15" ht="15" x14ac:dyDescent="0.2">
      <c r="A764" s="13">
        <v>64101</v>
      </c>
      <c r="B764" s="9">
        <f>11.2085 * CHOOSE(CONTROL!$C$32, $C$9, 100%, $E$9)</f>
        <v>11.208500000000001</v>
      </c>
      <c r="C764" s="9">
        <f>11.2085 * CHOOSE(CONTROL!$C$32, $C$9, 100%, $E$9)</f>
        <v>11.208500000000001</v>
      </c>
      <c r="D764" s="9">
        <f>11.2101 * CHOOSE(CONTROL!$C$32, $C$9, 100%, $E$9)</f>
        <v>11.210100000000001</v>
      </c>
      <c r="E764" s="11">
        <f>12.8126 * CHOOSE(CONTROL!$C$32, $C$9, 100%, $E$9)</f>
        <v>12.8126</v>
      </c>
      <c r="F764" s="11">
        <f>12.8126 * CHOOSE(CONTROL!$C$32, $C$9, 100%, $E$9)</f>
        <v>12.8126</v>
      </c>
      <c r="G764" s="11">
        <f>12.8179 * CHOOSE(CONTROL!$C$32, $C$9, 100%, $E$9)</f>
        <v>12.8179</v>
      </c>
      <c r="H764" s="11">
        <f>26.0574 * CHOOSE(CONTROL!$C$32, $C$9, 100%, $E$9)</f>
        <v>26.057400000000001</v>
      </c>
      <c r="I764" s="11">
        <f>26.0626 * CHOOSE(CONTROL!$C$32, $C$9, 100%, $E$9)</f>
        <v>26.0626</v>
      </c>
      <c r="J764" s="11">
        <f>26.0574 * CHOOSE(CONTROL!$C$32, $C$9, 100%, $E$9)</f>
        <v>26.057400000000001</v>
      </c>
      <c r="K764" s="11">
        <f>26.0626 * CHOOSE(CONTROL!$C$32, $C$9, 100%, $E$9)</f>
        <v>26.0626</v>
      </c>
      <c r="L764" s="11">
        <f>12.8126 * CHOOSE(CONTROL!$C$32, $C$9, 100%, $E$9)</f>
        <v>12.8126</v>
      </c>
      <c r="M764" s="11">
        <f>12.8179 * CHOOSE(CONTROL!$C$32, $C$9, 100%, $E$9)</f>
        <v>12.8179</v>
      </c>
      <c r="N764" s="11">
        <f>12.8126 * CHOOSE(CONTROL!$C$32, $C$9, 100%, $E$9)</f>
        <v>12.8126</v>
      </c>
      <c r="O764" s="11">
        <f>12.8179 * CHOOSE(CONTROL!$C$32, $C$9, 100%, $E$9)</f>
        <v>12.8179</v>
      </c>
    </row>
    <row r="765" spans="1:15" ht="15" x14ac:dyDescent="0.2">
      <c r="A765" s="13">
        <v>64132</v>
      </c>
      <c r="B765" s="9">
        <f>11.2152 * CHOOSE(CONTROL!$C$32, $C$9, 100%, $E$9)</f>
        <v>11.215199999999999</v>
      </c>
      <c r="C765" s="9">
        <f>11.2152 * CHOOSE(CONTROL!$C$32, $C$9, 100%, $E$9)</f>
        <v>11.215199999999999</v>
      </c>
      <c r="D765" s="9">
        <f>11.2168 * CHOOSE(CONTROL!$C$32, $C$9, 100%, $E$9)</f>
        <v>11.216799999999999</v>
      </c>
      <c r="E765" s="11">
        <f>12.5083 * CHOOSE(CONTROL!$C$32, $C$9, 100%, $E$9)</f>
        <v>12.5083</v>
      </c>
      <c r="F765" s="11">
        <f>12.5083 * CHOOSE(CONTROL!$C$32, $C$9, 100%, $E$9)</f>
        <v>12.5083</v>
      </c>
      <c r="G765" s="11">
        <f>12.5136 * CHOOSE(CONTROL!$C$32, $C$9, 100%, $E$9)</f>
        <v>12.5136</v>
      </c>
      <c r="H765" s="11">
        <f>26.1116 * CHOOSE(CONTROL!$C$32, $C$9, 100%, $E$9)</f>
        <v>26.111599999999999</v>
      </c>
      <c r="I765" s="11">
        <f>26.1169 * CHOOSE(CONTROL!$C$32, $C$9, 100%, $E$9)</f>
        <v>26.116900000000001</v>
      </c>
      <c r="J765" s="11">
        <f>26.1116 * CHOOSE(CONTROL!$C$32, $C$9, 100%, $E$9)</f>
        <v>26.111599999999999</v>
      </c>
      <c r="K765" s="11">
        <f>26.1169 * CHOOSE(CONTROL!$C$32, $C$9, 100%, $E$9)</f>
        <v>26.116900000000001</v>
      </c>
      <c r="L765" s="11">
        <f>12.5083 * CHOOSE(CONTROL!$C$32, $C$9, 100%, $E$9)</f>
        <v>12.5083</v>
      </c>
      <c r="M765" s="11">
        <f>12.5136 * CHOOSE(CONTROL!$C$32, $C$9, 100%, $E$9)</f>
        <v>12.5136</v>
      </c>
      <c r="N765" s="11">
        <f>12.5083 * CHOOSE(CONTROL!$C$32, $C$9, 100%, $E$9)</f>
        <v>12.5083</v>
      </c>
      <c r="O765" s="11">
        <f>12.5136 * CHOOSE(CONTROL!$C$32, $C$9, 100%, $E$9)</f>
        <v>12.5136</v>
      </c>
    </row>
    <row r="766" spans="1:15" ht="15" x14ac:dyDescent="0.2">
      <c r="A766" s="13">
        <v>64163</v>
      </c>
      <c r="B766" s="9">
        <f>11.2122 * CHOOSE(CONTROL!$C$32, $C$9, 100%, $E$9)</f>
        <v>11.212199999999999</v>
      </c>
      <c r="C766" s="9">
        <f>11.2122 * CHOOSE(CONTROL!$C$32, $C$9, 100%, $E$9)</f>
        <v>11.212199999999999</v>
      </c>
      <c r="D766" s="9">
        <f>11.2137 * CHOOSE(CONTROL!$C$32, $C$9, 100%, $E$9)</f>
        <v>11.213699999999999</v>
      </c>
      <c r="E766" s="11">
        <f>12.4719 * CHOOSE(CONTROL!$C$32, $C$9, 100%, $E$9)</f>
        <v>12.4719</v>
      </c>
      <c r="F766" s="11">
        <f>12.4719 * CHOOSE(CONTROL!$C$32, $C$9, 100%, $E$9)</f>
        <v>12.4719</v>
      </c>
      <c r="G766" s="11">
        <f>12.4772 * CHOOSE(CONTROL!$C$32, $C$9, 100%, $E$9)</f>
        <v>12.4772</v>
      </c>
      <c r="H766" s="11">
        <f>26.166 * CHOOSE(CONTROL!$C$32, $C$9, 100%, $E$9)</f>
        <v>26.166</v>
      </c>
      <c r="I766" s="11">
        <f>26.1713 * CHOOSE(CONTROL!$C$32, $C$9, 100%, $E$9)</f>
        <v>26.171299999999999</v>
      </c>
      <c r="J766" s="11">
        <f>26.166 * CHOOSE(CONTROL!$C$32, $C$9, 100%, $E$9)</f>
        <v>26.166</v>
      </c>
      <c r="K766" s="11">
        <f>26.1713 * CHOOSE(CONTROL!$C$32, $C$9, 100%, $E$9)</f>
        <v>26.171299999999999</v>
      </c>
      <c r="L766" s="11">
        <f>12.4719 * CHOOSE(CONTROL!$C$32, $C$9, 100%, $E$9)</f>
        <v>12.4719</v>
      </c>
      <c r="M766" s="11">
        <f>12.4772 * CHOOSE(CONTROL!$C$32, $C$9, 100%, $E$9)</f>
        <v>12.4772</v>
      </c>
      <c r="N766" s="11">
        <f>12.4719 * CHOOSE(CONTROL!$C$32, $C$9, 100%, $E$9)</f>
        <v>12.4719</v>
      </c>
      <c r="O766" s="11">
        <f>12.4772 * CHOOSE(CONTROL!$C$32, $C$9, 100%, $E$9)</f>
        <v>12.4772</v>
      </c>
    </row>
    <row r="767" spans="1:15" ht="15" x14ac:dyDescent="0.2">
      <c r="A767" s="13">
        <v>64193</v>
      </c>
      <c r="B767" s="9">
        <f>11.2342 * CHOOSE(CONTROL!$C$32, $C$9, 100%, $E$9)</f>
        <v>11.2342</v>
      </c>
      <c r="C767" s="9">
        <f>11.2342 * CHOOSE(CONTROL!$C$32, $C$9, 100%, $E$9)</f>
        <v>11.2342</v>
      </c>
      <c r="D767" s="9">
        <f>11.2352 * CHOOSE(CONTROL!$C$32, $C$9, 100%, $E$9)</f>
        <v>11.235200000000001</v>
      </c>
      <c r="E767" s="11">
        <f>12.5958 * CHOOSE(CONTROL!$C$32, $C$9, 100%, $E$9)</f>
        <v>12.595800000000001</v>
      </c>
      <c r="F767" s="11">
        <f>12.5958 * CHOOSE(CONTROL!$C$32, $C$9, 100%, $E$9)</f>
        <v>12.595800000000001</v>
      </c>
      <c r="G767" s="11">
        <f>12.5994 * CHOOSE(CONTROL!$C$32, $C$9, 100%, $E$9)</f>
        <v>12.599399999999999</v>
      </c>
      <c r="H767" s="11">
        <f>26.2206 * CHOOSE(CONTROL!$C$32, $C$9, 100%, $E$9)</f>
        <v>26.220600000000001</v>
      </c>
      <c r="I767" s="11">
        <f>26.2242 * CHOOSE(CONTROL!$C$32, $C$9, 100%, $E$9)</f>
        <v>26.2242</v>
      </c>
      <c r="J767" s="11">
        <f>26.2206 * CHOOSE(CONTROL!$C$32, $C$9, 100%, $E$9)</f>
        <v>26.220600000000001</v>
      </c>
      <c r="K767" s="11">
        <f>26.2242 * CHOOSE(CONTROL!$C$32, $C$9, 100%, $E$9)</f>
        <v>26.2242</v>
      </c>
      <c r="L767" s="11">
        <f>12.5958 * CHOOSE(CONTROL!$C$32, $C$9, 100%, $E$9)</f>
        <v>12.595800000000001</v>
      </c>
      <c r="M767" s="11">
        <f>12.5994 * CHOOSE(CONTROL!$C$32, $C$9, 100%, $E$9)</f>
        <v>12.599399999999999</v>
      </c>
      <c r="N767" s="11">
        <f>12.5958 * CHOOSE(CONTROL!$C$32, $C$9, 100%, $E$9)</f>
        <v>12.595800000000001</v>
      </c>
      <c r="O767" s="11">
        <f>12.5994 * CHOOSE(CONTROL!$C$32, $C$9, 100%, $E$9)</f>
        <v>12.599399999999999</v>
      </c>
    </row>
    <row r="768" spans="1:15" ht="15" x14ac:dyDescent="0.2">
      <c r="A768" s="13">
        <v>64224</v>
      </c>
      <c r="B768" s="9">
        <f>11.2372 * CHOOSE(CONTROL!$C$32, $C$9, 100%, $E$9)</f>
        <v>11.2372</v>
      </c>
      <c r="C768" s="9">
        <f>11.2372 * CHOOSE(CONTROL!$C$32, $C$9, 100%, $E$9)</f>
        <v>11.2372</v>
      </c>
      <c r="D768" s="9">
        <f>11.2383 * CHOOSE(CONTROL!$C$32, $C$9, 100%, $E$9)</f>
        <v>11.238300000000001</v>
      </c>
      <c r="E768" s="11">
        <f>12.6665 * CHOOSE(CONTROL!$C$32, $C$9, 100%, $E$9)</f>
        <v>12.666499999999999</v>
      </c>
      <c r="F768" s="11">
        <f>12.6665 * CHOOSE(CONTROL!$C$32, $C$9, 100%, $E$9)</f>
        <v>12.666499999999999</v>
      </c>
      <c r="G768" s="11">
        <f>12.6701 * CHOOSE(CONTROL!$C$32, $C$9, 100%, $E$9)</f>
        <v>12.6701</v>
      </c>
      <c r="H768" s="11">
        <f>26.2752 * CHOOSE(CONTROL!$C$32, $C$9, 100%, $E$9)</f>
        <v>26.275200000000002</v>
      </c>
      <c r="I768" s="11">
        <f>26.2788 * CHOOSE(CONTROL!$C$32, $C$9, 100%, $E$9)</f>
        <v>26.2788</v>
      </c>
      <c r="J768" s="11">
        <f>26.2752 * CHOOSE(CONTROL!$C$32, $C$9, 100%, $E$9)</f>
        <v>26.275200000000002</v>
      </c>
      <c r="K768" s="11">
        <f>26.2788 * CHOOSE(CONTROL!$C$32, $C$9, 100%, $E$9)</f>
        <v>26.2788</v>
      </c>
      <c r="L768" s="11">
        <f>12.6665 * CHOOSE(CONTROL!$C$32, $C$9, 100%, $E$9)</f>
        <v>12.666499999999999</v>
      </c>
      <c r="M768" s="11">
        <f>12.6701 * CHOOSE(CONTROL!$C$32, $C$9, 100%, $E$9)</f>
        <v>12.6701</v>
      </c>
      <c r="N768" s="11">
        <f>12.6665 * CHOOSE(CONTROL!$C$32, $C$9, 100%, $E$9)</f>
        <v>12.666499999999999</v>
      </c>
      <c r="O768" s="11">
        <f>12.6701 * CHOOSE(CONTROL!$C$32, $C$9, 100%, $E$9)</f>
        <v>12.6701</v>
      </c>
    </row>
    <row r="769" spans="1:15" ht="15" x14ac:dyDescent="0.2">
      <c r="A769" s="13">
        <v>64254</v>
      </c>
      <c r="B769" s="9">
        <f>11.2372 * CHOOSE(CONTROL!$C$32, $C$9, 100%, $E$9)</f>
        <v>11.2372</v>
      </c>
      <c r="C769" s="9">
        <f>11.2372 * CHOOSE(CONTROL!$C$32, $C$9, 100%, $E$9)</f>
        <v>11.2372</v>
      </c>
      <c r="D769" s="9">
        <f>11.2383 * CHOOSE(CONTROL!$C$32, $C$9, 100%, $E$9)</f>
        <v>11.238300000000001</v>
      </c>
      <c r="E769" s="11">
        <f>12.4949 * CHOOSE(CONTROL!$C$32, $C$9, 100%, $E$9)</f>
        <v>12.494899999999999</v>
      </c>
      <c r="F769" s="11">
        <f>12.4949 * CHOOSE(CONTROL!$C$32, $C$9, 100%, $E$9)</f>
        <v>12.494899999999999</v>
      </c>
      <c r="G769" s="11">
        <f>12.4985 * CHOOSE(CONTROL!$C$32, $C$9, 100%, $E$9)</f>
        <v>12.4985</v>
      </c>
      <c r="H769" s="11">
        <f>26.3299 * CHOOSE(CONTROL!$C$32, $C$9, 100%, $E$9)</f>
        <v>26.329899999999999</v>
      </c>
      <c r="I769" s="11">
        <f>26.3335 * CHOOSE(CONTROL!$C$32, $C$9, 100%, $E$9)</f>
        <v>26.333500000000001</v>
      </c>
      <c r="J769" s="11">
        <f>26.3299 * CHOOSE(CONTROL!$C$32, $C$9, 100%, $E$9)</f>
        <v>26.329899999999999</v>
      </c>
      <c r="K769" s="11">
        <f>26.3335 * CHOOSE(CONTROL!$C$32, $C$9, 100%, $E$9)</f>
        <v>26.333500000000001</v>
      </c>
      <c r="L769" s="11">
        <f>12.4949 * CHOOSE(CONTROL!$C$32, $C$9, 100%, $E$9)</f>
        <v>12.494899999999999</v>
      </c>
      <c r="M769" s="11">
        <f>12.4985 * CHOOSE(CONTROL!$C$32, $C$9, 100%, $E$9)</f>
        <v>12.4985</v>
      </c>
      <c r="N769" s="11">
        <f>12.4949 * CHOOSE(CONTROL!$C$32, $C$9, 100%, $E$9)</f>
        <v>12.494899999999999</v>
      </c>
      <c r="O769" s="11">
        <f>12.4985 * CHOOSE(CONTROL!$C$32, $C$9, 100%, $E$9)</f>
        <v>12.4985</v>
      </c>
    </row>
    <row r="770" spans="1:15" ht="15" x14ac:dyDescent="0.2">
      <c r="A770" s="13">
        <v>64285</v>
      </c>
      <c r="B770" s="9">
        <f>11.2552 * CHOOSE(CONTROL!$C$32, $C$9, 100%, $E$9)</f>
        <v>11.2552</v>
      </c>
      <c r="C770" s="9">
        <f>11.2552 * CHOOSE(CONTROL!$C$32, $C$9, 100%, $E$9)</f>
        <v>11.2552</v>
      </c>
      <c r="D770" s="9">
        <f>11.2563 * CHOOSE(CONTROL!$C$32, $C$9, 100%, $E$9)</f>
        <v>11.2563</v>
      </c>
      <c r="E770" s="11">
        <f>12.6455 * CHOOSE(CONTROL!$C$32, $C$9, 100%, $E$9)</f>
        <v>12.6455</v>
      </c>
      <c r="F770" s="11">
        <f>12.6455 * CHOOSE(CONTROL!$C$32, $C$9, 100%, $E$9)</f>
        <v>12.6455</v>
      </c>
      <c r="G770" s="11">
        <f>12.6492 * CHOOSE(CONTROL!$C$32, $C$9, 100%, $E$9)</f>
        <v>12.6492</v>
      </c>
      <c r="H770" s="11">
        <f>26.2058 * CHOOSE(CONTROL!$C$32, $C$9, 100%, $E$9)</f>
        <v>26.2058</v>
      </c>
      <c r="I770" s="11">
        <f>26.2094 * CHOOSE(CONTROL!$C$32, $C$9, 100%, $E$9)</f>
        <v>26.209399999999999</v>
      </c>
      <c r="J770" s="11">
        <f>26.2058 * CHOOSE(CONTROL!$C$32, $C$9, 100%, $E$9)</f>
        <v>26.2058</v>
      </c>
      <c r="K770" s="11">
        <f>26.2094 * CHOOSE(CONTROL!$C$32, $C$9, 100%, $E$9)</f>
        <v>26.209399999999999</v>
      </c>
      <c r="L770" s="11">
        <f>12.6455 * CHOOSE(CONTROL!$C$32, $C$9, 100%, $E$9)</f>
        <v>12.6455</v>
      </c>
      <c r="M770" s="11">
        <f>12.6492 * CHOOSE(CONTROL!$C$32, $C$9, 100%, $E$9)</f>
        <v>12.6492</v>
      </c>
      <c r="N770" s="11">
        <f>12.6455 * CHOOSE(CONTROL!$C$32, $C$9, 100%, $E$9)</f>
        <v>12.6455</v>
      </c>
      <c r="O770" s="11">
        <f>12.6492 * CHOOSE(CONTROL!$C$32, $C$9, 100%, $E$9)</f>
        <v>12.6492</v>
      </c>
    </row>
    <row r="771" spans="1:15" ht="15" x14ac:dyDescent="0.2">
      <c r="A771" s="13">
        <v>64316</v>
      </c>
      <c r="B771" s="9">
        <f>11.2522 * CHOOSE(CONTROL!$C$32, $C$9, 100%, $E$9)</f>
        <v>11.2522</v>
      </c>
      <c r="C771" s="9">
        <f>11.2522 * CHOOSE(CONTROL!$C$32, $C$9, 100%, $E$9)</f>
        <v>11.2522</v>
      </c>
      <c r="D771" s="9">
        <f>11.2533 * CHOOSE(CONTROL!$C$32, $C$9, 100%, $E$9)</f>
        <v>11.253299999999999</v>
      </c>
      <c r="E771" s="11">
        <f>12.312 * CHOOSE(CONTROL!$C$32, $C$9, 100%, $E$9)</f>
        <v>12.311999999999999</v>
      </c>
      <c r="F771" s="11">
        <f>12.312 * CHOOSE(CONTROL!$C$32, $C$9, 100%, $E$9)</f>
        <v>12.311999999999999</v>
      </c>
      <c r="G771" s="11">
        <f>12.3156 * CHOOSE(CONTROL!$C$32, $C$9, 100%, $E$9)</f>
        <v>12.3156</v>
      </c>
      <c r="H771" s="11">
        <f>26.2604 * CHOOSE(CONTROL!$C$32, $C$9, 100%, $E$9)</f>
        <v>26.260400000000001</v>
      </c>
      <c r="I771" s="11">
        <f>26.264 * CHOOSE(CONTROL!$C$32, $C$9, 100%, $E$9)</f>
        <v>26.263999999999999</v>
      </c>
      <c r="J771" s="11">
        <f>26.2604 * CHOOSE(CONTROL!$C$32, $C$9, 100%, $E$9)</f>
        <v>26.260400000000001</v>
      </c>
      <c r="K771" s="11">
        <f>26.264 * CHOOSE(CONTROL!$C$32, $C$9, 100%, $E$9)</f>
        <v>26.263999999999999</v>
      </c>
      <c r="L771" s="11">
        <f>12.312 * CHOOSE(CONTROL!$C$32, $C$9, 100%, $E$9)</f>
        <v>12.311999999999999</v>
      </c>
      <c r="M771" s="11">
        <f>12.3156 * CHOOSE(CONTROL!$C$32, $C$9, 100%, $E$9)</f>
        <v>12.3156</v>
      </c>
      <c r="N771" s="11">
        <f>12.312 * CHOOSE(CONTROL!$C$32, $C$9, 100%, $E$9)</f>
        <v>12.311999999999999</v>
      </c>
      <c r="O771" s="11">
        <f>12.3156 * CHOOSE(CONTROL!$C$32, $C$9, 100%, $E$9)</f>
        <v>12.3156</v>
      </c>
    </row>
    <row r="772" spans="1:15" ht="15" x14ac:dyDescent="0.2">
      <c r="A772" s="13">
        <v>64345</v>
      </c>
      <c r="B772" s="9">
        <f>11.2491 * CHOOSE(CONTROL!$C$32, $C$9, 100%, $E$9)</f>
        <v>11.2491</v>
      </c>
      <c r="C772" s="9">
        <f>11.2491 * CHOOSE(CONTROL!$C$32, $C$9, 100%, $E$9)</f>
        <v>11.2491</v>
      </c>
      <c r="D772" s="9">
        <f>11.2502 * CHOOSE(CONTROL!$C$32, $C$9, 100%, $E$9)</f>
        <v>11.2502</v>
      </c>
      <c r="E772" s="11">
        <f>12.5712 * CHOOSE(CONTROL!$C$32, $C$9, 100%, $E$9)</f>
        <v>12.571199999999999</v>
      </c>
      <c r="F772" s="11">
        <f>12.5712 * CHOOSE(CONTROL!$C$32, $C$9, 100%, $E$9)</f>
        <v>12.571199999999999</v>
      </c>
      <c r="G772" s="11">
        <f>12.5748 * CHOOSE(CONTROL!$C$32, $C$9, 100%, $E$9)</f>
        <v>12.5748</v>
      </c>
      <c r="H772" s="11">
        <f>26.3151 * CHOOSE(CONTROL!$C$32, $C$9, 100%, $E$9)</f>
        <v>26.315100000000001</v>
      </c>
      <c r="I772" s="11">
        <f>26.3187 * CHOOSE(CONTROL!$C$32, $C$9, 100%, $E$9)</f>
        <v>26.3187</v>
      </c>
      <c r="J772" s="11">
        <f>26.3151 * CHOOSE(CONTROL!$C$32, $C$9, 100%, $E$9)</f>
        <v>26.315100000000001</v>
      </c>
      <c r="K772" s="11">
        <f>26.3187 * CHOOSE(CONTROL!$C$32, $C$9, 100%, $E$9)</f>
        <v>26.3187</v>
      </c>
      <c r="L772" s="11">
        <f>12.5712 * CHOOSE(CONTROL!$C$32, $C$9, 100%, $E$9)</f>
        <v>12.571199999999999</v>
      </c>
      <c r="M772" s="11">
        <f>12.5748 * CHOOSE(CONTROL!$C$32, $C$9, 100%, $E$9)</f>
        <v>12.5748</v>
      </c>
      <c r="N772" s="11">
        <f>12.5712 * CHOOSE(CONTROL!$C$32, $C$9, 100%, $E$9)</f>
        <v>12.571199999999999</v>
      </c>
      <c r="O772" s="11">
        <f>12.5748 * CHOOSE(CONTROL!$C$32, $C$9, 100%, $E$9)</f>
        <v>12.5748</v>
      </c>
    </row>
    <row r="773" spans="1:15" ht="15" x14ac:dyDescent="0.2">
      <c r="A773" s="13">
        <v>64376</v>
      </c>
      <c r="B773" s="9">
        <f>11.2538 * CHOOSE(CONTROL!$C$32, $C$9, 100%, $E$9)</f>
        <v>11.2538</v>
      </c>
      <c r="C773" s="9">
        <f>11.2538 * CHOOSE(CONTROL!$C$32, $C$9, 100%, $E$9)</f>
        <v>11.2538</v>
      </c>
      <c r="D773" s="9">
        <f>11.2549 * CHOOSE(CONTROL!$C$32, $C$9, 100%, $E$9)</f>
        <v>11.254899999999999</v>
      </c>
      <c r="E773" s="11">
        <f>12.8475 * CHOOSE(CONTROL!$C$32, $C$9, 100%, $E$9)</f>
        <v>12.8475</v>
      </c>
      <c r="F773" s="11">
        <f>12.8475 * CHOOSE(CONTROL!$C$32, $C$9, 100%, $E$9)</f>
        <v>12.8475</v>
      </c>
      <c r="G773" s="11">
        <f>12.8511 * CHOOSE(CONTROL!$C$32, $C$9, 100%, $E$9)</f>
        <v>12.851100000000001</v>
      </c>
      <c r="H773" s="11">
        <f>26.3699 * CHOOSE(CONTROL!$C$32, $C$9, 100%, $E$9)</f>
        <v>26.369900000000001</v>
      </c>
      <c r="I773" s="11">
        <f>26.3735 * CHOOSE(CONTROL!$C$32, $C$9, 100%, $E$9)</f>
        <v>26.3735</v>
      </c>
      <c r="J773" s="11">
        <f>26.3699 * CHOOSE(CONTROL!$C$32, $C$9, 100%, $E$9)</f>
        <v>26.369900000000001</v>
      </c>
      <c r="K773" s="11">
        <f>26.3735 * CHOOSE(CONTROL!$C$32, $C$9, 100%, $E$9)</f>
        <v>26.3735</v>
      </c>
      <c r="L773" s="11">
        <f>12.8475 * CHOOSE(CONTROL!$C$32, $C$9, 100%, $E$9)</f>
        <v>12.8475</v>
      </c>
      <c r="M773" s="11">
        <f>12.8511 * CHOOSE(CONTROL!$C$32, $C$9, 100%, $E$9)</f>
        <v>12.851100000000001</v>
      </c>
      <c r="N773" s="11">
        <f>12.8475 * CHOOSE(CONTROL!$C$32, $C$9, 100%, $E$9)</f>
        <v>12.8475</v>
      </c>
      <c r="O773" s="11">
        <f>12.8511 * CHOOSE(CONTROL!$C$32, $C$9, 100%, $E$9)</f>
        <v>12.851100000000001</v>
      </c>
    </row>
    <row r="774" spans="1:15" ht="15" x14ac:dyDescent="0.2">
      <c r="A774" s="13">
        <v>64406</v>
      </c>
      <c r="B774" s="9">
        <f>11.2538 * CHOOSE(CONTROL!$C$32, $C$9, 100%, $E$9)</f>
        <v>11.2538</v>
      </c>
      <c r="C774" s="9">
        <f>11.2538 * CHOOSE(CONTROL!$C$32, $C$9, 100%, $E$9)</f>
        <v>11.2538</v>
      </c>
      <c r="D774" s="9">
        <f>11.2554 * CHOOSE(CONTROL!$C$32, $C$9, 100%, $E$9)</f>
        <v>11.2554</v>
      </c>
      <c r="E774" s="11">
        <f>12.9527 * CHOOSE(CONTROL!$C$32, $C$9, 100%, $E$9)</f>
        <v>12.9527</v>
      </c>
      <c r="F774" s="11">
        <f>12.9527 * CHOOSE(CONTROL!$C$32, $C$9, 100%, $E$9)</f>
        <v>12.9527</v>
      </c>
      <c r="G774" s="11">
        <f>12.958 * CHOOSE(CONTROL!$C$32, $C$9, 100%, $E$9)</f>
        <v>12.958</v>
      </c>
      <c r="H774" s="11">
        <f>26.4249 * CHOOSE(CONTROL!$C$32, $C$9, 100%, $E$9)</f>
        <v>26.424900000000001</v>
      </c>
      <c r="I774" s="11">
        <f>26.4302 * CHOOSE(CONTROL!$C$32, $C$9, 100%, $E$9)</f>
        <v>26.430199999999999</v>
      </c>
      <c r="J774" s="11">
        <f>26.4249 * CHOOSE(CONTROL!$C$32, $C$9, 100%, $E$9)</f>
        <v>26.424900000000001</v>
      </c>
      <c r="K774" s="11">
        <f>26.4302 * CHOOSE(CONTROL!$C$32, $C$9, 100%, $E$9)</f>
        <v>26.430199999999999</v>
      </c>
      <c r="L774" s="11">
        <f>12.9527 * CHOOSE(CONTROL!$C$32, $C$9, 100%, $E$9)</f>
        <v>12.9527</v>
      </c>
      <c r="M774" s="11">
        <f>12.958 * CHOOSE(CONTROL!$C$32, $C$9, 100%, $E$9)</f>
        <v>12.958</v>
      </c>
      <c r="N774" s="11">
        <f>12.9527 * CHOOSE(CONTROL!$C$32, $C$9, 100%, $E$9)</f>
        <v>12.9527</v>
      </c>
      <c r="O774" s="11">
        <f>12.958 * CHOOSE(CONTROL!$C$32, $C$9, 100%, $E$9)</f>
        <v>12.958</v>
      </c>
    </row>
    <row r="775" spans="1:15" ht="15" x14ac:dyDescent="0.2">
      <c r="A775" s="13">
        <v>64437</v>
      </c>
      <c r="B775" s="9">
        <f>11.2599 * CHOOSE(CONTROL!$C$32, $C$9, 100%, $E$9)</f>
        <v>11.2599</v>
      </c>
      <c r="C775" s="9">
        <f>11.2599 * CHOOSE(CONTROL!$C$32, $C$9, 100%, $E$9)</f>
        <v>11.2599</v>
      </c>
      <c r="D775" s="9">
        <f>11.2615 * CHOOSE(CONTROL!$C$32, $C$9, 100%, $E$9)</f>
        <v>11.2615</v>
      </c>
      <c r="E775" s="11">
        <f>12.8518 * CHOOSE(CONTROL!$C$32, $C$9, 100%, $E$9)</f>
        <v>12.851800000000001</v>
      </c>
      <c r="F775" s="11">
        <f>12.8518 * CHOOSE(CONTROL!$C$32, $C$9, 100%, $E$9)</f>
        <v>12.851800000000001</v>
      </c>
      <c r="G775" s="11">
        <f>12.857 * CHOOSE(CONTROL!$C$32, $C$9, 100%, $E$9)</f>
        <v>12.856999999999999</v>
      </c>
      <c r="H775" s="11">
        <f>26.4799 * CHOOSE(CONTROL!$C$32, $C$9, 100%, $E$9)</f>
        <v>26.479900000000001</v>
      </c>
      <c r="I775" s="11">
        <f>26.4852 * CHOOSE(CONTROL!$C$32, $C$9, 100%, $E$9)</f>
        <v>26.485199999999999</v>
      </c>
      <c r="J775" s="11">
        <f>26.4799 * CHOOSE(CONTROL!$C$32, $C$9, 100%, $E$9)</f>
        <v>26.479900000000001</v>
      </c>
      <c r="K775" s="11">
        <f>26.4852 * CHOOSE(CONTROL!$C$32, $C$9, 100%, $E$9)</f>
        <v>26.485199999999999</v>
      </c>
      <c r="L775" s="11">
        <f>12.8518 * CHOOSE(CONTROL!$C$32, $C$9, 100%, $E$9)</f>
        <v>12.851800000000001</v>
      </c>
      <c r="M775" s="11">
        <f>12.857 * CHOOSE(CONTROL!$C$32, $C$9, 100%, $E$9)</f>
        <v>12.856999999999999</v>
      </c>
      <c r="N775" s="11">
        <f>12.8518 * CHOOSE(CONTROL!$C$32, $C$9, 100%, $E$9)</f>
        <v>12.851800000000001</v>
      </c>
      <c r="O775" s="11">
        <f>12.857 * CHOOSE(CONTROL!$C$32, $C$9, 100%, $E$9)</f>
        <v>12.856999999999999</v>
      </c>
    </row>
    <row r="776" spans="1:15" ht="15" x14ac:dyDescent="0.2">
      <c r="A776" s="13">
        <v>64467</v>
      </c>
      <c r="B776" s="9">
        <f>11.3981 * CHOOSE(CONTROL!$C$32, $C$9, 100%, $E$9)</f>
        <v>11.398099999999999</v>
      </c>
      <c r="C776" s="9">
        <f>11.3981 * CHOOSE(CONTROL!$C$32, $C$9, 100%, $E$9)</f>
        <v>11.398099999999999</v>
      </c>
      <c r="D776" s="9">
        <f>11.3997 * CHOOSE(CONTROL!$C$32, $C$9, 100%, $E$9)</f>
        <v>11.399699999999999</v>
      </c>
      <c r="E776" s="11">
        <f>13.0328 * CHOOSE(CONTROL!$C$32, $C$9, 100%, $E$9)</f>
        <v>13.0328</v>
      </c>
      <c r="F776" s="11">
        <f>13.0328 * CHOOSE(CONTROL!$C$32, $C$9, 100%, $E$9)</f>
        <v>13.0328</v>
      </c>
      <c r="G776" s="11">
        <f>13.0381 * CHOOSE(CONTROL!$C$32, $C$9, 100%, $E$9)</f>
        <v>13.0381</v>
      </c>
      <c r="H776" s="11">
        <f>26.5351 * CHOOSE(CONTROL!$C$32, $C$9, 100%, $E$9)</f>
        <v>26.5351</v>
      </c>
      <c r="I776" s="11">
        <f>26.5404 * CHOOSE(CONTROL!$C$32, $C$9, 100%, $E$9)</f>
        <v>26.540400000000002</v>
      </c>
      <c r="J776" s="11">
        <f>26.5351 * CHOOSE(CONTROL!$C$32, $C$9, 100%, $E$9)</f>
        <v>26.5351</v>
      </c>
      <c r="K776" s="11">
        <f>26.5404 * CHOOSE(CONTROL!$C$32, $C$9, 100%, $E$9)</f>
        <v>26.540400000000002</v>
      </c>
      <c r="L776" s="11">
        <f>13.0328 * CHOOSE(CONTROL!$C$32, $C$9, 100%, $E$9)</f>
        <v>13.0328</v>
      </c>
      <c r="M776" s="11">
        <f>13.0381 * CHOOSE(CONTROL!$C$32, $C$9, 100%, $E$9)</f>
        <v>13.0381</v>
      </c>
      <c r="N776" s="11">
        <f>13.0328 * CHOOSE(CONTROL!$C$32, $C$9, 100%, $E$9)</f>
        <v>13.0328</v>
      </c>
      <c r="O776" s="11">
        <f>13.0381 * CHOOSE(CONTROL!$C$32, $C$9, 100%, $E$9)</f>
        <v>13.0381</v>
      </c>
    </row>
    <row r="777" spans="1:15" ht="15" x14ac:dyDescent="0.2">
      <c r="A777" s="13">
        <v>64498</v>
      </c>
      <c r="B777" s="9">
        <f>11.4048 * CHOOSE(CONTROL!$C$32, $C$9, 100%, $E$9)</f>
        <v>11.4048</v>
      </c>
      <c r="C777" s="9">
        <f>11.4048 * CHOOSE(CONTROL!$C$32, $C$9, 100%, $E$9)</f>
        <v>11.4048</v>
      </c>
      <c r="D777" s="9">
        <f>11.4064 * CHOOSE(CONTROL!$C$32, $C$9, 100%, $E$9)</f>
        <v>11.4064</v>
      </c>
      <c r="E777" s="11">
        <f>12.7218 * CHOOSE(CONTROL!$C$32, $C$9, 100%, $E$9)</f>
        <v>12.7218</v>
      </c>
      <c r="F777" s="11">
        <f>12.7218 * CHOOSE(CONTROL!$C$32, $C$9, 100%, $E$9)</f>
        <v>12.7218</v>
      </c>
      <c r="G777" s="11">
        <f>12.727 * CHOOSE(CONTROL!$C$32, $C$9, 100%, $E$9)</f>
        <v>12.727</v>
      </c>
      <c r="H777" s="11">
        <f>26.5904 * CHOOSE(CONTROL!$C$32, $C$9, 100%, $E$9)</f>
        <v>26.590399999999999</v>
      </c>
      <c r="I777" s="11">
        <f>26.5957 * CHOOSE(CONTROL!$C$32, $C$9, 100%, $E$9)</f>
        <v>26.595700000000001</v>
      </c>
      <c r="J777" s="11">
        <f>26.5904 * CHOOSE(CONTROL!$C$32, $C$9, 100%, $E$9)</f>
        <v>26.590399999999999</v>
      </c>
      <c r="K777" s="11">
        <f>26.5957 * CHOOSE(CONTROL!$C$32, $C$9, 100%, $E$9)</f>
        <v>26.595700000000001</v>
      </c>
      <c r="L777" s="11">
        <f>12.7218 * CHOOSE(CONTROL!$C$32, $C$9, 100%, $E$9)</f>
        <v>12.7218</v>
      </c>
      <c r="M777" s="11">
        <f>12.727 * CHOOSE(CONTROL!$C$32, $C$9, 100%, $E$9)</f>
        <v>12.727</v>
      </c>
      <c r="N777" s="11">
        <f>12.7218 * CHOOSE(CONTROL!$C$32, $C$9, 100%, $E$9)</f>
        <v>12.7218</v>
      </c>
      <c r="O777" s="11">
        <f>12.727 * CHOOSE(CONTROL!$C$32, $C$9, 100%, $E$9)</f>
        <v>12.727</v>
      </c>
    </row>
    <row r="778" spans="1:15" ht="15" x14ac:dyDescent="0.2">
      <c r="A778" s="13">
        <v>64529</v>
      </c>
      <c r="B778" s="9">
        <f>11.4018 * CHOOSE(CONTROL!$C$32, $C$9, 100%, $E$9)</f>
        <v>11.4018</v>
      </c>
      <c r="C778" s="9">
        <f>11.4018 * CHOOSE(CONTROL!$C$32, $C$9, 100%, $E$9)</f>
        <v>11.4018</v>
      </c>
      <c r="D778" s="9">
        <f>11.4033 * CHOOSE(CONTROL!$C$32, $C$9, 100%, $E$9)</f>
        <v>11.4033</v>
      </c>
      <c r="E778" s="11">
        <f>12.6846 * CHOOSE(CONTROL!$C$32, $C$9, 100%, $E$9)</f>
        <v>12.6846</v>
      </c>
      <c r="F778" s="11">
        <f>12.6846 * CHOOSE(CONTROL!$C$32, $C$9, 100%, $E$9)</f>
        <v>12.6846</v>
      </c>
      <c r="G778" s="11">
        <f>12.6899 * CHOOSE(CONTROL!$C$32, $C$9, 100%, $E$9)</f>
        <v>12.6899</v>
      </c>
      <c r="H778" s="11">
        <f>26.6458 * CHOOSE(CONTROL!$C$32, $C$9, 100%, $E$9)</f>
        <v>26.645800000000001</v>
      </c>
      <c r="I778" s="11">
        <f>26.6511 * CHOOSE(CONTROL!$C$32, $C$9, 100%, $E$9)</f>
        <v>26.6511</v>
      </c>
      <c r="J778" s="11">
        <f>26.6458 * CHOOSE(CONTROL!$C$32, $C$9, 100%, $E$9)</f>
        <v>26.645800000000001</v>
      </c>
      <c r="K778" s="11">
        <f>26.6511 * CHOOSE(CONTROL!$C$32, $C$9, 100%, $E$9)</f>
        <v>26.6511</v>
      </c>
      <c r="L778" s="11">
        <f>12.6846 * CHOOSE(CONTROL!$C$32, $C$9, 100%, $E$9)</f>
        <v>12.6846</v>
      </c>
      <c r="M778" s="11">
        <f>12.6899 * CHOOSE(CONTROL!$C$32, $C$9, 100%, $E$9)</f>
        <v>12.6899</v>
      </c>
      <c r="N778" s="11">
        <f>12.6846 * CHOOSE(CONTROL!$C$32, $C$9, 100%, $E$9)</f>
        <v>12.6846</v>
      </c>
      <c r="O778" s="11">
        <f>12.6899 * CHOOSE(CONTROL!$C$32, $C$9, 100%, $E$9)</f>
        <v>12.6899</v>
      </c>
    </row>
    <row r="779" spans="1:15" ht="15" x14ac:dyDescent="0.2">
      <c r="A779" s="13">
        <v>64559</v>
      </c>
      <c r="B779" s="9">
        <f>11.4245 * CHOOSE(CONTROL!$C$32, $C$9, 100%, $E$9)</f>
        <v>11.4245</v>
      </c>
      <c r="C779" s="9">
        <f>11.4245 * CHOOSE(CONTROL!$C$32, $C$9, 100%, $E$9)</f>
        <v>11.4245</v>
      </c>
      <c r="D779" s="9">
        <f>11.4255 * CHOOSE(CONTROL!$C$32, $C$9, 100%, $E$9)</f>
        <v>11.4255</v>
      </c>
      <c r="E779" s="11">
        <f>12.8114 * CHOOSE(CONTROL!$C$32, $C$9, 100%, $E$9)</f>
        <v>12.811400000000001</v>
      </c>
      <c r="F779" s="11">
        <f>12.8114 * CHOOSE(CONTROL!$C$32, $C$9, 100%, $E$9)</f>
        <v>12.811400000000001</v>
      </c>
      <c r="G779" s="11">
        <f>12.8151 * CHOOSE(CONTROL!$C$32, $C$9, 100%, $E$9)</f>
        <v>12.815099999999999</v>
      </c>
      <c r="H779" s="11">
        <f>26.7013 * CHOOSE(CONTROL!$C$32, $C$9, 100%, $E$9)</f>
        <v>26.7013</v>
      </c>
      <c r="I779" s="11">
        <f>26.7049 * CHOOSE(CONTROL!$C$32, $C$9, 100%, $E$9)</f>
        <v>26.704899999999999</v>
      </c>
      <c r="J779" s="11">
        <f>26.7013 * CHOOSE(CONTROL!$C$32, $C$9, 100%, $E$9)</f>
        <v>26.7013</v>
      </c>
      <c r="K779" s="11">
        <f>26.7049 * CHOOSE(CONTROL!$C$32, $C$9, 100%, $E$9)</f>
        <v>26.704899999999999</v>
      </c>
      <c r="L779" s="11">
        <f>12.8114 * CHOOSE(CONTROL!$C$32, $C$9, 100%, $E$9)</f>
        <v>12.811400000000001</v>
      </c>
      <c r="M779" s="11">
        <f>12.8151 * CHOOSE(CONTROL!$C$32, $C$9, 100%, $E$9)</f>
        <v>12.815099999999999</v>
      </c>
      <c r="N779" s="11">
        <f>12.8114 * CHOOSE(CONTROL!$C$32, $C$9, 100%, $E$9)</f>
        <v>12.811400000000001</v>
      </c>
      <c r="O779" s="11">
        <f>12.8151 * CHOOSE(CONTROL!$C$32, $C$9, 100%, $E$9)</f>
        <v>12.815099999999999</v>
      </c>
    </row>
    <row r="780" spans="1:15" ht="15" x14ac:dyDescent="0.2">
      <c r="A780" s="13">
        <v>64590</v>
      </c>
      <c r="B780" s="9">
        <f>11.4275 * CHOOSE(CONTROL!$C$32, $C$9, 100%, $E$9)</f>
        <v>11.4275</v>
      </c>
      <c r="C780" s="9">
        <f>11.4275 * CHOOSE(CONTROL!$C$32, $C$9, 100%, $E$9)</f>
        <v>11.4275</v>
      </c>
      <c r="D780" s="9">
        <f>11.4286 * CHOOSE(CONTROL!$C$32, $C$9, 100%, $E$9)</f>
        <v>11.428599999999999</v>
      </c>
      <c r="E780" s="11">
        <f>12.8837 * CHOOSE(CONTROL!$C$32, $C$9, 100%, $E$9)</f>
        <v>12.883699999999999</v>
      </c>
      <c r="F780" s="11">
        <f>12.8837 * CHOOSE(CONTROL!$C$32, $C$9, 100%, $E$9)</f>
        <v>12.883699999999999</v>
      </c>
      <c r="G780" s="11">
        <f>12.8873 * CHOOSE(CONTROL!$C$32, $C$9, 100%, $E$9)</f>
        <v>12.8873</v>
      </c>
      <c r="H780" s="11">
        <f>26.7569 * CHOOSE(CONTROL!$C$32, $C$9, 100%, $E$9)</f>
        <v>26.756900000000002</v>
      </c>
      <c r="I780" s="11">
        <f>26.7605 * CHOOSE(CONTROL!$C$32, $C$9, 100%, $E$9)</f>
        <v>26.7605</v>
      </c>
      <c r="J780" s="11">
        <f>26.7569 * CHOOSE(CONTROL!$C$32, $C$9, 100%, $E$9)</f>
        <v>26.756900000000002</v>
      </c>
      <c r="K780" s="11">
        <f>26.7605 * CHOOSE(CONTROL!$C$32, $C$9, 100%, $E$9)</f>
        <v>26.7605</v>
      </c>
      <c r="L780" s="11">
        <f>12.8837 * CHOOSE(CONTROL!$C$32, $C$9, 100%, $E$9)</f>
        <v>12.883699999999999</v>
      </c>
      <c r="M780" s="11">
        <f>12.8873 * CHOOSE(CONTROL!$C$32, $C$9, 100%, $E$9)</f>
        <v>12.8873</v>
      </c>
      <c r="N780" s="11">
        <f>12.8837 * CHOOSE(CONTROL!$C$32, $C$9, 100%, $E$9)</f>
        <v>12.883699999999999</v>
      </c>
      <c r="O780" s="11">
        <f>12.8873 * CHOOSE(CONTROL!$C$32, $C$9, 100%, $E$9)</f>
        <v>12.8873</v>
      </c>
    </row>
    <row r="781" spans="1:15" ht="15" x14ac:dyDescent="0.2">
      <c r="A781" s="13">
        <v>64620</v>
      </c>
      <c r="B781" s="9">
        <f>11.4275 * CHOOSE(CONTROL!$C$32, $C$9, 100%, $E$9)</f>
        <v>11.4275</v>
      </c>
      <c r="C781" s="9">
        <f>11.4275 * CHOOSE(CONTROL!$C$32, $C$9, 100%, $E$9)</f>
        <v>11.4275</v>
      </c>
      <c r="D781" s="9">
        <f>11.4286 * CHOOSE(CONTROL!$C$32, $C$9, 100%, $E$9)</f>
        <v>11.428599999999999</v>
      </c>
      <c r="E781" s="11">
        <f>12.7083 * CHOOSE(CONTROL!$C$32, $C$9, 100%, $E$9)</f>
        <v>12.708299999999999</v>
      </c>
      <c r="F781" s="11">
        <f>12.7083 * CHOOSE(CONTROL!$C$32, $C$9, 100%, $E$9)</f>
        <v>12.708299999999999</v>
      </c>
      <c r="G781" s="11">
        <f>12.712 * CHOOSE(CONTROL!$C$32, $C$9, 100%, $E$9)</f>
        <v>12.712</v>
      </c>
      <c r="H781" s="11">
        <f>26.8126 * CHOOSE(CONTROL!$C$32, $C$9, 100%, $E$9)</f>
        <v>26.8126</v>
      </c>
      <c r="I781" s="11">
        <f>26.8163 * CHOOSE(CONTROL!$C$32, $C$9, 100%, $E$9)</f>
        <v>26.816299999999998</v>
      </c>
      <c r="J781" s="11">
        <f>26.8126 * CHOOSE(CONTROL!$C$32, $C$9, 100%, $E$9)</f>
        <v>26.8126</v>
      </c>
      <c r="K781" s="11">
        <f>26.8163 * CHOOSE(CONTROL!$C$32, $C$9, 100%, $E$9)</f>
        <v>26.816299999999998</v>
      </c>
      <c r="L781" s="11">
        <f>12.7083 * CHOOSE(CONTROL!$C$32, $C$9, 100%, $E$9)</f>
        <v>12.708299999999999</v>
      </c>
      <c r="M781" s="11">
        <f>12.712 * CHOOSE(CONTROL!$C$32, $C$9, 100%, $E$9)</f>
        <v>12.712</v>
      </c>
      <c r="N781" s="11">
        <f>12.7083 * CHOOSE(CONTROL!$C$32, $C$9, 100%, $E$9)</f>
        <v>12.708299999999999</v>
      </c>
      <c r="O781" s="11">
        <f>12.712 * CHOOSE(CONTROL!$C$32, $C$9, 100%, $E$9)</f>
        <v>12.712</v>
      </c>
    </row>
    <row r="782" spans="1:15" ht="15" x14ac:dyDescent="0.2">
      <c r="A782" s="13">
        <v>64651</v>
      </c>
      <c r="B782" s="9">
        <f>11.4426 * CHOOSE(CONTROL!$C$32, $C$9, 100%, $E$9)</f>
        <v>11.442600000000001</v>
      </c>
      <c r="C782" s="9">
        <f>11.4426 * CHOOSE(CONTROL!$C$32, $C$9, 100%, $E$9)</f>
        <v>11.442600000000001</v>
      </c>
      <c r="D782" s="9">
        <f>11.4436 * CHOOSE(CONTROL!$C$32, $C$9, 100%, $E$9)</f>
        <v>11.4436</v>
      </c>
      <c r="E782" s="11">
        <f>12.858 * CHOOSE(CONTROL!$C$32, $C$9, 100%, $E$9)</f>
        <v>12.858000000000001</v>
      </c>
      <c r="F782" s="11">
        <f>12.858 * CHOOSE(CONTROL!$C$32, $C$9, 100%, $E$9)</f>
        <v>12.858000000000001</v>
      </c>
      <c r="G782" s="11">
        <f>12.8617 * CHOOSE(CONTROL!$C$32, $C$9, 100%, $E$9)</f>
        <v>12.861700000000001</v>
      </c>
      <c r="H782" s="11">
        <f>26.6776 * CHOOSE(CONTROL!$C$32, $C$9, 100%, $E$9)</f>
        <v>26.677600000000002</v>
      </c>
      <c r="I782" s="11">
        <f>26.6812 * CHOOSE(CONTROL!$C$32, $C$9, 100%, $E$9)</f>
        <v>26.6812</v>
      </c>
      <c r="J782" s="11">
        <f>26.6776 * CHOOSE(CONTROL!$C$32, $C$9, 100%, $E$9)</f>
        <v>26.677600000000002</v>
      </c>
      <c r="K782" s="11">
        <f>26.6812 * CHOOSE(CONTROL!$C$32, $C$9, 100%, $E$9)</f>
        <v>26.6812</v>
      </c>
      <c r="L782" s="11">
        <f>12.858 * CHOOSE(CONTROL!$C$32, $C$9, 100%, $E$9)</f>
        <v>12.858000000000001</v>
      </c>
      <c r="M782" s="11">
        <f>12.8617 * CHOOSE(CONTROL!$C$32, $C$9, 100%, $E$9)</f>
        <v>12.861700000000001</v>
      </c>
      <c r="N782" s="11">
        <f>12.858 * CHOOSE(CONTROL!$C$32, $C$9, 100%, $E$9)</f>
        <v>12.858000000000001</v>
      </c>
      <c r="O782" s="11">
        <f>12.8617 * CHOOSE(CONTROL!$C$32, $C$9, 100%, $E$9)</f>
        <v>12.861700000000001</v>
      </c>
    </row>
    <row r="783" spans="1:15" ht="15" x14ac:dyDescent="0.2">
      <c r="A783" s="13">
        <v>64682</v>
      </c>
      <c r="B783" s="9">
        <f>11.4395 * CHOOSE(CONTROL!$C$32, $C$9, 100%, $E$9)</f>
        <v>11.439500000000001</v>
      </c>
      <c r="C783" s="9">
        <f>11.4395 * CHOOSE(CONTROL!$C$32, $C$9, 100%, $E$9)</f>
        <v>11.439500000000001</v>
      </c>
      <c r="D783" s="9">
        <f>11.4406 * CHOOSE(CONTROL!$C$32, $C$9, 100%, $E$9)</f>
        <v>11.4406</v>
      </c>
      <c r="E783" s="11">
        <f>12.5174 * CHOOSE(CONTROL!$C$32, $C$9, 100%, $E$9)</f>
        <v>12.5174</v>
      </c>
      <c r="F783" s="11">
        <f>12.5174 * CHOOSE(CONTROL!$C$32, $C$9, 100%, $E$9)</f>
        <v>12.5174</v>
      </c>
      <c r="G783" s="11">
        <f>12.521 * CHOOSE(CONTROL!$C$32, $C$9, 100%, $E$9)</f>
        <v>12.521000000000001</v>
      </c>
      <c r="H783" s="11">
        <f>26.7332 * CHOOSE(CONTROL!$C$32, $C$9, 100%, $E$9)</f>
        <v>26.7332</v>
      </c>
      <c r="I783" s="11">
        <f>26.7368 * CHOOSE(CONTROL!$C$32, $C$9, 100%, $E$9)</f>
        <v>26.736799999999999</v>
      </c>
      <c r="J783" s="11">
        <f>26.7332 * CHOOSE(CONTROL!$C$32, $C$9, 100%, $E$9)</f>
        <v>26.7332</v>
      </c>
      <c r="K783" s="11">
        <f>26.7368 * CHOOSE(CONTROL!$C$32, $C$9, 100%, $E$9)</f>
        <v>26.736799999999999</v>
      </c>
      <c r="L783" s="11">
        <f>12.5174 * CHOOSE(CONTROL!$C$32, $C$9, 100%, $E$9)</f>
        <v>12.5174</v>
      </c>
      <c r="M783" s="11">
        <f>12.521 * CHOOSE(CONTROL!$C$32, $C$9, 100%, $E$9)</f>
        <v>12.521000000000001</v>
      </c>
      <c r="N783" s="11">
        <f>12.5174 * CHOOSE(CONTROL!$C$32, $C$9, 100%, $E$9)</f>
        <v>12.5174</v>
      </c>
      <c r="O783" s="11">
        <f>12.521 * CHOOSE(CONTROL!$C$32, $C$9, 100%, $E$9)</f>
        <v>12.521000000000001</v>
      </c>
    </row>
    <row r="784" spans="1:15" ht="15" x14ac:dyDescent="0.2">
      <c r="A784" s="13">
        <v>64710</v>
      </c>
      <c r="B784" s="9">
        <f>11.4365 * CHOOSE(CONTROL!$C$32, $C$9, 100%, $E$9)</f>
        <v>11.436500000000001</v>
      </c>
      <c r="C784" s="9">
        <f>11.4365 * CHOOSE(CONTROL!$C$32, $C$9, 100%, $E$9)</f>
        <v>11.436500000000001</v>
      </c>
      <c r="D784" s="9">
        <f>11.4376 * CHOOSE(CONTROL!$C$32, $C$9, 100%, $E$9)</f>
        <v>11.4376</v>
      </c>
      <c r="E784" s="11">
        <f>12.7822 * CHOOSE(CONTROL!$C$32, $C$9, 100%, $E$9)</f>
        <v>12.7822</v>
      </c>
      <c r="F784" s="11">
        <f>12.7822 * CHOOSE(CONTROL!$C$32, $C$9, 100%, $E$9)</f>
        <v>12.7822</v>
      </c>
      <c r="G784" s="11">
        <f>12.7858 * CHOOSE(CONTROL!$C$32, $C$9, 100%, $E$9)</f>
        <v>12.7858</v>
      </c>
      <c r="H784" s="11">
        <f>26.7889 * CHOOSE(CONTROL!$C$32, $C$9, 100%, $E$9)</f>
        <v>26.788900000000002</v>
      </c>
      <c r="I784" s="11">
        <f>26.7925 * CHOOSE(CONTROL!$C$32, $C$9, 100%, $E$9)</f>
        <v>26.7925</v>
      </c>
      <c r="J784" s="11">
        <f>26.7889 * CHOOSE(CONTROL!$C$32, $C$9, 100%, $E$9)</f>
        <v>26.788900000000002</v>
      </c>
      <c r="K784" s="11">
        <f>26.7925 * CHOOSE(CONTROL!$C$32, $C$9, 100%, $E$9)</f>
        <v>26.7925</v>
      </c>
      <c r="L784" s="11">
        <f>12.7822 * CHOOSE(CONTROL!$C$32, $C$9, 100%, $E$9)</f>
        <v>12.7822</v>
      </c>
      <c r="M784" s="11">
        <f>12.7858 * CHOOSE(CONTROL!$C$32, $C$9, 100%, $E$9)</f>
        <v>12.7858</v>
      </c>
      <c r="N784" s="11">
        <f>12.7822 * CHOOSE(CONTROL!$C$32, $C$9, 100%, $E$9)</f>
        <v>12.7822</v>
      </c>
      <c r="O784" s="11">
        <f>12.7858 * CHOOSE(CONTROL!$C$32, $C$9, 100%, $E$9)</f>
        <v>12.7858</v>
      </c>
    </row>
    <row r="785" spans="1:15" ht="15" x14ac:dyDescent="0.2">
      <c r="A785" s="13">
        <v>64741</v>
      </c>
      <c r="B785" s="9">
        <f>11.4414 * CHOOSE(CONTROL!$C$32, $C$9, 100%, $E$9)</f>
        <v>11.4414</v>
      </c>
      <c r="C785" s="9">
        <f>11.4414 * CHOOSE(CONTROL!$C$32, $C$9, 100%, $E$9)</f>
        <v>11.4414</v>
      </c>
      <c r="D785" s="9">
        <f>11.4424 * CHOOSE(CONTROL!$C$32, $C$9, 100%, $E$9)</f>
        <v>11.442399999999999</v>
      </c>
      <c r="E785" s="11">
        <f>13.0645 * CHOOSE(CONTROL!$C$32, $C$9, 100%, $E$9)</f>
        <v>13.064500000000001</v>
      </c>
      <c r="F785" s="11">
        <f>13.0645 * CHOOSE(CONTROL!$C$32, $C$9, 100%, $E$9)</f>
        <v>13.064500000000001</v>
      </c>
      <c r="G785" s="11">
        <f>13.0681 * CHOOSE(CONTROL!$C$32, $C$9, 100%, $E$9)</f>
        <v>13.068099999999999</v>
      </c>
      <c r="H785" s="11">
        <f>26.8447 * CHOOSE(CONTROL!$C$32, $C$9, 100%, $E$9)</f>
        <v>26.8447</v>
      </c>
      <c r="I785" s="11">
        <f>26.8483 * CHOOSE(CONTROL!$C$32, $C$9, 100%, $E$9)</f>
        <v>26.848299999999998</v>
      </c>
      <c r="J785" s="11">
        <f>26.8447 * CHOOSE(CONTROL!$C$32, $C$9, 100%, $E$9)</f>
        <v>26.8447</v>
      </c>
      <c r="K785" s="11">
        <f>26.8483 * CHOOSE(CONTROL!$C$32, $C$9, 100%, $E$9)</f>
        <v>26.848299999999998</v>
      </c>
      <c r="L785" s="11">
        <f>13.0645 * CHOOSE(CONTROL!$C$32, $C$9, 100%, $E$9)</f>
        <v>13.064500000000001</v>
      </c>
      <c r="M785" s="11">
        <f>13.0681 * CHOOSE(CONTROL!$C$32, $C$9, 100%, $E$9)</f>
        <v>13.068099999999999</v>
      </c>
      <c r="N785" s="11">
        <f>13.0645 * CHOOSE(CONTROL!$C$32, $C$9, 100%, $E$9)</f>
        <v>13.064500000000001</v>
      </c>
      <c r="O785" s="11">
        <f>13.0681 * CHOOSE(CONTROL!$C$32, $C$9, 100%, $E$9)</f>
        <v>13.068099999999999</v>
      </c>
    </row>
    <row r="786" spans="1:15" ht="15" x14ac:dyDescent="0.2">
      <c r="A786" s="13">
        <v>64771</v>
      </c>
      <c r="B786" s="9">
        <f>11.4414 * CHOOSE(CONTROL!$C$32, $C$9, 100%, $E$9)</f>
        <v>11.4414</v>
      </c>
      <c r="C786" s="9">
        <f>11.4414 * CHOOSE(CONTROL!$C$32, $C$9, 100%, $E$9)</f>
        <v>11.4414</v>
      </c>
      <c r="D786" s="9">
        <f>11.4429 * CHOOSE(CONTROL!$C$32, $C$9, 100%, $E$9)</f>
        <v>11.4429</v>
      </c>
      <c r="E786" s="11">
        <f>13.172 * CHOOSE(CONTROL!$C$32, $C$9, 100%, $E$9)</f>
        <v>13.172000000000001</v>
      </c>
      <c r="F786" s="11">
        <f>13.172 * CHOOSE(CONTROL!$C$32, $C$9, 100%, $E$9)</f>
        <v>13.172000000000001</v>
      </c>
      <c r="G786" s="11">
        <f>13.1773 * CHOOSE(CONTROL!$C$32, $C$9, 100%, $E$9)</f>
        <v>13.177300000000001</v>
      </c>
      <c r="H786" s="11">
        <f>26.9006 * CHOOSE(CONTROL!$C$32, $C$9, 100%, $E$9)</f>
        <v>26.900600000000001</v>
      </c>
      <c r="I786" s="11">
        <f>26.9059 * CHOOSE(CONTROL!$C$32, $C$9, 100%, $E$9)</f>
        <v>26.905899999999999</v>
      </c>
      <c r="J786" s="11">
        <f>26.9006 * CHOOSE(CONTROL!$C$32, $C$9, 100%, $E$9)</f>
        <v>26.900600000000001</v>
      </c>
      <c r="K786" s="11">
        <f>26.9059 * CHOOSE(CONTROL!$C$32, $C$9, 100%, $E$9)</f>
        <v>26.905899999999999</v>
      </c>
      <c r="L786" s="11">
        <f>13.172 * CHOOSE(CONTROL!$C$32, $C$9, 100%, $E$9)</f>
        <v>13.172000000000001</v>
      </c>
      <c r="M786" s="11">
        <f>13.1773 * CHOOSE(CONTROL!$C$32, $C$9, 100%, $E$9)</f>
        <v>13.177300000000001</v>
      </c>
      <c r="N786" s="11">
        <f>13.172 * CHOOSE(CONTROL!$C$32, $C$9, 100%, $E$9)</f>
        <v>13.172000000000001</v>
      </c>
      <c r="O786" s="11">
        <f>13.1773 * CHOOSE(CONTROL!$C$32, $C$9, 100%, $E$9)</f>
        <v>13.177300000000001</v>
      </c>
    </row>
    <row r="787" spans="1:15" ht="15" x14ac:dyDescent="0.2">
      <c r="A787" s="13">
        <v>64802</v>
      </c>
      <c r="B787" s="9">
        <f>11.4474 * CHOOSE(CONTROL!$C$32, $C$9, 100%, $E$9)</f>
        <v>11.4474</v>
      </c>
      <c r="C787" s="9">
        <f>11.4474 * CHOOSE(CONTROL!$C$32, $C$9, 100%, $E$9)</f>
        <v>11.4474</v>
      </c>
      <c r="D787" s="9">
        <f>11.449 * CHOOSE(CONTROL!$C$32, $C$9, 100%, $E$9)</f>
        <v>11.449</v>
      </c>
      <c r="E787" s="11">
        <f>13.0688 * CHOOSE(CONTROL!$C$32, $C$9, 100%, $E$9)</f>
        <v>13.0688</v>
      </c>
      <c r="F787" s="11">
        <f>13.0688 * CHOOSE(CONTROL!$C$32, $C$9, 100%, $E$9)</f>
        <v>13.0688</v>
      </c>
      <c r="G787" s="11">
        <f>13.074 * CHOOSE(CONTROL!$C$32, $C$9, 100%, $E$9)</f>
        <v>13.074</v>
      </c>
      <c r="H787" s="11">
        <f>26.9567 * CHOOSE(CONTROL!$C$32, $C$9, 100%, $E$9)</f>
        <v>26.956700000000001</v>
      </c>
      <c r="I787" s="11">
        <f>26.962 * CHOOSE(CONTROL!$C$32, $C$9, 100%, $E$9)</f>
        <v>26.962</v>
      </c>
      <c r="J787" s="11">
        <f>26.9567 * CHOOSE(CONTROL!$C$32, $C$9, 100%, $E$9)</f>
        <v>26.956700000000001</v>
      </c>
      <c r="K787" s="11">
        <f>26.962 * CHOOSE(CONTROL!$C$32, $C$9, 100%, $E$9)</f>
        <v>26.962</v>
      </c>
      <c r="L787" s="11">
        <f>13.0688 * CHOOSE(CONTROL!$C$32, $C$9, 100%, $E$9)</f>
        <v>13.0688</v>
      </c>
      <c r="M787" s="11">
        <f>13.074 * CHOOSE(CONTROL!$C$32, $C$9, 100%, $E$9)</f>
        <v>13.074</v>
      </c>
      <c r="N787" s="11">
        <f>13.0688 * CHOOSE(CONTROL!$C$32, $C$9, 100%, $E$9)</f>
        <v>13.0688</v>
      </c>
      <c r="O787" s="11">
        <f>13.074 * CHOOSE(CONTROL!$C$32, $C$9, 100%, $E$9)</f>
        <v>13.074</v>
      </c>
    </row>
    <row r="788" spans="1:15" ht="15" x14ac:dyDescent="0.2">
      <c r="A788" s="13">
        <v>64832</v>
      </c>
      <c r="B788" s="9">
        <f>11.5877 * CHOOSE(CONTROL!$C$32, $C$9, 100%, $E$9)</f>
        <v>11.5877</v>
      </c>
      <c r="C788" s="9">
        <f>11.5877 * CHOOSE(CONTROL!$C$32, $C$9, 100%, $E$9)</f>
        <v>11.5877</v>
      </c>
      <c r="D788" s="9">
        <f>11.5893 * CHOOSE(CONTROL!$C$32, $C$9, 100%, $E$9)</f>
        <v>11.5893</v>
      </c>
      <c r="E788" s="11">
        <f>13.2529 * CHOOSE(CONTROL!$C$32, $C$9, 100%, $E$9)</f>
        <v>13.2529</v>
      </c>
      <c r="F788" s="11">
        <f>13.2529 * CHOOSE(CONTROL!$C$32, $C$9, 100%, $E$9)</f>
        <v>13.2529</v>
      </c>
      <c r="G788" s="11">
        <f>13.2582 * CHOOSE(CONTROL!$C$32, $C$9, 100%, $E$9)</f>
        <v>13.2582</v>
      </c>
      <c r="H788" s="11">
        <f>27.0128 * CHOOSE(CONTROL!$C$32, $C$9, 100%, $E$9)</f>
        <v>27.012799999999999</v>
      </c>
      <c r="I788" s="11">
        <f>27.0181 * CHOOSE(CONTROL!$C$32, $C$9, 100%, $E$9)</f>
        <v>27.0181</v>
      </c>
      <c r="J788" s="11">
        <f>27.0128 * CHOOSE(CONTROL!$C$32, $C$9, 100%, $E$9)</f>
        <v>27.012799999999999</v>
      </c>
      <c r="K788" s="11">
        <f>27.0181 * CHOOSE(CONTROL!$C$32, $C$9, 100%, $E$9)</f>
        <v>27.0181</v>
      </c>
      <c r="L788" s="11">
        <f>13.2529 * CHOOSE(CONTROL!$C$32, $C$9, 100%, $E$9)</f>
        <v>13.2529</v>
      </c>
      <c r="M788" s="11">
        <f>13.2582 * CHOOSE(CONTROL!$C$32, $C$9, 100%, $E$9)</f>
        <v>13.2582</v>
      </c>
      <c r="N788" s="11">
        <f>13.2529 * CHOOSE(CONTROL!$C$32, $C$9, 100%, $E$9)</f>
        <v>13.2529</v>
      </c>
      <c r="O788" s="11">
        <f>13.2582 * CHOOSE(CONTROL!$C$32, $C$9, 100%, $E$9)</f>
        <v>13.2582</v>
      </c>
    </row>
    <row r="789" spans="1:15" ht="15" x14ac:dyDescent="0.2">
      <c r="A789" s="13">
        <v>64863</v>
      </c>
      <c r="B789" s="9">
        <f>11.5944 * CHOOSE(CONTROL!$C$32, $C$9, 100%, $E$9)</f>
        <v>11.5944</v>
      </c>
      <c r="C789" s="9">
        <f>11.5944 * CHOOSE(CONTROL!$C$32, $C$9, 100%, $E$9)</f>
        <v>11.5944</v>
      </c>
      <c r="D789" s="9">
        <f>11.596 * CHOOSE(CONTROL!$C$32, $C$9, 100%, $E$9)</f>
        <v>11.596</v>
      </c>
      <c r="E789" s="11">
        <f>12.9352 * CHOOSE(CONTROL!$C$32, $C$9, 100%, $E$9)</f>
        <v>12.9352</v>
      </c>
      <c r="F789" s="11">
        <f>12.9352 * CHOOSE(CONTROL!$C$32, $C$9, 100%, $E$9)</f>
        <v>12.9352</v>
      </c>
      <c r="G789" s="11">
        <f>12.9405 * CHOOSE(CONTROL!$C$32, $C$9, 100%, $E$9)</f>
        <v>12.9405</v>
      </c>
      <c r="H789" s="11">
        <f>27.0691 * CHOOSE(CONTROL!$C$32, $C$9, 100%, $E$9)</f>
        <v>27.069099999999999</v>
      </c>
      <c r="I789" s="11">
        <f>27.0744 * CHOOSE(CONTROL!$C$32, $C$9, 100%, $E$9)</f>
        <v>27.074400000000001</v>
      </c>
      <c r="J789" s="11">
        <f>27.0691 * CHOOSE(CONTROL!$C$32, $C$9, 100%, $E$9)</f>
        <v>27.069099999999999</v>
      </c>
      <c r="K789" s="11">
        <f>27.0744 * CHOOSE(CONTROL!$C$32, $C$9, 100%, $E$9)</f>
        <v>27.074400000000001</v>
      </c>
      <c r="L789" s="11">
        <f>12.9352 * CHOOSE(CONTROL!$C$32, $C$9, 100%, $E$9)</f>
        <v>12.9352</v>
      </c>
      <c r="M789" s="11">
        <f>12.9405 * CHOOSE(CONTROL!$C$32, $C$9, 100%, $E$9)</f>
        <v>12.9405</v>
      </c>
      <c r="N789" s="11">
        <f>12.9352 * CHOOSE(CONTROL!$C$32, $C$9, 100%, $E$9)</f>
        <v>12.9352</v>
      </c>
      <c r="O789" s="11">
        <f>12.9405 * CHOOSE(CONTROL!$C$32, $C$9, 100%, $E$9)</f>
        <v>12.9405</v>
      </c>
    </row>
    <row r="790" spans="1:15" ht="15" x14ac:dyDescent="0.2">
      <c r="A790" s="13">
        <v>64894</v>
      </c>
      <c r="B790" s="9">
        <f>11.5913 * CHOOSE(CONTROL!$C$32, $C$9, 100%, $E$9)</f>
        <v>11.5913</v>
      </c>
      <c r="C790" s="9">
        <f>11.5913 * CHOOSE(CONTROL!$C$32, $C$9, 100%, $E$9)</f>
        <v>11.5913</v>
      </c>
      <c r="D790" s="9">
        <f>11.5929 * CHOOSE(CONTROL!$C$32, $C$9, 100%, $E$9)</f>
        <v>11.5929</v>
      </c>
      <c r="E790" s="11">
        <f>12.8972 * CHOOSE(CONTROL!$C$32, $C$9, 100%, $E$9)</f>
        <v>12.8972</v>
      </c>
      <c r="F790" s="11">
        <f>12.8972 * CHOOSE(CONTROL!$C$32, $C$9, 100%, $E$9)</f>
        <v>12.8972</v>
      </c>
      <c r="G790" s="11">
        <f>12.9025 * CHOOSE(CONTROL!$C$32, $C$9, 100%, $E$9)</f>
        <v>12.9025</v>
      </c>
      <c r="H790" s="11">
        <f>27.1255 * CHOOSE(CONTROL!$C$32, $C$9, 100%, $E$9)</f>
        <v>27.125499999999999</v>
      </c>
      <c r="I790" s="11">
        <f>27.1308 * CHOOSE(CONTROL!$C$32, $C$9, 100%, $E$9)</f>
        <v>27.130800000000001</v>
      </c>
      <c r="J790" s="11">
        <f>27.1255 * CHOOSE(CONTROL!$C$32, $C$9, 100%, $E$9)</f>
        <v>27.125499999999999</v>
      </c>
      <c r="K790" s="11">
        <f>27.1308 * CHOOSE(CONTROL!$C$32, $C$9, 100%, $E$9)</f>
        <v>27.130800000000001</v>
      </c>
      <c r="L790" s="11">
        <f>12.8972 * CHOOSE(CONTROL!$C$32, $C$9, 100%, $E$9)</f>
        <v>12.8972</v>
      </c>
      <c r="M790" s="11">
        <f>12.9025 * CHOOSE(CONTROL!$C$32, $C$9, 100%, $E$9)</f>
        <v>12.9025</v>
      </c>
      <c r="N790" s="11">
        <f>12.8972 * CHOOSE(CONTROL!$C$32, $C$9, 100%, $E$9)</f>
        <v>12.8972</v>
      </c>
      <c r="O790" s="11">
        <f>12.9025 * CHOOSE(CONTROL!$C$32, $C$9, 100%, $E$9)</f>
        <v>12.9025</v>
      </c>
    </row>
    <row r="791" spans="1:15" ht="15" x14ac:dyDescent="0.2">
      <c r="A791" s="13">
        <v>64924</v>
      </c>
      <c r="B791" s="9">
        <f>11.6148 * CHOOSE(CONTROL!$C$32, $C$9, 100%, $E$9)</f>
        <v>11.614800000000001</v>
      </c>
      <c r="C791" s="9">
        <f>11.6148 * CHOOSE(CONTROL!$C$32, $C$9, 100%, $E$9)</f>
        <v>11.614800000000001</v>
      </c>
      <c r="D791" s="9">
        <f>11.6158 * CHOOSE(CONTROL!$C$32, $C$9, 100%, $E$9)</f>
        <v>11.6158</v>
      </c>
      <c r="E791" s="11">
        <f>13.0271 * CHOOSE(CONTROL!$C$32, $C$9, 100%, $E$9)</f>
        <v>13.027100000000001</v>
      </c>
      <c r="F791" s="11">
        <f>13.0271 * CHOOSE(CONTROL!$C$32, $C$9, 100%, $E$9)</f>
        <v>13.027100000000001</v>
      </c>
      <c r="G791" s="11">
        <f>13.0307 * CHOOSE(CONTROL!$C$32, $C$9, 100%, $E$9)</f>
        <v>13.0307</v>
      </c>
      <c r="H791" s="11">
        <f>27.182 * CHOOSE(CONTROL!$C$32, $C$9, 100%, $E$9)</f>
        <v>27.181999999999999</v>
      </c>
      <c r="I791" s="11">
        <f>27.1856 * CHOOSE(CONTROL!$C$32, $C$9, 100%, $E$9)</f>
        <v>27.185600000000001</v>
      </c>
      <c r="J791" s="11">
        <f>27.182 * CHOOSE(CONTROL!$C$32, $C$9, 100%, $E$9)</f>
        <v>27.181999999999999</v>
      </c>
      <c r="K791" s="11">
        <f>27.1856 * CHOOSE(CONTROL!$C$32, $C$9, 100%, $E$9)</f>
        <v>27.185600000000001</v>
      </c>
      <c r="L791" s="11">
        <f>13.0271 * CHOOSE(CONTROL!$C$32, $C$9, 100%, $E$9)</f>
        <v>13.027100000000001</v>
      </c>
      <c r="M791" s="11">
        <f>13.0307 * CHOOSE(CONTROL!$C$32, $C$9, 100%, $E$9)</f>
        <v>13.0307</v>
      </c>
      <c r="N791" s="11">
        <f>13.0271 * CHOOSE(CONTROL!$C$32, $C$9, 100%, $E$9)</f>
        <v>13.027100000000001</v>
      </c>
      <c r="O791" s="11">
        <f>13.0307 * CHOOSE(CONTROL!$C$32, $C$9, 100%, $E$9)</f>
        <v>13.0307</v>
      </c>
    </row>
    <row r="792" spans="1:15" ht="15" x14ac:dyDescent="0.2">
      <c r="A792" s="13">
        <v>64955</v>
      </c>
      <c r="B792" s="9">
        <f>11.6178 * CHOOSE(CONTROL!$C$32, $C$9, 100%, $E$9)</f>
        <v>11.617800000000001</v>
      </c>
      <c r="C792" s="9">
        <f>11.6178 * CHOOSE(CONTROL!$C$32, $C$9, 100%, $E$9)</f>
        <v>11.617800000000001</v>
      </c>
      <c r="D792" s="9">
        <f>11.6189 * CHOOSE(CONTROL!$C$32, $C$9, 100%, $E$9)</f>
        <v>11.6189</v>
      </c>
      <c r="E792" s="11">
        <f>13.1009 * CHOOSE(CONTROL!$C$32, $C$9, 100%, $E$9)</f>
        <v>13.100899999999999</v>
      </c>
      <c r="F792" s="11">
        <f>13.1009 * CHOOSE(CONTROL!$C$32, $C$9, 100%, $E$9)</f>
        <v>13.100899999999999</v>
      </c>
      <c r="G792" s="11">
        <f>13.1045 * CHOOSE(CONTROL!$C$32, $C$9, 100%, $E$9)</f>
        <v>13.1045</v>
      </c>
      <c r="H792" s="11">
        <f>27.2386 * CHOOSE(CONTROL!$C$32, $C$9, 100%, $E$9)</f>
        <v>27.238600000000002</v>
      </c>
      <c r="I792" s="11">
        <f>27.2422 * CHOOSE(CONTROL!$C$32, $C$9, 100%, $E$9)</f>
        <v>27.2422</v>
      </c>
      <c r="J792" s="11">
        <f>27.2386 * CHOOSE(CONTROL!$C$32, $C$9, 100%, $E$9)</f>
        <v>27.238600000000002</v>
      </c>
      <c r="K792" s="11">
        <f>27.2422 * CHOOSE(CONTROL!$C$32, $C$9, 100%, $E$9)</f>
        <v>27.2422</v>
      </c>
      <c r="L792" s="11">
        <f>13.1009 * CHOOSE(CONTROL!$C$32, $C$9, 100%, $E$9)</f>
        <v>13.100899999999999</v>
      </c>
      <c r="M792" s="11">
        <f>13.1045 * CHOOSE(CONTROL!$C$32, $C$9, 100%, $E$9)</f>
        <v>13.1045</v>
      </c>
      <c r="N792" s="11">
        <f>13.1009 * CHOOSE(CONTROL!$C$32, $C$9, 100%, $E$9)</f>
        <v>13.100899999999999</v>
      </c>
      <c r="O792" s="11">
        <f>13.1045 * CHOOSE(CONTROL!$C$32, $C$9, 100%, $E$9)</f>
        <v>13.1045</v>
      </c>
    </row>
    <row r="793" spans="1:15" ht="15" x14ac:dyDescent="0.2">
      <c r="A793" s="13">
        <v>64985</v>
      </c>
      <c r="B793" s="9">
        <f>11.6178 * CHOOSE(CONTROL!$C$32, $C$9, 100%, $E$9)</f>
        <v>11.617800000000001</v>
      </c>
      <c r="C793" s="9">
        <f>11.6178 * CHOOSE(CONTROL!$C$32, $C$9, 100%, $E$9)</f>
        <v>11.617800000000001</v>
      </c>
      <c r="D793" s="9">
        <f>11.6189 * CHOOSE(CONTROL!$C$32, $C$9, 100%, $E$9)</f>
        <v>11.6189</v>
      </c>
      <c r="E793" s="11">
        <f>12.9218 * CHOOSE(CONTROL!$C$32, $C$9, 100%, $E$9)</f>
        <v>12.921799999999999</v>
      </c>
      <c r="F793" s="11">
        <f>12.9218 * CHOOSE(CONTROL!$C$32, $C$9, 100%, $E$9)</f>
        <v>12.921799999999999</v>
      </c>
      <c r="G793" s="11">
        <f>12.9254 * CHOOSE(CONTROL!$C$32, $C$9, 100%, $E$9)</f>
        <v>12.9254</v>
      </c>
      <c r="H793" s="11">
        <f>27.2954 * CHOOSE(CONTROL!$C$32, $C$9, 100%, $E$9)</f>
        <v>27.295400000000001</v>
      </c>
      <c r="I793" s="11">
        <f>27.299 * CHOOSE(CONTROL!$C$32, $C$9, 100%, $E$9)</f>
        <v>27.298999999999999</v>
      </c>
      <c r="J793" s="11">
        <f>27.2954 * CHOOSE(CONTROL!$C$32, $C$9, 100%, $E$9)</f>
        <v>27.295400000000001</v>
      </c>
      <c r="K793" s="11">
        <f>27.299 * CHOOSE(CONTROL!$C$32, $C$9, 100%, $E$9)</f>
        <v>27.298999999999999</v>
      </c>
      <c r="L793" s="11">
        <f>12.9218 * CHOOSE(CONTROL!$C$32, $C$9, 100%, $E$9)</f>
        <v>12.921799999999999</v>
      </c>
      <c r="M793" s="11">
        <f>12.9254 * CHOOSE(CONTROL!$C$32, $C$9, 100%, $E$9)</f>
        <v>12.9254</v>
      </c>
      <c r="N793" s="11">
        <f>12.9218 * CHOOSE(CONTROL!$C$32, $C$9, 100%, $E$9)</f>
        <v>12.921799999999999</v>
      </c>
      <c r="O793" s="11">
        <f>12.9254 * CHOOSE(CONTROL!$C$32, $C$9, 100%, $E$9)</f>
        <v>12.9254</v>
      </c>
    </row>
    <row r="794" spans="1:15" ht="15" x14ac:dyDescent="0.2">
      <c r="A794" s="13">
        <v>65016</v>
      </c>
      <c r="B794" s="9">
        <f>11.6299 * CHOOSE(CONTROL!$C$32, $C$9, 100%, $E$9)</f>
        <v>11.629899999999999</v>
      </c>
      <c r="C794" s="9">
        <f>11.6299 * CHOOSE(CONTROL!$C$32, $C$9, 100%, $E$9)</f>
        <v>11.629899999999999</v>
      </c>
      <c r="D794" s="9">
        <f>11.631 * CHOOSE(CONTROL!$C$32, $C$9, 100%, $E$9)</f>
        <v>11.631</v>
      </c>
      <c r="E794" s="11">
        <f>13.0706 * CHOOSE(CONTROL!$C$32, $C$9, 100%, $E$9)</f>
        <v>13.070600000000001</v>
      </c>
      <c r="F794" s="11">
        <f>13.0706 * CHOOSE(CONTROL!$C$32, $C$9, 100%, $E$9)</f>
        <v>13.070600000000001</v>
      </c>
      <c r="G794" s="11">
        <f>13.0742 * CHOOSE(CONTROL!$C$32, $C$9, 100%, $E$9)</f>
        <v>13.074199999999999</v>
      </c>
      <c r="H794" s="11">
        <f>27.1494 * CHOOSE(CONTROL!$C$32, $C$9, 100%, $E$9)</f>
        <v>27.1494</v>
      </c>
      <c r="I794" s="11">
        <f>27.153 * CHOOSE(CONTROL!$C$32, $C$9, 100%, $E$9)</f>
        <v>27.152999999999999</v>
      </c>
      <c r="J794" s="11">
        <f>27.1494 * CHOOSE(CONTROL!$C$32, $C$9, 100%, $E$9)</f>
        <v>27.1494</v>
      </c>
      <c r="K794" s="11">
        <f>27.153 * CHOOSE(CONTROL!$C$32, $C$9, 100%, $E$9)</f>
        <v>27.152999999999999</v>
      </c>
      <c r="L794" s="11">
        <f>13.0706 * CHOOSE(CONTROL!$C$32, $C$9, 100%, $E$9)</f>
        <v>13.070600000000001</v>
      </c>
      <c r="M794" s="11">
        <f>13.0742 * CHOOSE(CONTROL!$C$32, $C$9, 100%, $E$9)</f>
        <v>13.074199999999999</v>
      </c>
      <c r="N794" s="11">
        <f>13.0706 * CHOOSE(CONTROL!$C$32, $C$9, 100%, $E$9)</f>
        <v>13.070600000000001</v>
      </c>
      <c r="O794" s="11">
        <f>13.0742 * CHOOSE(CONTROL!$C$32, $C$9, 100%, $E$9)</f>
        <v>13.074199999999999</v>
      </c>
    </row>
    <row r="795" spans="1:15" ht="15" x14ac:dyDescent="0.2">
      <c r="A795" s="13">
        <v>65047</v>
      </c>
      <c r="B795" s="9">
        <f>11.6269 * CHOOSE(CONTROL!$C$32, $C$9, 100%, $E$9)</f>
        <v>11.626899999999999</v>
      </c>
      <c r="C795" s="9">
        <f>11.6269 * CHOOSE(CONTROL!$C$32, $C$9, 100%, $E$9)</f>
        <v>11.626899999999999</v>
      </c>
      <c r="D795" s="9">
        <f>11.628 * CHOOSE(CONTROL!$C$32, $C$9, 100%, $E$9)</f>
        <v>11.628</v>
      </c>
      <c r="E795" s="11">
        <f>12.7228 * CHOOSE(CONTROL!$C$32, $C$9, 100%, $E$9)</f>
        <v>12.722799999999999</v>
      </c>
      <c r="F795" s="11">
        <f>12.7228 * CHOOSE(CONTROL!$C$32, $C$9, 100%, $E$9)</f>
        <v>12.722799999999999</v>
      </c>
      <c r="G795" s="11">
        <f>12.7265 * CHOOSE(CONTROL!$C$32, $C$9, 100%, $E$9)</f>
        <v>12.7265</v>
      </c>
      <c r="H795" s="11">
        <f>27.206 * CHOOSE(CONTROL!$C$32, $C$9, 100%, $E$9)</f>
        <v>27.206</v>
      </c>
      <c r="I795" s="11">
        <f>27.2096 * CHOOSE(CONTROL!$C$32, $C$9, 100%, $E$9)</f>
        <v>27.209599999999998</v>
      </c>
      <c r="J795" s="11">
        <f>27.206 * CHOOSE(CONTROL!$C$32, $C$9, 100%, $E$9)</f>
        <v>27.206</v>
      </c>
      <c r="K795" s="11">
        <f>27.2096 * CHOOSE(CONTROL!$C$32, $C$9, 100%, $E$9)</f>
        <v>27.209599999999998</v>
      </c>
      <c r="L795" s="11">
        <f>12.7228 * CHOOSE(CONTROL!$C$32, $C$9, 100%, $E$9)</f>
        <v>12.722799999999999</v>
      </c>
      <c r="M795" s="11">
        <f>12.7265 * CHOOSE(CONTROL!$C$32, $C$9, 100%, $E$9)</f>
        <v>12.7265</v>
      </c>
      <c r="N795" s="11">
        <f>12.7228 * CHOOSE(CONTROL!$C$32, $C$9, 100%, $E$9)</f>
        <v>12.722799999999999</v>
      </c>
      <c r="O795" s="11">
        <f>12.7265 * CHOOSE(CONTROL!$C$32, $C$9, 100%, $E$9)</f>
        <v>12.7265</v>
      </c>
    </row>
    <row r="796" spans="1:15" ht="15" x14ac:dyDescent="0.2">
      <c r="A796" s="13">
        <v>65075</v>
      </c>
      <c r="B796" s="9">
        <f>11.6239 * CHOOSE(CONTROL!$C$32, $C$9, 100%, $E$9)</f>
        <v>11.623900000000001</v>
      </c>
      <c r="C796" s="9">
        <f>11.6239 * CHOOSE(CONTROL!$C$32, $C$9, 100%, $E$9)</f>
        <v>11.623900000000001</v>
      </c>
      <c r="D796" s="9">
        <f>11.6249 * CHOOSE(CONTROL!$C$32, $C$9, 100%, $E$9)</f>
        <v>11.6249</v>
      </c>
      <c r="E796" s="11">
        <f>12.9932 * CHOOSE(CONTROL!$C$32, $C$9, 100%, $E$9)</f>
        <v>12.9932</v>
      </c>
      <c r="F796" s="11">
        <f>12.9932 * CHOOSE(CONTROL!$C$32, $C$9, 100%, $E$9)</f>
        <v>12.9932</v>
      </c>
      <c r="G796" s="11">
        <f>12.9968 * CHOOSE(CONTROL!$C$32, $C$9, 100%, $E$9)</f>
        <v>12.9968</v>
      </c>
      <c r="H796" s="11">
        <f>27.2627 * CHOOSE(CONTROL!$C$32, $C$9, 100%, $E$9)</f>
        <v>27.262699999999999</v>
      </c>
      <c r="I796" s="11">
        <f>27.2663 * CHOOSE(CONTROL!$C$32, $C$9, 100%, $E$9)</f>
        <v>27.266300000000001</v>
      </c>
      <c r="J796" s="11">
        <f>27.2627 * CHOOSE(CONTROL!$C$32, $C$9, 100%, $E$9)</f>
        <v>27.262699999999999</v>
      </c>
      <c r="K796" s="11">
        <f>27.2663 * CHOOSE(CONTROL!$C$32, $C$9, 100%, $E$9)</f>
        <v>27.266300000000001</v>
      </c>
      <c r="L796" s="11">
        <f>12.9932 * CHOOSE(CONTROL!$C$32, $C$9, 100%, $E$9)</f>
        <v>12.9932</v>
      </c>
      <c r="M796" s="11">
        <f>12.9968 * CHOOSE(CONTROL!$C$32, $C$9, 100%, $E$9)</f>
        <v>12.9968</v>
      </c>
      <c r="N796" s="11">
        <f>12.9932 * CHOOSE(CONTROL!$C$32, $C$9, 100%, $E$9)</f>
        <v>12.9932</v>
      </c>
      <c r="O796" s="11">
        <f>12.9968 * CHOOSE(CONTROL!$C$32, $C$9, 100%, $E$9)</f>
        <v>12.9968</v>
      </c>
    </row>
    <row r="797" spans="1:15" ht="15" x14ac:dyDescent="0.2">
      <c r="A797" s="13">
        <v>65106</v>
      </c>
      <c r="B797" s="9">
        <f>11.6289 * CHOOSE(CONTROL!$C$32, $C$9, 100%, $E$9)</f>
        <v>11.6289</v>
      </c>
      <c r="C797" s="9">
        <f>11.6289 * CHOOSE(CONTROL!$C$32, $C$9, 100%, $E$9)</f>
        <v>11.6289</v>
      </c>
      <c r="D797" s="9">
        <f>11.63 * CHOOSE(CONTROL!$C$32, $C$9, 100%, $E$9)</f>
        <v>11.63</v>
      </c>
      <c r="E797" s="11">
        <f>13.2815 * CHOOSE(CONTROL!$C$32, $C$9, 100%, $E$9)</f>
        <v>13.281499999999999</v>
      </c>
      <c r="F797" s="11">
        <f>13.2815 * CHOOSE(CONTROL!$C$32, $C$9, 100%, $E$9)</f>
        <v>13.281499999999999</v>
      </c>
      <c r="G797" s="11">
        <f>13.2851 * CHOOSE(CONTROL!$C$32, $C$9, 100%, $E$9)</f>
        <v>13.2851</v>
      </c>
      <c r="H797" s="11">
        <f>27.3194 * CHOOSE(CONTROL!$C$32, $C$9, 100%, $E$9)</f>
        <v>27.319400000000002</v>
      </c>
      <c r="I797" s="11">
        <f>27.3231 * CHOOSE(CONTROL!$C$32, $C$9, 100%, $E$9)</f>
        <v>27.3231</v>
      </c>
      <c r="J797" s="11">
        <f>27.3194 * CHOOSE(CONTROL!$C$32, $C$9, 100%, $E$9)</f>
        <v>27.319400000000002</v>
      </c>
      <c r="K797" s="11">
        <f>27.3231 * CHOOSE(CONTROL!$C$32, $C$9, 100%, $E$9)</f>
        <v>27.3231</v>
      </c>
      <c r="L797" s="11">
        <f>13.2815 * CHOOSE(CONTROL!$C$32, $C$9, 100%, $E$9)</f>
        <v>13.281499999999999</v>
      </c>
      <c r="M797" s="11">
        <f>13.2851 * CHOOSE(CONTROL!$C$32, $C$9, 100%, $E$9)</f>
        <v>13.2851</v>
      </c>
      <c r="N797" s="11">
        <f>13.2815 * CHOOSE(CONTROL!$C$32, $C$9, 100%, $E$9)</f>
        <v>13.281499999999999</v>
      </c>
      <c r="O797" s="11">
        <f>13.2851 * CHOOSE(CONTROL!$C$32, $C$9, 100%, $E$9)</f>
        <v>13.2851</v>
      </c>
    </row>
    <row r="798" spans="1:15" ht="15" x14ac:dyDescent="0.2">
      <c r="A798" s="13">
        <v>65136</v>
      </c>
      <c r="B798" s="9">
        <f>11.6289 * CHOOSE(CONTROL!$C$32, $C$9, 100%, $E$9)</f>
        <v>11.6289</v>
      </c>
      <c r="C798" s="9">
        <f>11.6289 * CHOOSE(CONTROL!$C$32, $C$9, 100%, $E$9)</f>
        <v>11.6289</v>
      </c>
      <c r="D798" s="9">
        <f>11.6305 * CHOOSE(CONTROL!$C$32, $C$9, 100%, $E$9)</f>
        <v>11.6305</v>
      </c>
      <c r="E798" s="11">
        <f>13.3912 * CHOOSE(CONTROL!$C$32, $C$9, 100%, $E$9)</f>
        <v>13.3912</v>
      </c>
      <c r="F798" s="11">
        <f>13.3912 * CHOOSE(CONTROL!$C$32, $C$9, 100%, $E$9)</f>
        <v>13.3912</v>
      </c>
      <c r="G798" s="11">
        <f>13.3965 * CHOOSE(CONTROL!$C$32, $C$9, 100%, $E$9)</f>
        <v>13.3965</v>
      </c>
      <c r="H798" s="11">
        <f>27.3764 * CHOOSE(CONTROL!$C$32, $C$9, 100%, $E$9)</f>
        <v>27.3764</v>
      </c>
      <c r="I798" s="11">
        <f>27.3817 * CHOOSE(CONTROL!$C$32, $C$9, 100%, $E$9)</f>
        <v>27.381699999999999</v>
      </c>
      <c r="J798" s="11">
        <f>27.3764 * CHOOSE(CONTROL!$C$32, $C$9, 100%, $E$9)</f>
        <v>27.3764</v>
      </c>
      <c r="K798" s="11">
        <f>27.3817 * CHOOSE(CONTROL!$C$32, $C$9, 100%, $E$9)</f>
        <v>27.381699999999999</v>
      </c>
      <c r="L798" s="11">
        <f>13.3912 * CHOOSE(CONTROL!$C$32, $C$9, 100%, $E$9)</f>
        <v>13.3912</v>
      </c>
      <c r="M798" s="11">
        <f>13.3965 * CHOOSE(CONTROL!$C$32, $C$9, 100%, $E$9)</f>
        <v>13.3965</v>
      </c>
      <c r="N798" s="11">
        <f>13.3912 * CHOOSE(CONTROL!$C$32, $C$9, 100%, $E$9)</f>
        <v>13.3912</v>
      </c>
      <c r="O798" s="11">
        <f>13.3965 * CHOOSE(CONTROL!$C$32, $C$9, 100%, $E$9)</f>
        <v>13.3965</v>
      </c>
    </row>
    <row r="799" spans="1:15" ht="15" x14ac:dyDescent="0.2">
      <c r="A799" s="13">
        <v>65167</v>
      </c>
      <c r="B799" s="9">
        <f>11.635 * CHOOSE(CONTROL!$C$32, $C$9, 100%, $E$9)</f>
        <v>11.635</v>
      </c>
      <c r="C799" s="9">
        <f>11.635 * CHOOSE(CONTROL!$C$32, $C$9, 100%, $E$9)</f>
        <v>11.635</v>
      </c>
      <c r="D799" s="9">
        <f>11.6366 * CHOOSE(CONTROL!$C$32, $C$9, 100%, $E$9)</f>
        <v>11.6366</v>
      </c>
      <c r="E799" s="11">
        <f>13.2858 * CHOOSE(CONTROL!$C$32, $C$9, 100%, $E$9)</f>
        <v>13.2858</v>
      </c>
      <c r="F799" s="11">
        <f>13.2858 * CHOOSE(CONTROL!$C$32, $C$9, 100%, $E$9)</f>
        <v>13.2858</v>
      </c>
      <c r="G799" s="11">
        <f>13.2911 * CHOOSE(CONTROL!$C$32, $C$9, 100%, $E$9)</f>
        <v>13.2911</v>
      </c>
      <c r="H799" s="11">
        <f>27.4334 * CHOOSE(CONTROL!$C$32, $C$9, 100%, $E$9)</f>
        <v>27.433399999999999</v>
      </c>
      <c r="I799" s="11">
        <f>27.4387 * CHOOSE(CONTROL!$C$32, $C$9, 100%, $E$9)</f>
        <v>27.438700000000001</v>
      </c>
      <c r="J799" s="11">
        <f>27.4334 * CHOOSE(CONTROL!$C$32, $C$9, 100%, $E$9)</f>
        <v>27.433399999999999</v>
      </c>
      <c r="K799" s="11">
        <f>27.4387 * CHOOSE(CONTROL!$C$32, $C$9, 100%, $E$9)</f>
        <v>27.438700000000001</v>
      </c>
      <c r="L799" s="11">
        <f>13.2858 * CHOOSE(CONTROL!$C$32, $C$9, 100%, $E$9)</f>
        <v>13.2858</v>
      </c>
      <c r="M799" s="11">
        <f>13.2911 * CHOOSE(CONTROL!$C$32, $C$9, 100%, $E$9)</f>
        <v>13.2911</v>
      </c>
      <c r="N799" s="11">
        <f>13.2858 * CHOOSE(CONTROL!$C$32, $C$9, 100%, $E$9)</f>
        <v>13.2858</v>
      </c>
      <c r="O799" s="11">
        <f>13.2911 * CHOOSE(CONTROL!$C$32, $C$9, 100%, $E$9)</f>
        <v>13.2911</v>
      </c>
    </row>
    <row r="800" spans="1:15" ht="15" x14ac:dyDescent="0.2">
      <c r="A800" s="13">
        <v>65197</v>
      </c>
      <c r="B800" s="9">
        <f>11.7773 * CHOOSE(CONTROL!$C$32, $C$9, 100%, $E$9)</f>
        <v>11.7773</v>
      </c>
      <c r="C800" s="9">
        <f>11.7773 * CHOOSE(CONTROL!$C$32, $C$9, 100%, $E$9)</f>
        <v>11.7773</v>
      </c>
      <c r="D800" s="9">
        <f>11.7789 * CHOOSE(CONTROL!$C$32, $C$9, 100%, $E$9)</f>
        <v>11.7789</v>
      </c>
      <c r="E800" s="11">
        <f>13.4731 * CHOOSE(CONTROL!$C$32, $C$9, 100%, $E$9)</f>
        <v>13.473100000000001</v>
      </c>
      <c r="F800" s="11">
        <f>13.4731 * CHOOSE(CONTROL!$C$32, $C$9, 100%, $E$9)</f>
        <v>13.473100000000001</v>
      </c>
      <c r="G800" s="11">
        <f>13.4784 * CHOOSE(CONTROL!$C$32, $C$9, 100%, $E$9)</f>
        <v>13.478400000000001</v>
      </c>
      <c r="H800" s="11">
        <f>27.4906 * CHOOSE(CONTROL!$C$32, $C$9, 100%, $E$9)</f>
        <v>27.490600000000001</v>
      </c>
      <c r="I800" s="11">
        <f>27.4958 * CHOOSE(CONTROL!$C$32, $C$9, 100%, $E$9)</f>
        <v>27.495799999999999</v>
      </c>
      <c r="J800" s="11">
        <f>27.4906 * CHOOSE(CONTROL!$C$32, $C$9, 100%, $E$9)</f>
        <v>27.490600000000001</v>
      </c>
      <c r="K800" s="11">
        <f>27.4958 * CHOOSE(CONTROL!$C$32, $C$9, 100%, $E$9)</f>
        <v>27.495799999999999</v>
      </c>
      <c r="L800" s="11">
        <f>13.4731 * CHOOSE(CONTROL!$C$32, $C$9, 100%, $E$9)</f>
        <v>13.473100000000001</v>
      </c>
      <c r="M800" s="11">
        <f>13.4784 * CHOOSE(CONTROL!$C$32, $C$9, 100%, $E$9)</f>
        <v>13.478400000000001</v>
      </c>
      <c r="N800" s="11">
        <f>13.4731 * CHOOSE(CONTROL!$C$32, $C$9, 100%, $E$9)</f>
        <v>13.473100000000001</v>
      </c>
      <c r="O800" s="11">
        <f>13.4784 * CHOOSE(CONTROL!$C$32, $C$9, 100%, $E$9)</f>
        <v>13.478400000000001</v>
      </c>
    </row>
    <row r="801" spans="1:15" ht="15" x14ac:dyDescent="0.2">
      <c r="A801" s="13">
        <v>65228</v>
      </c>
      <c r="B801" s="9">
        <f>11.784 * CHOOSE(CONTROL!$C$32, $C$9, 100%, $E$9)</f>
        <v>11.784000000000001</v>
      </c>
      <c r="C801" s="9">
        <f>11.784 * CHOOSE(CONTROL!$C$32, $C$9, 100%, $E$9)</f>
        <v>11.784000000000001</v>
      </c>
      <c r="D801" s="9">
        <f>11.7856 * CHOOSE(CONTROL!$C$32, $C$9, 100%, $E$9)</f>
        <v>11.785600000000001</v>
      </c>
      <c r="E801" s="11">
        <f>13.1486 * CHOOSE(CONTROL!$C$32, $C$9, 100%, $E$9)</f>
        <v>13.1486</v>
      </c>
      <c r="F801" s="11">
        <f>13.1486 * CHOOSE(CONTROL!$C$32, $C$9, 100%, $E$9)</f>
        <v>13.1486</v>
      </c>
      <c r="G801" s="11">
        <f>13.1539 * CHOOSE(CONTROL!$C$32, $C$9, 100%, $E$9)</f>
        <v>13.1539</v>
      </c>
      <c r="H801" s="11">
        <f>27.5478 * CHOOSE(CONTROL!$C$32, $C$9, 100%, $E$9)</f>
        <v>27.547799999999999</v>
      </c>
      <c r="I801" s="11">
        <f>27.5531 * CHOOSE(CONTROL!$C$32, $C$9, 100%, $E$9)</f>
        <v>27.553100000000001</v>
      </c>
      <c r="J801" s="11">
        <f>27.5478 * CHOOSE(CONTROL!$C$32, $C$9, 100%, $E$9)</f>
        <v>27.547799999999999</v>
      </c>
      <c r="K801" s="11">
        <f>27.5531 * CHOOSE(CONTROL!$C$32, $C$9, 100%, $E$9)</f>
        <v>27.553100000000001</v>
      </c>
      <c r="L801" s="11">
        <f>13.1486 * CHOOSE(CONTROL!$C$32, $C$9, 100%, $E$9)</f>
        <v>13.1486</v>
      </c>
      <c r="M801" s="11">
        <f>13.1539 * CHOOSE(CONTROL!$C$32, $C$9, 100%, $E$9)</f>
        <v>13.1539</v>
      </c>
      <c r="N801" s="11">
        <f>13.1486 * CHOOSE(CONTROL!$C$32, $C$9, 100%, $E$9)</f>
        <v>13.1486</v>
      </c>
      <c r="O801" s="11">
        <f>13.1539 * CHOOSE(CONTROL!$C$32, $C$9, 100%, $E$9)</f>
        <v>13.1539</v>
      </c>
    </row>
    <row r="802" spans="1:15" ht="15" x14ac:dyDescent="0.2">
      <c r="A802" s="13">
        <v>65259</v>
      </c>
      <c r="B802" s="9">
        <f>11.7809 * CHOOSE(CONTROL!$C$32, $C$9, 100%, $E$9)</f>
        <v>11.780900000000001</v>
      </c>
      <c r="C802" s="9">
        <f>11.7809 * CHOOSE(CONTROL!$C$32, $C$9, 100%, $E$9)</f>
        <v>11.780900000000001</v>
      </c>
      <c r="D802" s="9">
        <f>11.7825 * CHOOSE(CONTROL!$C$32, $C$9, 100%, $E$9)</f>
        <v>11.782500000000001</v>
      </c>
      <c r="E802" s="11">
        <f>13.1099 * CHOOSE(CONTROL!$C$32, $C$9, 100%, $E$9)</f>
        <v>13.1099</v>
      </c>
      <c r="F802" s="11">
        <f>13.1099 * CHOOSE(CONTROL!$C$32, $C$9, 100%, $E$9)</f>
        <v>13.1099</v>
      </c>
      <c r="G802" s="11">
        <f>13.1152 * CHOOSE(CONTROL!$C$32, $C$9, 100%, $E$9)</f>
        <v>13.1152</v>
      </c>
      <c r="H802" s="11">
        <f>27.6052 * CHOOSE(CONTROL!$C$32, $C$9, 100%, $E$9)</f>
        <v>27.6052</v>
      </c>
      <c r="I802" s="11">
        <f>27.6105 * CHOOSE(CONTROL!$C$32, $C$9, 100%, $E$9)</f>
        <v>27.610499999999998</v>
      </c>
      <c r="J802" s="11">
        <f>27.6052 * CHOOSE(CONTROL!$C$32, $C$9, 100%, $E$9)</f>
        <v>27.6052</v>
      </c>
      <c r="K802" s="11">
        <f>27.6105 * CHOOSE(CONTROL!$C$32, $C$9, 100%, $E$9)</f>
        <v>27.610499999999998</v>
      </c>
      <c r="L802" s="11">
        <f>13.1099 * CHOOSE(CONTROL!$C$32, $C$9, 100%, $E$9)</f>
        <v>13.1099</v>
      </c>
      <c r="M802" s="11">
        <f>13.1152 * CHOOSE(CONTROL!$C$32, $C$9, 100%, $E$9)</f>
        <v>13.1152</v>
      </c>
      <c r="N802" s="11">
        <f>13.1099 * CHOOSE(CONTROL!$C$32, $C$9, 100%, $E$9)</f>
        <v>13.1099</v>
      </c>
      <c r="O802" s="11">
        <f>13.1152 * CHOOSE(CONTROL!$C$32, $C$9, 100%, $E$9)</f>
        <v>13.1152</v>
      </c>
    </row>
    <row r="803" spans="1:15" ht="15" x14ac:dyDescent="0.2">
      <c r="A803" s="13">
        <v>65289</v>
      </c>
      <c r="B803" s="9">
        <f>11.8051 * CHOOSE(CONTROL!$C$32, $C$9, 100%, $E$9)</f>
        <v>11.805099999999999</v>
      </c>
      <c r="C803" s="9">
        <f>11.8051 * CHOOSE(CONTROL!$C$32, $C$9, 100%, $E$9)</f>
        <v>11.805099999999999</v>
      </c>
      <c r="D803" s="9">
        <f>11.8062 * CHOOSE(CONTROL!$C$32, $C$9, 100%, $E$9)</f>
        <v>11.8062</v>
      </c>
      <c r="E803" s="11">
        <f>13.2428 * CHOOSE(CONTROL!$C$32, $C$9, 100%, $E$9)</f>
        <v>13.242800000000001</v>
      </c>
      <c r="F803" s="11">
        <f>13.2428 * CHOOSE(CONTROL!$C$32, $C$9, 100%, $E$9)</f>
        <v>13.242800000000001</v>
      </c>
      <c r="G803" s="11">
        <f>13.2464 * CHOOSE(CONTROL!$C$32, $C$9, 100%, $E$9)</f>
        <v>13.2464</v>
      </c>
      <c r="H803" s="11">
        <f>27.6627 * CHOOSE(CONTROL!$C$32, $C$9, 100%, $E$9)</f>
        <v>27.662700000000001</v>
      </c>
      <c r="I803" s="11">
        <f>27.6663 * CHOOSE(CONTROL!$C$32, $C$9, 100%, $E$9)</f>
        <v>27.6663</v>
      </c>
      <c r="J803" s="11">
        <f>27.6627 * CHOOSE(CONTROL!$C$32, $C$9, 100%, $E$9)</f>
        <v>27.662700000000001</v>
      </c>
      <c r="K803" s="11">
        <f>27.6663 * CHOOSE(CONTROL!$C$32, $C$9, 100%, $E$9)</f>
        <v>27.6663</v>
      </c>
      <c r="L803" s="11">
        <f>13.2428 * CHOOSE(CONTROL!$C$32, $C$9, 100%, $E$9)</f>
        <v>13.242800000000001</v>
      </c>
      <c r="M803" s="11">
        <f>13.2464 * CHOOSE(CONTROL!$C$32, $C$9, 100%, $E$9)</f>
        <v>13.2464</v>
      </c>
      <c r="N803" s="11">
        <f>13.2428 * CHOOSE(CONTROL!$C$32, $C$9, 100%, $E$9)</f>
        <v>13.242800000000001</v>
      </c>
      <c r="O803" s="11">
        <f>13.2464 * CHOOSE(CONTROL!$C$32, $C$9, 100%, $E$9)</f>
        <v>13.2464</v>
      </c>
    </row>
    <row r="804" spans="1:15" ht="15" x14ac:dyDescent="0.2">
      <c r="A804" s="13">
        <v>65320</v>
      </c>
      <c r="B804" s="9">
        <f>11.8081 * CHOOSE(CONTROL!$C$32, $C$9, 100%, $E$9)</f>
        <v>11.8081</v>
      </c>
      <c r="C804" s="9">
        <f>11.8081 * CHOOSE(CONTROL!$C$32, $C$9, 100%, $E$9)</f>
        <v>11.8081</v>
      </c>
      <c r="D804" s="9">
        <f>11.8092 * CHOOSE(CONTROL!$C$32, $C$9, 100%, $E$9)</f>
        <v>11.809200000000001</v>
      </c>
      <c r="E804" s="11">
        <f>13.3181 * CHOOSE(CONTROL!$C$32, $C$9, 100%, $E$9)</f>
        <v>13.318099999999999</v>
      </c>
      <c r="F804" s="11">
        <f>13.3181 * CHOOSE(CONTROL!$C$32, $C$9, 100%, $E$9)</f>
        <v>13.318099999999999</v>
      </c>
      <c r="G804" s="11">
        <f>13.3217 * CHOOSE(CONTROL!$C$32, $C$9, 100%, $E$9)</f>
        <v>13.3217</v>
      </c>
      <c r="H804" s="11">
        <f>27.7204 * CHOOSE(CONTROL!$C$32, $C$9, 100%, $E$9)</f>
        <v>27.720400000000001</v>
      </c>
      <c r="I804" s="11">
        <f>27.724 * CHOOSE(CONTROL!$C$32, $C$9, 100%, $E$9)</f>
        <v>27.724</v>
      </c>
      <c r="J804" s="11">
        <f>27.7204 * CHOOSE(CONTROL!$C$32, $C$9, 100%, $E$9)</f>
        <v>27.720400000000001</v>
      </c>
      <c r="K804" s="11">
        <f>27.724 * CHOOSE(CONTROL!$C$32, $C$9, 100%, $E$9)</f>
        <v>27.724</v>
      </c>
      <c r="L804" s="11">
        <f>13.3181 * CHOOSE(CONTROL!$C$32, $C$9, 100%, $E$9)</f>
        <v>13.318099999999999</v>
      </c>
      <c r="M804" s="11">
        <f>13.3217 * CHOOSE(CONTROL!$C$32, $C$9, 100%, $E$9)</f>
        <v>13.3217</v>
      </c>
      <c r="N804" s="11">
        <f>13.3181 * CHOOSE(CONTROL!$C$32, $C$9, 100%, $E$9)</f>
        <v>13.318099999999999</v>
      </c>
      <c r="O804" s="11">
        <f>13.3217 * CHOOSE(CONTROL!$C$32, $C$9, 100%, $E$9)</f>
        <v>13.3217</v>
      </c>
    </row>
    <row r="805" spans="1:15" ht="15" x14ac:dyDescent="0.2">
      <c r="A805" s="13">
        <v>65350</v>
      </c>
      <c r="B805" s="9">
        <f>11.8081 * CHOOSE(CONTROL!$C$32, $C$9, 100%, $E$9)</f>
        <v>11.8081</v>
      </c>
      <c r="C805" s="9">
        <f>11.8081 * CHOOSE(CONTROL!$C$32, $C$9, 100%, $E$9)</f>
        <v>11.8081</v>
      </c>
      <c r="D805" s="9">
        <f>11.8092 * CHOOSE(CONTROL!$C$32, $C$9, 100%, $E$9)</f>
        <v>11.809200000000001</v>
      </c>
      <c r="E805" s="11">
        <f>13.1352 * CHOOSE(CONTROL!$C$32, $C$9, 100%, $E$9)</f>
        <v>13.135199999999999</v>
      </c>
      <c r="F805" s="11">
        <f>13.1352 * CHOOSE(CONTROL!$C$32, $C$9, 100%, $E$9)</f>
        <v>13.135199999999999</v>
      </c>
      <c r="G805" s="11">
        <f>13.1388 * CHOOSE(CONTROL!$C$32, $C$9, 100%, $E$9)</f>
        <v>13.1388</v>
      </c>
      <c r="H805" s="11">
        <f>27.7781 * CHOOSE(CONTROL!$C$32, $C$9, 100%, $E$9)</f>
        <v>27.778099999999998</v>
      </c>
      <c r="I805" s="11">
        <f>27.7817 * CHOOSE(CONTROL!$C$32, $C$9, 100%, $E$9)</f>
        <v>27.781700000000001</v>
      </c>
      <c r="J805" s="11">
        <f>27.7781 * CHOOSE(CONTROL!$C$32, $C$9, 100%, $E$9)</f>
        <v>27.778099999999998</v>
      </c>
      <c r="K805" s="11">
        <f>27.7817 * CHOOSE(CONTROL!$C$32, $C$9, 100%, $E$9)</f>
        <v>27.781700000000001</v>
      </c>
      <c r="L805" s="11">
        <f>13.1352 * CHOOSE(CONTROL!$C$32, $C$9, 100%, $E$9)</f>
        <v>13.135199999999999</v>
      </c>
      <c r="M805" s="11">
        <f>13.1388 * CHOOSE(CONTROL!$C$32, $C$9, 100%, $E$9)</f>
        <v>13.1388</v>
      </c>
      <c r="N805" s="11">
        <f>13.1352 * CHOOSE(CONTROL!$C$32, $C$9, 100%, $E$9)</f>
        <v>13.135199999999999</v>
      </c>
      <c r="O805" s="11">
        <f>13.1388 * CHOOSE(CONTROL!$C$32, $C$9, 100%, $E$9)</f>
        <v>13.1388</v>
      </c>
    </row>
    <row r="806" spans="1:15" ht="15" x14ac:dyDescent="0.2">
      <c r="A806" s="13">
        <v>65381</v>
      </c>
      <c r="B806" s="9">
        <f>11.8173 * CHOOSE(CONTROL!$C$32, $C$9, 100%, $E$9)</f>
        <v>11.817299999999999</v>
      </c>
      <c r="C806" s="9">
        <f>11.8173 * CHOOSE(CONTROL!$C$32, $C$9, 100%, $E$9)</f>
        <v>11.817299999999999</v>
      </c>
      <c r="D806" s="9">
        <f>11.8184 * CHOOSE(CONTROL!$C$32, $C$9, 100%, $E$9)</f>
        <v>11.8184</v>
      </c>
      <c r="E806" s="11">
        <f>13.2831 * CHOOSE(CONTROL!$C$32, $C$9, 100%, $E$9)</f>
        <v>13.283099999999999</v>
      </c>
      <c r="F806" s="11">
        <f>13.2831 * CHOOSE(CONTROL!$C$32, $C$9, 100%, $E$9)</f>
        <v>13.283099999999999</v>
      </c>
      <c r="G806" s="11">
        <f>13.2867 * CHOOSE(CONTROL!$C$32, $C$9, 100%, $E$9)</f>
        <v>13.2867</v>
      </c>
      <c r="H806" s="11">
        <f>27.6212 * CHOOSE(CONTROL!$C$32, $C$9, 100%, $E$9)</f>
        <v>27.621200000000002</v>
      </c>
      <c r="I806" s="11">
        <f>27.6248 * CHOOSE(CONTROL!$C$32, $C$9, 100%, $E$9)</f>
        <v>27.6248</v>
      </c>
      <c r="J806" s="11">
        <f>27.6212 * CHOOSE(CONTROL!$C$32, $C$9, 100%, $E$9)</f>
        <v>27.621200000000002</v>
      </c>
      <c r="K806" s="11">
        <f>27.6248 * CHOOSE(CONTROL!$C$32, $C$9, 100%, $E$9)</f>
        <v>27.6248</v>
      </c>
      <c r="L806" s="11">
        <f>13.2831 * CHOOSE(CONTROL!$C$32, $C$9, 100%, $E$9)</f>
        <v>13.283099999999999</v>
      </c>
      <c r="M806" s="11">
        <f>13.2867 * CHOOSE(CONTROL!$C$32, $C$9, 100%, $E$9)</f>
        <v>13.2867</v>
      </c>
      <c r="N806" s="11">
        <f>13.2831 * CHOOSE(CONTROL!$C$32, $C$9, 100%, $E$9)</f>
        <v>13.283099999999999</v>
      </c>
      <c r="O806" s="11">
        <f>13.2867 * CHOOSE(CONTROL!$C$32, $C$9, 100%, $E$9)</f>
        <v>13.2867</v>
      </c>
    </row>
    <row r="807" spans="1:15" ht="15" x14ac:dyDescent="0.2">
      <c r="A807" s="13">
        <v>65412</v>
      </c>
      <c r="B807" s="9">
        <f>11.8143 * CHOOSE(CONTROL!$C$32, $C$9, 100%, $E$9)</f>
        <v>11.814299999999999</v>
      </c>
      <c r="C807" s="9">
        <f>11.8143 * CHOOSE(CONTROL!$C$32, $C$9, 100%, $E$9)</f>
        <v>11.814299999999999</v>
      </c>
      <c r="D807" s="9">
        <f>11.8153 * CHOOSE(CONTROL!$C$32, $C$9, 100%, $E$9)</f>
        <v>11.815300000000001</v>
      </c>
      <c r="E807" s="11">
        <f>12.9283 * CHOOSE(CONTROL!$C$32, $C$9, 100%, $E$9)</f>
        <v>12.9283</v>
      </c>
      <c r="F807" s="11">
        <f>12.9283 * CHOOSE(CONTROL!$C$32, $C$9, 100%, $E$9)</f>
        <v>12.9283</v>
      </c>
      <c r="G807" s="11">
        <f>12.9319 * CHOOSE(CONTROL!$C$32, $C$9, 100%, $E$9)</f>
        <v>12.931900000000001</v>
      </c>
      <c r="H807" s="11">
        <f>27.6788 * CHOOSE(CONTROL!$C$32, $C$9, 100%, $E$9)</f>
        <v>27.678799999999999</v>
      </c>
      <c r="I807" s="11">
        <f>27.6824 * CHOOSE(CONTROL!$C$32, $C$9, 100%, $E$9)</f>
        <v>27.682400000000001</v>
      </c>
      <c r="J807" s="11">
        <f>27.6788 * CHOOSE(CONTROL!$C$32, $C$9, 100%, $E$9)</f>
        <v>27.678799999999999</v>
      </c>
      <c r="K807" s="11">
        <f>27.6824 * CHOOSE(CONTROL!$C$32, $C$9, 100%, $E$9)</f>
        <v>27.682400000000001</v>
      </c>
      <c r="L807" s="11">
        <f>12.9283 * CHOOSE(CONTROL!$C$32, $C$9, 100%, $E$9)</f>
        <v>12.9283</v>
      </c>
      <c r="M807" s="11">
        <f>12.9319 * CHOOSE(CONTROL!$C$32, $C$9, 100%, $E$9)</f>
        <v>12.931900000000001</v>
      </c>
      <c r="N807" s="11">
        <f>12.9283 * CHOOSE(CONTROL!$C$32, $C$9, 100%, $E$9)</f>
        <v>12.9283</v>
      </c>
      <c r="O807" s="11">
        <f>12.9319 * CHOOSE(CONTROL!$C$32, $C$9, 100%, $E$9)</f>
        <v>12.931900000000001</v>
      </c>
    </row>
    <row r="808" spans="1:15" ht="15" x14ac:dyDescent="0.2">
      <c r="A808" s="13">
        <v>65440</v>
      </c>
      <c r="B808" s="9">
        <f>11.8112 * CHOOSE(CONTROL!$C$32, $C$9, 100%, $E$9)</f>
        <v>11.811199999999999</v>
      </c>
      <c r="C808" s="9">
        <f>11.8112 * CHOOSE(CONTROL!$C$32, $C$9, 100%, $E$9)</f>
        <v>11.811199999999999</v>
      </c>
      <c r="D808" s="9">
        <f>11.8123 * CHOOSE(CONTROL!$C$32, $C$9, 100%, $E$9)</f>
        <v>11.8123</v>
      </c>
      <c r="E808" s="11">
        <f>13.2042 * CHOOSE(CONTROL!$C$32, $C$9, 100%, $E$9)</f>
        <v>13.2042</v>
      </c>
      <c r="F808" s="11">
        <f>13.2042 * CHOOSE(CONTROL!$C$32, $C$9, 100%, $E$9)</f>
        <v>13.2042</v>
      </c>
      <c r="G808" s="11">
        <f>13.2078 * CHOOSE(CONTROL!$C$32, $C$9, 100%, $E$9)</f>
        <v>13.207800000000001</v>
      </c>
      <c r="H808" s="11">
        <f>27.7364 * CHOOSE(CONTROL!$C$32, $C$9, 100%, $E$9)</f>
        <v>27.7364</v>
      </c>
      <c r="I808" s="11">
        <f>27.74 * CHOOSE(CONTROL!$C$32, $C$9, 100%, $E$9)</f>
        <v>27.74</v>
      </c>
      <c r="J808" s="11">
        <f>27.7364 * CHOOSE(CONTROL!$C$32, $C$9, 100%, $E$9)</f>
        <v>27.7364</v>
      </c>
      <c r="K808" s="11">
        <f>27.74 * CHOOSE(CONTROL!$C$32, $C$9, 100%, $E$9)</f>
        <v>27.74</v>
      </c>
      <c r="L808" s="11">
        <f>13.2042 * CHOOSE(CONTROL!$C$32, $C$9, 100%, $E$9)</f>
        <v>13.2042</v>
      </c>
      <c r="M808" s="11">
        <f>13.2078 * CHOOSE(CONTROL!$C$32, $C$9, 100%, $E$9)</f>
        <v>13.207800000000001</v>
      </c>
      <c r="N808" s="11">
        <f>13.2042 * CHOOSE(CONTROL!$C$32, $C$9, 100%, $E$9)</f>
        <v>13.2042</v>
      </c>
      <c r="O808" s="11">
        <f>13.2078 * CHOOSE(CONTROL!$C$32, $C$9, 100%, $E$9)</f>
        <v>13.207800000000001</v>
      </c>
    </row>
    <row r="809" spans="1:15" ht="15" x14ac:dyDescent="0.2">
      <c r="A809" s="13">
        <v>65471</v>
      </c>
      <c r="B809" s="9">
        <f>11.8164 * CHOOSE(CONTROL!$C$32, $C$9, 100%, $E$9)</f>
        <v>11.8164</v>
      </c>
      <c r="C809" s="9">
        <f>11.8164 * CHOOSE(CONTROL!$C$32, $C$9, 100%, $E$9)</f>
        <v>11.8164</v>
      </c>
      <c r="D809" s="9">
        <f>11.8175 * CHOOSE(CONTROL!$C$32, $C$9, 100%, $E$9)</f>
        <v>11.817500000000001</v>
      </c>
      <c r="E809" s="11">
        <f>13.4985 * CHOOSE(CONTROL!$C$32, $C$9, 100%, $E$9)</f>
        <v>13.4985</v>
      </c>
      <c r="F809" s="11">
        <f>13.4985 * CHOOSE(CONTROL!$C$32, $C$9, 100%, $E$9)</f>
        <v>13.4985</v>
      </c>
      <c r="G809" s="11">
        <f>13.5021 * CHOOSE(CONTROL!$C$32, $C$9, 100%, $E$9)</f>
        <v>13.5021</v>
      </c>
      <c r="H809" s="11">
        <f>27.7942 * CHOOSE(CONTROL!$C$32, $C$9, 100%, $E$9)</f>
        <v>27.7942</v>
      </c>
      <c r="I809" s="11">
        <f>27.7978 * CHOOSE(CONTROL!$C$32, $C$9, 100%, $E$9)</f>
        <v>27.797799999999999</v>
      </c>
      <c r="J809" s="11">
        <f>27.7942 * CHOOSE(CONTROL!$C$32, $C$9, 100%, $E$9)</f>
        <v>27.7942</v>
      </c>
      <c r="K809" s="11">
        <f>27.7978 * CHOOSE(CONTROL!$C$32, $C$9, 100%, $E$9)</f>
        <v>27.797799999999999</v>
      </c>
      <c r="L809" s="11">
        <f>13.4985 * CHOOSE(CONTROL!$C$32, $C$9, 100%, $E$9)</f>
        <v>13.4985</v>
      </c>
      <c r="M809" s="11">
        <f>13.5021 * CHOOSE(CONTROL!$C$32, $C$9, 100%, $E$9)</f>
        <v>13.5021</v>
      </c>
      <c r="N809" s="11">
        <f>13.4985 * CHOOSE(CONTROL!$C$32, $C$9, 100%, $E$9)</f>
        <v>13.4985</v>
      </c>
      <c r="O809" s="11">
        <f>13.5021 * CHOOSE(CONTROL!$C$32, $C$9, 100%, $E$9)</f>
        <v>13.5021</v>
      </c>
    </row>
    <row r="810" spans="1:15" ht="15" x14ac:dyDescent="0.2">
      <c r="A810" s="13">
        <v>65501</v>
      </c>
      <c r="B810" s="9">
        <f>11.8164 * CHOOSE(CONTROL!$C$32, $C$9, 100%, $E$9)</f>
        <v>11.8164</v>
      </c>
      <c r="C810" s="9">
        <f>11.8164 * CHOOSE(CONTROL!$C$32, $C$9, 100%, $E$9)</f>
        <v>11.8164</v>
      </c>
      <c r="D810" s="9">
        <f>11.818 * CHOOSE(CONTROL!$C$32, $C$9, 100%, $E$9)</f>
        <v>11.818</v>
      </c>
      <c r="E810" s="11">
        <f>13.6105 * CHOOSE(CONTROL!$C$32, $C$9, 100%, $E$9)</f>
        <v>13.6105</v>
      </c>
      <c r="F810" s="11">
        <f>13.6105 * CHOOSE(CONTROL!$C$32, $C$9, 100%, $E$9)</f>
        <v>13.6105</v>
      </c>
      <c r="G810" s="11">
        <f>13.6158 * CHOOSE(CONTROL!$C$32, $C$9, 100%, $E$9)</f>
        <v>13.6158</v>
      </c>
      <c r="H810" s="11">
        <f>27.8521 * CHOOSE(CONTROL!$C$32, $C$9, 100%, $E$9)</f>
        <v>27.8521</v>
      </c>
      <c r="I810" s="11">
        <f>27.8574 * CHOOSE(CONTROL!$C$32, $C$9, 100%, $E$9)</f>
        <v>27.857399999999998</v>
      </c>
      <c r="J810" s="11">
        <f>27.8521 * CHOOSE(CONTROL!$C$32, $C$9, 100%, $E$9)</f>
        <v>27.8521</v>
      </c>
      <c r="K810" s="11">
        <f>27.8574 * CHOOSE(CONTROL!$C$32, $C$9, 100%, $E$9)</f>
        <v>27.857399999999998</v>
      </c>
      <c r="L810" s="11">
        <f>13.6105 * CHOOSE(CONTROL!$C$32, $C$9, 100%, $E$9)</f>
        <v>13.6105</v>
      </c>
      <c r="M810" s="11">
        <f>13.6158 * CHOOSE(CONTROL!$C$32, $C$9, 100%, $E$9)</f>
        <v>13.6158</v>
      </c>
      <c r="N810" s="11">
        <f>13.6105 * CHOOSE(CONTROL!$C$32, $C$9, 100%, $E$9)</f>
        <v>13.6105</v>
      </c>
      <c r="O810" s="11">
        <f>13.6158 * CHOOSE(CONTROL!$C$32, $C$9, 100%, $E$9)</f>
        <v>13.6158</v>
      </c>
    </row>
    <row r="811" spans="1:15" ht="15" x14ac:dyDescent="0.2">
      <c r="A811" s="13">
        <v>65532</v>
      </c>
      <c r="B811" s="9">
        <f>11.8225 * CHOOSE(CONTROL!$C$32, $C$9, 100%, $E$9)</f>
        <v>11.8225</v>
      </c>
      <c r="C811" s="9">
        <f>11.8225 * CHOOSE(CONTROL!$C$32, $C$9, 100%, $E$9)</f>
        <v>11.8225</v>
      </c>
      <c r="D811" s="9">
        <f>11.8241 * CHOOSE(CONTROL!$C$32, $C$9, 100%, $E$9)</f>
        <v>11.8241</v>
      </c>
      <c r="E811" s="11">
        <f>13.5028 * CHOOSE(CONTROL!$C$32, $C$9, 100%, $E$9)</f>
        <v>13.502800000000001</v>
      </c>
      <c r="F811" s="11">
        <f>13.5028 * CHOOSE(CONTROL!$C$32, $C$9, 100%, $E$9)</f>
        <v>13.502800000000001</v>
      </c>
      <c r="G811" s="11">
        <f>13.5081 * CHOOSE(CONTROL!$C$32, $C$9, 100%, $E$9)</f>
        <v>13.508100000000001</v>
      </c>
      <c r="H811" s="11">
        <f>27.9101 * CHOOSE(CONTROL!$C$32, $C$9, 100%, $E$9)</f>
        <v>27.9101</v>
      </c>
      <c r="I811" s="11">
        <f>27.9154 * CHOOSE(CONTROL!$C$32, $C$9, 100%, $E$9)</f>
        <v>27.915400000000002</v>
      </c>
      <c r="J811" s="11">
        <f>27.9101 * CHOOSE(CONTROL!$C$32, $C$9, 100%, $E$9)</f>
        <v>27.9101</v>
      </c>
      <c r="K811" s="11">
        <f>27.9154 * CHOOSE(CONTROL!$C$32, $C$9, 100%, $E$9)</f>
        <v>27.915400000000002</v>
      </c>
      <c r="L811" s="11">
        <f>13.5028 * CHOOSE(CONTROL!$C$32, $C$9, 100%, $E$9)</f>
        <v>13.502800000000001</v>
      </c>
      <c r="M811" s="11">
        <f>13.5081 * CHOOSE(CONTROL!$C$32, $C$9, 100%, $E$9)</f>
        <v>13.508100000000001</v>
      </c>
      <c r="N811" s="11">
        <f>13.5028 * CHOOSE(CONTROL!$C$32, $C$9, 100%, $E$9)</f>
        <v>13.502800000000001</v>
      </c>
      <c r="O811" s="11">
        <f>13.5081 * CHOOSE(CONTROL!$C$32, $C$9, 100%, $E$9)</f>
        <v>13.508100000000001</v>
      </c>
    </row>
    <row r="812" spans="1:15" ht="15" x14ac:dyDescent="0.2">
      <c r="A812" s="13">
        <v>65562</v>
      </c>
      <c r="B812" s="9">
        <f>11.9669 * CHOOSE(CONTROL!$C$32, $C$9, 100%, $E$9)</f>
        <v>11.966900000000001</v>
      </c>
      <c r="C812" s="9">
        <f>11.9669 * CHOOSE(CONTROL!$C$32, $C$9, 100%, $E$9)</f>
        <v>11.966900000000001</v>
      </c>
      <c r="D812" s="9">
        <f>11.9685 * CHOOSE(CONTROL!$C$32, $C$9, 100%, $E$9)</f>
        <v>11.968500000000001</v>
      </c>
      <c r="E812" s="11">
        <f>13.6933 * CHOOSE(CONTROL!$C$32, $C$9, 100%, $E$9)</f>
        <v>13.693300000000001</v>
      </c>
      <c r="F812" s="11">
        <f>13.6933 * CHOOSE(CONTROL!$C$32, $C$9, 100%, $E$9)</f>
        <v>13.693300000000001</v>
      </c>
      <c r="G812" s="11">
        <f>13.6986 * CHOOSE(CONTROL!$C$32, $C$9, 100%, $E$9)</f>
        <v>13.698600000000001</v>
      </c>
      <c r="H812" s="11">
        <f>27.9683 * CHOOSE(CONTROL!$C$32, $C$9, 100%, $E$9)</f>
        <v>27.968299999999999</v>
      </c>
      <c r="I812" s="11">
        <f>27.9736 * CHOOSE(CONTROL!$C$32, $C$9, 100%, $E$9)</f>
        <v>27.973600000000001</v>
      </c>
      <c r="J812" s="11">
        <f>27.9683 * CHOOSE(CONTROL!$C$32, $C$9, 100%, $E$9)</f>
        <v>27.968299999999999</v>
      </c>
      <c r="K812" s="11">
        <f>27.9736 * CHOOSE(CONTROL!$C$32, $C$9, 100%, $E$9)</f>
        <v>27.973600000000001</v>
      </c>
      <c r="L812" s="11">
        <f>13.6933 * CHOOSE(CONTROL!$C$32, $C$9, 100%, $E$9)</f>
        <v>13.693300000000001</v>
      </c>
      <c r="M812" s="11">
        <f>13.6986 * CHOOSE(CONTROL!$C$32, $C$9, 100%, $E$9)</f>
        <v>13.698600000000001</v>
      </c>
      <c r="N812" s="11">
        <f>13.6933 * CHOOSE(CONTROL!$C$32, $C$9, 100%, $E$9)</f>
        <v>13.693300000000001</v>
      </c>
      <c r="O812" s="11">
        <f>13.6986 * CHOOSE(CONTROL!$C$32, $C$9, 100%, $E$9)</f>
        <v>13.698600000000001</v>
      </c>
    </row>
    <row r="813" spans="1:15" ht="15" x14ac:dyDescent="0.2">
      <c r="A813" s="13">
        <v>65593</v>
      </c>
      <c r="B813" s="9">
        <f>11.9736 * CHOOSE(CONTROL!$C$32, $C$9, 100%, $E$9)</f>
        <v>11.973599999999999</v>
      </c>
      <c r="C813" s="9">
        <f>11.9736 * CHOOSE(CONTROL!$C$32, $C$9, 100%, $E$9)</f>
        <v>11.973599999999999</v>
      </c>
      <c r="D813" s="9">
        <f>11.9752 * CHOOSE(CONTROL!$C$32, $C$9, 100%, $E$9)</f>
        <v>11.975199999999999</v>
      </c>
      <c r="E813" s="11">
        <f>13.3621 * CHOOSE(CONTROL!$C$32, $C$9, 100%, $E$9)</f>
        <v>13.3621</v>
      </c>
      <c r="F813" s="11">
        <f>13.3621 * CHOOSE(CONTROL!$C$32, $C$9, 100%, $E$9)</f>
        <v>13.3621</v>
      </c>
      <c r="G813" s="11">
        <f>13.3673 * CHOOSE(CONTROL!$C$32, $C$9, 100%, $E$9)</f>
        <v>13.3673</v>
      </c>
      <c r="H813" s="11">
        <f>28.0266 * CHOOSE(CONTROL!$C$32, $C$9, 100%, $E$9)</f>
        <v>28.026599999999998</v>
      </c>
      <c r="I813" s="11">
        <f>28.0318 * CHOOSE(CONTROL!$C$32, $C$9, 100%, $E$9)</f>
        <v>28.0318</v>
      </c>
      <c r="J813" s="11">
        <f>28.0266 * CHOOSE(CONTROL!$C$32, $C$9, 100%, $E$9)</f>
        <v>28.026599999999998</v>
      </c>
      <c r="K813" s="11">
        <f>28.0318 * CHOOSE(CONTROL!$C$32, $C$9, 100%, $E$9)</f>
        <v>28.0318</v>
      </c>
      <c r="L813" s="11">
        <f>13.3621 * CHOOSE(CONTROL!$C$32, $C$9, 100%, $E$9)</f>
        <v>13.3621</v>
      </c>
      <c r="M813" s="11">
        <f>13.3673 * CHOOSE(CONTROL!$C$32, $C$9, 100%, $E$9)</f>
        <v>13.3673</v>
      </c>
      <c r="N813" s="11">
        <f>13.3621 * CHOOSE(CONTROL!$C$32, $C$9, 100%, $E$9)</f>
        <v>13.3621</v>
      </c>
      <c r="O813" s="11">
        <f>13.3673 * CHOOSE(CONTROL!$C$32, $C$9, 100%, $E$9)</f>
        <v>13.3673</v>
      </c>
    </row>
    <row r="814" spans="1:15" ht="15" x14ac:dyDescent="0.2">
      <c r="A814" s="13">
        <v>65624</v>
      </c>
      <c r="B814" s="9">
        <f>11.9705 * CHOOSE(CONTROL!$C$32, $C$9, 100%, $E$9)</f>
        <v>11.970499999999999</v>
      </c>
      <c r="C814" s="9">
        <f>11.9705 * CHOOSE(CONTROL!$C$32, $C$9, 100%, $E$9)</f>
        <v>11.970499999999999</v>
      </c>
      <c r="D814" s="9">
        <f>11.9721 * CHOOSE(CONTROL!$C$32, $C$9, 100%, $E$9)</f>
        <v>11.972099999999999</v>
      </c>
      <c r="E814" s="11">
        <f>13.3226 * CHOOSE(CONTROL!$C$32, $C$9, 100%, $E$9)</f>
        <v>13.3226</v>
      </c>
      <c r="F814" s="11">
        <f>13.3226 * CHOOSE(CONTROL!$C$32, $C$9, 100%, $E$9)</f>
        <v>13.3226</v>
      </c>
      <c r="G814" s="11">
        <f>13.3279 * CHOOSE(CONTROL!$C$32, $C$9, 100%, $E$9)</f>
        <v>13.3279</v>
      </c>
      <c r="H814" s="11">
        <f>28.0849 * CHOOSE(CONTROL!$C$32, $C$9, 100%, $E$9)</f>
        <v>28.084900000000001</v>
      </c>
      <c r="I814" s="11">
        <f>28.0902 * CHOOSE(CONTROL!$C$32, $C$9, 100%, $E$9)</f>
        <v>28.090199999999999</v>
      </c>
      <c r="J814" s="11">
        <f>28.0849 * CHOOSE(CONTROL!$C$32, $C$9, 100%, $E$9)</f>
        <v>28.084900000000001</v>
      </c>
      <c r="K814" s="11">
        <f>28.0902 * CHOOSE(CONTROL!$C$32, $C$9, 100%, $E$9)</f>
        <v>28.090199999999999</v>
      </c>
      <c r="L814" s="11">
        <f>13.3226 * CHOOSE(CONTROL!$C$32, $C$9, 100%, $E$9)</f>
        <v>13.3226</v>
      </c>
      <c r="M814" s="11">
        <f>13.3279 * CHOOSE(CONTROL!$C$32, $C$9, 100%, $E$9)</f>
        <v>13.3279</v>
      </c>
      <c r="N814" s="11">
        <f>13.3226 * CHOOSE(CONTROL!$C$32, $C$9, 100%, $E$9)</f>
        <v>13.3226</v>
      </c>
      <c r="O814" s="11">
        <f>13.3279 * CHOOSE(CONTROL!$C$32, $C$9, 100%, $E$9)</f>
        <v>13.3279</v>
      </c>
    </row>
    <row r="815" spans="1:15" ht="15" x14ac:dyDescent="0.2">
      <c r="A815" s="13">
        <v>65654</v>
      </c>
      <c r="B815" s="9">
        <f>11.9954 * CHOOSE(CONTROL!$C$32, $C$9, 100%, $E$9)</f>
        <v>11.9954</v>
      </c>
      <c r="C815" s="9">
        <f>11.9954 * CHOOSE(CONTROL!$C$32, $C$9, 100%, $E$9)</f>
        <v>11.9954</v>
      </c>
      <c r="D815" s="9">
        <f>11.9965 * CHOOSE(CONTROL!$C$32, $C$9, 100%, $E$9)</f>
        <v>11.996499999999999</v>
      </c>
      <c r="E815" s="11">
        <f>13.4585 * CHOOSE(CONTROL!$C$32, $C$9, 100%, $E$9)</f>
        <v>13.458500000000001</v>
      </c>
      <c r="F815" s="11">
        <f>13.4585 * CHOOSE(CONTROL!$C$32, $C$9, 100%, $E$9)</f>
        <v>13.458500000000001</v>
      </c>
      <c r="G815" s="11">
        <f>13.4621 * CHOOSE(CONTROL!$C$32, $C$9, 100%, $E$9)</f>
        <v>13.4621</v>
      </c>
      <c r="H815" s="11">
        <f>28.1435 * CHOOSE(CONTROL!$C$32, $C$9, 100%, $E$9)</f>
        <v>28.1435</v>
      </c>
      <c r="I815" s="11">
        <f>28.1471 * CHOOSE(CONTROL!$C$32, $C$9, 100%, $E$9)</f>
        <v>28.147099999999998</v>
      </c>
      <c r="J815" s="11">
        <f>28.1435 * CHOOSE(CONTROL!$C$32, $C$9, 100%, $E$9)</f>
        <v>28.1435</v>
      </c>
      <c r="K815" s="11">
        <f>28.1471 * CHOOSE(CONTROL!$C$32, $C$9, 100%, $E$9)</f>
        <v>28.147099999999998</v>
      </c>
      <c r="L815" s="11">
        <f>13.4585 * CHOOSE(CONTROL!$C$32, $C$9, 100%, $E$9)</f>
        <v>13.458500000000001</v>
      </c>
      <c r="M815" s="11">
        <f>13.4621 * CHOOSE(CONTROL!$C$32, $C$9, 100%, $E$9)</f>
        <v>13.4621</v>
      </c>
      <c r="N815" s="11">
        <f>13.4585 * CHOOSE(CONTROL!$C$32, $C$9, 100%, $E$9)</f>
        <v>13.458500000000001</v>
      </c>
      <c r="O815" s="11">
        <f>13.4621 * CHOOSE(CONTROL!$C$32, $C$9, 100%, $E$9)</f>
        <v>13.4621</v>
      </c>
    </row>
    <row r="816" spans="1:15" ht="15" x14ac:dyDescent="0.2">
      <c r="A816" s="13">
        <v>65685</v>
      </c>
      <c r="B816" s="9">
        <f>11.9984 * CHOOSE(CONTROL!$C$32, $C$9, 100%, $E$9)</f>
        <v>11.9984</v>
      </c>
      <c r="C816" s="9">
        <f>11.9984 * CHOOSE(CONTROL!$C$32, $C$9, 100%, $E$9)</f>
        <v>11.9984</v>
      </c>
      <c r="D816" s="9">
        <f>11.9995 * CHOOSE(CONTROL!$C$32, $C$9, 100%, $E$9)</f>
        <v>11.999499999999999</v>
      </c>
      <c r="E816" s="11">
        <f>13.5353 * CHOOSE(CONTROL!$C$32, $C$9, 100%, $E$9)</f>
        <v>13.535299999999999</v>
      </c>
      <c r="F816" s="11">
        <f>13.5353 * CHOOSE(CONTROL!$C$32, $C$9, 100%, $E$9)</f>
        <v>13.535299999999999</v>
      </c>
      <c r="G816" s="11">
        <f>13.5389 * CHOOSE(CONTROL!$C$32, $C$9, 100%, $E$9)</f>
        <v>13.5389</v>
      </c>
      <c r="H816" s="11">
        <f>28.2021 * CHOOSE(CONTROL!$C$32, $C$9, 100%, $E$9)</f>
        <v>28.202100000000002</v>
      </c>
      <c r="I816" s="11">
        <f>28.2057 * CHOOSE(CONTROL!$C$32, $C$9, 100%, $E$9)</f>
        <v>28.2057</v>
      </c>
      <c r="J816" s="11">
        <f>28.2021 * CHOOSE(CONTROL!$C$32, $C$9, 100%, $E$9)</f>
        <v>28.202100000000002</v>
      </c>
      <c r="K816" s="11">
        <f>28.2057 * CHOOSE(CONTROL!$C$32, $C$9, 100%, $E$9)</f>
        <v>28.2057</v>
      </c>
      <c r="L816" s="11">
        <f>13.5353 * CHOOSE(CONTROL!$C$32, $C$9, 100%, $E$9)</f>
        <v>13.535299999999999</v>
      </c>
      <c r="M816" s="11">
        <f>13.5389 * CHOOSE(CONTROL!$C$32, $C$9, 100%, $E$9)</f>
        <v>13.5389</v>
      </c>
      <c r="N816" s="11">
        <f>13.5353 * CHOOSE(CONTROL!$C$32, $C$9, 100%, $E$9)</f>
        <v>13.535299999999999</v>
      </c>
      <c r="O816" s="11">
        <f>13.5389 * CHOOSE(CONTROL!$C$32, $C$9, 100%, $E$9)</f>
        <v>13.5389</v>
      </c>
    </row>
    <row r="817" spans="1:15" ht="15" x14ac:dyDescent="0.2">
      <c r="A817" s="13">
        <v>65715</v>
      </c>
      <c r="B817" s="9">
        <f>11.9984 * CHOOSE(CONTROL!$C$32, $C$9, 100%, $E$9)</f>
        <v>11.9984</v>
      </c>
      <c r="C817" s="9">
        <f>11.9984 * CHOOSE(CONTROL!$C$32, $C$9, 100%, $E$9)</f>
        <v>11.9984</v>
      </c>
      <c r="D817" s="9">
        <f>11.9995 * CHOOSE(CONTROL!$C$32, $C$9, 100%, $E$9)</f>
        <v>11.999499999999999</v>
      </c>
      <c r="E817" s="11">
        <f>13.3486 * CHOOSE(CONTROL!$C$32, $C$9, 100%, $E$9)</f>
        <v>13.348599999999999</v>
      </c>
      <c r="F817" s="11">
        <f>13.3486 * CHOOSE(CONTROL!$C$32, $C$9, 100%, $E$9)</f>
        <v>13.348599999999999</v>
      </c>
      <c r="G817" s="11">
        <f>13.3523 * CHOOSE(CONTROL!$C$32, $C$9, 100%, $E$9)</f>
        <v>13.3523</v>
      </c>
      <c r="H817" s="11">
        <f>28.2608 * CHOOSE(CONTROL!$C$32, $C$9, 100%, $E$9)</f>
        <v>28.2608</v>
      </c>
      <c r="I817" s="11">
        <f>28.2645 * CHOOSE(CONTROL!$C$32, $C$9, 100%, $E$9)</f>
        <v>28.264500000000002</v>
      </c>
      <c r="J817" s="11">
        <f>28.2608 * CHOOSE(CONTROL!$C$32, $C$9, 100%, $E$9)</f>
        <v>28.2608</v>
      </c>
      <c r="K817" s="11">
        <f>28.2645 * CHOOSE(CONTROL!$C$32, $C$9, 100%, $E$9)</f>
        <v>28.264500000000002</v>
      </c>
      <c r="L817" s="11">
        <f>13.3486 * CHOOSE(CONTROL!$C$32, $C$9, 100%, $E$9)</f>
        <v>13.348599999999999</v>
      </c>
      <c r="M817" s="11">
        <f>13.3523 * CHOOSE(CONTROL!$C$32, $C$9, 100%, $E$9)</f>
        <v>13.3523</v>
      </c>
      <c r="N817" s="11">
        <f>13.3486 * CHOOSE(CONTROL!$C$32, $C$9, 100%, $E$9)</f>
        <v>13.348599999999999</v>
      </c>
      <c r="O817" s="11">
        <f>13.3523 * CHOOSE(CONTROL!$C$32, $C$9, 100%, $E$9)</f>
        <v>13.3523</v>
      </c>
    </row>
    <row r="818" spans="1:15" ht="15" x14ac:dyDescent="0.2">
      <c r="A818" s="13">
        <v>65746</v>
      </c>
      <c r="B818" s="9">
        <f>12.0047 * CHOOSE(CONTROL!$C$32, $C$9, 100%, $E$9)</f>
        <v>12.0047</v>
      </c>
      <c r="C818" s="9">
        <f>12.0047 * CHOOSE(CONTROL!$C$32, $C$9, 100%, $E$9)</f>
        <v>12.0047</v>
      </c>
      <c r="D818" s="9">
        <f>12.0057 * CHOOSE(CONTROL!$C$32, $C$9, 100%, $E$9)</f>
        <v>12.005699999999999</v>
      </c>
      <c r="E818" s="11">
        <f>13.4956 * CHOOSE(CONTROL!$C$32, $C$9, 100%, $E$9)</f>
        <v>13.4956</v>
      </c>
      <c r="F818" s="11">
        <f>13.4956 * CHOOSE(CONTROL!$C$32, $C$9, 100%, $E$9)</f>
        <v>13.4956</v>
      </c>
      <c r="G818" s="11">
        <f>13.4992 * CHOOSE(CONTROL!$C$32, $C$9, 100%, $E$9)</f>
        <v>13.4992</v>
      </c>
      <c r="H818" s="11">
        <f>28.093 * CHOOSE(CONTROL!$C$32, $C$9, 100%, $E$9)</f>
        <v>28.093</v>
      </c>
      <c r="I818" s="11">
        <f>28.0966 * CHOOSE(CONTROL!$C$32, $C$9, 100%, $E$9)</f>
        <v>28.096599999999999</v>
      </c>
      <c r="J818" s="11">
        <f>28.093 * CHOOSE(CONTROL!$C$32, $C$9, 100%, $E$9)</f>
        <v>28.093</v>
      </c>
      <c r="K818" s="11">
        <f>28.0966 * CHOOSE(CONTROL!$C$32, $C$9, 100%, $E$9)</f>
        <v>28.096599999999999</v>
      </c>
      <c r="L818" s="11">
        <f>13.4956 * CHOOSE(CONTROL!$C$32, $C$9, 100%, $E$9)</f>
        <v>13.4956</v>
      </c>
      <c r="M818" s="11">
        <f>13.4992 * CHOOSE(CONTROL!$C$32, $C$9, 100%, $E$9)</f>
        <v>13.4992</v>
      </c>
      <c r="N818" s="11">
        <f>13.4956 * CHOOSE(CONTROL!$C$32, $C$9, 100%, $E$9)</f>
        <v>13.4956</v>
      </c>
      <c r="O818" s="11">
        <f>13.4992 * CHOOSE(CONTROL!$C$32, $C$9, 100%, $E$9)</f>
        <v>13.4992</v>
      </c>
    </row>
    <row r="819" spans="1:15" ht="15" x14ac:dyDescent="0.2">
      <c r="A819" s="13">
        <v>65777</v>
      </c>
      <c r="B819" s="9">
        <f>12.0016 * CHOOSE(CONTROL!$C$32, $C$9, 100%, $E$9)</f>
        <v>12.0016</v>
      </c>
      <c r="C819" s="9">
        <f>12.0016 * CHOOSE(CONTROL!$C$32, $C$9, 100%, $E$9)</f>
        <v>12.0016</v>
      </c>
      <c r="D819" s="9">
        <f>12.0027 * CHOOSE(CONTROL!$C$32, $C$9, 100%, $E$9)</f>
        <v>12.002700000000001</v>
      </c>
      <c r="E819" s="11">
        <f>13.1337 * CHOOSE(CONTROL!$C$32, $C$9, 100%, $E$9)</f>
        <v>13.133699999999999</v>
      </c>
      <c r="F819" s="11">
        <f>13.1337 * CHOOSE(CONTROL!$C$32, $C$9, 100%, $E$9)</f>
        <v>13.133699999999999</v>
      </c>
      <c r="G819" s="11">
        <f>13.1373 * CHOOSE(CONTROL!$C$32, $C$9, 100%, $E$9)</f>
        <v>13.1373</v>
      </c>
      <c r="H819" s="11">
        <f>28.1515 * CHOOSE(CONTROL!$C$32, $C$9, 100%, $E$9)</f>
        <v>28.151499999999999</v>
      </c>
      <c r="I819" s="11">
        <f>28.1552 * CHOOSE(CONTROL!$C$32, $C$9, 100%, $E$9)</f>
        <v>28.155200000000001</v>
      </c>
      <c r="J819" s="11">
        <f>28.1515 * CHOOSE(CONTROL!$C$32, $C$9, 100%, $E$9)</f>
        <v>28.151499999999999</v>
      </c>
      <c r="K819" s="11">
        <f>28.1552 * CHOOSE(CONTROL!$C$32, $C$9, 100%, $E$9)</f>
        <v>28.155200000000001</v>
      </c>
      <c r="L819" s="11">
        <f>13.1337 * CHOOSE(CONTROL!$C$32, $C$9, 100%, $E$9)</f>
        <v>13.133699999999999</v>
      </c>
      <c r="M819" s="11">
        <f>13.1373 * CHOOSE(CONTROL!$C$32, $C$9, 100%, $E$9)</f>
        <v>13.1373</v>
      </c>
      <c r="N819" s="11">
        <f>13.1337 * CHOOSE(CONTROL!$C$32, $C$9, 100%, $E$9)</f>
        <v>13.133699999999999</v>
      </c>
      <c r="O819" s="11">
        <f>13.1373 * CHOOSE(CONTROL!$C$32, $C$9, 100%, $E$9)</f>
        <v>13.1373</v>
      </c>
    </row>
    <row r="820" spans="1:15" ht="15" x14ac:dyDescent="0.2">
      <c r="A820" s="13">
        <v>65806</v>
      </c>
      <c r="B820" s="9">
        <f>11.9986 * CHOOSE(CONTROL!$C$32, $C$9, 100%, $E$9)</f>
        <v>11.9986</v>
      </c>
      <c r="C820" s="9">
        <f>11.9986 * CHOOSE(CONTROL!$C$32, $C$9, 100%, $E$9)</f>
        <v>11.9986</v>
      </c>
      <c r="D820" s="9">
        <f>11.9996 * CHOOSE(CONTROL!$C$32, $C$9, 100%, $E$9)</f>
        <v>11.999599999999999</v>
      </c>
      <c r="E820" s="11">
        <f>13.4152 * CHOOSE(CONTROL!$C$32, $C$9, 100%, $E$9)</f>
        <v>13.4152</v>
      </c>
      <c r="F820" s="11">
        <f>13.4152 * CHOOSE(CONTROL!$C$32, $C$9, 100%, $E$9)</f>
        <v>13.4152</v>
      </c>
      <c r="G820" s="11">
        <f>13.4188 * CHOOSE(CONTROL!$C$32, $C$9, 100%, $E$9)</f>
        <v>13.418799999999999</v>
      </c>
      <c r="H820" s="11">
        <f>28.2102 * CHOOSE(CONTROL!$C$32, $C$9, 100%, $E$9)</f>
        <v>28.2102</v>
      </c>
      <c r="I820" s="11">
        <f>28.2138 * CHOOSE(CONTROL!$C$32, $C$9, 100%, $E$9)</f>
        <v>28.213799999999999</v>
      </c>
      <c r="J820" s="11">
        <f>28.2102 * CHOOSE(CONTROL!$C$32, $C$9, 100%, $E$9)</f>
        <v>28.2102</v>
      </c>
      <c r="K820" s="11">
        <f>28.2138 * CHOOSE(CONTROL!$C$32, $C$9, 100%, $E$9)</f>
        <v>28.213799999999999</v>
      </c>
      <c r="L820" s="11">
        <f>13.4152 * CHOOSE(CONTROL!$C$32, $C$9, 100%, $E$9)</f>
        <v>13.4152</v>
      </c>
      <c r="M820" s="11">
        <f>13.4188 * CHOOSE(CONTROL!$C$32, $C$9, 100%, $E$9)</f>
        <v>13.418799999999999</v>
      </c>
      <c r="N820" s="11">
        <f>13.4152 * CHOOSE(CONTROL!$C$32, $C$9, 100%, $E$9)</f>
        <v>13.4152</v>
      </c>
      <c r="O820" s="11">
        <f>13.4188 * CHOOSE(CONTROL!$C$32, $C$9, 100%, $E$9)</f>
        <v>13.418799999999999</v>
      </c>
    </row>
    <row r="821" spans="1:15" ht="15" x14ac:dyDescent="0.2">
      <c r="A821" s="13">
        <v>65837</v>
      </c>
      <c r="B821" s="9">
        <f>12.004 * CHOOSE(CONTROL!$C$32, $C$9, 100%, $E$9)</f>
        <v>12.004</v>
      </c>
      <c r="C821" s="9">
        <f>12.004 * CHOOSE(CONTROL!$C$32, $C$9, 100%, $E$9)</f>
        <v>12.004</v>
      </c>
      <c r="D821" s="9">
        <f>12.0051 * CHOOSE(CONTROL!$C$32, $C$9, 100%, $E$9)</f>
        <v>12.005100000000001</v>
      </c>
      <c r="E821" s="11">
        <f>13.7155 * CHOOSE(CONTROL!$C$32, $C$9, 100%, $E$9)</f>
        <v>13.7155</v>
      </c>
      <c r="F821" s="11">
        <f>13.7155 * CHOOSE(CONTROL!$C$32, $C$9, 100%, $E$9)</f>
        <v>13.7155</v>
      </c>
      <c r="G821" s="11">
        <f>13.7191 * CHOOSE(CONTROL!$C$32, $C$9, 100%, $E$9)</f>
        <v>13.719099999999999</v>
      </c>
      <c r="H821" s="11">
        <f>28.269 * CHOOSE(CONTROL!$C$32, $C$9, 100%, $E$9)</f>
        <v>28.268999999999998</v>
      </c>
      <c r="I821" s="11">
        <f>28.2726 * CHOOSE(CONTROL!$C$32, $C$9, 100%, $E$9)</f>
        <v>28.272600000000001</v>
      </c>
      <c r="J821" s="11">
        <f>28.269 * CHOOSE(CONTROL!$C$32, $C$9, 100%, $E$9)</f>
        <v>28.268999999999998</v>
      </c>
      <c r="K821" s="11">
        <f>28.2726 * CHOOSE(CONTROL!$C$32, $C$9, 100%, $E$9)</f>
        <v>28.272600000000001</v>
      </c>
      <c r="L821" s="11">
        <f>13.7155 * CHOOSE(CONTROL!$C$32, $C$9, 100%, $E$9)</f>
        <v>13.7155</v>
      </c>
      <c r="M821" s="11">
        <f>13.7191 * CHOOSE(CONTROL!$C$32, $C$9, 100%, $E$9)</f>
        <v>13.719099999999999</v>
      </c>
      <c r="N821" s="11">
        <f>13.7155 * CHOOSE(CONTROL!$C$32, $C$9, 100%, $E$9)</f>
        <v>13.7155</v>
      </c>
      <c r="O821" s="11">
        <f>13.7191 * CHOOSE(CONTROL!$C$32, $C$9, 100%, $E$9)</f>
        <v>13.719099999999999</v>
      </c>
    </row>
    <row r="822" spans="1:15" ht="15" x14ac:dyDescent="0.2">
      <c r="A822" s="13">
        <v>65867</v>
      </c>
      <c r="B822" s="9">
        <f>12.004 * CHOOSE(CONTROL!$C$32, $C$9, 100%, $E$9)</f>
        <v>12.004</v>
      </c>
      <c r="C822" s="9">
        <f>12.004 * CHOOSE(CONTROL!$C$32, $C$9, 100%, $E$9)</f>
        <v>12.004</v>
      </c>
      <c r="D822" s="9">
        <f>12.0056 * CHOOSE(CONTROL!$C$32, $C$9, 100%, $E$9)</f>
        <v>12.005599999999999</v>
      </c>
      <c r="E822" s="11">
        <f>13.8298 * CHOOSE(CONTROL!$C$32, $C$9, 100%, $E$9)</f>
        <v>13.829800000000001</v>
      </c>
      <c r="F822" s="11">
        <f>13.8298 * CHOOSE(CONTROL!$C$32, $C$9, 100%, $E$9)</f>
        <v>13.829800000000001</v>
      </c>
      <c r="G822" s="11">
        <f>13.835 * CHOOSE(CONTROL!$C$32, $C$9, 100%, $E$9)</f>
        <v>13.835000000000001</v>
      </c>
      <c r="H822" s="11">
        <f>28.3279 * CHOOSE(CONTROL!$C$32, $C$9, 100%, $E$9)</f>
        <v>28.3279</v>
      </c>
      <c r="I822" s="11">
        <f>28.3332 * CHOOSE(CONTROL!$C$32, $C$9, 100%, $E$9)</f>
        <v>28.333200000000001</v>
      </c>
      <c r="J822" s="11">
        <f>28.3279 * CHOOSE(CONTROL!$C$32, $C$9, 100%, $E$9)</f>
        <v>28.3279</v>
      </c>
      <c r="K822" s="11">
        <f>28.3332 * CHOOSE(CONTROL!$C$32, $C$9, 100%, $E$9)</f>
        <v>28.333200000000001</v>
      </c>
      <c r="L822" s="11">
        <f>13.8298 * CHOOSE(CONTROL!$C$32, $C$9, 100%, $E$9)</f>
        <v>13.829800000000001</v>
      </c>
      <c r="M822" s="11">
        <f>13.835 * CHOOSE(CONTROL!$C$32, $C$9, 100%, $E$9)</f>
        <v>13.835000000000001</v>
      </c>
      <c r="N822" s="11">
        <f>13.8298 * CHOOSE(CONTROL!$C$32, $C$9, 100%, $E$9)</f>
        <v>13.829800000000001</v>
      </c>
      <c r="O822" s="11">
        <f>13.835 * CHOOSE(CONTROL!$C$32, $C$9, 100%, $E$9)</f>
        <v>13.835000000000001</v>
      </c>
    </row>
    <row r="823" spans="1:15" ht="15" x14ac:dyDescent="0.2">
      <c r="A823" s="13">
        <v>65898</v>
      </c>
      <c r="B823" s="9">
        <f>12.0101 * CHOOSE(CONTROL!$C$32, $C$9, 100%, $E$9)</f>
        <v>12.0101</v>
      </c>
      <c r="C823" s="9">
        <f>12.0101 * CHOOSE(CONTROL!$C$32, $C$9, 100%, $E$9)</f>
        <v>12.0101</v>
      </c>
      <c r="D823" s="9">
        <f>12.0116 * CHOOSE(CONTROL!$C$32, $C$9, 100%, $E$9)</f>
        <v>12.0116</v>
      </c>
      <c r="E823" s="11">
        <f>13.7198 * CHOOSE(CONTROL!$C$32, $C$9, 100%, $E$9)</f>
        <v>13.719799999999999</v>
      </c>
      <c r="F823" s="11">
        <f>13.7198 * CHOOSE(CONTROL!$C$32, $C$9, 100%, $E$9)</f>
        <v>13.719799999999999</v>
      </c>
      <c r="G823" s="11">
        <f>13.7251 * CHOOSE(CONTROL!$C$32, $C$9, 100%, $E$9)</f>
        <v>13.725099999999999</v>
      </c>
      <c r="H823" s="11">
        <f>28.3869 * CHOOSE(CONTROL!$C$32, $C$9, 100%, $E$9)</f>
        <v>28.386900000000001</v>
      </c>
      <c r="I823" s="11">
        <f>28.3922 * CHOOSE(CONTROL!$C$32, $C$9, 100%, $E$9)</f>
        <v>28.392199999999999</v>
      </c>
      <c r="J823" s="11">
        <f>28.3869 * CHOOSE(CONTROL!$C$32, $C$9, 100%, $E$9)</f>
        <v>28.386900000000001</v>
      </c>
      <c r="K823" s="11">
        <f>28.3922 * CHOOSE(CONTROL!$C$32, $C$9, 100%, $E$9)</f>
        <v>28.392199999999999</v>
      </c>
      <c r="L823" s="11">
        <f>13.7198 * CHOOSE(CONTROL!$C$32, $C$9, 100%, $E$9)</f>
        <v>13.719799999999999</v>
      </c>
      <c r="M823" s="11">
        <f>13.7251 * CHOOSE(CONTROL!$C$32, $C$9, 100%, $E$9)</f>
        <v>13.725099999999999</v>
      </c>
      <c r="N823" s="11">
        <f>13.7198 * CHOOSE(CONTROL!$C$32, $C$9, 100%, $E$9)</f>
        <v>13.719799999999999</v>
      </c>
      <c r="O823" s="11">
        <f>13.7251 * CHOOSE(CONTROL!$C$32, $C$9, 100%, $E$9)</f>
        <v>13.725099999999999</v>
      </c>
    </row>
    <row r="824" spans="1:15" ht="15" x14ac:dyDescent="0.2">
      <c r="A824" s="13">
        <v>65928</v>
      </c>
      <c r="B824" s="9">
        <f>12.1565 * CHOOSE(CONTROL!$C$32, $C$9, 100%, $E$9)</f>
        <v>12.156499999999999</v>
      </c>
      <c r="C824" s="9">
        <f>12.1565 * CHOOSE(CONTROL!$C$32, $C$9, 100%, $E$9)</f>
        <v>12.156499999999999</v>
      </c>
      <c r="D824" s="9">
        <f>12.1581 * CHOOSE(CONTROL!$C$32, $C$9, 100%, $E$9)</f>
        <v>12.158099999999999</v>
      </c>
      <c r="E824" s="11">
        <f>13.9135 * CHOOSE(CONTROL!$C$32, $C$9, 100%, $E$9)</f>
        <v>13.913500000000001</v>
      </c>
      <c r="F824" s="11">
        <f>13.9135 * CHOOSE(CONTROL!$C$32, $C$9, 100%, $E$9)</f>
        <v>13.913500000000001</v>
      </c>
      <c r="G824" s="11">
        <f>13.9188 * CHOOSE(CONTROL!$C$32, $C$9, 100%, $E$9)</f>
        <v>13.918799999999999</v>
      </c>
      <c r="H824" s="11">
        <f>28.446 * CHOOSE(CONTROL!$C$32, $C$9, 100%, $E$9)</f>
        <v>28.446000000000002</v>
      </c>
      <c r="I824" s="11">
        <f>28.4513 * CHOOSE(CONTROL!$C$32, $C$9, 100%, $E$9)</f>
        <v>28.4513</v>
      </c>
      <c r="J824" s="11">
        <f>28.446 * CHOOSE(CONTROL!$C$32, $C$9, 100%, $E$9)</f>
        <v>28.446000000000002</v>
      </c>
      <c r="K824" s="11">
        <f>28.4513 * CHOOSE(CONTROL!$C$32, $C$9, 100%, $E$9)</f>
        <v>28.4513</v>
      </c>
      <c r="L824" s="11">
        <f>13.9135 * CHOOSE(CONTROL!$C$32, $C$9, 100%, $E$9)</f>
        <v>13.913500000000001</v>
      </c>
      <c r="M824" s="11">
        <f>13.9188 * CHOOSE(CONTROL!$C$32, $C$9, 100%, $E$9)</f>
        <v>13.918799999999999</v>
      </c>
      <c r="N824" s="11">
        <f>13.9135 * CHOOSE(CONTROL!$C$32, $C$9, 100%, $E$9)</f>
        <v>13.913500000000001</v>
      </c>
      <c r="O824" s="11">
        <f>13.9188 * CHOOSE(CONTROL!$C$32, $C$9, 100%, $E$9)</f>
        <v>13.918799999999999</v>
      </c>
    </row>
    <row r="825" spans="1:15" ht="15" x14ac:dyDescent="0.2">
      <c r="A825" s="13">
        <v>65959</v>
      </c>
      <c r="B825" s="9">
        <f>12.1632 * CHOOSE(CONTROL!$C$32, $C$9, 100%, $E$9)</f>
        <v>12.1632</v>
      </c>
      <c r="C825" s="9">
        <f>12.1632 * CHOOSE(CONTROL!$C$32, $C$9, 100%, $E$9)</f>
        <v>12.1632</v>
      </c>
      <c r="D825" s="9">
        <f>12.1648 * CHOOSE(CONTROL!$C$32, $C$9, 100%, $E$9)</f>
        <v>12.1648</v>
      </c>
      <c r="E825" s="11">
        <f>13.5755 * CHOOSE(CONTROL!$C$32, $C$9, 100%, $E$9)</f>
        <v>13.5755</v>
      </c>
      <c r="F825" s="11">
        <f>13.5755 * CHOOSE(CONTROL!$C$32, $C$9, 100%, $E$9)</f>
        <v>13.5755</v>
      </c>
      <c r="G825" s="11">
        <f>13.5808 * CHOOSE(CONTROL!$C$32, $C$9, 100%, $E$9)</f>
        <v>13.5808</v>
      </c>
      <c r="H825" s="11">
        <f>28.5053 * CHOOSE(CONTROL!$C$32, $C$9, 100%, $E$9)</f>
        <v>28.505299999999998</v>
      </c>
      <c r="I825" s="11">
        <f>28.5106 * CHOOSE(CONTROL!$C$32, $C$9, 100%, $E$9)</f>
        <v>28.5106</v>
      </c>
      <c r="J825" s="11">
        <f>28.5053 * CHOOSE(CONTROL!$C$32, $C$9, 100%, $E$9)</f>
        <v>28.505299999999998</v>
      </c>
      <c r="K825" s="11">
        <f>28.5106 * CHOOSE(CONTROL!$C$32, $C$9, 100%, $E$9)</f>
        <v>28.5106</v>
      </c>
      <c r="L825" s="11">
        <f>13.5755 * CHOOSE(CONTROL!$C$32, $C$9, 100%, $E$9)</f>
        <v>13.5755</v>
      </c>
      <c r="M825" s="11">
        <f>13.5808 * CHOOSE(CONTROL!$C$32, $C$9, 100%, $E$9)</f>
        <v>13.5808</v>
      </c>
      <c r="N825" s="11">
        <f>13.5755 * CHOOSE(CONTROL!$C$32, $C$9, 100%, $E$9)</f>
        <v>13.5755</v>
      </c>
      <c r="O825" s="11">
        <f>13.5808 * CHOOSE(CONTROL!$C$32, $C$9, 100%, $E$9)</f>
        <v>13.5808</v>
      </c>
    </row>
    <row r="826" spans="1:15" ht="15" x14ac:dyDescent="0.2">
      <c r="A826" s="13">
        <v>65990</v>
      </c>
      <c r="B826" s="9">
        <f>12.1601 * CHOOSE(CONTROL!$C$32, $C$9, 100%, $E$9)</f>
        <v>12.1601</v>
      </c>
      <c r="C826" s="9">
        <f>12.1601 * CHOOSE(CONTROL!$C$32, $C$9, 100%, $E$9)</f>
        <v>12.1601</v>
      </c>
      <c r="D826" s="9">
        <f>12.1617 * CHOOSE(CONTROL!$C$32, $C$9, 100%, $E$9)</f>
        <v>12.1617</v>
      </c>
      <c r="E826" s="11">
        <f>13.5353 * CHOOSE(CONTROL!$C$32, $C$9, 100%, $E$9)</f>
        <v>13.535299999999999</v>
      </c>
      <c r="F826" s="11">
        <f>13.5353 * CHOOSE(CONTROL!$C$32, $C$9, 100%, $E$9)</f>
        <v>13.535299999999999</v>
      </c>
      <c r="G826" s="11">
        <f>13.5406 * CHOOSE(CONTROL!$C$32, $C$9, 100%, $E$9)</f>
        <v>13.5406</v>
      </c>
      <c r="H826" s="11">
        <f>28.5647 * CHOOSE(CONTROL!$C$32, $C$9, 100%, $E$9)</f>
        <v>28.564699999999998</v>
      </c>
      <c r="I826" s="11">
        <f>28.57 * CHOOSE(CONTROL!$C$32, $C$9, 100%, $E$9)</f>
        <v>28.57</v>
      </c>
      <c r="J826" s="11">
        <f>28.5647 * CHOOSE(CONTROL!$C$32, $C$9, 100%, $E$9)</f>
        <v>28.564699999999998</v>
      </c>
      <c r="K826" s="11">
        <f>28.57 * CHOOSE(CONTROL!$C$32, $C$9, 100%, $E$9)</f>
        <v>28.57</v>
      </c>
      <c r="L826" s="11">
        <f>13.5353 * CHOOSE(CONTROL!$C$32, $C$9, 100%, $E$9)</f>
        <v>13.535299999999999</v>
      </c>
      <c r="M826" s="11">
        <f>13.5406 * CHOOSE(CONTROL!$C$32, $C$9, 100%, $E$9)</f>
        <v>13.5406</v>
      </c>
      <c r="N826" s="11">
        <f>13.5353 * CHOOSE(CONTROL!$C$32, $C$9, 100%, $E$9)</f>
        <v>13.535299999999999</v>
      </c>
      <c r="O826" s="11">
        <f>13.5406 * CHOOSE(CONTROL!$C$32, $C$9, 100%, $E$9)</f>
        <v>13.5406</v>
      </c>
    </row>
    <row r="827" spans="1:15" ht="15" x14ac:dyDescent="0.2">
      <c r="A827" s="13">
        <v>66020</v>
      </c>
      <c r="B827" s="9">
        <f>12.1857 * CHOOSE(CONTROL!$C$32, $C$9, 100%, $E$9)</f>
        <v>12.185700000000001</v>
      </c>
      <c r="C827" s="9">
        <f>12.1857 * CHOOSE(CONTROL!$C$32, $C$9, 100%, $E$9)</f>
        <v>12.185700000000001</v>
      </c>
      <c r="D827" s="9">
        <f>12.1868 * CHOOSE(CONTROL!$C$32, $C$9, 100%, $E$9)</f>
        <v>12.1868</v>
      </c>
      <c r="E827" s="11">
        <f>13.6742 * CHOOSE(CONTROL!$C$32, $C$9, 100%, $E$9)</f>
        <v>13.674200000000001</v>
      </c>
      <c r="F827" s="11">
        <f>13.6742 * CHOOSE(CONTROL!$C$32, $C$9, 100%, $E$9)</f>
        <v>13.674200000000001</v>
      </c>
      <c r="G827" s="11">
        <f>13.6778 * CHOOSE(CONTROL!$C$32, $C$9, 100%, $E$9)</f>
        <v>13.6778</v>
      </c>
      <c r="H827" s="11">
        <f>28.6242 * CHOOSE(CONTROL!$C$32, $C$9, 100%, $E$9)</f>
        <v>28.624199999999998</v>
      </c>
      <c r="I827" s="11">
        <f>28.6278 * CHOOSE(CONTROL!$C$32, $C$9, 100%, $E$9)</f>
        <v>28.627800000000001</v>
      </c>
      <c r="J827" s="11">
        <f>28.6242 * CHOOSE(CONTROL!$C$32, $C$9, 100%, $E$9)</f>
        <v>28.624199999999998</v>
      </c>
      <c r="K827" s="11">
        <f>28.6278 * CHOOSE(CONTROL!$C$32, $C$9, 100%, $E$9)</f>
        <v>28.627800000000001</v>
      </c>
      <c r="L827" s="11">
        <f>13.6742 * CHOOSE(CONTROL!$C$32, $C$9, 100%, $E$9)</f>
        <v>13.674200000000001</v>
      </c>
      <c r="M827" s="11">
        <f>13.6778 * CHOOSE(CONTROL!$C$32, $C$9, 100%, $E$9)</f>
        <v>13.6778</v>
      </c>
      <c r="N827" s="11">
        <f>13.6742 * CHOOSE(CONTROL!$C$32, $C$9, 100%, $E$9)</f>
        <v>13.674200000000001</v>
      </c>
      <c r="O827" s="11">
        <f>13.6778 * CHOOSE(CONTROL!$C$32, $C$9, 100%, $E$9)</f>
        <v>13.6778</v>
      </c>
    </row>
    <row r="828" spans="1:15" ht="15" x14ac:dyDescent="0.2">
      <c r="A828" s="13">
        <v>66051</v>
      </c>
      <c r="B828" s="9">
        <f>12.1887 * CHOOSE(CONTROL!$C$32, $C$9, 100%, $E$9)</f>
        <v>12.188700000000001</v>
      </c>
      <c r="C828" s="9">
        <f>12.1887 * CHOOSE(CONTROL!$C$32, $C$9, 100%, $E$9)</f>
        <v>12.188700000000001</v>
      </c>
      <c r="D828" s="9">
        <f>12.1898 * CHOOSE(CONTROL!$C$32, $C$9, 100%, $E$9)</f>
        <v>12.1898</v>
      </c>
      <c r="E828" s="11">
        <f>13.7524 * CHOOSE(CONTROL!$C$32, $C$9, 100%, $E$9)</f>
        <v>13.7524</v>
      </c>
      <c r="F828" s="11">
        <f>13.7524 * CHOOSE(CONTROL!$C$32, $C$9, 100%, $E$9)</f>
        <v>13.7524</v>
      </c>
      <c r="G828" s="11">
        <f>13.7561 * CHOOSE(CONTROL!$C$32, $C$9, 100%, $E$9)</f>
        <v>13.7561</v>
      </c>
      <c r="H828" s="11">
        <f>28.6838 * CHOOSE(CONTROL!$C$32, $C$9, 100%, $E$9)</f>
        <v>28.683800000000002</v>
      </c>
      <c r="I828" s="11">
        <f>28.6874 * CHOOSE(CONTROL!$C$32, $C$9, 100%, $E$9)</f>
        <v>28.6874</v>
      </c>
      <c r="J828" s="11">
        <f>28.6838 * CHOOSE(CONTROL!$C$32, $C$9, 100%, $E$9)</f>
        <v>28.683800000000002</v>
      </c>
      <c r="K828" s="11">
        <f>28.6874 * CHOOSE(CONTROL!$C$32, $C$9, 100%, $E$9)</f>
        <v>28.6874</v>
      </c>
      <c r="L828" s="11">
        <f>13.7524 * CHOOSE(CONTROL!$C$32, $C$9, 100%, $E$9)</f>
        <v>13.7524</v>
      </c>
      <c r="M828" s="11">
        <f>13.7561 * CHOOSE(CONTROL!$C$32, $C$9, 100%, $E$9)</f>
        <v>13.7561</v>
      </c>
      <c r="N828" s="11">
        <f>13.7524 * CHOOSE(CONTROL!$C$32, $C$9, 100%, $E$9)</f>
        <v>13.7524</v>
      </c>
      <c r="O828" s="11">
        <f>13.7561 * CHOOSE(CONTROL!$C$32, $C$9, 100%, $E$9)</f>
        <v>13.7561</v>
      </c>
    </row>
    <row r="829" spans="1:15" ht="15" x14ac:dyDescent="0.2">
      <c r="A829" s="13">
        <v>66081</v>
      </c>
      <c r="B829" s="9">
        <f>12.1887 * CHOOSE(CONTROL!$C$32, $C$9, 100%, $E$9)</f>
        <v>12.188700000000001</v>
      </c>
      <c r="C829" s="9">
        <f>12.1887 * CHOOSE(CONTROL!$C$32, $C$9, 100%, $E$9)</f>
        <v>12.188700000000001</v>
      </c>
      <c r="D829" s="9">
        <f>12.1898 * CHOOSE(CONTROL!$C$32, $C$9, 100%, $E$9)</f>
        <v>12.1898</v>
      </c>
      <c r="E829" s="11">
        <f>13.5621 * CHOOSE(CONTROL!$C$32, $C$9, 100%, $E$9)</f>
        <v>13.562099999999999</v>
      </c>
      <c r="F829" s="11">
        <f>13.5621 * CHOOSE(CONTROL!$C$32, $C$9, 100%, $E$9)</f>
        <v>13.562099999999999</v>
      </c>
      <c r="G829" s="11">
        <f>13.5657 * CHOOSE(CONTROL!$C$32, $C$9, 100%, $E$9)</f>
        <v>13.5657</v>
      </c>
      <c r="H829" s="11">
        <f>28.7436 * CHOOSE(CONTROL!$C$32, $C$9, 100%, $E$9)</f>
        <v>28.743600000000001</v>
      </c>
      <c r="I829" s="11">
        <f>28.7472 * CHOOSE(CONTROL!$C$32, $C$9, 100%, $E$9)</f>
        <v>28.747199999999999</v>
      </c>
      <c r="J829" s="11">
        <f>28.7436 * CHOOSE(CONTROL!$C$32, $C$9, 100%, $E$9)</f>
        <v>28.743600000000001</v>
      </c>
      <c r="K829" s="11">
        <f>28.7472 * CHOOSE(CONTROL!$C$32, $C$9, 100%, $E$9)</f>
        <v>28.747199999999999</v>
      </c>
      <c r="L829" s="11">
        <f>13.5621 * CHOOSE(CONTROL!$C$32, $C$9, 100%, $E$9)</f>
        <v>13.562099999999999</v>
      </c>
      <c r="M829" s="11">
        <f>13.5657 * CHOOSE(CONTROL!$C$32, $C$9, 100%, $E$9)</f>
        <v>13.5657</v>
      </c>
      <c r="N829" s="11">
        <f>13.5621 * CHOOSE(CONTROL!$C$32, $C$9, 100%, $E$9)</f>
        <v>13.562099999999999</v>
      </c>
      <c r="O829" s="11">
        <f>13.5657 * CHOOSE(CONTROL!$C$32, $C$9, 100%, $E$9)</f>
        <v>13.5657</v>
      </c>
    </row>
    <row r="830" spans="1:15" ht="15" x14ac:dyDescent="0.2">
      <c r="A830" s="13">
        <v>66112</v>
      </c>
      <c r="B830" s="9">
        <f>12.192 * CHOOSE(CONTROL!$C$32, $C$9, 100%, $E$9)</f>
        <v>12.192</v>
      </c>
      <c r="C830" s="9">
        <f>12.192 * CHOOSE(CONTROL!$C$32, $C$9, 100%, $E$9)</f>
        <v>12.192</v>
      </c>
      <c r="D830" s="9">
        <f>12.1931 * CHOOSE(CONTROL!$C$32, $C$9, 100%, $E$9)</f>
        <v>12.193099999999999</v>
      </c>
      <c r="E830" s="11">
        <f>13.7081 * CHOOSE(CONTROL!$C$32, $C$9, 100%, $E$9)</f>
        <v>13.7081</v>
      </c>
      <c r="F830" s="11">
        <f>13.7081 * CHOOSE(CONTROL!$C$32, $C$9, 100%, $E$9)</f>
        <v>13.7081</v>
      </c>
      <c r="G830" s="11">
        <f>13.7117 * CHOOSE(CONTROL!$C$32, $C$9, 100%, $E$9)</f>
        <v>13.7117</v>
      </c>
      <c r="H830" s="11">
        <f>28.5648 * CHOOSE(CONTROL!$C$32, $C$9, 100%, $E$9)</f>
        <v>28.564800000000002</v>
      </c>
      <c r="I830" s="11">
        <f>28.5684 * CHOOSE(CONTROL!$C$32, $C$9, 100%, $E$9)</f>
        <v>28.5684</v>
      </c>
      <c r="J830" s="11">
        <f>28.5648 * CHOOSE(CONTROL!$C$32, $C$9, 100%, $E$9)</f>
        <v>28.564800000000002</v>
      </c>
      <c r="K830" s="11">
        <f>28.5684 * CHOOSE(CONTROL!$C$32, $C$9, 100%, $E$9)</f>
        <v>28.5684</v>
      </c>
      <c r="L830" s="11">
        <f>13.7081 * CHOOSE(CONTROL!$C$32, $C$9, 100%, $E$9)</f>
        <v>13.7081</v>
      </c>
      <c r="M830" s="11">
        <f>13.7117 * CHOOSE(CONTROL!$C$32, $C$9, 100%, $E$9)</f>
        <v>13.7117</v>
      </c>
      <c r="N830" s="11">
        <f>13.7081 * CHOOSE(CONTROL!$C$32, $C$9, 100%, $E$9)</f>
        <v>13.7081</v>
      </c>
      <c r="O830" s="11">
        <f>13.7117 * CHOOSE(CONTROL!$C$32, $C$9, 100%, $E$9)</f>
        <v>13.7117</v>
      </c>
    </row>
    <row r="831" spans="1:15" ht="15" x14ac:dyDescent="0.2">
      <c r="A831" s="13">
        <v>66143</v>
      </c>
      <c r="B831" s="9">
        <f>12.189 * CHOOSE(CONTROL!$C$32, $C$9, 100%, $E$9)</f>
        <v>12.189</v>
      </c>
      <c r="C831" s="9">
        <f>12.189 * CHOOSE(CONTROL!$C$32, $C$9, 100%, $E$9)</f>
        <v>12.189</v>
      </c>
      <c r="D831" s="9">
        <f>12.19 * CHOOSE(CONTROL!$C$32, $C$9, 100%, $E$9)</f>
        <v>12.19</v>
      </c>
      <c r="E831" s="11">
        <f>13.3391 * CHOOSE(CONTROL!$C$32, $C$9, 100%, $E$9)</f>
        <v>13.3391</v>
      </c>
      <c r="F831" s="11">
        <f>13.3391 * CHOOSE(CONTROL!$C$32, $C$9, 100%, $E$9)</f>
        <v>13.3391</v>
      </c>
      <c r="G831" s="11">
        <f>13.3427 * CHOOSE(CONTROL!$C$32, $C$9, 100%, $E$9)</f>
        <v>13.342700000000001</v>
      </c>
      <c r="H831" s="11">
        <f>28.6243 * CHOOSE(CONTROL!$C$32, $C$9, 100%, $E$9)</f>
        <v>28.624300000000002</v>
      </c>
      <c r="I831" s="11">
        <f>28.628 * CHOOSE(CONTROL!$C$32, $C$9, 100%, $E$9)</f>
        <v>28.628</v>
      </c>
      <c r="J831" s="11">
        <f>28.6243 * CHOOSE(CONTROL!$C$32, $C$9, 100%, $E$9)</f>
        <v>28.624300000000002</v>
      </c>
      <c r="K831" s="11">
        <f>28.628 * CHOOSE(CONTROL!$C$32, $C$9, 100%, $E$9)</f>
        <v>28.628</v>
      </c>
      <c r="L831" s="11">
        <f>13.3391 * CHOOSE(CONTROL!$C$32, $C$9, 100%, $E$9)</f>
        <v>13.3391</v>
      </c>
      <c r="M831" s="11">
        <f>13.3427 * CHOOSE(CONTROL!$C$32, $C$9, 100%, $E$9)</f>
        <v>13.342700000000001</v>
      </c>
      <c r="N831" s="11">
        <f>13.3391 * CHOOSE(CONTROL!$C$32, $C$9, 100%, $E$9)</f>
        <v>13.3391</v>
      </c>
      <c r="O831" s="11">
        <f>13.3427 * CHOOSE(CONTROL!$C$32, $C$9, 100%, $E$9)</f>
        <v>13.342700000000001</v>
      </c>
    </row>
    <row r="832" spans="1:15" ht="15" x14ac:dyDescent="0.2">
      <c r="A832" s="13">
        <v>66171</v>
      </c>
      <c r="B832" s="9">
        <f>12.1859 * CHOOSE(CONTROL!$C$32, $C$9, 100%, $E$9)</f>
        <v>12.1859</v>
      </c>
      <c r="C832" s="9">
        <f>12.1859 * CHOOSE(CONTROL!$C$32, $C$9, 100%, $E$9)</f>
        <v>12.1859</v>
      </c>
      <c r="D832" s="9">
        <f>12.187 * CHOOSE(CONTROL!$C$32, $C$9, 100%, $E$9)</f>
        <v>12.186999999999999</v>
      </c>
      <c r="E832" s="11">
        <f>13.6262 * CHOOSE(CONTROL!$C$32, $C$9, 100%, $E$9)</f>
        <v>13.626200000000001</v>
      </c>
      <c r="F832" s="11">
        <f>13.6262 * CHOOSE(CONTROL!$C$32, $C$9, 100%, $E$9)</f>
        <v>13.626200000000001</v>
      </c>
      <c r="G832" s="11">
        <f>13.6298 * CHOOSE(CONTROL!$C$32, $C$9, 100%, $E$9)</f>
        <v>13.629799999999999</v>
      </c>
      <c r="H832" s="11">
        <f>28.684 * CHOOSE(CONTROL!$C$32, $C$9, 100%, $E$9)</f>
        <v>28.684000000000001</v>
      </c>
      <c r="I832" s="11">
        <f>28.6876 * CHOOSE(CONTROL!$C$32, $C$9, 100%, $E$9)</f>
        <v>28.6876</v>
      </c>
      <c r="J832" s="11">
        <f>28.684 * CHOOSE(CONTROL!$C$32, $C$9, 100%, $E$9)</f>
        <v>28.684000000000001</v>
      </c>
      <c r="K832" s="11">
        <f>28.6876 * CHOOSE(CONTROL!$C$32, $C$9, 100%, $E$9)</f>
        <v>28.6876</v>
      </c>
      <c r="L832" s="11">
        <f>13.6262 * CHOOSE(CONTROL!$C$32, $C$9, 100%, $E$9)</f>
        <v>13.626200000000001</v>
      </c>
      <c r="M832" s="11">
        <f>13.6298 * CHOOSE(CONTROL!$C$32, $C$9, 100%, $E$9)</f>
        <v>13.629799999999999</v>
      </c>
      <c r="N832" s="11">
        <f>13.6262 * CHOOSE(CONTROL!$C$32, $C$9, 100%, $E$9)</f>
        <v>13.626200000000001</v>
      </c>
      <c r="O832" s="11">
        <f>13.6298 * CHOOSE(CONTROL!$C$32, $C$9, 100%, $E$9)</f>
        <v>13.629799999999999</v>
      </c>
    </row>
    <row r="833" spans="1:15" ht="15" x14ac:dyDescent="0.2">
      <c r="A833" s="13">
        <v>66202</v>
      </c>
      <c r="B833" s="9">
        <f>12.1915 * CHOOSE(CONTROL!$C$32, $C$9, 100%, $E$9)</f>
        <v>12.1915</v>
      </c>
      <c r="C833" s="9">
        <f>12.1915 * CHOOSE(CONTROL!$C$32, $C$9, 100%, $E$9)</f>
        <v>12.1915</v>
      </c>
      <c r="D833" s="9">
        <f>12.1926 * CHOOSE(CONTROL!$C$32, $C$9, 100%, $E$9)</f>
        <v>12.192600000000001</v>
      </c>
      <c r="E833" s="11">
        <f>13.9325 * CHOOSE(CONTROL!$C$32, $C$9, 100%, $E$9)</f>
        <v>13.932499999999999</v>
      </c>
      <c r="F833" s="11">
        <f>13.9325 * CHOOSE(CONTROL!$C$32, $C$9, 100%, $E$9)</f>
        <v>13.932499999999999</v>
      </c>
      <c r="G833" s="11">
        <f>13.9361 * CHOOSE(CONTROL!$C$32, $C$9, 100%, $E$9)</f>
        <v>13.9361</v>
      </c>
      <c r="H833" s="11">
        <f>28.7437 * CHOOSE(CONTROL!$C$32, $C$9, 100%, $E$9)</f>
        <v>28.7437</v>
      </c>
      <c r="I833" s="11">
        <f>28.7473 * CHOOSE(CONTROL!$C$32, $C$9, 100%, $E$9)</f>
        <v>28.747299999999999</v>
      </c>
      <c r="J833" s="11">
        <f>28.7437 * CHOOSE(CONTROL!$C$32, $C$9, 100%, $E$9)</f>
        <v>28.7437</v>
      </c>
      <c r="K833" s="11">
        <f>28.7473 * CHOOSE(CONTROL!$C$32, $C$9, 100%, $E$9)</f>
        <v>28.747299999999999</v>
      </c>
      <c r="L833" s="11">
        <f>13.9325 * CHOOSE(CONTROL!$C$32, $C$9, 100%, $E$9)</f>
        <v>13.932499999999999</v>
      </c>
      <c r="M833" s="11">
        <f>13.9361 * CHOOSE(CONTROL!$C$32, $C$9, 100%, $E$9)</f>
        <v>13.9361</v>
      </c>
      <c r="N833" s="11">
        <f>13.9325 * CHOOSE(CONTROL!$C$32, $C$9, 100%, $E$9)</f>
        <v>13.932499999999999</v>
      </c>
      <c r="O833" s="11">
        <f>13.9361 * CHOOSE(CONTROL!$C$32, $C$9, 100%, $E$9)</f>
        <v>13.9361</v>
      </c>
    </row>
    <row r="834" spans="1:15" ht="15" x14ac:dyDescent="0.2">
      <c r="A834" s="13">
        <v>66232</v>
      </c>
      <c r="B834" s="9">
        <f>12.1915 * CHOOSE(CONTROL!$C$32, $C$9, 100%, $E$9)</f>
        <v>12.1915</v>
      </c>
      <c r="C834" s="9">
        <f>12.1915 * CHOOSE(CONTROL!$C$32, $C$9, 100%, $E$9)</f>
        <v>12.1915</v>
      </c>
      <c r="D834" s="9">
        <f>12.1931 * CHOOSE(CONTROL!$C$32, $C$9, 100%, $E$9)</f>
        <v>12.193099999999999</v>
      </c>
      <c r="E834" s="11">
        <f>14.049 * CHOOSE(CONTROL!$C$32, $C$9, 100%, $E$9)</f>
        <v>14.048999999999999</v>
      </c>
      <c r="F834" s="11">
        <f>14.049 * CHOOSE(CONTROL!$C$32, $C$9, 100%, $E$9)</f>
        <v>14.048999999999999</v>
      </c>
      <c r="G834" s="11">
        <f>14.0543 * CHOOSE(CONTROL!$C$32, $C$9, 100%, $E$9)</f>
        <v>14.0543</v>
      </c>
      <c r="H834" s="11">
        <f>28.8036 * CHOOSE(CONTROL!$C$32, $C$9, 100%, $E$9)</f>
        <v>28.803599999999999</v>
      </c>
      <c r="I834" s="11">
        <f>28.8089 * CHOOSE(CONTROL!$C$32, $C$9, 100%, $E$9)</f>
        <v>28.808900000000001</v>
      </c>
      <c r="J834" s="11">
        <f>28.8036 * CHOOSE(CONTROL!$C$32, $C$9, 100%, $E$9)</f>
        <v>28.803599999999999</v>
      </c>
      <c r="K834" s="11">
        <f>28.8089 * CHOOSE(CONTROL!$C$32, $C$9, 100%, $E$9)</f>
        <v>28.808900000000001</v>
      </c>
      <c r="L834" s="11">
        <f>14.049 * CHOOSE(CONTROL!$C$32, $C$9, 100%, $E$9)</f>
        <v>14.048999999999999</v>
      </c>
      <c r="M834" s="11">
        <f>14.0543 * CHOOSE(CONTROL!$C$32, $C$9, 100%, $E$9)</f>
        <v>14.0543</v>
      </c>
      <c r="N834" s="11">
        <f>14.049 * CHOOSE(CONTROL!$C$32, $C$9, 100%, $E$9)</f>
        <v>14.048999999999999</v>
      </c>
      <c r="O834" s="11">
        <f>14.0543 * CHOOSE(CONTROL!$C$32, $C$9, 100%, $E$9)</f>
        <v>14.0543</v>
      </c>
    </row>
    <row r="835" spans="1:15" ht="15" x14ac:dyDescent="0.2">
      <c r="A835" s="13">
        <v>66263</v>
      </c>
      <c r="B835" s="9">
        <f>12.1976 * CHOOSE(CONTROL!$C$32, $C$9, 100%, $E$9)</f>
        <v>12.1976</v>
      </c>
      <c r="C835" s="9">
        <f>12.1976 * CHOOSE(CONTROL!$C$32, $C$9, 100%, $E$9)</f>
        <v>12.1976</v>
      </c>
      <c r="D835" s="9">
        <f>12.1992 * CHOOSE(CONTROL!$C$32, $C$9, 100%, $E$9)</f>
        <v>12.199199999999999</v>
      </c>
      <c r="E835" s="11">
        <f>13.9368 * CHOOSE(CONTROL!$C$32, $C$9, 100%, $E$9)</f>
        <v>13.9368</v>
      </c>
      <c r="F835" s="11">
        <f>13.9368 * CHOOSE(CONTROL!$C$32, $C$9, 100%, $E$9)</f>
        <v>13.9368</v>
      </c>
      <c r="G835" s="11">
        <f>13.9421 * CHOOSE(CONTROL!$C$32, $C$9, 100%, $E$9)</f>
        <v>13.9421</v>
      </c>
      <c r="H835" s="11">
        <f>28.8636 * CHOOSE(CONTROL!$C$32, $C$9, 100%, $E$9)</f>
        <v>28.863600000000002</v>
      </c>
      <c r="I835" s="11">
        <f>28.8689 * CHOOSE(CONTROL!$C$32, $C$9, 100%, $E$9)</f>
        <v>28.8689</v>
      </c>
      <c r="J835" s="11">
        <f>28.8636 * CHOOSE(CONTROL!$C$32, $C$9, 100%, $E$9)</f>
        <v>28.863600000000002</v>
      </c>
      <c r="K835" s="11">
        <f>28.8689 * CHOOSE(CONTROL!$C$32, $C$9, 100%, $E$9)</f>
        <v>28.8689</v>
      </c>
      <c r="L835" s="11">
        <f>13.9368 * CHOOSE(CONTROL!$C$32, $C$9, 100%, $E$9)</f>
        <v>13.9368</v>
      </c>
      <c r="M835" s="11">
        <f>13.9421 * CHOOSE(CONTROL!$C$32, $C$9, 100%, $E$9)</f>
        <v>13.9421</v>
      </c>
      <c r="N835" s="11">
        <f>13.9368 * CHOOSE(CONTROL!$C$32, $C$9, 100%, $E$9)</f>
        <v>13.9368</v>
      </c>
      <c r="O835" s="11">
        <f>13.9421 * CHOOSE(CONTROL!$C$32, $C$9, 100%, $E$9)</f>
        <v>13.9421</v>
      </c>
    </row>
    <row r="836" spans="1:15" ht="15" x14ac:dyDescent="0.2">
      <c r="A836" s="13">
        <v>66293</v>
      </c>
      <c r="B836" s="9">
        <f>12.3461 * CHOOSE(CONTROL!$C$32, $C$9, 100%, $E$9)</f>
        <v>12.3461</v>
      </c>
      <c r="C836" s="9">
        <f>12.3461 * CHOOSE(CONTROL!$C$32, $C$9, 100%, $E$9)</f>
        <v>12.3461</v>
      </c>
      <c r="D836" s="9">
        <f>12.3477 * CHOOSE(CONTROL!$C$32, $C$9, 100%, $E$9)</f>
        <v>12.3477</v>
      </c>
      <c r="E836" s="11">
        <f>14.1337 * CHOOSE(CONTROL!$C$32, $C$9, 100%, $E$9)</f>
        <v>14.133699999999999</v>
      </c>
      <c r="F836" s="11">
        <f>14.1337 * CHOOSE(CONTROL!$C$32, $C$9, 100%, $E$9)</f>
        <v>14.133699999999999</v>
      </c>
      <c r="G836" s="11">
        <f>14.139 * CHOOSE(CONTROL!$C$32, $C$9, 100%, $E$9)</f>
        <v>14.138999999999999</v>
      </c>
      <c r="H836" s="11">
        <f>28.9238 * CHOOSE(CONTROL!$C$32, $C$9, 100%, $E$9)</f>
        <v>28.9238</v>
      </c>
      <c r="I836" s="11">
        <f>28.929 * CHOOSE(CONTROL!$C$32, $C$9, 100%, $E$9)</f>
        <v>28.928999999999998</v>
      </c>
      <c r="J836" s="11">
        <f>28.9238 * CHOOSE(CONTROL!$C$32, $C$9, 100%, $E$9)</f>
        <v>28.9238</v>
      </c>
      <c r="K836" s="11">
        <f>28.929 * CHOOSE(CONTROL!$C$32, $C$9, 100%, $E$9)</f>
        <v>28.928999999999998</v>
      </c>
      <c r="L836" s="11">
        <f>14.1337 * CHOOSE(CONTROL!$C$32, $C$9, 100%, $E$9)</f>
        <v>14.133699999999999</v>
      </c>
      <c r="M836" s="11">
        <f>14.139 * CHOOSE(CONTROL!$C$32, $C$9, 100%, $E$9)</f>
        <v>14.138999999999999</v>
      </c>
      <c r="N836" s="11">
        <f>14.1337 * CHOOSE(CONTROL!$C$32, $C$9, 100%, $E$9)</f>
        <v>14.133699999999999</v>
      </c>
      <c r="O836" s="11">
        <f>14.139 * CHOOSE(CONTROL!$C$32, $C$9, 100%, $E$9)</f>
        <v>14.138999999999999</v>
      </c>
    </row>
    <row r="837" spans="1:15" ht="15" x14ac:dyDescent="0.2">
      <c r="A837" s="13">
        <v>66324</v>
      </c>
      <c r="B837" s="9">
        <f>12.3528 * CHOOSE(CONTROL!$C$32, $C$9, 100%, $E$9)</f>
        <v>12.3528</v>
      </c>
      <c r="C837" s="9">
        <f>12.3528 * CHOOSE(CONTROL!$C$32, $C$9, 100%, $E$9)</f>
        <v>12.3528</v>
      </c>
      <c r="D837" s="9">
        <f>12.3544 * CHOOSE(CONTROL!$C$32, $C$9, 100%, $E$9)</f>
        <v>12.3544</v>
      </c>
      <c r="E837" s="11">
        <f>13.7889 * CHOOSE(CONTROL!$C$32, $C$9, 100%, $E$9)</f>
        <v>13.7889</v>
      </c>
      <c r="F837" s="11">
        <f>13.7889 * CHOOSE(CONTROL!$C$32, $C$9, 100%, $E$9)</f>
        <v>13.7889</v>
      </c>
      <c r="G837" s="11">
        <f>13.7942 * CHOOSE(CONTROL!$C$32, $C$9, 100%, $E$9)</f>
        <v>13.7942</v>
      </c>
      <c r="H837" s="11">
        <f>28.984 * CHOOSE(CONTROL!$C$32, $C$9, 100%, $E$9)</f>
        <v>28.984000000000002</v>
      </c>
      <c r="I837" s="11">
        <f>28.9893 * CHOOSE(CONTROL!$C$32, $C$9, 100%, $E$9)</f>
        <v>28.9893</v>
      </c>
      <c r="J837" s="11">
        <f>28.984 * CHOOSE(CONTROL!$C$32, $C$9, 100%, $E$9)</f>
        <v>28.984000000000002</v>
      </c>
      <c r="K837" s="11">
        <f>28.9893 * CHOOSE(CONTROL!$C$32, $C$9, 100%, $E$9)</f>
        <v>28.9893</v>
      </c>
      <c r="L837" s="11">
        <f>13.7889 * CHOOSE(CONTROL!$C$32, $C$9, 100%, $E$9)</f>
        <v>13.7889</v>
      </c>
      <c r="M837" s="11">
        <f>13.7942 * CHOOSE(CONTROL!$C$32, $C$9, 100%, $E$9)</f>
        <v>13.7942</v>
      </c>
      <c r="N837" s="11">
        <f>13.7889 * CHOOSE(CONTROL!$C$32, $C$9, 100%, $E$9)</f>
        <v>13.7889</v>
      </c>
      <c r="O837" s="11">
        <f>13.7942 * CHOOSE(CONTROL!$C$32, $C$9, 100%, $E$9)</f>
        <v>13.7942</v>
      </c>
    </row>
    <row r="838" spans="1:15" ht="15" x14ac:dyDescent="0.2">
      <c r="A838" s="13">
        <v>66355</v>
      </c>
      <c r="B838" s="9">
        <f>12.3497 * CHOOSE(CONTROL!$C$32, $C$9, 100%, $E$9)</f>
        <v>12.3497</v>
      </c>
      <c r="C838" s="9">
        <f>12.3497 * CHOOSE(CONTROL!$C$32, $C$9, 100%, $E$9)</f>
        <v>12.3497</v>
      </c>
      <c r="D838" s="9">
        <f>12.3513 * CHOOSE(CONTROL!$C$32, $C$9, 100%, $E$9)</f>
        <v>12.3513</v>
      </c>
      <c r="E838" s="11">
        <f>13.748 * CHOOSE(CONTROL!$C$32, $C$9, 100%, $E$9)</f>
        <v>13.747999999999999</v>
      </c>
      <c r="F838" s="11">
        <f>13.748 * CHOOSE(CONTROL!$C$32, $C$9, 100%, $E$9)</f>
        <v>13.747999999999999</v>
      </c>
      <c r="G838" s="11">
        <f>13.7533 * CHOOSE(CONTROL!$C$32, $C$9, 100%, $E$9)</f>
        <v>13.753299999999999</v>
      </c>
      <c r="H838" s="11">
        <f>29.0444 * CHOOSE(CONTROL!$C$32, $C$9, 100%, $E$9)</f>
        <v>29.0444</v>
      </c>
      <c r="I838" s="11">
        <f>29.0497 * CHOOSE(CONTROL!$C$32, $C$9, 100%, $E$9)</f>
        <v>29.049700000000001</v>
      </c>
      <c r="J838" s="11">
        <f>29.0444 * CHOOSE(CONTROL!$C$32, $C$9, 100%, $E$9)</f>
        <v>29.0444</v>
      </c>
      <c r="K838" s="11">
        <f>29.0497 * CHOOSE(CONTROL!$C$32, $C$9, 100%, $E$9)</f>
        <v>29.049700000000001</v>
      </c>
      <c r="L838" s="11">
        <f>13.748 * CHOOSE(CONTROL!$C$32, $C$9, 100%, $E$9)</f>
        <v>13.747999999999999</v>
      </c>
      <c r="M838" s="11">
        <f>13.7533 * CHOOSE(CONTROL!$C$32, $C$9, 100%, $E$9)</f>
        <v>13.753299999999999</v>
      </c>
      <c r="N838" s="11">
        <f>13.748 * CHOOSE(CONTROL!$C$32, $C$9, 100%, $E$9)</f>
        <v>13.747999999999999</v>
      </c>
      <c r="O838" s="11">
        <f>13.7533 * CHOOSE(CONTROL!$C$32, $C$9, 100%, $E$9)</f>
        <v>13.753299999999999</v>
      </c>
    </row>
    <row r="839" spans="1:15" ht="15" x14ac:dyDescent="0.2">
      <c r="A839" s="13">
        <v>66385</v>
      </c>
      <c r="B839" s="9">
        <f>12.376 * CHOOSE(CONTROL!$C$32, $C$9, 100%, $E$9)</f>
        <v>12.375999999999999</v>
      </c>
      <c r="C839" s="9">
        <f>12.376 * CHOOSE(CONTROL!$C$32, $C$9, 100%, $E$9)</f>
        <v>12.375999999999999</v>
      </c>
      <c r="D839" s="9">
        <f>12.3771 * CHOOSE(CONTROL!$C$32, $C$9, 100%, $E$9)</f>
        <v>12.3771</v>
      </c>
      <c r="E839" s="11">
        <f>13.8899 * CHOOSE(CONTROL!$C$32, $C$9, 100%, $E$9)</f>
        <v>13.889900000000001</v>
      </c>
      <c r="F839" s="11">
        <f>13.8899 * CHOOSE(CONTROL!$C$32, $C$9, 100%, $E$9)</f>
        <v>13.889900000000001</v>
      </c>
      <c r="G839" s="11">
        <f>13.8935 * CHOOSE(CONTROL!$C$32, $C$9, 100%, $E$9)</f>
        <v>13.8935</v>
      </c>
      <c r="H839" s="11">
        <f>29.1049 * CHOOSE(CONTROL!$C$32, $C$9, 100%, $E$9)</f>
        <v>29.104900000000001</v>
      </c>
      <c r="I839" s="11">
        <f>29.1085 * CHOOSE(CONTROL!$C$32, $C$9, 100%, $E$9)</f>
        <v>29.108499999999999</v>
      </c>
      <c r="J839" s="11">
        <f>29.1049 * CHOOSE(CONTROL!$C$32, $C$9, 100%, $E$9)</f>
        <v>29.104900000000001</v>
      </c>
      <c r="K839" s="11">
        <f>29.1085 * CHOOSE(CONTROL!$C$32, $C$9, 100%, $E$9)</f>
        <v>29.108499999999999</v>
      </c>
      <c r="L839" s="11">
        <f>13.8899 * CHOOSE(CONTROL!$C$32, $C$9, 100%, $E$9)</f>
        <v>13.889900000000001</v>
      </c>
      <c r="M839" s="11">
        <f>13.8935 * CHOOSE(CONTROL!$C$32, $C$9, 100%, $E$9)</f>
        <v>13.8935</v>
      </c>
      <c r="N839" s="11">
        <f>13.8899 * CHOOSE(CONTROL!$C$32, $C$9, 100%, $E$9)</f>
        <v>13.889900000000001</v>
      </c>
      <c r="O839" s="11">
        <f>13.8935 * CHOOSE(CONTROL!$C$32, $C$9, 100%, $E$9)</f>
        <v>13.8935</v>
      </c>
    </row>
    <row r="840" spans="1:15" ht="15" x14ac:dyDescent="0.2">
      <c r="A840" s="13">
        <v>66416</v>
      </c>
      <c r="B840" s="9">
        <f>12.379 * CHOOSE(CONTROL!$C$32, $C$9, 100%, $E$9)</f>
        <v>12.379</v>
      </c>
      <c r="C840" s="9">
        <f>12.379 * CHOOSE(CONTROL!$C$32, $C$9, 100%, $E$9)</f>
        <v>12.379</v>
      </c>
      <c r="D840" s="9">
        <f>12.3801 * CHOOSE(CONTROL!$C$32, $C$9, 100%, $E$9)</f>
        <v>12.380100000000001</v>
      </c>
      <c r="E840" s="11">
        <f>13.9696 * CHOOSE(CONTROL!$C$32, $C$9, 100%, $E$9)</f>
        <v>13.9696</v>
      </c>
      <c r="F840" s="11">
        <f>13.9696 * CHOOSE(CONTROL!$C$32, $C$9, 100%, $E$9)</f>
        <v>13.9696</v>
      </c>
      <c r="G840" s="11">
        <f>13.9732 * CHOOSE(CONTROL!$C$32, $C$9, 100%, $E$9)</f>
        <v>13.9732</v>
      </c>
      <c r="H840" s="11">
        <f>29.1655 * CHOOSE(CONTROL!$C$32, $C$9, 100%, $E$9)</f>
        <v>29.165500000000002</v>
      </c>
      <c r="I840" s="11">
        <f>29.1692 * CHOOSE(CONTROL!$C$32, $C$9, 100%, $E$9)</f>
        <v>29.1692</v>
      </c>
      <c r="J840" s="11">
        <f>29.1655 * CHOOSE(CONTROL!$C$32, $C$9, 100%, $E$9)</f>
        <v>29.165500000000002</v>
      </c>
      <c r="K840" s="11">
        <f>29.1692 * CHOOSE(CONTROL!$C$32, $C$9, 100%, $E$9)</f>
        <v>29.1692</v>
      </c>
      <c r="L840" s="11">
        <f>13.9696 * CHOOSE(CONTROL!$C$32, $C$9, 100%, $E$9)</f>
        <v>13.9696</v>
      </c>
      <c r="M840" s="11">
        <f>13.9732 * CHOOSE(CONTROL!$C$32, $C$9, 100%, $E$9)</f>
        <v>13.9732</v>
      </c>
      <c r="N840" s="11">
        <f>13.9696 * CHOOSE(CONTROL!$C$32, $C$9, 100%, $E$9)</f>
        <v>13.9696</v>
      </c>
      <c r="O840" s="11">
        <f>13.9732 * CHOOSE(CONTROL!$C$32, $C$9, 100%, $E$9)</f>
        <v>13.9732</v>
      </c>
    </row>
    <row r="841" spans="1:15" ht="15" x14ac:dyDescent="0.2">
      <c r="A841" s="13">
        <v>66446</v>
      </c>
      <c r="B841" s="9">
        <f>12.379 * CHOOSE(CONTROL!$C$32, $C$9, 100%, $E$9)</f>
        <v>12.379</v>
      </c>
      <c r="C841" s="9">
        <f>12.379 * CHOOSE(CONTROL!$C$32, $C$9, 100%, $E$9)</f>
        <v>12.379</v>
      </c>
      <c r="D841" s="9">
        <f>12.3801 * CHOOSE(CONTROL!$C$32, $C$9, 100%, $E$9)</f>
        <v>12.380100000000001</v>
      </c>
      <c r="E841" s="11">
        <f>13.7755 * CHOOSE(CONTROL!$C$32, $C$9, 100%, $E$9)</f>
        <v>13.775499999999999</v>
      </c>
      <c r="F841" s="11">
        <f>13.7755 * CHOOSE(CONTROL!$C$32, $C$9, 100%, $E$9)</f>
        <v>13.775499999999999</v>
      </c>
      <c r="G841" s="11">
        <f>13.7791 * CHOOSE(CONTROL!$C$32, $C$9, 100%, $E$9)</f>
        <v>13.7791</v>
      </c>
      <c r="H841" s="11">
        <f>29.2263 * CHOOSE(CONTROL!$C$32, $C$9, 100%, $E$9)</f>
        <v>29.226299999999998</v>
      </c>
      <c r="I841" s="11">
        <f>29.2299 * CHOOSE(CONTROL!$C$32, $C$9, 100%, $E$9)</f>
        <v>29.229900000000001</v>
      </c>
      <c r="J841" s="11">
        <f>29.2263 * CHOOSE(CONTROL!$C$32, $C$9, 100%, $E$9)</f>
        <v>29.226299999999998</v>
      </c>
      <c r="K841" s="11">
        <f>29.2299 * CHOOSE(CONTROL!$C$32, $C$9, 100%, $E$9)</f>
        <v>29.229900000000001</v>
      </c>
      <c r="L841" s="11">
        <f>13.7755 * CHOOSE(CONTROL!$C$32, $C$9, 100%, $E$9)</f>
        <v>13.775499999999999</v>
      </c>
      <c r="M841" s="11">
        <f>13.7791 * CHOOSE(CONTROL!$C$32, $C$9, 100%, $E$9)</f>
        <v>13.7791</v>
      </c>
      <c r="N841" s="11">
        <f>13.7755 * CHOOSE(CONTROL!$C$32, $C$9, 100%, $E$9)</f>
        <v>13.775499999999999</v>
      </c>
      <c r="O841" s="11">
        <f>13.7791 * CHOOSE(CONTROL!$C$32, $C$9, 100%, $E$9)</f>
        <v>13.7791</v>
      </c>
    </row>
    <row r="842" spans="1:15" ht="15" x14ac:dyDescent="0.2">
      <c r="A842" s="13">
        <v>66477</v>
      </c>
      <c r="B842" s="9">
        <f>12.3794 * CHOOSE(CONTROL!$C$32, $C$9, 100%, $E$9)</f>
        <v>12.3794</v>
      </c>
      <c r="C842" s="9">
        <f>12.3794 * CHOOSE(CONTROL!$C$32, $C$9, 100%, $E$9)</f>
        <v>12.3794</v>
      </c>
      <c r="D842" s="9">
        <f>12.3804 * CHOOSE(CONTROL!$C$32, $C$9, 100%, $E$9)</f>
        <v>12.3804</v>
      </c>
      <c r="E842" s="11">
        <f>13.9206 * CHOOSE(CONTROL!$C$32, $C$9, 100%, $E$9)</f>
        <v>13.9206</v>
      </c>
      <c r="F842" s="11">
        <f>13.9206 * CHOOSE(CONTROL!$C$32, $C$9, 100%, $E$9)</f>
        <v>13.9206</v>
      </c>
      <c r="G842" s="11">
        <f>13.9242 * CHOOSE(CONTROL!$C$32, $C$9, 100%, $E$9)</f>
        <v>13.924200000000001</v>
      </c>
      <c r="H842" s="11">
        <f>29.0366 * CHOOSE(CONTROL!$C$32, $C$9, 100%, $E$9)</f>
        <v>29.0366</v>
      </c>
      <c r="I842" s="11">
        <f>29.0402 * CHOOSE(CONTROL!$C$32, $C$9, 100%, $E$9)</f>
        <v>29.040199999999999</v>
      </c>
      <c r="J842" s="11">
        <f>29.0366 * CHOOSE(CONTROL!$C$32, $C$9, 100%, $E$9)</f>
        <v>29.0366</v>
      </c>
      <c r="K842" s="11">
        <f>29.0402 * CHOOSE(CONTROL!$C$32, $C$9, 100%, $E$9)</f>
        <v>29.040199999999999</v>
      </c>
      <c r="L842" s="11">
        <f>13.9206 * CHOOSE(CONTROL!$C$32, $C$9, 100%, $E$9)</f>
        <v>13.9206</v>
      </c>
      <c r="M842" s="11">
        <f>13.9242 * CHOOSE(CONTROL!$C$32, $C$9, 100%, $E$9)</f>
        <v>13.924200000000001</v>
      </c>
      <c r="N842" s="11">
        <f>13.9206 * CHOOSE(CONTROL!$C$32, $C$9, 100%, $E$9)</f>
        <v>13.9206</v>
      </c>
      <c r="O842" s="11">
        <f>13.9242 * CHOOSE(CONTROL!$C$32, $C$9, 100%, $E$9)</f>
        <v>13.924200000000001</v>
      </c>
    </row>
    <row r="843" spans="1:15" ht="15" x14ac:dyDescent="0.2">
      <c r="A843" s="13">
        <v>66508</v>
      </c>
      <c r="B843" s="9">
        <f>12.3763 * CHOOSE(CONTROL!$C$32, $C$9, 100%, $E$9)</f>
        <v>12.376300000000001</v>
      </c>
      <c r="C843" s="9">
        <f>12.3763 * CHOOSE(CONTROL!$C$32, $C$9, 100%, $E$9)</f>
        <v>12.376300000000001</v>
      </c>
      <c r="D843" s="9">
        <f>12.3774 * CHOOSE(CONTROL!$C$32, $C$9, 100%, $E$9)</f>
        <v>12.3774</v>
      </c>
      <c r="E843" s="11">
        <f>13.5445 * CHOOSE(CONTROL!$C$32, $C$9, 100%, $E$9)</f>
        <v>13.544499999999999</v>
      </c>
      <c r="F843" s="11">
        <f>13.5445 * CHOOSE(CONTROL!$C$32, $C$9, 100%, $E$9)</f>
        <v>13.544499999999999</v>
      </c>
      <c r="G843" s="11">
        <f>13.5481 * CHOOSE(CONTROL!$C$32, $C$9, 100%, $E$9)</f>
        <v>13.5481</v>
      </c>
      <c r="H843" s="11">
        <f>29.0971 * CHOOSE(CONTROL!$C$32, $C$9, 100%, $E$9)</f>
        <v>29.097100000000001</v>
      </c>
      <c r="I843" s="11">
        <f>29.1007 * CHOOSE(CONTROL!$C$32, $C$9, 100%, $E$9)</f>
        <v>29.1007</v>
      </c>
      <c r="J843" s="11">
        <f>29.0971 * CHOOSE(CONTROL!$C$32, $C$9, 100%, $E$9)</f>
        <v>29.097100000000001</v>
      </c>
      <c r="K843" s="11">
        <f>29.1007 * CHOOSE(CONTROL!$C$32, $C$9, 100%, $E$9)</f>
        <v>29.1007</v>
      </c>
      <c r="L843" s="11">
        <f>13.5445 * CHOOSE(CONTROL!$C$32, $C$9, 100%, $E$9)</f>
        <v>13.544499999999999</v>
      </c>
      <c r="M843" s="11">
        <f>13.5481 * CHOOSE(CONTROL!$C$32, $C$9, 100%, $E$9)</f>
        <v>13.5481</v>
      </c>
      <c r="N843" s="11">
        <f>13.5445 * CHOOSE(CONTROL!$C$32, $C$9, 100%, $E$9)</f>
        <v>13.544499999999999</v>
      </c>
      <c r="O843" s="11">
        <f>13.5481 * CHOOSE(CONTROL!$C$32, $C$9, 100%, $E$9)</f>
        <v>13.5481</v>
      </c>
    </row>
    <row r="844" spans="1:15" ht="15" x14ac:dyDescent="0.2">
      <c r="A844" s="13">
        <v>66536</v>
      </c>
      <c r="B844" s="9">
        <f>12.3733 * CHOOSE(CONTROL!$C$32, $C$9, 100%, $E$9)</f>
        <v>12.3733</v>
      </c>
      <c r="C844" s="9">
        <f>12.3733 * CHOOSE(CONTROL!$C$32, $C$9, 100%, $E$9)</f>
        <v>12.3733</v>
      </c>
      <c r="D844" s="9">
        <f>12.3744 * CHOOSE(CONTROL!$C$32, $C$9, 100%, $E$9)</f>
        <v>12.3744</v>
      </c>
      <c r="E844" s="11">
        <f>13.8372 * CHOOSE(CONTROL!$C$32, $C$9, 100%, $E$9)</f>
        <v>13.837199999999999</v>
      </c>
      <c r="F844" s="11">
        <f>13.8372 * CHOOSE(CONTROL!$C$32, $C$9, 100%, $E$9)</f>
        <v>13.837199999999999</v>
      </c>
      <c r="G844" s="11">
        <f>13.8408 * CHOOSE(CONTROL!$C$32, $C$9, 100%, $E$9)</f>
        <v>13.8408</v>
      </c>
      <c r="H844" s="11">
        <f>29.1577 * CHOOSE(CONTROL!$C$32, $C$9, 100%, $E$9)</f>
        <v>29.157699999999998</v>
      </c>
      <c r="I844" s="11">
        <f>29.1614 * CHOOSE(CONTROL!$C$32, $C$9, 100%, $E$9)</f>
        <v>29.1614</v>
      </c>
      <c r="J844" s="11">
        <f>29.1577 * CHOOSE(CONTROL!$C$32, $C$9, 100%, $E$9)</f>
        <v>29.157699999999998</v>
      </c>
      <c r="K844" s="11">
        <f>29.1614 * CHOOSE(CONTROL!$C$32, $C$9, 100%, $E$9)</f>
        <v>29.1614</v>
      </c>
      <c r="L844" s="11">
        <f>13.8372 * CHOOSE(CONTROL!$C$32, $C$9, 100%, $E$9)</f>
        <v>13.837199999999999</v>
      </c>
      <c r="M844" s="11">
        <f>13.8408 * CHOOSE(CONTROL!$C$32, $C$9, 100%, $E$9)</f>
        <v>13.8408</v>
      </c>
      <c r="N844" s="11">
        <f>13.8372 * CHOOSE(CONTROL!$C$32, $C$9, 100%, $E$9)</f>
        <v>13.837199999999999</v>
      </c>
      <c r="O844" s="11">
        <f>13.8408 * CHOOSE(CONTROL!$C$32, $C$9, 100%, $E$9)</f>
        <v>13.8408</v>
      </c>
    </row>
    <row r="845" spans="1:15" ht="15" x14ac:dyDescent="0.2">
      <c r="A845" s="13">
        <v>66567</v>
      </c>
      <c r="B845" s="9">
        <f>12.3791 * CHOOSE(CONTROL!$C$32, $C$9, 100%, $E$9)</f>
        <v>12.379099999999999</v>
      </c>
      <c r="C845" s="9">
        <f>12.3791 * CHOOSE(CONTROL!$C$32, $C$9, 100%, $E$9)</f>
        <v>12.379099999999999</v>
      </c>
      <c r="D845" s="9">
        <f>12.3801 * CHOOSE(CONTROL!$C$32, $C$9, 100%, $E$9)</f>
        <v>12.380100000000001</v>
      </c>
      <c r="E845" s="11">
        <f>14.1495 * CHOOSE(CONTROL!$C$32, $C$9, 100%, $E$9)</f>
        <v>14.1495</v>
      </c>
      <c r="F845" s="11">
        <f>14.1495 * CHOOSE(CONTROL!$C$32, $C$9, 100%, $E$9)</f>
        <v>14.1495</v>
      </c>
      <c r="G845" s="11">
        <f>14.1532 * CHOOSE(CONTROL!$C$32, $C$9, 100%, $E$9)</f>
        <v>14.1532</v>
      </c>
      <c r="H845" s="11">
        <f>29.2185 * CHOOSE(CONTROL!$C$32, $C$9, 100%, $E$9)</f>
        <v>29.218499999999999</v>
      </c>
      <c r="I845" s="11">
        <f>29.2221 * CHOOSE(CONTROL!$C$32, $C$9, 100%, $E$9)</f>
        <v>29.222100000000001</v>
      </c>
      <c r="J845" s="11">
        <f>29.2185 * CHOOSE(CONTROL!$C$32, $C$9, 100%, $E$9)</f>
        <v>29.218499999999999</v>
      </c>
      <c r="K845" s="11">
        <f>29.2221 * CHOOSE(CONTROL!$C$32, $C$9, 100%, $E$9)</f>
        <v>29.222100000000001</v>
      </c>
      <c r="L845" s="11">
        <f>14.1495 * CHOOSE(CONTROL!$C$32, $C$9, 100%, $E$9)</f>
        <v>14.1495</v>
      </c>
      <c r="M845" s="11">
        <f>14.1532 * CHOOSE(CONTROL!$C$32, $C$9, 100%, $E$9)</f>
        <v>14.1532</v>
      </c>
      <c r="N845" s="11">
        <f>14.1495 * CHOOSE(CONTROL!$C$32, $C$9, 100%, $E$9)</f>
        <v>14.1495</v>
      </c>
      <c r="O845" s="11">
        <f>14.1532 * CHOOSE(CONTROL!$C$32, $C$9, 100%, $E$9)</f>
        <v>14.1532</v>
      </c>
    </row>
    <row r="846" spans="1:15" ht="15" x14ac:dyDescent="0.2">
      <c r="A846" s="13">
        <v>66597</v>
      </c>
      <c r="B846" s="9">
        <f>12.3791 * CHOOSE(CONTROL!$C$32, $C$9, 100%, $E$9)</f>
        <v>12.379099999999999</v>
      </c>
      <c r="C846" s="9">
        <f>12.3791 * CHOOSE(CONTROL!$C$32, $C$9, 100%, $E$9)</f>
        <v>12.379099999999999</v>
      </c>
      <c r="D846" s="9">
        <f>12.3806 * CHOOSE(CONTROL!$C$32, $C$9, 100%, $E$9)</f>
        <v>12.380599999999999</v>
      </c>
      <c r="E846" s="11">
        <f>14.2683 * CHOOSE(CONTROL!$C$32, $C$9, 100%, $E$9)</f>
        <v>14.2683</v>
      </c>
      <c r="F846" s="11">
        <f>14.2683 * CHOOSE(CONTROL!$C$32, $C$9, 100%, $E$9)</f>
        <v>14.2683</v>
      </c>
      <c r="G846" s="11">
        <f>14.2736 * CHOOSE(CONTROL!$C$32, $C$9, 100%, $E$9)</f>
        <v>14.2736</v>
      </c>
      <c r="H846" s="11">
        <f>29.2794 * CHOOSE(CONTROL!$C$32, $C$9, 100%, $E$9)</f>
        <v>29.279399999999999</v>
      </c>
      <c r="I846" s="11">
        <f>29.2847 * CHOOSE(CONTROL!$C$32, $C$9, 100%, $E$9)</f>
        <v>29.284700000000001</v>
      </c>
      <c r="J846" s="11">
        <f>29.2794 * CHOOSE(CONTROL!$C$32, $C$9, 100%, $E$9)</f>
        <v>29.279399999999999</v>
      </c>
      <c r="K846" s="11">
        <f>29.2847 * CHOOSE(CONTROL!$C$32, $C$9, 100%, $E$9)</f>
        <v>29.284700000000001</v>
      </c>
      <c r="L846" s="11">
        <f>14.2683 * CHOOSE(CONTROL!$C$32, $C$9, 100%, $E$9)</f>
        <v>14.2683</v>
      </c>
      <c r="M846" s="11">
        <f>14.2736 * CHOOSE(CONTROL!$C$32, $C$9, 100%, $E$9)</f>
        <v>14.2736</v>
      </c>
      <c r="N846" s="11">
        <f>14.2683 * CHOOSE(CONTROL!$C$32, $C$9, 100%, $E$9)</f>
        <v>14.2683</v>
      </c>
      <c r="O846" s="11">
        <f>14.2736 * CHOOSE(CONTROL!$C$32, $C$9, 100%, $E$9)</f>
        <v>14.2736</v>
      </c>
    </row>
    <row r="847" spans="1:15" ht="15" x14ac:dyDescent="0.2">
      <c r="A847" s="13">
        <v>66628</v>
      </c>
      <c r="B847" s="9">
        <f>12.3851 * CHOOSE(CONTROL!$C$32, $C$9, 100%, $E$9)</f>
        <v>12.3851</v>
      </c>
      <c r="C847" s="9">
        <f>12.3851 * CHOOSE(CONTROL!$C$32, $C$9, 100%, $E$9)</f>
        <v>12.3851</v>
      </c>
      <c r="D847" s="9">
        <f>12.3867 * CHOOSE(CONTROL!$C$32, $C$9, 100%, $E$9)</f>
        <v>12.386699999999999</v>
      </c>
      <c r="E847" s="11">
        <f>14.1538 * CHOOSE(CONTROL!$C$32, $C$9, 100%, $E$9)</f>
        <v>14.1538</v>
      </c>
      <c r="F847" s="11">
        <f>14.1538 * CHOOSE(CONTROL!$C$32, $C$9, 100%, $E$9)</f>
        <v>14.1538</v>
      </c>
      <c r="G847" s="11">
        <f>14.1591 * CHOOSE(CONTROL!$C$32, $C$9, 100%, $E$9)</f>
        <v>14.1591</v>
      </c>
      <c r="H847" s="11">
        <f>29.3404 * CHOOSE(CONTROL!$C$32, $C$9, 100%, $E$9)</f>
        <v>29.340399999999999</v>
      </c>
      <c r="I847" s="11">
        <f>29.3457 * CHOOSE(CONTROL!$C$32, $C$9, 100%, $E$9)</f>
        <v>29.345700000000001</v>
      </c>
      <c r="J847" s="11">
        <f>29.3404 * CHOOSE(CONTROL!$C$32, $C$9, 100%, $E$9)</f>
        <v>29.340399999999999</v>
      </c>
      <c r="K847" s="11">
        <f>29.3457 * CHOOSE(CONTROL!$C$32, $C$9, 100%, $E$9)</f>
        <v>29.345700000000001</v>
      </c>
      <c r="L847" s="11">
        <f>14.1538 * CHOOSE(CONTROL!$C$32, $C$9, 100%, $E$9)</f>
        <v>14.1538</v>
      </c>
      <c r="M847" s="11">
        <f>14.1591 * CHOOSE(CONTROL!$C$32, $C$9, 100%, $E$9)</f>
        <v>14.1591</v>
      </c>
      <c r="N847" s="11">
        <f>14.1538 * CHOOSE(CONTROL!$C$32, $C$9, 100%, $E$9)</f>
        <v>14.1538</v>
      </c>
      <c r="O847" s="11">
        <f>14.1591 * CHOOSE(CONTROL!$C$32, $C$9, 100%, $E$9)</f>
        <v>14.1591</v>
      </c>
    </row>
    <row r="848" spans="1:15" ht="15" x14ac:dyDescent="0.2">
      <c r="A848" s="13">
        <v>66658</v>
      </c>
      <c r="B848" s="9">
        <f>12.5357 * CHOOSE(CONTROL!$C$32, $C$9, 100%, $E$9)</f>
        <v>12.5357</v>
      </c>
      <c r="C848" s="9">
        <f>12.5357 * CHOOSE(CONTROL!$C$32, $C$9, 100%, $E$9)</f>
        <v>12.5357</v>
      </c>
      <c r="D848" s="9">
        <f>12.5373 * CHOOSE(CONTROL!$C$32, $C$9, 100%, $E$9)</f>
        <v>12.5373</v>
      </c>
      <c r="E848" s="11">
        <f>14.3539 * CHOOSE(CONTROL!$C$32, $C$9, 100%, $E$9)</f>
        <v>14.353899999999999</v>
      </c>
      <c r="F848" s="11">
        <f>14.3539 * CHOOSE(CONTROL!$C$32, $C$9, 100%, $E$9)</f>
        <v>14.353899999999999</v>
      </c>
      <c r="G848" s="11">
        <f>14.3591 * CHOOSE(CONTROL!$C$32, $C$9, 100%, $E$9)</f>
        <v>14.3591</v>
      </c>
      <c r="H848" s="11">
        <f>29.4015 * CHOOSE(CONTROL!$C$32, $C$9, 100%, $E$9)</f>
        <v>29.401499999999999</v>
      </c>
      <c r="I848" s="11">
        <f>29.4068 * CHOOSE(CONTROL!$C$32, $C$9, 100%, $E$9)</f>
        <v>29.4068</v>
      </c>
      <c r="J848" s="11">
        <f>29.4015 * CHOOSE(CONTROL!$C$32, $C$9, 100%, $E$9)</f>
        <v>29.401499999999999</v>
      </c>
      <c r="K848" s="11">
        <f>29.4068 * CHOOSE(CONTROL!$C$32, $C$9, 100%, $E$9)</f>
        <v>29.4068</v>
      </c>
      <c r="L848" s="11">
        <f>14.3539 * CHOOSE(CONTROL!$C$32, $C$9, 100%, $E$9)</f>
        <v>14.353899999999999</v>
      </c>
      <c r="M848" s="11">
        <f>14.3591 * CHOOSE(CONTROL!$C$32, $C$9, 100%, $E$9)</f>
        <v>14.3591</v>
      </c>
      <c r="N848" s="11">
        <f>14.3539 * CHOOSE(CONTROL!$C$32, $C$9, 100%, $E$9)</f>
        <v>14.353899999999999</v>
      </c>
      <c r="O848" s="11">
        <f>14.3591 * CHOOSE(CONTROL!$C$32, $C$9, 100%, $E$9)</f>
        <v>14.3591</v>
      </c>
    </row>
    <row r="849" spans="1:15" ht="15" x14ac:dyDescent="0.2">
      <c r="A849" s="13">
        <v>66689</v>
      </c>
      <c r="B849" s="9">
        <f>12.5424 * CHOOSE(CONTROL!$C$32, $C$9, 100%, $E$9)</f>
        <v>12.542400000000001</v>
      </c>
      <c r="C849" s="9">
        <f>12.5424 * CHOOSE(CONTROL!$C$32, $C$9, 100%, $E$9)</f>
        <v>12.542400000000001</v>
      </c>
      <c r="D849" s="9">
        <f>12.544 * CHOOSE(CONTROL!$C$32, $C$9, 100%, $E$9)</f>
        <v>12.544</v>
      </c>
      <c r="E849" s="11">
        <f>14.0024 * CHOOSE(CONTROL!$C$32, $C$9, 100%, $E$9)</f>
        <v>14.0024</v>
      </c>
      <c r="F849" s="11">
        <f>14.0024 * CHOOSE(CONTROL!$C$32, $C$9, 100%, $E$9)</f>
        <v>14.0024</v>
      </c>
      <c r="G849" s="11">
        <f>14.0076 * CHOOSE(CONTROL!$C$32, $C$9, 100%, $E$9)</f>
        <v>14.0076</v>
      </c>
      <c r="H849" s="11">
        <f>29.4627 * CHOOSE(CONTROL!$C$32, $C$9, 100%, $E$9)</f>
        <v>29.462700000000002</v>
      </c>
      <c r="I849" s="11">
        <f>29.468 * CHOOSE(CONTROL!$C$32, $C$9, 100%, $E$9)</f>
        <v>29.468</v>
      </c>
      <c r="J849" s="11">
        <f>29.4627 * CHOOSE(CONTROL!$C$32, $C$9, 100%, $E$9)</f>
        <v>29.462700000000002</v>
      </c>
      <c r="K849" s="11">
        <f>29.468 * CHOOSE(CONTROL!$C$32, $C$9, 100%, $E$9)</f>
        <v>29.468</v>
      </c>
      <c r="L849" s="11">
        <f>14.0024 * CHOOSE(CONTROL!$C$32, $C$9, 100%, $E$9)</f>
        <v>14.0024</v>
      </c>
      <c r="M849" s="11">
        <f>14.0076 * CHOOSE(CONTROL!$C$32, $C$9, 100%, $E$9)</f>
        <v>14.0076</v>
      </c>
      <c r="N849" s="11">
        <f>14.0024 * CHOOSE(CONTROL!$C$32, $C$9, 100%, $E$9)</f>
        <v>14.0024</v>
      </c>
      <c r="O849" s="11">
        <f>14.0076 * CHOOSE(CONTROL!$C$32, $C$9, 100%, $E$9)</f>
        <v>14.0076</v>
      </c>
    </row>
    <row r="850" spans="1:15" ht="15" x14ac:dyDescent="0.2">
      <c r="A850" s="13">
        <v>66720</v>
      </c>
      <c r="B850" s="9">
        <f>12.5393 * CHOOSE(CONTROL!$C$32, $C$9, 100%, $E$9)</f>
        <v>12.539300000000001</v>
      </c>
      <c r="C850" s="9">
        <f>12.5393 * CHOOSE(CONTROL!$C$32, $C$9, 100%, $E$9)</f>
        <v>12.539300000000001</v>
      </c>
      <c r="D850" s="9">
        <f>12.5409 * CHOOSE(CONTROL!$C$32, $C$9, 100%, $E$9)</f>
        <v>12.540900000000001</v>
      </c>
      <c r="E850" s="11">
        <f>13.9607 * CHOOSE(CONTROL!$C$32, $C$9, 100%, $E$9)</f>
        <v>13.960699999999999</v>
      </c>
      <c r="F850" s="11">
        <f>13.9607 * CHOOSE(CONTROL!$C$32, $C$9, 100%, $E$9)</f>
        <v>13.960699999999999</v>
      </c>
      <c r="G850" s="11">
        <f>13.966 * CHOOSE(CONTROL!$C$32, $C$9, 100%, $E$9)</f>
        <v>13.965999999999999</v>
      </c>
      <c r="H850" s="11">
        <f>29.5241 * CHOOSE(CONTROL!$C$32, $C$9, 100%, $E$9)</f>
        <v>29.524100000000001</v>
      </c>
      <c r="I850" s="11">
        <f>29.5294 * CHOOSE(CONTROL!$C$32, $C$9, 100%, $E$9)</f>
        <v>29.529399999999999</v>
      </c>
      <c r="J850" s="11">
        <f>29.5241 * CHOOSE(CONTROL!$C$32, $C$9, 100%, $E$9)</f>
        <v>29.524100000000001</v>
      </c>
      <c r="K850" s="11">
        <f>29.5294 * CHOOSE(CONTROL!$C$32, $C$9, 100%, $E$9)</f>
        <v>29.529399999999999</v>
      </c>
      <c r="L850" s="11">
        <f>13.9607 * CHOOSE(CONTROL!$C$32, $C$9, 100%, $E$9)</f>
        <v>13.960699999999999</v>
      </c>
      <c r="M850" s="11">
        <f>13.966 * CHOOSE(CONTROL!$C$32, $C$9, 100%, $E$9)</f>
        <v>13.965999999999999</v>
      </c>
      <c r="N850" s="11">
        <f>13.9607 * CHOOSE(CONTROL!$C$32, $C$9, 100%, $E$9)</f>
        <v>13.960699999999999</v>
      </c>
      <c r="O850" s="11">
        <f>13.966 * CHOOSE(CONTROL!$C$32, $C$9, 100%, $E$9)</f>
        <v>13.965999999999999</v>
      </c>
    </row>
    <row r="851" spans="1:15" ht="15" x14ac:dyDescent="0.2">
      <c r="A851" s="13">
        <v>66750</v>
      </c>
      <c r="B851" s="9">
        <f>12.5663 * CHOOSE(CONTROL!$C$32, $C$9, 100%, $E$9)</f>
        <v>12.5663</v>
      </c>
      <c r="C851" s="9">
        <f>12.5663 * CHOOSE(CONTROL!$C$32, $C$9, 100%, $E$9)</f>
        <v>12.5663</v>
      </c>
      <c r="D851" s="9">
        <f>12.5674 * CHOOSE(CONTROL!$C$32, $C$9, 100%, $E$9)</f>
        <v>12.567399999999999</v>
      </c>
      <c r="E851" s="11">
        <f>14.1055 * CHOOSE(CONTROL!$C$32, $C$9, 100%, $E$9)</f>
        <v>14.105499999999999</v>
      </c>
      <c r="F851" s="11">
        <f>14.1055 * CHOOSE(CONTROL!$C$32, $C$9, 100%, $E$9)</f>
        <v>14.105499999999999</v>
      </c>
      <c r="G851" s="11">
        <f>14.1092 * CHOOSE(CONTROL!$C$32, $C$9, 100%, $E$9)</f>
        <v>14.1092</v>
      </c>
      <c r="H851" s="11">
        <f>29.5856 * CHOOSE(CONTROL!$C$32, $C$9, 100%, $E$9)</f>
        <v>29.585599999999999</v>
      </c>
      <c r="I851" s="11">
        <f>29.5892 * CHOOSE(CONTROL!$C$32, $C$9, 100%, $E$9)</f>
        <v>29.589200000000002</v>
      </c>
      <c r="J851" s="11">
        <f>29.5856 * CHOOSE(CONTROL!$C$32, $C$9, 100%, $E$9)</f>
        <v>29.585599999999999</v>
      </c>
      <c r="K851" s="11">
        <f>29.5892 * CHOOSE(CONTROL!$C$32, $C$9, 100%, $E$9)</f>
        <v>29.589200000000002</v>
      </c>
      <c r="L851" s="11">
        <f>14.1055 * CHOOSE(CONTROL!$C$32, $C$9, 100%, $E$9)</f>
        <v>14.105499999999999</v>
      </c>
      <c r="M851" s="11">
        <f>14.1092 * CHOOSE(CONTROL!$C$32, $C$9, 100%, $E$9)</f>
        <v>14.1092</v>
      </c>
      <c r="N851" s="11">
        <f>14.1055 * CHOOSE(CONTROL!$C$32, $C$9, 100%, $E$9)</f>
        <v>14.105499999999999</v>
      </c>
      <c r="O851" s="11">
        <f>14.1092 * CHOOSE(CONTROL!$C$32, $C$9, 100%, $E$9)</f>
        <v>14.1092</v>
      </c>
    </row>
    <row r="852" spans="1:15" ht="15" x14ac:dyDescent="0.2">
      <c r="A852" s="13">
        <v>66781</v>
      </c>
      <c r="B852" s="9">
        <f>12.5694 * CHOOSE(CONTROL!$C$32, $C$9, 100%, $E$9)</f>
        <v>12.5694</v>
      </c>
      <c r="C852" s="9">
        <f>12.5694 * CHOOSE(CONTROL!$C$32, $C$9, 100%, $E$9)</f>
        <v>12.5694</v>
      </c>
      <c r="D852" s="9">
        <f>12.5704 * CHOOSE(CONTROL!$C$32, $C$9, 100%, $E$9)</f>
        <v>12.570399999999999</v>
      </c>
      <c r="E852" s="11">
        <f>14.1868 * CHOOSE(CONTROL!$C$32, $C$9, 100%, $E$9)</f>
        <v>14.1868</v>
      </c>
      <c r="F852" s="11">
        <f>14.1868 * CHOOSE(CONTROL!$C$32, $C$9, 100%, $E$9)</f>
        <v>14.1868</v>
      </c>
      <c r="G852" s="11">
        <f>14.1904 * CHOOSE(CONTROL!$C$32, $C$9, 100%, $E$9)</f>
        <v>14.1904</v>
      </c>
      <c r="H852" s="11">
        <f>29.6473 * CHOOSE(CONTROL!$C$32, $C$9, 100%, $E$9)</f>
        <v>29.647300000000001</v>
      </c>
      <c r="I852" s="11">
        <f>29.6509 * CHOOSE(CONTROL!$C$32, $C$9, 100%, $E$9)</f>
        <v>29.6509</v>
      </c>
      <c r="J852" s="11">
        <f>29.6473 * CHOOSE(CONTROL!$C$32, $C$9, 100%, $E$9)</f>
        <v>29.647300000000001</v>
      </c>
      <c r="K852" s="11">
        <f>29.6509 * CHOOSE(CONTROL!$C$32, $C$9, 100%, $E$9)</f>
        <v>29.6509</v>
      </c>
      <c r="L852" s="11">
        <f>14.1868 * CHOOSE(CONTROL!$C$32, $C$9, 100%, $E$9)</f>
        <v>14.1868</v>
      </c>
      <c r="M852" s="11">
        <f>14.1904 * CHOOSE(CONTROL!$C$32, $C$9, 100%, $E$9)</f>
        <v>14.1904</v>
      </c>
      <c r="N852" s="11">
        <f>14.1868 * CHOOSE(CONTROL!$C$32, $C$9, 100%, $E$9)</f>
        <v>14.1868</v>
      </c>
      <c r="O852" s="11">
        <f>14.1904 * CHOOSE(CONTROL!$C$32, $C$9, 100%, $E$9)</f>
        <v>14.1904</v>
      </c>
    </row>
    <row r="853" spans="1:15" ht="15" x14ac:dyDescent="0.2">
      <c r="A853" s="13">
        <v>66811</v>
      </c>
      <c r="B853" s="9">
        <f>12.5694 * CHOOSE(CONTROL!$C$32, $C$9, 100%, $E$9)</f>
        <v>12.5694</v>
      </c>
      <c r="C853" s="9">
        <f>12.5694 * CHOOSE(CONTROL!$C$32, $C$9, 100%, $E$9)</f>
        <v>12.5694</v>
      </c>
      <c r="D853" s="9">
        <f>12.5704 * CHOOSE(CONTROL!$C$32, $C$9, 100%, $E$9)</f>
        <v>12.570399999999999</v>
      </c>
      <c r="E853" s="11">
        <f>13.9889 * CHOOSE(CONTROL!$C$32, $C$9, 100%, $E$9)</f>
        <v>13.988899999999999</v>
      </c>
      <c r="F853" s="11">
        <f>13.9889 * CHOOSE(CONTROL!$C$32, $C$9, 100%, $E$9)</f>
        <v>13.988899999999999</v>
      </c>
      <c r="G853" s="11">
        <f>13.9926 * CHOOSE(CONTROL!$C$32, $C$9, 100%, $E$9)</f>
        <v>13.992599999999999</v>
      </c>
      <c r="H853" s="11">
        <f>29.709 * CHOOSE(CONTROL!$C$32, $C$9, 100%, $E$9)</f>
        <v>29.709</v>
      </c>
      <c r="I853" s="11">
        <f>29.7126 * CHOOSE(CONTROL!$C$32, $C$9, 100%, $E$9)</f>
        <v>29.712599999999998</v>
      </c>
      <c r="J853" s="11">
        <f>29.709 * CHOOSE(CONTROL!$C$32, $C$9, 100%, $E$9)</f>
        <v>29.709</v>
      </c>
      <c r="K853" s="11">
        <f>29.7126 * CHOOSE(CONTROL!$C$32, $C$9, 100%, $E$9)</f>
        <v>29.712599999999998</v>
      </c>
      <c r="L853" s="11">
        <f>13.9889 * CHOOSE(CONTROL!$C$32, $C$9, 100%, $E$9)</f>
        <v>13.988899999999999</v>
      </c>
      <c r="M853" s="11">
        <f>13.9926 * CHOOSE(CONTROL!$C$32, $C$9, 100%, $E$9)</f>
        <v>13.992599999999999</v>
      </c>
      <c r="N853" s="11">
        <f>13.9889 * CHOOSE(CONTROL!$C$32, $C$9, 100%, $E$9)</f>
        <v>13.988899999999999</v>
      </c>
      <c r="O853" s="11">
        <f>13.9926 * CHOOSE(CONTROL!$C$32, $C$9, 100%, $E$9)</f>
        <v>13.992599999999999</v>
      </c>
    </row>
    <row r="854" spans="1:15" ht="15" x14ac:dyDescent="0.2">
      <c r="A854" s="13">
        <v>66842</v>
      </c>
      <c r="B854" s="9">
        <f>12.5667 * CHOOSE(CONTROL!$C$32, $C$9, 100%, $E$9)</f>
        <v>12.566700000000001</v>
      </c>
      <c r="C854" s="9">
        <f>12.5667 * CHOOSE(CONTROL!$C$32, $C$9, 100%, $E$9)</f>
        <v>12.566700000000001</v>
      </c>
      <c r="D854" s="9">
        <f>12.5678 * CHOOSE(CONTROL!$C$32, $C$9, 100%, $E$9)</f>
        <v>12.5678</v>
      </c>
      <c r="E854" s="11">
        <f>14.1331 * CHOOSE(CONTROL!$C$32, $C$9, 100%, $E$9)</f>
        <v>14.133100000000001</v>
      </c>
      <c r="F854" s="11">
        <f>14.1331 * CHOOSE(CONTROL!$C$32, $C$9, 100%, $E$9)</f>
        <v>14.133100000000001</v>
      </c>
      <c r="G854" s="11">
        <f>14.1367 * CHOOSE(CONTROL!$C$32, $C$9, 100%, $E$9)</f>
        <v>14.136699999999999</v>
      </c>
      <c r="H854" s="11">
        <f>29.5084 * CHOOSE(CONTROL!$C$32, $C$9, 100%, $E$9)</f>
        <v>29.508400000000002</v>
      </c>
      <c r="I854" s="11">
        <f>29.5121 * CHOOSE(CONTROL!$C$32, $C$9, 100%, $E$9)</f>
        <v>29.5121</v>
      </c>
      <c r="J854" s="11">
        <f>29.5084 * CHOOSE(CONTROL!$C$32, $C$9, 100%, $E$9)</f>
        <v>29.508400000000002</v>
      </c>
      <c r="K854" s="11">
        <f>29.5121 * CHOOSE(CONTROL!$C$32, $C$9, 100%, $E$9)</f>
        <v>29.5121</v>
      </c>
      <c r="L854" s="11">
        <f>14.1331 * CHOOSE(CONTROL!$C$32, $C$9, 100%, $E$9)</f>
        <v>14.133100000000001</v>
      </c>
      <c r="M854" s="11">
        <f>14.1367 * CHOOSE(CONTROL!$C$32, $C$9, 100%, $E$9)</f>
        <v>14.136699999999999</v>
      </c>
      <c r="N854" s="11">
        <f>14.1331 * CHOOSE(CONTROL!$C$32, $C$9, 100%, $E$9)</f>
        <v>14.133100000000001</v>
      </c>
      <c r="O854" s="11">
        <f>14.1367 * CHOOSE(CONTROL!$C$32, $C$9, 100%, $E$9)</f>
        <v>14.136699999999999</v>
      </c>
    </row>
    <row r="855" spans="1:15" ht="15" x14ac:dyDescent="0.2">
      <c r="A855" s="13">
        <v>66873</v>
      </c>
      <c r="B855" s="9">
        <f>12.5637 * CHOOSE(CONTROL!$C$32, $C$9, 100%, $E$9)</f>
        <v>12.563700000000001</v>
      </c>
      <c r="C855" s="9">
        <f>12.5637 * CHOOSE(CONTROL!$C$32, $C$9, 100%, $E$9)</f>
        <v>12.563700000000001</v>
      </c>
      <c r="D855" s="9">
        <f>12.5648 * CHOOSE(CONTROL!$C$32, $C$9, 100%, $E$9)</f>
        <v>12.5648</v>
      </c>
      <c r="E855" s="11">
        <f>13.7499 * CHOOSE(CONTROL!$C$32, $C$9, 100%, $E$9)</f>
        <v>13.7499</v>
      </c>
      <c r="F855" s="11">
        <f>13.7499 * CHOOSE(CONTROL!$C$32, $C$9, 100%, $E$9)</f>
        <v>13.7499</v>
      </c>
      <c r="G855" s="11">
        <f>13.7535 * CHOOSE(CONTROL!$C$32, $C$9, 100%, $E$9)</f>
        <v>13.753500000000001</v>
      </c>
      <c r="H855" s="11">
        <f>29.5699 * CHOOSE(CONTROL!$C$32, $C$9, 100%, $E$9)</f>
        <v>29.569900000000001</v>
      </c>
      <c r="I855" s="11">
        <f>29.5735 * CHOOSE(CONTROL!$C$32, $C$9, 100%, $E$9)</f>
        <v>29.573499999999999</v>
      </c>
      <c r="J855" s="11">
        <f>29.5699 * CHOOSE(CONTROL!$C$32, $C$9, 100%, $E$9)</f>
        <v>29.569900000000001</v>
      </c>
      <c r="K855" s="11">
        <f>29.5735 * CHOOSE(CONTROL!$C$32, $C$9, 100%, $E$9)</f>
        <v>29.573499999999999</v>
      </c>
      <c r="L855" s="11">
        <f>13.7499 * CHOOSE(CONTROL!$C$32, $C$9, 100%, $E$9)</f>
        <v>13.7499</v>
      </c>
      <c r="M855" s="11">
        <f>13.7535 * CHOOSE(CONTROL!$C$32, $C$9, 100%, $E$9)</f>
        <v>13.753500000000001</v>
      </c>
      <c r="N855" s="11">
        <f>13.7499 * CHOOSE(CONTROL!$C$32, $C$9, 100%, $E$9)</f>
        <v>13.7499</v>
      </c>
      <c r="O855" s="11">
        <f>13.7535 * CHOOSE(CONTROL!$C$32, $C$9, 100%, $E$9)</f>
        <v>13.753500000000001</v>
      </c>
    </row>
    <row r="856" spans="1:15" ht="15" x14ac:dyDescent="0.2">
      <c r="A856" s="13">
        <v>66901</v>
      </c>
      <c r="B856" s="9">
        <f>12.5606 * CHOOSE(CONTROL!$C$32, $C$9, 100%, $E$9)</f>
        <v>12.560600000000001</v>
      </c>
      <c r="C856" s="9">
        <f>12.5606 * CHOOSE(CONTROL!$C$32, $C$9, 100%, $E$9)</f>
        <v>12.560600000000001</v>
      </c>
      <c r="D856" s="9">
        <f>12.5617 * CHOOSE(CONTROL!$C$32, $C$9, 100%, $E$9)</f>
        <v>12.5617</v>
      </c>
      <c r="E856" s="11">
        <f>14.0482 * CHOOSE(CONTROL!$C$32, $C$9, 100%, $E$9)</f>
        <v>14.0482</v>
      </c>
      <c r="F856" s="11">
        <f>14.0482 * CHOOSE(CONTROL!$C$32, $C$9, 100%, $E$9)</f>
        <v>14.0482</v>
      </c>
      <c r="G856" s="11">
        <f>14.0518 * CHOOSE(CONTROL!$C$32, $C$9, 100%, $E$9)</f>
        <v>14.0518</v>
      </c>
      <c r="H856" s="11">
        <f>29.6315 * CHOOSE(CONTROL!$C$32, $C$9, 100%, $E$9)</f>
        <v>29.631499999999999</v>
      </c>
      <c r="I856" s="11">
        <f>29.6351 * CHOOSE(CONTROL!$C$32, $C$9, 100%, $E$9)</f>
        <v>29.635100000000001</v>
      </c>
      <c r="J856" s="11">
        <f>29.6315 * CHOOSE(CONTROL!$C$32, $C$9, 100%, $E$9)</f>
        <v>29.631499999999999</v>
      </c>
      <c r="K856" s="11">
        <f>29.6351 * CHOOSE(CONTROL!$C$32, $C$9, 100%, $E$9)</f>
        <v>29.635100000000001</v>
      </c>
      <c r="L856" s="11">
        <f>14.0482 * CHOOSE(CONTROL!$C$32, $C$9, 100%, $E$9)</f>
        <v>14.0482</v>
      </c>
      <c r="M856" s="11">
        <f>14.0518 * CHOOSE(CONTROL!$C$32, $C$9, 100%, $E$9)</f>
        <v>14.0518</v>
      </c>
      <c r="N856" s="11">
        <f>14.0482 * CHOOSE(CONTROL!$C$32, $C$9, 100%, $E$9)</f>
        <v>14.0482</v>
      </c>
      <c r="O856" s="11">
        <f>14.0518 * CHOOSE(CONTROL!$C$32, $C$9, 100%, $E$9)</f>
        <v>14.0518</v>
      </c>
    </row>
    <row r="857" spans="1:15" ht="15" x14ac:dyDescent="0.2">
      <c r="A857" s="13">
        <v>66932</v>
      </c>
      <c r="B857" s="9">
        <f>12.5666 * CHOOSE(CONTROL!$C$32, $C$9, 100%, $E$9)</f>
        <v>12.566599999999999</v>
      </c>
      <c r="C857" s="9">
        <f>12.5666 * CHOOSE(CONTROL!$C$32, $C$9, 100%, $E$9)</f>
        <v>12.566599999999999</v>
      </c>
      <c r="D857" s="9">
        <f>12.5677 * CHOOSE(CONTROL!$C$32, $C$9, 100%, $E$9)</f>
        <v>12.5677</v>
      </c>
      <c r="E857" s="11">
        <f>14.3665 * CHOOSE(CONTROL!$C$32, $C$9, 100%, $E$9)</f>
        <v>14.3665</v>
      </c>
      <c r="F857" s="11">
        <f>14.3665 * CHOOSE(CONTROL!$C$32, $C$9, 100%, $E$9)</f>
        <v>14.3665</v>
      </c>
      <c r="G857" s="11">
        <f>14.3702 * CHOOSE(CONTROL!$C$32, $C$9, 100%, $E$9)</f>
        <v>14.370200000000001</v>
      </c>
      <c r="H857" s="11">
        <f>29.6932 * CHOOSE(CONTROL!$C$32, $C$9, 100%, $E$9)</f>
        <v>29.693200000000001</v>
      </c>
      <c r="I857" s="11">
        <f>29.6969 * CHOOSE(CONTROL!$C$32, $C$9, 100%, $E$9)</f>
        <v>29.696899999999999</v>
      </c>
      <c r="J857" s="11">
        <f>29.6932 * CHOOSE(CONTROL!$C$32, $C$9, 100%, $E$9)</f>
        <v>29.693200000000001</v>
      </c>
      <c r="K857" s="11">
        <f>29.6969 * CHOOSE(CONTROL!$C$32, $C$9, 100%, $E$9)</f>
        <v>29.696899999999999</v>
      </c>
      <c r="L857" s="11">
        <f>14.3665 * CHOOSE(CONTROL!$C$32, $C$9, 100%, $E$9)</f>
        <v>14.3665</v>
      </c>
      <c r="M857" s="11">
        <f>14.3702 * CHOOSE(CONTROL!$C$32, $C$9, 100%, $E$9)</f>
        <v>14.370200000000001</v>
      </c>
      <c r="N857" s="11">
        <f>14.3665 * CHOOSE(CONTROL!$C$32, $C$9, 100%, $E$9)</f>
        <v>14.3665</v>
      </c>
      <c r="O857" s="11">
        <f>14.3702 * CHOOSE(CONTROL!$C$32, $C$9, 100%, $E$9)</f>
        <v>14.370200000000001</v>
      </c>
    </row>
    <row r="858" spans="1:15" ht="15" x14ac:dyDescent="0.2">
      <c r="A858" s="13">
        <v>66962</v>
      </c>
      <c r="B858" s="9">
        <f>12.5666 * CHOOSE(CONTROL!$C$32, $C$9, 100%, $E$9)</f>
        <v>12.566599999999999</v>
      </c>
      <c r="C858" s="9">
        <f>12.5666 * CHOOSE(CONTROL!$C$32, $C$9, 100%, $E$9)</f>
        <v>12.566599999999999</v>
      </c>
      <c r="D858" s="9">
        <f>12.5682 * CHOOSE(CONTROL!$C$32, $C$9, 100%, $E$9)</f>
        <v>12.568199999999999</v>
      </c>
      <c r="E858" s="11">
        <f>14.4875 * CHOOSE(CONTROL!$C$32, $C$9, 100%, $E$9)</f>
        <v>14.487500000000001</v>
      </c>
      <c r="F858" s="11">
        <f>14.4875 * CHOOSE(CONTROL!$C$32, $C$9, 100%, $E$9)</f>
        <v>14.487500000000001</v>
      </c>
      <c r="G858" s="11">
        <f>14.4928 * CHOOSE(CONTROL!$C$32, $C$9, 100%, $E$9)</f>
        <v>14.492800000000001</v>
      </c>
      <c r="H858" s="11">
        <f>29.7551 * CHOOSE(CONTROL!$C$32, $C$9, 100%, $E$9)</f>
        <v>29.755099999999999</v>
      </c>
      <c r="I858" s="11">
        <f>29.7604 * CHOOSE(CONTROL!$C$32, $C$9, 100%, $E$9)</f>
        <v>29.760400000000001</v>
      </c>
      <c r="J858" s="11">
        <f>29.7551 * CHOOSE(CONTROL!$C$32, $C$9, 100%, $E$9)</f>
        <v>29.755099999999999</v>
      </c>
      <c r="K858" s="11">
        <f>29.7604 * CHOOSE(CONTROL!$C$32, $C$9, 100%, $E$9)</f>
        <v>29.760400000000001</v>
      </c>
      <c r="L858" s="11">
        <f>14.4875 * CHOOSE(CONTROL!$C$32, $C$9, 100%, $E$9)</f>
        <v>14.487500000000001</v>
      </c>
      <c r="M858" s="11">
        <f>14.4928 * CHOOSE(CONTROL!$C$32, $C$9, 100%, $E$9)</f>
        <v>14.492800000000001</v>
      </c>
      <c r="N858" s="11">
        <f>14.4875 * CHOOSE(CONTROL!$C$32, $C$9, 100%, $E$9)</f>
        <v>14.487500000000001</v>
      </c>
      <c r="O858" s="11">
        <f>14.4928 * CHOOSE(CONTROL!$C$32, $C$9, 100%, $E$9)</f>
        <v>14.492800000000001</v>
      </c>
    </row>
    <row r="859" spans="1:15" ht="15" x14ac:dyDescent="0.2">
      <c r="A859" s="13">
        <v>66993</v>
      </c>
      <c r="B859" s="9">
        <f>12.5727 * CHOOSE(CONTROL!$C$32, $C$9, 100%, $E$9)</f>
        <v>12.572699999999999</v>
      </c>
      <c r="C859" s="9">
        <f>12.5727 * CHOOSE(CONTROL!$C$32, $C$9, 100%, $E$9)</f>
        <v>12.572699999999999</v>
      </c>
      <c r="D859" s="9">
        <f>12.5743 * CHOOSE(CONTROL!$C$32, $C$9, 100%, $E$9)</f>
        <v>12.574299999999999</v>
      </c>
      <c r="E859" s="11">
        <f>14.3708 * CHOOSE(CONTROL!$C$32, $C$9, 100%, $E$9)</f>
        <v>14.370799999999999</v>
      </c>
      <c r="F859" s="11">
        <f>14.3708 * CHOOSE(CONTROL!$C$32, $C$9, 100%, $E$9)</f>
        <v>14.370799999999999</v>
      </c>
      <c r="G859" s="11">
        <f>14.3761 * CHOOSE(CONTROL!$C$32, $C$9, 100%, $E$9)</f>
        <v>14.376099999999999</v>
      </c>
      <c r="H859" s="11">
        <f>29.8171 * CHOOSE(CONTROL!$C$32, $C$9, 100%, $E$9)</f>
        <v>29.8171</v>
      </c>
      <c r="I859" s="11">
        <f>29.8224 * CHOOSE(CONTROL!$C$32, $C$9, 100%, $E$9)</f>
        <v>29.822399999999998</v>
      </c>
      <c r="J859" s="11">
        <f>29.8171 * CHOOSE(CONTROL!$C$32, $C$9, 100%, $E$9)</f>
        <v>29.8171</v>
      </c>
      <c r="K859" s="11">
        <f>29.8224 * CHOOSE(CONTROL!$C$32, $C$9, 100%, $E$9)</f>
        <v>29.822399999999998</v>
      </c>
      <c r="L859" s="11">
        <f>14.3708 * CHOOSE(CONTROL!$C$32, $C$9, 100%, $E$9)</f>
        <v>14.370799999999999</v>
      </c>
      <c r="M859" s="11">
        <f>14.3761 * CHOOSE(CONTROL!$C$32, $C$9, 100%, $E$9)</f>
        <v>14.376099999999999</v>
      </c>
      <c r="N859" s="11">
        <f>14.3708 * CHOOSE(CONTROL!$C$32, $C$9, 100%, $E$9)</f>
        <v>14.370799999999999</v>
      </c>
      <c r="O859" s="11">
        <f>14.3761 * CHOOSE(CONTROL!$C$32, $C$9, 100%, $E$9)</f>
        <v>14.376099999999999</v>
      </c>
    </row>
    <row r="860" spans="1:15" ht="15" x14ac:dyDescent="0.2">
      <c r="A860" s="13">
        <v>67023</v>
      </c>
      <c r="B860" s="9">
        <f>12.7253 * CHOOSE(CONTROL!$C$32, $C$9, 100%, $E$9)</f>
        <v>12.725300000000001</v>
      </c>
      <c r="C860" s="9">
        <f>12.7253 * CHOOSE(CONTROL!$C$32, $C$9, 100%, $E$9)</f>
        <v>12.725300000000001</v>
      </c>
      <c r="D860" s="9">
        <f>12.7269 * CHOOSE(CONTROL!$C$32, $C$9, 100%, $E$9)</f>
        <v>12.726900000000001</v>
      </c>
      <c r="E860" s="11">
        <f>14.574 * CHOOSE(CONTROL!$C$32, $C$9, 100%, $E$9)</f>
        <v>14.574</v>
      </c>
      <c r="F860" s="11">
        <f>14.574 * CHOOSE(CONTROL!$C$32, $C$9, 100%, $E$9)</f>
        <v>14.574</v>
      </c>
      <c r="G860" s="11">
        <f>14.5793 * CHOOSE(CONTROL!$C$32, $C$9, 100%, $E$9)</f>
        <v>14.5793</v>
      </c>
      <c r="H860" s="11">
        <f>29.8792 * CHOOSE(CONTROL!$C$32, $C$9, 100%, $E$9)</f>
        <v>29.879200000000001</v>
      </c>
      <c r="I860" s="11">
        <f>29.8845 * CHOOSE(CONTROL!$C$32, $C$9, 100%, $E$9)</f>
        <v>29.884499999999999</v>
      </c>
      <c r="J860" s="11">
        <f>29.8792 * CHOOSE(CONTROL!$C$32, $C$9, 100%, $E$9)</f>
        <v>29.879200000000001</v>
      </c>
      <c r="K860" s="11">
        <f>29.8845 * CHOOSE(CONTROL!$C$32, $C$9, 100%, $E$9)</f>
        <v>29.884499999999999</v>
      </c>
      <c r="L860" s="11">
        <f>14.574 * CHOOSE(CONTROL!$C$32, $C$9, 100%, $E$9)</f>
        <v>14.574</v>
      </c>
      <c r="M860" s="11">
        <f>14.5793 * CHOOSE(CONTROL!$C$32, $C$9, 100%, $E$9)</f>
        <v>14.5793</v>
      </c>
      <c r="N860" s="11">
        <f>14.574 * CHOOSE(CONTROL!$C$32, $C$9, 100%, $E$9)</f>
        <v>14.574</v>
      </c>
      <c r="O860" s="11">
        <f>14.5793 * CHOOSE(CONTROL!$C$32, $C$9, 100%, $E$9)</f>
        <v>14.5793</v>
      </c>
    </row>
    <row r="861" spans="1:15" ht="15" x14ac:dyDescent="0.2">
      <c r="A861" s="13">
        <v>67054</v>
      </c>
      <c r="B861" s="9">
        <f>12.732 * CHOOSE(CONTROL!$C$32, $C$9, 100%, $E$9)</f>
        <v>12.731999999999999</v>
      </c>
      <c r="C861" s="9">
        <f>12.732 * CHOOSE(CONTROL!$C$32, $C$9, 100%, $E$9)</f>
        <v>12.731999999999999</v>
      </c>
      <c r="D861" s="9">
        <f>12.7336 * CHOOSE(CONTROL!$C$32, $C$9, 100%, $E$9)</f>
        <v>12.733599999999999</v>
      </c>
      <c r="E861" s="11">
        <f>14.2158 * CHOOSE(CONTROL!$C$32, $C$9, 100%, $E$9)</f>
        <v>14.2158</v>
      </c>
      <c r="F861" s="11">
        <f>14.2158 * CHOOSE(CONTROL!$C$32, $C$9, 100%, $E$9)</f>
        <v>14.2158</v>
      </c>
      <c r="G861" s="11">
        <f>14.2211 * CHOOSE(CONTROL!$C$32, $C$9, 100%, $E$9)</f>
        <v>14.2211</v>
      </c>
      <c r="H861" s="11">
        <f>29.9415 * CHOOSE(CONTROL!$C$32, $C$9, 100%, $E$9)</f>
        <v>29.941500000000001</v>
      </c>
      <c r="I861" s="11">
        <f>29.9468 * CHOOSE(CONTROL!$C$32, $C$9, 100%, $E$9)</f>
        <v>29.9468</v>
      </c>
      <c r="J861" s="11">
        <f>29.9415 * CHOOSE(CONTROL!$C$32, $C$9, 100%, $E$9)</f>
        <v>29.941500000000001</v>
      </c>
      <c r="K861" s="11">
        <f>29.9468 * CHOOSE(CONTROL!$C$32, $C$9, 100%, $E$9)</f>
        <v>29.9468</v>
      </c>
      <c r="L861" s="11">
        <f>14.2158 * CHOOSE(CONTROL!$C$32, $C$9, 100%, $E$9)</f>
        <v>14.2158</v>
      </c>
      <c r="M861" s="11">
        <f>14.2211 * CHOOSE(CONTROL!$C$32, $C$9, 100%, $E$9)</f>
        <v>14.2211</v>
      </c>
      <c r="N861" s="11">
        <f>14.2158 * CHOOSE(CONTROL!$C$32, $C$9, 100%, $E$9)</f>
        <v>14.2158</v>
      </c>
      <c r="O861" s="11">
        <f>14.2211 * CHOOSE(CONTROL!$C$32, $C$9, 100%, $E$9)</f>
        <v>14.2211</v>
      </c>
    </row>
    <row r="862" spans="1:15" ht="15" x14ac:dyDescent="0.2">
      <c r="A862" s="13">
        <v>67085</v>
      </c>
      <c r="B862" s="9">
        <f>12.7289 * CHOOSE(CONTROL!$C$32, $C$9, 100%, $E$9)</f>
        <v>12.728899999999999</v>
      </c>
      <c r="C862" s="9">
        <f>12.7289 * CHOOSE(CONTROL!$C$32, $C$9, 100%, $E$9)</f>
        <v>12.728899999999999</v>
      </c>
      <c r="D862" s="9">
        <f>12.7305 * CHOOSE(CONTROL!$C$32, $C$9, 100%, $E$9)</f>
        <v>12.730499999999999</v>
      </c>
      <c r="E862" s="11">
        <f>14.1733 * CHOOSE(CONTROL!$C$32, $C$9, 100%, $E$9)</f>
        <v>14.173299999999999</v>
      </c>
      <c r="F862" s="11">
        <f>14.1733 * CHOOSE(CONTROL!$C$32, $C$9, 100%, $E$9)</f>
        <v>14.173299999999999</v>
      </c>
      <c r="G862" s="11">
        <f>14.1786 * CHOOSE(CONTROL!$C$32, $C$9, 100%, $E$9)</f>
        <v>14.178599999999999</v>
      </c>
      <c r="H862" s="11">
        <f>30.0038 * CHOOSE(CONTROL!$C$32, $C$9, 100%, $E$9)</f>
        <v>30.003799999999998</v>
      </c>
      <c r="I862" s="11">
        <f>30.0091 * CHOOSE(CONTROL!$C$32, $C$9, 100%, $E$9)</f>
        <v>30.0091</v>
      </c>
      <c r="J862" s="11">
        <f>30.0038 * CHOOSE(CONTROL!$C$32, $C$9, 100%, $E$9)</f>
        <v>30.003799999999998</v>
      </c>
      <c r="K862" s="11">
        <f>30.0091 * CHOOSE(CONTROL!$C$32, $C$9, 100%, $E$9)</f>
        <v>30.0091</v>
      </c>
      <c r="L862" s="11">
        <f>14.1733 * CHOOSE(CONTROL!$C$32, $C$9, 100%, $E$9)</f>
        <v>14.173299999999999</v>
      </c>
      <c r="M862" s="11">
        <f>14.1786 * CHOOSE(CONTROL!$C$32, $C$9, 100%, $E$9)</f>
        <v>14.178599999999999</v>
      </c>
      <c r="N862" s="11">
        <f>14.1733 * CHOOSE(CONTROL!$C$32, $C$9, 100%, $E$9)</f>
        <v>14.173299999999999</v>
      </c>
      <c r="O862" s="11">
        <f>14.1786 * CHOOSE(CONTROL!$C$32, $C$9, 100%, $E$9)</f>
        <v>14.178599999999999</v>
      </c>
    </row>
    <row r="863" spans="1:15" ht="15" x14ac:dyDescent="0.2">
      <c r="A863" s="13">
        <v>67115</v>
      </c>
      <c r="B863" s="9">
        <f>12.7566 * CHOOSE(CONTROL!$C$32, $C$9, 100%, $E$9)</f>
        <v>12.756600000000001</v>
      </c>
      <c r="C863" s="9">
        <f>12.7566 * CHOOSE(CONTROL!$C$32, $C$9, 100%, $E$9)</f>
        <v>12.756600000000001</v>
      </c>
      <c r="D863" s="9">
        <f>12.7577 * CHOOSE(CONTROL!$C$32, $C$9, 100%, $E$9)</f>
        <v>12.7577</v>
      </c>
      <c r="E863" s="11">
        <f>14.3212 * CHOOSE(CONTROL!$C$32, $C$9, 100%, $E$9)</f>
        <v>14.321199999999999</v>
      </c>
      <c r="F863" s="11">
        <f>14.3212 * CHOOSE(CONTROL!$C$32, $C$9, 100%, $E$9)</f>
        <v>14.321199999999999</v>
      </c>
      <c r="G863" s="11">
        <f>14.3248 * CHOOSE(CONTROL!$C$32, $C$9, 100%, $E$9)</f>
        <v>14.3248</v>
      </c>
      <c r="H863" s="11">
        <f>30.0664 * CHOOSE(CONTROL!$C$32, $C$9, 100%, $E$9)</f>
        <v>30.066400000000002</v>
      </c>
      <c r="I863" s="11">
        <f>30.07 * CHOOSE(CONTROL!$C$32, $C$9, 100%, $E$9)</f>
        <v>30.07</v>
      </c>
      <c r="J863" s="11">
        <f>30.0664 * CHOOSE(CONTROL!$C$32, $C$9, 100%, $E$9)</f>
        <v>30.066400000000002</v>
      </c>
      <c r="K863" s="11">
        <f>30.07 * CHOOSE(CONTROL!$C$32, $C$9, 100%, $E$9)</f>
        <v>30.07</v>
      </c>
      <c r="L863" s="11">
        <f>14.3212 * CHOOSE(CONTROL!$C$32, $C$9, 100%, $E$9)</f>
        <v>14.321199999999999</v>
      </c>
      <c r="M863" s="11">
        <f>14.3248 * CHOOSE(CONTROL!$C$32, $C$9, 100%, $E$9)</f>
        <v>14.3248</v>
      </c>
      <c r="N863" s="11">
        <f>14.3212 * CHOOSE(CONTROL!$C$32, $C$9, 100%, $E$9)</f>
        <v>14.321199999999999</v>
      </c>
      <c r="O863" s="11">
        <f>14.3248 * CHOOSE(CONTROL!$C$32, $C$9, 100%, $E$9)</f>
        <v>14.3248</v>
      </c>
    </row>
    <row r="864" spans="1:15" ht="15" x14ac:dyDescent="0.2">
      <c r="A864" s="13">
        <v>67146</v>
      </c>
      <c r="B864" s="9">
        <f>12.7597 * CHOOSE(CONTROL!$C$32, $C$9, 100%, $E$9)</f>
        <v>12.7597</v>
      </c>
      <c r="C864" s="9">
        <f>12.7597 * CHOOSE(CONTROL!$C$32, $C$9, 100%, $E$9)</f>
        <v>12.7597</v>
      </c>
      <c r="D864" s="9">
        <f>12.7607 * CHOOSE(CONTROL!$C$32, $C$9, 100%, $E$9)</f>
        <v>12.7607</v>
      </c>
      <c r="E864" s="11">
        <f>14.404 * CHOOSE(CONTROL!$C$32, $C$9, 100%, $E$9)</f>
        <v>14.404</v>
      </c>
      <c r="F864" s="11">
        <f>14.404 * CHOOSE(CONTROL!$C$32, $C$9, 100%, $E$9)</f>
        <v>14.404</v>
      </c>
      <c r="G864" s="11">
        <f>14.4076 * CHOOSE(CONTROL!$C$32, $C$9, 100%, $E$9)</f>
        <v>14.4076</v>
      </c>
      <c r="H864" s="11">
        <f>30.129 * CHOOSE(CONTROL!$C$32, $C$9, 100%, $E$9)</f>
        <v>30.129000000000001</v>
      </c>
      <c r="I864" s="11">
        <f>30.1326 * CHOOSE(CONTROL!$C$32, $C$9, 100%, $E$9)</f>
        <v>30.1326</v>
      </c>
      <c r="J864" s="11">
        <f>30.129 * CHOOSE(CONTROL!$C$32, $C$9, 100%, $E$9)</f>
        <v>30.129000000000001</v>
      </c>
      <c r="K864" s="11">
        <f>30.1326 * CHOOSE(CONTROL!$C$32, $C$9, 100%, $E$9)</f>
        <v>30.1326</v>
      </c>
      <c r="L864" s="11">
        <f>14.404 * CHOOSE(CONTROL!$C$32, $C$9, 100%, $E$9)</f>
        <v>14.404</v>
      </c>
      <c r="M864" s="11">
        <f>14.4076 * CHOOSE(CONTROL!$C$32, $C$9, 100%, $E$9)</f>
        <v>14.4076</v>
      </c>
      <c r="N864" s="11">
        <f>14.404 * CHOOSE(CONTROL!$C$32, $C$9, 100%, $E$9)</f>
        <v>14.404</v>
      </c>
      <c r="O864" s="11">
        <f>14.4076 * CHOOSE(CONTROL!$C$32, $C$9, 100%, $E$9)</f>
        <v>14.4076</v>
      </c>
    </row>
    <row r="865" spans="1:15" ht="15" x14ac:dyDescent="0.2">
      <c r="A865" s="13">
        <v>67176</v>
      </c>
      <c r="B865" s="9">
        <f>12.7597 * CHOOSE(CONTROL!$C$32, $C$9, 100%, $E$9)</f>
        <v>12.7597</v>
      </c>
      <c r="C865" s="9">
        <f>12.7597 * CHOOSE(CONTROL!$C$32, $C$9, 100%, $E$9)</f>
        <v>12.7597</v>
      </c>
      <c r="D865" s="9">
        <f>12.7607 * CHOOSE(CONTROL!$C$32, $C$9, 100%, $E$9)</f>
        <v>12.7607</v>
      </c>
      <c r="E865" s="11">
        <f>14.2024 * CHOOSE(CONTROL!$C$32, $C$9, 100%, $E$9)</f>
        <v>14.202400000000001</v>
      </c>
      <c r="F865" s="11">
        <f>14.2024 * CHOOSE(CONTROL!$C$32, $C$9, 100%, $E$9)</f>
        <v>14.202400000000001</v>
      </c>
      <c r="G865" s="11">
        <f>14.206 * CHOOSE(CONTROL!$C$32, $C$9, 100%, $E$9)</f>
        <v>14.206</v>
      </c>
      <c r="H865" s="11">
        <f>30.1918 * CHOOSE(CONTROL!$C$32, $C$9, 100%, $E$9)</f>
        <v>30.191800000000001</v>
      </c>
      <c r="I865" s="11">
        <f>30.1954 * CHOOSE(CONTROL!$C$32, $C$9, 100%, $E$9)</f>
        <v>30.195399999999999</v>
      </c>
      <c r="J865" s="11">
        <f>30.1918 * CHOOSE(CONTROL!$C$32, $C$9, 100%, $E$9)</f>
        <v>30.191800000000001</v>
      </c>
      <c r="K865" s="11">
        <f>30.1954 * CHOOSE(CONTROL!$C$32, $C$9, 100%, $E$9)</f>
        <v>30.195399999999999</v>
      </c>
      <c r="L865" s="11">
        <f>14.2024 * CHOOSE(CONTROL!$C$32, $C$9, 100%, $E$9)</f>
        <v>14.202400000000001</v>
      </c>
      <c r="M865" s="11">
        <f>14.206 * CHOOSE(CONTROL!$C$32, $C$9, 100%, $E$9)</f>
        <v>14.206</v>
      </c>
      <c r="N865" s="11">
        <f>14.2024 * CHOOSE(CONTROL!$C$32, $C$9, 100%, $E$9)</f>
        <v>14.202400000000001</v>
      </c>
      <c r="O865" s="11">
        <f>14.206 * CHOOSE(CONTROL!$C$32, $C$9, 100%, $E$9)</f>
        <v>14.206</v>
      </c>
    </row>
    <row r="866" spans="1:15" ht="15" x14ac:dyDescent="0.2">
      <c r="A866" s="13">
        <v>67207</v>
      </c>
      <c r="B866" s="9">
        <f>12.7541 * CHOOSE(CONTROL!$C$32, $C$9, 100%, $E$9)</f>
        <v>12.754099999999999</v>
      </c>
      <c r="C866" s="9">
        <f>12.7541 * CHOOSE(CONTROL!$C$32, $C$9, 100%, $E$9)</f>
        <v>12.754099999999999</v>
      </c>
      <c r="D866" s="9">
        <f>12.7552 * CHOOSE(CONTROL!$C$32, $C$9, 100%, $E$9)</f>
        <v>12.7552</v>
      </c>
      <c r="E866" s="11">
        <f>14.3456 * CHOOSE(CONTROL!$C$32, $C$9, 100%, $E$9)</f>
        <v>14.345599999999999</v>
      </c>
      <c r="F866" s="11">
        <f>14.3456 * CHOOSE(CONTROL!$C$32, $C$9, 100%, $E$9)</f>
        <v>14.345599999999999</v>
      </c>
      <c r="G866" s="11">
        <f>14.3492 * CHOOSE(CONTROL!$C$32, $C$9, 100%, $E$9)</f>
        <v>14.3492</v>
      </c>
      <c r="H866" s="11">
        <f>29.9802 * CHOOSE(CONTROL!$C$32, $C$9, 100%, $E$9)</f>
        <v>29.9802</v>
      </c>
      <c r="I866" s="11">
        <f>29.9839 * CHOOSE(CONTROL!$C$32, $C$9, 100%, $E$9)</f>
        <v>29.983899999999998</v>
      </c>
      <c r="J866" s="11">
        <f>29.9802 * CHOOSE(CONTROL!$C$32, $C$9, 100%, $E$9)</f>
        <v>29.9802</v>
      </c>
      <c r="K866" s="11">
        <f>29.9839 * CHOOSE(CONTROL!$C$32, $C$9, 100%, $E$9)</f>
        <v>29.983899999999998</v>
      </c>
      <c r="L866" s="11">
        <f>14.3456 * CHOOSE(CONTROL!$C$32, $C$9, 100%, $E$9)</f>
        <v>14.345599999999999</v>
      </c>
      <c r="M866" s="11">
        <f>14.3492 * CHOOSE(CONTROL!$C$32, $C$9, 100%, $E$9)</f>
        <v>14.3492</v>
      </c>
      <c r="N866" s="11">
        <f>14.3456 * CHOOSE(CONTROL!$C$32, $C$9, 100%, $E$9)</f>
        <v>14.345599999999999</v>
      </c>
      <c r="O866" s="11">
        <f>14.3492 * CHOOSE(CONTROL!$C$32, $C$9, 100%, $E$9)</f>
        <v>14.3492</v>
      </c>
    </row>
    <row r="867" spans="1:15" ht="15" x14ac:dyDescent="0.2">
      <c r="A867" s="13">
        <v>67238</v>
      </c>
      <c r="B867" s="9">
        <f>12.751 * CHOOSE(CONTROL!$C$32, $C$9, 100%, $E$9)</f>
        <v>12.750999999999999</v>
      </c>
      <c r="C867" s="9">
        <f>12.751 * CHOOSE(CONTROL!$C$32, $C$9, 100%, $E$9)</f>
        <v>12.750999999999999</v>
      </c>
      <c r="D867" s="9">
        <f>12.7521 * CHOOSE(CONTROL!$C$32, $C$9, 100%, $E$9)</f>
        <v>12.7521</v>
      </c>
      <c r="E867" s="11">
        <f>13.9553 * CHOOSE(CONTROL!$C$32, $C$9, 100%, $E$9)</f>
        <v>13.955299999999999</v>
      </c>
      <c r="F867" s="11">
        <f>13.9553 * CHOOSE(CONTROL!$C$32, $C$9, 100%, $E$9)</f>
        <v>13.955299999999999</v>
      </c>
      <c r="G867" s="11">
        <f>13.959 * CHOOSE(CONTROL!$C$32, $C$9, 100%, $E$9)</f>
        <v>13.959</v>
      </c>
      <c r="H867" s="11">
        <f>30.0427 * CHOOSE(CONTROL!$C$32, $C$9, 100%, $E$9)</f>
        <v>30.0427</v>
      </c>
      <c r="I867" s="11">
        <f>30.0463 * CHOOSE(CONTROL!$C$32, $C$9, 100%, $E$9)</f>
        <v>30.046299999999999</v>
      </c>
      <c r="J867" s="11">
        <f>30.0427 * CHOOSE(CONTROL!$C$32, $C$9, 100%, $E$9)</f>
        <v>30.0427</v>
      </c>
      <c r="K867" s="11">
        <f>30.0463 * CHOOSE(CONTROL!$C$32, $C$9, 100%, $E$9)</f>
        <v>30.046299999999999</v>
      </c>
      <c r="L867" s="11">
        <f>13.9553 * CHOOSE(CONTROL!$C$32, $C$9, 100%, $E$9)</f>
        <v>13.955299999999999</v>
      </c>
      <c r="M867" s="11">
        <f>13.959 * CHOOSE(CONTROL!$C$32, $C$9, 100%, $E$9)</f>
        <v>13.959</v>
      </c>
      <c r="N867" s="11">
        <f>13.9553 * CHOOSE(CONTROL!$C$32, $C$9, 100%, $E$9)</f>
        <v>13.955299999999999</v>
      </c>
      <c r="O867" s="11">
        <f>13.959 * CHOOSE(CONTROL!$C$32, $C$9, 100%, $E$9)</f>
        <v>13.959</v>
      </c>
    </row>
    <row r="868" spans="1:15" ht="15" x14ac:dyDescent="0.2">
      <c r="A868" s="13">
        <v>67267</v>
      </c>
      <c r="B868" s="9">
        <f>12.748 * CHOOSE(CONTROL!$C$32, $C$9, 100%, $E$9)</f>
        <v>12.747999999999999</v>
      </c>
      <c r="C868" s="9">
        <f>12.748 * CHOOSE(CONTROL!$C$32, $C$9, 100%, $E$9)</f>
        <v>12.747999999999999</v>
      </c>
      <c r="D868" s="9">
        <f>12.7491 * CHOOSE(CONTROL!$C$32, $C$9, 100%, $E$9)</f>
        <v>12.7491</v>
      </c>
      <c r="E868" s="11">
        <f>14.2592 * CHOOSE(CONTROL!$C$32, $C$9, 100%, $E$9)</f>
        <v>14.2592</v>
      </c>
      <c r="F868" s="11">
        <f>14.2592 * CHOOSE(CONTROL!$C$32, $C$9, 100%, $E$9)</f>
        <v>14.2592</v>
      </c>
      <c r="G868" s="11">
        <f>14.2628 * CHOOSE(CONTROL!$C$32, $C$9, 100%, $E$9)</f>
        <v>14.2628</v>
      </c>
      <c r="H868" s="11">
        <f>30.1053 * CHOOSE(CONTROL!$C$32, $C$9, 100%, $E$9)</f>
        <v>30.1053</v>
      </c>
      <c r="I868" s="11">
        <f>30.1089 * CHOOSE(CONTROL!$C$32, $C$9, 100%, $E$9)</f>
        <v>30.108899999999998</v>
      </c>
      <c r="J868" s="11">
        <f>30.1053 * CHOOSE(CONTROL!$C$32, $C$9, 100%, $E$9)</f>
        <v>30.1053</v>
      </c>
      <c r="K868" s="11">
        <f>30.1089 * CHOOSE(CONTROL!$C$32, $C$9, 100%, $E$9)</f>
        <v>30.108899999999998</v>
      </c>
      <c r="L868" s="11">
        <f>14.2592 * CHOOSE(CONTROL!$C$32, $C$9, 100%, $E$9)</f>
        <v>14.2592</v>
      </c>
      <c r="M868" s="11">
        <f>14.2628 * CHOOSE(CONTROL!$C$32, $C$9, 100%, $E$9)</f>
        <v>14.2628</v>
      </c>
      <c r="N868" s="11">
        <f>14.2592 * CHOOSE(CONTROL!$C$32, $C$9, 100%, $E$9)</f>
        <v>14.2592</v>
      </c>
      <c r="O868" s="11">
        <f>14.2628 * CHOOSE(CONTROL!$C$32, $C$9, 100%, $E$9)</f>
        <v>14.2628</v>
      </c>
    </row>
    <row r="869" spans="1:15" ht="15" x14ac:dyDescent="0.2">
      <c r="A869" s="13">
        <v>67298</v>
      </c>
      <c r="B869" s="9">
        <f>12.7541 * CHOOSE(CONTROL!$C$32, $C$9, 100%, $E$9)</f>
        <v>12.754099999999999</v>
      </c>
      <c r="C869" s="9">
        <f>12.7541 * CHOOSE(CONTROL!$C$32, $C$9, 100%, $E$9)</f>
        <v>12.754099999999999</v>
      </c>
      <c r="D869" s="9">
        <f>12.7552 * CHOOSE(CONTROL!$C$32, $C$9, 100%, $E$9)</f>
        <v>12.7552</v>
      </c>
      <c r="E869" s="11">
        <f>14.5835 * CHOOSE(CONTROL!$C$32, $C$9, 100%, $E$9)</f>
        <v>14.583500000000001</v>
      </c>
      <c r="F869" s="11">
        <f>14.5835 * CHOOSE(CONTROL!$C$32, $C$9, 100%, $E$9)</f>
        <v>14.583500000000001</v>
      </c>
      <c r="G869" s="11">
        <f>14.5872 * CHOOSE(CONTROL!$C$32, $C$9, 100%, $E$9)</f>
        <v>14.587199999999999</v>
      </c>
      <c r="H869" s="11">
        <f>30.168 * CHOOSE(CONTROL!$C$32, $C$9, 100%, $E$9)</f>
        <v>30.167999999999999</v>
      </c>
      <c r="I869" s="11">
        <f>30.1716 * CHOOSE(CONTROL!$C$32, $C$9, 100%, $E$9)</f>
        <v>30.171600000000002</v>
      </c>
      <c r="J869" s="11">
        <f>30.168 * CHOOSE(CONTROL!$C$32, $C$9, 100%, $E$9)</f>
        <v>30.167999999999999</v>
      </c>
      <c r="K869" s="11">
        <f>30.1716 * CHOOSE(CONTROL!$C$32, $C$9, 100%, $E$9)</f>
        <v>30.171600000000002</v>
      </c>
      <c r="L869" s="11">
        <f>14.5835 * CHOOSE(CONTROL!$C$32, $C$9, 100%, $E$9)</f>
        <v>14.583500000000001</v>
      </c>
      <c r="M869" s="11">
        <f>14.5872 * CHOOSE(CONTROL!$C$32, $C$9, 100%, $E$9)</f>
        <v>14.587199999999999</v>
      </c>
      <c r="N869" s="11">
        <f>14.5835 * CHOOSE(CONTROL!$C$32, $C$9, 100%, $E$9)</f>
        <v>14.583500000000001</v>
      </c>
      <c r="O869" s="11">
        <f>14.5872 * CHOOSE(CONTROL!$C$32, $C$9, 100%, $E$9)</f>
        <v>14.587199999999999</v>
      </c>
    </row>
    <row r="870" spans="1:15" ht="15" x14ac:dyDescent="0.2">
      <c r="A870" s="13">
        <v>67328</v>
      </c>
      <c r="B870" s="9">
        <f>12.7541 * CHOOSE(CONTROL!$C$32, $C$9, 100%, $E$9)</f>
        <v>12.754099999999999</v>
      </c>
      <c r="C870" s="9">
        <f>12.7541 * CHOOSE(CONTROL!$C$32, $C$9, 100%, $E$9)</f>
        <v>12.754099999999999</v>
      </c>
      <c r="D870" s="9">
        <f>12.7557 * CHOOSE(CONTROL!$C$32, $C$9, 100%, $E$9)</f>
        <v>12.755699999999999</v>
      </c>
      <c r="E870" s="11">
        <f>14.7068 * CHOOSE(CONTROL!$C$32, $C$9, 100%, $E$9)</f>
        <v>14.706799999999999</v>
      </c>
      <c r="F870" s="11">
        <f>14.7068 * CHOOSE(CONTROL!$C$32, $C$9, 100%, $E$9)</f>
        <v>14.706799999999999</v>
      </c>
      <c r="G870" s="11">
        <f>14.7121 * CHOOSE(CONTROL!$C$32, $C$9, 100%, $E$9)</f>
        <v>14.7121</v>
      </c>
      <c r="H870" s="11">
        <f>30.2309 * CHOOSE(CONTROL!$C$32, $C$9, 100%, $E$9)</f>
        <v>30.230899999999998</v>
      </c>
      <c r="I870" s="11">
        <f>30.2362 * CHOOSE(CONTROL!$C$32, $C$9, 100%, $E$9)</f>
        <v>30.2362</v>
      </c>
      <c r="J870" s="11">
        <f>30.2309 * CHOOSE(CONTROL!$C$32, $C$9, 100%, $E$9)</f>
        <v>30.230899999999998</v>
      </c>
      <c r="K870" s="11">
        <f>30.2362 * CHOOSE(CONTROL!$C$32, $C$9, 100%, $E$9)</f>
        <v>30.2362</v>
      </c>
      <c r="L870" s="11">
        <f>14.7068 * CHOOSE(CONTROL!$C$32, $C$9, 100%, $E$9)</f>
        <v>14.706799999999999</v>
      </c>
      <c r="M870" s="11">
        <f>14.7121 * CHOOSE(CONTROL!$C$32, $C$9, 100%, $E$9)</f>
        <v>14.7121</v>
      </c>
      <c r="N870" s="11">
        <f>14.7068 * CHOOSE(CONTROL!$C$32, $C$9, 100%, $E$9)</f>
        <v>14.706799999999999</v>
      </c>
      <c r="O870" s="11">
        <f>14.7121 * CHOOSE(CONTROL!$C$32, $C$9, 100%, $E$9)</f>
        <v>14.7121</v>
      </c>
    </row>
    <row r="871" spans="1:15" ht="15" x14ac:dyDescent="0.2">
      <c r="A871" s="13">
        <v>67359</v>
      </c>
      <c r="B871" s="9">
        <f>12.7602 * CHOOSE(CONTROL!$C$32, $C$9, 100%, $E$9)</f>
        <v>12.760199999999999</v>
      </c>
      <c r="C871" s="9">
        <f>12.7602 * CHOOSE(CONTROL!$C$32, $C$9, 100%, $E$9)</f>
        <v>12.760199999999999</v>
      </c>
      <c r="D871" s="9">
        <f>12.7618 * CHOOSE(CONTROL!$C$32, $C$9, 100%, $E$9)</f>
        <v>12.761799999999999</v>
      </c>
      <c r="E871" s="11">
        <f>14.5878 * CHOOSE(CONTROL!$C$32, $C$9, 100%, $E$9)</f>
        <v>14.5878</v>
      </c>
      <c r="F871" s="11">
        <f>14.5878 * CHOOSE(CONTROL!$C$32, $C$9, 100%, $E$9)</f>
        <v>14.5878</v>
      </c>
      <c r="G871" s="11">
        <f>14.5931 * CHOOSE(CONTROL!$C$32, $C$9, 100%, $E$9)</f>
        <v>14.5931</v>
      </c>
      <c r="H871" s="11">
        <f>30.2938 * CHOOSE(CONTROL!$C$32, $C$9, 100%, $E$9)</f>
        <v>30.293800000000001</v>
      </c>
      <c r="I871" s="11">
        <f>30.2991 * CHOOSE(CONTROL!$C$32, $C$9, 100%, $E$9)</f>
        <v>30.299099999999999</v>
      </c>
      <c r="J871" s="11">
        <f>30.2938 * CHOOSE(CONTROL!$C$32, $C$9, 100%, $E$9)</f>
        <v>30.293800000000001</v>
      </c>
      <c r="K871" s="11">
        <f>30.2991 * CHOOSE(CONTROL!$C$32, $C$9, 100%, $E$9)</f>
        <v>30.299099999999999</v>
      </c>
      <c r="L871" s="11">
        <f>14.5878 * CHOOSE(CONTROL!$C$32, $C$9, 100%, $E$9)</f>
        <v>14.5878</v>
      </c>
      <c r="M871" s="11">
        <f>14.5931 * CHOOSE(CONTROL!$C$32, $C$9, 100%, $E$9)</f>
        <v>14.5931</v>
      </c>
      <c r="N871" s="11">
        <f>14.5878 * CHOOSE(CONTROL!$C$32, $C$9, 100%, $E$9)</f>
        <v>14.5878</v>
      </c>
      <c r="O871" s="11">
        <f>14.5931 * CHOOSE(CONTROL!$C$32, $C$9, 100%, $E$9)</f>
        <v>14.5931</v>
      </c>
    </row>
    <row r="872" spans="1:15" ht="15" x14ac:dyDescent="0.2">
      <c r="A872" s="13">
        <v>67389</v>
      </c>
      <c r="B872" s="9">
        <f>12.9149 * CHOOSE(CONTROL!$C$32, $C$9, 100%, $E$9)</f>
        <v>12.914899999999999</v>
      </c>
      <c r="C872" s="9">
        <f>12.9149 * CHOOSE(CONTROL!$C$32, $C$9, 100%, $E$9)</f>
        <v>12.914899999999999</v>
      </c>
      <c r="D872" s="9">
        <f>12.9165 * CHOOSE(CONTROL!$C$32, $C$9, 100%, $E$9)</f>
        <v>12.916499999999999</v>
      </c>
      <c r="E872" s="11">
        <f>14.7942 * CHOOSE(CONTROL!$C$32, $C$9, 100%, $E$9)</f>
        <v>14.7942</v>
      </c>
      <c r="F872" s="11">
        <f>14.7942 * CHOOSE(CONTROL!$C$32, $C$9, 100%, $E$9)</f>
        <v>14.7942</v>
      </c>
      <c r="G872" s="11">
        <f>14.7995 * CHOOSE(CONTROL!$C$32, $C$9, 100%, $E$9)</f>
        <v>14.7995</v>
      </c>
      <c r="H872" s="11">
        <f>30.357 * CHOOSE(CONTROL!$C$32, $C$9, 100%, $E$9)</f>
        <v>30.356999999999999</v>
      </c>
      <c r="I872" s="11">
        <f>30.3622 * CHOOSE(CONTROL!$C$32, $C$9, 100%, $E$9)</f>
        <v>30.362200000000001</v>
      </c>
      <c r="J872" s="11">
        <f>30.357 * CHOOSE(CONTROL!$C$32, $C$9, 100%, $E$9)</f>
        <v>30.356999999999999</v>
      </c>
      <c r="K872" s="11">
        <f>30.3622 * CHOOSE(CONTROL!$C$32, $C$9, 100%, $E$9)</f>
        <v>30.362200000000001</v>
      </c>
      <c r="L872" s="11">
        <f>14.7942 * CHOOSE(CONTROL!$C$32, $C$9, 100%, $E$9)</f>
        <v>14.7942</v>
      </c>
      <c r="M872" s="11">
        <f>14.7995 * CHOOSE(CONTROL!$C$32, $C$9, 100%, $E$9)</f>
        <v>14.7995</v>
      </c>
      <c r="N872" s="11">
        <f>14.7942 * CHOOSE(CONTROL!$C$32, $C$9, 100%, $E$9)</f>
        <v>14.7942</v>
      </c>
      <c r="O872" s="11">
        <f>14.7995 * CHOOSE(CONTROL!$C$32, $C$9, 100%, $E$9)</f>
        <v>14.7995</v>
      </c>
    </row>
    <row r="873" spans="1:15" ht="15" x14ac:dyDescent="0.2">
      <c r="A873" s="13">
        <v>67420</v>
      </c>
      <c r="B873" s="9">
        <f>12.9216 * CHOOSE(CONTROL!$C$32, $C$9, 100%, $E$9)</f>
        <v>12.9216</v>
      </c>
      <c r="C873" s="9">
        <f>12.9216 * CHOOSE(CONTROL!$C$32, $C$9, 100%, $E$9)</f>
        <v>12.9216</v>
      </c>
      <c r="D873" s="9">
        <f>12.9231 * CHOOSE(CONTROL!$C$32, $C$9, 100%, $E$9)</f>
        <v>12.9231</v>
      </c>
      <c r="E873" s="11">
        <f>14.4292 * CHOOSE(CONTROL!$C$32, $C$9, 100%, $E$9)</f>
        <v>14.4292</v>
      </c>
      <c r="F873" s="11">
        <f>14.4292 * CHOOSE(CONTROL!$C$32, $C$9, 100%, $E$9)</f>
        <v>14.4292</v>
      </c>
      <c r="G873" s="11">
        <f>14.4345 * CHOOSE(CONTROL!$C$32, $C$9, 100%, $E$9)</f>
        <v>14.4345</v>
      </c>
      <c r="H873" s="11">
        <f>30.4202 * CHOOSE(CONTROL!$C$32, $C$9, 100%, $E$9)</f>
        <v>30.420200000000001</v>
      </c>
      <c r="I873" s="11">
        <f>30.4255 * CHOOSE(CONTROL!$C$32, $C$9, 100%, $E$9)</f>
        <v>30.4255</v>
      </c>
      <c r="J873" s="11">
        <f>30.4202 * CHOOSE(CONTROL!$C$32, $C$9, 100%, $E$9)</f>
        <v>30.420200000000001</v>
      </c>
      <c r="K873" s="11">
        <f>30.4255 * CHOOSE(CONTROL!$C$32, $C$9, 100%, $E$9)</f>
        <v>30.4255</v>
      </c>
      <c r="L873" s="11">
        <f>14.4292 * CHOOSE(CONTROL!$C$32, $C$9, 100%, $E$9)</f>
        <v>14.4292</v>
      </c>
      <c r="M873" s="11">
        <f>14.4345 * CHOOSE(CONTROL!$C$32, $C$9, 100%, $E$9)</f>
        <v>14.4345</v>
      </c>
      <c r="N873" s="11">
        <f>14.4292 * CHOOSE(CONTROL!$C$32, $C$9, 100%, $E$9)</f>
        <v>14.4292</v>
      </c>
      <c r="O873" s="11">
        <f>14.4345 * CHOOSE(CONTROL!$C$32, $C$9, 100%, $E$9)</f>
        <v>14.4345</v>
      </c>
    </row>
    <row r="874" spans="1:15" ht="15" x14ac:dyDescent="0.2">
      <c r="A874" s="13">
        <v>67451</v>
      </c>
      <c r="B874" s="9">
        <f>12.9185 * CHOOSE(CONTROL!$C$32, $C$9, 100%, $E$9)</f>
        <v>12.9185</v>
      </c>
      <c r="C874" s="9">
        <f>12.9185 * CHOOSE(CONTROL!$C$32, $C$9, 100%, $E$9)</f>
        <v>12.9185</v>
      </c>
      <c r="D874" s="9">
        <f>12.9201 * CHOOSE(CONTROL!$C$32, $C$9, 100%, $E$9)</f>
        <v>12.9201</v>
      </c>
      <c r="E874" s="11">
        <f>14.386 * CHOOSE(CONTROL!$C$32, $C$9, 100%, $E$9)</f>
        <v>14.385999999999999</v>
      </c>
      <c r="F874" s="11">
        <f>14.386 * CHOOSE(CONTROL!$C$32, $C$9, 100%, $E$9)</f>
        <v>14.385999999999999</v>
      </c>
      <c r="G874" s="11">
        <f>14.3913 * CHOOSE(CONTROL!$C$32, $C$9, 100%, $E$9)</f>
        <v>14.391299999999999</v>
      </c>
      <c r="H874" s="11">
        <f>30.4836 * CHOOSE(CONTROL!$C$32, $C$9, 100%, $E$9)</f>
        <v>30.483599999999999</v>
      </c>
      <c r="I874" s="11">
        <f>30.4889 * CHOOSE(CONTROL!$C$32, $C$9, 100%, $E$9)</f>
        <v>30.488900000000001</v>
      </c>
      <c r="J874" s="11">
        <f>30.4836 * CHOOSE(CONTROL!$C$32, $C$9, 100%, $E$9)</f>
        <v>30.483599999999999</v>
      </c>
      <c r="K874" s="11">
        <f>30.4889 * CHOOSE(CONTROL!$C$32, $C$9, 100%, $E$9)</f>
        <v>30.488900000000001</v>
      </c>
      <c r="L874" s="11">
        <f>14.386 * CHOOSE(CONTROL!$C$32, $C$9, 100%, $E$9)</f>
        <v>14.385999999999999</v>
      </c>
      <c r="M874" s="11">
        <f>14.3913 * CHOOSE(CONTROL!$C$32, $C$9, 100%, $E$9)</f>
        <v>14.391299999999999</v>
      </c>
      <c r="N874" s="11">
        <f>14.386 * CHOOSE(CONTROL!$C$32, $C$9, 100%, $E$9)</f>
        <v>14.385999999999999</v>
      </c>
      <c r="O874" s="11">
        <f>14.3913 * CHOOSE(CONTROL!$C$32, $C$9, 100%, $E$9)</f>
        <v>14.391299999999999</v>
      </c>
    </row>
    <row r="875" spans="1:15" ht="15" x14ac:dyDescent="0.2">
      <c r="A875" s="13">
        <v>67481</v>
      </c>
      <c r="B875" s="9">
        <f>12.9469 * CHOOSE(CONTROL!$C$32, $C$9, 100%, $E$9)</f>
        <v>12.946899999999999</v>
      </c>
      <c r="C875" s="9">
        <f>12.9469 * CHOOSE(CONTROL!$C$32, $C$9, 100%, $E$9)</f>
        <v>12.946899999999999</v>
      </c>
      <c r="D875" s="9">
        <f>12.948 * CHOOSE(CONTROL!$C$32, $C$9, 100%, $E$9)</f>
        <v>12.948</v>
      </c>
      <c r="E875" s="11">
        <f>14.5369 * CHOOSE(CONTROL!$C$32, $C$9, 100%, $E$9)</f>
        <v>14.536899999999999</v>
      </c>
      <c r="F875" s="11">
        <f>14.5369 * CHOOSE(CONTROL!$C$32, $C$9, 100%, $E$9)</f>
        <v>14.536899999999999</v>
      </c>
      <c r="G875" s="11">
        <f>14.5405 * CHOOSE(CONTROL!$C$32, $C$9, 100%, $E$9)</f>
        <v>14.5405</v>
      </c>
      <c r="H875" s="11">
        <f>30.5471 * CHOOSE(CONTROL!$C$32, $C$9, 100%, $E$9)</f>
        <v>30.5471</v>
      </c>
      <c r="I875" s="11">
        <f>30.5507 * CHOOSE(CONTROL!$C$32, $C$9, 100%, $E$9)</f>
        <v>30.550699999999999</v>
      </c>
      <c r="J875" s="11">
        <f>30.5471 * CHOOSE(CONTROL!$C$32, $C$9, 100%, $E$9)</f>
        <v>30.5471</v>
      </c>
      <c r="K875" s="11">
        <f>30.5507 * CHOOSE(CONTROL!$C$32, $C$9, 100%, $E$9)</f>
        <v>30.550699999999999</v>
      </c>
      <c r="L875" s="11">
        <f>14.5369 * CHOOSE(CONTROL!$C$32, $C$9, 100%, $E$9)</f>
        <v>14.536899999999999</v>
      </c>
      <c r="M875" s="11">
        <f>14.5405 * CHOOSE(CONTROL!$C$32, $C$9, 100%, $E$9)</f>
        <v>14.5405</v>
      </c>
      <c r="N875" s="11">
        <f>14.5369 * CHOOSE(CONTROL!$C$32, $C$9, 100%, $E$9)</f>
        <v>14.536899999999999</v>
      </c>
      <c r="O875" s="11">
        <f>14.5405 * CHOOSE(CONTROL!$C$32, $C$9, 100%, $E$9)</f>
        <v>14.5405</v>
      </c>
    </row>
    <row r="876" spans="1:15" ht="15" x14ac:dyDescent="0.2">
      <c r="A876" s="13">
        <v>67512</v>
      </c>
      <c r="B876" s="9">
        <f>12.95 * CHOOSE(CONTROL!$C$32, $C$9, 100%, $E$9)</f>
        <v>12.95</v>
      </c>
      <c r="C876" s="9">
        <f>12.95 * CHOOSE(CONTROL!$C$32, $C$9, 100%, $E$9)</f>
        <v>12.95</v>
      </c>
      <c r="D876" s="9">
        <f>12.951 * CHOOSE(CONTROL!$C$32, $C$9, 100%, $E$9)</f>
        <v>12.951000000000001</v>
      </c>
      <c r="E876" s="11">
        <f>14.6212 * CHOOSE(CONTROL!$C$32, $C$9, 100%, $E$9)</f>
        <v>14.6212</v>
      </c>
      <c r="F876" s="11">
        <f>14.6212 * CHOOSE(CONTROL!$C$32, $C$9, 100%, $E$9)</f>
        <v>14.6212</v>
      </c>
      <c r="G876" s="11">
        <f>14.6248 * CHOOSE(CONTROL!$C$32, $C$9, 100%, $E$9)</f>
        <v>14.6248</v>
      </c>
      <c r="H876" s="11">
        <f>30.6107 * CHOOSE(CONTROL!$C$32, $C$9, 100%, $E$9)</f>
        <v>30.610700000000001</v>
      </c>
      <c r="I876" s="11">
        <f>30.6143 * CHOOSE(CONTROL!$C$32, $C$9, 100%, $E$9)</f>
        <v>30.6143</v>
      </c>
      <c r="J876" s="11">
        <f>30.6107 * CHOOSE(CONTROL!$C$32, $C$9, 100%, $E$9)</f>
        <v>30.610700000000001</v>
      </c>
      <c r="K876" s="11">
        <f>30.6143 * CHOOSE(CONTROL!$C$32, $C$9, 100%, $E$9)</f>
        <v>30.6143</v>
      </c>
      <c r="L876" s="11">
        <f>14.6212 * CHOOSE(CONTROL!$C$32, $C$9, 100%, $E$9)</f>
        <v>14.6212</v>
      </c>
      <c r="M876" s="11">
        <f>14.6248 * CHOOSE(CONTROL!$C$32, $C$9, 100%, $E$9)</f>
        <v>14.6248</v>
      </c>
      <c r="N876" s="11">
        <f>14.6212 * CHOOSE(CONTROL!$C$32, $C$9, 100%, $E$9)</f>
        <v>14.6212</v>
      </c>
      <c r="O876" s="11">
        <f>14.6248 * CHOOSE(CONTROL!$C$32, $C$9, 100%, $E$9)</f>
        <v>14.6248</v>
      </c>
    </row>
    <row r="877" spans="1:15" ht="15" x14ac:dyDescent="0.2">
      <c r="A877" s="13">
        <v>67542</v>
      </c>
      <c r="B877" s="9">
        <f>12.95 * CHOOSE(CONTROL!$C$32, $C$9, 100%, $E$9)</f>
        <v>12.95</v>
      </c>
      <c r="C877" s="9">
        <f>12.95 * CHOOSE(CONTROL!$C$32, $C$9, 100%, $E$9)</f>
        <v>12.95</v>
      </c>
      <c r="D877" s="9">
        <f>12.951 * CHOOSE(CONTROL!$C$32, $C$9, 100%, $E$9)</f>
        <v>12.951000000000001</v>
      </c>
      <c r="E877" s="11">
        <f>14.4158 * CHOOSE(CONTROL!$C$32, $C$9, 100%, $E$9)</f>
        <v>14.415800000000001</v>
      </c>
      <c r="F877" s="11">
        <f>14.4158 * CHOOSE(CONTROL!$C$32, $C$9, 100%, $E$9)</f>
        <v>14.415800000000001</v>
      </c>
      <c r="G877" s="11">
        <f>14.4194 * CHOOSE(CONTROL!$C$32, $C$9, 100%, $E$9)</f>
        <v>14.4194</v>
      </c>
      <c r="H877" s="11">
        <f>30.6745 * CHOOSE(CONTROL!$C$32, $C$9, 100%, $E$9)</f>
        <v>30.674499999999998</v>
      </c>
      <c r="I877" s="11">
        <f>30.6781 * CHOOSE(CONTROL!$C$32, $C$9, 100%, $E$9)</f>
        <v>30.678100000000001</v>
      </c>
      <c r="J877" s="11">
        <f>30.6745 * CHOOSE(CONTROL!$C$32, $C$9, 100%, $E$9)</f>
        <v>30.674499999999998</v>
      </c>
      <c r="K877" s="11">
        <f>30.6781 * CHOOSE(CONTROL!$C$32, $C$9, 100%, $E$9)</f>
        <v>30.678100000000001</v>
      </c>
      <c r="L877" s="11">
        <f>14.4158 * CHOOSE(CONTROL!$C$32, $C$9, 100%, $E$9)</f>
        <v>14.415800000000001</v>
      </c>
      <c r="M877" s="11">
        <f>14.4194 * CHOOSE(CONTROL!$C$32, $C$9, 100%, $E$9)</f>
        <v>14.4194</v>
      </c>
      <c r="N877" s="11">
        <f>14.4158 * CHOOSE(CONTROL!$C$32, $C$9, 100%, $E$9)</f>
        <v>14.415800000000001</v>
      </c>
      <c r="O877" s="11">
        <f>14.4194 * CHOOSE(CONTROL!$C$32, $C$9, 100%, $E$9)</f>
        <v>14.4194</v>
      </c>
    </row>
    <row r="878" spans="1:15" ht="15" x14ac:dyDescent="0.2">
      <c r="A878" s="13">
        <v>67573</v>
      </c>
      <c r="B878" s="9">
        <f>12.9414 * CHOOSE(CONTROL!$C$32, $C$9, 100%, $E$9)</f>
        <v>12.9414</v>
      </c>
      <c r="C878" s="9">
        <f>12.9414 * CHOOSE(CONTROL!$C$32, $C$9, 100%, $E$9)</f>
        <v>12.9414</v>
      </c>
      <c r="D878" s="9">
        <f>12.9425 * CHOOSE(CONTROL!$C$32, $C$9, 100%, $E$9)</f>
        <v>12.942500000000001</v>
      </c>
      <c r="E878" s="11">
        <f>14.5581 * CHOOSE(CONTROL!$C$32, $C$9, 100%, $E$9)</f>
        <v>14.5581</v>
      </c>
      <c r="F878" s="11">
        <f>14.5581 * CHOOSE(CONTROL!$C$32, $C$9, 100%, $E$9)</f>
        <v>14.5581</v>
      </c>
      <c r="G878" s="11">
        <f>14.5617 * CHOOSE(CONTROL!$C$32, $C$9, 100%, $E$9)</f>
        <v>14.5617</v>
      </c>
      <c r="H878" s="11">
        <f>30.452 * CHOOSE(CONTROL!$C$32, $C$9, 100%, $E$9)</f>
        <v>30.452000000000002</v>
      </c>
      <c r="I878" s="11">
        <f>30.4557 * CHOOSE(CONTROL!$C$32, $C$9, 100%, $E$9)</f>
        <v>30.4557</v>
      </c>
      <c r="J878" s="11">
        <f>30.452 * CHOOSE(CONTROL!$C$32, $C$9, 100%, $E$9)</f>
        <v>30.452000000000002</v>
      </c>
      <c r="K878" s="11">
        <f>30.4557 * CHOOSE(CONTROL!$C$32, $C$9, 100%, $E$9)</f>
        <v>30.4557</v>
      </c>
      <c r="L878" s="11">
        <f>14.5581 * CHOOSE(CONTROL!$C$32, $C$9, 100%, $E$9)</f>
        <v>14.5581</v>
      </c>
      <c r="M878" s="11">
        <f>14.5617 * CHOOSE(CONTROL!$C$32, $C$9, 100%, $E$9)</f>
        <v>14.5617</v>
      </c>
      <c r="N878" s="11">
        <f>14.5581 * CHOOSE(CONTROL!$C$32, $C$9, 100%, $E$9)</f>
        <v>14.5581</v>
      </c>
      <c r="O878" s="11">
        <f>14.5617 * CHOOSE(CONTROL!$C$32, $C$9, 100%, $E$9)</f>
        <v>14.5617</v>
      </c>
    </row>
    <row r="879" spans="1:15" ht="15" x14ac:dyDescent="0.2">
      <c r="A879" s="13">
        <v>67604</v>
      </c>
      <c r="B879" s="9">
        <f>12.9384 * CHOOSE(CONTROL!$C$32, $C$9, 100%, $E$9)</f>
        <v>12.9384</v>
      </c>
      <c r="C879" s="9">
        <f>12.9384 * CHOOSE(CONTROL!$C$32, $C$9, 100%, $E$9)</f>
        <v>12.9384</v>
      </c>
      <c r="D879" s="9">
        <f>12.9395 * CHOOSE(CONTROL!$C$32, $C$9, 100%, $E$9)</f>
        <v>12.939500000000001</v>
      </c>
      <c r="E879" s="11">
        <f>14.1608 * CHOOSE(CONTROL!$C$32, $C$9, 100%, $E$9)</f>
        <v>14.1608</v>
      </c>
      <c r="F879" s="11">
        <f>14.1608 * CHOOSE(CONTROL!$C$32, $C$9, 100%, $E$9)</f>
        <v>14.1608</v>
      </c>
      <c r="G879" s="11">
        <f>14.1644 * CHOOSE(CONTROL!$C$32, $C$9, 100%, $E$9)</f>
        <v>14.164400000000001</v>
      </c>
      <c r="H879" s="11">
        <f>30.5155 * CHOOSE(CONTROL!$C$32, $C$9, 100%, $E$9)</f>
        <v>30.515499999999999</v>
      </c>
      <c r="I879" s="11">
        <f>30.5191 * CHOOSE(CONTROL!$C$32, $C$9, 100%, $E$9)</f>
        <v>30.519100000000002</v>
      </c>
      <c r="J879" s="11">
        <f>30.5155 * CHOOSE(CONTROL!$C$32, $C$9, 100%, $E$9)</f>
        <v>30.515499999999999</v>
      </c>
      <c r="K879" s="11">
        <f>30.5191 * CHOOSE(CONTROL!$C$32, $C$9, 100%, $E$9)</f>
        <v>30.519100000000002</v>
      </c>
      <c r="L879" s="11">
        <f>14.1608 * CHOOSE(CONTROL!$C$32, $C$9, 100%, $E$9)</f>
        <v>14.1608</v>
      </c>
      <c r="M879" s="11">
        <f>14.1644 * CHOOSE(CONTROL!$C$32, $C$9, 100%, $E$9)</f>
        <v>14.164400000000001</v>
      </c>
      <c r="N879" s="11">
        <f>14.1608 * CHOOSE(CONTROL!$C$32, $C$9, 100%, $E$9)</f>
        <v>14.1608</v>
      </c>
      <c r="O879" s="11">
        <f>14.1644 * CHOOSE(CONTROL!$C$32, $C$9, 100%, $E$9)</f>
        <v>14.164400000000001</v>
      </c>
    </row>
    <row r="880" spans="1:15" ht="15" x14ac:dyDescent="0.2">
      <c r="A880" s="13">
        <v>67632</v>
      </c>
      <c r="B880" s="9">
        <f>12.9354 * CHOOSE(CONTROL!$C$32, $C$9, 100%, $E$9)</f>
        <v>12.9354</v>
      </c>
      <c r="C880" s="9">
        <f>12.9354 * CHOOSE(CONTROL!$C$32, $C$9, 100%, $E$9)</f>
        <v>12.9354</v>
      </c>
      <c r="D880" s="9">
        <f>12.9364 * CHOOSE(CONTROL!$C$32, $C$9, 100%, $E$9)</f>
        <v>12.936400000000001</v>
      </c>
      <c r="E880" s="11">
        <f>14.4702 * CHOOSE(CONTROL!$C$32, $C$9, 100%, $E$9)</f>
        <v>14.4702</v>
      </c>
      <c r="F880" s="11">
        <f>14.4702 * CHOOSE(CONTROL!$C$32, $C$9, 100%, $E$9)</f>
        <v>14.4702</v>
      </c>
      <c r="G880" s="11">
        <f>14.4738 * CHOOSE(CONTROL!$C$32, $C$9, 100%, $E$9)</f>
        <v>14.473800000000001</v>
      </c>
      <c r="H880" s="11">
        <f>30.5791 * CHOOSE(CONTROL!$C$32, $C$9, 100%, $E$9)</f>
        <v>30.5791</v>
      </c>
      <c r="I880" s="11">
        <f>30.5827 * CHOOSE(CONTROL!$C$32, $C$9, 100%, $E$9)</f>
        <v>30.582699999999999</v>
      </c>
      <c r="J880" s="11">
        <f>30.5791 * CHOOSE(CONTROL!$C$32, $C$9, 100%, $E$9)</f>
        <v>30.5791</v>
      </c>
      <c r="K880" s="11">
        <f>30.5827 * CHOOSE(CONTROL!$C$32, $C$9, 100%, $E$9)</f>
        <v>30.582699999999999</v>
      </c>
      <c r="L880" s="11">
        <f>14.4702 * CHOOSE(CONTROL!$C$32, $C$9, 100%, $E$9)</f>
        <v>14.4702</v>
      </c>
      <c r="M880" s="11">
        <f>14.4738 * CHOOSE(CONTROL!$C$32, $C$9, 100%, $E$9)</f>
        <v>14.473800000000001</v>
      </c>
      <c r="N880" s="11">
        <f>14.4702 * CHOOSE(CONTROL!$C$32, $C$9, 100%, $E$9)</f>
        <v>14.4702</v>
      </c>
      <c r="O880" s="11">
        <f>14.4738 * CHOOSE(CONTROL!$C$32, $C$9, 100%, $E$9)</f>
        <v>14.473800000000001</v>
      </c>
    </row>
    <row r="881" spans="1:15" ht="15" x14ac:dyDescent="0.2">
      <c r="A881" s="13">
        <v>67663</v>
      </c>
      <c r="B881" s="9">
        <f>12.9417 * CHOOSE(CONTROL!$C$32, $C$9, 100%, $E$9)</f>
        <v>12.941700000000001</v>
      </c>
      <c r="C881" s="9">
        <f>12.9417 * CHOOSE(CONTROL!$C$32, $C$9, 100%, $E$9)</f>
        <v>12.941700000000001</v>
      </c>
      <c r="D881" s="9">
        <f>12.9428 * CHOOSE(CONTROL!$C$32, $C$9, 100%, $E$9)</f>
        <v>12.9428</v>
      </c>
      <c r="E881" s="11">
        <f>14.8005 * CHOOSE(CONTROL!$C$32, $C$9, 100%, $E$9)</f>
        <v>14.8005</v>
      </c>
      <c r="F881" s="11">
        <f>14.8005 * CHOOSE(CONTROL!$C$32, $C$9, 100%, $E$9)</f>
        <v>14.8005</v>
      </c>
      <c r="G881" s="11">
        <f>14.8042 * CHOOSE(CONTROL!$C$32, $C$9, 100%, $E$9)</f>
        <v>14.8042</v>
      </c>
      <c r="H881" s="11">
        <f>30.6428 * CHOOSE(CONTROL!$C$32, $C$9, 100%, $E$9)</f>
        <v>30.642800000000001</v>
      </c>
      <c r="I881" s="11">
        <f>30.6464 * CHOOSE(CONTROL!$C$32, $C$9, 100%, $E$9)</f>
        <v>30.6464</v>
      </c>
      <c r="J881" s="11">
        <f>30.6428 * CHOOSE(CONTROL!$C$32, $C$9, 100%, $E$9)</f>
        <v>30.642800000000001</v>
      </c>
      <c r="K881" s="11">
        <f>30.6464 * CHOOSE(CONTROL!$C$32, $C$9, 100%, $E$9)</f>
        <v>30.6464</v>
      </c>
      <c r="L881" s="11">
        <f>14.8005 * CHOOSE(CONTROL!$C$32, $C$9, 100%, $E$9)</f>
        <v>14.8005</v>
      </c>
      <c r="M881" s="11">
        <f>14.8042 * CHOOSE(CONTROL!$C$32, $C$9, 100%, $E$9)</f>
        <v>14.8042</v>
      </c>
      <c r="N881" s="11">
        <f>14.8005 * CHOOSE(CONTROL!$C$32, $C$9, 100%, $E$9)</f>
        <v>14.8005</v>
      </c>
      <c r="O881" s="11">
        <f>14.8042 * CHOOSE(CONTROL!$C$32, $C$9, 100%, $E$9)</f>
        <v>14.8042</v>
      </c>
    </row>
    <row r="882" spans="1:15" ht="15" x14ac:dyDescent="0.2">
      <c r="A882" s="13">
        <v>67693</v>
      </c>
      <c r="B882" s="9">
        <f>12.9417 * CHOOSE(CONTROL!$C$32, $C$9, 100%, $E$9)</f>
        <v>12.941700000000001</v>
      </c>
      <c r="C882" s="9">
        <f>12.9417 * CHOOSE(CONTROL!$C$32, $C$9, 100%, $E$9)</f>
        <v>12.941700000000001</v>
      </c>
      <c r="D882" s="9">
        <f>12.9433 * CHOOSE(CONTROL!$C$32, $C$9, 100%, $E$9)</f>
        <v>12.943300000000001</v>
      </c>
      <c r="E882" s="11">
        <f>14.926 * CHOOSE(CONTROL!$C$32, $C$9, 100%, $E$9)</f>
        <v>14.926</v>
      </c>
      <c r="F882" s="11">
        <f>14.926 * CHOOSE(CONTROL!$C$32, $C$9, 100%, $E$9)</f>
        <v>14.926</v>
      </c>
      <c r="G882" s="11">
        <f>14.9313 * CHOOSE(CONTROL!$C$32, $C$9, 100%, $E$9)</f>
        <v>14.9313</v>
      </c>
      <c r="H882" s="11">
        <f>30.7066 * CHOOSE(CONTROL!$C$32, $C$9, 100%, $E$9)</f>
        <v>30.706600000000002</v>
      </c>
      <c r="I882" s="11">
        <f>30.7119 * CHOOSE(CONTROL!$C$32, $C$9, 100%, $E$9)</f>
        <v>30.7119</v>
      </c>
      <c r="J882" s="11">
        <f>30.7066 * CHOOSE(CONTROL!$C$32, $C$9, 100%, $E$9)</f>
        <v>30.706600000000002</v>
      </c>
      <c r="K882" s="11">
        <f>30.7119 * CHOOSE(CONTROL!$C$32, $C$9, 100%, $E$9)</f>
        <v>30.7119</v>
      </c>
      <c r="L882" s="11">
        <f>14.926 * CHOOSE(CONTROL!$C$32, $C$9, 100%, $E$9)</f>
        <v>14.926</v>
      </c>
      <c r="M882" s="11">
        <f>14.9313 * CHOOSE(CONTROL!$C$32, $C$9, 100%, $E$9)</f>
        <v>14.9313</v>
      </c>
      <c r="N882" s="11">
        <f>14.926 * CHOOSE(CONTROL!$C$32, $C$9, 100%, $E$9)</f>
        <v>14.926</v>
      </c>
      <c r="O882" s="11">
        <f>14.9313 * CHOOSE(CONTROL!$C$32, $C$9, 100%, $E$9)</f>
        <v>14.9313</v>
      </c>
    </row>
    <row r="883" spans="1:15" ht="15" x14ac:dyDescent="0.2">
      <c r="A883" s="13">
        <v>67724</v>
      </c>
      <c r="B883" s="9">
        <f>12.9478 * CHOOSE(CONTROL!$C$32, $C$9, 100%, $E$9)</f>
        <v>12.947800000000001</v>
      </c>
      <c r="C883" s="9">
        <f>12.9478 * CHOOSE(CONTROL!$C$32, $C$9, 100%, $E$9)</f>
        <v>12.947800000000001</v>
      </c>
      <c r="D883" s="9">
        <f>12.9493 * CHOOSE(CONTROL!$C$32, $C$9, 100%, $E$9)</f>
        <v>12.949299999999999</v>
      </c>
      <c r="E883" s="11">
        <f>14.8048 * CHOOSE(CONTROL!$C$32, $C$9, 100%, $E$9)</f>
        <v>14.8048</v>
      </c>
      <c r="F883" s="11">
        <f>14.8048 * CHOOSE(CONTROL!$C$32, $C$9, 100%, $E$9)</f>
        <v>14.8048</v>
      </c>
      <c r="G883" s="11">
        <f>14.8101 * CHOOSE(CONTROL!$C$32, $C$9, 100%, $E$9)</f>
        <v>14.8101</v>
      </c>
      <c r="H883" s="11">
        <f>30.7706 * CHOOSE(CONTROL!$C$32, $C$9, 100%, $E$9)</f>
        <v>30.770600000000002</v>
      </c>
      <c r="I883" s="11">
        <f>30.7759 * CHOOSE(CONTROL!$C$32, $C$9, 100%, $E$9)</f>
        <v>30.7759</v>
      </c>
      <c r="J883" s="11">
        <f>30.7706 * CHOOSE(CONTROL!$C$32, $C$9, 100%, $E$9)</f>
        <v>30.770600000000002</v>
      </c>
      <c r="K883" s="11">
        <f>30.7759 * CHOOSE(CONTROL!$C$32, $C$9, 100%, $E$9)</f>
        <v>30.7759</v>
      </c>
      <c r="L883" s="11">
        <f>14.8048 * CHOOSE(CONTROL!$C$32, $C$9, 100%, $E$9)</f>
        <v>14.8048</v>
      </c>
      <c r="M883" s="11">
        <f>14.8101 * CHOOSE(CONTROL!$C$32, $C$9, 100%, $E$9)</f>
        <v>14.8101</v>
      </c>
      <c r="N883" s="11">
        <f>14.8048 * CHOOSE(CONTROL!$C$32, $C$9, 100%, $E$9)</f>
        <v>14.8048</v>
      </c>
      <c r="O883" s="11">
        <f>14.8101 * CHOOSE(CONTROL!$C$32, $C$9, 100%, $E$9)</f>
        <v>14.8101</v>
      </c>
    </row>
    <row r="884" spans="1:15" ht="15" x14ac:dyDescent="0.2">
      <c r="A884" s="13">
        <v>67754</v>
      </c>
      <c r="B884" s="9">
        <f>13.1045 * CHOOSE(CONTROL!$C$32, $C$9, 100%, $E$9)</f>
        <v>13.1045</v>
      </c>
      <c r="C884" s="9">
        <f>13.1045 * CHOOSE(CONTROL!$C$32, $C$9, 100%, $E$9)</f>
        <v>13.1045</v>
      </c>
      <c r="D884" s="9">
        <f>13.1061 * CHOOSE(CONTROL!$C$32, $C$9, 100%, $E$9)</f>
        <v>13.1061</v>
      </c>
      <c r="E884" s="11">
        <f>15.0144 * CHOOSE(CONTROL!$C$32, $C$9, 100%, $E$9)</f>
        <v>15.0144</v>
      </c>
      <c r="F884" s="11">
        <f>15.0144 * CHOOSE(CONTROL!$C$32, $C$9, 100%, $E$9)</f>
        <v>15.0144</v>
      </c>
      <c r="G884" s="11">
        <f>15.0197 * CHOOSE(CONTROL!$C$32, $C$9, 100%, $E$9)</f>
        <v>15.0197</v>
      </c>
      <c r="H884" s="11">
        <f>30.8347 * CHOOSE(CONTROL!$C$32, $C$9, 100%, $E$9)</f>
        <v>30.834700000000002</v>
      </c>
      <c r="I884" s="11">
        <f>30.84 * CHOOSE(CONTROL!$C$32, $C$9, 100%, $E$9)</f>
        <v>30.84</v>
      </c>
      <c r="J884" s="11">
        <f>30.8347 * CHOOSE(CONTROL!$C$32, $C$9, 100%, $E$9)</f>
        <v>30.834700000000002</v>
      </c>
      <c r="K884" s="11">
        <f>30.84 * CHOOSE(CONTROL!$C$32, $C$9, 100%, $E$9)</f>
        <v>30.84</v>
      </c>
      <c r="L884" s="11">
        <f>15.0144 * CHOOSE(CONTROL!$C$32, $C$9, 100%, $E$9)</f>
        <v>15.0144</v>
      </c>
      <c r="M884" s="11">
        <f>15.0197 * CHOOSE(CONTROL!$C$32, $C$9, 100%, $E$9)</f>
        <v>15.0197</v>
      </c>
      <c r="N884" s="11">
        <f>15.0144 * CHOOSE(CONTROL!$C$32, $C$9, 100%, $E$9)</f>
        <v>15.0144</v>
      </c>
      <c r="O884" s="11">
        <f>15.0197 * CHOOSE(CONTROL!$C$32, $C$9, 100%, $E$9)</f>
        <v>15.0197</v>
      </c>
    </row>
    <row r="885" spans="1:15" ht="15" x14ac:dyDescent="0.2">
      <c r="A885" s="13">
        <v>67785</v>
      </c>
      <c r="B885" s="9">
        <f>13.1112 * CHOOSE(CONTROL!$C$32, $C$9, 100%, $E$9)</f>
        <v>13.1112</v>
      </c>
      <c r="C885" s="9">
        <f>13.1112 * CHOOSE(CONTROL!$C$32, $C$9, 100%, $E$9)</f>
        <v>13.1112</v>
      </c>
      <c r="D885" s="9">
        <f>13.1127 * CHOOSE(CONTROL!$C$32, $C$9, 100%, $E$9)</f>
        <v>13.1127</v>
      </c>
      <c r="E885" s="11">
        <f>14.6427 * CHOOSE(CONTROL!$C$32, $C$9, 100%, $E$9)</f>
        <v>14.6427</v>
      </c>
      <c r="F885" s="11">
        <f>14.6427 * CHOOSE(CONTROL!$C$32, $C$9, 100%, $E$9)</f>
        <v>14.6427</v>
      </c>
      <c r="G885" s="11">
        <f>14.6479 * CHOOSE(CONTROL!$C$32, $C$9, 100%, $E$9)</f>
        <v>14.6479</v>
      </c>
      <c r="H885" s="11">
        <f>30.8989 * CHOOSE(CONTROL!$C$32, $C$9, 100%, $E$9)</f>
        <v>30.898900000000001</v>
      </c>
      <c r="I885" s="11">
        <f>30.9042 * CHOOSE(CONTROL!$C$32, $C$9, 100%, $E$9)</f>
        <v>30.904199999999999</v>
      </c>
      <c r="J885" s="11">
        <f>30.8989 * CHOOSE(CONTROL!$C$32, $C$9, 100%, $E$9)</f>
        <v>30.898900000000001</v>
      </c>
      <c r="K885" s="11">
        <f>30.9042 * CHOOSE(CONTROL!$C$32, $C$9, 100%, $E$9)</f>
        <v>30.904199999999999</v>
      </c>
      <c r="L885" s="11">
        <f>14.6427 * CHOOSE(CONTROL!$C$32, $C$9, 100%, $E$9)</f>
        <v>14.6427</v>
      </c>
      <c r="M885" s="11">
        <f>14.6479 * CHOOSE(CONTROL!$C$32, $C$9, 100%, $E$9)</f>
        <v>14.6479</v>
      </c>
      <c r="N885" s="11">
        <f>14.6427 * CHOOSE(CONTROL!$C$32, $C$9, 100%, $E$9)</f>
        <v>14.6427</v>
      </c>
      <c r="O885" s="11">
        <f>14.6479 * CHOOSE(CONTROL!$C$32, $C$9, 100%, $E$9)</f>
        <v>14.6479</v>
      </c>
    </row>
    <row r="886" spans="1:15" ht="15" x14ac:dyDescent="0.2">
      <c r="A886" s="13">
        <v>67816</v>
      </c>
      <c r="B886" s="9">
        <f>13.1081 * CHOOSE(CONTROL!$C$32, $C$9, 100%, $E$9)</f>
        <v>13.1081</v>
      </c>
      <c r="C886" s="9">
        <f>13.1081 * CHOOSE(CONTROL!$C$32, $C$9, 100%, $E$9)</f>
        <v>13.1081</v>
      </c>
      <c r="D886" s="9">
        <f>13.1097 * CHOOSE(CONTROL!$C$32, $C$9, 100%, $E$9)</f>
        <v>13.1097</v>
      </c>
      <c r="E886" s="11">
        <f>14.5987 * CHOOSE(CONTROL!$C$32, $C$9, 100%, $E$9)</f>
        <v>14.598699999999999</v>
      </c>
      <c r="F886" s="11">
        <f>14.5987 * CHOOSE(CONTROL!$C$32, $C$9, 100%, $E$9)</f>
        <v>14.598699999999999</v>
      </c>
      <c r="G886" s="11">
        <f>14.604 * CHOOSE(CONTROL!$C$32, $C$9, 100%, $E$9)</f>
        <v>14.603999999999999</v>
      </c>
      <c r="H886" s="11">
        <f>30.9633 * CHOOSE(CONTROL!$C$32, $C$9, 100%, $E$9)</f>
        <v>30.9633</v>
      </c>
      <c r="I886" s="11">
        <f>30.9686 * CHOOSE(CONTROL!$C$32, $C$9, 100%, $E$9)</f>
        <v>30.968599999999999</v>
      </c>
      <c r="J886" s="11">
        <f>30.9633 * CHOOSE(CONTROL!$C$32, $C$9, 100%, $E$9)</f>
        <v>30.9633</v>
      </c>
      <c r="K886" s="11">
        <f>30.9686 * CHOOSE(CONTROL!$C$32, $C$9, 100%, $E$9)</f>
        <v>30.968599999999999</v>
      </c>
      <c r="L886" s="11">
        <f>14.5987 * CHOOSE(CONTROL!$C$32, $C$9, 100%, $E$9)</f>
        <v>14.598699999999999</v>
      </c>
      <c r="M886" s="11">
        <f>14.604 * CHOOSE(CONTROL!$C$32, $C$9, 100%, $E$9)</f>
        <v>14.603999999999999</v>
      </c>
      <c r="N886" s="11">
        <f>14.5987 * CHOOSE(CONTROL!$C$32, $C$9, 100%, $E$9)</f>
        <v>14.598699999999999</v>
      </c>
      <c r="O886" s="11">
        <f>14.604 * CHOOSE(CONTROL!$C$32, $C$9, 100%, $E$9)</f>
        <v>14.603999999999999</v>
      </c>
    </row>
    <row r="887" spans="1:15" ht="15" x14ac:dyDescent="0.2">
      <c r="A887" s="13">
        <v>67846</v>
      </c>
      <c r="B887" s="9">
        <f>13.1372 * CHOOSE(CONTROL!$C$32, $C$9, 100%, $E$9)</f>
        <v>13.1372</v>
      </c>
      <c r="C887" s="9">
        <f>13.1372 * CHOOSE(CONTROL!$C$32, $C$9, 100%, $E$9)</f>
        <v>13.1372</v>
      </c>
      <c r="D887" s="9">
        <f>13.1383 * CHOOSE(CONTROL!$C$32, $C$9, 100%, $E$9)</f>
        <v>13.138299999999999</v>
      </c>
      <c r="E887" s="11">
        <f>14.7526 * CHOOSE(CONTROL!$C$32, $C$9, 100%, $E$9)</f>
        <v>14.752599999999999</v>
      </c>
      <c r="F887" s="11">
        <f>14.7526 * CHOOSE(CONTROL!$C$32, $C$9, 100%, $E$9)</f>
        <v>14.752599999999999</v>
      </c>
      <c r="G887" s="11">
        <f>14.7562 * CHOOSE(CONTROL!$C$32, $C$9, 100%, $E$9)</f>
        <v>14.7562</v>
      </c>
      <c r="H887" s="11">
        <f>31.0278 * CHOOSE(CONTROL!$C$32, $C$9, 100%, $E$9)</f>
        <v>31.027799999999999</v>
      </c>
      <c r="I887" s="11">
        <f>31.0314 * CHOOSE(CONTROL!$C$32, $C$9, 100%, $E$9)</f>
        <v>31.031400000000001</v>
      </c>
      <c r="J887" s="11">
        <f>31.0278 * CHOOSE(CONTROL!$C$32, $C$9, 100%, $E$9)</f>
        <v>31.027799999999999</v>
      </c>
      <c r="K887" s="11">
        <f>31.0314 * CHOOSE(CONTROL!$C$32, $C$9, 100%, $E$9)</f>
        <v>31.031400000000001</v>
      </c>
      <c r="L887" s="11">
        <f>14.7526 * CHOOSE(CONTROL!$C$32, $C$9, 100%, $E$9)</f>
        <v>14.752599999999999</v>
      </c>
      <c r="M887" s="11">
        <f>14.7562 * CHOOSE(CONTROL!$C$32, $C$9, 100%, $E$9)</f>
        <v>14.7562</v>
      </c>
      <c r="N887" s="11">
        <f>14.7526 * CHOOSE(CONTROL!$C$32, $C$9, 100%, $E$9)</f>
        <v>14.752599999999999</v>
      </c>
      <c r="O887" s="11">
        <f>14.7562 * CHOOSE(CONTROL!$C$32, $C$9, 100%, $E$9)</f>
        <v>14.7562</v>
      </c>
    </row>
    <row r="888" spans="1:15" ht="15" x14ac:dyDescent="0.2">
      <c r="A888" s="13">
        <v>67877</v>
      </c>
      <c r="B888" s="9">
        <f>13.1403 * CHOOSE(CONTROL!$C$32, $C$9, 100%, $E$9)</f>
        <v>13.1403</v>
      </c>
      <c r="C888" s="9">
        <f>13.1403 * CHOOSE(CONTROL!$C$32, $C$9, 100%, $E$9)</f>
        <v>13.1403</v>
      </c>
      <c r="D888" s="9">
        <f>13.1413 * CHOOSE(CONTROL!$C$32, $C$9, 100%, $E$9)</f>
        <v>13.141299999999999</v>
      </c>
      <c r="E888" s="11">
        <f>14.8383 * CHOOSE(CONTROL!$C$32, $C$9, 100%, $E$9)</f>
        <v>14.8383</v>
      </c>
      <c r="F888" s="11">
        <f>14.8383 * CHOOSE(CONTROL!$C$32, $C$9, 100%, $E$9)</f>
        <v>14.8383</v>
      </c>
      <c r="G888" s="11">
        <f>14.842 * CHOOSE(CONTROL!$C$32, $C$9, 100%, $E$9)</f>
        <v>14.842000000000001</v>
      </c>
      <c r="H888" s="11">
        <f>31.0924 * CHOOSE(CONTROL!$C$32, $C$9, 100%, $E$9)</f>
        <v>31.092400000000001</v>
      </c>
      <c r="I888" s="11">
        <f>31.0961 * CHOOSE(CONTROL!$C$32, $C$9, 100%, $E$9)</f>
        <v>31.0961</v>
      </c>
      <c r="J888" s="11">
        <f>31.0924 * CHOOSE(CONTROL!$C$32, $C$9, 100%, $E$9)</f>
        <v>31.092400000000001</v>
      </c>
      <c r="K888" s="11">
        <f>31.0961 * CHOOSE(CONTROL!$C$32, $C$9, 100%, $E$9)</f>
        <v>31.0961</v>
      </c>
      <c r="L888" s="11">
        <f>14.8383 * CHOOSE(CONTROL!$C$32, $C$9, 100%, $E$9)</f>
        <v>14.8383</v>
      </c>
      <c r="M888" s="11">
        <f>14.842 * CHOOSE(CONTROL!$C$32, $C$9, 100%, $E$9)</f>
        <v>14.842000000000001</v>
      </c>
      <c r="N888" s="11">
        <f>14.8383 * CHOOSE(CONTROL!$C$32, $C$9, 100%, $E$9)</f>
        <v>14.8383</v>
      </c>
      <c r="O888" s="11">
        <f>14.842 * CHOOSE(CONTROL!$C$32, $C$9, 100%, $E$9)</f>
        <v>14.842000000000001</v>
      </c>
    </row>
    <row r="889" spans="1:15" ht="15" x14ac:dyDescent="0.2">
      <c r="A889" s="13">
        <v>67907</v>
      </c>
      <c r="B889" s="9">
        <f>13.1403 * CHOOSE(CONTROL!$C$32, $C$9, 100%, $E$9)</f>
        <v>13.1403</v>
      </c>
      <c r="C889" s="9">
        <f>13.1403 * CHOOSE(CONTROL!$C$32, $C$9, 100%, $E$9)</f>
        <v>13.1403</v>
      </c>
      <c r="D889" s="9">
        <f>13.1413 * CHOOSE(CONTROL!$C$32, $C$9, 100%, $E$9)</f>
        <v>13.141299999999999</v>
      </c>
      <c r="E889" s="11">
        <f>14.6292 * CHOOSE(CONTROL!$C$32, $C$9, 100%, $E$9)</f>
        <v>14.629200000000001</v>
      </c>
      <c r="F889" s="11">
        <f>14.6292 * CHOOSE(CONTROL!$C$32, $C$9, 100%, $E$9)</f>
        <v>14.629200000000001</v>
      </c>
      <c r="G889" s="11">
        <f>14.6328 * CHOOSE(CONTROL!$C$32, $C$9, 100%, $E$9)</f>
        <v>14.6328</v>
      </c>
      <c r="H889" s="11">
        <f>31.1572 * CHOOSE(CONTROL!$C$32, $C$9, 100%, $E$9)</f>
        <v>31.1572</v>
      </c>
      <c r="I889" s="11">
        <f>31.1608 * CHOOSE(CONTROL!$C$32, $C$9, 100%, $E$9)</f>
        <v>31.160799999999998</v>
      </c>
      <c r="J889" s="11">
        <f>31.1572 * CHOOSE(CONTROL!$C$32, $C$9, 100%, $E$9)</f>
        <v>31.1572</v>
      </c>
      <c r="K889" s="11">
        <f>31.1608 * CHOOSE(CONTROL!$C$32, $C$9, 100%, $E$9)</f>
        <v>31.160799999999998</v>
      </c>
      <c r="L889" s="11">
        <f>14.6292 * CHOOSE(CONTROL!$C$32, $C$9, 100%, $E$9)</f>
        <v>14.629200000000001</v>
      </c>
      <c r="M889" s="11">
        <f>14.6328 * CHOOSE(CONTROL!$C$32, $C$9, 100%, $E$9)</f>
        <v>14.6328</v>
      </c>
      <c r="N889" s="11">
        <f>14.6292 * CHOOSE(CONTROL!$C$32, $C$9, 100%, $E$9)</f>
        <v>14.629200000000001</v>
      </c>
      <c r="O889" s="11">
        <f>14.6328 * CHOOSE(CONTROL!$C$32, $C$9, 100%, $E$9)</f>
        <v>14.6328</v>
      </c>
    </row>
    <row r="890" spans="1:15" ht="15" x14ac:dyDescent="0.2">
      <c r="A890" s="13">
        <v>67938</v>
      </c>
      <c r="B890" s="9">
        <f>13.1288 * CHOOSE(CONTROL!$C$32, $C$9, 100%, $E$9)</f>
        <v>13.1288</v>
      </c>
      <c r="C890" s="9">
        <f>13.1288 * CHOOSE(CONTROL!$C$32, $C$9, 100%, $E$9)</f>
        <v>13.1288</v>
      </c>
      <c r="D890" s="9">
        <f>13.1299 * CHOOSE(CONTROL!$C$32, $C$9, 100%, $E$9)</f>
        <v>13.129899999999999</v>
      </c>
      <c r="E890" s="11">
        <f>14.7706 * CHOOSE(CONTROL!$C$32, $C$9, 100%, $E$9)</f>
        <v>14.7706</v>
      </c>
      <c r="F890" s="11">
        <f>14.7706 * CHOOSE(CONTROL!$C$32, $C$9, 100%, $E$9)</f>
        <v>14.7706</v>
      </c>
      <c r="G890" s="11">
        <f>14.7742 * CHOOSE(CONTROL!$C$32, $C$9, 100%, $E$9)</f>
        <v>14.7742</v>
      </c>
      <c r="H890" s="11">
        <f>30.9239 * CHOOSE(CONTROL!$C$32, $C$9, 100%, $E$9)</f>
        <v>30.9239</v>
      </c>
      <c r="I890" s="11">
        <f>30.9275 * CHOOSE(CONTROL!$C$32, $C$9, 100%, $E$9)</f>
        <v>30.927499999999998</v>
      </c>
      <c r="J890" s="11">
        <f>30.9239 * CHOOSE(CONTROL!$C$32, $C$9, 100%, $E$9)</f>
        <v>30.9239</v>
      </c>
      <c r="K890" s="11">
        <f>30.9275 * CHOOSE(CONTROL!$C$32, $C$9, 100%, $E$9)</f>
        <v>30.927499999999998</v>
      </c>
      <c r="L890" s="11">
        <f>14.7706 * CHOOSE(CONTROL!$C$32, $C$9, 100%, $E$9)</f>
        <v>14.7706</v>
      </c>
      <c r="M890" s="11">
        <f>14.7742 * CHOOSE(CONTROL!$C$32, $C$9, 100%, $E$9)</f>
        <v>14.7742</v>
      </c>
      <c r="N890" s="11">
        <f>14.7706 * CHOOSE(CONTROL!$C$32, $C$9, 100%, $E$9)</f>
        <v>14.7706</v>
      </c>
      <c r="O890" s="11">
        <f>14.7742 * CHOOSE(CONTROL!$C$32, $C$9, 100%, $E$9)</f>
        <v>14.7742</v>
      </c>
    </row>
    <row r="891" spans="1:15" ht="15" x14ac:dyDescent="0.2">
      <c r="A891" s="13">
        <v>67969</v>
      </c>
      <c r="B891" s="9">
        <f>13.1258 * CHOOSE(CONTROL!$C$32, $C$9, 100%, $E$9)</f>
        <v>13.1258</v>
      </c>
      <c r="C891" s="9">
        <f>13.1258 * CHOOSE(CONTROL!$C$32, $C$9, 100%, $E$9)</f>
        <v>13.1258</v>
      </c>
      <c r="D891" s="9">
        <f>13.1268 * CHOOSE(CONTROL!$C$32, $C$9, 100%, $E$9)</f>
        <v>13.126799999999999</v>
      </c>
      <c r="E891" s="11">
        <f>14.3662 * CHOOSE(CONTROL!$C$32, $C$9, 100%, $E$9)</f>
        <v>14.366199999999999</v>
      </c>
      <c r="F891" s="11">
        <f>14.3662 * CHOOSE(CONTROL!$C$32, $C$9, 100%, $E$9)</f>
        <v>14.366199999999999</v>
      </c>
      <c r="G891" s="11">
        <f>14.3698 * CHOOSE(CONTROL!$C$32, $C$9, 100%, $E$9)</f>
        <v>14.3698</v>
      </c>
      <c r="H891" s="11">
        <f>30.9883 * CHOOSE(CONTROL!$C$32, $C$9, 100%, $E$9)</f>
        <v>30.988299999999999</v>
      </c>
      <c r="I891" s="11">
        <f>30.9919 * CHOOSE(CONTROL!$C$32, $C$9, 100%, $E$9)</f>
        <v>30.991900000000001</v>
      </c>
      <c r="J891" s="11">
        <f>30.9883 * CHOOSE(CONTROL!$C$32, $C$9, 100%, $E$9)</f>
        <v>30.988299999999999</v>
      </c>
      <c r="K891" s="11">
        <f>30.9919 * CHOOSE(CONTROL!$C$32, $C$9, 100%, $E$9)</f>
        <v>30.991900000000001</v>
      </c>
      <c r="L891" s="11">
        <f>14.3662 * CHOOSE(CONTROL!$C$32, $C$9, 100%, $E$9)</f>
        <v>14.366199999999999</v>
      </c>
      <c r="M891" s="11">
        <f>14.3698 * CHOOSE(CONTROL!$C$32, $C$9, 100%, $E$9)</f>
        <v>14.3698</v>
      </c>
      <c r="N891" s="11">
        <f>14.3662 * CHOOSE(CONTROL!$C$32, $C$9, 100%, $E$9)</f>
        <v>14.366199999999999</v>
      </c>
      <c r="O891" s="11">
        <f>14.3698 * CHOOSE(CONTROL!$C$32, $C$9, 100%, $E$9)</f>
        <v>14.3698</v>
      </c>
    </row>
    <row r="892" spans="1:15" ht="15" x14ac:dyDescent="0.2">
      <c r="A892" s="13">
        <v>67997</v>
      </c>
      <c r="B892" s="9">
        <f>13.1227 * CHOOSE(CONTROL!$C$32, $C$9, 100%, $E$9)</f>
        <v>13.1227</v>
      </c>
      <c r="C892" s="9">
        <f>13.1227 * CHOOSE(CONTROL!$C$32, $C$9, 100%, $E$9)</f>
        <v>13.1227</v>
      </c>
      <c r="D892" s="9">
        <f>13.1238 * CHOOSE(CONTROL!$C$32, $C$9, 100%, $E$9)</f>
        <v>13.123799999999999</v>
      </c>
      <c r="E892" s="11">
        <f>14.6812 * CHOOSE(CONTROL!$C$32, $C$9, 100%, $E$9)</f>
        <v>14.6812</v>
      </c>
      <c r="F892" s="11">
        <f>14.6812 * CHOOSE(CONTROL!$C$32, $C$9, 100%, $E$9)</f>
        <v>14.6812</v>
      </c>
      <c r="G892" s="11">
        <f>14.6848 * CHOOSE(CONTROL!$C$32, $C$9, 100%, $E$9)</f>
        <v>14.684799999999999</v>
      </c>
      <c r="H892" s="11">
        <f>31.0528 * CHOOSE(CONTROL!$C$32, $C$9, 100%, $E$9)</f>
        <v>31.052800000000001</v>
      </c>
      <c r="I892" s="11">
        <f>31.0565 * CHOOSE(CONTROL!$C$32, $C$9, 100%, $E$9)</f>
        <v>31.0565</v>
      </c>
      <c r="J892" s="11">
        <f>31.0528 * CHOOSE(CONTROL!$C$32, $C$9, 100%, $E$9)</f>
        <v>31.052800000000001</v>
      </c>
      <c r="K892" s="11">
        <f>31.0565 * CHOOSE(CONTROL!$C$32, $C$9, 100%, $E$9)</f>
        <v>31.0565</v>
      </c>
      <c r="L892" s="11">
        <f>14.6812 * CHOOSE(CONTROL!$C$32, $C$9, 100%, $E$9)</f>
        <v>14.6812</v>
      </c>
      <c r="M892" s="11">
        <f>14.6848 * CHOOSE(CONTROL!$C$32, $C$9, 100%, $E$9)</f>
        <v>14.684799999999999</v>
      </c>
      <c r="N892" s="11">
        <f>14.6812 * CHOOSE(CONTROL!$C$32, $C$9, 100%, $E$9)</f>
        <v>14.6812</v>
      </c>
      <c r="O892" s="11">
        <f>14.6848 * CHOOSE(CONTROL!$C$32, $C$9, 100%, $E$9)</f>
        <v>14.684799999999999</v>
      </c>
    </row>
    <row r="893" spans="1:15" ht="15" x14ac:dyDescent="0.2">
      <c r="A893" s="13">
        <v>68028</v>
      </c>
      <c r="B893" s="9">
        <f>13.1292 * CHOOSE(CONTROL!$C$32, $C$9, 100%, $E$9)</f>
        <v>13.129200000000001</v>
      </c>
      <c r="C893" s="9">
        <f>13.1292 * CHOOSE(CONTROL!$C$32, $C$9, 100%, $E$9)</f>
        <v>13.129200000000001</v>
      </c>
      <c r="D893" s="9">
        <f>13.1303 * CHOOSE(CONTROL!$C$32, $C$9, 100%, $E$9)</f>
        <v>13.1303</v>
      </c>
      <c r="E893" s="11">
        <f>15.0175 * CHOOSE(CONTROL!$C$32, $C$9, 100%, $E$9)</f>
        <v>15.0175</v>
      </c>
      <c r="F893" s="11">
        <f>15.0175 * CHOOSE(CONTROL!$C$32, $C$9, 100%, $E$9)</f>
        <v>15.0175</v>
      </c>
      <c r="G893" s="11">
        <f>15.0212 * CHOOSE(CONTROL!$C$32, $C$9, 100%, $E$9)</f>
        <v>15.0212</v>
      </c>
      <c r="H893" s="11">
        <f>31.1175 * CHOOSE(CONTROL!$C$32, $C$9, 100%, $E$9)</f>
        <v>31.1175</v>
      </c>
      <c r="I893" s="11">
        <f>31.1211 * CHOOSE(CONTROL!$C$32, $C$9, 100%, $E$9)</f>
        <v>31.121099999999998</v>
      </c>
      <c r="J893" s="11">
        <f>31.1175 * CHOOSE(CONTROL!$C$32, $C$9, 100%, $E$9)</f>
        <v>31.1175</v>
      </c>
      <c r="K893" s="11">
        <f>31.1211 * CHOOSE(CONTROL!$C$32, $C$9, 100%, $E$9)</f>
        <v>31.121099999999998</v>
      </c>
      <c r="L893" s="11">
        <f>15.0175 * CHOOSE(CONTROL!$C$32, $C$9, 100%, $E$9)</f>
        <v>15.0175</v>
      </c>
      <c r="M893" s="11">
        <f>15.0212 * CHOOSE(CONTROL!$C$32, $C$9, 100%, $E$9)</f>
        <v>15.0212</v>
      </c>
      <c r="N893" s="11">
        <f>15.0175 * CHOOSE(CONTROL!$C$32, $C$9, 100%, $E$9)</f>
        <v>15.0175</v>
      </c>
      <c r="O893" s="11">
        <f>15.0212 * CHOOSE(CONTROL!$C$32, $C$9, 100%, $E$9)</f>
        <v>15.0212</v>
      </c>
    </row>
    <row r="894" spans="1:15" ht="15" x14ac:dyDescent="0.2">
      <c r="A894" s="13">
        <v>68058</v>
      </c>
      <c r="B894" s="9">
        <f>13.1292 * CHOOSE(CONTROL!$C$32, $C$9, 100%, $E$9)</f>
        <v>13.129200000000001</v>
      </c>
      <c r="C894" s="9">
        <f>13.1292 * CHOOSE(CONTROL!$C$32, $C$9, 100%, $E$9)</f>
        <v>13.129200000000001</v>
      </c>
      <c r="D894" s="9">
        <f>13.1308 * CHOOSE(CONTROL!$C$32, $C$9, 100%, $E$9)</f>
        <v>13.130800000000001</v>
      </c>
      <c r="E894" s="11">
        <f>15.1453 * CHOOSE(CONTROL!$C$32, $C$9, 100%, $E$9)</f>
        <v>15.145300000000001</v>
      </c>
      <c r="F894" s="11">
        <f>15.1453 * CHOOSE(CONTROL!$C$32, $C$9, 100%, $E$9)</f>
        <v>15.145300000000001</v>
      </c>
      <c r="G894" s="11">
        <f>15.1506 * CHOOSE(CONTROL!$C$32, $C$9, 100%, $E$9)</f>
        <v>15.150600000000001</v>
      </c>
      <c r="H894" s="11">
        <f>31.1824 * CHOOSE(CONTROL!$C$32, $C$9, 100%, $E$9)</f>
        <v>31.182400000000001</v>
      </c>
      <c r="I894" s="11">
        <f>31.1876 * CHOOSE(CONTROL!$C$32, $C$9, 100%, $E$9)</f>
        <v>31.1876</v>
      </c>
      <c r="J894" s="11">
        <f>31.1824 * CHOOSE(CONTROL!$C$32, $C$9, 100%, $E$9)</f>
        <v>31.182400000000001</v>
      </c>
      <c r="K894" s="11">
        <f>31.1876 * CHOOSE(CONTROL!$C$32, $C$9, 100%, $E$9)</f>
        <v>31.1876</v>
      </c>
      <c r="L894" s="11">
        <f>15.1453 * CHOOSE(CONTROL!$C$32, $C$9, 100%, $E$9)</f>
        <v>15.145300000000001</v>
      </c>
      <c r="M894" s="11">
        <f>15.1506 * CHOOSE(CONTROL!$C$32, $C$9, 100%, $E$9)</f>
        <v>15.150600000000001</v>
      </c>
      <c r="N894" s="11">
        <f>15.1453 * CHOOSE(CONTROL!$C$32, $C$9, 100%, $E$9)</f>
        <v>15.145300000000001</v>
      </c>
      <c r="O894" s="11">
        <f>15.1506 * CHOOSE(CONTROL!$C$32, $C$9, 100%, $E$9)</f>
        <v>15.150600000000001</v>
      </c>
    </row>
    <row r="895" spans="1:15" ht="15" x14ac:dyDescent="0.2">
      <c r="A895" s="13">
        <v>68089</v>
      </c>
      <c r="B895" s="9">
        <f>13.1353 * CHOOSE(CONTROL!$C$32, $C$9, 100%, $E$9)</f>
        <v>13.135300000000001</v>
      </c>
      <c r="C895" s="9">
        <f>13.1353 * CHOOSE(CONTROL!$C$32, $C$9, 100%, $E$9)</f>
        <v>13.135300000000001</v>
      </c>
      <c r="D895" s="9">
        <f>13.1369 * CHOOSE(CONTROL!$C$32, $C$9, 100%, $E$9)</f>
        <v>13.136900000000001</v>
      </c>
      <c r="E895" s="11">
        <f>15.0218 * CHOOSE(CONTROL!$C$32, $C$9, 100%, $E$9)</f>
        <v>15.021800000000001</v>
      </c>
      <c r="F895" s="11">
        <f>15.0218 * CHOOSE(CONTROL!$C$32, $C$9, 100%, $E$9)</f>
        <v>15.021800000000001</v>
      </c>
      <c r="G895" s="11">
        <f>15.0271 * CHOOSE(CONTROL!$C$32, $C$9, 100%, $E$9)</f>
        <v>15.027100000000001</v>
      </c>
      <c r="H895" s="11">
        <f>31.2473 * CHOOSE(CONTROL!$C$32, $C$9, 100%, $E$9)</f>
        <v>31.247299999999999</v>
      </c>
      <c r="I895" s="11">
        <f>31.2526 * CHOOSE(CONTROL!$C$32, $C$9, 100%, $E$9)</f>
        <v>31.252600000000001</v>
      </c>
      <c r="J895" s="11">
        <f>31.2473 * CHOOSE(CONTROL!$C$32, $C$9, 100%, $E$9)</f>
        <v>31.247299999999999</v>
      </c>
      <c r="K895" s="11">
        <f>31.2526 * CHOOSE(CONTROL!$C$32, $C$9, 100%, $E$9)</f>
        <v>31.252600000000001</v>
      </c>
      <c r="L895" s="11">
        <f>15.0218 * CHOOSE(CONTROL!$C$32, $C$9, 100%, $E$9)</f>
        <v>15.021800000000001</v>
      </c>
      <c r="M895" s="11">
        <f>15.0271 * CHOOSE(CONTROL!$C$32, $C$9, 100%, $E$9)</f>
        <v>15.027100000000001</v>
      </c>
      <c r="N895" s="11">
        <f>15.0218 * CHOOSE(CONTROL!$C$32, $C$9, 100%, $E$9)</f>
        <v>15.021800000000001</v>
      </c>
      <c r="O895" s="11">
        <f>15.0271 * CHOOSE(CONTROL!$C$32, $C$9, 100%, $E$9)</f>
        <v>15.027100000000001</v>
      </c>
    </row>
    <row r="896" spans="1:15" ht="15" x14ac:dyDescent="0.2">
      <c r="A896" s="13">
        <v>68119</v>
      </c>
      <c r="B896" s="9">
        <f>13.2941 * CHOOSE(CONTROL!$C$32, $C$9, 100%, $E$9)</f>
        <v>13.2941</v>
      </c>
      <c r="C896" s="9">
        <f>13.2941 * CHOOSE(CONTROL!$C$32, $C$9, 100%, $E$9)</f>
        <v>13.2941</v>
      </c>
      <c r="D896" s="9">
        <f>13.2957 * CHOOSE(CONTROL!$C$32, $C$9, 100%, $E$9)</f>
        <v>13.2957</v>
      </c>
      <c r="E896" s="11">
        <f>15.2346 * CHOOSE(CONTROL!$C$32, $C$9, 100%, $E$9)</f>
        <v>15.2346</v>
      </c>
      <c r="F896" s="11">
        <f>15.2346 * CHOOSE(CONTROL!$C$32, $C$9, 100%, $E$9)</f>
        <v>15.2346</v>
      </c>
      <c r="G896" s="11">
        <f>15.2399 * CHOOSE(CONTROL!$C$32, $C$9, 100%, $E$9)</f>
        <v>15.2399</v>
      </c>
      <c r="H896" s="11">
        <f>31.3124 * CHOOSE(CONTROL!$C$32, $C$9, 100%, $E$9)</f>
        <v>31.3124</v>
      </c>
      <c r="I896" s="11">
        <f>31.3177 * CHOOSE(CONTROL!$C$32, $C$9, 100%, $E$9)</f>
        <v>31.317699999999999</v>
      </c>
      <c r="J896" s="11">
        <f>31.3124 * CHOOSE(CONTROL!$C$32, $C$9, 100%, $E$9)</f>
        <v>31.3124</v>
      </c>
      <c r="K896" s="11">
        <f>31.3177 * CHOOSE(CONTROL!$C$32, $C$9, 100%, $E$9)</f>
        <v>31.317699999999999</v>
      </c>
      <c r="L896" s="11">
        <f>15.2346 * CHOOSE(CONTROL!$C$32, $C$9, 100%, $E$9)</f>
        <v>15.2346</v>
      </c>
      <c r="M896" s="11">
        <f>15.2399 * CHOOSE(CONTROL!$C$32, $C$9, 100%, $E$9)</f>
        <v>15.2399</v>
      </c>
      <c r="N896" s="11">
        <f>15.2346 * CHOOSE(CONTROL!$C$32, $C$9, 100%, $E$9)</f>
        <v>15.2346</v>
      </c>
      <c r="O896" s="11">
        <f>15.2399 * CHOOSE(CONTROL!$C$32, $C$9, 100%, $E$9)</f>
        <v>15.2399</v>
      </c>
    </row>
    <row r="897" spans="1:15" ht="15" x14ac:dyDescent="0.2">
      <c r="A897" s="13">
        <v>68150</v>
      </c>
      <c r="B897" s="9">
        <f>13.3008 * CHOOSE(CONTROL!$C$32, $C$9, 100%, $E$9)</f>
        <v>13.300800000000001</v>
      </c>
      <c r="C897" s="9">
        <f>13.3008 * CHOOSE(CONTROL!$C$32, $C$9, 100%, $E$9)</f>
        <v>13.300800000000001</v>
      </c>
      <c r="D897" s="9">
        <f>13.3023 * CHOOSE(CONTROL!$C$32, $C$9, 100%, $E$9)</f>
        <v>13.302300000000001</v>
      </c>
      <c r="E897" s="11">
        <f>14.8561 * CHOOSE(CONTROL!$C$32, $C$9, 100%, $E$9)</f>
        <v>14.8561</v>
      </c>
      <c r="F897" s="11">
        <f>14.8561 * CHOOSE(CONTROL!$C$32, $C$9, 100%, $E$9)</f>
        <v>14.8561</v>
      </c>
      <c r="G897" s="11">
        <f>14.8614 * CHOOSE(CONTROL!$C$32, $C$9, 100%, $E$9)</f>
        <v>14.8614</v>
      </c>
      <c r="H897" s="11">
        <f>31.3777 * CHOOSE(CONTROL!$C$32, $C$9, 100%, $E$9)</f>
        <v>31.377700000000001</v>
      </c>
      <c r="I897" s="11">
        <f>31.3829 * CHOOSE(CONTROL!$C$32, $C$9, 100%, $E$9)</f>
        <v>31.382899999999999</v>
      </c>
      <c r="J897" s="11">
        <f>31.3777 * CHOOSE(CONTROL!$C$32, $C$9, 100%, $E$9)</f>
        <v>31.377700000000001</v>
      </c>
      <c r="K897" s="11">
        <f>31.3829 * CHOOSE(CONTROL!$C$32, $C$9, 100%, $E$9)</f>
        <v>31.382899999999999</v>
      </c>
      <c r="L897" s="11">
        <f>14.8561 * CHOOSE(CONTROL!$C$32, $C$9, 100%, $E$9)</f>
        <v>14.8561</v>
      </c>
      <c r="M897" s="11">
        <f>14.8614 * CHOOSE(CONTROL!$C$32, $C$9, 100%, $E$9)</f>
        <v>14.8614</v>
      </c>
      <c r="N897" s="11">
        <f>14.8561 * CHOOSE(CONTROL!$C$32, $C$9, 100%, $E$9)</f>
        <v>14.8561</v>
      </c>
      <c r="O897" s="11">
        <f>14.8614 * CHOOSE(CONTROL!$C$32, $C$9, 100%, $E$9)</f>
        <v>14.8614</v>
      </c>
    </row>
    <row r="898" spans="1:15" ht="15" x14ac:dyDescent="0.2">
      <c r="A898" s="13">
        <v>68181</v>
      </c>
      <c r="B898" s="9">
        <f>13.2977 * CHOOSE(CONTROL!$C$32, $C$9, 100%, $E$9)</f>
        <v>13.297700000000001</v>
      </c>
      <c r="C898" s="9">
        <f>13.2977 * CHOOSE(CONTROL!$C$32, $C$9, 100%, $E$9)</f>
        <v>13.297700000000001</v>
      </c>
      <c r="D898" s="9">
        <f>13.2993 * CHOOSE(CONTROL!$C$32, $C$9, 100%, $E$9)</f>
        <v>13.299300000000001</v>
      </c>
      <c r="E898" s="11">
        <f>14.8114 * CHOOSE(CONTROL!$C$32, $C$9, 100%, $E$9)</f>
        <v>14.811400000000001</v>
      </c>
      <c r="F898" s="11">
        <f>14.8114 * CHOOSE(CONTROL!$C$32, $C$9, 100%, $E$9)</f>
        <v>14.811400000000001</v>
      </c>
      <c r="G898" s="11">
        <f>14.8167 * CHOOSE(CONTROL!$C$32, $C$9, 100%, $E$9)</f>
        <v>14.816700000000001</v>
      </c>
      <c r="H898" s="11">
        <f>31.443 * CHOOSE(CONTROL!$C$32, $C$9, 100%, $E$9)</f>
        <v>31.443000000000001</v>
      </c>
      <c r="I898" s="11">
        <f>31.4483 * CHOOSE(CONTROL!$C$32, $C$9, 100%, $E$9)</f>
        <v>31.4483</v>
      </c>
      <c r="J898" s="11">
        <f>31.443 * CHOOSE(CONTROL!$C$32, $C$9, 100%, $E$9)</f>
        <v>31.443000000000001</v>
      </c>
      <c r="K898" s="11">
        <f>31.4483 * CHOOSE(CONTROL!$C$32, $C$9, 100%, $E$9)</f>
        <v>31.4483</v>
      </c>
      <c r="L898" s="11">
        <f>14.8114 * CHOOSE(CONTROL!$C$32, $C$9, 100%, $E$9)</f>
        <v>14.811400000000001</v>
      </c>
      <c r="M898" s="11">
        <f>14.8167 * CHOOSE(CONTROL!$C$32, $C$9, 100%, $E$9)</f>
        <v>14.816700000000001</v>
      </c>
      <c r="N898" s="11">
        <f>14.8114 * CHOOSE(CONTROL!$C$32, $C$9, 100%, $E$9)</f>
        <v>14.811400000000001</v>
      </c>
      <c r="O898" s="11">
        <f>14.8167 * CHOOSE(CONTROL!$C$32, $C$9, 100%, $E$9)</f>
        <v>14.816700000000001</v>
      </c>
    </row>
    <row r="899" spans="1:15" ht="15" x14ac:dyDescent="0.2">
      <c r="A899" s="13">
        <v>68211</v>
      </c>
      <c r="B899" s="9">
        <f>13.3275 * CHOOSE(CONTROL!$C$32, $C$9, 100%, $E$9)</f>
        <v>13.327500000000001</v>
      </c>
      <c r="C899" s="9">
        <f>13.3275 * CHOOSE(CONTROL!$C$32, $C$9, 100%, $E$9)</f>
        <v>13.327500000000001</v>
      </c>
      <c r="D899" s="9">
        <f>13.3286 * CHOOSE(CONTROL!$C$32, $C$9, 100%, $E$9)</f>
        <v>13.3286</v>
      </c>
      <c r="E899" s="11">
        <f>14.9683 * CHOOSE(CONTROL!$C$32, $C$9, 100%, $E$9)</f>
        <v>14.968299999999999</v>
      </c>
      <c r="F899" s="11">
        <f>14.9683 * CHOOSE(CONTROL!$C$32, $C$9, 100%, $E$9)</f>
        <v>14.968299999999999</v>
      </c>
      <c r="G899" s="11">
        <f>14.9719 * CHOOSE(CONTROL!$C$32, $C$9, 100%, $E$9)</f>
        <v>14.9719</v>
      </c>
      <c r="H899" s="11">
        <f>31.5085 * CHOOSE(CONTROL!$C$32, $C$9, 100%, $E$9)</f>
        <v>31.508500000000002</v>
      </c>
      <c r="I899" s="11">
        <f>31.5121 * CHOOSE(CONTROL!$C$32, $C$9, 100%, $E$9)</f>
        <v>31.5121</v>
      </c>
      <c r="J899" s="11">
        <f>31.5085 * CHOOSE(CONTROL!$C$32, $C$9, 100%, $E$9)</f>
        <v>31.508500000000002</v>
      </c>
      <c r="K899" s="11">
        <f>31.5121 * CHOOSE(CONTROL!$C$32, $C$9, 100%, $E$9)</f>
        <v>31.5121</v>
      </c>
      <c r="L899" s="11">
        <f>14.9683 * CHOOSE(CONTROL!$C$32, $C$9, 100%, $E$9)</f>
        <v>14.968299999999999</v>
      </c>
      <c r="M899" s="11">
        <f>14.9719 * CHOOSE(CONTROL!$C$32, $C$9, 100%, $E$9)</f>
        <v>14.9719</v>
      </c>
      <c r="N899" s="11">
        <f>14.9683 * CHOOSE(CONTROL!$C$32, $C$9, 100%, $E$9)</f>
        <v>14.968299999999999</v>
      </c>
      <c r="O899" s="11">
        <f>14.9719 * CHOOSE(CONTROL!$C$32, $C$9, 100%, $E$9)</f>
        <v>14.9719</v>
      </c>
    </row>
    <row r="900" spans="1:15" ht="15" x14ac:dyDescent="0.2">
      <c r="A900" s="13">
        <v>68242</v>
      </c>
      <c r="B900" s="9">
        <f>13.3306 * CHOOSE(CONTROL!$C$32, $C$9, 100%, $E$9)</f>
        <v>13.3306</v>
      </c>
      <c r="C900" s="9">
        <f>13.3306 * CHOOSE(CONTROL!$C$32, $C$9, 100%, $E$9)</f>
        <v>13.3306</v>
      </c>
      <c r="D900" s="9">
        <f>13.3317 * CHOOSE(CONTROL!$C$32, $C$9, 100%, $E$9)</f>
        <v>13.3317</v>
      </c>
      <c r="E900" s="11">
        <f>15.0555 * CHOOSE(CONTROL!$C$32, $C$9, 100%, $E$9)</f>
        <v>15.0555</v>
      </c>
      <c r="F900" s="11">
        <f>15.0555 * CHOOSE(CONTROL!$C$32, $C$9, 100%, $E$9)</f>
        <v>15.0555</v>
      </c>
      <c r="G900" s="11">
        <f>15.0591 * CHOOSE(CONTROL!$C$32, $C$9, 100%, $E$9)</f>
        <v>15.059100000000001</v>
      </c>
      <c r="H900" s="11">
        <f>31.5742 * CHOOSE(CONTROL!$C$32, $C$9, 100%, $E$9)</f>
        <v>31.574200000000001</v>
      </c>
      <c r="I900" s="11">
        <f>31.5778 * CHOOSE(CONTROL!$C$32, $C$9, 100%, $E$9)</f>
        <v>31.5778</v>
      </c>
      <c r="J900" s="11">
        <f>31.5742 * CHOOSE(CONTROL!$C$32, $C$9, 100%, $E$9)</f>
        <v>31.574200000000001</v>
      </c>
      <c r="K900" s="11">
        <f>31.5778 * CHOOSE(CONTROL!$C$32, $C$9, 100%, $E$9)</f>
        <v>31.5778</v>
      </c>
      <c r="L900" s="11">
        <f>15.0555 * CHOOSE(CONTROL!$C$32, $C$9, 100%, $E$9)</f>
        <v>15.0555</v>
      </c>
      <c r="M900" s="11">
        <f>15.0591 * CHOOSE(CONTROL!$C$32, $C$9, 100%, $E$9)</f>
        <v>15.059100000000001</v>
      </c>
      <c r="N900" s="11">
        <f>15.0555 * CHOOSE(CONTROL!$C$32, $C$9, 100%, $E$9)</f>
        <v>15.0555</v>
      </c>
      <c r="O900" s="11">
        <f>15.0591 * CHOOSE(CONTROL!$C$32, $C$9, 100%, $E$9)</f>
        <v>15.059100000000001</v>
      </c>
    </row>
    <row r="901" spans="1:15" ht="15" x14ac:dyDescent="0.2">
      <c r="A901" s="13">
        <v>68272</v>
      </c>
      <c r="B901" s="9">
        <f>13.3306 * CHOOSE(CONTROL!$C$32, $C$9, 100%, $E$9)</f>
        <v>13.3306</v>
      </c>
      <c r="C901" s="9">
        <f>13.3306 * CHOOSE(CONTROL!$C$32, $C$9, 100%, $E$9)</f>
        <v>13.3306</v>
      </c>
      <c r="D901" s="9">
        <f>13.3317 * CHOOSE(CONTROL!$C$32, $C$9, 100%, $E$9)</f>
        <v>13.3317</v>
      </c>
      <c r="E901" s="11">
        <f>14.8427 * CHOOSE(CONTROL!$C$32, $C$9, 100%, $E$9)</f>
        <v>14.842700000000001</v>
      </c>
      <c r="F901" s="11">
        <f>14.8427 * CHOOSE(CONTROL!$C$32, $C$9, 100%, $E$9)</f>
        <v>14.842700000000001</v>
      </c>
      <c r="G901" s="11">
        <f>14.8463 * CHOOSE(CONTROL!$C$32, $C$9, 100%, $E$9)</f>
        <v>14.846299999999999</v>
      </c>
      <c r="H901" s="11">
        <f>31.64 * CHOOSE(CONTROL!$C$32, $C$9, 100%, $E$9)</f>
        <v>31.64</v>
      </c>
      <c r="I901" s="11">
        <f>31.6436 * CHOOSE(CONTROL!$C$32, $C$9, 100%, $E$9)</f>
        <v>31.643599999999999</v>
      </c>
      <c r="J901" s="11">
        <f>31.64 * CHOOSE(CONTROL!$C$32, $C$9, 100%, $E$9)</f>
        <v>31.64</v>
      </c>
      <c r="K901" s="11">
        <f>31.6436 * CHOOSE(CONTROL!$C$32, $C$9, 100%, $E$9)</f>
        <v>31.643599999999999</v>
      </c>
      <c r="L901" s="11">
        <f>14.8427 * CHOOSE(CONTROL!$C$32, $C$9, 100%, $E$9)</f>
        <v>14.842700000000001</v>
      </c>
      <c r="M901" s="11">
        <f>14.8463 * CHOOSE(CONTROL!$C$32, $C$9, 100%, $E$9)</f>
        <v>14.846299999999999</v>
      </c>
      <c r="N901" s="11">
        <f>14.8427 * CHOOSE(CONTROL!$C$32, $C$9, 100%, $E$9)</f>
        <v>14.842700000000001</v>
      </c>
      <c r="O901" s="11">
        <f>14.8463 * CHOOSE(CONTROL!$C$32, $C$9, 100%, $E$9)</f>
        <v>14.846299999999999</v>
      </c>
    </row>
    <row r="902" spans="1:15" ht="15" x14ac:dyDescent="0.2">
      <c r="A902" s="13">
        <v>68303</v>
      </c>
      <c r="B902" s="9">
        <f>13.3162 * CHOOSE(CONTROL!$C$32, $C$9, 100%, $E$9)</f>
        <v>13.3162</v>
      </c>
      <c r="C902" s="9">
        <f>13.3162 * CHOOSE(CONTROL!$C$32, $C$9, 100%, $E$9)</f>
        <v>13.3162</v>
      </c>
      <c r="D902" s="9">
        <f>13.3172 * CHOOSE(CONTROL!$C$32, $C$9, 100%, $E$9)</f>
        <v>13.3172</v>
      </c>
      <c r="E902" s="11">
        <f>14.9831 * CHOOSE(CONTROL!$C$32, $C$9, 100%, $E$9)</f>
        <v>14.9831</v>
      </c>
      <c r="F902" s="11">
        <f>14.9831 * CHOOSE(CONTROL!$C$32, $C$9, 100%, $E$9)</f>
        <v>14.9831</v>
      </c>
      <c r="G902" s="11">
        <f>14.9867 * CHOOSE(CONTROL!$C$32, $C$9, 100%, $E$9)</f>
        <v>14.986700000000001</v>
      </c>
      <c r="H902" s="11">
        <f>31.3957 * CHOOSE(CONTROL!$C$32, $C$9, 100%, $E$9)</f>
        <v>31.395700000000001</v>
      </c>
      <c r="I902" s="11">
        <f>31.3993 * CHOOSE(CONTROL!$C$32, $C$9, 100%, $E$9)</f>
        <v>31.3993</v>
      </c>
      <c r="J902" s="11">
        <f>31.3957 * CHOOSE(CONTROL!$C$32, $C$9, 100%, $E$9)</f>
        <v>31.395700000000001</v>
      </c>
      <c r="K902" s="11">
        <f>31.3993 * CHOOSE(CONTROL!$C$32, $C$9, 100%, $E$9)</f>
        <v>31.3993</v>
      </c>
      <c r="L902" s="11">
        <f>14.9831 * CHOOSE(CONTROL!$C$32, $C$9, 100%, $E$9)</f>
        <v>14.9831</v>
      </c>
      <c r="M902" s="11">
        <f>14.9867 * CHOOSE(CONTROL!$C$32, $C$9, 100%, $E$9)</f>
        <v>14.986700000000001</v>
      </c>
      <c r="N902" s="11">
        <f>14.9831 * CHOOSE(CONTROL!$C$32, $C$9, 100%, $E$9)</f>
        <v>14.9831</v>
      </c>
      <c r="O902" s="11">
        <f>14.9867 * CHOOSE(CONTROL!$C$32, $C$9, 100%, $E$9)</f>
        <v>14.986700000000001</v>
      </c>
    </row>
    <row r="903" spans="1:15" ht="15" x14ac:dyDescent="0.2">
      <c r="A903" s="13">
        <v>68334</v>
      </c>
      <c r="B903" s="9">
        <f>13.3131 * CHOOSE(CONTROL!$C$32, $C$9, 100%, $E$9)</f>
        <v>13.3131</v>
      </c>
      <c r="C903" s="9">
        <f>13.3131 * CHOOSE(CONTROL!$C$32, $C$9, 100%, $E$9)</f>
        <v>13.3131</v>
      </c>
      <c r="D903" s="9">
        <f>13.3142 * CHOOSE(CONTROL!$C$32, $C$9, 100%, $E$9)</f>
        <v>13.3142</v>
      </c>
      <c r="E903" s="11">
        <f>14.5716 * CHOOSE(CONTROL!$C$32, $C$9, 100%, $E$9)</f>
        <v>14.5716</v>
      </c>
      <c r="F903" s="11">
        <f>14.5716 * CHOOSE(CONTROL!$C$32, $C$9, 100%, $E$9)</f>
        <v>14.5716</v>
      </c>
      <c r="G903" s="11">
        <f>14.5752 * CHOOSE(CONTROL!$C$32, $C$9, 100%, $E$9)</f>
        <v>14.575200000000001</v>
      </c>
      <c r="H903" s="11">
        <f>31.4611 * CHOOSE(CONTROL!$C$32, $C$9, 100%, $E$9)</f>
        <v>31.461099999999998</v>
      </c>
      <c r="I903" s="11">
        <f>31.4647 * CHOOSE(CONTROL!$C$32, $C$9, 100%, $E$9)</f>
        <v>31.464700000000001</v>
      </c>
      <c r="J903" s="11">
        <f>31.4611 * CHOOSE(CONTROL!$C$32, $C$9, 100%, $E$9)</f>
        <v>31.461099999999998</v>
      </c>
      <c r="K903" s="11">
        <f>31.4647 * CHOOSE(CONTROL!$C$32, $C$9, 100%, $E$9)</f>
        <v>31.464700000000001</v>
      </c>
      <c r="L903" s="11">
        <f>14.5716 * CHOOSE(CONTROL!$C$32, $C$9, 100%, $E$9)</f>
        <v>14.5716</v>
      </c>
      <c r="M903" s="11">
        <f>14.5752 * CHOOSE(CONTROL!$C$32, $C$9, 100%, $E$9)</f>
        <v>14.575200000000001</v>
      </c>
      <c r="N903" s="11">
        <f>14.5716 * CHOOSE(CONTROL!$C$32, $C$9, 100%, $E$9)</f>
        <v>14.5716</v>
      </c>
      <c r="O903" s="11">
        <f>14.5752 * CHOOSE(CONTROL!$C$32, $C$9, 100%, $E$9)</f>
        <v>14.575200000000001</v>
      </c>
    </row>
    <row r="904" spans="1:15" ht="15" x14ac:dyDescent="0.2">
      <c r="A904" s="13">
        <v>68362</v>
      </c>
      <c r="B904" s="9">
        <f>13.3101 * CHOOSE(CONTROL!$C$32, $C$9, 100%, $E$9)</f>
        <v>13.3101</v>
      </c>
      <c r="C904" s="9">
        <f>13.3101 * CHOOSE(CONTROL!$C$32, $C$9, 100%, $E$9)</f>
        <v>13.3101</v>
      </c>
      <c r="D904" s="9">
        <f>13.3112 * CHOOSE(CONTROL!$C$32, $C$9, 100%, $E$9)</f>
        <v>13.311199999999999</v>
      </c>
      <c r="E904" s="11">
        <f>14.8922 * CHOOSE(CONTROL!$C$32, $C$9, 100%, $E$9)</f>
        <v>14.892200000000001</v>
      </c>
      <c r="F904" s="11">
        <f>14.8922 * CHOOSE(CONTROL!$C$32, $C$9, 100%, $E$9)</f>
        <v>14.892200000000001</v>
      </c>
      <c r="G904" s="11">
        <f>14.8958 * CHOOSE(CONTROL!$C$32, $C$9, 100%, $E$9)</f>
        <v>14.895799999999999</v>
      </c>
      <c r="H904" s="11">
        <f>31.5266 * CHOOSE(CONTROL!$C$32, $C$9, 100%, $E$9)</f>
        <v>31.526599999999998</v>
      </c>
      <c r="I904" s="11">
        <f>31.5302 * CHOOSE(CONTROL!$C$32, $C$9, 100%, $E$9)</f>
        <v>31.530200000000001</v>
      </c>
      <c r="J904" s="11">
        <f>31.5266 * CHOOSE(CONTROL!$C$32, $C$9, 100%, $E$9)</f>
        <v>31.526599999999998</v>
      </c>
      <c r="K904" s="11">
        <f>31.5302 * CHOOSE(CONTROL!$C$32, $C$9, 100%, $E$9)</f>
        <v>31.530200000000001</v>
      </c>
      <c r="L904" s="11">
        <f>14.8922 * CHOOSE(CONTROL!$C$32, $C$9, 100%, $E$9)</f>
        <v>14.892200000000001</v>
      </c>
      <c r="M904" s="11">
        <f>14.8958 * CHOOSE(CONTROL!$C$32, $C$9, 100%, $E$9)</f>
        <v>14.895799999999999</v>
      </c>
      <c r="N904" s="11">
        <f>14.8922 * CHOOSE(CONTROL!$C$32, $C$9, 100%, $E$9)</f>
        <v>14.892200000000001</v>
      </c>
      <c r="O904" s="11">
        <f>14.8958 * CHOOSE(CONTROL!$C$32, $C$9, 100%, $E$9)</f>
        <v>14.895799999999999</v>
      </c>
    </row>
    <row r="905" spans="1:15" ht="15" x14ac:dyDescent="0.2">
      <c r="A905" s="13">
        <v>68393</v>
      </c>
      <c r="B905" s="9">
        <f>13.3168 * CHOOSE(CONTROL!$C$32, $C$9, 100%, $E$9)</f>
        <v>13.316800000000001</v>
      </c>
      <c r="C905" s="9">
        <f>13.3168 * CHOOSE(CONTROL!$C$32, $C$9, 100%, $E$9)</f>
        <v>13.316800000000001</v>
      </c>
      <c r="D905" s="9">
        <f>13.3178 * CHOOSE(CONTROL!$C$32, $C$9, 100%, $E$9)</f>
        <v>13.3178</v>
      </c>
      <c r="E905" s="11">
        <f>15.2346 * CHOOSE(CONTROL!$C$32, $C$9, 100%, $E$9)</f>
        <v>15.2346</v>
      </c>
      <c r="F905" s="11">
        <f>15.2346 * CHOOSE(CONTROL!$C$32, $C$9, 100%, $E$9)</f>
        <v>15.2346</v>
      </c>
      <c r="G905" s="11">
        <f>15.2382 * CHOOSE(CONTROL!$C$32, $C$9, 100%, $E$9)</f>
        <v>15.238200000000001</v>
      </c>
      <c r="H905" s="11">
        <f>31.5923 * CHOOSE(CONTROL!$C$32, $C$9, 100%, $E$9)</f>
        <v>31.592300000000002</v>
      </c>
      <c r="I905" s="11">
        <f>31.5959 * CHOOSE(CONTROL!$C$32, $C$9, 100%, $E$9)</f>
        <v>31.5959</v>
      </c>
      <c r="J905" s="11">
        <f>31.5923 * CHOOSE(CONTROL!$C$32, $C$9, 100%, $E$9)</f>
        <v>31.592300000000002</v>
      </c>
      <c r="K905" s="11">
        <f>31.5959 * CHOOSE(CONTROL!$C$32, $C$9, 100%, $E$9)</f>
        <v>31.5959</v>
      </c>
      <c r="L905" s="11">
        <f>15.2346 * CHOOSE(CONTROL!$C$32, $C$9, 100%, $E$9)</f>
        <v>15.2346</v>
      </c>
      <c r="M905" s="11">
        <f>15.2382 * CHOOSE(CONTROL!$C$32, $C$9, 100%, $E$9)</f>
        <v>15.238200000000001</v>
      </c>
      <c r="N905" s="11">
        <f>15.2346 * CHOOSE(CONTROL!$C$32, $C$9, 100%, $E$9)</f>
        <v>15.2346</v>
      </c>
      <c r="O905" s="11">
        <f>15.2382 * CHOOSE(CONTROL!$C$32, $C$9, 100%, $E$9)</f>
        <v>15.238200000000001</v>
      </c>
    </row>
    <row r="906" spans="1:15" ht="15" x14ac:dyDescent="0.2">
      <c r="A906" s="13">
        <v>68423</v>
      </c>
      <c r="B906" s="9">
        <f>13.3168 * CHOOSE(CONTROL!$C$32, $C$9, 100%, $E$9)</f>
        <v>13.316800000000001</v>
      </c>
      <c r="C906" s="9">
        <f>13.3168 * CHOOSE(CONTROL!$C$32, $C$9, 100%, $E$9)</f>
        <v>13.316800000000001</v>
      </c>
      <c r="D906" s="9">
        <f>13.3183 * CHOOSE(CONTROL!$C$32, $C$9, 100%, $E$9)</f>
        <v>13.318300000000001</v>
      </c>
      <c r="E906" s="11">
        <f>15.3645 * CHOOSE(CONTROL!$C$32, $C$9, 100%, $E$9)</f>
        <v>15.3645</v>
      </c>
      <c r="F906" s="11">
        <f>15.3645 * CHOOSE(CONTROL!$C$32, $C$9, 100%, $E$9)</f>
        <v>15.3645</v>
      </c>
      <c r="G906" s="11">
        <f>15.3698 * CHOOSE(CONTROL!$C$32, $C$9, 100%, $E$9)</f>
        <v>15.3698</v>
      </c>
      <c r="H906" s="11">
        <f>31.6581 * CHOOSE(CONTROL!$C$32, $C$9, 100%, $E$9)</f>
        <v>31.658100000000001</v>
      </c>
      <c r="I906" s="11">
        <f>31.6634 * CHOOSE(CONTROL!$C$32, $C$9, 100%, $E$9)</f>
        <v>31.663399999999999</v>
      </c>
      <c r="J906" s="11">
        <f>31.6581 * CHOOSE(CONTROL!$C$32, $C$9, 100%, $E$9)</f>
        <v>31.658100000000001</v>
      </c>
      <c r="K906" s="11">
        <f>31.6634 * CHOOSE(CONTROL!$C$32, $C$9, 100%, $E$9)</f>
        <v>31.663399999999999</v>
      </c>
      <c r="L906" s="11">
        <f>15.3645 * CHOOSE(CONTROL!$C$32, $C$9, 100%, $E$9)</f>
        <v>15.3645</v>
      </c>
      <c r="M906" s="11">
        <f>15.3698 * CHOOSE(CONTROL!$C$32, $C$9, 100%, $E$9)</f>
        <v>15.3698</v>
      </c>
      <c r="N906" s="11">
        <f>15.3645 * CHOOSE(CONTROL!$C$32, $C$9, 100%, $E$9)</f>
        <v>15.3645</v>
      </c>
      <c r="O906" s="11">
        <f>15.3698 * CHOOSE(CONTROL!$C$32, $C$9, 100%, $E$9)</f>
        <v>15.3698</v>
      </c>
    </row>
    <row r="907" spans="1:15" ht="15" x14ac:dyDescent="0.2">
      <c r="A907" s="13">
        <v>68454</v>
      </c>
      <c r="B907" s="9">
        <f>13.3229 * CHOOSE(CONTROL!$C$32, $C$9, 100%, $E$9)</f>
        <v>13.322900000000001</v>
      </c>
      <c r="C907" s="9">
        <f>13.3229 * CHOOSE(CONTROL!$C$32, $C$9, 100%, $E$9)</f>
        <v>13.322900000000001</v>
      </c>
      <c r="D907" s="9">
        <f>13.3244 * CHOOSE(CONTROL!$C$32, $C$9, 100%, $E$9)</f>
        <v>13.324400000000001</v>
      </c>
      <c r="E907" s="11">
        <f>15.2388 * CHOOSE(CONTROL!$C$32, $C$9, 100%, $E$9)</f>
        <v>15.238799999999999</v>
      </c>
      <c r="F907" s="11">
        <f>15.2388 * CHOOSE(CONTROL!$C$32, $C$9, 100%, $E$9)</f>
        <v>15.238799999999999</v>
      </c>
      <c r="G907" s="11">
        <f>15.2441 * CHOOSE(CONTROL!$C$32, $C$9, 100%, $E$9)</f>
        <v>15.2441</v>
      </c>
      <c r="H907" s="11">
        <f>31.7241 * CHOOSE(CONTROL!$C$32, $C$9, 100%, $E$9)</f>
        <v>31.7241</v>
      </c>
      <c r="I907" s="11">
        <f>31.7294 * CHOOSE(CONTROL!$C$32, $C$9, 100%, $E$9)</f>
        <v>31.729399999999998</v>
      </c>
      <c r="J907" s="11">
        <f>31.7241 * CHOOSE(CONTROL!$C$32, $C$9, 100%, $E$9)</f>
        <v>31.7241</v>
      </c>
      <c r="K907" s="11">
        <f>31.7294 * CHOOSE(CONTROL!$C$32, $C$9, 100%, $E$9)</f>
        <v>31.729399999999998</v>
      </c>
      <c r="L907" s="11">
        <f>15.2388 * CHOOSE(CONTROL!$C$32, $C$9, 100%, $E$9)</f>
        <v>15.238799999999999</v>
      </c>
      <c r="M907" s="11">
        <f>15.2441 * CHOOSE(CONTROL!$C$32, $C$9, 100%, $E$9)</f>
        <v>15.2441</v>
      </c>
      <c r="N907" s="11">
        <f>15.2388 * CHOOSE(CONTROL!$C$32, $C$9, 100%, $E$9)</f>
        <v>15.238799999999999</v>
      </c>
      <c r="O907" s="11">
        <f>15.2441 * CHOOSE(CONTROL!$C$32, $C$9, 100%, $E$9)</f>
        <v>15.2441</v>
      </c>
    </row>
    <row r="908" spans="1:15" ht="15" x14ac:dyDescent="0.2">
      <c r="A908" s="13">
        <v>68484</v>
      </c>
      <c r="B908" s="9">
        <f>13.4837 * CHOOSE(CONTROL!$C$32, $C$9, 100%, $E$9)</f>
        <v>13.483700000000001</v>
      </c>
      <c r="C908" s="9">
        <f>13.4837 * CHOOSE(CONTROL!$C$32, $C$9, 100%, $E$9)</f>
        <v>13.483700000000001</v>
      </c>
      <c r="D908" s="9">
        <f>13.4853 * CHOOSE(CONTROL!$C$32, $C$9, 100%, $E$9)</f>
        <v>13.485300000000001</v>
      </c>
      <c r="E908" s="11">
        <f>15.4548 * CHOOSE(CONTROL!$C$32, $C$9, 100%, $E$9)</f>
        <v>15.454800000000001</v>
      </c>
      <c r="F908" s="11">
        <f>15.4548 * CHOOSE(CONTROL!$C$32, $C$9, 100%, $E$9)</f>
        <v>15.454800000000001</v>
      </c>
      <c r="G908" s="11">
        <f>15.4601 * CHOOSE(CONTROL!$C$32, $C$9, 100%, $E$9)</f>
        <v>15.460100000000001</v>
      </c>
      <c r="H908" s="11">
        <f>31.7902 * CHOOSE(CONTROL!$C$32, $C$9, 100%, $E$9)</f>
        <v>31.790199999999999</v>
      </c>
      <c r="I908" s="11">
        <f>31.7954 * CHOOSE(CONTROL!$C$32, $C$9, 100%, $E$9)</f>
        <v>31.795400000000001</v>
      </c>
      <c r="J908" s="11">
        <f>31.7902 * CHOOSE(CONTROL!$C$32, $C$9, 100%, $E$9)</f>
        <v>31.790199999999999</v>
      </c>
      <c r="K908" s="11">
        <f>31.7954 * CHOOSE(CONTROL!$C$32, $C$9, 100%, $E$9)</f>
        <v>31.795400000000001</v>
      </c>
      <c r="L908" s="11">
        <f>15.4548 * CHOOSE(CONTROL!$C$32, $C$9, 100%, $E$9)</f>
        <v>15.454800000000001</v>
      </c>
      <c r="M908" s="11">
        <f>15.4601 * CHOOSE(CONTROL!$C$32, $C$9, 100%, $E$9)</f>
        <v>15.460100000000001</v>
      </c>
      <c r="N908" s="11">
        <f>15.4548 * CHOOSE(CONTROL!$C$32, $C$9, 100%, $E$9)</f>
        <v>15.454800000000001</v>
      </c>
      <c r="O908" s="11">
        <f>15.4601 * CHOOSE(CONTROL!$C$32, $C$9, 100%, $E$9)</f>
        <v>15.460100000000001</v>
      </c>
    </row>
    <row r="909" spans="1:15" ht="15" x14ac:dyDescent="0.2">
      <c r="A909" s="13">
        <v>68515</v>
      </c>
      <c r="B909" s="9">
        <f>13.4904 * CHOOSE(CONTROL!$C$32, $C$9, 100%, $E$9)</f>
        <v>13.490399999999999</v>
      </c>
      <c r="C909" s="9">
        <f>13.4904 * CHOOSE(CONTROL!$C$32, $C$9, 100%, $E$9)</f>
        <v>13.490399999999999</v>
      </c>
      <c r="D909" s="9">
        <f>13.4919 * CHOOSE(CONTROL!$C$32, $C$9, 100%, $E$9)</f>
        <v>13.491899999999999</v>
      </c>
      <c r="E909" s="11">
        <f>15.0695 * CHOOSE(CONTROL!$C$32, $C$9, 100%, $E$9)</f>
        <v>15.0695</v>
      </c>
      <c r="F909" s="11">
        <f>15.0695 * CHOOSE(CONTROL!$C$32, $C$9, 100%, $E$9)</f>
        <v>15.0695</v>
      </c>
      <c r="G909" s="11">
        <f>15.0748 * CHOOSE(CONTROL!$C$32, $C$9, 100%, $E$9)</f>
        <v>15.0748</v>
      </c>
      <c r="H909" s="11">
        <f>31.8564 * CHOOSE(CONTROL!$C$32, $C$9, 100%, $E$9)</f>
        <v>31.856400000000001</v>
      </c>
      <c r="I909" s="11">
        <f>31.8617 * CHOOSE(CONTROL!$C$32, $C$9, 100%, $E$9)</f>
        <v>31.861699999999999</v>
      </c>
      <c r="J909" s="11">
        <f>31.8564 * CHOOSE(CONTROL!$C$32, $C$9, 100%, $E$9)</f>
        <v>31.856400000000001</v>
      </c>
      <c r="K909" s="11">
        <f>31.8617 * CHOOSE(CONTROL!$C$32, $C$9, 100%, $E$9)</f>
        <v>31.861699999999999</v>
      </c>
      <c r="L909" s="11">
        <f>15.0695 * CHOOSE(CONTROL!$C$32, $C$9, 100%, $E$9)</f>
        <v>15.0695</v>
      </c>
      <c r="M909" s="11">
        <f>15.0748 * CHOOSE(CONTROL!$C$32, $C$9, 100%, $E$9)</f>
        <v>15.0748</v>
      </c>
      <c r="N909" s="11">
        <f>15.0695 * CHOOSE(CONTROL!$C$32, $C$9, 100%, $E$9)</f>
        <v>15.0695</v>
      </c>
      <c r="O909" s="11">
        <f>15.0748 * CHOOSE(CONTROL!$C$32, $C$9, 100%, $E$9)</f>
        <v>15.0748</v>
      </c>
    </row>
    <row r="910" spans="1:15" ht="15" x14ac:dyDescent="0.2">
      <c r="A910" s="13">
        <v>68546</v>
      </c>
      <c r="B910" s="9">
        <f>13.4873 * CHOOSE(CONTROL!$C$32, $C$9, 100%, $E$9)</f>
        <v>13.487299999999999</v>
      </c>
      <c r="C910" s="9">
        <f>13.4873 * CHOOSE(CONTROL!$C$32, $C$9, 100%, $E$9)</f>
        <v>13.487299999999999</v>
      </c>
      <c r="D910" s="9">
        <f>13.4889 * CHOOSE(CONTROL!$C$32, $C$9, 100%, $E$9)</f>
        <v>13.488899999999999</v>
      </c>
      <c r="E910" s="11">
        <f>15.0241 * CHOOSE(CONTROL!$C$32, $C$9, 100%, $E$9)</f>
        <v>15.024100000000001</v>
      </c>
      <c r="F910" s="11">
        <f>15.0241 * CHOOSE(CONTROL!$C$32, $C$9, 100%, $E$9)</f>
        <v>15.024100000000001</v>
      </c>
      <c r="G910" s="11">
        <f>15.0294 * CHOOSE(CONTROL!$C$32, $C$9, 100%, $E$9)</f>
        <v>15.029400000000001</v>
      </c>
      <c r="H910" s="11">
        <f>31.9227 * CHOOSE(CONTROL!$C$32, $C$9, 100%, $E$9)</f>
        <v>31.922699999999999</v>
      </c>
      <c r="I910" s="11">
        <f>31.928 * CHOOSE(CONTROL!$C$32, $C$9, 100%, $E$9)</f>
        <v>31.928000000000001</v>
      </c>
      <c r="J910" s="11">
        <f>31.9227 * CHOOSE(CONTROL!$C$32, $C$9, 100%, $E$9)</f>
        <v>31.922699999999999</v>
      </c>
      <c r="K910" s="11">
        <f>31.928 * CHOOSE(CONTROL!$C$32, $C$9, 100%, $E$9)</f>
        <v>31.928000000000001</v>
      </c>
      <c r="L910" s="11">
        <f>15.0241 * CHOOSE(CONTROL!$C$32, $C$9, 100%, $E$9)</f>
        <v>15.024100000000001</v>
      </c>
      <c r="M910" s="11">
        <f>15.0294 * CHOOSE(CONTROL!$C$32, $C$9, 100%, $E$9)</f>
        <v>15.029400000000001</v>
      </c>
      <c r="N910" s="11">
        <f>15.0241 * CHOOSE(CONTROL!$C$32, $C$9, 100%, $E$9)</f>
        <v>15.024100000000001</v>
      </c>
      <c r="O910" s="11">
        <f>15.0294 * CHOOSE(CONTROL!$C$32, $C$9, 100%, $E$9)</f>
        <v>15.029400000000001</v>
      </c>
    </row>
    <row r="911" spans="1:15" ht="15" x14ac:dyDescent="0.2">
      <c r="A911" s="13">
        <v>68576</v>
      </c>
      <c r="B911" s="9">
        <f>13.5179 * CHOOSE(CONTROL!$C$32, $C$9, 100%, $E$9)</f>
        <v>13.517899999999999</v>
      </c>
      <c r="C911" s="9">
        <f>13.5179 * CHOOSE(CONTROL!$C$32, $C$9, 100%, $E$9)</f>
        <v>13.517899999999999</v>
      </c>
      <c r="D911" s="9">
        <f>13.5189 * CHOOSE(CONTROL!$C$32, $C$9, 100%, $E$9)</f>
        <v>13.5189</v>
      </c>
      <c r="E911" s="11">
        <f>15.1839 * CHOOSE(CONTROL!$C$32, $C$9, 100%, $E$9)</f>
        <v>15.1839</v>
      </c>
      <c r="F911" s="11">
        <f>15.1839 * CHOOSE(CONTROL!$C$32, $C$9, 100%, $E$9)</f>
        <v>15.1839</v>
      </c>
      <c r="G911" s="11">
        <f>15.1876 * CHOOSE(CONTROL!$C$32, $C$9, 100%, $E$9)</f>
        <v>15.1876</v>
      </c>
      <c r="H911" s="11">
        <f>31.9893 * CHOOSE(CONTROL!$C$32, $C$9, 100%, $E$9)</f>
        <v>31.9893</v>
      </c>
      <c r="I911" s="11">
        <f>31.9929 * CHOOSE(CONTROL!$C$32, $C$9, 100%, $E$9)</f>
        <v>31.992899999999999</v>
      </c>
      <c r="J911" s="11">
        <f>31.9893 * CHOOSE(CONTROL!$C$32, $C$9, 100%, $E$9)</f>
        <v>31.9893</v>
      </c>
      <c r="K911" s="11">
        <f>31.9929 * CHOOSE(CONTROL!$C$32, $C$9, 100%, $E$9)</f>
        <v>31.992899999999999</v>
      </c>
      <c r="L911" s="11">
        <f>15.1839 * CHOOSE(CONTROL!$C$32, $C$9, 100%, $E$9)</f>
        <v>15.1839</v>
      </c>
      <c r="M911" s="11">
        <f>15.1876 * CHOOSE(CONTROL!$C$32, $C$9, 100%, $E$9)</f>
        <v>15.1876</v>
      </c>
      <c r="N911" s="11">
        <f>15.1839 * CHOOSE(CONTROL!$C$32, $C$9, 100%, $E$9)</f>
        <v>15.1839</v>
      </c>
      <c r="O911" s="11">
        <f>15.1876 * CHOOSE(CONTROL!$C$32, $C$9, 100%, $E$9)</f>
        <v>15.1876</v>
      </c>
    </row>
    <row r="912" spans="1:15" ht="15" x14ac:dyDescent="0.2">
      <c r="A912" s="13">
        <v>68607</v>
      </c>
      <c r="B912" s="9">
        <f>13.5209 * CHOOSE(CONTROL!$C$32, $C$9, 100%, $E$9)</f>
        <v>13.520899999999999</v>
      </c>
      <c r="C912" s="9">
        <f>13.5209 * CHOOSE(CONTROL!$C$32, $C$9, 100%, $E$9)</f>
        <v>13.520899999999999</v>
      </c>
      <c r="D912" s="9">
        <f>13.522 * CHOOSE(CONTROL!$C$32, $C$9, 100%, $E$9)</f>
        <v>13.522</v>
      </c>
      <c r="E912" s="11">
        <f>15.2727 * CHOOSE(CONTROL!$C$32, $C$9, 100%, $E$9)</f>
        <v>15.2727</v>
      </c>
      <c r="F912" s="11">
        <f>15.2727 * CHOOSE(CONTROL!$C$32, $C$9, 100%, $E$9)</f>
        <v>15.2727</v>
      </c>
      <c r="G912" s="11">
        <f>15.2763 * CHOOSE(CONTROL!$C$32, $C$9, 100%, $E$9)</f>
        <v>15.276300000000001</v>
      </c>
      <c r="H912" s="11">
        <f>32.0559 * CHOOSE(CONTROL!$C$32, $C$9, 100%, $E$9)</f>
        <v>32.055900000000001</v>
      </c>
      <c r="I912" s="11">
        <f>32.0595 * CHOOSE(CONTROL!$C$32, $C$9, 100%, $E$9)</f>
        <v>32.0595</v>
      </c>
      <c r="J912" s="11">
        <f>32.0559 * CHOOSE(CONTROL!$C$32, $C$9, 100%, $E$9)</f>
        <v>32.055900000000001</v>
      </c>
      <c r="K912" s="11">
        <f>32.0595 * CHOOSE(CONTROL!$C$32, $C$9, 100%, $E$9)</f>
        <v>32.0595</v>
      </c>
      <c r="L912" s="11">
        <f>15.2727 * CHOOSE(CONTROL!$C$32, $C$9, 100%, $E$9)</f>
        <v>15.2727</v>
      </c>
      <c r="M912" s="11">
        <f>15.2763 * CHOOSE(CONTROL!$C$32, $C$9, 100%, $E$9)</f>
        <v>15.276300000000001</v>
      </c>
      <c r="N912" s="11">
        <f>15.2727 * CHOOSE(CONTROL!$C$32, $C$9, 100%, $E$9)</f>
        <v>15.2727</v>
      </c>
      <c r="O912" s="11">
        <f>15.2763 * CHOOSE(CONTROL!$C$32, $C$9, 100%, $E$9)</f>
        <v>15.276300000000001</v>
      </c>
    </row>
    <row r="913" spans="1:15" ht="15" x14ac:dyDescent="0.2">
      <c r="A913" s="13">
        <v>68637</v>
      </c>
      <c r="B913" s="9">
        <f>13.5209 * CHOOSE(CONTROL!$C$32, $C$9, 100%, $E$9)</f>
        <v>13.520899999999999</v>
      </c>
      <c r="C913" s="9">
        <f>13.5209 * CHOOSE(CONTROL!$C$32, $C$9, 100%, $E$9)</f>
        <v>13.520899999999999</v>
      </c>
      <c r="D913" s="9">
        <f>13.522 * CHOOSE(CONTROL!$C$32, $C$9, 100%, $E$9)</f>
        <v>13.522</v>
      </c>
      <c r="E913" s="11">
        <f>15.0561 * CHOOSE(CONTROL!$C$32, $C$9, 100%, $E$9)</f>
        <v>15.056100000000001</v>
      </c>
      <c r="F913" s="11">
        <f>15.0561 * CHOOSE(CONTROL!$C$32, $C$9, 100%, $E$9)</f>
        <v>15.056100000000001</v>
      </c>
      <c r="G913" s="11">
        <f>15.0597 * CHOOSE(CONTROL!$C$32, $C$9, 100%, $E$9)</f>
        <v>15.059699999999999</v>
      </c>
      <c r="H913" s="11">
        <f>32.1227 * CHOOSE(CONTROL!$C$32, $C$9, 100%, $E$9)</f>
        <v>32.122700000000002</v>
      </c>
      <c r="I913" s="11">
        <f>32.1263 * CHOOSE(CONTROL!$C$32, $C$9, 100%, $E$9)</f>
        <v>32.126300000000001</v>
      </c>
      <c r="J913" s="11">
        <f>32.1227 * CHOOSE(CONTROL!$C$32, $C$9, 100%, $E$9)</f>
        <v>32.122700000000002</v>
      </c>
      <c r="K913" s="11">
        <f>32.1263 * CHOOSE(CONTROL!$C$32, $C$9, 100%, $E$9)</f>
        <v>32.126300000000001</v>
      </c>
      <c r="L913" s="11">
        <f>15.0561 * CHOOSE(CONTROL!$C$32, $C$9, 100%, $E$9)</f>
        <v>15.056100000000001</v>
      </c>
      <c r="M913" s="11">
        <f>15.0597 * CHOOSE(CONTROL!$C$32, $C$9, 100%, $E$9)</f>
        <v>15.059699999999999</v>
      </c>
      <c r="N913" s="11">
        <f>15.0561 * CHOOSE(CONTROL!$C$32, $C$9, 100%, $E$9)</f>
        <v>15.056100000000001</v>
      </c>
      <c r="O913" s="11">
        <f>15.0597 * CHOOSE(CONTROL!$C$32, $C$9, 100%, $E$9)</f>
        <v>15.059699999999999</v>
      </c>
    </row>
    <row r="914" spans="1:15" ht="15" x14ac:dyDescent="0.2">
      <c r="A914" s="13">
        <v>68668</v>
      </c>
      <c r="B914" s="9">
        <f>13.5035 * CHOOSE(CONTROL!$C$32, $C$9, 100%, $E$9)</f>
        <v>13.503500000000001</v>
      </c>
      <c r="C914" s="9">
        <f>13.5035 * CHOOSE(CONTROL!$C$32, $C$9, 100%, $E$9)</f>
        <v>13.503500000000001</v>
      </c>
      <c r="D914" s="9">
        <f>13.5046 * CHOOSE(CONTROL!$C$32, $C$9, 100%, $E$9)</f>
        <v>13.5046</v>
      </c>
      <c r="E914" s="11">
        <f>15.1956 * CHOOSE(CONTROL!$C$32, $C$9, 100%, $E$9)</f>
        <v>15.195600000000001</v>
      </c>
      <c r="F914" s="11">
        <f>15.1956 * CHOOSE(CONTROL!$C$32, $C$9, 100%, $E$9)</f>
        <v>15.195600000000001</v>
      </c>
      <c r="G914" s="11">
        <f>15.1992 * CHOOSE(CONTROL!$C$32, $C$9, 100%, $E$9)</f>
        <v>15.199199999999999</v>
      </c>
      <c r="H914" s="11">
        <f>31.8675 * CHOOSE(CONTROL!$C$32, $C$9, 100%, $E$9)</f>
        <v>31.8675</v>
      </c>
      <c r="I914" s="11">
        <f>31.8711 * CHOOSE(CONTROL!$C$32, $C$9, 100%, $E$9)</f>
        <v>31.871099999999998</v>
      </c>
      <c r="J914" s="11">
        <f>31.8675 * CHOOSE(CONTROL!$C$32, $C$9, 100%, $E$9)</f>
        <v>31.8675</v>
      </c>
      <c r="K914" s="11">
        <f>31.8711 * CHOOSE(CONTROL!$C$32, $C$9, 100%, $E$9)</f>
        <v>31.871099999999998</v>
      </c>
      <c r="L914" s="11">
        <f>15.1956 * CHOOSE(CONTROL!$C$32, $C$9, 100%, $E$9)</f>
        <v>15.195600000000001</v>
      </c>
      <c r="M914" s="11">
        <f>15.1992 * CHOOSE(CONTROL!$C$32, $C$9, 100%, $E$9)</f>
        <v>15.199199999999999</v>
      </c>
      <c r="N914" s="11">
        <f>15.1956 * CHOOSE(CONTROL!$C$32, $C$9, 100%, $E$9)</f>
        <v>15.195600000000001</v>
      </c>
      <c r="O914" s="11">
        <f>15.1992 * CHOOSE(CONTROL!$C$32, $C$9, 100%, $E$9)</f>
        <v>15.199199999999999</v>
      </c>
    </row>
    <row r="915" spans="1:15" ht="15" x14ac:dyDescent="0.2">
      <c r="A915" s="13">
        <v>68699</v>
      </c>
      <c r="B915" s="9">
        <f>13.5005 * CHOOSE(CONTROL!$C$32, $C$9, 100%, $E$9)</f>
        <v>13.500500000000001</v>
      </c>
      <c r="C915" s="9">
        <f>13.5005 * CHOOSE(CONTROL!$C$32, $C$9, 100%, $E$9)</f>
        <v>13.500500000000001</v>
      </c>
      <c r="D915" s="9">
        <f>13.5016 * CHOOSE(CONTROL!$C$32, $C$9, 100%, $E$9)</f>
        <v>13.5016</v>
      </c>
      <c r="E915" s="11">
        <f>14.777 * CHOOSE(CONTROL!$C$32, $C$9, 100%, $E$9)</f>
        <v>14.776999999999999</v>
      </c>
      <c r="F915" s="11">
        <f>14.777 * CHOOSE(CONTROL!$C$32, $C$9, 100%, $E$9)</f>
        <v>14.776999999999999</v>
      </c>
      <c r="G915" s="11">
        <f>14.7806 * CHOOSE(CONTROL!$C$32, $C$9, 100%, $E$9)</f>
        <v>14.7806</v>
      </c>
      <c r="H915" s="11">
        <f>31.9339 * CHOOSE(CONTROL!$C$32, $C$9, 100%, $E$9)</f>
        <v>31.933900000000001</v>
      </c>
      <c r="I915" s="11">
        <f>31.9375 * CHOOSE(CONTROL!$C$32, $C$9, 100%, $E$9)</f>
        <v>31.9375</v>
      </c>
      <c r="J915" s="11">
        <f>31.9339 * CHOOSE(CONTROL!$C$32, $C$9, 100%, $E$9)</f>
        <v>31.933900000000001</v>
      </c>
      <c r="K915" s="11">
        <f>31.9375 * CHOOSE(CONTROL!$C$32, $C$9, 100%, $E$9)</f>
        <v>31.9375</v>
      </c>
      <c r="L915" s="11">
        <f>14.777 * CHOOSE(CONTROL!$C$32, $C$9, 100%, $E$9)</f>
        <v>14.776999999999999</v>
      </c>
      <c r="M915" s="11">
        <f>14.7806 * CHOOSE(CONTROL!$C$32, $C$9, 100%, $E$9)</f>
        <v>14.7806</v>
      </c>
      <c r="N915" s="11">
        <f>14.777 * CHOOSE(CONTROL!$C$32, $C$9, 100%, $E$9)</f>
        <v>14.776999999999999</v>
      </c>
      <c r="O915" s="11">
        <f>14.7806 * CHOOSE(CONTROL!$C$32, $C$9, 100%, $E$9)</f>
        <v>14.7806</v>
      </c>
    </row>
    <row r="916" spans="1:15" ht="15" x14ac:dyDescent="0.2">
      <c r="A916" s="13">
        <v>68728</v>
      </c>
      <c r="B916" s="9">
        <f>13.4974 * CHOOSE(CONTROL!$C$32, $C$9, 100%, $E$9)</f>
        <v>13.497400000000001</v>
      </c>
      <c r="C916" s="9">
        <f>13.4974 * CHOOSE(CONTROL!$C$32, $C$9, 100%, $E$9)</f>
        <v>13.497400000000001</v>
      </c>
      <c r="D916" s="9">
        <f>13.4985 * CHOOSE(CONTROL!$C$32, $C$9, 100%, $E$9)</f>
        <v>13.4985</v>
      </c>
      <c r="E916" s="11">
        <f>15.1032 * CHOOSE(CONTROL!$C$32, $C$9, 100%, $E$9)</f>
        <v>15.103199999999999</v>
      </c>
      <c r="F916" s="11">
        <f>15.1032 * CHOOSE(CONTROL!$C$32, $C$9, 100%, $E$9)</f>
        <v>15.103199999999999</v>
      </c>
      <c r="G916" s="11">
        <f>15.1068 * CHOOSE(CONTROL!$C$32, $C$9, 100%, $E$9)</f>
        <v>15.1068</v>
      </c>
      <c r="H916" s="11">
        <f>32.0004 * CHOOSE(CONTROL!$C$32, $C$9, 100%, $E$9)</f>
        <v>32.000399999999999</v>
      </c>
      <c r="I916" s="11">
        <f>32.004 * CHOOSE(CONTROL!$C$32, $C$9, 100%, $E$9)</f>
        <v>32.003999999999998</v>
      </c>
      <c r="J916" s="11">
        <f>32.0004 * CHOOSE(CONTROL!$C$32, $C$9, 100%, $E$9)</f>
        <v>32.000399999999999</v>
      </c>
      <c r="K916" s="11">
        <f>32.004 * CHOOSE(CONTROL!$C$32, $C$9, 100%, $E$9)</f>
        <v>32.003999999999998</v>
      </c>
      <c r="L916" s="11">
        <f>15.1032 * CHOOSE(CONTROL!$C$32, $C$9, 100%, $E$9)</f>
        <v>15.103199999999999</v>
      </c>
      <c r="M916" s="11">
        <f>15.1068 * CHOOSE(CONTROL!$C$32, $C$9, 100%, $E$9)</f>
        <v>15.1068</v>
      </c>
      <c r="N916" s="11">
        <f>15.1032 * CHOOSE(CONTROL!$C$32, $C$9, 100%, $E$9)</f>
        <v>15.103199999999999</v>
      </c>
      <c r="O916" s="11">
        <f>15.1068 * CHOOSE(CONTROL!$C$32, $C$9, 100%, $E$9)</f>
        <v>15.1068</v>
      </c>
    </row>
    <row r="917" spans="1:15" ht="15" x14ac:dyDescent="0.2">
      <c r="A917" s="13">
        <v>68759</v>
      </c>
      <c r="B917" s="9">
        <f>13.5043 * CHOOSE(CONTROL!$C$32, $C$9, 100%, $E$9)</f>
        <v>13.504300000000001</v>
      </c>
      <c r="C917" s="9">
        <f>13.5043 * CHOOSE(CONTROL!$C$32, $C$9, 100%, $E$9)</f>
        <v>13.504300000000001</v>
      </c>
      <c r="D917" s="9">
        <f>13.5054 * CHOOSE(CONTROL!$C$32, $C$9, 100%, $E$9)</f>
        <v>13.5054</v>
      </c>
      <c r="E917" s="11">
        <f>15.4516 * CHOOSE(CONTROL!$C$32, $C$9, 100%, $E$9)</f>
        <v>15.451599999999999</v>
      </c>
      <c r="F917" s="11">
        <f>15.4516 * CHOOSE(CONTROL!$C$32, $C$9, 100%, $E$9)</f>
        <v>15.451599999999999</v>
      </c>
      <c r="G917" s="11">
        <f>15.4552 * CHOOSE(CONTROL!$C$32, $C$9, 100%, $E$9)</f>
        <v>15.4552</v>
      </c>
      <c r="H917" s="11">
        <f>32.067 * CHOOSE(CONTROL!$C$32, $C$9, 100%, $E$9)</f>
        <v>32.067</v>
      </c>
      <c r="I917" s="11">
        <f>32.0707 * CHOOSE(CONTROL!$C$32, $C$9, 100%, $E$9)</f>
        <v>32.070700000000002</v>
      </c>
      <c r="J917" s="11">
        <f>32.067 * CHOOSE(CONTROL!$C$32, $C$9, 100%, $E$9)</f>
        <v>32.067</v>
      </c>
      <c r="K917" s="11">
        <f>32.0707 * CHOOSE(CONTROL!$C$32, $C$9, 100%, $E$9)</f>
        <v>32.070700000000002</v>
      </c>
      <c r="L917" s="11">
        <f>15.4516 * CHOOSE(CONTROL!$C$32, $C$9, 100%, $E$9)</f>
        <v>15.451599999999999</v>
      </c>
      <c r="M917" s="11">
        <f>15.4552 * CHOOSE(CONTROL!$C$32, $C$9, 100%, $E$9)</f>
        <v>15.4552</v>
      </c>
      <c r="N917" s="11">
        <f>15.4516 * CHOOSE(CONTROL!$C$32, $C$9, 100%, $E$9)</f>
        <v>15.451599999999999</v>
      </c>
      <c r="O917" s="11">
        <f>15.4552 * CHOOSE(CONTROL!$C$32, $C$9, 100%, $E$9)</f>
        <v>15.4552</v>
      </c>
    </row>
    <row r="918" spans="1:15" ht="15" x14ac:dyDescent="0.2">
      <c r="A918" s="13">
        <v>68789</v>
      </c>
      <c r="B918" s="9">
        <f>13.5043 * CHOOSE(CONTROL!$C$32, $C$9, 100%, $E$9)</f>
        <v>13.504300000000001</v>
      </c>
      <c r="C918" s="9">
        <f>13.5043 * CHOOSE(CONTROL!$C$32, $C$9, 100%, $E$9)</f>
        <v>13.504300000000001</v>
      </c>
      <c r="D918" s="9">
        <f>13.5059 * CHOOSE(CONTROL!$C$32, $C$9, 100%, $E$9)</f>
        <v>13.5059</v>
      </c>
      <c r="E918" s="11">
        <f>15.5838 * CHOOSE(CONTROL!$C$32, $C$9, 100%, $E$9)</f>
        <v>15.5838</v>
      </c>
      <c r="F918" s="11">
        <f>15.5838 * CHOOSE(CONTROL!$C$32, $C$9, 100%, $E$9)</f>
        <v>15.5838</v>
      </c>
      <c r="G918" s="11">
        <f>15.5891 * CHOOSE(CONTROL!$C$32, $C$9, 100%, $E$9)</f>
        <v>15.5891</v>
      </c>
      <c r="H918" s="11">
        <f>32.1339 * CHOOSE(CONTROL!$C$32, $C$9, 100%, $E$9)</f>
        <v>32.133899999999997</v>
      </c>
      <c r="I918" s="11">
        <f>32.1391 * CHOOSE(CONTROL!$C$32, $C$9, 100%, $E$9)</f>
        <v>32.139099999999999</v>
      </c>
      <c r="J918" s="11">
        <f>32.1339 * CHOOSE(CONTROL!$C$32, $C$9, 100%, $E$9)</f>
        <v>32.133899999999997</v>
      </c>
      <c r="K918" s="11">
        <f>32.1391 * CHOOSE(CONTROL!$C$32, $C$9, 100%, $E$9)</f>
        <v>32.139099999999999</v>
      </c>
      <c r="L918" s="11">
        <f>15.5838 * CHOOSE(CONTROL!$C$32, $C$9, 100%, $E$9)</f>
        <v>15.5838</v>
      </c>
      <c r="M918" s="11">
        <f>15.5891 * CHOOSE(CONTROL!$C$32, $C$9, 100%, $E$9)</f>
        <v>15.5891</v>
      </c>
      <c r="N918" s="11">
        <f>15.5838 * CHOOSE(CONTROL!$C$32, $C$9, 100%, $E$9)</f>
        <v>15.5838</v>
      </c>
      <c r="O918" s="11">
        <f>15.5891 * CHOOSE(CONTROL!$C$32, $C$9, 100%, $E$9)</f>
        <v>15.5891</v>
      </c>
    </row>
    <row r="919" spans="1:15" ht="15" x14ac:dyDescent="0.2">
      <c r="A919" s="13">
        <v>68820</v>
      </c>
      <c r="B919" s="9">
        <f>13.5104 * CHOOSE(CONTROL!$C$32, $C$9, 100%, $E$9)</f>
        <v>13.510400000000001</v>
      </c>
      <c r="C919" s="9">
        <f>13.5104 * CHOOSE(CONTROL!$C$32, $C$9, 100%, $E$9)</f>
        <v>13.510400000000001</v>
      </c>
      <c r="D919" s="9">
        <f>13.512 * CHOOSE(CONTROL!$C$32, $C$9, 100%, $E$9)</f>
        <v>13.512</v>
      </c>
      <c r="E919" s="11">
        <f>15.4558 * CHOOSE(CONTROL!$C$32, $C$9, 100%, $E$9)</f>
        <v>15.4558</v>
      </c>
      <c r="F919" s="11">
        <f>15.4558 * CHOOSE(CONTROL!$C$32, $C$9, 100%, $E$9)</f>
        <v>15.4558</v>
      </c>
      <c r="G919" s="11">
        <f>15.4611 * CHOOSE(CONTROL!$C$32, $C$9, 100%, $E$9)</f>
        <v>15.4611</v>
      </c>
      <c r="H919" s="11">
        <f>32.2008 * CHOOSE(CONTROL!$C$32, $C$9, 100%, $E$9)</f>
        <v>32.200800000000001</v>
      </c>
      <c r="I919" s="11">
        <f>32.2061 * CHOOSE(CONTROL!$C$32, $C$9, 100%, $E$9)</f>
        <v>32.206099999999999</v>
      </c>
      <c r="J919" s="11">
        <f>32.2008 * CHOOSE(CONTROL!$C$32, $C$9, 100%, $E$9)</f>
        <v>32.200800000000001</v>
      </c>
      <c r="K919" s="11">
        <f>32.2061 * CHOOSE(CONTROL!$C$32, $C$9, 100%, $E$9)</f>
        <v>32.206099999999999</v>
      </c>
      <c r="L919" s="11">
        <f>15.4558 * CHOOSE(CONTROL!$C$32, $C$9, 100%, $E$9)</f>
        <v>15.4558</v>
      </c>
      <c r="M919" s="11">
        <f>15.4611 * CHOOSE(CONTROL!$C$32, $C$9, 100%, $E$9)</f>
        <v>15.4611</v>
      </c>
      <c r="N919" s="11">
        <f>15.4558 * CHOOSE(CONTROL!$C$32, $C$9, 100%, $E$9)</f>
        <v>15.4558</v>
      </c>
      <c r="O919" s="11">
        <f>15.4611 * CHOOSE(CONTROL!$C$32, $C$9, 100%, $E$9)</f>
        <v>15.4611</v>
      </c>
    </row>
    <row r="920" spans="1:15" ht="15" x14ac:dyDescent="0.2">
      <c r="A920" s="13">
        <v>68850</v>
      </c>
      <c r="B920" s="9">
        <f>13.6733 * CHOOSE(CONTROL!$C$32, $C$9, 100%, $E$9)</f>
        <v>13.673299999999999</v>
      </c>
      <c r="C920" s="9">
        <f>13.6733 * CHOOSE(CONTROL!$C$32, $C$9, 100%, $E$9)</f>
        <v>13.673299999999999</v>
      </c>
      <c r="D920" s="9">
        <f>13.6749 * CHOOSE(CONTROL!$C$32, $C$9, 100%, $E$9)</f>
        <v>13.674899999999999</v>
      </c>
      <c r="E920" s="11">
        <f>15.6749 * CHOOSE(CONTROL!$C$32, $C$9, 100%, $E$9)</f>
        <v>15.674899999999999</v>
      </c>
      <c r="F920" s="11">
        <f>15.6749 * CHOOSE(CONTROL!$C$32, $C$9, 100%, $E$9)</f>
        <v>15.674899999999999</v>
      </c>
      <c r="G920" s="11">
        <f>15.6802 * CHOOSE(CONTROL!$C$32, $C$9, 100%, $E$9)</f>
        <v>15.680199999999999</v>
      </c>
      <c r="H920" s="11">
        <f>32.2679 * CHOOSE(CONTROL!$C$32, $C$9, 100%, $E$9)</f>
        <v>32.267899999999997</v>
      </c>
      <c r="I920" s="11">
        <f>32.2732 * CHOOSE(CONTROL!$C$32, $C$9, 100%, $E$9)</f>
        <v>32.273200000000003</v>
      </c>
      <c r="J920" s="11">
        <f>32.2679 * CHOOSE(CONTROL!$C$32, $C$9, 100%, $E$9)</f>
        <v>32.267899999999997</v>
      </c>
      <c r="K920" s="11">
        <f>32.2732 * CHOOSE(CONTROL!$C$32, $C$9, 100%, $E$9)</f>
        <v>32.273200000000003</v>
      </c>
      <c r="L920" s="11">
        <f>15.6749 * CHOOSE(CONTROL!$C$32, $C$9, 100%, $E$9)</f>
        <v>15.674899999999999</v>
      </c>
      <c r="M920" s="11">
        <f>15.6802 * CHOOSE(CONTROL!$C$32, $C$9, 100%, $E$9)</f>
        <v>15.680199999999999</v>
      </c>
      <c r="N920" s="11">
        <f>15.6749 * CHOOSE(CONTROL!$C$32, $C$9, 100%, $E$9)</f>
        <v>15.674899999999999</v>
      </c>
      <c r="O920" s="11">
        <f>15.6802 * CHOOSE(CONTROL!$C$32, $C$9, 100%, $E$9)</f>
        <v>15.680199999999999</v>
      </c>
    </row>
    <row r="921" spans="1:15" ht="15" x14ac:dyDescent="0.2">
      <c r="A921" s="13">
        <v>68881</v>
      </c>
      <c r="B921" s="9">
        <f>13.68 * CHOOSE(CONTROL!$C$32, $C$9, 100%, $E$9)</f>
        <v>13.68</v>
      </c>
      <c r="C921" s="9">
        <f>13.68 * CHOOSE(CONTROL!$C$32, $C$9, 100%, $E$9)</f>
        <v>13.68</v>
      </c>
      <c r="D921" s="9">
        <f>13.6815 * CHOOSE(CONTROL!$C$32, $C$9, 100%, $E$9)</f>
        <v>13.6815</v>
      </c>
      <c r="E921" s="11">
        <f>15.2829 * CHOOSE(CONTROL!$C$32, $C$9, 100%, $E$9)</f>
        <v>15.2829</v>
      </c>
      <c r="F921" s="11">
        <f>15.2829 * CHOOSE(CONTROL!$C$32, $C$9, 100%, $E$9)</f>
        <v>15.2829</v>
      </c>
      <c r="G921" s="11">
        <f>15.2882 * CHOOSE(CONTROL!$C$32, $C$9, 100%, $E$9)</f>
        <v>15.2882</v>
      </c>
      <c r="H921" s="11">
        <f>32.3351 * CHOOSE(CONTROL!$C$32, $C$9, 100%, $E$9)</f>
        <v>32.335099999999997</v>
      </c>
      <c r="I921" s="11">
        <f>32.3404 * CHOOSE(CONTROL!$C$32, $C$9, 100%, $E$9)</f>
        <v>32.340400000000002</v>
      </c>
      <c r="J921" s="11">
        <f>32.3351 * CHOOSE(CONTROL!$C$32, $C$9, 100%, $E$9)</f>
        <v>32.335099999999997</v>
      </c>
      <c r="K921" s="11">
        <f>32.3404 * CHOOSE(CONTROL!$C$32, $C$9, 100%, $E$9)</f>
        <v>32.340400000000002</v>
      </c>
      <c r="L921" s="11">
        <f>15.2829 * CHOOSE(CONTROL!$C$32, $C$9, 100%, $E$9)</f>
        <v>15.2829</v>
      </c>
      <c r="M921" s="11">
        <f>15.2882 * CHOOSE(CONTROL!$C$32, $C$9, 100%, $E$9)</f>
        <v>15.2882</v>
      </c>
      <c r="N921" s="11">
        <f>15.2829 * CHOOSE(CONTROL!$C$32, $C$9, 100%, $E$9)</f>
        <v>15.2829</v>
      </c>
      <c r="O921" s="11">
        <f>15.2882 * CHOOSE(CONTROL!$C$32, $C$9, 100%, $E$9)</f>
        <v>15.2882</v>
      </c>
    </row>
    <row r="922" spans="1:15" ht="15" x14ac:dyDescent="0.2">
      <c r="A922" s="13">
        <v>68912</v>
      </c>
      <c r="B922" s="9">
        <f>13.6769 * CHOOSE(CONTROL!$C$32, $C$9, 100%, $E$9)</f>
        <v>13.6769</v>
      </c>
      <c r="C922" s="9">
        <f>13.6769 * CHOOSE(CONTROL!$C$32, $C$9, 100%, $E$9)</f>
        <v>13.6769</v>
      </c>
      <c r="D922" s="9">
        <f>13.6785 * CHOOSE(CONTROL!$C$32, $C$9, 100%, $E$9)</f>
        <v>13.6785</v>
      </c>
      <c r="E922" s="11">
        <f>15.2368 * CHOOSE(CONTROL!$C$32, $C$9, 100%, $E$9)</f>
        <v>15.236800000000001</v>
      </c>
      <c r="F922" s="11">
        <f>15.2368 * CHOOSE(CONTROL!$C$32, $C$9, 100%, $E$9)</f>
        <v>15.236800000000001</v>
      </c>
      <c r="G922" s="11">
        <f>15.2421 * CHOOSE(CONTROL!$C$32, $C$9, 100%, $E$9)</f>
        <v>15.242100000000001</v>
      </c>
      <c r="H922" s="11">
        <f>32.4025 * CHOOSE(CONTROL!$C$32, $C$9, 100%, $E$9)</f>
        <v>32.402500000000003</v>
      </c>
      <c r="I922" s="11">
        <f>32.4078 * CHOOSE(CONTROL!$C$32, $C$9, 100%, $E$9)</f>
        <v>32.407800000000002</v>
      </c>
      <c r="J922" s="11">
        <f>32.4025 * CHOOSE(CONTROL!$C$32, $C$9, 100%, $E$9)</f>
        <v>32.402500000000003</v>
      </c>
      <c r="K922" s="11">
        <f>32.4078 * CHOOSE(CONTROL!$C$32, $C$9, 100%, $E$9)</f>
        <v>32.407800000000002</v>
      </c>
      <c r="L922" s="11">
        <f>15.2368 * CHOOSE(CONTROL!$C$32, $C$9, 100%, $E$9)</f>
        <v>15.236800000000001</v>
      </c>
      <c r="M922" s="11">
        <f>15.2421 * CHOOSE(CONTROL!$C$32, $C$9, 100%, $E$9)</f>
        <v>15.242100000000001</v>
      </c>
      <c r="N922" s="11">
        <f>15.2368 * CHOOSE(CONTROL!$C$32, $C$9, 100%, $E$9)</f>
        <v>15.236800000000001</v>
      </c>
      <c r="O922" s="11">
        <f>15.2421 * CHOOSE(CONTROL!$C$32, $C$9, 100%, $E$9)</f>
        <v>15.242100000000001</v>
      </c>
    </row>
    <row r="923" spans="1:15" ht="15" x14ac:dyDescent="0.2">
      <c r="A923" s="13">
        <v>68942</v>
      </c>
      <c r="B923" s="9">
        <f>13.7082 * CHOOSE(CONTROL!$C$32, $C$9, 100%, $E$9)</f>
        <v>13.7082</v>
      </c>
      <c r="C923" s="9">
        <f>13.7082 * CHOOSE(CONTROL!$C$32, $C$9, 100%, $E$9)</f>
        <v>13.7082</v>
      </c>
      <c r="D923" s="9">
        <f>13.7092 * CHOOSE(CONTROL!$C$32, $C$9, 100%, $E$9)</f>
        <v>13.709199999999999</v>
      </c>
      <c r="E923" s="11">
        <f>15.3996 * CHOOSE(CONTROL!$C$32, $C$9, 100%, $E$9)</f>
        <v>15.3996</v>
      </c>
      <c r="F923" s="11">
        <f>15.3996 * CHOOSE(CONTROL!$C$32, $C$9, 100%, $E$9)</f>
        <v>15.3996</v>
      </c>
      <c r="G923" s="11">
        <f>15.4032 * CHOOSE(CONTROL!$C$32, $C$9, 100%, $E$9)</f>
        <v>15.4032</v>
      </c>
      <c r="H923" s="11">
        <f>32.47 * CHOOSE(CONTROL!$C$32, $C$9, 100%, $E$9)</f>
        <v>32.47</v>
      </c>
      <c r="I923" s="11">
        <f>32.4736 * CHOOSE(CONTROL!$C$32, $C$9, 100%, $E$9)</f>
        <v>32.473599999999998</v>
      </c>
      <c r="J923" s="11">
        <f>32.47 * CHOOSE(CONTROL!$C$32, $C$9, 100%, $E$9)</f>
        <v>32.47</v>
      </c>
      <c r="K923" s="11">
        <f>32.4736 * CHOOSE(CONTROL!$C$32, $C$9, 100%, $E$9)</f>
        <v>32.473599999999998</v>
      </c>
      <c r="L923" s="11">
        <f>15.3996 * CHOOSE(CONTROL!$C$32, $C$9, 100%, $E$9)</f>
        <v>15.3996</v>
      </c>
      <c r="M923" s="11">
        <f>15.4032 * CHOOSE(CONTROL!$C$32, $C$9, 100%, $E$9)</f>
        <v>15.4032</v>
      </c>
      <c r="N923" s="11">
        <f>15.3996 * CHOOSE(CONTROL!$C$32, $C$9, 100%, $E$9)</f>
        <v>15.3996</v>
      </c>
      <c r="O923" s="11">
        <f>15.4032 * CHOOSE(CONTROL!$C$32, $C$9, 100%, $E$9)</f>
        <v>15.4032</v>
      </c>
    </row>
    <row r="924" spans="1:15" ht="15" x14ac:dyDescent="0.2">
      <c r="A924" s="13">
        <v>68973</v>
      </c>
      <c r="B924" s="9">
        <f>13.7112 * CHOOSE(CONTROL!$C$32, $C$9, 100%, $E$9)</f>
        <v>13.7112</v>
      </c>
      <c r="C924" s="9">
        <f>13.7112 * CHOOSE(CONTROL!$C$32, $C$9, 100%, $E$9)</f>
        <v>13.7112</v>
      </c>
      <c r="D924" s="9">
        <f>13.7123 * CHOOSE(CONTROL!$C$32, $C$9, 100%, $E$9)</f>
        <v>13.712300000000001</v>
      </c>
      <c r="E924" s="11">
        <f>15.4899 * CHOOSE(CONTROL!$C$32, $C$9, 100%, $E$9)</f>
        <v>15.4899</v>
      </c>
      <c r="F924" s="11">
        <f>15.4899 * CHOOSE(CONTROL!$C$32, $C$9, 100%, $E$9)</f>
        <v>15.4899</v>
      </c>
      <c r="G924" s="11">
        <f>15.4935 * CHOOSE(CONTROL!$C$32, $C$9, 100%, $E$9)</f>
        <v>15.493499999999999</v>
      </c>
      <c r="H924" s="11">
        <f>32.5376 * CHOOSE(CONTROL!$C$32, $C$9, 100%, $E$9)</f>
        <v>32.537599999999998</v>
      </c>
      <c r="I924" s="11">
        <f>32.5412 * CHOOSE(CONTROL!$C$32, $C$9, 100%, $E$9)</f>
        <v>32.541200000000003</v>
      </c>
      <c r="J924" s="11">
        <f>32.5376 * CHOOSE(CONTROL!$C$32, $C$9, 100%, $E$9)</f>
        <v>32.537599999999998</v>
      </c>
      <c r="K924" s="11">
        <f>32.5412 * CHOOSE(CONTROL!$C$32, $C$9, 100%, $E$9)</f>
        <v>32.541200000000003</v>
      </c>
      <c r="L924" s="11">
        <f>15.4899 * CHOOSE(CONTROL!$C$32, $C$9, 100%, $E$9)</f>
        <v>15.4899</v>
      </c>
      <c r="M924" s="11">
        <f>15.4935 * CHOOSE(CONTROL!$C$32, $C$9, 100%, $E$9)</f>
        <v>15.493499999999999</v>
      </c>
      <c r="N924" s="11">
        <f>15.4899 * CHOOSE(CONTROL!$C$32, $C$9, 100%, $E$9)</f>
        <v>15.4899</v>
      </c>
      <c r="O924" s="11">
        <f>15.4935 * CHOOSE(CONTROL!$C$32, $C$9, 100%, $E$9)</f>
        <v>15.493499999999999</v>
      </c>
    </row>
    <row r="925" spans="1:15" ht="15" x14ac:dyDescent="0.2">
      <c r="A925" s="13">
        <v>69003</v>
      </c>
      <c r="B925" s="9">
        <f>13.7112 * CHOOSE(CONTROL!$C$32, $C$9, 100%, $E$9)</f>
        <v>13.7112</v>
      </c>
      <c r="C925" s="9">
        <f>13.7112 * CHOOSE(CONTROL!$C$32, $C$9, 100%, $E$9)</f>
        <v>13.7112</v>
      </c>
      <c r="D925" s="9">
        <f>13.7123 * CHOOSE(CONTROL!$C$32, $C$9, 100%, $E$9)</f>
        <v>13.712300000000001</v>
      </c>
      <c r="E925" s="11">
        <f>15.2695 * CHOOSE(CONTROL!$C$32, $C$9, 100%, $E$9)</f>
        <v>15.269500000000001</v>
      </c>
      <c r="F925" s="11">
        <f>15.2695 * CHOOSE(CONTROL!$C$32, $C$9, 100%, $E$9)</f>
        <v>15.269500000000001</v>
      </c>
      <c r="G925" s="11">
        <f>15.2731 * CHOOSE(CONTROL!$C$32, $C$9, 100%, $E$9)</f>
        <v>15.273099999999999</v>
      </c>
      <c r="H925" s="11">
        <f>32.6054 * CHOOSE(CONTROL!$C$32, $C$9, 100%, $E$9)</f>
        <v>32.605400000000003</v>
      </c>
      <c r="I925" s="11">
        <f>32.609 * CHOOSE(CONTROL!$C$32, $C$9, 100%, $E$9)</f>
        <v>32.609000000000002</v>
      </c>
      <c r="J925" s="11">
        <f>32.6054 * CHOOSE(CONTROL!$C$32, $C$9, 100%, $E$9)</f>
        <v>32.605400000000003</v>
      </c>
      <c r="K925" s="11">
        <f>32.609 * CHOOSE(CONTROL!$C$32, $C$9, 100%, $E$9)</f>
        <v>32.609000000000002</v>
      </c>
      <c r="L925" s="11">
        <f>15.2695 * CHOOSE(CONTROL!$C$32, $C$9, 100%, $E$9)</f>
        <v>15.269500000000001</v>
      </c>
      <c r="M925" s="11">
        <f>15.2731 * CHOOSE(CONTROL!$C$32, $C$9, 100%, $E$9)</f>
        <v>15.273099999999999</v>
      </c>
      <c r="N925" s="11">
        <f>15.2695 * CHOOSE(CONTROL!$C$32, $C$9, 100%, $E$9)</f>
        <v>15.269500000000001</v>
      </c>
      <c r="O925" s="11">
        <f>15.2731 * CHOOSE(CONTROL!$C$32, $C$9, 100%, $E$9)</f>
        <v>15.273099999999999</v>
      </c>
    </row>
    <row r="926" spans="1:15" ht="15" x14ac:dyDescent="0.2">
      <c r="A926" s="13">
        <v>69034</v>
      </c>
      <c r="B926" s="9">
        <f>13.6909 * CHOOSE(CONTROL!$C$32, $C$9, 100%, $E$9)</f>
        <v>13.690899999999999</v>
      </c>
      <c r="C926" s="9">
        <f>13.6909 * CHOOSE(CONTROL!$C$32, $C$9, 100%, $E$9)</f>
        <v>13.690899999999999</v>
      </c>
      <c r="D926" s="9">
        <f>13.6919 * CHOOSE(CONTROL!$C$32, $C$9, 100%, $E$9)</f>
        <v>13.6919</v>
      </c>
      <c r="E926" s="11">
        <f>15.4081 * CHOOSE(CONTROL!$C$32, $C$9, 100%, $E$9)</f>
        <v>15.408099999999999</v>
      </c>
      <c r="F926" s="11">
        <f>15.4081 * CHOOSE(CONTROL!$C$32, $C$9, 100%, $E$9)</f>
        <v>15.408099999999999</v>
      </c>
      <c r="G926" s="11">
        <f>15.4117 * CHOOSE(CONTROL!$C$32, $C$9, 100%, $E$9)</f>
        <v>15.4117</v>
      </c>
      <c r="H926" s="11">
        <f>32.3393 * CHOOSE(CONTROL!$C$32, $C$9, 100%, $E$9)</f>
        <v>32.339300000000001</v>
      </c>
      <c r="I926" s="11">
        <f>32.3429 * CHOOSE(CONTROL!$C$32, $C$9, 100%, $E$9)</f>
        <v>32.3429</v>
      </c>
      <c r="J926" s="11">
        <f>32.3393 * CHOOSE(CONTROL!$C$32, $C$9, 100%, $E$9)</f>
        <v>32.339300000000001</v>
      </c>
      <c r="K926" s="11">
        <f>32.3429 * CHOOSE(CONTROL!$C$32, $C$9, 100%, $E$9)</f>
        <v>32.3429</v>
      </c>
      <c r="L926" s="11">
        <f>15.4081 * CHOOSE(CONTROL!$C$32, $C$9, 100%, $E$9)</f>
        <v>15.408099999999999</v>
      </c>
      <c r="M926" s="11">
        <f>15.4117 * CHOOSE(CONTROL!$C$32, $C$9, 100%, $E$9)</f>
        <v>15.4117</v>
      </c>
      <c r="N926" s="11">
        <f>15.4081 * CHOOSE(CONTROL!$C$32, $C$9, 100%, $E$9)</f>
        <v>15.408099999999999</v>
      </c>
      <c r="O926" s="11">
        <f>15.4117 * CHOOSE(CONTROL!$C$32, $C$9, 100%, $E$9)</f>
        <v>15.4117</v>
      </c>
    </row>
    <row r="927" spans="1:15" ht="15" x14ac:dyDescent="0.2">
      <c r="A927" s="13">
        <v>69065</v>
      </c>
      <c r="B927" s="9">
        <f>13.6878 * CHOOSE(CONTROL!$C$32, $C$9, 100%, $E$9)</f>
        <v>13.687799999999999</v>
      </c>
      <c r="C927" s="9">
        <f>13.6878 * CHOOSE(CONTROL!$C$32, $C$9, 100%, $E$9)</f>
        <v>13.687799999999999</v>
      </c>
      <c r="D927" s="9">
        <f>13.6889 * CHOOSE(CONTROL!$C$32, $C$9, 100%, $E$9)</f>
        <v>13.6889</v>
      </c>
      <c r="E927" s="11">
        <f>14.9824 * CHOOSE(CONTROL!$C$32, $C$9, 100%, $E$9)</f>
        <v>14.9824</v>
      </c>
      <c r="F927" s="11">
        <f>14.9824 * CHOOSE(CONTROL!$C$32, $C$9, 100%, $E$9)</f>
        <v>14.9824</v>
      </c>
      <c r="G927" s="11">
        <f>14.9861 * CHOOSE(CONTROL!$C$32, $C$9, 100%, $E$9)</f>
        <v>14.9861</v>
      </c>
      <c r="H927" s="11">
        <f>32.4066 * CHOOSE(CONTROL!$C$32, $C$9, 100%, $E$9)</f>
        <v>32.406599999999997</v>
      </c>
      <c r="I927" s="11">
        <f>32.4103 * CHOOSE(CONTROL!$C$32, $C$9, 100%, $E$9)</f>
        <v>32.410299999999999</v>
      </c>
      <c r="J927" s="11">
        <f>32.4066 * CHOOSE(CONTROL!$C$32, $C$9, 100%, $E$9)</f>
        <v>32.406599999999997</v>
      </c>
      <c r="K927" s="11">
        <f>32.4103 * CHOOSE(CONTROL!$C$32, $C$9, 100%, $E$9)</f>
        <v>32.410299999999999</v>
      </c>
      <c r="L927" s="11">
        <f>14.9824 * CHOOSE(CONTROL!$C$32, $C$9, 100%, $E$9)</f>
        <v>14.9824</v>
      </c>
      <c r="M927" s="11">
        <f>14.9861 * CHOOSE(CONTROL!$C$32, $C$9, 100%, $E$9)</f>
        <v>14.9861</v>
      </c>
      <c r="N927" s="11">
        <f>14.9824 * CHOOSE(CONTROL!$C$32, $C$9, 100%, $E$9)</f>
        <v>14.9824</v>
      </c>
      <c r="O927" s="11">
        <f>14.9861 * CHOOSE(CONTROL!$C$32, $C$9, 100%, $E$9)</f>
        <v>14.9861</v>
      </c>
    </row>
    <row r="928" spans="1:15" ht="15" x14ac:dyDescent="0.2">
      <c r="A928" s="13">
        <v>69093</v>
      </c>
      <c r="B928" s="9">
        <f>13.6848 * CHOOSE(CONTROL!$C$32, $C$9, 100%, $E$9)</f>
        <v>13.684799999999999</v>
      </c>
      <c r="C928" s="9">
        <f>13.6848 * CHOOSE(CONTROL!$C$32, $C$9, 100%, $E$9)</f>
        <v>13.684799999999999</v>
      </c>
      <c r="D928" s="9">
        <f>13.6859 * CHOOSE(CONTROL!$C$32, $C$9, 100%, $E$9)</f>
        <v>13.6859</v>
      </c>
      <c r="E928" s="11">
        <f>15.3142 * CHOOSE(CONTROL!$C$32, $C$9, 100%, $E$9)</f>
        <v>15.3142</v>
      </c>
      <c r="F928" s="11">
        <f>15.3142 * CHOOSE(CONTROL!$C$32, $C$9, 100%, $E$9)</f>
        <v>15.3142</v>
      </c>
      <c r="G928" s="11">
        <f>15.3178 * CHOOSE(CONTROL!$C$32, $C$9, 100%, $E$9)</f>
        <v>15.3178</v>
      </c>
      <c r="H928" s="11">
        <f>32.4742 * CHOOSE(CONTROL!$C$32, $C$9, 100%, $E$9)</f>
        <v>32.474200000000003</v>
      </c>
      <c r="I928" s="11">
        <f>32.4778 * CHOOSE(CONTROL!$C$32, $C$9, 100%, $E$9)</f>
        <v>32.477800000000002</v>
      </c>
      <c r="J928" s="11">
        <f>32.4742 * CHOOSE(CONTROL!$C$32, $C$9, 100%, $E$9)</f>
        <v>32.474200000000003</v>
      </c>
      <c r="K928" s="11">
        <f>32.4778 * CHOOSE(CONTROL!$C$32, $C$9, 100%, $E$9)</f>
        <v>32.477800000000002</v>
      </c>
      <c r="L928" s="11">
        <f>15.3142 * CHOOSE(CONTROL!$C$32, $C$9, 100%, $E$9)</f>
        <v>15.3142</v>
      </c>
      <c r="M928" s="11">
        <f>15.3178 * CHOOSE(CONTROL!$C$32, $C$9, 100%, $E$9)</f>
        <v>15.3178</v>
      </c>
      <c r="N928" s="11">
        <f>15.3142 * CHOOSE(CONTROL!$C$32, $C$9, 100%, $E$9)</f>
        <v>15.3142</v>
      </c>
      <c r="O928" s="11">
        <f>15.3178 * CHOOSE(CONTROL!$C$32, $C$9, 100%, $E$9)</f>
        <v>15.3178</v>
      </c>
    </row>
    <row r="929" spans="1:15" ht="15" x14ac:dyDescent="0.2">
      <c r="A929" s="13">
        <v>69124</v>
      </c>
      <c r="B929" s="9">
        <f>13.6919 * CHOOSE(CONTROL!$C$32, $C$9, 100%, $E$9)</f>
        <v>13.6919</v>
      </c>
      <c r="C929" s="9">
        <f>13.6919 * CHOOSE(CONTROL!$C$32, $C$9, 100%, $E$9)</f>
        <v>13.6919</v>
      </c>
      <c r="D929" s="9">
        <f>13.6929 * CHOOSE(CONTROL!$C$32, $C$9, 100%, $E$9)</f>
        <v>13.6929</v>
      </c>
      <c r="E929" s="11">
        <f>15.6686 * CHOOSE(CONTROL!$C$32, $C$9, 100%, $E$9)</f>
        <v>15.6686</v>
      </c>
      <c r="F929" s="11">
        <f>15.6686 * CHOOSE(CONTROL!$C$32, $C$9, 100%, $E$9)</f>
        <v>15.6686</v>
      </c>
      <c r="G929" s="11">
        <f>15.6722 * CHOOSE(CONTROL!$C$32, $C$9, 100%, $E$9)</f>
        <v>15.6722</v>
      </c>
      <c r="H929" s="11">
        <f>32.5418 * CHOOSE(CONTROL!$C$32, $C$9, 100%, $E$9)</f>
        <v>32.541800000000002</v>
      </c>
      <c r="I929" s="11">
        <f>32.5454 * CHOOSE(CONTROL!$C$32, $C$9, 100%, $E$9)</f>
        <v>32.545400000000001</v>
      </c>
      <c r="J929" s="11">
        <f>32.5418 * CHOOSE(CONTROL!$C$32, $C$9, 100%, $E$9)</f>
        <v>32.541800000000002</v>
      </c>
      <c r="K929" s="11">
        <f>32.5454 * CHOOSE(CONTROL!$C$32, $C$9, 100%, $E$9)</f>
        <v>32.545400000000001</v>
      </c>
      <c r="L929" s="11">
        <f>15.6686 * CHOOSE(CONTROL!$C$32, $C$9, 100%, $E$9)</f>
        <v>15.6686</v>
      </c>
      <c r="M929" s="11">
        <f>15.6722 * CHOOSE(CONTROL!$C$32, $C$9, 100%, $E$9)</f>
        <v>15.6722</v>
      </c>
      <c r="N929" s="11">
        <f>15.6686 * CHOOSE(CONTROL!$C$32, $C$9, 100%, $E$9)</f>
        <v>15.6686</v>
      </c>
      <c r="O929" s="11">
        <f>15.6722 * CHOOSE(CONTROL!$C$32, $C$9, 100%, $E$9)</f>
        <v>15.6722</v>
      </c>
    </row>
    <row r="930" spans="1:15" ht="15" x14ac:dyDescent="0.2">
      <c r="A930" s="13">
        <v>69154</v>
      </c>
      <c r="B930" s="9">
        <f>13.6919 * CHOOSE(CONTROL!$C$32, $C$9, 100%, $E$9)</f>
        <v>13.6919</v>
      </c>
      <c r="C930" s="9">
        <f>13.6919 * CHOOSE(CONTROL!$C$32, $C$9, 100%, $E$9)</f>
        <v>13.6919</v>
      </c>
      <c r="D930" s="9">
        <f>13.6934 * CHOOSE(CONTROL!$C$32, $C$9, 100%, $E$9)</f>
        <v>13.6934</v>
      </c>
      <c r="E930" s="11">
        <f>15.803 * CHOOSE(CONTROL!$C$32, $C$9, 100%, $E$9)</f>
        <v>15.803000000000001</v>
      </c>
      <c r="F930" s="11">
        <f>15.803 * CHOOSE(CONTROL!$C$32, $C$9, 100%, $E$9)</f>
        <v>15.803000000000001</v>
      </c>
      <c r="G930" s="11">
        <f>15.8083 * CHOOSE(CONTROL!$C$32, $C$9, 100%, $E$9)</f>
        <v>15.808299999999999</v>
      </c>
      <c r="H930" s="11">
        <f>32.6096 * CHOOSE(CONTROL!$C$32, $C$9, 100%, $E$9)</f>
        <v>32.6096</v>
      </c>
      <c r="I930" s="11">
        <f>32.6149 * CHOOSE(CONTROL!$C$32, $C$9, 100%, $E$9)</f>
        <v>32.614899999999999</v>
      </c>
      <c r="J930" s="11">
        <f>32.6096 * CHOOSE(CONTROL!$C$32, $C$9, 100%, $E$9)</f>
        <v>32.6096</v>
      </c>
      <c r="K930" s="11">
        <f>32.6149 * CHOOSE(CONTROL!$C$32, $C$9, 100%, $E$9)</f>
        <v>32.614899999999999</v>
      </c>
      <c r="L930" s="11">
        <f>15.803 * CHOOSE(CONTROL!$C$32, $C$9, 100%, $E$9)</f>
        <v>15.803000000000001</v>
      </c>
      <c r="M930" s="11">
        <f>15.8083 * CHOOSE(CONTROL!$C$32, $C$9, 100%, $E$9)</f>
        <v>15.808299999999999</v>
      </c>
      <c r="N930" s="11">
        <f>15.803 * CHOOSE(CONTROL!$C$32, $C$9, 100%, $E$9)</f>
        <v>15.803000000000001</v>
      </c>
      <c r="O930" s="11">
        <f>15.8083 * CHOOSE(CONTROL!$C$32, $C$9, 100%, $E$9)</f>
        <v>15.808299999999999</v>
      </c>
    </row>
    <row r="931" spans="1:15" ht="15" x14ac:dyDescent="0.2">
      <c r="A931" s="13">
        <v>69185</v>
      </c>
      <c r="B931" s="9">
        <f>13.6979 * CHOOSE(CONTROL!$C$32, $C$9, 100%, $E$9)</f>
        <v>13.697900000000001</v>
      </c>
      <c r="C931" s="9">
        <f>13.6979 * CHOOSE(CONTROL!$C$32, $C$9, 100%, $E$9)</f>
        <v>13.697900000000001</v>
      </c>
      <c r="D931" s="9">
        <f>13.6995 * CHOOSE(CONTROL!$C$32, $C$9, 100%, $E$9)</f>
        <v>13.6995</v>
      </c>
      <c r="E931" s="11">
        <f>15.6728 * CHOOSE(CONTROL!$C$32, $C$9, 100%, $E$9)</f>
        <v>15.672800000000001</v>
      </c>
      <c r="F931" s="11">
        <f>15.6728 * CHOOSE(CONTROL!$C$32, $C$9, 100%, $E$9)</f>
        <v>15.672800000000001</v>
      </c>
      <c r="G931" s="11">
        <f>15.6781 * CHOOSE(CONTROL!$C$32, $C$9, 100%, $E$9)</f>
        <v>15.678100000000001</v>
      </c>
      <c r="H931" s="11">
        <f>32.6775 * CHOOSE(CONTROL!$C$32, $C$9, 100%, $E$9)</f>
        <v>32.677500000000002</v>
      </c>
      <c r="I931" s="11">
        <f>32.6828 * CHOOSE(CONTROL!$C$32, $C$9, 100%, $E$9)</f>
        <v>32.6828</v>
      </c>
      <c r="J931" s="11">
        <f>32.6775 * CHOOSE(CONTROL!$C$32, $C$9, 100%, $E$9)</f>
        <v>32.677500000000002</v>
      </c>
      <c r="K931" s="11">
        <f>32.6828 * CHOOSE(CONTROL!$C$32, $C$9, 100%, $E$9)</f>
        <v>32.6828</v>
      </c>
      <c r="L931" s="11">
        <f>15.6728 * CHOOSE(CONTROL!$C$32, $C$9, 100%, $E$9)</f>
        <v>15.672800000000001</v>
      </c>
      <c r="M931" s="11">
        <f>15.6781 * CHOOSE(CONTROL!$C$32, $C$9, 100%, $E$9)</f>
        <v>15.678100000000001</v>
      </c>
      <c r="N931" s="11">
        <f>15.6728 * CHOOSE(CONTROL!$C$32, $C$9, 100%, $E$9)</f>
        <v>15.672800000000001</v>
      </c>
      <c r="O931" s="11">
        <f>15.6781 * CHOOSE(CONTROL!$C$32, $C$9, 100%, $E$9)</f>
        <v>15.678100000000001</v>
      </c>
    </row>
    <row r="932" spans="1:15" ht="15" x14ac:dyDescent="0.2">
      <c r="A932" s="13">
        <v>69215</v>
      </c>
      <c r="B932" s="9">
        <f>13.8629 * CHOOSE(CONTROL!$C$32, $C$9, 100%, $E$9)</f>
        <v>13.8629</v>
      </c>
      <c r="C932" s="9">
        <f>13.8629 * CHOOSE(CONTROL!$C$32, $C$9, 100%, $E$9)</f>
        <v>13.8629</v>
      </c>
      <c r="D932" s="9">
        <f>13.8644 * CHOOSE(CONTROL!$C$32, $C$9, 100%, $E$9)</f>
        <v>13.8644</v>
      </c>
      <c r="E932" s="11">
        <f>15.8951 * CHOOSE(CONTROL!$C$32, $C$9, 100%, $E$9)</f>
        <v>15.895099999999999</v>
      </c>
      <c r="F932" s="11">
        <f>15.8951 * CHOOSE(CONTROL!$C$32, $C$9, 100%, $E$9)</f>
        <v>15.895099999999999</v>
      </c>
      <c r="G932" s="11">
        <f>15.9004 * CHOOSE(CONTROL!$C$32, $C$9, 100%, $E$9)</f>
        <v>15.900399999999999</v>
      </c>
      <c r="H932" s="11">
        <f>32.7456 * CHOOSE(CONTROL!$C$32, $C$9, 100%, $E$9)</f>
        <v>32.745600000000003</v>
      </c>
      <c r="I932" s="11">
        <f>32.7509 * CHOOSE(CONTROL!$C$32, $C$9, 100%, $E$9)</f>
        <v>32.750900000000001</v>
      </c>
      <c r="J932" s="11">
        <f>32.7456 * CHOOSE(CONTROL!$C$32, $C$9, 100%, $E$9)</f>
        <v>32.745600000000003</v>
      </c>
      <c r="K932" s="11">
        <f>32.7509 * CHOOSE(CONTROL!$C$32, $C$9, 100%, $E$9)</f>
        <v>32.750900000000001</v>
      </c>
      <c r="L932" s="11">
        <f>15.8951 * CHOOSE(CONTROL!$C$32, $C$9, 100%, $E$9)</f>
        <v>15.895099999999999</v>
      </c>
      <c r="M932" s="11">
        <f>15.9004 * CHOOSE(CONTROL!$C$32, $C$9, 100%, $E$9)</f>
        <v>15.900399999999999</v>
      </c>
      <c r="N932" s="11">
        <f>15.8951 * CHOOSE(CONTROL!$C$32, $C$9, 100%, $E$9)</f>
        <v>15.895099999999999</v>
      </c>
      <c r="O932" s="11">
        <f>15.9004 * CHOOSE(CONTROL!$C$32, $C$9, 100%, $E$9)</f>
        <v>15.900399999999999</v>
      </c>
    </row>
    <row r="933" spans="1:15" ht="15" x14ac:dyDescent="0.2">
      <c r="A933" s="13">
        <v>69246</v>
      </c>
      <c r="B933" s="9">
        <f>13.8696 * CHOOSE(CONTROL!$C$32, $C$9, 100%, $E$9)</f>
        <v>13.8696</v>
      </c>
      <c r="C933" s="9">
        <f>13.8696 * CHOOSE(CONTROL!$C$32, $C$9, 100%, $E$9)</f>
        <v>13.8696</v>
      </c>
      <c r="D933" s="9">
        <f>13.8711 * CHOOSE(CONTROL!$C$32, $C$9, 100%, $E$9)</f>
        <v>13.8711</v>
      </c>
      <c r="E933" s="11">
        <f>15.4964 * CHOOSE(CONTROL!$C$32, $C$9, 100%, $E$9)</f>
        <v>15.4964</v>
      </c>
      <c r="F933" s="11">
        <f>15.4964 * CHOOSE(CONTROL!$C$32, $C$9, 100%, $E$9)</f>
        <v>15.4964</v>
      </c>
      <c r="G933" s="11">
        <f>15.5017 * CHOOSE(CONTROL!$C$32, $C$9, 100%, $E$9)</f>
        <v>15.5017</v>
      </c>
      <c r="H933" s="11">
        <f>32.8138 * CHOOSE(CONTROL!$C$32, $C$9, 100%, $E$9)</f>
        <v>32.813800000000001</v>
      </c>
      <c r="I933" s="11">
        <f>32.8191 * CHOOSE(CONTROL!$C$32, $C$9, 100%, $E$9)</f>
        <v>32.819099999999999</v>
      </c>
      <c r="J933" s="11">
        <f>32.8138 * CHOOSE(CONTROL!$C$32, $C$9, 100%, $E$9)</f>
        <v>32.813800000000001</v>
      </c>
      <c r="K933" s="11">
        <f>32.8191 * CHOOSE(CONTROL!$C$32, $C$9, 100%, $E$9)</f>
        <v>32.819099999999999</v>
      </c>
      <c r="L933" s="11">
        <f>15.4964 * CHOOSE(CONTROL!$C$32, $C$9, 100%, $E$9)</f>
        <v>15.4964</v>
      </c>
      <c r="M933" s="11">
        <f>15.5017 * CHOOSE(CONTROL!$C$32, $C$9, 100%, $E$9)</f>
        <v>15.5017</v>
      </c>
      <c r="N933" s="11">
        <f>15.4964 * CHOOSE(CONTROL!$C$32, $C$9, 100%, $E$9)</f>
        <v>15.4964</v>
      </c>
      <c r="O933" s="11">
        <f>15.5017 * CHOOSE(CONTROL!$C$32, $C$9, 100%, $E$9)</f>
        <v>15.5017</v>
      </c>
    </row>
    <row r="934" spans="1:15" ht="15" x14ac:dyDescent="0.2">
      <c r="A934" s="13">
        <v>69277</v>
      </c>
      <c r="B934" s="9">
        <f>13.8665 * CHOOSE(CONTROL!$C$32, $C$9, 100%, $E$9)</f>
        <v>13.8665</v>
      </c>
      <c r="C934" s="9">
        <f>13.8665 * CHOOSE(CONTROL!$C$32, $C$9, 100%, $E$9)</f>
        <v>13.8665</v>
      </c>
      <c r="D934" s="9">
        <f>13.8681 * CHOOSE(CONTROL!$C$32, $C$9, 100%, $E$9)</f>
        <v>13.8681</v>
      </c>
      <c r="E934" s="11">
        <f>15.4494 * CHOOSE(CONTROL!$C$32, $C$9, 100%, $E$9)</f>
        <v>15.449400000000001</v>
      </c>
      <c r="F934" s="11">
        <f>15.4494 * CHOOSE(CONTROL!$C$32, $C$9, 100%, $E$9)</f>
        <v>15.449400000000001</v>
      </c>
      <c r="G934" s="11">
        <f>15.4547 * CHOOSE(CONTROL!$C$32, $C$9, 100%, $E$9)</f>
        <v>15.454700000000001</v>
      </c>
      <c r="H934" s="11">
        <f>32.8822 * CHOOSE(CONTROL!$C$32, $C$9, 100%, $E$9)</f>
        <v>32.882199999999997</v>
      </c>
      <c r="I934" s="11">
        <f>32.8875 * CHOOSE(CONTROL!$C$32, $C$9, 100%, $E$9)</f>
        <v>32.887500000000003</v>
      </c>
      <c r="J934" s="11">
        <f>32.8822 * CHOOSE(CONTROL!$C$32, $C$9, 100%, $E$9)</f>
        <v>32.882199999999997</v>
      </c>
      <c r="K934" s="11">
        <f>32.8875 * CHOOSE(CONTROL!$C$32, $C$9, 100%, $E$9)</f>
        <v>32.887500000000003</v>
      </c>
      <c r="L934" s="11">
        <f>15.4494 * CHOOSE(CONTROL!$C$32, $C$9, 100%, $E$9)</f>
        <v>15.449400000000001</v>
      </c>
      <c r="M934" s="11">
        <f>15.4547 * CHOOSE(CONTROL!$C$32, $C$9, 100%, $E$9)</f>
        <v>15.454700000000001</v>
      </c>
      <c r="N934" s="11">
        <f>15.4494 * CHOOSE(CONTROL!$C$32, $C$9, 100%, $E$9)</f>
        <v>15.449400000000001</v>
      </c>
      <c r="O934" s="11">
        <f>15.4547 * CHOOSE(CONTROL!$C$32, $C$9, 100%, $E$9)</f>
        <v>15.454700000000001</v>
      </c>
    </row>
    <row r="935" spans="1:15" ht="15" x14ac:dyDescent="0.2">
      <c r="A935" s="13">
        <v>69307</v>
      </c>
      <c r="B935" s="9">
        <f>13.8985 * CHOOSE(CONTROL!$C$32, $C$9, 100%, $E$9)</f>
        <v>13.8985</v>
      </c>
      <c r="C935" s="9">
        <f>13.8985 * CHOOSE(CONTROL!$C$32, $C$9, 100%, $E$9)</f>
        <v>13.8985</v>
      </c>
      <c r="D935" s="9">
        <f>13.8995 * CHOOSE(CONTROL!$C$32, $C$9, 100%, $E$9)</f>
        <v>13.8995</v>
      </c>
      <c r="E935" s="11">
        <f>15.6153 * CHOOSE(CONTROL!$C$32, $C$9, 100%, $E$9)</f>
        <v>15.6153</v>
      </c>
      <c r="F935" s="11">
        <f>15.6153 * CHOOSE(CONTROL!$C$32, $C$9, 100%, $E$9)</f>
        <v>15.6153</v>
      </c>
      <c r="G935" s="11">
        <f>15.6189 * CHOOSE(CONTROL!$C$32, $C$9, 100%, $E$9)</f>
        <v>15.6189</v>
      </c>
      <c r="H935" s="11">
        <f>32.9507 * CHOOSE(CONTROL!$C$32, $C$9, 100%, $E$9)</f>
        <v>32.950699999999998</v>
      </c>
      <c r="I935" s="11">
        <f>32.9543 * CHOOSE(CONTROL!$C$32, $C$9, 100%, $E$9)</f>
        <v>32.954300000000003</v>
      </c>
      <c r="J935" s="11">
        <f>32.9507 * CHOOSE(CONTROL!$C$32, $C$9, 100%, $E$9)</f>
        <v>32.950699999999998</v>
      </c>
      <c r="K935" s="11">
        <f>32.9543 * CHOOSE(CONTROL!$C$32, $C$9, 100%, $E$9)</f>
        <v>32.954300000000003</v>
      </c>
      <c r="L935" s="11">
        <f>15.6153 * CHOOSE(CONTROL!$C$32, $C$9, 100%, $E$9)</f>
        <v>15.6153</v>
      </c>
      <c r="M935" s="11">
        <f>15.6189 * CHOOSE(CONTROL!$C$32, $C$9, 100%, $E$9)</f>
        <v>15.6189</v>
      </c>
      <c r="N935" s="11">
        <f>15.6153 * CHOOSE(CONTROL!$C$32, $C$9, 100%, $E$9)</f>
        <v>15.6153</v>
      </c>
      <c r="O935" s="11">
        <f>15.6189 * CHOOSE(CONTROL!$C$32, $C$9, 100%, $E$9)</f>
        <v>15.6189</v>
      </c>
    </row>
    <row r="936" spans="1:15" ht="15" x14ac:dyDescent="0.2">
      <c r="A936" s="13">
        <v>69338</v>
      </c>
      <c r="B936" s="9">
        <f>13.9015 * CHOOSE(CONTROL!$C$32, $C$9, 100%, $E$9)</f>
        <v>13.9015</v>
      </c>
      <c r="C936" s="9">
        <f>13.9015 * CHOOSE(CONTROL!$C$32, $C$9, 100%, $E$9)</f>
        <v>13.9015</v>
      </c>
      <c r="D936" s="9">
        <f>13.9026 * CHOOSE(CONTROL!$C$32, $C$9, 100%, $E$9)</f>
        <v>13.9026</v>
      </c>
      <c r="E936" s="11">
        <f>15.7071 * CHOOSE(CONTROL!$C$32, $C$9, 100%, $E$9)</f>
        <v>15.707100000000001</v>
      </c>
      <c r="F936" s="11">
        <f>15.7071 * CHOOSE(CONTROL!$C$32, $C$9, 100%, $E$9)</f>
        <v>15.707100000000001</v>
      </c>
      <c r="G936" s="11">
        <f>15.7107 * CHOOSE(CONTROL!$C$32, $C$9, 100%, $E$9)</f>
        <v>15.710699999999999</v>
      </c>
      <c r="H936" s="11">
        <f>33.0194 * CHOOSE(CONTROL!$C$32, $C$9, 100%, $E$9)</f>
        <v>33.019399999999997</v>
      </c>
      <c r="I936" s="11">
        <f>33.023 * CHOOSE(CONTROL!$C$32, $C$9, 100%, $E$9)</f>
        <v>33.023000000000003</v>
      </c>
      <c r="J936" s="11">
        <f>33.0194 * CHOOSE(CONTROL!$C$32, $C$9, 100%, $E$9)</f>
        <v>33.019399999999997</v>
      </c>
      <c r="K936" s="11">
        <f>33.023 * CHOOSE(CONTROL!$C$32, $C$9, 100%, $E$9)</f>
        <v>33.023000000000003</v>
      </c>
      <c r="L936" s="11">
        <f>15.7071 * CHOOSE(CONTROL!$C$32, $C$9, 100%, $E$9)</f>
        <v>15.707100000000001</v>
      </c>
      <c r="M936" s="11">
        <f>15.7107 * CHOOSE(CONTROL!$C$32, $C$9, 100%, $E$9)</f>
        <v>15.710699999999999</v>
      </c>
      <c r="N936" s="11">
        <f>15.7071 * CHOOSE(CONTROL!$C$32, $C$9, 100%, $E$9)</f>
        <v>15.707100000000001</v>
      </c>
      <c r="O936" s="11">
        <f>15.7107 * CHOOSE(CONTROL!$C$32, $C$9, 100%, $E$9)</f>
        <v>15.710699999999999</v>
      </c>
    </row>
    <row r="937" spans="1:15" ht="15" x14ac:dyDescent="0.2">
      <c r="A937" s="13">
        <v>69368</v>
      </c>
      <c r="B937" s="9">
        <f>13.9015 * CHOOSE(CONTROL!$C$32, $C$9, 100%, $E$9)</f>
        <v>13.9015</v>
      </c>
      <c r="C937" s="9">
        <f>13.9015 * CHOOSE(CONTROL!$C$32, $C$9, 100%, $E$9)</f>
        <v>13.9015</v>
      </c>
      <c r="D937" s="9">
        <f>13.9026 * CHOOSE(CONTROL!$C$32, $C$9, 100%, $E$9)</f>
        <v>13.9026</v>
      </c>
      <c r="E937" s="11">
        <f>15.483 * CHOOSE(CONTROL!$C$32, $C$9, 100%, $E$9)</f>
        <v>15.483000000000001</v>
      </c>
      <c r="F937" s="11">
        <f>15.483 * CHOOSE(CONTROL!$C$32, $C$9, 100%, $E$9)</f>
        <v>15.483000000000001</v>
      </c>
      <c r="G937" s="11">
        <f>15.4866 * CHOOSE(CONTROL!$C$32, $C$9, 100%, $E$9)</f>
        <v>15.486599999999999</v>
      </c>
      <c r="H937" s="11">
        <f>33.0881 * CHOOSE(CONTROL!$C$32, $C$9, 100%, $E$9)</f>
        <v>33.088099999999997</v>
      </c>
      <c r="I937" s="11">
        <f>33.0918 * CHOOSE(CONTROL!$C$32, $C$9, 100%, $E$9)</f>
        <v>33.091799999999999</v>
      </c>
      <c r="J937" s="11">
        <f>33.0881 * CHOOSE(CONTROL!$C$32, $C$9, 100%, $E$9)</f>
        <v>33.088099999999997</v>
      </c>
      <c r="K937" s="11">
        <f>33.0918 * CHOOSE(CONTROL!$C$32, $C$9, 100%, $E$9)</f>
        <v>33.091799999999999</v>
      </c>
      <c r="L937" s="11">
        <f>15.483 * CHOOSE(CONTROL!$C$32, $C$9, 100%, $E$9)</f>
        <v>15.483000000000001</v>
      </c>
      <c r="M937" s="11">
        <f>15.4866 * CHOOSE(CONTROL!$C$32, $C$9, 100%, $E$9)</f>
        <v>15.486599999999999</v>
      </c>
      <c r="N937" s="11">
        <f>15.483 * CHOOSE(CONTROL!$C$32, $C$9, 100%, $E$9)</f>
        <v>15.483000000000001</v>
      </c>
      <c r="O937" s="11">
        <f>15.4866 * CHOOSE(CONTROL!$C$32, $C$9, 100%, $E$9)</f>
        <v>15.486599999999999</v>
      </c>
    </row>
    <row r="938" spans="1:15" ht="15" x14ac:dyDescent="0.2">
      <c r="A938" s="13">
        <v>69399</v>
      </c>
      <c r="B938" s="9">
        <f>13.8782 * CHOOSE(CONTROL!$C$32, $C$9, 100%, $E$9)</f>
        <v>13.8782</v>
      </c>
      <c r="C938" s="9">
        <f>13.8782 * CHOOSE(CONTROL!$C$32, $C$9, 100%, $E$9)</f>
        <v>13.8782</v>
      </c>
      <c r="D938" s="9">
        <f>13.8793 * CHOOSE(CONTROL!$C$32, $C$9, 100%, $E$9)</f>
        <v>13.879300000000001</v>
      </c>
      <c r="E938" s="11">
        <f>15.6206 * CHOOSE(CONTROL!$C$32, $C$9, 100%, $E$9)</f>
        <v>15.6206</v>
      </c>
      <c r="F938" s="11">
        <f>15.6206 * CHOOSE(CONTROL!$C$32, $C$9, 100%, $E$9)</f>
        <v>15.6206</v>
      </c>
      <c r="G938" s="11">
        <f>15.6242 * CHOOSE(CONTROL!$C$32, $C$9, 100%, $E$9)</f>
        <v>15.6242</v>
      </c>
      <c r="H938" s="11">
        <f>32.8111 * CHOOSE(CONTROL!$C$32, $C$9, 100%, $E$9)</f>
        <v>32.811100000000003</v>
      </c>
      <c r="I938" s="11">
        <f>32.8147 * CHOOSE(CONTROL!$C$32, $C$9, 100%, $E$9)</f>
        <v>32.814700000000002</v>
      </c>
      <c r="J938" s="11">
        <f>32.8111 * CHOOSE(CONTROL!$C$32, $C$9, 100%, $E$9)</f>
        <v>32.811100000000003</v>
      </c>
      <c r="K938" s="11">
        <f>32.8147 * CHOOSE(CONTROL!$C$32, $C$9, 100%, $E$9)</f>
        <v>32.814700000000002</v>
      </c>
      <c r="L938" s="11">
        <f>15.6206 * CHOOSE(CONTROL!$C$32, $C$9, 100%, $E$9)</f>
        <v>15.6206</v>
      </c>
      <c r="M938" s="11">
        <f>15.6242 * CHOOSE(CONTROL!$C$32, $C$9, 100%, $E$9)</f>
        <v>15.6242</v>
      </c>
      <c r="N938" s="11">
        <f>15.6206 * CHOOSE(CONTROL!$C$32, $C$9, 100%, $E$9)</f>
        <v>15.6206</v>
      </c>
      <c r="O938" s="11">
        <f>15.6242 * CHOOSE(CONTROL!$C$32, $C$9, 100%, $E$9)</f>
        <v>15.6242</v>
      </c>
    </row>
    <row r="939" spans="1:15" ht="15" x14ac:dyDescent="0.2">
      <c r="A939" s="13">
        <v>69430</v>
      </c>
      <c r="B939" s="9">
        <f>13.8752 * CHOOSE(CONTROL!$C$32, $C$9, 100%, $E$9)</f>
        <v>13.8752</v>
      </c>
      <c r="C939" s="9">
        <f>13.8752 * CHOOSE(CONTROL!$C$32, $C$9, 100%, $E$9)</f>
        <v>13.8752</v>
      </c>
      <c r="D939" s="9">
        <f>13.8763 * CHOOSE(CONTROL!$C$32, $C$9, 100%, $E$9)</f>
        <v>13.876300000000001</v>
      </c>
      <c r="E939" s="11">
        <f>15.1879 * CHOOSE(CONTROL!$C$32, $C$9, 100%, $E$9)</f>
        <v>15.187900000000001</v>
      </c>
      <c r="F939" s="11">
        <f>15.1879 * CHOOSE(CONTROL!$C$32, $C$9, 100%, $E$9)</f>
        <v>15.187900000000001</v>
      </c>
      <c r="G939" s="11">
        <f>15.1915 * CHOOSE(CONTROL!$C$32, $C$9, 100%, $E$9)</f>
        <v>15.1915</v>
      </c>
      <c r="H939" s="11">
        <f>32.8794 * CHOOSE(CONTROL!$C$32, $C$9, 100%, $E$9)</f>
        <v>32.879399999999997</v>
      </c>
      <c r="I939" s="11">
        <f>32.883 * CHOOSE(CONTROL!$C$32, $C$9, 100%, $E$9)</f>
        <v>32.883000000000003</v>
      </c>
      <c r="J939" s="11">
        <f>32.8794 * CHOOSE(CONTROL!$C$32, $C$9, 100%, $E$9)</f>
        <v>32.879399999999997</v>
      </c>
      <c r="K939" s="11">
        <f>32.883 * CHOOSE(CONTROL!$C$32, $C$9, 100%, $E$9)</f>
        <v>32.883000000000003</v>
      </c>
      <c r="L939" s="11">
        <f>15.1879 * CHOOSE(CONTROL!$C$32, $C$9, 100%, $E$9)</f>
        <v>15.187900000000001</v>
      </c>
      <c r="M939" s="11">
        <f>15.1915 * CHOOSE(CONTROL!$C$32, $C$9, 100%, $E$9)</f>
        <v>15.1915</v>
      </c>
      <c r="N939" s="11">
        <f>15.1879 * CHOOSE(CONTROL!$C$32, $C$9, 100%, $E$9)</f>
        <v>15.187900000000001</v>
      </c>
      <c r="O939" s="11">
        <f>15.1915 * CHOOSE(CONTROL!$C$32, $C$9, 100%, $E$9)</f>
        <v>15.1915</v>
      </c>
    </row>
    <row r="940" spans="1:15" ht="15" x14ac:dyDescent="0.2">
      <c r="A940" s="13">
        <v>69458</v>
      </c>
      <c r="B940" s="9">
        <f>13.8722 * CHOOSE(CONTROL!$C$32, $C$9, 100%, $E$9)</f>
        <v>13.872199999999999</v>
      </c>
      <c r="C940" s="9">
        <f>13.8722 * CHOOSE(CONTROL!$C$32, $C$9, 100%, $E$9)</f>
        <v>13.872199999999999</v>
      </c>
      <c r="D940" s="9">
        <f>13.8732 * CHOOSE(CONTROL!$C$32, $C$9, 100%, $E$9)</f>
        <v>13.873200000000001</v>
      </c>
      <c r="E940" s="11">
        <f>15.5252 * CHOOSE(CONTROL!$C$32, $C$9, 100%, $E$9)</f>
        <v>15.5252</v>
      </c>
      <c r="F940" s="11">
        <f>15.5252 * CHOOSE(CONTROL!$C$32, $C$9, 100%, $E$9)</f>
        <v>15.5252</v>
      </c>
      <c r="G940" s="11">
        <f>15.5288 * CHOOSE(CONTROL!$C$32, $C$9, 100%, $E$9)</f>
        <v>15.5288</v>
      </c>
      <c r="H940" s="11">
        <f>32.9479 * CHOOSE(CONTROL!$C$32, $C$9, 100%, $E$9)</f>
        <v>32.947899999999997</v>
      </c>
      <c r="I940" s="11">
        <f>32.9515 * CHOOSE(CONTROL!$C$32, $C$9, 100%, $E$9)</f>
        <v>32.951500000000003</v>
      </c>
      <c r="J940" s="11">
        <f>32.9479 * CHOOSE(CONTROL!$C$32, $C$9, 100%, $E$9)</f>
        <v>32.947899999999997</v>
      </c>
      <c r="K940" s="11">
        <f>32.9515 * CHOOSE(CONTROL!$C$32, $C$9, 100%, $E$9)</f>
        <v>32.951500000000003</v>
      </c>
      <c r="L940" s="11">
        <f>15.5252 * CHOOSE(CONTROL!$C$32, $C$9, 100%, $E$9)</f>
        <v>15.5252</v>
      </c>
      <c r="M940" s="11">
        <f>15.5288 * CHOOSE(CONTROL!$C$32, $C$9, 100%, $E$9)</f>
        <v>15.5288</v>
      </c>
      <c r="N940" s="11">
        <f>15.5252 * CHOOSE(CONTROL!$C$32, $C$9, 100%, $E$9)</f>
        <v>15.5252</v>
      </c>
      <c r="O940" s="11">
        <f>15.5288 * CHOOSE(CONTROL!$C$32, $C$9, 100%, $E$9)</f>
        <v>15.5288</v>
      </c>
    </row>
    <row r="941" spans="1:15" ht="15" x14ac:dyDescent="0.2">
      <c r="A941" s="13">
        <v>69489</v>
      </c>
      <c r="B941" s="9">
        <f>13.8794 * CHOOSE(CONTROL!$C$32, $C$9, 100%, $E$9)</f>
        <v>13.8794</v>
      </c>
      <c r="C941" s="9">
        <f>13.8794 * CHOOSE(CONTROL!$C$32, $C$9, 100%, $E$9)</f>
        <v>13.8794</v>
      </c>
      <c r="D941" s="9">
        <f>13.8805 * CHOOSE(CONTROL!$C$32, $C$9, 100%, $E$9)</f>
        <v>13.8805</v>
      </c>
      <c r="E941" s="11">
        <f>15.8856 * CHOOSE(CONTROL!$C$32, $C$9, 100%, $E$9)</f>
        <v>15.8856</v>
      </c>
      <c r="F941" s="11">
        <f>15.8856 * CHOOSE(CONTROL!$C$32, $C$9, 100%, $E$9)</f>
        <v>15.8856</v>
      </c>
      <c r="G941" s="11">
        <f>15.8892 * CHOOSE(CONTROL!$C$32, $C$9, 100%, $E$9)</f>
        <v>15.889200000000001</v>
      </c>
      <c r="H941" s="11">
        <f>33.0166 * CHOOSE(CONTROL!$C$32, $C$9, 100%, $E$9)</f>
        <v>33.016599999999997</v>
      </c>
      <c r="I941" s="11">
        <f>33.0202 * CHOOSE(CONTROL!$C$32, $C$9, 100%, $E$9)</f>
        <v>33.020200000000003</v>
      </c>
      <c r="J941" s="11">
        <f>33.0166 * CHOOSE(CONTROL!$C$32, $C$9, 100%, $E$9)</f>
        <v>33.016599999999997</v>
      </c>
      <c r="K941" s="11">
        <f>33.0202 * CHOOSE(CONTROL!$C$32, $C$9, 100%, $E$9)</f>
        <v>33.020200000000003</v>
      </c>
      <c r="L941" s="11">
        <f>15.8856 * CHOOSE(CONTROL!$C$32, $C$9, 100%, $E$9)</f>
        <v>15.8856</v>
      </c>
      <c r="M941" s="11">
        <f>15.8892 * CHOOSE(CONTROL!$C$32, $C$9, 100%, $E$9)</f>
        <v>15.889200000000001</v>
      </c>
      <c r="N941" s="11">
        <f>15.8856 * CHOOSE(CONTROL!$C$32, $C$9, 100%, $E$9)</f>
        <v>15.8856</v>
      </c>
      <c r="O941" s="11">
        <f>15.8892 * CHOOSE(CONTROL!$C$32, $C$9, 100%, $E$9)</f>
        <v>15.889200000000001</v>
      </c>
    </row>
    <row r="942" spans="1:15" ht="15" x14ac:dyDescent="0.2">
      <c r="A942" s="13">
        <v>69519</v>
      </c>
      <c r="B942" s="9">
        <f>13.8794 * CHOOSE(CONTROL!$C$32, $C$9, 100%, $E$9)</f>
        <v>13.8794</v>
      </c>
      <c r="C942" s="9">
        <f>13.8794 * CHOOSE(CONTROL!$C$32, $C$9, 100%, $E$9)</f>
        <v>13.8794</v>
      </c>
      <c r="D942" s="9">
        <f>13.881 * CHOOSE(CONTROL!$C$32, $C$9, 100%, $E$9)</f>
        <v>13.881</v>
      </c>
      <c r="E942" s="11">
        <f>16.0223 * CHOOSE(CONTROL!$C$32, $C$9, 100%, $E$9)</f>
        <v>16.022300000000001</v>
      </c>
      <c r="F942" s="11">
        <f>16.0223 * CHOOSE(CONTROL!$C$32, $C$9, 100%, $E$9)</f>
        <v>16.022300000000001</v>
      </c>
      <c r="G942" s="11">
        <f>16.0276 * CHOOSE(CONTROL!$C$32, $C$9, 100%, $E$9)</f>
        <v>16.0276</v>
      </c>
      <c r="H942" s="11">
        <f>33.0854 * CHOOSE(CONTROL!$C$32, $C$9, 100%, $E$9)</f>
        <v>33.0854</v>
      </c>
      <c r="I942" s="11">
        <f>33.0906 * CHOOSE(CONTROL!$C$32, $C$9, 100%, $E$9)</f>
        <v>33.090600000000002</v>
      </c>
      <c r="J942" s="11">
        <f>33.0854 * CHOOSE(CONTROL!$C$32, $C$9, 100%, $E$9)</f>
        <v>33.0854</v>
      </c>
      <c r="K942" s="11">
        <f>33.0906 * CHOOSE(CONTROL!$C$32, $C$9, 100%, $E$9)</f>
        <v>33.090600000000002</v>
      </c>
      <c r="L942" s="11">
        <f>16.0223 * CHOOSE(CONTROL!$C$32, $C$9, 100%, $E$9)</f>
        <v>16.022300000000001</v>
      </c>
      <c r="M942" s="11">
        <f>16.0276 * CHOOSE(CONTROL!$C$32, $C$9, 100%, $E$9)</f>
        <v>16.0276</v>
      </c>
      <c r="N942" s="11">
        <f>16.0223 * CHOOSE(CONTROL!$C$32, $C$9, 100%, $E$9)</f>
        <v>16.022300000000001</v>
      </c>
      <c r="O942" s="11">
        <f>16.0276 * CHOOSE(CONTROL!$C$32, $C$9, 100%, $E$9)</f>
        <v>16.0276</v>
      </c>
    </row>
    <row r="943" spans="1:15" ht="15" x14ac:dyDescent="0.2">
      <c r="A943" s="13">
        <v>69550</v>
      </c>
      <c r="B943" s="9">
        <f>13.8855 * CHOOSE(CONTROL!$C$32, $C$9, 100%, $E$9)</f>
        <v>13.8855</v>
      </c>
      <c r="C943" s="9">
        <f>13.8855 * CHOOSE(CONTROL!$C$32, $C$9, 100%, $E$9)</f>
        <v>13.8855</v>
      </c>
      <c r="D943" s="9">
        <f>13.8871 * CHOOSE(CONTROL!$C$32, $C$9, 100%, $E$9)</f>
        <v>13.8871</v>
      </c>
      <c r="E943" s="11">
        <f>15.8898 * CHOOSE(CONTROL!$C$32, $C$9, 100%, $E$9)</f>
        <v>15.889799999999999</v>
      </c>
      <c r="F943" s="11">
        <f>15.8898 * CHOOSE(CONTROL!$C$32, $C$9, 100%, $E$9)</f>
        <v>15.889799999999999</v>
      </c>
      <c r="G943" s="11">
        <f>15.8951 * CHOOSE(CONTROL!$C$32, $C$9, 100%, $E$9)</f>
        <v>15.895099999999999</v>
      </c>
      <c r="H943" s="11">
        <f>33.1543 * CHOOSE(CONTROL!$C$32, $C$9, 100%, $E$9)</f>
        <v>33.154299999999999</v>
      </c>
      <c r="I943" s="11">
        <f>33.1596 * CHOOSE(CONTROL!$C$32, $C$9, 100%, $E$9)</f>
        <v>33.159599999999998</v>
      </c>
      <c r="J943" s="11">
        <f>33.1543 * CHOOSE(CONTROL!$C$32, $C$9, 100%, $E$9)</f>
        <v>33.154299999999999</v>
      </c>
      <c r="K943" s="11">
        <f>33.1596 * CHOOSE(CONTROL!$C$32, $C$9, 100%, $E$9)</f>
        <v>33.159599999999998</v>
      </c>
      <c r="L943" s="11">
        <f>15.8898 * CHOOSE(CONTROL!$C$32, $C$9, 100%, $E$9)</f>
        <v>15.889799999999999</v>
      </c>
      <c r="M943" s="11">
        <f>15.8951 * CHOOSE(CONTROL!$C$32, $C$9, 100%, $E$9)</f>
        <v>15.895099999999999</v>
      </c>
      <c r="N943" s="11">
        <f>15.8898 * CHOOSE(CONTROL!$C$32, $C$9, 100%, $E$9)</f>
        <v>15.889799999999999</v>
      </c>
      <c r="O943" s="11">
        <f>15.8951 * CHOOSE(CONTROL!$C$32, $C$9, 100%, $E$9)</f>
        <v>15.895099999999999</v>
      </c>
    </row>
    <row r="944" spans="1:15" ht="15" x14ac:dyDescent="0.2">
      <c r="A944" s="13">
        <v>69580</v>
      </c>
      <c r="B944" s="9">
        <f>14.0525 * CHOOSE(CONTROL!$C$32, $C$9, 100%, $E$9)</f>
        <v>14.0525</v>
      </c>
      <c r="C944" s="9">
        <f>14.0525 * CHOOSE(CONTROL!$C$32, $C$9, 100%, $E$9)</f>
        <v>14.0525</v>
      </c>
      <c r="D944" s="9">
        <f>14.054 * CHOOSE(CONTROL!$C$32, $C$9, 100%, $E$9)</f>
        <v>14.054</v>
      </c>
      <c r="E944" s="11">
        <f>16.1153 * CHOOSE(CONTROL!$C$32, $C$9, 100%, $E$9)</f>
        <v>16.115300000000001</v>
      </c>
      <c r="F944" s="11">
        <f>16.1153 * CHOOSE(CONTROL!$C$32, $C$9, 100%, $E$9)</f>
        <v>16.115300000000001</v>
      </c>
      <c r="G944" s="11">
        <f>16.1206 * CHOOSE(CONTROL!$C$32, $C$9, 100%, $E$9)</f>
        <v>16.1206</v>
      </c>
      <c r="H944" s="11">
        <f>33.2234 * CHOOSE(CONTROL!$C$32, $C$9, 100%, $E$9)</f>
        <v>33.223399999999998</v>
      </c>
      <c r="I944" s="11">
        <f>33.2286 * CHOOSE(CONTROL!$C$32, $C$9, 100%, $E$9)</f>
        <v>33.2286</v>
      </c>
      <c r="J944" s="11">
        <f>33.2234 * CHOOSE(CONTROL!$C$32, $C$9, 100%, $E$9)</f>
        <v>33.223399999999998</v>
      </c>
      <c r="K944" s="11">
        <f>33.2286 * CHOOSE(CONTROL!$C$32, $C$9, 100%, $E$9)</f>
        <v>33.2286</v>
      </c>
      <c r="L944" s="11">
        <f>16.1153 * CHOOSE(CONTROL!$C$32, $C$9, 100%, $E$9)</f>
        <v>16.115300000000001</v>
      </c>
      <c r="M944" s="11">
        <f>16.1206 * CHOOSE(CONTROL!$C$32, $C$9, 100%, $E$9)</f>
        <v>16.1206</v>
      </c>
      <c r="N944" s="11">
        <f>16.1153 * CHOOSE(CONTROL!$C$32, $C$9, 100%, $E$9)</f>
        <v>16.115300000000001</v>
      </c>
      <c r="O944" s="11">
        <f>16.1206 * CHOOSE(CONTROL!$C$32, $C$9, 100%, $E$9)</f>
        <v>16.1206</v>
      </c>
    </row>
    <row r="945" spans="1:15" ht="15" x14ac:dyDescent="0.2">
      <c r="A945" s="13">
        <v>69611</v>
      </c>
      <c r="B945" s="9">
        <f>14.0592 * CHOOSE(CONTROL!$C$32, $C$9, 100%, $E$9)</f>
        <v>14.059200000000001</v>
      </c>
      <c r="C945" s="9">
        <f>14.0592 * CHOOSE(CONTROL!$C$32, $C$9, 100%, $E$9)</f>
        <v>14.059200000000001</v>
      </c>
      <c r="D945" s="9">
        <f>14.0607 * CHOOSE(CONTROL!$C$32, $C$9, 100%, $E$9)</f>
        <v>14.060700000000001</v>
      </c>
      <c r="E945" s="11">
        <f>15.7098 * CHOOSE(CONTROL!$C$32, $C$9, 100%, $E$9)</f>
        <v>15.7098</v>
      </c>
      <c r="F945" s="11">
        <f>15.7098 * CHOOSE(CONTROL!$C$32, $C$9, 100%, $E$9)</f>
        <v>15.7098</v>
      </c>
      <c r="G945" s="11">
        <f>15.7151 * CHOOSE(CONTROL!$C$32, $C$9, 100%, $E$9)</f>
        <v>15.7151</v>
      </c>
      <c r="H945" s="11">
        <f>33.2926 * CHOOSE(CONTROL!$C$32, $C$9, 100%, $E$9)</f>
        <v>33.2926</v>
      </c>
      <c r="I945" s="11">
        <f>33.2979 * CHOOSE(CONTROL!$C$32, $C$9, 100%, $E$9)</f>
        <v>33.297899999999998</v>
      </c>
      <c r="J945" s="11">
        <f>33.2926 * CHOOSE(CONTROL!$C$32, $C$9, 100%, $E$9)</f>
        <v>33.2926</v>
      </c>
      <c r="K945" s="11">
        <f>33.2979 * CHOOSE(CONTROL!$C$32, $C$9, 100%, $E$9)</f>
        <v>33.297899999999998</v>
      </c>
      <c r="L945" s="11">
        <f>15.7098 * CHOOSE(CONTROL!$C$32, $C$9, 100%, $E$9)</f>
        <v>15.7098</v>
      </c>
      <c r="M945" s="11">
        <f>15.7151 * CHOOSE(CONTROL!$C$32, $C$9, 100%, $E$9)</f>
        <v>15.7151</v>
      </c>
      <c r="N945" s="11">
        <f>15.7098 * CHOOSE(CONTROL!$C$32, $C$9, 100%, $E$9)</f>
        <v>15.7098</v>
      </c>
      <c r="O945" s="11">
        <f>15.7151 * CHOOSE(CONTROL!$C$32, $C$9, 100%, $E$9)</f>
        <v>15.7151</v>
      </c>
    </row>
    <row r="946" spans="1:15" ht="15" x14ac:dyDescent="0.2">
      <c r="A946" s="13">
        <v>69642</v>
      </c>
      <c r="B946" s="9">
        <f>14.0561 * CHOOSE(CONTROL!$C$32, $C$9, 100%, $E$9)</f>
        <v>14.056100000000001</v>
      </c>
      <c r="C946" s="9">
        <f>14.0561 * CHOOSE(CONTROL!$C$32, $C$9, 100%, $E$9)</f>
        <v>14.056100000000001</v>
      </c>
      <c r="D946" s="9">
        <f>14.0577 * CHOOSE(CONTROL!$C$32, $C$9, 100%, $E$9)</f>
        <v>14.057700000000001</v>
      </c>
      <c r="E946" s="11">
        <f>15.6621 * CHOOSE(CONTROL!$C$32, $C$9, 100%, $E$9)</f>
        <v>15.662100000000001</v>
      </c>
      <c r="F946" s="11">
        <f>15.6621 * CHOOSE(CONTROL!$C$32, $C$9, 100%, $E$9)</f>
        <v>15.662100000000001</v>
      </c>
      <c r="G946" s="11">
        <f>15.6674 * CHOOSE(CONTROL!$C$32, $C$9, 100%, $E$9)</f>
        <v>15.667400000000001</v>
      </c>
      <c r="H946" s="11">
        <f>33.3619 * CHOOSE(CONTROL!$C$32, $C$9, 100%, $E$9)</f>
        <v>33.361899999999999</v>
      </c>
      <c r="I946" s="11">
        <f>33.3672 * CHOOSE(CONTROL!$C$32, $C$9, 100%, $E$9)</f>
        <v>33.367199999999997</v>
      </c>
      <c r="J946" s="11">
        <f>33.3619 * CHOOSE(CONTROL!$C$32, $C$9, 100%, $E$9)</f>
        <v>33.361899999999999</v>
      </c>
      <c r="K946" s="11">
        <f>33.3672 * CHOOSE(CONTROL!$C$32, $C$9, 100%, $E$9)</f>
        <v>33.367199999999997</v>
      </c>
      <c r="L946" s="11">
        <f>15.6621 * CHOOSE(CONTROL!$C$32, $C$9, 100%, $E$9)</f>
        <v>15.662100000000001</v>
      </c>
      <c r="M946" s="11">
        <f>15.6674 * CHOOSE(CONTROL!$C$32, $C$9, 100%, $E$9)</f>
        <v>15.667400000000001</v>
      </c>
      <c r="N946" s="11">
        <f>15.6621 * CHOOSE(CONTROL!$C$32, $C$9, 100%, $E$9)</f>
        <v>15.662100000000001</v>
      </c>
      <c r="O946" s="11">
        <f>15.6674 * CHOOSE(CONTROL!$C$32, $C$9, 100%, $E$9)</f>
        <v>15.667400000000001</v>
      </c>
    </row>
    <row r="947" spans="1:15" ht="15" x14ac:dyDescent="0.2">
      <c r="A947" s="13">
        <v>69672</v>
      </c>
      <c r="B947" s="9">
        <f>14.0888 * CHOOSE(CONTROL!$C$32, $C$9, 100%, $E$9)</f>
        <v>14.088800000000001</v>
      </c>
      <c r="C947" s="9">
        <f>14.0888 * CHOOSE(CONTROL!$C$32, $C$9, 100%, $E$9)</f>
        <v>14.088800000000001</v>
      </c>
      <c r="D947" s="9">
        <f>14.0899 * CHOOSE(CONTROL!$C$32, $C$9, 100%, $E$9)</f>
        <v>14.0899</v>
      </c>
      <c r="E947" s="11">
        <f>15.831 * CHOOSE(CONTROL!$C$32, $C$9, 100%, $E$9)</f>
        <v>15.831</v>
      </c>
      <c r="F947" s="11">
        <f>15.831 * CHOOSE(CONTROL!$C$32, $C$9, 100%, $E$9)</f>
        <v>15.831</v>
      </c>
      <c r="G947" s="11">
        <f>15.8346 * CHOOSE(CONTROL!$C$32, $C$9, 100%, $E$9)</f>
        <v>15.8346</v>
      </c>
      <c r="H947" s="11">
        <f>33.4314 * CHOOSE(CONTROL!$C$32, $C$9, 100%, $E$9)</f>
        <v>33.431399999999996</v>
      </c>
      <c r="I947" s="11">
        <f>33.435 * CHOOSE(CONTROL!$C$32, $C$9, 100%, $E$9)</f>
        <v>33.435000000000002</v>
      </c>
      <c r="J947" s="11">
        <f>33.4314 * CHOOSE(CONTROL!$C$32, $C$9, 100%, $E$9)</f>
        <v>33.431399999999996</v>
      </c>
      <c r="K947" s="11">
        <f>33.435 * CHOOSE(CONTROL!$C$32, $C$9, 100%, $E$9)</f>
        <v>33.435000000000002</v>
      </c>
      <c r="L947" s="11">
        <f>15.831 * CHOOSE(CONTROL!$C$32, $C$9, 100%, $E$9)</f>
        <v>15.831</v>
      </c>
      <c r="M947" s="11">
        <f>15.8346 * CHOOSE(CONTROL!$C$32, $C$9, 100%, $E$9)</f>
        <v>15.8346</v>
      </c>
      <c r="N947" s="11">
        <f>15.831 * CHOOSE(CONTROL!$C$32, $C$9, 100%, $E$9)</f>
        <v>15.831</v>
      </c>
      <c r="O947" s="11">
        <f>15.8346 * CHOOSE(CONTROL!$C$32, $C$9, 100%, $E$9)</f>
        <v>15.8346</v>
      </c>
    </row>
    <row r="948" spans="1:15" ht="15" x14ac:dyDescent="0.2">
      <c r="A948" s="13">
        <v>69703</v>
      </c>
      <c r="B948" s="9">
        <f>14.0918 * CHOOSE(CONTROL!$C$32, $C$9, 100%, $E$9)</f>
        <v>14.091799999999999</v>
      </c>
      <c r="C948" s="9">
        <f>14.0918 * CHOOSE(CONTROL!$C$32, $C$9, 100%, $E$9)</f>
        <v>14.091799999999999</v>
      </c>
      <c r="D948" s="9">
        <f>14.0929 * CHOOSE(CONTROL!$C$32, $C$9, 100%, $E$9)</f>
        <v>14.0929</v>
      </c>
      <c r="E948" s="11">
        <f>15.9243 * CHOOSE(CONTROL!$C$32, $C$9, 100%, $E$9)</f>
        <v>15.924300000000001</v>
      </c>
      <c r="F948" s="11">
        <f>15.9243 * CHOOSE(CONTROL!$C$32, $C$9, 100%, $E$9)</f>
        <v>15.924300000000001</v>
      </c>
      <c r="G948" s="11">
        <f>15.9279 * CHOOSE(CONTROL!$C$32, $C$9, 100%, $E$9)</f>
        <v>15.927899999999999</v>
      </c>
      <c r="H948" s="11">
        <f>33.5011 * CHOOSE(CONTROL!$C$32, $C$9, 100%, $E$9)</f>
        <v>33.501100000000001</v>
      </c>
      <c r="I948" s="11">
        <f>33.5047 * CHOOSE(CONTROL!$C$32, $C$9, 100%, $E$9)</f>
        <v>33.5047</v>
      </c>
      <c r="J948" s="11">
        <f>33.5011 * CHOOSE(CONTROL!$C$32, $C$9, 100%, $E$9)</f>
        <v>33.501100000000001</v>
      </c>
      <c r="K948" s="11">
        <f>33.5047 * CHOOSE(CONTROL!$C$32, $C$9, 100%, $E$9)</f>
        <v>33.5047</v>
      </c>
      <c r="L948" s="11">
        <f>15.9243 * CHOOSE(CONTROL!$C$32, $C$9, 100%, $E$9)</f>
        <v>15.924300000000001</v>
      </c>
      <c r="M948" s="11">
        <f>15.9279 * CHOOSE(CONTROL!$C$32, $C$9, 100%, $E$9)</f>
        <v>15.927899999999999</v>
      </c>
      <c r="N948" s="11">
        <f>15.9243 * CHOOSE(CONTROL!$C$32, $C$9, 100%, $E$9)</f>
        <v>15.924300000000001</v>
      </c>
      <c r="O948" s="11">
        <f>15.9279 * CHOOSE(CONTROL!$C$32, $C$9, 100%, $E$9)</f>
        <v>15.927899999999999</v>
      </c>
    </row>
    <row r="949" spans="1:15" ht="15" x14ac:dyDescent="0.2">
      <c r="A949" s="13">
        <v>69733</v>
      </c>
      <c r="B949" s="9">
        <f>14.0918 * CHOOSE(CONTROL!$C$32, $C$9, 100%, $E$9)</f>
        <v>14.091799999999999</v>
      </c>
      <c r="C949" s="9">
        <f>14.0918 * CHOOSE(CONTROL!$C$32, $C$9, 100%, $E$9)</f>
        <v>14.091799999999999</v>
      </c>
      <c r="D949" s="9">
        <f>14.0929 * CHOOSE(CONTROL!$C$32, $C$9, 100%, $E$9)</f>
        <v>14.0929</v>
      </c>
      <c r="E949" s="11">
        <f>15.6964 * CHOOSE(CONTROL!$C$32, $C$9, 100%, $E$9)</f>
        <v>15.696400000000001</v>
      </c>
      <c r="F949" s="11">
        <f>15.6964 * CHOOSE(CONTROL!$C$32, $C$9, 100%, $E$9)</f>
        <v>15.696400000000001</v>
      </c>
      <c r="G949" s="11">
        <f>15.7 * CHOOSE(CONTROL!$C$32, $C$9, 100%, $E$9)</f>
        <v>15.7</v>
      </c>
      <c r="H949" s="11">
        <f>33.5709 * CHOOSE(CONTROL!$C$32, $C$9, 100%, $E$9)</f>
        <v>33.570900000000002</v>
      </c>
      <c r="I949" s="11">
        <f>33.5745 * CHOOSE(CONTROL!$C$32, $C$9, 100%, $E$9)</f>
        <v>33.5745</v>
      </c>
      <c r="J949" s="11">
        <f>33.5709 * CHOOSE(CONTROL!$C$32, $C$9, 100%, $E$9)</f>
        <v>33.570900000000002</v>
      </c>
      <c r="K949" s="11">
        <f>33.5745 * CHOOSE(CONTROL!$C$32, $C$9, 100%, $E$9)</f>
        <v>33.5745</v>
      </c>
      <c r="L949" s="11">
        <f>15.6964 * CHOOSE(CONTROL!$C$32, $C$9, 100%, $E$9)</f>
        <v>15.696400000000001</v>
      </c>
      <c r="M949" s="11">
        <f>15.7 * CHOOSE(CONTROL!$C$32, $C$9, 100%, $E$9)</f>
        <v>15.7</v>
      </c>
      <c r="N949" s="11">
        <f>15.6964 * CHOOSE(CONTROL!$C$32, $C$9, 100%, $E$9)</f>
        <v>15.696400000000001</v>
      </c>
      <c r="O949" s="11">
        <f>15.7 * CHOOSE(CONTROL!$C$32, $C$9, 100%, $E$9)</f>
        <v>15.7</v>
      </c>
    </row>
    <row r="950" spans="1:15" ht="15" x14ac:dyDescent="0.2">
      <c r="A950" s="13">
        <v>69764</v>
      </c>
      <c r="B950" s="9">
        <f>14.0656 * CHOOSE(CONTROL!$C$32, $C$9, 100%, $E$9)</f>
        <v>14.0656</v>
      </c>
      <c r="C950" s="9">
        <f>14.0656 * CHOOSE(CONTROL!$C$32, $C$9, 100%, $E$9)</f>
        <v>14.0656</v>
      </c>
      <c r="D950" s="9">
        <f>14.0667 * CHOOSE(CONTROL!$C$32, $C$9, 100%, $E$9)</f>
        <v>14.066700000000001</v>
      </c>
      <c r="E950" s="11">
        <f>15.8331 * CHOOSE(CONTROL!$C$32, $C$9, 100%, $E$9)</f>
        <v>15.8331</v>
      </c>
      <c r="F950" s="11">
        <f>15.8331 * CHOOSE(CONTROL!$C$32, $C$9, 100%, $E$9)</f>
        <v>15.8331</v>
      </c>
      <c r="G950" s="11">
        <f>15.8367 * CHOOSE(CONTROL!$C$32, $C$9, 100%, $E$9)</f>
        <v>15.8367</v>
      </c>
      <c r="H950" s="11">
        <f>33.2829 * CHOOSE(CONTROL!$C$32, $C$9, 100%, $E$9)</f>
        <v>33.282899999999998</v>
      </c>
      <c r="I950" s="11">
        <f>33.2865 * CHOOSE(CONTROL!$C$32, $C$9, 100%, $E$9)</f>
        <v>33.286499999999997</v>
      </c>
      <c r="J950" s="11">
        <f>33.2829 * CHOOSE(CONTROL!$C$32, $C$9, 100%, $E$9)</f>
        <v>33.282899999999998</v>
      </c>
      <c r="K950" s="11">
        <f>33.2865 * CHOOSE(CONTROL!$C$32, $C$9, 100%, $E$9)</f>
        <v>33.286499999999997</v>
      </c>
      <c r="L950" s="11">
        <f>15.8331 * CHOOSE(CONTROL!$C$32, $C$9, 100%, $E$9)</f>
        <v>15.8331</v>
      </c>
      <c r="M950" s="11">
        <f>15.8367 * CHOOSE(CONTROL!$C$32, $C$9, 100%, $E$9)</f>
        <v>15.8367</v>
      </c>
      <c r="N950" s="11">
        <f>15.8331 * CHOOSE(CONTROL!$C$32, $C$9, 100%, $E$9)</f>
        <v>15.8331</v>
      </c>
      <c r="O950" s="11">
        <f>15.8367 * CHOOSE(CONTROL!$C$32, $C$9, 100%, $E$9)</f>
        <v>15.8367</v>
      </c>
    </row>
    <row r="951" spans="1:15" ht="15" x14ac:dyDescent="0.2">
      <c r="A951" s="13">
        <v>69795</v>
      </c>
      <c r="B951" s="9">
        <f>14.0626 * CHOOSE(CONTROL!$C$32, $C$9, 100%, $E$9)</f>
        <v>14.0626</v>
      </c>
      <c r="C951" s="9">
        <f>14.0626 * CHOOSE(CONTROL!$C$32, $C$9, 100%, $E$9)</f>
        <v>14.0626</v>
      </c>
      <c r="D951" s="9">
        <f>14.0636 * CHOOSE(CONTROL!$C$32, $C$9, 100%, $E$9)</f>
        <v>14.063599999999999</v>
      </c>
      <c r="E951" s="11">
        <f>15.3933 * CHOOSE(CONTROL!$C$32, $C$9, 100%, $E$9)</f>
        <v>15.3933</v>
      </c>
      <c r="F951" s="11">
        <f>15.3933 * CHOOSE(CONTROL!$C$32, $C$9, 100%, $E$9)</f>
        <v>15.3933</v>
      </c>
      <c r="G951" s="11">
        <f>15.3969 * CHOOSE(CONTROL!$C$32, $C$9, 100%, $E$9)</f>
        <v>15.3969</v>
      </c>
      <c r="H951" s="11">
        <f>33.3522 * CHOOSE(CONTROL!$C$32, $C$9, 100%, $E$9)</f>
        <v>33.352200000000003</v>
      </c>
      <c r="I951" s="11">
        <f>33.3558 * CHOOSE(CONTROL!$C$32, $C$9, 100%, $E$9)</f>
        <v>33.355800000000002</v>
      </c>
      <c r="J951" s="11">
        <f>33.3522 * CHOOSE(CONTROL!$C$32, $C$9, 100%, $E$9)</f>
        <v>33.352200000000003</v>
      </c>
      <c r="K951" s="11">
        <f>33.3558 * CHOOSE(CONTROL!$C$32, $C$9, 100%, $E$9)</f>
        <v>33.355800000000002</v>
      </c>
      <c r="L951" s="11">
        <f>15.3933 * CHOOSE(CONTROL!$C$32, $C$9, 100%, $E$9)</f>
        <v>15.3933</v>
      </c>
      <c r="M951" s="11">
        <f>15.3969 * CHOOSE(CONTROL!$C$32, $C$9, 100%, $E$9)</f>
        <v>15.3969</v>
      </c>
      <c r="N951" s="11">
        <f>15.3933 * CHOOSE(CONTROL!$C$32, $C$9, 100%, $E$9)</f>
        <v>15.3933</v>
      </c>
      <c r="O951" s="11">
        <f>15.3969 * CHOOSE(CONTROL!$C$32, $C$9, 100%, $E$9)</f>
        <v>15.3969</v>
      </c>
    </row>
    <row r="952" spans="1:15" ht="15" x14ac:dyDescent="0.2">
      <c r="A952" s="13">
        <v>69823</v>
      </c>
      <c r="B952" s="9">
        <f>14.0595 * CHOOSE(CONTROL!$C$32, $C$9, 100%, $E$9)</f>
        <v>14.0595</v>
      </c>
      <c r="C952" s="9">
        <f>14.0595 * CHOOSE(CONTROL!$C$32, $C$9, 100%, $E$9)</f>
        <v>14.0595</v>
      </c>
      <c r="D952" s="9">
        <f>14.0606 * CHOOSE(CONTROL!$C$32, $C$9, 100%, $E$9)</f>
        <v>14.060600000000001</v>
      </c>
      <c r="E952" s="11">
        <f>15.7362 * CHOOSE(CONTROL!$C$32, $C$9, 100%, $E$9)</f>
        <v>15.7362</v>
      </c>
      <c r="F952" s="11">
        <f>15.7362 * CHOOSE(CONTROL!$C$32, $C$9, 100%, $E$9)</f>
        <v>15.7362</v>
      </c>
      <c r="G952" s="11">
        <f>15.7398 * CHOOSE(CONTROL!$C$32, $C$9, 100%, $E$9)</f>
        <v>15.739800000000001</v>
      </c>
      <c r="H952" s="11">
        <f>33.4217 * CHOOSE(CONTROL!$C$32, $C$9, 100%, $E$9)</f>
        <v>33.421700000000001</v>
      </c>
      <c r="I952" s="11">
        <f>33.4253 * CHOOSE(CONTROL!$C$32, $C$9, 100%, $E$9)</f>
        <v>33.4253</v>
      </c>
      <c r="J952" s="11">
        <f>33.4217 * CHOOSE(CONTROL!$C$32, $C$9, 100%, $E$9)</f>
        <v>33.421700000000001</v>
      </c>
      <c r="K952" s="11">
        <f>33.4253 * CHOOSE(CONTROL!$C$32, $C$9, 100%, $E$9)</f>
        <v>33.4253</v>
      </c>
      <c r="L952" s="11">
        <f>15.7362 * CHOOSE(CONTROL!$C$32, $C$9, 100%, $E$9)</f>
        <v>15.7362</v>
      </c>
      <c r="M952" s="11">
        <f>15.7398 * CHOOSE(CONTROL!$C$32, $C$9, 100%, $E$9)</f>
        <v>15.739800000000001</v>
      </c>
      <c r="N952" s="11">
        <f>15.7362 * CHOOSE(CONTROL!$C$32, $C$9, 100%, $E$9)</f>
        <v>15.7362</v>
      </c>
      <c r="O952" s="11">
        <f>15.7398 * CHOOSE(CONTROL!$C$32, $C$9, 100%, $E$9)</f>
        <v>15.739800000000001</v>
      </c>
    </row>
    <row r="953" spans="1:15" ht="15" x14ac:dyDescent="0.2">
      <c r="A953" s="13">
        <v>69854</v>
      </c>
      <c r="B953" s="9">
        <f>14.0669 * CHOOSE(CONTROL!$C$32, $C$9, 100%, $E$9)</f>
        <v>14.0669</v>
      </c>
      <c r="C953" s="9">
        <f>14.0669 * CHOOSE(CONTROL!$C$32, $C$9, 100%, $E$9)</f>
        <v>14.0669</v>
      </c>
      <c r="D953" s="9">
        <f>14.068 * CHOOSE(CONTROL!$C$32, $C$9, 100%, $E$9)</f>
        <v>14.068</v>
      </c>
      <c r="E953" s="11">
        <f>16.1026 * CHOOSE(CONTROL!$C$32, $C$9, 100%, $E$9)</f>
        <v>16.102599999999999</v>
      </c>
      <c r="F953" s="11">
        <f>16.1026 * CHOOSE(CONTROL!$C$32, $C$9, 100%, $E$9)</f>
        <v>16.102599999999999</v>
      </c>
      <c r="G953" s="11">
        <f>16.1062 * CHOOSE(CONTROL!$C$32, $C$9, 100%, $E$9)</f>
        <v>16.106200000000001</v>
      </c>
      <c r="H953" s="11">
        <f>33.4913 * CHOOSE(CONTROL!$C$32, $C$9, 100%, $E$9)</f>
        <v>33.491300000000003</v>
      </c>
      <c r="I953" s="11">
        <f>33.4949 * CHOOSE(CONTROL!$C$32, $C$9, 100%, $E$9)</f>
        <v>33.494900000000001</v>
      </c>
      <c r="J953" s="11">
        <f>33.4913 * CHOOSE(CONTROL!$C$32, $C$9, 100%, $E$9)</f>
        <v>33.491300000000003</v>
      </c>
      <c r="K953" s="11">
        <f>33.4949 * CHOOSE(CONTROL!$C$32, $C$9, 100%, $E$9)</f>
        <v>33.494900000000001</v>
      </c>
      <c r="L953" s="11">
        <f>16.1026 * CHOOSE(CONTROL!$C$32, $C$9, 100%, $E$9)</f>
        <v>16.102599999999999</v>
      </c>
      <c r="M953" s="11">
        <f>16.1062 * CHOOSE(CONTROL!$C$32, $C$9, 100%, $E$9)</f>
        <v>16.106200000000001</v>
      </c>
      <c r="N953" s="11">
        <f>16.1026 * CHOOSE(CONTROL!$C$32, $C$9, 100%, $E$9)</f>
        <v>16.102599999999999</v>
      </c>
      <c r="O953" s="11">
        <f>16.1062 * CHOOSE(CONTROL!$C$32, $C$9, 100%, $E$9)</f>
        <v>16.106200000000001</v>
      </c>
    </row>
    <row r="954" spans="1:15" ht="15" x14ac:dyDescent="0.2">
      <c r="A954" s="13">
        <v>69884</v>
      </c>
      <c r="B954" s="9">
        <f>14.0669 * CHOOSE(CONTROL!$C$32, $C$9, 100%, $E$9)</f>
        <v>14.0669</v>
      </c>
      <c r="C954" s="9">
        <f>14.0669 * CHOOSE(CONTROL!$C$32, $C$9, 100%, $E$9)</f>
        <v>14.0669</v>
      </c>
      <c r="D954" s="9">
        <f>14.0685 * CHOOSE(CONTROL!$C$32, $C$9, 100%, $E$9)</f>
        <v>14.0685</v>
      </c>
      <c r="E954" s="11">
        <f>16.2415 * CHOOSE(CONTROL!$C$32, $C$9, 100%, $E$9)</f>
        <v>16.241499999999998</v>
      </c>
      <c r="F954" s="11">
        <f>16.2415 * CHOOSE(CONTROL!$C$32, $C$9, 100%, $E$9)</f>
        <v>16.241499999999998</v>
      </c>
      <c r="G954" s="11">
        <f>16.2468 * CHOOSE(CONTROL!$C$32, $C$9, 100%, $E$9)</f>
        <v>16.2468</v>
      </c>
      <c r="H954" s="11">
        <f>33.5611 * CHOOSE(CONTROL!$C$32, $C$9, 100%, $E$9)</f>
        <v>33.561100000000003</v>
      </c>
      <c r="I954" s="11">
        <f>33.5664 * CHOOSE(CONTROL!$C$32, $C$9, 100%, $E$9)</f>
        <v>33.566400000000002</v>
      </c>
      <c r="J954" s="11">
        <f>33.5611 * CHOOSE(CONTROL!$C$32, $C$9, 100%, $E$9)</f>
        <v>33.561100000000003</v>
      </c>
      <c r="K954" s="11">
        <f>33.5664 * CHOOSE(CONTROL!$C$32, $C$9, 100%, $E$9)</f>
        <v>33.566400000000002</v>
      </c>
      <c r="L954" s="11">
        <f>16.2415 * CHOOSE(CONTROL!$C$32, $C$9, 100%, $E$9)</f>
        <v>16.241499999999998</v>
      </c>
      <c r="M954" s="11">
        <f>16.2468 * CHOOSE(CONTROL!$C$32, $C$9, 100%, $E$9)</f>
        <v>16.2468</v>
      </c>
      <c r="N954" s="11">
        <f>16.2415 * CHOOSE(CONTROL!$C$32, $C$9, 100%, $E$9)</f>
        <v>16.241499999999998</v>
      </c>
      <c r="O954" s="11">
        <f>16.2468 * CHOOSE(CONTROL!$C$32, $C$9, 100%, $E$9)</f>
        <v>16.2468</v>
      </c>
    </row>
    <row r="955" spans="1:15" ht="15" x14ac:dyDescent="0.2">
      <c r="A955" s="13">
        <v>69915</v>
      </c>
      <c r="B955" s="9">
        <f>14.073 * CHOOSE(CONTROL!$C$32, $C$9, 100%, $E$9)</f>
        <v>14.073</v>
      </c>
      <c r="C955" s="9">
        <f>14.073 * CHOOSE(CONTROL!$C$32, $C$9, 100%, $E$9)</f>
        <v>14.073</v>
      </c>
      <c r="D955" s="9">
        <f>14.0746 * CHOOSE(CONTROL!$C$32, $C$9, 100%, $E$9)</f>
        <v>14.0746</v>
      </c>
      <c r="E955" s="11">
        <f>16.1068 * CHOOSE(CONTROL!$C$32, $C$9, 100%, $E$9)</f>
        <v>16.1068</v>
      </c>
      <c r="F955" s="11">
        <f>16.1068 * CHOOSE(CONTROL!$C$32, $C$9, 100%, $E$9)</f>
        <v>16.1068</v>
      </c>
      <c r="G955" s="11">
        <f>16.1121 * CHOOSE(CONTROL!$C$32, $C$9, 100%, $E$9)</f>
        <v>16.112100000000002</v>
      </c>
      <c r="H955" s="11">
        <f>33.631 * CHOOSE(CONTROL!$C$32, $C$9, 100%, $E$9)</f>
        <v>33.631</v>
      </c>
      <c r="I955" s="11">
        <f>33.6363 * CHOOSE(CONTROL!$C$32, $C$9, 100%, $E$9)</f>
        <v>33.636299999999999</v>
      </c>
      <c r="J955" s="11">
        <f>33.631 * CHOOSE(CONTROL!$C$32, $C$9, 100%, $E$9)</f>
        <v>33.631</v>
      </c>
      <c r="K955" s="11">
        <f>33.6363 * CHOOSE(CONTROL!$C$32, $C$9, 100%, $E$9)</f>
        <v>33.636299999999999</v>
      </c>
      <c r="L955" s="11">
        <f>16.1068 * CHOOSE(CONTROL!$C$32, $C$9, 100%, $E$9)</f>
        <v>16.1068</v>
      </c>
      <c r="M955" s="11">
        <f>16.1121 * CHOOSE(CONTROL!$C$32, $C$9, 100%, $E$9)</f>
        <v>16.112100000000002</v>
      </c>
      <c r="N955" s="11">
        <f>16.1068 * CHOOSE(CONTROL!$C$32, $C$9, 100%, $E$9)</f>
        <v>16.1068</v>
      </c>
      <c r="O955" s="11">
        <f>16.1121 * CHOOSE(CONTROL!$C$32, $C$9, 100%, $E$9)</f>
        <v>16.112100000000002</v>
      </c>
    </row>
    <row r="956" spans="1:15" ht="15" x14ac:dyDescent="0.2">
      <c r="A956" s="13">
        <v>69945</v>
      </c>
      <c r="B956" s="9">
        <f>14.2421 * CHOOSE(CONTROL!$C$32, $C$9, 100%, $E$9)</f>
        <v>14.242100000000001</v>
      </c>
      <c r="C956" s="9">
        <f>14.2421 * CHOOSE(CONTROL!$C$32, $C$9, 100%, $E$9)</f>
        <v>14.242100000000001</v>
      </c>
      <c r="D956" s="9">
        <f>14.2436 * CHOOSE(CONTROL!$C$32, $C$9, 100%, $E$9)</f>
        <v>14.243600000000001</v>
      </c>
      <c r="E956" s="11">
        <f>16.3355 * CHOOSE(CONTROL!$C$32, $C$9, 100%, $E$9)</f>
        <v>16.3355</v>
      </c>
      <c r="F956" s="11">
        <f>16.3355 * CHOOSE(CONTROL!$C$32, $C$9, 100%, $E$9)</f>
        <v>16.3355</v>
      </c>
      <c r="G956" s="11">
        <f>16.3408 * CHOOSE(CONTROL!$C$32, $C$9, 100%, $E$9)</f>
        <v>16.340800000000002</v>
      </c>
      <c r="H956" s="11">
        <f>33.7011 * CHOOSE(CONTROL!$C$32, $C$9, 100%, $E$9)</f>
        <v>33.701099999999997</v>
      </c>
      <c r="I956" s="11">
        <f>33.7064 * CHOOSE(CONTROL!$C$32, $C$9, 100%, $E$9)</f>
        <v>33.706400000000002</v>
      </c>
      <c r="J956" s="11">
        <f>33.7011 * CHOOSE(CONTROL!$C$32, $C$9, 100%, $E$9)</f>
        <v>33.701099999999997</v>
      </c>
      <c r="K956" s="11">
        <f>33.7064 * CHOOSE(CONTROL!$C$32, $C$9, 100%, $E$9)</f>
        <v>33.706400000000002</v>
      </c>
      <c r="L956" s="11">
        <f>16.3355 * CHOOSE(CONTROL!$C$32, $C$9, 100%, $E$9)</f>
        <v>16.3355</v>
      </c>
      <c r="M956" s="11">
        <f>16.3408 * CHOOSE(CONTROL!$C$32, $C$9, 100%, $E$9)</f>
        <v>16.340800000000002</v>
      </c>
      <c r="N956" s="11">
        <f>16.3355 * CHOOSE(CONTROL!$C$32, $C$9, 100%, $E$9)</f>
        <v>16.3355</v>
      </c>
      <c r="O956" s="11">
        <f>16.3408 * CHOOSE(CONTROL!$C$32, $C$9, 100%, $E$9)</f>
        <v>16.340800000000002</v>
      </c>
    </row>
    <row r="957" spans="1:15" ht="15" x14ac:dyDescent="0.2">
      <c r="A957" s="13">
        <v>69976</v>
      </c>
      <c r="B957" s="9">
        <f>14.2488 * CHOOSE(CONTROL!$C$32, $C$9, 100%, $E$9)</f>
        <v>14.248799999999999</v>
      </c>
      <c r="C957" s="9">
        <f>14.2488 * CHOOSE(CONTROL!$C$32, $C$9, 100%, $E$9)</f>
        <v>14.248799999999999</v>
      </c>
      <c r="D957" s="9">
        <f>14.2503 * CHOOSE(CONTROL!$C$32, $C$9, 100%, $E$9)</f>
        <v>14.250299999999999</v>
      </c>
      <c r="E957" s="11">
        <f>15.9232 * CHOOSE(CONTROL!$C$32, $C$9, 100%, $E$9)</f>
        <v>15.9232</v>
      </c>
      <c r="F957" s="11">
        <f>15.9232 * CHOOSE(CONTROL!$C$32, $C$9, 100%, $E$9)</f>
        <v>15.9232</v>
      </c>
      <c r="G957" s="11">
        <f>15.9285 * CHOOSE(CONTROL!$C$32, $C$9, 100%, $E$9)</f>
        <v>15.9285</v>
      </c>
      <c r="H957" s="11">
        <f>33.7713 * CHOOSE(CONTROL!$C$32, $C$9, 100%, $E$9)</f>
        <v>33.771299999999997</v>
      </c>
      <c r="I957" s="11">
        <f>33.7766 * CHOOSE(CONTROL!$C$32, $C$9, 100%, $E$9)</f>
        <v>33.776600000000002</v>
      </c>
      <c r="J957" s="11">
        <f>33.7713 * CHOOSE(CONTROL!$C$32, $C$9, 100%, $E$9)</f>
        <v>33.771299999999997</v>
      </c>
      <c r="K957" s="11">
        <f>33.7766 * CHOOSE(CONTROL!$C$32, $C$9, 100%, $E$9)</f>
        <v>33.776600000000002</v>
      </c>
      <c r="L957" s="11">
        <f>15.9232 * CHOOSE(CONTROL!$C$32, $C$9, 100%, $E$9)</f>
        <v>15.9232</v>
      </c>
      <c r="M957" s="11">
        <f>15.9285 * CHOOSE(CONTROL!$C$32, $C$9, 100%, $E$9)</f>
        <v>15.9285</v>
      </c>
      <c r="N957" s="11">
        <f>15.9232 * CHOOSE(CONTROL!$C$32, $C$9, 100%, $E$9)</f>
        <v>15.9232</v>
      </c>
      <c r="O957" s="11">
        <f>15.9285 * CHOOSE(CONTROL!$C$32, $C$9, 100%, $E$9)</f>
        <v>15.9285</v>
      </c>
    </row>
    <row r="958" spans="1:15" ht="15" x14ac:dyDescent="0.2">
      <c r="A958" s="13">
        <v>70007</v>
      </c>
      <c r="B958" s="9">
        <f>14.2457 * CHOOSE(CONTROL!$C$32, $C$9, 100%, $E$9)</f>
        <v>14.245699999999999</v>
      </c>
      <c r="C958" s="9">
        <f>14.2457 * CHOOSE(CONTROL!$C$32, $C$9, 100%, $E$9)</f>
        <v>14.245699999999999</v>
      </c>
      <c r="D958" s="9">
        <f>14.2473 * CHOOSE(CONTROL!$C$32, $C$9, 100%, $E$9)</f>
        <v>14.247299999999999</v>
      </c>
      <c r="E958" s="11">
        <f>15.8748 * CHOOSE(CONTROL!$C$32, $C$9, 100%, $E$9)</f>
        <v>15.8748</v>
      </c>
      <c r="F958" s="11">
        <f>15.8748 * CHOOSE(CONTROL!$C$32, $C$9, 100%, $E$9)</f>
        <v>15.8748</v>
      </c>
      <c r="G958" s="11">
        <f>15.8801 * CHOOSE(CONTROL!$C$32, $C$9, 100%, $E$9)</f>
        <v>15.880100000000001</v>
      </c>
      <c r="H958" s="11">
        <f>33.8417 * CHOOSE(CONTROL!$C$32, $C$9, 100%, $E$9)</f>
        <v>33.841700000000003</v>
      </c>
      <c r="I958" s="11">
        <f>33.8469 * CHOOSE(CONTROL!$C$32, $C$9, 100%, $E$9)</f>
        <v>33.846899999999998</v>
      </c>
      <c r="J958" s="11">
        <f>33.8417 * CHOOSE(CONTROL!$C$32, $C$9, 100%, $E$9)</f>
        <v>33.841700000000003</v>
      </c>
      <c r="K958" s="11">
        <f>33.8469 * CHOOSE(CONTROL!$C$32, $C$9, 100%, $E$9)</f>
        <v>33.846899999999998</v>
      </c>
      <c r="L958" s="11">
        <f>15.8748 * CHOOSE(CONTROL!$C$32, $C$9, 100%, $E$9)</f>
        <v>15.8748</v>
      </c>
      <c r="M958" s="11">
        <f>15.8801 * CHOOSE(CONTROL!$C$32, $C$9, 100%, $E$9)</f>
        <v>15.880100000000001</v>
      </c>
      <c r="N958" s="11">
        <f>15.8748 * CHOOSE(CONTROL!$C$32, $C$9, 100%, $E$9)</f>
        <v>15.8748</v>
      </c>
      <c r="O958" s="11">
        <f>15.8801 * CHOOSE(CONTROL!$C$32, $C$9, 100%, $E$9)</f>
        <v>15.880100000000001</v>
      </c>
    </row>
    <row r="959" spans="1:15" ht="15" x14ac:dyDescent="0.2">
      <c r="A959" s="13">
        <v>70037</v>
      </c>
      <c r="B959" s="9">
        <f>14.2791 * CHOOSE(CONTROL!$C$32, $C$9, 100%, $E$9)</f>
        <v>14.2791</v>
      </c>
      <c r="C959" s="9">
        <f>14.2791 * CHOOSE(CONTROL!$C$32, $C$9, 100%, $E$9)</f>
        <v>14.2791</v>
      </c>
      <c r="D959" s="9">
        <f>14.2802 * CHOOSE(CONTROL!$C$32, $C$9, 100%, $E$9)</f>
        <v>14.280200000000001</v>
      </c>
      <c r="E959" s="11">
        <f>16.0467 * CHOOSE(CONTROL!$C$32, $C$9, 100%, $E$9)</f>
        <v>16.046700000000001</v>
      </c>
      <c r="F959" s="11">
        <f>16.0467 * CHOOSE(CONTROL!$C$32, $C$9, 100%, $E$9)</f>
        <v>16.046700000000001</v>
      </c>
      <c r="G959" s="11">
        <f>16.0503 * CHOOSE(CONTROL!$C$32, $C$9, 100%, $E$9)</f>
        <v>16.0503</v>
      </c>
      <c r="H959" s="11">
        <f>33.9122 * CHOOSE(CONTROL!$C$32, $C$9, 100%, $E$9)</f>
        <v>33.912199999999999</v>
      </c>
      <c r="I959" s="11">
        <f>33.9158 * CHOOSE(CONTROL!$C$32, $C$9, 100%, $E$9)</f>
        <v>33.915799999999997</v>
      </c>
      <c r="J959" s="11">
        <f>33.9122 * CHOOSE(CONTROL!$C$32, $C$9, 100%, $E$9)</f>
        <v>33.912199999999999</v>
      </c>
      <c r="K959" s="11">
        <f>33.9158 * CHOOSE(CONTROL!$C$32, $C$9, 100%, $E$9)</f>
        <v>33.915799999999997</v>
      </c>
      <c r="L959" s="11">
        <f>16.0467 * CHOOSE(CONTROL!$C$32, $C$9, 100%, $E$9)</f>
        <v>16.046700000000001</v>
      </c>
      <c r="M959" s="11">
        <f>16.0503 * CHOOSE(CONTROL!$C$32, $C$9, 100%, $E$9)</f>
        <v>16.0503</v>
      </c>
      <c r="N959" s="11">
        <f>16.0467 * CHOOSE(CONTROL!$C$32, $C$9, 100%, $E$9)</f>
        <v>16.046700000000001</v>
      </c>
      <c r="O959" s="11">
        <f>16.0503 * CHOOSE(CONTROL!$C$32, $C$9, 100%, $E$9)</f>
        <v>16.0503</v>
      </c>
    </row>
    <row r="960" spans="1:15" ht="15" x14ac:dyDescent="0.2">
      <c r="A960" s="13">
        <v>70068</v>
      </c>
      <c r="B960" s="9">
        <f>14.2821 * CHOOSE(CONTROL!$C$32, $C$9, 100%, $E$9)</f>
        <v>14.2821</v>
      </c>
      <c r="C960" s="9">
        <f>14.2821 * CHOOSE(CONTROL!$C$32, $C$9, 100%, $E$9)</f>
        <v>14.2821</v>
      </c>
      <c r="D960" s="9">
        <f>14.2832 * CHOOSE(CONTROL!$C$32, $C$9, 100%, $E$9)</f>
        <v>14.283200000000001</v>
      </c>
      <c r="E960" s="11">
        <f>16.1414 * CHOOSE(CONTROL!$C$32, $C$9, 100%, $E$9)</f>
        <v>16.141400000000001</v>
      </c>
      <c r="F960" s="11">
        <f>16.1414 * CHOOSE(CONTROL!$C$32, $C$9, 100%, $E$9)</f>
        <v>16.141400000000001</v>
      </c>
      <c r="G960" s="11">
        <f>16.1451 * CHOOSE(CONTROL!$C$32, $C$9, 100%, $E$9)</f>
        <v>16.145099999999999</v>
      </c>
      <c r="H960" s="11">
        <f>33.9828 * CHOOSE(CONTROL!$C$32, $C$9, 100%, $E$9)</f>
        <v>33.982799999999997</v>
      </c>
      <c r="I960" s="11">
        <f>33.9864 * CHOOSE(CONTROL!$C$32, $C$9, 100%, $E$9)</f>
        <v>33.986400000000003</v>
      </c>
      <c r="J960" s="11">
        <f>33.9828 * CHOOSE(CONTROL!$C$32, $C$9, 100%, $E$9)</f>
        <v>33.982799999999997</v>
      </c>
      <c r="K960" s="11">
        <f>33.9864 * CHOOSE(CONTROL!$C$32, $C$9, 100%, $E$9)</f>
        <v>33.986400000000003</v>
      </c>
      <c r="L960" s="11">
        <f>16.1414 * CHOOSE(CONTROL!$C$32, $C$9, 100%, $E$9)</f>
        <v>16.141400000000001</v>
      </c>
      <c r="M960" s="11">
        <f>16.1451 * CHOOSE(CONTROL!$C$32, $C$9, 100%, $E$9)</f>
        <v>16.145099999999999</v>
      </c>
      <c r="N960" s="11">
        <f>16.1414 * CHOOSE(CONTROL!$C$32, $C$9, 100%, $E$9)</f>
        <v>16.141400000000001</v>
      </c>
      <c r="O960" s="11">
        <f>16.1451 * CHOOSE(CONTROL!$C$32, $C$9, 100%, $E$9)</f>
        <v>16.145099999999999</v>
      </c>
    </row>
    <row r="961" spans="1:15" ht="15" x14ac:dyDescent="0.2">
      <c r="A961" s="13">
        <v>70098</v>
      </c>
      <c r="B961" s="9">
        <f>14.2821 * CHOOSE(CONTROL!$C$32, $C$9, 100%, $E$9)</f>
        <v>14.2821</v>
      </c>
      <c r="C961" s="9">
        <f>14.2821 * CHOOSE(CONTROL!$C$32, $C$9, 100%, $E$9)</f>
        <v>14.2821</v>
      </c>
      <c r="D961" s="9">
        <f>14.2832 * CHOOSE(CONTROL!$C$32, $C$9, 100%, $E$9)</f>
        <v>14.283200000000001</v>
      </c>
      <c r="E961" s="11">
        <f>15.9098 * CHOOSE(CONTROL!$C$32, $C$9, 100%, $E$9)</f>
        <v>15.909800000000001</v>
      </c>
      <c r="F961" s="11">
        <f>15.9098 * CHOOSE(CONTROL!$C$32, $C$9, 100%, $E$9)</f>
        <v>15.909800000000001</v>
      </c>
      <c r="G961" s="11">
        <f>15.9134 * CHOOSE(CONTROL!$C$32, $C$9, 100%, $E$9)</f>
        <v>15.913399999999999</v>
      </c>
      <c r="H961" s="11">
        <f>34.0536 * CHOOSE(CONTROL!$C$32, $C$9, 100%, $E$9)</f>
        <v>34.053600000000003</v>
      </c>
      <c r="I961" s="11">
        <f>34.0572 * CHOOSE(CONTROL!$C$32, $C$9, 100%, $E$9)</f>
        <v>34.057200000000002</v>
      </c>
      <c r="J961" s="11">
        <f>34.0536 * CHOOSE(CONTROL!$C$32, $C$9, 100%, $E$9)</f>
        <v>34.053600000000003</v>
      </c>
      <c r="K961" s="11">
        <f>34.0572 * CHOOSE(CONTROL!$C$32, $C$9, 100%, $E$9)</f>
        <v>34.057200000000002</v>
      </c>
      <c r="L961" s="11">
        <f>15.9098 * CHOOSE(CONTROL!$C$32, $C$9, 100%, $E$9)</f>
        <v>15.909800000000001</v>
      </c>
      <c r="M961" s="11">
        <f>15.9134 * CHOOSE(CONTROL!$C$32, $C$9, 100%, $E$9)</f>
        <v>15.913399999999999</v>
      </c>
      <c r="N961" s="11">
        <f>15.9098 * CHOOSE(CONTROL!$C$32, $C$9, 100%, $E$9)</f>
        <v>15.909800000000001</v>
      </c>
      <c r="O961" s="11">
        <f>15.9134 * CHOOSE(CONTROL!$C$32, $C$9, 100%, $E$9)</f>
        <v>15.913399999999999</v>
      </c>
    </row>
    <row r="962" spans="1:15" ht="15" x14ac:dyDescent="0.2">
      <c r="A962" s="13">
        <v>70129</v>
      </c>
      <c r="B962" s="9">
        <f>14.253 * CHOOSE(CONTROL!$C$32, $C$9, 100%, $E$9)</f>
        <v>14.253</v>
      </c>
      <c r="C962" s="9">
        <f>14.253 * CHOOSE(CONTROL!$C$32, $C$9, 100%, $E$9)</f>
        <v>14.253</v>
      </c>
      <c r="D962" s="9">
        <f>14.254 * CHOOSE(CONTROL!$C$32, $C$9, 100%, $E$9)</f>
        <v>14.254</v>
      </c>
      <c r="E962" s="11">
        <f>16.0456 * CHOOSE(CONTROL!$C$32, $C$9, 100%, $E$9)</f>
        <v>16.0456</v>
      </c>
      <c r="F962" s="11">
        <f>16.0456 * CHOOSE(CONTROL!$C$32, $C$9, 100%, $E$9)</f>
        <v>16.0456</v>
      </c>
      <c r="G962" s="11">
        <f>16.0492 * CHOOSE(CONTROL!$C$32, $C$9, 100%, $E$9)</f>
        <v>16.049199999999999</v>
      </c>
      <c r="H962" s="11">
        <f>33.7547 * CHOOSE(CONTROL!$C$32, $C$9, 100%, $E$9)</f>
        <v>33.7547</v>
      </c>
      <c r="I962" s="11">
        <f>33.7583 * CHOOSE(CONTROL!$C$32, $C$9, 100%, $E$9)</f>
        <v>33.758299999999998</v>
      </c>
      <c r="J962" s="11">
        <f>33.7547 * CHOOSE(CONTROL!$C$32, $C$9, 100%, $E$9)</f>
        <v>33.7547</v>
      </c>
      <c r="K962" s="11">
        <f>33.7583 * CHOOSE(CONTROL!$C$32, $C$9, 100%, $E$9)</f>
        <v>33.758299999999998</v>
      </c>
      <c r="L962" s="11">
        <f>16.0456 * CHOOSE(CONTROL!$C$32, $C$9, 100%, $E$9)</f>
        <v>16.0456</v>
      </c>
      <c r="M962" s="11">
        <f>16.0492 * CHOOSE(CONTROL!$C$32, $C$9, 100%, $E$9)</f>
        <v>16.049199999999999</v>
      </c>
      <c r="N962" s="11">
        <f>16.0456 * CHOOSE(CONTROL!$C$32, $C$9, 100%, $E$9)</f>
        <v>16.0456</v>
      </c>
      <c r="O962" s="11">
        <f>16.0492 * CHOOSE(CONTROL!$C$32, $C$9, 100%, $E$9)</f>
        <v>16.049199999999999</v>
      </c>
    </row>
    <row r="963" spans="1:15" ht="15" x14ac:dyDescent="0.2">
      <c r="A963" s="13">
        <v>70160</v>
      </c>
      <c r="B963" s="9">
        <f>14.2499 * CHOOSE(CONTROL!$C$32, $C$9, 100%, $E$9)</f>
        <v>14.2499</v>
      </c>
      <c r="C963" s="9">
        <f>14.2499 * CHOOSE(CONTROL!$C$32, $C$9, 100%, $E$9)</f>
        <v>14.2499</v>
      </c>
      <c r="D963" s="9">
        <f>14.251 * CHOOSE(CONTROL!$C$32, $C$9, 100%, $E$9)</f>
        <v>14.250999999999999</v>
      </c>
      <c r="E963" s="11">
        <f>15.5987 * CHOOSE(CONTROL!$C$32, $C$9, 100%, $E$9)</f>
        <v>15.598699999999999</v>
      </c>
      <c r="F963" s="11">
        <f>15.5987 * CHOOSE(CONTROL!$C$32, $C$9, 100%, $E$9)</f>
        <v>15.598699999999999</v>
      </c>
      <c r="G963" s="11">
        <f>15.6023 * CHOOSE(CONTROL!$C$32, $C$9, 100%, $E$9)</f>
        <v>15.6023</v>
      </c>
      <c r="H963" s="11">
        <f>33.825 * CHOOSE(CONTROL!$C$32, $C$9, 100%, $E$9)</f>
        <v>33.825000000000003</v>
      </c>
      <c r="I963" s="11">
        <f>33.8286 * CHOOSE(CONTROL!$C$32, $C$9, 100%, $E$9)</f>
        <v>33.828600000000002</v>
      </c>
      <c r="J963" s="11">
        <f>33.825 * CHOOSE(CONTROL!$C$32, $C$9, 100%, $E$9)</f>
        <v>33.825000000000003</v>
      </c>
      <c r="K963" s="11">
        <f>33.8286 * CHOOSE(CONTROL!$C$32, $C$9, 100%, $E$9)</f>
        <v>33.828600000000002</v>
      </c>
      <c r="L963" s="11">
        <f>15.5987 * CHOOSE(CONTROL!$C$32, $C$9, 100%, $E$9)</f>
        <v>15.598699999999999</v>
      </c>
      <c r="M963" s="11">
        <f>15.6023 * CHOOSE(CONTROL!$C$32, $C$9, 100%, $E$9)</f>
        <v>15.6023</v>
      </c>
      <c r="N963" s="11">
        <f>15.5987 * CHOOSE(CONTROL!$C$32, $C$9, 100%, $E$9)</f>
        <v>15.598699999999999</v>
      </c>
      <c r="O963" s="11">
        <f>15.6023 * CHOOSE(CONTROL!$C$32, $C$9, 100%, $E$9)</f>
        <v>15.6023</v>
      </c>
    </row>
    <row r="964" spans="1:15" ht="15" x14ac:dyDescent="0.2">
      <c r="A964" s="13">
        <v>70189</v>
      </c>
      <c r="B964" s="9">
        <f>14.2469 * CHOOSE(CONTROL!$C$32, $C$9, 100%, $E$9)</f>
        <v>14.2469</v>
      </c>
      <c r="C964" s="9">
        <f>14.2469 * CHOOSE(CONTROL!$C$32, $C$9, 100%, $E$9)</f>
        <v>14.2469</v>
      </c>
      <c r="D964" s="9">
        <f>14.2479 * CHOOSE(CONTROL!$C$32, $C$9, 100%, $E$9)</f>
        <v>14.2479</v>
      </c>
      <c r="E964" s="11">
        <f>15.9472 * CHOOSE(CONTROL!$C$32, $C$9, 100%, $E$9)</f>
        <v>15.9472</v>
      </c>
      <c r="F964" s="11">
        <f>15.9472 * CHOOSE(CONTROL!$C$32, $C$9, 100%, $E$9)</f>
        <v>15.9472</v>
      </c>
      <c r="G964" s="11">
        <f>15.9508 * CHOOSE(CONTROL!$C$32, $C$9, 100%, $E$9)</f>
        <v>15.950799999999999</v>
      </c>
      <c r="H964" s="11">
        <f>33.8955 * CHOOSE(CONTROL!$C$32, $C$9, 100%, $E$9)</f>
        <v>33.895499999999998</v>
      </c>
      <c r="I964" s="11">
        <f>33.8991 * CHOOSE(CONTROL!$C$32, $C$9, 100%, $E$9)</f>
        <v>33.899099999999997</v>
      </c>
      <c r="J964" s="11">
        <f>33.8955 * CHOOSE(CONTROL!$C$32, $C$9, 100%, $E$9)</f>
        <v>33.895499999999998</v>
      </c>
      <c r="K964" s="11">
        <f>33.8991 * CHOOSE(CONTROL!$C$32, $C$9, 100%, $E$9)</f>
        <v>33.899099999999997</v>
      </c>
      <c r="L964" s="11">
        <f>15.9472 * CHOOSE(CONTROL!$C$32, $C$9, 100%, $E$9)</f>
        <v>15.9472</v>
      </c>
      <c r="M964" s="11">
        <f>15.9508 * CHOOSE(CONTROL!$C$32, $C$9, 100%, $E$9)</f>
        <v>15.950799999999999</v>
      </c>
      <c r="N964" s="11">
        <f>15.9472 * CHOOSE(CONTROL!$C$32, $C$9, 100%, $E$9)</f>
        <v>15.9472</v>
      </c>
      <c r="O964" s="11">
        <f>15.9508 * CHOOSE(CONTROL!$C$32, $C$9, 100%, $E$9)</f>
        <v>15.950799999999999</v>
      </c>
    </row>
    <row r="965" spans="1:15" ht="15" x14ac:dyDescent="0.2">
      <c r="A965" s="13">
        <v>70220</v>
      </c>
      <c r="B965" s="9">
        <f>14.2545 * CHOOSE(CONTROL!$C$32, $C$9, 100%, $E$9)</f>
        <v>14.2545</v>
      </c>
      <c r="C965" s="9">
        <f>14.2545 * CHOOSE(CONTROL!$C$32, $C$9, 100%, $E$9)</f>
        <v>14.2545</v>
      </c>
      <c r="D965" s="9">
        <f>14.2555 * CHOOSE(CONTROL!$C$32, $C$9, 100%, $E$9)</f>
        <v>14.2555</v>
      </c>
      <c r="E965" s="11">
        <f>16.3196 * CHOOSE(CONTROL!$C$32, $C$9, 100%, $E$9)</f>
        <v>16.319600000000001</v>
      </c>
      <c r="F965" s="11">
        <f>16.3196 * CHOOSE(CONTROL!$C$32, $C$9, 100%, $E$9)</f>
        <v>16.319600000000001</v>
      </c>
      <c r="G965" s="11">
        <f>16.3232 * CHOOSE(CONTROL!$C$32, $C$9, 100%, $E$9)</f>
        <v>16.3232</v>
      </c>
      <c r="H965" s="11">
        <f>33.9661 * CHOOSE(CONTROL!$C$32, $C$9, 100%, $E$9)</f>
        <v>33.966099999999997</v>
      </c>
      <c r="I965" s="11">
        <f>33.9697 * CHOOSE(CONTROL!$C$32, $C$9, 100%, $E$9)</f>
        <v>33.969700000000003</v>
      </c>
      <c r="J965" s="11">
        <f>33.9661 * CHOOSE(CONTROL!$C$32, $C$9, 100%, $E$9)</f>
        <v>33.966099999999997</v>
      </c>
      <c r="K965" s="11">
        <f>33.9697 * CHOOSE(CONTROL!$C$32, $C$9, 100%, $E$9)</f>
        <v>33.969700000000003</v>
      </c>
      <c r="L965" s="11">
        <f>16.3196 * CHOOSE(CONTROL!$C$32, $C$9, 100%, $E$9)</f>
        <v>16.319600000000001</v>
      </c>
      <c r="M965" s="11">
        <f>16.3232 * CHOOSE(CONTROL!$C$32, $C$9, 100%, $E$9)</f>
        <v>16.3232</v>
      </c>
      <c r="N965" s="11">
        <f>16.3196 * CHOOSE(CONTROL!$C$32, $C$9, 100%, $E$9)</f>
        <v>16.319600000000001</v>
      </c>
      <c r="O965" s="11">
        <f>16.3232 * CHOOSE(CONTROL!$C$32, $C$9, 100%, $E$9)</f>
        <v>16.3232</v>
      </c>
    </row>
    <row r="966" spans="1:15" ht="15" x14ac:dyDescent="0.2">
      <c r="A966" s="13">
        <v>70250</v>
      </c>
      <c r="B966" s="9">
        <f>14.2545 * CHOOSE(CONTROL!$C$32, $C$9, 100%, $E$9)</f>
        <v>14.2545</v>
      </c>
      <c r="C966" s="9">
        <f>14.2545 * CHOOSE(CONTROL!$C$32, $C$9, 100%, $E$9)</f>
        <v>14.2545</v>
      </c>
      <c r="D966" s="9">
        <f>14.2561 * CHOOSE(CONTROL!$C$32, $C$9, 100%, $E$9)</f>
        <v>14.2561</v>
      </c>
      <c r="E966" s="11">
        <f>16.4608 * CHOOSE(CONTROL!$C$32, $C$9, 100%, $E$9)</f>
        <v>16.460799999999999</v>
      </c>
      <c r="F966" s="11">
        <f>16.4608 * CHOOSE(CONTROL!$C$32, $C$9, 100%, $E$9)</f>
        <v>16.460799999999999</v>
      </c>
      <c r="G966" s="11">
        <f>16.4661 * CHOOSE(CONTROL!$C$32, $C$9, 100%, $E$9)</f>
        <v>16.466100000000001</v>
      </c>
      <c r="H966" s="11">
        <f>34.0368 * CHOOSE(CONTROL!$C$32, $C$9, 100%, $E$9)</f>
        <v>34.036799999999999</v>
      </c>
      <c r="I966" s="11">
        <f>34.0421 * CHOOSE(CONTROL!$C$32, $C$9, 100%, $E$9)</f>
        <v>34.042099999999998</v>
      </c>
      <c r="J966" s="11">
        <f>34.0368 * CHOOSE(CONTROL!$C$32, $C$9, 100%, $E$9)</f>
        <v>34.036799999999999</v>
      </c>
      <c r="K966" s="11">
        <f>34.0421 * CHOOSE(CONTROL!$C$32, $C$9, 100%, $E$9)</f>
        <v>34.042099999999998</v>
      </c>
      <c r="L966" s="11">
        <f>16.4608 * CHOOSE(CONTROL!$C$32, $C$9, 100%, $E$9)</f>
        <v>16.460799999999999</v>
      </c>
      <c r="M966" s="11">
        <f>16.4661 * CHOOSE(CONTROL!$C$32, $C$9, 100%, $E$9)</f>
        <v>16.466100000000001</v>
      </c>
      <c r="N966" s="11">
        <f>16.4608 * CHOOSE(CONTROL!$C$32, $C$9, 100%, $E$9)</f>
        <v>16.460799999999999</v>
      </c>
      <c r="O966" s="11">
        <f>16.4661 * CHOOSE(CONTROL!$C$32, $C$9, 100%, $E$9)</f>
        <v>16.466100000000001</v>
      </c>
    </row>
    <row r="967" spans="1:15" ht="15" x14ac:dyDescent="0.2">
      <c r="A967" s="13">
        <v>70281</v>
      </c>
      <c r="B967" s="9">
        <f>14.2606 * CHOOSE(CONTROL!$C$32, $C$9, 100%, $E$9)</f>
        <v>14.2606</v>
      </c>
      <c r="C967" s="9">
        <f>14.2606 * CHOOSE(CONTROL!$C$32, $C$9, 100%, $E$9)</f>
        <v>14.2606</v>
      </c>
      <c r="D967" s="9">
        <f>14.2621 * CHOOSE(CONTROL!$C$32, $C$9, 100%, $E$9)</f>
        <v>14.2621</v>
      </c>
      <c r="E967" s="11">
        <f>16.3238 * CHOOSE(CONTROL!$C$32, $C$9, 100%, $E$9)</f>
        <v>16.323799999999999</v>
      </c>
      <c r="F967" s="11">
        <f>16.3238 * CHOOSE(CONTROL!$C$32, $C$9, 100%, $E$9)</f>
        <v>16.323799999999999</v>
      </c>
      <c r="G967" s="11">
        <f>16.3291 * CHOOSE(CONTROL!$C$32, $C$9, 100%, $E$9)</f>
        <v>16.3291</v>
      </c>
      <c r="H967" s="11">
        <f>34.1078 * CHOOSE(CONTROL!$C$32, $C$9, 100%, $E$9)</f>
        <v>34.107799999999997</v>
      </c>
      <c r="I967" s="11">
        <f>34.1131 * CHOOSE(CONTROL!$C$32, $C$9, 100%, $E$9)</f>
        <v>34.113100000000003</v>
      </c>
      <c r="J967" s="11">
        <f>34.1078 * CHOOSE(CONTROL!$C$32, $C$9, 100%, $E$9)</f>
        <v>34.107799999999997</v>
      </c>
      <c r="K967" s="11">
        <f>34.1131 * CHOOSE(CONTROL!$C$32, $C$9, 100%, $E$9)</f>
        <v>34.113100000000003</v>
      </c>
      <c r="L967" s="11">
        <f>16.3238 * CHOOSE(CONTROL!$C$32, $C$9, 100%, $E$9)</f>
        <v>16.323799999999999</v>
      </c>
      <c r="M967" s="11">
        <f>16.3291 * CHOOSE(CONTROL!$C$32, $C$9, 100%, $E$9)</f>
        <v>16.3291</v>
      </c>
      <c r="N967" s="11">
        <f>16.3238 * CHOOSE(CONTROL!$C$32, $C$9, 100%, $E$9)</f>
        <v>16.323799999999999</v>
      </c>
      <c r="O967" s="11">
        <f>16.3291 * CHOOSE(CONTROL!$C$32, $C$9, 100%, $E$9)</f>
        <v>16.3291</v>
      </c>
    </row>
    <row r="968" spans="1:15" ht="15" x14ac:dyDescent="0.2">
      <c r="A968" s="13">
        <v>70311</v>
      </c>
      <c r="B968" s="9">
        <f>14.4317 * CHOOSE(CONTROL!$C$32, $C$9, 100%, $E$9)</f>
        <v>14.431699999999999</v>
      </c>
      <c r="C968" s="9">
        <f>14.4317 * CHOOSE(CONTROL!$C$32, $C$9, 100%, $E$9)</f>
        <v>14.431699999999999</v>
      </c>
      <c r="D968" s="9">
        <f>14.4332 * CHOOSE(CONTROL!$C$32, $C$9, 100%, $E$9)</f>
        <v>14.433199999999999</v>
      </c>
      <c r="E968" s="11">
        <f>16.5557 * CHOOSE(CONTROL!$C$32, $C$9, 100%, $E$9)</f>
        <v>16.555700000000002</v>
      </c>
      <c r="F968" s="11">
        <f>16.5557 * CHOOSE(CONTROL!$C$32, $C$9, 100%, $E$9)</f>
        <v>16.555700000000002</v>
      </c>
      <c r="G968" s="11">
        <f>16.561 * CHOOSE(CONTROL!$C$32, $C$9, 100%, $E$9)</f>
        <v>16.561</v>
      </c>
      <c r="H968" s="11">
        <f>34.1788 * CHOOSE(CONTROL!$C$32, $C$9, 100%, $E$9)</f>
        <v>34.178800000000003</v>
      </c>
      <c r="I968" s="11">
        <f>34.1841 * CHOOSE(CONTROL!$C$32, $C$9, 100%, $E$9)</f>
        <v>34.184100000000001</v>
      </c>
      <c r="J968" s="11">
        <f>34.1788 * CHOOSE(CONTROL!$C$32, $C$9, 100%, $E$9)</f>
        <v>34.178800000000003</v>
      </c>
      <c r="K968" s="11">
        <f>34.1841 * CHOOSE(CONTROL!$C$32, $C$9, 100%, $E$9)</f>
        <v>34.184100000000001</v>
      </c>
      <c r="L968" s="11">
        <f>16.5557 * CHOOSE(CONTROL!$C$32, $C$9, 100%, $E$9)</f>
        <v>16.555700000000002</v>
      </c>
      <c r="M968" s="11">
        <f>16.561 * CHOOSE(CONTROL!$C$32, $C$9, 100%, $E$9)</f>
        <v>16.561</v>
      </c>
      <c r="N968" s="11">
        <f>16.5557 * CHOOSE(CONTROL!$C$32, $C$9, 100%, $E$9)</f>
        <v>16.555700000000002</v>
      </c>
      <c r="O968" s="11">
        <f>16.561 * CHOOSE(CONTROL!$C$32, $C$9, 100%, $E$9)</f>
        <v>16.561</v>
      </c>
    </row>
    <row r="969" spans="1:15" ht="15" x14ac:dyDescent="0.2">
      <c r="A969" s="13">
        <v>70342</v>
      </c>
      <c r="B969" s="9">
        <f>14.4384 * CHOOSE(CONTROL!$C$32, $C$9, 100%, $E$9)</f>
        <v>14.4384</v>
      </c>
      <c r="C969" s="9">
        <f>14.4384 * CHOOSE(CONTROL!$C$32, $C$9, 100%, $E$9)</f>
        <v>14.4384</v>
      </c>
      <c r="D969" s="9">
        <f>14.4399 * CHOOSE(CONTROL!$C$32, $C$9, 100%, $E$9)</f>
        <v>14.4399</v>
      </c>
      <c r="E969" s="11">
        <f>16.1367 * CHOOSE(CONTROL!$C$32, $C$9, 100%, $E$9)</f>
        <v>16.136700000000001</v>
      </c>
      <c r="F969" s="11">
        <f>16.1367 * CHOOSE(CONTROL!$C$32, $C$9, 100%, $E$9)</f>
        <v>16.136700000000001</v>
      </c>
      <c r="G969" s="11">
        <f>16.142 * CHOOSE(CONTROL!$C$32, $C$9, 100%, $E$9)</f>
        <v>16.141999999999999</v>
      </c>
      <c r="H969" s="11">
        <f>34.25 * CHOOSE(CONTROL!$C$32, $C$9, 100%, $E$9)</f>
        <v>34.25</v>
      </c>
      <c r="I969" s="11">
        <f>34.2553 * CHOOSE(CONTROL!$C$32, $C$9, 100%, $E$9)</f>
        <v>34.255299999999998</v>
      </c>
      <c r="J969" s="11">
        <f>34.25 * CHOOSE(CONTROL!$C$32, $C$9, 100%, $E$9)</f>
        <v>34.25</v>
      </c>
      <c r="K969" s="11">
        <f>34.2553 * CHOOSE(CONTROL!$C$32, $C$9, 100%, $E$9)</f>
        <v>34.255299999999998</v>
      </c>
      <c r="L969" s="11">
        <f>16.1367 * CHOOSE(CONTROL!$C$32, $C$9, 100%, $E$9)</f>
        <v>16.136700000000001</v>
      </c>
      <c r="M969" s="11">
        <f>16.142 * CHOOSE(CONTROL!$C$32, $C$9, 100%, $E$9)</f>
        <v>16.141999999999999</v>
      </c>
      <c r="N969" s="11">
        <f>16.1367 * CHOOSE(CONTROL!$C$32, $C$9, 100%, $E$9)</f>
        <v>16.136700000000001</v>
      </c>
      <c r="O969" s="11">
        <f>16.142 * CHOOSE(CONTROL!$C$32, $C$9, 100%, $E$9)</f>
        <v>16.141999999999999</v>
      </c>
    </row>
    <row r="970" spans="1:15" ht="15" x14ac:dyDescent="0.2">
      <c r="A970" s="13">
        <v>70373</v>
      </c>
      <c r="B970" s="9">
        <f>14.4353 * CHOOSE(CONTROL!$C$32, $C$9, 100%, $E$9)</f>
        <v>14.4353</v>
      </c>
      <c r="C970" s="9">
        <f>14.4353 * CHOOSE(CONTROL!$C$32, $C$9, 100%, $E$9)</f>
        <v>14.4353</v>
      </c>
      <c r="D970" s="9">
        <f>14.4369 * CHOOSE(CONTROL!$C$32, $C$9, 100%, $E$9)</f>
        <v>14.4369</v>
      </c>
      <c r="E970" s="11">
        <f>16.0875 * CHOOSE(CONTROL!$C$32, $C$9, 100%, $E$9)</f>
        <v>16.087499999999999</v>
      </c>
      <c r="F970" s="11">
        <f>16.0875 * CHOOSE(CONTROL!$C$32, $C$9, 100%, $E$9)</f>
        <v>16.087499999999999</v>
      </c>
      <c r="G970" s="11">
        <f>16.0928 * CHOOSE(CONTROL!$C$32, $C$9, 100%, $E$9)</f>
        <v>16.0928</v>
      </c>
      <c r="H970" s="11">
        <f>34.3214 * CHOOSE(CONTROL!$C$32, $C$9, 100%, $E$9)</f>
        <v>34.321399999999997</v>
      </c>
      <c r="I970" s="11">
        <f>34.3267 * CHOOSE(CONTROL!$C$32, $C$9, 100%, $E$9)</f>
        <v>34.326700000000002</v>
      </c>
      <c r="J970" s="11">
        <f>34.3214 * CHOOSE(CONTROL!$C$32, $C$9, 100%, $E$9)</f>
        <v>34.321399999999997</v>
      </c>
      <c r="K970" s="11">
        <f>34.3267 * CHOOSE(CONTROL!$C$32, $C$9, 100%, $E$9)</f>
        <v>34.326700000000002</v>
      </c>
      <c r="L970" s="11">
        <f>16.0875 * CHOOSE(CONTROL!$C$32, $C$9, 100%, $E$9)</f>
        <v>16.087499999999999</v>
      </c>
      <c r="M970" s="11">
        <f>16.0928 * CHOOSE(CONTROL!$C$32, $C$9, 100%, $E$9)</f>
        <v>16.0928</v>
      </c>
      <c r="N970" s="11">
        <f>16.0875 * CHOOSE(CONTROL!$C$32, $C$9, 100%, $E$9)</f>
        <v>16.087499999999999</v>
      </c>
      <c r="O970" s="11">
        <f>16.0928 * CHOOSE(CONTROL!$C$32, $C$9, 100%, $E$9)</f>
        <v>16.0928</v>
      </c>
    </row>
    <row r="971" spans="1:15" ht="15" x14ac:dyDescent="0.2">
      <c r="A971" s="13">
        <v>70403</v>
      </c>
      <c r="B971" s="9">
        <f>14.4694 * CHOOSE(CONTROL!$C$32, $C$9, 100%, $E$9)</f>
        <v>14.4694</v>
      </c>
      <c r="C971" s="9">
        <f>14.4694 * CHOOSE(CONTROL!$C$32, $C$9, 100%, $E$9)</f>
        <v>14.4694</v>
      </c>
      <c r="D971" s="9">
        <f>14.4705 * CHOOSE(CONTROL!$C$32, $C$9, 100%, $E$9)</f>
        <v>14.470499999999999</v>
      </c>
      <c r="E971" s="11">
        <f>16.2624 * CHOOSE(CONTROL!$C$32, $C$9, 100%, $E$9)</f>
        <v>16.2624</v>
      </c>
      <c r="F971" s="11">
        <f>16.2624 * CHOOSE(CONTROL!$C$32, $C$9, 100%, $E$9)</f>
        <v>16.2624</v>
      </c>
      <c r="G971" s="11">
        <f>16.266 * CHOOSE(CONTROL!$C$32, $C$9, 100%, $E$9)</f>
        <v>16.265999999999998</v>
      </c>
      <c r="H971" s="11">
        <f>34.3929 * CHOOSE(CONTROL!$C$32, $C$9, 100%, $E$9)</f>
        <v>34.392899999999997</v>
      </c>
      <c r="I971" s="11">
        <f>34.3965 * CHOOSE(CONTROL!$C$32, $C$9, 100%, $E$9)</f>
        <v>34.396500000000003</v>
      </c>
      <c r="J971" s="11">
        <f>34.3929 * CHOOSE(CONTROL!$C$32, $C$9, 100%, $E$9)</f>
        <v>34.392899999999997</v>
      </c>
      <c r="K971" s="11">
        <f>34.3965 * CHOOSE(CONTROL!$C$32, $C$9, 100%, $E$9)</f>
        <v>34.396500000000003</v>
      </c>
      <c r="L971" s="11">
        <f>16.2624 * CHOOSE(CONTROL!$C$32, $C$9, 100%, $E$9)</f>
        <v>16.2624</v>
      </c>
      <c r="M971" s="11">
        <f>16.266 * CHOOSE(CONTROL!$C$32, $C$9, 100%, $E$9)</f>
        <v>16.265999999999998</v>
      </c>
      <c r="N971" s="11">
        <f>16.2624 * CHOOSE(CONTROL!$C$32, $C$9, 100%, $E$9)</f>
        <v>16.2624</v>
      </c>
      <c r="O971" s="11">
        <f>16.266 * CHOOSE(CONTROL!$C$32, $C$9, 100%, $E$9)</f>
        <v>16.265999999999998</v>
      </c>
    </row>
    <row r="972" spans="1:15" ht="15" x14ac:dyDescent="0.2">
      <c r="A972" s="13">
        <v>70434</v>
      </c>
      <c r="B972" s="9">
        <f>14.4724 * CHOOSE(CONTROL!$C$32, $C$9, 100%, $E$9)</f>
        <v>14.4724</v>
      </c>
      <c r="C972" s="9">
        <f>14.4724 * CHOOSE(CONTROL!$C$32, $C$9, 100%, $E$9)</f>
        <v>14.4724</v>
      </c>
      <c r="D972" s="9">
        <f>14.4735 * CHOOSE(CONTROL!$C$32, $C$9, 100%, $E$9)</f>
        <v>14.4735</v>
      </c>
      <c r="E972" s="11">
        <f>16.3586 * CHOOSE(CONTROL!$C$32, $C$9, 100%, $E$9)</f>
        <v>16.358599999999999</v>
      </c>
      <c r="F972" s="11">
        <f>16.3586 * CHOOSE(CONTROL!$C$32, $C$9, 100%, $E$9)</f>
        <v>16.358599999999999</v>
      </c>
      <c r="G972" s="11">
        <f>16.3622 * CHOOSE(CONTROL!$C$32, $C$9, 100%, $E$9)</f>
        <v>16.362200000000001</v>
      </c>
      <c r="H972" s="11">
        <f>34.4645 * CHOOSE(CONTROL!$C$32, $C$9, 100%, $E$9)</f>
        <v>34.464500000000001</v>
      </c>
      <c r="I972" s="11">
        <f>34.4681 * CHOOSE(CONTROL!$C$32, $C$9, 100%, $E$9)</f>
        <v>34.4681</v>
      </c>
      <c r="J972" s="11">
        <f>34.4645 * CHOOSE(CONTROL!$C$32, $C$9, 100%, $E$9)</f>
        <v>34.464500000000001</v>
      </c>
      <c r="K972" s="11">
        <f>34.4681 * CHOOSE(CONTROL!$C$32, $C$9, 100%, $E$9)</f>
        <v>34.4681</v>
      </c>
      <c r="L972" s="11">
        <f>16.3586 * CHOOSE(CONTROL!$C$32, $C$9, 100%, $E$9)</f>
        <v>16.358599999999999</v>
      </c>
      <c r="M972" s="11">
        <f>16.3622 * CHOOSE(CONTROL!$C$32, $C$9, 100%, $E$9)</f>
        <v>16.362200000000001</v>
      </c>
      <c r="N972" s="11">
        <f>16.3586 * CHOOSE(CONTROL!$C$32, $C$9, 100%, $E$9)</f>
        <v>16.358599999999999</v>
      </c>
      <c r="O972" s="11">
        <f>16.3622 * CHOOSE(CONTROL!$C$32, $C$9, 100%, $E$9)</f>
        <v>16.362200000000001</v>
      </c>
    </row>
    <row r="973" spans="1:15" ht="15" x14ac:dyDescent="0.2">
      <c r="A973" s="13">
        <v>70464</v>
      </c>
      <c r="B973" s="9">
        <f>14.4724 * CHOOSE(CONTROL!$C$32, $C$9, 100%, $E$9)</f>
        <v>14.4724</v>
      </c>
      <c r="C973" s="9">
        <f>14.4724 * CHOOSE(CONTROL!$C$32, $C$9, 100%, $E$9)</f>
        <v>14.4724</v>
      </c>
      <c r="D973" s="9">
        <f>14.4735 * CHOOSE(CONTROL!$C$32, $C$9, 100%, $E$9)</f>
        <v>14.4735</v>
      </c>
      <c r="E973" s="11">
        <f>16.1233 * CHOOSE(CONTROL!$C$32, $C$9, 100%, $E$9)</f>
        <v>16.1233</v>
      </c>
      <c r="F973" s="11">
        <f>16.1233 * CHOOSE(CONTROL!$C$32, $C$9, 100%, $E$9)</f>
        <v>16.1233</v>
      </c>
      <c r="G973" s="11">
        <f>16.1269 * CHOOSE(CONTROL!$C$32, $C$9, 100%, $E$9)</f>
        <v>16.126899999999999</v>
      </c>
      <c r="H973" s="11">
        <f>34.5363 * CHOOSE(CONTROL!$C$32, $C$9, 100%, $E$9)</f>
        <v>34.536299999999997</v>
      </c>
      <c r="I973" s="11">
        <f>34.5399 * CHOOSE(CONTROL!$C$32, $C$9, 100%, $E$9)</f>
        <v>34.539900000000003</v>
      </c>
      <c r="J973" s="11">
        <f>34.5363 * CHOOSE(CONTROL!$C$32, $C$9, 100%, $E$9)</f>
        <v>34.536299999999997</v>
      </c>
      <c r="K973" s="11">
        <f>34.5399 * CHOOSE(CONTROL!$C$32, $C$9, 100%, $E$9)</f>
        <v>34.539900000000003</v>
      </c>
      <c r="L973" s="11">
        <f>16.1233 * CHOOSE(CONTROL!$C$32, $C$9, 100%, $E$9)</f>
        <v>16.1233</v>
      </c>
      <c r="M973" s="11">
        <f>16.1269 * CHOOSE(CONTROL!$C$32, $C$9, 100%, $E$9)</f>
        <v>16.126899999999999</v>
      </c>
      <c r="N973" s="11">
        <f>16.1233 * CHOOSE(CONTROL!$C$32, $C$9, 100%, $E$9)</f>
        <v>16.1233</v>
      </c>
      <c r="O973" s="11">
        <f>16.1269 * CHOOSE(CONTROL!$C$32, $C$9, 100%, $E$9)</f>
        <v>16.126899999999999</v>
      </c>
    </row>
    <row r="974" spans="1:15" ht="15" x14ac:dyDescent="0.2">
      <c r="A974" s="13">
        <v>70495</v>
      </c>
      <c r="B974" s="9">
        <f>14.4403 * CHOOSE(CONTROL!$C$32, $C$9, 100%, $E$9)</f>
        <v>14.440300000000001</v>
      </c>
      <c r="C974" s="9">
        <f>14.4403 * CHOOSE(CONTROL!$C$32, $C$9, 100%, $E$9)</f>
        <v>14.440300000000001</v>
      </c>
      <c r="D974" s="9">
        <f>14.4414 * CHOOSE(CONTROL!$C$32, $C$9, 100%, $E$9)</f>
        <v>14.4414</v>
      </c>
      <c r="E974" s="11">
        <f>16.2581 * CHOOSE(CONTROL!$C$32, $C$9, 100%, $E$9)</f>
        <v>16.258099999999999</v>
      </c>
      <c r="F974" s="11">
        <f>16.2581 * CHOOSE(CONTROL!$C$32, $C$9, 100%, $E$9)</f>
        <v>16.258099999999999</v>
      </c>
      <c r="G974" s="11">
        <f>16.2617 * CHOOSE(CONTROL!$C$32, $C$9, 100%, $E$9)</f>
        <v>16.261700000000001</v>
      </c>
      <c r="H974" s="11">
        <f>34.2265 * CHOOSE(CONTROL!$C$32, $C$9, 100%, $E$9)</f>
        <v>34.226500000000001</v>
      </c>
      <c r="I974" s="11">
        <f>34.2301 * CHOOSE(CONTROL!$C$32, $C$9, 100%, $E$9)</f>
        <v>34.2301</v>
      </c>
      <c r="J974" s="11">
        <f>34.2265 * CHOOSE(CONTROL!$C$32, $C$9, 100%, $E$9)</f>
        <v>34.226500000000001</v>
      </c>
      <c r="K974" s="11">
        <f>34.2301 * CHOOSE(CONTROL!$C$32, $C$9, 100%, $E$9)</f>
        <v>34.2301</v>
      </c>
      <c r="L974" s="11">
        <f>16.2581 * CHOOSE(CONTROL!$C$32, $C$9, 100%, $E$9)</f>
        <v>16.258099999999999</v>
      </c>
      <c r="M974" s="11">
        <f>16.2617 * CHOOSE(CONTROL!$C$32, $C$9, 100%, $E$9)</f>
        <v>16.261700000000001</v>
      </c>
      <c r="N974" s="11">
        <f>16.2581 * CHOOSE(CONTROL!$C$32, $C$9, 100%, $E$9)</f>
        <v>16.258099999999999</v>
      </c>
      <c r="O974" s="11">
        <f>16.2617 * CHOOSE(CONTROL!$C$32, $C$9, 100%, $E$9)</f>
        <v>16.261700000000001</v>
      </c>
    </row>
    <row r="975" spans="1:15" ht="15" x14ac:dyDescent="0.2">
      <c r="A975" s="13">
        <v>70526</v>
      </c>
      <c r="B975" s="9">
        <f>14.4373 * CHOOSE(CONTROL!$C$32, $C$9, 100%, $E$9)</f>
        <v>14.4373</v>
      </c>
      <c r="C975" s="9">
        <f>14.4373 * CHOOSE(CONTROL!$C$32, $C$9, 100%, $E$9)</f>
        <v>14.4373</v>
      </c>
      <c r="D975" s="9">
        <f>14.4383 * CHOOSE(CONTROL!$C$32, $C$9, 100%, $E$9)</f>
        <v>14.4383</v>
      </c>
      <c r="E975" s="11">
        <f>15.8041 * CHOOSE(CONTROL!$C$32, $C$9, 100%, $E$9)</f>
        <v>15.8041</v>
      </c>
      <c r="F975" s="11">
        <f>15.8041 * CHOOSE(CONTROL!$C$32, $C$9, 100%, $E$9)</f>
        <v>15.8041</v>
      </c>
      <c r="G975" s="11">
        <f>15.8077 * CHOOSE(CONTROL!$C$32, $C$9, 100%, $E$9)</f>
        <v>15.807700000000001</v>
      </c>
      <c r="H975" s="11">
        <f>34.2978 * CHOOSE(CONTROL!$C$32, $C$9, 100%, $E$9)</f>
        <v>34.297800000000002</v>
      </c>
      <c r="I975" s="11">
        <f>34.3014 * CHOOSE(CONTROL!$C$32, $C$9, 100%, $E$9)</f>
        <v>34.301400000000001</v>
      </c>
      <c r="J975" s="11">
        <f>34.2978 * CHOOSE(CONTROL!$C$32, $C$9, 100%, $E$9)</f>
        <v>34.297800000000002</v>
      </c>
      <c r="K975" s="11">
        <f>34.3014 * CHOOSE(CONTROL!$C$32, $C$9, 100%, $E$9)</f>
        <v>34.301400000000001</v>
      </c>
      <c r="L975" s="11">
        <f>15.8041 * CHOOSE(CONTROL!$C$32, $C$9, 100%, $E$9)</f>
        <v>15.8041</v>
      </c>
      <c r="M975" s="11">
        <f>15.8077 * CHOOSE(CONTROL!$C$32, $C$9, 100%, $E$9)</f>
        <v>15.807700000000001</v>
      </c>
      <c r="N975" s="11">
        <f>15.8041 * CHOOSE(CONTROL!$C$32, $C$9, 100%, $E$9)</f>
        <v>15.8041</v>
      </c>
      <c r="O975" s="11">
        <f>15.8077 * CHOOSE(CONTROL!$C$32, $C$9, 100%, $E$9)</f>
        <v>15.807700000000001</v>
      </c>
    </row>
    <row r="976" spans="1:15" ht="15" x14ac:dyDescent="0.2">
      <c r="A976" s="13">
        <v>70554</v>
      </c>
      <c r="B976" s="9">
        <f>14.4342 * CHOOSE(CONTROL!$C$32, $C$9, 100%, $E$9)</f>
        <v>14.434200000000001</v>
      </c>
      <c r="C976" s="9">
        <f>14.4342 * CHOOSE(CONTROL!$C$32, $C$9, 100%, $E$9)</f>
        <v>14.434200000000001</v>
      </c>
      <c r="D976" s="9">
        <f>14.4353 * CHOOSE(CONTROL!$C$32, $C$9, 100%, $E$9)</f>
        <v>14.4353</v>
      </c>
      <c r="E976" s="11">
        <f>16.1582 * CHOOSE(CONTROL!$C$32, $C$9, 100%, $E$9)</f>
        <v>16.158200000000001</v>
      </c>
      <c r="F976" s="11">
        <f>16.1582 * CHOOSE(CONTROL!$C$32, $C$9, 100%, $E$9)</f>
        <v>16.158200000000001</v>
      </c>
      <c r="G976" s="11">
        <f>16.1618 * CHOOSE(CONTROL!$C$32, $C$9, 100%, $E$9)</f>
        <v>16.161799999999999</v>
      </c>
      <c r="H976" s="11">
        <f>34.3692 * CHOOSE(CONTROL!$C$32, $C$9, 100%, $E$9)</f>
        <v>34.369199999999999</v>
      </c>
      <c r="I976" s="11">
        <f>34.3729 * CHOOSE(CONTROL!$C$32, $C$9, 100%, $E$9)</f>
        <v>34.372900000000001</v>
      </c>
      <c r="J976" s="11">
        <f>34.3692 * CHOOSE(CONTROL!$C$32, $C$9, 100%, $E$9)</f>
        <v>34.369199999999999</v>
      </c>
      <c r="K976" s="11">
        <f>34.3729 * CHOOSE(CONTROL!$C$32, $C$9, 100%, $E$9)</f>
        <v>34.372900000000001</v>
      </c>
      <c r="L976" s="11">
        <f>16.1582 * CHOOSE(CONTROL!$C$32, $C$9, 100%, $E$9)</f>
        <v>16.158200000000001</v>
      </c>
      <c r="M976" s="11">
        <f>16.1618 * CHOOSE(CONTROL!$C$32, $C$9, 100%, $E$9)</f>
        <v>16.161799999999999</v>
      </c>
      <c r="N976" s="11">
        <f>16.1582 * CHOOSE(CONTROL!$C$32, $C$9, 100%, $E$9)</f>
        <v>16.158200000000001</v>
      </c>
      <c r="O976" s="11">
        <f>16.1618 * CHOOSE(CONTROL!$C$32, $C$9, 100%, $E$9)</f>
        <v>16.161799999999999</v>
      </c>
    </row>
    <row r="977" spans="1:15" ht="15" x14ac:dyDescent="0.2">
      <c r="A977" s="13">
        <v>70585</v>
      </c>
      <c r="B977" s="9">
        <f>14.442 * CHOOSE(CONTROL!$C$32, $C$9, 100%, $E$9)</f>
        <v>14.442</v>
      </c>
      <c r="C977" s="9">
        <f>14.442 * CHOOSE(CONTROL!$C$32, $C$9, 100%, $E$9)</f>
        <v>14.442</v>
      </c>
      <c r="D977" s="9">
        <f>14.4431 * CHOOSE(CONTROL!$C$32, $C$9, 100%, $E$9)</f>
        <v>14.443099999999999</v>
      </c>
      <c r="E977" s="11">
        <f>16.5366 * CHOOSE(CONTROL!$C$32, $C$9, 100%, $E$9)</f>
        <v>16.5366</v>
      </c>
      <c r="F977" s="11">
        <f>16.5366 * CHOOSE(CONTROL!$C$32, $C$9, 100%, $E$9)</f>
        <v>16.5366</v>
      </c>
      <c r="G977" s="11">
        <f>16.5402 * CHOOSE(CONTROL!$C$32, $C$9, 100%, $E$9)</f>
        <v>16.540199999999999</v>
      </c>
      <c r="H977" s="11">
        <f>34.4408 * CHOOSE(CONTROL!$C$32, $C$9, 100%, $E$9)</f>
        <v>34.440800000000003</v>
      </c>
      <c r="I977" s="11">
        <f>34.4445 * CHOOSE(CONTROL!$C$32, $C$9, 100%, $E$9)</f>
        <v>34.444499999999998</v>
      </c>
      <c r="J977" s="11">
        <f>34.4408 * CHOOSE(CONTROL!$C$32, $C$9, 100%, $E$9)</f>
        <v>34.440800000000003</v>
      </c>
      <c r="K977" s="11">
        <f>34.4445 * CHOOSE(CONTROL!$C$32, $C$9, 100%, $E$9)</f>
        <v>34.444499999999998</v>
      </c>
      <c r="L977" s="11">
        <f>16.5366 * CHOOSE(CONTROL!$C$32, $C$9, 100%, $E$9)</f>
        <v>16.5366</v>
      </c>
      <c r="M977" s="11">
        <f>16.5402 * CHOOSE(CONTROL!$C$32, $C$9, 100%, $E$9)</f>
        <v>16.540199999999999</v>
      </c>
      <c r="N977" s="11">
        <f>16.5366 * CHOOSE(CONTROL!$C$32, $C$9, 100%, $E$9)</f>
        <v>16.5366</v>
      </c>
      <c r="O977" s="11">
        <f>16.5402 * CHOOSE(CONTROL!$C$32, $C$9, 100%, $E$9)</f>
        <v>16.540199999999999</v>
      </c>
    </row>
    <row r="978" spans="1:15" ht="15" x14ac:dyDescent="0.2">
      <c r="A978" s="13">
        <v>70615</v>
      </c>
      <c r="B978" s="9">
        <f>14.442 * CHOOSE(CONTROL!$C$32, $C$9, 100%, $E$9)</f>
        <v>14.442</v>
      </c>
      <c r="C978" s="9">
        <f>14.442 * CHOOSE(CONTROL!$C$32, $C$9, 100%, $E$9)</f>
        <v>14.442</v>
      </c>
      <c r="D978" s="9">
        <f>14.4436 * CHOOSE(CONTROL!$C$32, $C$9, 100%, $E$9)</f>
        <v>14.4436</v>
      </c>
      <c r="E978" s="11">
        <f>16.68 * CHOOSE(CONTROL!$C$32, $C$9, 100%, $E$9)</f>
        <v>16.68</v>
      </c>
      <c r="F978" s="11">
        <f>16.68 * CHOOSE(CONTROL!$C$32, $C$9, 100%, $E$9)</f>
        <v>16.68</v>
      </c>
      <c r="G978" s="11">
        <f>16.6853 * CHOOSE(CONTROL!$C$32, $C$9, 100%, $E$9)</f>
        <v>16.685300000000002</v>
      </c>
      <c r="H978" s="11">
        <f>34.5126 * CHOOSE(CONTROL!$C$32, $C$9, 100%, $E$9)</f>
        <v>34.512599999999999</v>
      </c>
      <c r="I978" s="11">
        <f>34.5179 * CHOOSE(CONTROL!$C$32, $C$9, 100%, $E$9)</f>
        <v>34.517899999999997</v>
      </c>
      <c r="J978" s="11">
        <f>34.5126 * CHOOSE(CONTROL!$C$32, $C$9, 100%, $E$9)</f>
        <v>34.512599999999999</v>
      </c>
      <c r="K978" s="11">
        <f>34.5179 * CHOOSE(CONTROL!$C$32, $C$9, 100%, $E$9)</f>
        <v>34.517899999999997</v>
      </c>
      <c r="L978" s="11">
        <f>16.68 * CHOOSE(CONTROL!$C$32, $C$9, 100%, $E$9)</f>
        <v>16.68</v>
      </c>
      <c r="M978" s="11">
        <f>16.6853 * CHOOSE(CONTROL!$C$32, $C$9, 100%, $E$9)</f>
        <v>16.685300000000002</v>
      </c>
      <c r="N978" s="11">
        <f>16.68 * CHOOSE(CONTROL!$C$32, $C$9, 100%, $E$9)</f>
        <v>16.68</v>
      </c>
      <c r="O978" s="11">
        <f>16.6853 * CHOOSE(CONTROL!$C$32, $C$9, 100%, $E$9)</f>
        <v>16.685300000000002</v>
      </c>
    </row>
    <row r="979" spans="1:15" ht="15" x14ac:dyDescent="0.2">
      <c r="A979" s="13">
        <v>70646</v>
      </c>
      <c r="B979" s="9">
        <f>14.4481 * CHOOSE(CONTROL!$C$32, $C$9, 100%, $E$9)</f>
        <v>14.4481</v>
      </c>
      <c r="C979" s="9">
        <f>14.4481 * CHOOSE(CONTROL!$C$32, $C$9, 100%, $E$9)</f>
        <v>14.4481</v>
      </c>
      <c r="D979" s="9">
        <f>14.4497 * CHOOSE(CONTROL!$C$32, $C$9, 100%, $E$9)</f>
        <v>14.4497</v>
      </c>
      <c r="E979" s="11">
        <f>16.5408 * CHOOSE(CONTROL!$C$32, $C$9, 100%, $E$9)</f>
        <v>16.540800000000001</v>
      </c>
      <c r="F979" s="11">
        <f>16.5408 * CHOOSE(CONTROL!$C$32, $C$9, 100%, $E$9)</f>
        <v>16.540800000000001</v>
      </c>
      <c r="G979" s="11">
        <f>16.5461 * CHOOSE(CONTROL!$C$32, $C$9, 100%, $E$9)</f>
        <v>16.546099999999999</v>
      </c>
      <c r="H979" s="11">
        <f>34.5845 * CHOOSE(CONTROL!$C$32, $C$9, 100%, $E$9)</f>
        <v>34.584499999999998</v>
      </c>
      <c r="I979" s="11">
        <f>34.5898 * CHOOSE(CONTROL!$C$32, $C$9, 100%, $E$9)</f>
        <v>34.589799999999997</v>
      </c>
      <c r="J979" s="11">
        <f>34.5845 * CHOOSE(CONTROL!$C$32, $C$9, 100%, $E$9)</f>
        <v>34.584499999999998</v>
      </c>
      <c r="K979" s="11">
        <f>34.5898 * CHOOSE(CONTROL!$C$32, $C$9, 100%, $E$9)</f>
        <v>34.589799999999997</v>
      </c>
      <c r="L979" s="11">
        <f>16.5408 * CHOOSE(CONTROL!$C$32, $C$9, 100%, $E$9)</f>
        <v>16.540800000000001</v>
      </c>
      <c r="M979" s="11">
        <f>16.5461 * CHOOSE(CONTROL!$C$32, $C$9, 100%, $E$9)</f>
        <v>16.546099999999999</v>
      </c>
      <c r="N979" s="11">
        <f>16.5408 * CHOOSE(CONTROL!$C$32, $C$9, 100%, $E$9)</f>
        <v>16.540800000000001</v>
      </c>
      <c r="O979" s="11">
        <f>16.5461 * CHOOSE(CONTROL!$C$32, $C$9, 100%, $E$9)</f>
        <v>16.546099999999999</v>
      </c>
    </row>
    <row r="980" spans="1:15" ht="15" x14ac:dyDescent="0.2">
      <c r="A980" s="13">
        <v>70676</v>
      </c>
      <c r="B980" s="9">
        <f>14.6213 * CHOOSE(CONTROL!$C$32, $C$9, 100%, $E$9)</f>
        <v>14.6213</v>
      </c>
      <c r="C980" s="9">
        <f>14.6213 * CHOOSE(CONTROL!$C$32, $C$9, 100%, $E$9)</f>
        <v>14.6213</v>
      </c>
      <c r="D980" s="9">
        <f>14.6228 * CHOOSE(CONTROL!$C$32, $C$9, 100%, $E$9)</f>
        <v>14.6228</v>
      </c>
      <c r="E980" s="11">
        <f>16.7759 * CHOOSE(CONTROL!$C$32, $C$9, 100%, $E$9)</f>
        <v>16.7759</v>
      </c>
      <c r="F980" s="11">
        <f>16.7759 * CHOOSE(CONTROL!$C$32, $C$9, 100%, $E$9)</f>
        <v>16.7759</v>
      </c>
      <c r="G980" s="11">
        <f>16.7811 * CHOOSE(CONTROL!$C$32, $C$9, 100%, $E$9)</f>
        <v>16.781099999999999</v>
      </c>
      <c r="H980" s="11">
        <f>34.6565 * CHOOSE(CONTROL!$C$32, $C$9, 100%, $E$9)</f>
        <v>34.656500000000001</v>
      </c>
      <c r="I980" s="11">
        <f>34.6618 * CHOOSE(CONTROL!$C$32, $C$9, 100%, $E$9)</f>
        <v>34.661799999999999</v>
      </c>
      <c r="J980" s="11">
        <f>34.6565 * CHOOSE(CONTROL!$C$32, $C$9, 100%, $E$9)</f>
        <v>34.656500000000001</v>
      </c>
      <c r="K980" s="11">
        <f>34.6618 * CHOOSE(CONTROL!$C$32, $C$9, 100%, $E$9)</f>
        <v>34.661799999999999</v>
      </c>
      <c r="L980" s="11">
        <f>16.7759 * CHOOSE(CONTROL!$C$32, $C$9, 100%, $E$9)</f>
        <v>16.7759</v>
      </c>
      <c r="M980" s="11">
        <f>16.7811 * CHOOSE(CONTROL!$C$32, $C$9, 100%, $E$9)</f>
        <v>16.781099999999999</v>
      </c>
      <c r="N980" s="11">
        <f>16.7759 * CHOOSE(CONTROL!$C$32, $C$9, 100%, $E$9)</f>
        <v>16.7759</v>
      </c>
      <c r="O980" s="11">
        <f>16.7811 * CHOOSE(CONTROL!$C$32, $C$9, 100%, $E$9)</f>
        <v>16.781099999999999</v>
      </c>
    </row>
    <row r="981" spans="1:15" ht="15" x14ac:dyDescent="0.2">
      <c r="A981" s="13">
        <v>70707</v>
      </c>
      <c r="B981" s="9">
        <f>14.6279 * CHOOSE(CONTROL!$C$32, $C$9, 100%, $E$9)</f>
        <v>14.6279</v>
      </c>
      <c r="C981" s="9">
        <f>14.6279 * CHOOSE(CONTROL!$C$32, $C$9, 100%, $E$9)</f>
        <v>14.6279</v>
      </c>
      <c r="D981" s="9">
        <f>14.6295 * CHOOSE(CONTROL!$C$32, $C$9, 100%, $E$9)</f>
        <v>14.6295</v>
      </c>
      <c r="E981" s="11">
        <f>16.3501 * CHOOSE(CONTROL!$C$32, $C$9, 100%, $E$9)</f>
        <v>16.350100000000001</v>
      </c>
      <c r="F981" s="11">
        <f>16.3501 * CHOOSE(CONTROL!$C$32, $C$9, 100%, $E$9)</f>
        <v>16.350100000000001</v>
      </c>
      <c r="G981" s="11">
        <f>16.3554 * CHOOSE(CONTROL!$C$32, $C$9, 100%, $E$9)</f>
        <v>16.355399999999999</v>
      </c>
      <c r="H981" s="11">
        <f>34.7288 * CHOOSE(CONTROL!$C$32, $C$9, 100%, $E$9)</f>
        <v>34.7288</v>
      </c>
      <c r="I981" s="11">
        <f>34.734 * CHOOSE(CONTROL!$C$32, $C$9, 100%, $E$9)</f>
        <v>34.734000000000002</v>
      </c>
      <c r="J981" s="11">
        <f>34.7288 * CHOOSE(CONTROL!$C$32, $C$9, 100%, $E$9)</f>
        <v>34.7288</v>
      </c>
      <c r="K981" s="11">
        <f>34.734 * CHOOSE(CONTROL!$C$32, $C$9, 100%, $E$9)</f>
        <v>34.734000000000002</v>
      </c>
      <c r="L981" s="11">
        <f>16.3501 * CHOOSE(CONTROL!$C$32, $C$9, 100%, $E$9)</f>
        <v>16.350100000000001</v>
      </c>
      <c r="M981" s="11">
        <f>16.3554 * CHOOSE(CONTROL!$C$32, $C$9, 100%, $E$9)</f>
        <v>16.355399999999999</v>
      </c>
      <c r="N981" s="11">
        <f>16.3501 * CHOOSE(CONTROL!$C$32, $C$9, 100%, $E$9)</f>
        <v>16.350100000000001</v>
      </c>
      <c r="O981" s="11">
        <f>16.3554 * CHOOSE(CONTROL!$C$32, $C$9, 100%, $E$9)</f>
        <v>16.355399999999999</v>
      </c>
    </row>
    <row r="982" spans="1:15" ht="15" x14ac:dyDescent="0.2">
      <c r="A982" s="13">
        <v>70738</v>
      </c>
      <c r="B982" s="9">
        <f>14.6249 * CHOOSE(CONTROL!$C$32, $C$9, 100%, $E$9)</f>
        <v>14.6249</v>
      </c>
      <c r="C982" s="9">
        <f>14.6249 * CHOOSE(CONTROL!$C$32, $C$9, 100%, $E$9)</f>
        <v>14.6249</v>
      </c>
      <c r="D982" s="9">
        <f>14.6265 * CHOOSE(CONTROL!$C$32, $C$9, 100%, $E$9)</f>
        <v>14.6265</v>
      </c>
      <c r="E982" s="11">
        <f>16.3002 * CHOOSE(CONTROL!$C$32, $C$9, 100%, $E$9)</f>
        <v>16.3002</v>
      </c>
      <c r="F982" s="11">
        <f>16.3002 * CHOOSE(CONTROL!$C$32, $C$9, 100%, $E$9)</f>
        <v>16.3002</v>
      </c>
      <c r="G982" s="11">
        <f>16.3055 * CHOOSE(CONTROL!$C$32, $C$9, 100%, $E$9)</f>
        <v>16.305499999999999</v>
      </c>
      <c r="H982" s="11">
        <f>34.8011 * CHOOSE(CONTROL!$C$32, $C$9, 100%, $E$9)</f>
        <v>34.801099999999998</v>
      </c>
      <c r="I982" s="11">
        <f>34.8064 * CHOOSE(CONTROL!$C$32, $C$9, 100%, $E$9)</f>
        <v>34.806399999999996</v>
      </c>
      <c r="J982" s="11">
        <f>34.8011 * CHOOSE(CONTROL!$C$32, $C$9, 100%, $E$9)</f>
        <v>34.801099999999998</v>
      </c>
      <c r="K982" s="11">
        <f>34.8064 * CHOOSE(CONTROL!$C$32, $C$9, 100%, $E$9)</f>
        <v>34.806399999999996</v>
      </c>
      <c r="L982" s="11">
        <f>16.3002 * CHOOSE(CONTROL!$C$32, $C$9, 100%, $E$9)</f>
        <v>16.3002</v>
      </c>
      <c r="M982" s="11">
        <f>16.3055 * CHOOSE(CONTROL!$C$32, $C$9, 100%, $E$9)</f>
        <v>16.305499999999999</v>
      </c>
      <c r="N982" s="11">
        <f>16.3002 * CHOOSE(CONTROL!$C$32, $C$9, 100%, $E$9)</f>
        <v>16.3002</v>
      </c>
      <c r="O982" s="11">
        <f>16.3055 * CHOOSE(CONTROL!$C$32, $C$9, 100%, $E$9)</f>
        <v>16.305499999999999</v>
      </c>
    </row>
    <row r="983" spans="1:15" ht="15" x14ac:dyDescent="0.2">
      <c r="A983" s="13">
        <v>70768</v>
      </c>
      <c r="B983" s="9">
        <f>14.6597 * CHOOSE(CONTROL!$C$32, $C$9, 100%, $E$9)</f>
        <v>14.659700000000001</v>
      </c>
      <c r="C983" s="9">
        <f>14.6597 * CHOOSE(CONTROL!$C$32, $C$9, 100%, $E$9)</f>
        <v>14.659700000000001</v>
      </c>
      <c r="D983" s="9">
        <f>14.6608 * CHOOSE(CONTROL!$C$32, $C$9, 100%, $E$9)</f>
        <v>14.6608</v>
      </c>
      <c r="E983" s="11">
        <f>16.478 * CHOOSE(CONTROL!$C$32, $C$9, 100%, $E$9)</f>
        <v>16.478000000000002</v>
      </c>
      <c r="F983" s="11">
        <f>16.478 * CHOOSE(CONTROL!$C$32, $C$9, 100%, $E$9)</f>
        <v>16.478000000000002</v>
      </c>
      <c r="G983" s="11">
        <f>16.4817 * CHOOSE(CONTROL!$C$32, $C$9, 100%, $E$9)</f>
        <v>16.4817</v>
      </c>
      <c r="H983" s="11">
        <f>34.8736 * CHOOSE(CONTROL!$C$32, $C$9, 100%, $E$9)</f>
        <v>34.873600000000003</v>
      </c>
      <c r="I983" s="11">
        <f>34.8772 * CHOOSE(CONTROL!$C$32, $C$9, 100%, $E$9)</f>
        <v>34.877200000000002</v>
      </c>
      <c r="J983" s="11">
        <f>34.8736 * CHOOSE(CONTROL!$C$32, $C$9, 100%, $E$9)</f>
        <v>34.873600000000003</v>
      </c>
      <c r="K983" s="11">
        <f>34.8772 * CHOOSE(CONTROL!$C$32, $C$9, 100%, $E$9)</f>
        <v>34.877200000000002</v>
      </c>
      <c r="L983" s="11">
        <f>16.478 * CHOOSE(CONTROL!$C$32, $C$9, 100%, $E$9)</f>
        <v>16.478000000000002</v>
      </c>
      <c r="M983" s="11">
        <f>16.4817 * CHOOSE(CONTROL!$C$32, $C$9, 100%, $E$9)</f>
        <v>16.4817</v>
      </c>
      <c r="N983" s="11">
        <f>16.478 * CHOOSE(CONTROL!$C$32, $C$9, 100%, $E$9)</f>
        <v>16.478000000000002</v>
      </c>
      <c r="O983" s="11">
        <f>16.4817 * CHOOSE(CONTROL!$C$32, $C$9, 100%, $E$9)</f>
        <v>16.4817</v>
      </c>
    </row>
    <row r="984" spans="1:15" ht="15" x14ac:dyDescent="0.2">
      <c r="A984" s="13">
        <v>70799</v>
      </c>
      <c r="B984" s="9">
        <f>14.6627 * CHOOSE(CONTROL!$C$32, $C$9, 100%, $E$9)</f>
        <v>14.662699999999999</v>
      </c>
      <c r="C984" s="9">
        <f>14.6627 * CHOOSE(CONTROL!$C$32, $C$9, 100%, $E$9)</f>
        <v>14.662699999999999</v>
      </c>
      <c r="D984" s="9">
        <f>14.6638 * CHOOSE(CONTROL!$C$32, $C$9, 100%, $E$9)</f>
        <v>14.6638</v>
      </c>
      <c r="E984" s="11">
        <f>16.5758 * CHOOSE(CONTROL!$C$32, $C$9, 100%, $E$9)</f>
        <v>16.575800000000001</v>
      </c>
      <c r="F984" s="11">
        <f>16.5758 * CHOOSE(CONTROL!$C$32, $C$9, 100%, $E$9)</f>
        <v>16.575800000000001</v>
      </c>
      <c r="G984" s="11">
        <f>16.5794 * CHOOSE(CONTROL!$C$32, $C$9, 100%, $E$9)</f>
        <v>16.5794</v>
      </c>
      <c r="H984" s="11">
        <f>34.9463 * CHOOSE(CONTROL!$C$32, $C$9, 100%, $E$9)</f>
        <v>34.946300000000001</v>
      </c>
      <c r="I984" s="11">
        <f>34.9499 * CHOOSE(CONTROL!$C$32, $C$9, 100%, $E$9)</f>
        <v>34.9499</v>
      </c>
      <c r="J984" s="11">
        <f>34.9463 * CHOOSE(CONTROL!$C$32, $C$9, 100%, $E$9)</f>
        <v>34.946300000000001</v>
      </c>
      <c r="K984" s="11">
        <f>34.9499 * CHOOSE(CONTROL!$C$32, $C$9, 100%, $E$9)</f>
        <v>34.9499</v>
      </c>
      <c r="L984" s="11">
        <f>16.5758 * CHOOSE(CONTROL!$C$32, $C$9, 100%, $E$9)</f>
        <v>16.575800000000001</v>
      </c>
      <c r="M984" s="11">
        <f>16.5794 * CHOOSE(CONTROL!$C$32, $C$9, 100%, $E$9)</f>
        <v>16.5794</v>
      </c>
      <c r="N984" s="11">
        <f>16.5758 * CHOOSE(CONTROL!$C$32, $C$9, 100%, $E$9)</f>
        <v>16.575800000000001</v>
      </c>
      <c r="O984" s="11">
        <f>16.5794 * CHOOSE(CONTROL!$C$32, $C$9, 100%, $E$9)</f>
        <v>16.5794</v>
      </c>
    </row>
    <row r="985" spans="1:15" ht="15" x14ac:dyDescent="0.2">
      <c r="A985" s="13">
        <v>70829</v>
      </c>
      <c r="B985" s="9">
        <f>14.6627 * CHOOSE(CONTROL!$C$32, $C$9, 100%, $E$9)</f>
        <v>14.662699999999999</v>
      </c>
      <c r="C985" s="9">
        <f>14.6627 * CHOOSE(CONTROL!$C$32, $C$9, 100%, $E$9)</f>
        <v>14.662699999999999</v>
      </c>
      <c r="D985" s="9">
        <f>14.6638 * CHOOSE(CONTROL!$C$32, $C$9, 100%, $E$9)</f>
        <v>14.6638</v>
      </c>
      <c r="E985" s="11">
        <f>16.3367 * CHOOSE(CONTROL!$C$32, $C$9, 100%, $E$9)</f>
        <v>16.3367</v>
      </c>
      <c r="F985" s="11">
        <f>16.3367 * CHOOSE(CONTROL!$C$32, $C$9, 100%, $E$9)</f>
        <v>16.3367</v>
      </c>
      <c r="G985" s="11">
        <f>16.3403 * CHOOSE(CONTROL!$C$32, $C$9, 100%, $E$9)</f>
        <v>16.340299999999999</v>
      </c>
      <c r="H985" s="11">
        <f>35.0191 * CHOOSE(CONTROL!$C$32, $C$9, 100%, $E$9)</f>
        <v>35.019100000000002</v>
      </c>
      <c r="I985" s="11">
        <f>35.0227 * CHOOSE(CONTROL!$C$32, $C$9, 100%, $E$9)</f>
        <v>35.0227</v>
      </c>
      <c r="J985" s="11">
        <f>35.0191 * CHOOSE(CONTROL!$C$32, $C$9, 100%, $E$9)</f>
        <v>35.019100000000002</v>
      </c>
      <c r="K985" s="11">
        <f>35.0227 * CHOOSE(CONTROL!$C$32, $C$9, 100%, $E$9)</f>
        <v>35.0227</v>
      </c>
      <c r="L985" s="11">
        <f>16.3367 * CHOOSE(CONTROL!$C$32, $C$9, 100%, $E$9)</f>
        <v>16.3367</v>
      </c>
      <c r="M985" s="11">
        <f>16.3403 * CHOOSE(CONTROL!$C$32, $C$9, 100%, $E$9)</f>
        <v>16.340299999999999</v>
      </c>
      <c r="N985" s="11">
        <f>16.3367 * CHOOSE(CONTROL!$C$32, $C$9, 100%, $E$9)</f>
        <v>16.3367</v>
      </c>
      <c r="O985" s="11">
        <f>16.3403 * CHOOSE(CONTROL!$C$32, $C$9, 100%, $E$9)</f>
        <v>16.340299999999999</v>
      </c>
    </row>
    <row r="986" spans="1:15" ht="15" x14ac:dyDescent="0.2">
      <c r="A986" s="13">
        <v>70860</v>
      </c>
      <c r="B986" s="9">
        <f>14.6277 * CHOOSE(CONTROL!$C$32, $C$9, 100%, $E$9)</f>
        <v>14.627700000000001</v>
      </c>
      <c r="C986" s="9">
        <f>14.6277 * CHOOSE(CONTROL!$C$32, $C$9, 100%, $E$9)</f>
        <v>14.627700000000001</v>
      </c>
      <c r="D986" s="9">
        <f>14.6287 * CHOOSE(CONTROL!$C$32, $C$9, 100%, $E$9)</f>
        <v>14.6287</v>
      </c>
      <c r="E986" s="11">
        <f>16.4706 * CHOOSE(CONTROL!$C$32, $C$9, 100%, $E$9)</f>
        <v>16.470600000000001</v>
      </c>
      <c r="F986" s="11">
        <f>16.4706 * CHOOSE(CONTROL!$C$32, $C$9, 100%, $E$9)</f>
        <v>16.470600000000001</v>
      </c>
      <c r="G986" s="11">
        <f>16.4742 * CHOOSE(CONTROL!$C$32, $C$9, 100%, $E$9)</f>
        <v>16.4742</v>
      </c>
      <c r="H986" s="11">
        <f>34.6983 * CHOOSE(CONTROL!$C$32, $C$9, 100%, $E$9)</f>
        <v>34.698300000000003</v>
      </c>
      <c r="I986" s="11">
        <f>34.7019 * CHOOSE(CONTROL!$C$32, $C$9, 100%, $E$9)</f>
        <v>34.701900000000002</v>
      </c>
      <c r="J986" s="11">
        <f>34.6983 * CHOOSE(CONTROL!$C$32, $C$9, 100%, $E$9)</f>
        <v>34.698300000000003</v>
      </c>
      <c r="K986" s="11">
        <f>34.7019 * CHOOSE(CONTROL!$C$32, $C$9, 100%, $E$9)</f>
        <v>34.701900000000002</v>
      </c>
      <c r="L986" s="11">
        <f>16.4706 * CHOOSE(CONTROL!$C$32, $C$9, 100%, $E$9)</f>
        <v>16.470600000000001</v>
      </c>
      <c r="M986" s="11">
        <f>16.4742 * CHOOSE(CONTROL!$C$32, $C$9, 100%, $E$9)</f>
        <v>16.4742</v>
      </c>
      <c r="N986" s="11">
        <f>16.4706 * CHOOSE(CONTROL!$C$32, $C$9, 100%, $E$9)</f>
        <v>16.470600000000001</v>
      </c>
      <c r="O986" s="11">
        <f>16.4742 * CHOOSE(CONTROL!$C$32, $C$9, 100%, $E$9)</f>
        <v>16.4742</v>
      </c>
    </row>
    <row r="987" spans="1:15" ht="15" x14ac:dyDescent="0.2">
      <c r="A987" s="13">
        <v>70891</v>
      </c>
      <c r="B987" s="9">
        <f>14.6246 * CHOOSE(CONTROL!$C$32, $C$9, 100%, $E$9)</f>
        <v>14.624599999999999</v>
      </c>
      <c r="C987" s="9">
        <f>14.6246 * CHOOSE(CONTROL!$C$32, $C$9, 100%, $E$9)</f>
        <v>14.624599999999999</v>
      </c>
      <c r="D987" s="9">
        <f>14.6257 * CHOOSE(CONTROL!$C$32, $C$9, 100%, $E$9)</f>
        <v>14.6257</v>
      </c>
      <c r="E987" s="11">
        <f>16.0095 * CHOOSE(CONTROL!$C$32, $C$9, 100%, $E$9)</f>
        <v>16.009499999999999</v>
      </c>
      <c r="F987" s="11">
        <f>16.0095 * CHOOSE(CONTROL!$C$32, $C$9, 100%, $E$9)</f>
        <v>16.009499999999999</v>
      </c>
      <c r="G987" s="11">
        <f>16.0132 * CHOOSE(CONTROL!$C$32, $C$9, 100%, $E$9)</f>
        <v>16.013200000000001</v>
      </c>
      <c r="H987" s="11">
        <f>34.7706 * CHOOSE(CONTROL!$C$32, $C$9, 100%, $E$9)</f>
        <v>34.770600000000002</v>
      </c>
      <c r="I987" s="11">
        <f>34.7742 * CHOOSE(CONTROL!$C$32, $C$9, 100%, $E$9)</f>
        <v>34.7742</v>
      </c>
      <c r="J987" s="11">
        <f>34.7706 * CHOOSE(CONTROL!$C$32, $C$9, 100%, $E$9)</f>
        <v>34.770600000000002</v>
      </c>
      <c r="K987" s="11">
        <f>34.7742 * CHOOSE(CONTROL!$C$32, $C$9, 100%, $E$9)</f>
        <v>34.7742</v>
      </c>
      <c r="L987" s="11">
        <f>16.0095 * CHOOSE(CONTROL!$C$32, $C$9, 100%, $E$9)</f>
        <v>16.009499999999999</v>
      </c>
      <c r="M987" s="11">
        <f>16.0132 * CHOOSE(CONTROL!$C$32, $C$9, 100%, $E$9)</f>
        <v>16.013200000000001</v>
      </c>
      <c r="N987" s="11">
        <f>16.0095 * CHOOSE(CONTROL!$C$32, $C$9, 100%, $E$9)</f>
        <v>16.009499999999999</v>
      </c>
      <c r="O987" s="11">
        <f>16.0132 * CHOOSE(CONTROL!$C$32, $C$9, 100%, $E$9)</f>
        <v>16.013200000000001</v>
      </c>
    </row>
    <row r="988" spans="1:15" ht="15" x14ac:dyDescent="0.2">
      <c r="A988" s="13">
        <v>70919</v>
      </c>
      <c r="B988" s="9">
        <f>14.6216 * CHOOSE(CONTROL!$C$32, $C$9, 100%, $E$9)</f>
        <v>14.621600000000001</v>
      </c>
      <c r="C988" s="9">
        <f>14.6216 * CHOOSE(CONTROL!$C$32, $C$9, 100%, $E$9)</f>
        <v>14.621600000000001</v>
      </c>
      <c r="D988" s="9">
        <f>14.6227 * CHOOSE(CONTROL!$C$32, $C$9, 100%, $E$9)</f>
        <v>14.6227</v>
      </c>
      <c r="E988" s="11">
        <f>16.3692 * CHOOSE(CONTROL!$C$32, $C$9, 100%, $E$9)</f>
        <v>16.369199999999999</v>
      </c>
      <c r="F988" s="11">
        <f>16.3692 * CHOOSE(CONTROL!$C$32, $C$9, 100%, $E$9)</f>
        <v>16.369199999999999</v>
      </c>
      <c r="G988" s="11">
        <f>16.3729 * CHOOSE(CONTROL!$C$32, $C$9, 100%, $E$9)</f>
        <v>16.372900000000001</v>
      </c>
      <c r="H988" s="11">
        <f>34.843 * CHOOSE(CONTROL!$C$32, $C$9, 100%, $E$9)</f>
        <v>34.843000000000004</v>
      </c>
      <c r="I988" s="11">
        <f>34.8466 * CHOOSE(CONTROL!$C$32, $C$9, 100%, $E$9)</f>
        <v>34.846600000000002</v>
      </c>
      <c r="J988" s="11">
        <f>34.843 * CHOOSE(CONTROL!$C$32, $C$9, 100%, $E$9)</f>
        <v>34.843000000000004</v>
      </c>
      <c r="K988" s="11">
        <f>34.8466 * CHOOSE(CONTROL!$C$32, $C$9, 100%, $E$9)</f>
        <v>34.846600000000002</v>
      </c>
      <c r="L988" s="11">
        <f>16.3692 * CHOOSE(CONTROL!$C$32, $C$9, 100%, $E$9)</f>
        <v>16.369199999999999</v>
      </c>
      <c r="M988" s="11">
        <f>16.3729 * CHOOSE(CONTROL!$C$32, $C$9, 100%, $E$9)</f>
        <v>16.372900000000001</v>
      </c>
      <c r="N988" s="11">
        <f>16.3692 * CHOOSE(CONTROL!$C$32, $C$9, 100%, $E$9)</f>
        <v>16.369199999999999</v>
      </c>
      <c r="O988" s="11">
        <f>16.3729 * CHOOSE(CONTROL!$C$32, $C$9, 100%, $E$9)</f>
        <v>16.372900000000001</v>
      </c>
    </row>
    <row r="989" spans="1:15" ht="15" x14ac:dyDescent="0.2">
      <c r="A989" s="13">
        <v>70950</v>
      </c>
      <c r="B989" s="9">
        <f>14.6296 * CHOOSE(CONTROL!$C$32, $C$9, 100%, $E$9)</f>
        <v>14.6296</v>
      </c>
      <c r="C989" s="9">
        <f>14.6296 * CHOOSE(CONTROL!$C$32, $C$9, 100%, $E$9)</f>
        <v>14.6296</v>
      </c>
      <c r="D989" s="9">
        <f>14.6306 * CHOOSE(CONTROL!$C$32, $C$9, 100%, $E$9)</f>
        <v>14.630599999999999</v>
      </c>
      <c r="E989" s="11">
        <f>16.7536 * CHOOSE(CONTROL!$C$32, $C$9, 100%, $E$9)</f>
        <v>16.753599999999999</v>
      </c>
      <c r="F989" s="11">
        <f>16.7536 * CHOOSE(CONTROL!$C$32, $C$9, 100%, $E$9)</f>
        <v>16.753599999999999</v>
      </c>
      <c r="G989" s="11">
        <f>16.7572 * CHOOSE(CONTROL!$C$32, $C$9, 100%, $E$9)</f>
        <v>16.757200000000001</v>
      </c>
      <c r="H989" s="11">
        <f>34.9156 * CHOOSE(CONTROL!$C$32, $C$9, 100%, $E$9)</f>
        <v>34.915599999999998</v>
      </c>
      <c r="I989" s="11">
        <f>34.9192 * CHOOSE(CONTROL!$C$32, $C$9, 100%, $E$9)</f>
        <v>34.919199999999996</v>
      </c>
      <c r="J989" s="11">
        <f>34.9156 * CHOOSE(CONTROL!$C$32, $C$9, 100%, $E$9)</f>
        <v>34.915599999999998</v>
      </c>
      <c r="K989" s="11">
        <f>34.9192 * CHOOSE(CONTROL!$C$32, $C$9, 100%, $E$9)</f>
        <v>34.919199999999996</v>
      </c>
      <c r="L989" s="11">
        <f>16.7536 * CHOOSE(CONTROL!$C$32, $C$9, 100%, $E$9)</f>
        <v>16.753599999999999</v>
      </c>
      <c r="M989" s="11">
        <f>16.7572 * CHOOSE(CONTROL!$C$32, $C$9, 100%, $E$9)</f>
        <v>16.757200000000001</v>
      </c>
      <c r="N989" s="11">
        <f>16.7536 * CHOOSE(CONTROL!$C$32, $C$9, 100%, $E$9)</f>
        <v>16.753599999999999</v>
      </c>
      <c r="O989" s="11">
        <f>16.7572 * CHOOSE(CONTROL!$C$32, $C$9, 100%, $E$9)</f>
        <v>16.757200000000001</v>
      </c>
    </row>
    <row r="990" spans="1:15" ht="15" x14ac:dyDescent="0.2">
      <c r="A990" s="13">
        <v>70980</v>
      </c>
      <c r="B990" s="9">
        <f>14.6296 * CHOOSE(CONTROL!$C$32, $C$9, 100%, $E$9)</f>
        <v>14.6296</v>
      </c>
      <c r="C990" s="9">
        <f>14.6296 * CHOOSE(CONTROL!$C$32, $C$9, 100%, $E$9)</f>
        <v>14.6296</v>
      </c>
      <c r="D990" s="9">
        <f>14.6311 * CHOOSE(CONTROL!$C$32, $C$9, 100%, $E$9)</f>
        <v>14.6311</v>
      </c>
      <c r="E990" s="11">
        <f>16.8993 * CHOOSE(CONTROL!$C$32, $C$9, 100%, $E$9)</f>
        <v>16.8993</v>
      </c>
      <c r="F990" s="11">
        <f>16.8993 * CHOOSE(CONTROL!$C$32, $C$9, 100%, $E$9)</f>
        <v>16.8993</v>
      </c>
      <c r="G990" s="11">
        <f>16.9046 * CHOOSE(CONTROL!$C$32, $C$9, 100%, $E$9)</f>
        <v>16.904599999999999</v>
      </c>
      <c r="H990" s="11">
        <f>34.9883 * CHOOSE(CONTROL!$C$32, $C$9, 100%, $E$9)</f>
        <v>34.988300000000002</v>
      </c>
      <c r="I990" s="11">
        <f>34.9936 * CHOOSE(CONTROL!$C$32, $C$9, 100%, $E$9)</f>
        <v>34.993600000000001</v>
      </c>
      <c r="J990" s="11">
        <f>34.9883 * CHOOSE(CONTROL!$C$32, $C$9, 100%, $E$9)</f>
        <v>34.988300000000002</v>
      </c>
      <c r="K990" s="11">
        <f>34.9936 * CHOOSE(CONTROL!$C$32, $C$9, 100%, $E$9)</f>
        <v>34.993600000000001</v>
      </c>
      <c r="L990" s="11">
        <f>16.8993 * CHOOSE(CONTROL!$C$32, $C$9, 100%, $E$9)</f>
        <v>16.8993</v>
      </c>
      <c r="M990" s="11">
        <f>16.9046 * CHOOSE(CONTROL!$C$32, $C$9, 100%, $E$9)</f>
        <v>16.904599999999999</v>
      </c>
      <c r="N990" s="11">
        <f>16.8993 * CHOOSE(CONTROL!$C$32, $C$9, 100%, $E$9)</f>
        <v>16.8993</v>
      </c>
      <c r="O990" s="11">
        <f>16.9046 * CHOOSE(CONTROL!$C$32, $C$9, 100%, $E$9)</f>
        <v>16.904599999999999</v>
      </c>
    </row>
    <row r="991" spans="1:15" ht="15" x14ac:dyDescent="0.2">
      <c r="A991" s="13">
        <v>71011</v>
      </c>
      <c r="B991" s="9">
        <f>14.6356 * CHOOSE(CONTROL!$C$32, $C$9, 100%, $E$9)</f>
        <v>14.6356</v>
      </c>
      <c r="C991" s="9">
        <f>14.6356 * CHOOSE(CONTROL!$C$32, $C$9, 100%, $E$9)</f>
        <v>14.6356</v>
      </c>
      <c r="D991" s="9">
        <f>14.6372 * CHOOSE(CONTROL!$C$32, $C$9, 100%, $E$9)</f>
        <v>14.6372</v>
      </c>
      <c r="E991" s="11">
        <f>16.7578 * CHOOSE(CONTROL!$C$32, $C$9, 100%, $E$9)</f>
        <v>16.7578</v>
      </c>
      <c r="F991" s="11">
        <f>16.7578 * CHOOSE(CONTROL!$C$32, $C$9, 100%, $E$9)</f>
        <v>16.7578</v>
      </c>
      <c r="G991" s="11">
        <f>16.7631 * CHOOSE(CONTROL!$C$32, $C$9, 100%, $E$9)</f>
        <v>16.763100000000001</v>
      </c>
      <c r="H991" s="11">
        <f>35.0612 * CHOOSE(CONTROL!$C$32, $C$9, 100%, $E$9)</f>
        <v>35.061199999999999</v>
      </c>
      <c r="I991" s="11">
        <f>35.0665 * CHOOSE(CONTROL!$C$32, $C$9, 100%, $E$9)</f>
        <v>35.066499999999998</v>
      </c>
      <c r="J991" s="11">
        <f>35.0612 * CHOOSE(CONTROL!$C$32, $C$9, 100%, $E$9)</f>
        <v>35.061199999999999</v>
      </c>
      <c r="K991" s="11">
        <f>35.0665 * CHOOSE(CONTROL!$C$32, $C$9, 100%, $E$9)</f>
        <v>35.066499999999998</v>
      </c>
      <c r="L991" s="11">
        <f>16.7578 * CHOOSE(CONTROL!$C$32, $C$9, 100%, $E$9)</f>
        <v>16.7578</v>
      </c>
      <c r="M991" s="11">
        <f>16.7631 * CHOOSE(CONTROL!$C$32, $C$9, 100%, $E$9)</f>
        <v>16.763100000000001</v>
      </c>
      <c r="N991" s="11">
        <f>16.7578 * CHOOSE(CONTROL!$C$32, $C$9, 100%, $E$9)</f>
        <v>16.7578</v>
      </c>
      <c r="O991" s="11">
        <f>16.7631 * CHOOSE(CONTROL!$C$32, $C$9, 100%, $E$9)</f>
        <v>16.763100000000001</v>
      </c>
    </row>
    <row r="992" spans="1:15" ht="15" x14ac:dyDescent="0.2">
      <c r="A992" s="13">
        <v>71041</v>
      </c>
      <c r="B992" s="9">
        <f>14.8109 * CHOOSE(CONTROL!$C$32, $C$9, 100%, $E$9)</f>
        <v>14.8109</v>
      </c>
      <c r="C992" s="9">
        <f>14.8109 * CHOOSE(CONTROL!$C$32, $C$9, 100%, $E$9)</f>
        <v>14.8109</v>
      </c>
      <c r="D992" s="9">
        <f>14.8124 * CHOOSE(CONTROL!$C$32, $C$9, 100%, $E$9)</f>
        <v>14.8124</v>
      </c>
      <c r="E992" s="11">
        <f>16.996 * CHOOSE(CONTROL!$C$32, $C$9, 100%, $E$9)</f>
        <v>16.995999999999999</v>
      </c>
      <c r="F992" s="11">
        <f>16.996 * CHOOSE(CONTROL!$C$32, $C$9, 100%, $E$9)</f>
        <v>16.995999999999999</v>
      </c>
      <c r="G992" s="11">
        <f>17.0013 * CHOOSE(CONTROL!$C$32, $C$9, 100%, $E$9)</f>
        <v>17.001300000000001</v>
      </c>
      <c r="H992" s="11">
        <f>35.1343 * CHOOSE(CONTROL!$C$32, $C$9, 100%, $E$9)</f>
        <v>35.134300000000003</v>
      </c>
      <c r="I992" s="11">
        <f>35.1396 * CHOOSE(CONTROL!$C$32, $C$9, 100%, $E$9)</f>
        <v>35.139600000000002</v>
      </c>
      <c r="J992" s="11">
        <f>35.1343 * CHOOSE(CONTROL!$C$32, $C$9, 100%, $E$9)</f>
        <v>35.134300000000003</v>
      </c>
      <c r="K992" s="11">
        <f>35.1396 * CHOOSE(CONTROL!$C$32, $C$9, 100%, $E$9)</f>
        <v>35.139600000000002</v>
      </c>
      <c r="L992" s="11">
        <f>16.996 * CHOOSE(CONTROL!$C$32, $C$9, 100%, $E$9)</f>
        <v>16.995999999999999</v>
      </c>
      <c r="M992" s="11">
        <f>17.0013 * CHOOSE(CONTROL!$C$32, $C$9, 100%, $E$9)</f>
        <v>17.001300000000001</v>
      </c>
      <c r="N992" s="11">
        <f>16.996 * CHOOSE(CONTROL!$C$32, $C$9, 100%, $E$9)</f>
        <v>16.995999999999999</v>
      </c>
      <c r="O992" s="11">
        <f>17.0013 * CHOOSE(CONTROL!$C$32, $C$9, 100%, $E$9)</f>
        <v>17.001300000000001</v>
      </c>
    </row>
    <row r="993" spans="1:15" ht="15" x14ac:dyDescent="0.2">
      <c r="A993" s="13">
        <v>71072</v>
      </c>
      <c r="B993" s="9">
        <f>14.8175 * CHOOSE(CONTROL!$C$32, $C$9, 100%, $E$9)</f>
        <v>14.817500000000001</v>
      </c>
      <c r="C993" s="9">
        <f>14.8175 * CHOOSE(CONTROL!$C$32, $C$9, 100%, $E$9)</f>
        <v>14.817500000000001</v>
      </c>
      <c r="D993" s="9">
        <f>14.8191 * CHOOSE(CONTROL!$C$32, $C$9, 100%, $E$9)</f>
        <v>14.819100000000001</v>
      </c>
      <c r="E993" s="11">
        <f>16.5635 * CHOOSE(CONTROL!$C$32, $C$9, 100%, $E$9)</f>
        <v>16.563500000000001</v>
      </c>
      <c r="F993" s="11">
        <f>16.5635 * CHOOSE(CONTROL!$C$32, $C$9, 100%, $E$9)</f>
        <v>16.563500000000001</v>
      </c>
      <c r="G993" s="11">
        <f>16.5688 * CHOOSE(CONTROL!$C$32, $C$9, 100%, $E$9)</f>
        <v>16.5688</v>
      </c>
      <c r="H993" s="11">
        <f>35.2075 * CHOOSE(CONTROL!$C$32, $C$9, 100%, $E$9)</f>
        <v>35.207500000000003</v>
      </c>
      <c r="I993" s="11">
        <f>35.2128 * CHOOSE(CONTROL!$C$32, $C$9, 100%, $E$9)</f>
        <v>35.212800000000001</v>
      </c>
      <c r="J993" s="11">
        <f>35.2075 * CHOOSE(CONTROL!$C$32, $C$9, 100%, $E$9)</f>
        <v>35.207500000000003</v>
      </c>
      <c r="K993" s="11">
        <f>35.2128 * CHOOSE(CONTROL!$C$32, $C$9, 100%, $E$9)</f>
        <v>35.212800000000001</v>
      </c>
      <c r="L993" s="11">
        <f>16.5635 * CHOOSE(CONTROL!$C$32, $C$9, 100%, $E$9)</f>
        <v>16.563500000000001</v>
      </c>
      <c r="M993" s="11">
        <f>16.5688 * CHOOSE(CONTROL!$C$32, $C$9, 100%, $E$9)</f>
        <v>16.5688</v>
      </c>
      <c r="N993" s="11">
        <f>16.5635 * CHOOSE(CONTROL!$C$32, $C$9, 100%, $E$9)</f>
        <v>16.563500000000001</v>
      </c>
      <c r="O993" s="11">
        <f>16.5688 * CHOOSE(CONTROL!$C$32, $C$9, 100%, $E$9)</f>
        <v>16.5688</v>
      </c>
    </row>
    <row r="994" spans="1:15" ht="15" x14ac:dyDescent="0.2">
      <c r="A994" s="13">
        <v>71103</v>
      </c>
      <c r="B994" s="9">
        <f>14.8145 * CHOOSE(CONTROL!$C$32, $C$9, 100%, $E$9)</f>
        <v>14.814500000000001</v>
      </c>
      <c r="C994" s="9">
        <f>14.8145 * CHOOSE(CONTROL!$C$32, $C$9, 100%, $E$9)</f>
        <v>14.814500000000001</v>
      </c>
      <c r="D994" s="9">
        <f>14.8161 * CHOOSE(CONTROL!$C$32, $C$9, 100%, $E$9)</f>
        <v>14.8161</v>
      </c>
      <c r="E994" s="11">
        <f>16.5129 * CHOOSE(CONTROL!$C$32, $C$9, 100%, $E$9)</f>
        <v>16.512899999999998</v>
      </c>
      <c r="F994" s="11">
        <f>16.5129 * CHOOSE(CONTROL!$C$32, $C$9, 100%, $E$9)</f>
        <v>16.512899999999998</v>
      </c>
      <c r="G994" s="11">
        <f>16.5181 * CHOOSE(CONTROL!$C$32, $C$9, 100%, $E$9)</f>
        <v>16.5181</v>
      </c>
      <c r="H994" s="11">
        <f>35.2808 * CHOOSE(CONTROL!$C$32, $C$9, 100%, $E$9)</f>
        <v>35.280799999999999</v>
      </c>
      <c r="I994" s="11">
        <f>35.2861 * CHOOSE(CONTROL!$C$32, $C$9, 100%, $E$9)</f>
        <v>35.286099999999998</v>
      </c>
      <c r="J994" s="11">
        <f>35.2808 * CHOOSE(CONTROL!$C$32, $C$9, 100%, $E$9)</f>
        <v>35.280799999999999</v>
      </c>
      <c r="K994" s="11">
        <f>35.2861 * CHOOSE(CONTROL!$C$32, $C$9, 100%, $E$9)</f>
        <v>35.286099999999998</v>
      </c>
      <c r="L994" s="11">
        <f>16.5129 * CHOOSE(CONTROL!$C$32, $C$9, 100%, $E$9)</f>
        <v>16.512899999999998</v>
      </c>
      <c r="M994" s="11">
        <f>16.5181 * CHOOSE(CONTROL!$C$32, $C$9, 100%, $E$9)</f>
        <v>16.5181</v>
      </c>
      <c r="N994" s="11">
        <f>16.5129 * CHOOSE(CONTROL!$C$32, $C$9, 100%, $E$9)</f>
        <v>16.512899999999998</v>
      </c>
      <c r="O994" s="11">
        <f>16.5181 * CHOOSE(CONTROL!$C$32, $C$9, 100%, $E$9)</f>
        <v>16.5181</v>
      </c>
    </row>
    <row r="995" spans="1:15" ht="15" x14ac:dyDescent="0.2">
      <c r="A995" s="13">
        <v>71133</v>
      </c>
      <c r="B995" s="9">
        <f>14.85 * CHOOSE(CONTROL!$C$32, $C$9, 100%, $E$9)</f>
        <v>14.85</v>
      </c>
      <c r="C995" s="9">
        <f>14.85 * CHOOSE(CONTROL!$C$32, $C$9, 100%, $E$9)</f>
        <v>14.85</v>
      </c>
      <c r="D995" s="9">
        <f>14.8511 * CHOOSE(CONTROL!$C$32, $C$9, 100%, $E$9)</f>
        <v>14.851100000000001</v>
      </c>
      <c r="E995" s="11">
        <f>16.6937 * CHOOSE(CONTROL!$C$32, $C$9, 100%, $E$9)</f>
        <v>16.6937</v>
      </c>
      <c r="F995" s="11">
        <f>16.6937 * CHOOSE(CONTROL!$C$32, $C$9, 100%, $E$9)</f>
        <v>16.6937</v>
      </c>
      <c r="G995" s="11">
        <f>16.6973 * CHOOSE(CONTROL!$C$32, $C$9, 100%, $E$9)</f>
        <v>16.697299999999998</v>
      </c>
      <c r="H995" s="11">
        <f>35.3543 * CHOOSE(CONTROL!$C$32, $C$9, 100%, $E$9)</f>
        <v>35.354300000000002</v>
      </c>
      <c r="I995" s="11">
        <f>35.3579 * CHOOSE(CONTROL!$C$32, $C$9, 100%, $E$9)</f>
        <v>35.357900000000001</v>
      </c>
      <c r="J995" s="11">
        <f>35.3543 * CHOOSE(CONTROL!$C$32, $C$9, 100%, $E$9)</f>
        <v>35.354300000000002</v>
      </c>
      <c r="K995" s="11">
        <f>35.3579 * CHOOSE(CONTROL!$C$32, $C$9, 100%, $E$9)</f>
        <v>35.357900000000001</v>
      </c>
      <c r="L995" s="11">
        <f>16.6937 * CHOOSE(CONTROL!$C$32, $C$9, 100%, $E$9)</f>
        <v>16.6937</v>
      </c>
      <c r="M995" s="11">
        <f>16.6973 * CHOOSE(CONTROL!$C$32, $C$9, 100%, $E$9)</f>
        <v>16.697299999999998</v>
      </c>
      <c r="N995" s="11">
        <f>16.6937 * CHOOSE(CONTROL!$C$32, $C$9, 100%, $E$9)</f>
        <v>16.6937</v>
      </c>
      <c r="O995" s="11">
        <f>16.6973 * CHOOSE(CONTROL!$C$32, $C$9, 100%, $E$9)</f>
        <v>16.697299999999998</v>
      </c>
    </row>
    <row r="996" spans="1:15" ht="15" x14ac:dyDescent="0.2">
      <c r="A996" s="13">
        <v>71164</v>
      </c>
      <c r="B996" s="9">
        <f>14.8531 * CHOOSE(CONTROL!$C$32, $C$9, 100%, $E$9)</f>
        <v>14.8531</v>
      </c>
      <c r="C996" s="9">
        <f>14.8531 * CHOOSE(CONTROL!$C$32, $C$9, 100%, $E$9)</f>
        <v>14.8531</v>
      </c>
      <c r="D996" s="9">
        <f>14.8541 * CHOOSE(CONTROL!$C$32, $C$9, 100%, $E$9)</f>
        <v>14.854100000000001</v>
      </c>
      <c r="E996" s="11">
        <f>16.793 * CHOOSE(CONTROL!$C$32, $C$9, 100%, $E$9)</f>
        <v>16.792999999999999</v>
      </c>
      <c r="F996" s="11">
        <f>16.793 * CHOOSE(CONTROL!$C$32, $C$9, 100%, $E$9)</f>
        <v>16.792999999999999</v>
      </c>
      <c r="G996" s="11">
        <f>16.7966 * CHOOSE(CONTROL!$C$32, $C$9, 100%, $E$9)</f>
        <v>16.796600000000002</v>
      </c>
      <c r="H996" s="11">
        <f>35.428 * CHOOSE(CONTROL!$C$32, $C$9, 100%, $E$9)</f>
        <v>35.427999999999997</v>
      </c>
      <c r="I996" s="11">
        <f>35.4316 * CHOOSE(CONTROL!$C$32, $C$9, 100%, $E$9)</f>
        <v>35.431600000000003</v>
      </c>
      <c r="J996" s="11">
        <f>35.428 * CHOOSE(CONTROL!$C$32, $C$9, 100%, $E$9)</f>
        <v>35.427999999999997</v>
      </c>
      <c r="K996" s="11">
        <f>35.4316 * CHOOSE(CONTROL!$C$32, $C$9, 100%, $E$9)</f>
        <v>35.431600000000003</v>
      </c>
      <c r="L996" s="11">
        <f>16.793 * CHOOSE(CONTROL!$C$32, $C$9, 100%, $E$9)</f>
        <v>16.792999999999999</v>
      </c>
      <c r="M996" s="11">
        <f>16.7966 * CHOOSE(CONTROL!$C$32, $C$9, 100%, $E$9)</f>
        <v>16.796600000000002</v>
      </c>
      <c r="N996" s="11">
        <f>16.793 * CHOOSE(CONTROL!$C$32, $C$9, 100%, $E$9)</f>
        <v>16.792999999999999</v>
      </c>
      <c r="O996" s="11">
        <f>16.7966 * CHOOSE(CONTROL!$C$32, $C$9, 100%, $E$9)</f>
        <v>16.796600000000002</v>
      </c>
    </row>
    <row r="997" spans="1:15" ht="15" x14ac:dyDescent="0.2">
      <c r="A997" s="13">
        <v>71194</v>
      </c>
      <c r="B997" s="9">
        <f>14.8531 * CHOOSE(CONTROL!$C$32, $C$9, 100%, $E$9)</f>
        <v>14.8531</v>
      </c>
      <c r="C997" s="9">
        <f>14.8531 * CHOOSE(CONTROL!$C$32, $C$9, 100%, $E$9)</f>
        <v>14.8531</v>
      </c>
      <c r="D997" s="9">
        <f>14.8541 * CHOOSE(CONTROL!$C$32, $C$9, 100%, $E$9)</f>
        <v>14.854100000000001</v>
      </c>
      <c r="E997" s="11">
        <f>16.5501 * CHOOSE(CONTROL!$C$32, $C$9, 100%, $E$9)</f>
        <v>16.5501</v>
      </c>
      <c r="F997" s="11">
        <f>16.5501 * CHOOSE(CONTROL!$C$32, $C$9, 100%, $E$9)</f>
        <v>16.5501</v>
      </c>
      <c r="G997" s="11">
        <f>16.5537 * CHOOSE(CONTROL!$C$32, $C$9, 100%, $E$9)</f>
        <v>16.553699999999999</v>
      </c>
      <c r="H997" s="11">
        <f>35.5018 * CHOOSE(CONTROL!$C$32, $C$9, 100%, $E$9)</f>
        <v>35.501800000000003</v>
      </c>
      <c r="I997" s="11">
        <f>35.5054 * CHOOSE(CONTROL!$C$32, $C$9, 100%, $E$9)</f>
        <v>35.505400000000002</v>
      </c>
      <c r="J997" s="11">
        <f>35.5018 * CHOOSE(CONTROL!$C$32, $C$9, 100%, $E$9)</f>
        <v>35.501800000000003</v>
      </c>
      <c r="K997" s="11">
        <f>35.5054 * CHOOSE(CONTROL!$C$32, $C$9, 100%, $E$9)</f>
        <v>35.505400000000002</v>
      </c>
      <c r="L997" s="11">
        <f>16.5501 * CHOOSE(CONTROL!$C$32, $C$9, 100%, $E$9)</f>
        <v>16.5501</v>
      </c>
      <c r="M997" s="11">
        <f>16.5537 * CHOOSE(CONTROL!$C$32, $C$9, 100%, $E$9)</f>
        <v>16.553699999999999</v>
      </c>
      <c r="N997" s="11">
        <f>16.5501 * CHOOSE(CONTROL!$C$32, $C$9, 100%, $E$9)</f>
        <v>16.5501</v>
      </c>
      <c r="O997" s="11">
        <f>16.5537 * CHOOSE(CONTROL!$C$32, $C$9, 100%, $E$9)</f>
        <v>16.553699999999999</v>
      </c>
    </row>
    <row r="998" spans="1:15" ht="15" x14ac:dyDescent="0.2">
      <c r="A998" s="13">
        <v>71225</v>
      </c>
      <c r="B998" s="9">
        <f>14.815 * CHOOSE(CONTROL!$C$32, $C$9, 100%, $E$9)</f>
        <v>14.815</v>
      </c>
      <c r="C998" s="9">
        <f>14.815 * CHOOSE(CONTROL!$C$32, $C$9, 100%, $E$9)</f>
        <v>14.815</v>
      </c>
      <c r="D998" s="9">
        <f>14.8161 * CHOOSE(CONTROL!$C$32, $C$9, 100%, $E$9)</f>
        <v>14.8161</v>
      </c>
      <c r="E998" s="11">
        <f>16.6831 * CHOOSE(CONTROL!$C$32, $C$9, 100%, $E$9)</f>
        <v>16.6831</v>
      </c>
      <c r="F998" s="11">
        <f>16.6831 * CHOOSE(CONTROL!$C$32, $C$9, 100%, $E$9)</f>
        <v>16.6831</v>
      </c>
      <c r="G998" s="11">
        <f>16.6867 * CHOOSE(CONTROL!$C$32, $C$9, 100%, $E$9)</f>
        <v>16.686699999999998</v>
      </c>
      <c r="H998" s="11">
        <f>35.1701 * CHOOSE(CONTROL!$C$32, $C$9, 100%, $E$9)</f>
        <v>35.170099999999998</v>
      </c>
      <c r="I998" s="11">
        <f>35.1737 * CHOOSE(CONTROL!$C$32, $C$9, 100%, $E$9)</f>
        <v>35.173699999999997</v>
      </c>
      <c r="J998" s="11">
        <f>35.1701 * CHOOSE(CONTROL!$C$32, $C$9, 100%, $E$9)</f>
        <v>35.170099999999998</v>
      </c>
      <c r="K998" s="11">
        <f>35.1737 * CHOOSE(CONTROL!$C$32, $C$9, 100%, $E$9)</f>
        <v>35.173699999999997</v>
      </c>
      <c r="L998" s="11">
        <f>16.6831 * CHOOSE(CONTROL!$C$32, $C$9, 100%, $E$9)</f>
        <v>16.6831</v>
      </c>
      <c r="M998" s="11">
        <f>16.6867 * CHOOSE(CONTROL!$C$32, $C$9, 100%, $E$9)</f>
        <v>16.686699999999998</v>
      </c>
      <c r="N998" s="11">
        <f>16.6831 * CHOOSE(CONTROL!$C$32, $C$9, 100%, $E$9)</f>
        <v>16.6831</v>
      </c>
      <c r="O998" s="11">
        <f>16.6867 * CHOOSE(CONTROL!$C$32, $C$9, 100%, $E$9)</f>
        <v>16.686699999999998</v>
      </c>
    </row>
    <row r="999" spans="1:15" ht="15" x14ac:dyDescent="0.2">
      <c r="A999" s="13">
        <v>71256</v>
      </c>
      <c r="B999" s="9">
        <f>14.812 * CHOOSE(CONTROL!$C$32, $C$9, 100%, $E$9)</f>
        <v>14.811999999999999</v>
      </c>
      <c r="C999" s="9">
        <f>14.812 * CHOOSE(CONTROL!$C$32, $C$9, 100%, $E$9)</f>
        <v>14.811999999999999</v>
      </c>
      <c r="D999" s="9">
        <f>14.8131 * CHOOSE(CONTROL!$C$32, $C$9, 100%, $E$9)</f>
        <v>14.8131</v>
      </c>
      <c r="E999" s="11">
        <f>16.215 * CHOOSE(CONTROL!$C$32, $C$9, 100%, $E$9)</f>
        <v>16.215</v>
      </c>
      <c r="F999" s="11">
        <f>16.215 * CHOOSE(CONTROL!$C$32, $C$9, 100%, $E$9)</f>
        <v>16.215</v>
      </c>
      <c r="G999" s="11">
        <f>16.2186 * CHOOSE(CONTROL!$C$32, $C$9, 100%, $E$9)</f>
        <v>16.218599999999999</v>
      </c>
      <c r="H999" s="11">
        <f>35.2434 * CHOOSE(CONTROL!$C$32, $C$9, 100%, $E$9)</f>
        <v>35.243400000000001</v>
      </c>
      <c r="I999" s="11">
        <f>35.247 * CHOOSE(CONTROL!$C$32, $C$9, 100%, $E$9)</f>
        <v>35.247</v>
      </c>
      <c r="J999" s="11">
        <f>35.2434 * CHOOSE(CONTROL!$C$32, $C$9, 100%, $E$9)</f>
        <v>35.243400000000001</v>
      </c>
      <c r="K999" s="11">
        <f>35.247 * CHOOSE(CONTROL!$C$32, $C$9, 100%, $E$9)</f>
        <v>35.247</v>
      </c>
      <c r="L999" s="11">
        <f>16.215 * CHOOSE(CONTROL!$C$32, $C$9, 100%, $E$9)</f>
        <v>16.215</v>
      </c>
      <c r="M999" s="11">
        <f>16.2186 * CHOOSE(CONTROL!$C$32, $C$9, 100%, $E$9)</f>
        <v>16.218599999999999</v>
      </c>
      <c r="N999" s="11">
        <f>16.215 * CHOOSE(CONTROL!$C$32, $C$9, 100%, $E$9)</f>
        <v>16.215</v>
      </c>
      <c r="O999" s="11">
        <f>16.2186 * CHOOSE(CONTROL!$C$32, $C$9, 100%, $E$9)</f>
        <v>16.218599999999999</v>
      </c>
    </row>
    <row r="1000" spans="1:15" ht="15" x14ac:dyDescent="0.2">
      <c r="A1000" s="13">
        <v>71284</v>
      </c>
      <c r="B1000" s="9">
        <f>14.8089 * CHOOSE(CONTROL!$C$32, $C$9, 100%, $E$9)</f>
        <v>14.8089</v>
      </c>
      <c r="C1000" s="9">
        <f>14.8089 * CHOOSE(CONTROL!$C$32, $C$9, 100%, $E$9)</f>
        <v>14.8089</v>
      </c>
      <c r="D1000" s="9">
        <f>14.81 * CHOOSE(CONTROL!$C$32, $C$9, 100%, $E$9)</f>
        <v>14.81</v>
      </c>
      <c r="E1000" s="11">
        <f>16.5802 * CHOOSE(CONTROL!$C$32, $C$9, 100%, $E$9)</f>
        <v>16.580200000000001</v>
      </c>
      <c r="F1000" s="11">
        <f>16.5802 * CHOOSE(CONTROL!$C$32, $C$9, 100%, $E$9)</f>
        <v>16.580200000000001</v>
      </c>
      <c r="G1000" s="11">
        <f>16.5839 * CHOOSE(CONTROL!$C$32, $C$9, 100%, $E$9)</f>
        <v>16.5839</v>
      </c>
      <c r="H1000" s="11">
        <f>35.3168 * CHOOSE(CONTROL!$C$32, $C$9, 100%, $E$9)</f>
        <v>35.316800000000001</v>
      </c>
      <c r="I1000" s="11">
        <f>35.3204 * CHOOSE(CONTROL!$C$32, $C$9, 100%, $E$9)</f>
        <v>35.320399999999999</v>
      </c>
      <c r="J1000" s="11">
        <f>35.3168 * CHOOSE(CONTROL!$C$32, $C$9, 100%, $E$9)</f>
        <v>35.316800000000001</v>
      </c>
      <c r="K1000" s="11">
        <f>35.3204 * CHOOSE(CONTROL!$C$32, $C$9, 100%, $E$9)</f>
        <v>35.320399999999999</v>
      </c>
      <c r="L1000" s="11">
        <f>16.5802 * CHOOSE(CONTROL!$C$32, $C$9, 100%, $E$9)</f>
        <v>16.580200000000001</v>
      </c>
      <c r="M1000" s="11">
        <f>16.5839 * CHOOSE(CONTROL!$C$32, $C$9, 100%, $E$9)</f>
        <v>16.5839</v>
      </c>
      <c r="N1000" s="11">
        <f>16.5802 * CHOOSE(CONTROL!$C$32, $C$9, 100%, $E$9)</f>
        <v>16.580200000000001</v>
      </c>
      <c r="O1000" s="11">
        <f>16.5839 * CHOOSE(CONTROL!$C$32, $C$9, 100%, $E$9)</f>
        <v>16.5839</v>
      </c>
    </row>
    <row r="1001" spans="1:15" ht="15" x14ac:dyDescent="0.2">
      <c r="A1001" s="13">
        <v>71315</v>
      </c>
      <c r="B1001" s="9">
        <f>14.8171 * CHOOSE(CONTROL!$C$32, $C$9, 100%, $E$9)</f>
        <v>14.8171</v>
      </c>
      <c r="C1001" s="9">
        <f>14.8171 * CHOOSE(CONTROL!$C$32, $C$9, 100%, $E$9)</f>
        <v>14.8171</v>
      </c>
      <c r="D1001" s="9">
        <f>14.8182 * CHOOSE(CONTROL!$C$32, $C$9, 100%, $E$9)</f>
        <v>14.818199999999999</v>
      </c>
      <c r="E1001" s="11">
        <f>16.9706 * CHOOSE(CONTROL!$C$32, $C$9, 100%, $E$9)</f>
        <v>16.970600000000001</v>
      </c>
      <c r="F1001" s="11">
        <f>16.9706 * CHOOSE(CONTROL!$C$32, $C$9, 100%, $E$9)</f>
        <v>16.970600000000001</v>
      </c>
      <c r="G1001" s="11">
        <f>16.9742 * CHOOSE(CONTROL!$C$32, $C$9, 100%, $E$9)</f>
        <v>16.9742</v>
      </c>
      <c r="H1001" s="11">
        <f>35.3904 * CHOOSE(CONTROL!$C$32, $C$9, 100%, $E$9)</f>
        <v>35.3904</v>
      </c>
      <c r="I1001" s="11">
        <f>35.394 * CHOOSE(CONTROL!$C$32, $C$9, 100%, $E$9)</f>
        <v>35.393999999999998</v>
      </c>
      <c r="J1001" s="11">
        <f>35.3904 * CHOOSE(CONTROL!$C$32, $C$9, 100%, $E$9)</f>
        <v>35.3904</v>
      </c>
      <c r="K1001" s="11">
        <f>35.394 * CHOOSE(CONTROL!$C$32, $C$9, 100%, $E$9)</f>
        <v>35.393999999999998</v>
      </c>
      <c r="L1001" s="11">
        <f>16.9706 * CHOOSE(CONTROL!$C$32, $C$9, 100%, $E$9)</f>
        <v>16.970600000000001</v>
      </c>
      <c r="M1001" s="11">
        <f>16.9742 * CHOOSE(CONTROL!$C$32, $C$9, 100%, $E$9)</f>
        <v>16.9742</v>
      </c>
      <c r="N1001" s="11">
        <f>16.9706 * CHOOSE(CONTROL!$C$32, $C$9, 100%, $E$9)</f>
        <v>16.970600000000001</v>
      </c>
      <c r="O1001" s="11">
        <f>16.9742 * CHOOSE(CONTROL!$C$32, $C$9, 100%, $E$9)</f>
        <v>16.9742</v>
      </c>
    </row>
    <row r="1002" spans="1:15" ht="15" x14ac:dyDescent="0.2">
      <c r="A1002" s="13">
        <v>71345</v>
      </c>
      <c r="B1002" s="9">
        <f>14.8171 * CHOOSE(CONTROL!$C$32, $C$9, 100%, $E$9)</f>
        <v>14.8171</v>
      </c>
      <c r="C1002" s="9">
        <f>14.8171 * CHOOSE(CONTROL!$C$32, $C$9, 100%, $E$9)</f>
        <v>14.8171</v>
      </c>
      <c r="D1002" s="9">
        <f>14.8187 * CHOOSE(CONTROL!$C$32, $C$9, 100%, $E$9)</f>
        <v>14.8187</v>
      </c>
      <c r="E1002" s="11">
        <f>17.1185 * CHOOSE(CONTROL!$C$32, $C$9, 100%, $E$9)</f>
        <v>17.118500000000001</v>
      </c>
      <c r="F1002" s="11">
        <f>17.1185 * CHOOSE(CONTROL!$C$32, $C$9, 100%, $E$9)</f>
        <v>17.118500000000001</v>
      </c>
      <c r="G1002" s="11">
        <f>17.1238 * CHOOSE(CONTROL!$C$32, $C$9, 100%, $E$9)</f>
        <v>17.123799999999999</v>
      </c>
      <c r="H1002" s="11">
        <f>35.4641 * CHOOSE(CONTROL!$C$32, $C$9, 100%, $E$9)</f>
        <v>35.464100000000002</v>
      </c>
      <c r="I1002" s="11">
        <f>35.4694 * CHOOSE(CONTROL!$C$32, $C$9, 100%, $E$9)</f>
        <v>35.4694</v>
      </c>
      <c r="J1002" s="11">
        <f>35.4641 * CHOOSE(CONTROL!$C$32, $C$9, 100%, $E$9)</f>
        <v>35.464100000000002</v>
      </c>
      <c r="K1002" s="11">
        <f>35.4694 * CHOOSE(CONTROL!$C$32, $C$9, 100%, $E$9)</f>
        <v>35.4694</v>
      </c>
      <c r="L1002" s="11">
        <f>17.1185 * CHOOSE(CONTROL!$C$32, $C$9, 100%, $E$9)</f>
        <v>17.118500000000001</v>
      </c>
      <c r="M1002" s="11">
        <f>17.1238 * CHOOSE(CONTROL!$C$32, $C$9, 100%, $E$9)</f>
        <v>17.123799999999999</v>
      </c>
      <c r="N1002" s="11">
        <f>17.1185 * CHOOSE(CONTROL!$C$32, $C$9, 100%, $E$9)</f>
        <v>17.118500000000001</v>
      </c>
      <c r="O1002" s="11">
        <f>17.1238 * CHOOSE(CONTROL!$C$32, $C$9, 100%, $E$9)</f>
        <v>17.123799999999999</v>
      </c>
    </row>
    <row r="1003" spans="1:15" ht="15" x14ac:dyDescent="0.2">
      <c r="A1003" s="13">
        <v>71376</v>
      </c>
      <c r="B1003" s="9">
        <f>14.8232 * CHOOSE(CONTROL!$C$32, $C$9, 100%, $E$9)</f>
        <v>14.8232</v>
      </c>
      <c r="C1003" s="9">
        <f>14.8232 * CHOOSE(CONTROL!$C$32, $C$9, 100%, $E$9)</f>
        <v>14.8232</v>
      </c>
      <c r="D1003" s="9">
        <f>14.8248 * CHOOSE(CONTROL!$C$32, $C$9, 100%, $E$9)</f>
        <v>14.8248</v>
      </c>
      <c r="E1003" s="11">
        <f>16.9748 * CHOOSE(CONTROL!$C$32, $C$9, 100%, $E$9)</f>
        <v>16.974799999999998</v>
      </c>
      <c r="F1003" s="11">
        <f>16.9748 * CHOOSE(CONTROL!$C$32, $C$9, 100%, $E$9)</f>
        <v>16.974799999999998</v>
      </c>
      <c r="G1003" s="11">
        <f>16.9801 * CHOOSE(CONTROL!$C$32, $C$9, 100%, $E$9)</f>
        <v>16.9801</v>
      </c>
      <c r="H1003" s="11">
        <f>35.538 * CHOOSE(CONTROL!$C$32, $C$9, 100%, $E$9)</f>
        <v>35.537999999999997</v>
      </c>
      <c r="I1003" s="11">
        <f>35.5433 * CHOOSE(CONTROL!$C$32, $C$9, 100%, $E$9)</f>
        <v>35.543300000000002</v>
      </c>
      <c r="J1003" s="11">
        <f>35.538 * CHOOSE(CONTROL!$C$32, $C$9, 100%, $E$9)</f>
        <v>35.537999999999997</v>
      </c>
      <c r="K1003" s="11">
        <f>35.5433 * CHOOSE(CONTROL!$C$32, $C$9, 100%, $E$9)</f>
        <v>35.543300000000002</v>
      </c>
      <c r="L1003" s="11">
        <f>16.9748 * CHOOSE(CONTROL!$C$32, $C$9, 100%, $E$9)</f>
        <v>16.974799999999998</v>
      </c>
      <c r="M1003" s="11">
        <f>16.9801 * CHOOSE(CONTROL!$C$32, $C$9, 100%, $E$9)</f>
        <v>16.9801</v>
      </c>
      <c r="N1003" s="11">
        <f>16.9748 * CHOOSE(CONTROL!$C$32, $C$9, 100%, $E$9)</f>
        <v>16.974799999999998</v>
      </c>
      <c r="O1003" s="11">
        <f>16.9801 * CHOOSE(CONTROL!$C$32, $C$9, 100%, $E$9)</f>
        <v>16.9801</v>
      </c>
    </row>
    <row r="1004" spans="1:15" ht="15" x14ac:dyDescent="0.2">
      <c r="A1004" s="13">
        <v>71406</v>
      </c>
      <c r="B1004" s="9">
        <f>15.0005 * CHOOSE(CONTROL!$C$32, $C$9, 100%, $E$9)</f>
        <v>15.000500000000001</v>
      </c>
      <c r="C1004" s="9">
        <f>15.0005 * CHOOSE(CONTROL!$C$32, $C$9, 100%, $E$9)</f>
        <v>15.000500000000001</v>
      </c>
      <c r="D1004" s="9">
        <f>15.002 * CHOOSE(CONTROL!$C$32, $C$9, 100%, $E$9)</f>
        <v>15.002000000000001</v>
      </c>
      <c r="E1004" s="11">
        <f>17.2162 * CHOOSE(CONTROL!$C$32, $C$9, 100%, $E$9)</f>
        <v>17.216200000000001</v>
      </c>
      <c r="F1004" s="11">
        <f>17.2162 * CHOOSE(CONTROL!$C$32, $C$9, 100%, $E$9)</f>
        <v>17.216200000000001</v>
      </c>
      <c r="G1004" s="11">
        <f>17.2215 * CHOOSE(CONTROL!$C$32, $C$9, 100%, $E$9)</f>
        <v>17.221499999999999</v>
      </c>
      <c r="H1004" s="11">
        <f>35.612 * CHOOSE(CONTROL!$C$32, $C$9, 100%, $E$9)</f>
        <v>35.612000000000002</v>
      </c>
      <c r="I1004" s="11">
        <f>35.6173 * CHOOSE(CONTROL!$C$32, $C$9, 100%, $E$9)</f>
        <v>35.6173</v>
      </c>
      <c r="J1004" s="11">
        <f>35.612 * CHOOSE(CONTROL!$C$32, $C$9, 100%, $E$9)</f>
        <v>35.612000000000002</v>
      </c>
      <c r="K1004" s="11">
        <f>35.6173 * CHOOSE(CONTROL!$C$32, $C$9, 100%, $E$9)</f>
        <v>35.6173</v>
      </c>
      <c r="L1004" s="11">
        <f>17.2162 * CHOOSE(CONTROL!$C$32, $C$9, 100%, $E$9)</f>
        <v>17.216200000000001</v>
      </c>
      <c r="M1004" s="11">
        <f>17.2215 * CHOOSE(CONTROL!$C$32, $C$9, 100%, $E$9)</f>
        <v>17.221499999999999</v>
      </c>
      <c r="N1004" s="11">
        <f>17.2162 * CHOOSE(CONTROL!$C$32, $C$9, 100%, $E$9)</f>
        <v>17.216200000000001</v>
      </c>
      <c r="O1004" s="11">
        <f>17.2215 * CHOOSE(CONTROL!$C$32, $C$9, 100%, $E$9)</f>
        <v>17.221499999999999</v>
      </c>
    </row>
    <row r="1005" spans="1:15" ht="15" x14ac:dyDescent="0.2">
      <c r="A1005" s="13">
        <v>71437</v>
      </c>
      <c r="B1005" s="9">
        <f>15.0071 * CHOOSE(CONTROL!$C$32, $C$9, 100%, $E$9)</f>
        <v>15.007099999999999</v>
      </c>
      <c r="C1005" s="9">
        <f>15.0071 * CHOOSE(CONTROL!$C$32, $C$9, 100%, $E$9)</f>
        <v>15.007099999999999</v>
      </c>
      <c r="D1005" s="9">
        <f>15.0087 * CHOOSE(CONTROL!$C$32, $C$9, 100%, $E$9)</f>
        <v>15.008699999999999</v>
      </c>
      <c r="E1005" s="11">
        <f>16.777 * CHOOSE(CONTROL!$C$32, $C$9, 100%, $E$9)</f>
        <v>16.777000000000001</v>
      </c>
      <c r="F1005" s="11">
        <f>16.777 * CHOOSE(CONTROL!$C$32, $C$9, 100%, $E$9)</f>
        <v>16.777000000000001</v>
      </c>
      <c r="G1005" s="11">
        <f>16.7823 * CHOOSE(CONTROL!$C$32, $C$9, 100%, $E$9)</f>
        <v>16.782299999999999</v>
      </c>
      <c r="H1005" s="11">
        <f>35.6862 * CHOOSE(CONTROL!$C$32, $C$9, 100%, $E$9)</f>
        <v>35.686199999999999</v>
      </c>
      <c r="I1005" s="11">
        <f>35.6915 * CHOOSE(CONTROL!$C$32, $C$9, 100%, $E$9)</f>
        <v>35.691499999999998</v>
      </c>
      <c r="J1005" s="11">
        <f>35.6862 * CHOOSE(CONTROL!$C$32, $C$9, 100%, $E$9)</f>
        <v>35.686199999999999</v>
      </c>
      <c r="K1005" s="11">
        <f>35.6915 * CHOOSE(CONTROL!$C$32, $C$9, 100%, $E$9)</f>
        <v>35.691499999999998</v>
      </c>
      <c r="L1005" s="11">
        <f>16.777 * CHOOSE(CONTROL!$C$32, $C$9, 100%, $E$9)</f>
        <v>16.777000000000001</v>
      </c>
      <c r="M1005" s="11">
        <f>16.7823 * CHOOSE(CONTROL!$C$32, $C$9, 100%, $E$9)</f>
        <v>16.782299999999999</v>
      </c>
      <c r="N1005" s="11">
        <f>16.777 * CHOOSE(CONTROL!$C$32, $C$9, 100%, $E$9)</f>
        <v>16.777000000000001</v>
      </c>
      <c r="O1005" s="11">
        <f>16.7823 * CHOOSE(CONTROL!$C$32, $C$9, 100%, $E$9)</f>
        <v>16.782299999999999</v>
      </c>
    </row>
    <row r="1006" spans="1:15" ht="15" x14ac:dyDescent="0.2">
      <c r="A1006" s="13">
        <v>71468</v>
      </c>
      <c r="B1006" s="9">
        <f>15.0041 * CHOOSE(CONTROL!$C$32, $C$9, 100%, $E$9)</f>
        <v>15.004099999999999</v>
      </c>
      <c r="C1006" s="9">
        <f>15.0041 * CHOOSE(CONTROL!$C$32, $C$9, 100%, $E$9)</f>
        <v>15.004099999999999</v>
      </c>
      <c r="D1006" s="9">
        <f>15.0057 * CHOOSE(CONTROL!$C$32, $C$9, 100%, $E$9)</f>
        <v>15.005699999999999</v>
      </c>
      <c r="E1006" s="11">
        <f>16.7255 * CHOOSE(CONTROL!$C$32, $C$9, 100%, $E$9)</f>
        <v>16.7255</v>
      </c>
      <c r="F1006" s="11">
        <f>16.7255 * CHOOSE(CONTROL!$C$32, $C$9, 100%, $E$9)</f>
        <v>16.7255</v>
      </c>
      <c r="G1006" s="11">
        <f>16.7308 * CHOOSE(CONTROL!$C$32, $C$9, 100%, $E$9)</f>
        <v>16.730799999999999</v>
      </c>
      <c r="H1006" s="11">
        <f>35.7606 * CHOOSE(CONTROL!$C$32, $C$9, 100%, $E$9)</f>
        <v>35.760599999999997</v>
      </c>
      <c r="I1006" s="11">
        <f>35.7658 * CHOOSE(CONTROL!$C$32, $C$9, 100%, $E$9)</f>
        <v>35.765799999999999</v>
      </c>
      <c r="J1006" s="11">
        <f>35.7606 * CHOOSE(CONTROL!$C$32, $C$9, 100%, $E$9)</f>
        <v>35.760599999999997</v>
      </c>
      <c r="K1006" s="11">
        <f>35.7658 * CHOOSE(CONTROL!$C$32, $C$9, 100%, $E$9)</f>
        <v>35.765799999999999</v>
      </c>
      <c r="L1006" s="11">
        <f>16.7255 * CHOOSE(CONTROL!$C$32, $C$9, 100%, $E$9)</f>
        <v>16.7255</v>
      </c>
      <c r="M1006" s="11">
        <f>16.7308 * CHOOSE(CONTROL!$C$32, $C$9, 100%, $E$9)</f>
        <v>16.730799999999999</v>
      </c>
      <c r="N1006" s="11">
        <f>16.7255 * CHOOSE(CONTROL!$C$32, $C$9, 100%, $E$9)</f>
        <v>16.7255</v>
      </c>
      <c r="O1006" s="11">
        <f>16.7308 * CHOOSE(CONTROL!$C$32, $C$9, 100%, $E$9)</f>
        <v>16.730799999999999</v>
      </c>
    </row>
    <row r="1007" spans="1:15" ht="15" x14ac:dyDescent="0.2">
      <c r="A1007" s="13">
        <v>71498</v>
      </c>
      <c r="B1007" s="9">
        <f>15.0403 * CHOOSE(CONTROL!$C$32, $C$9, 100%, $E$9)</f>
        <v>15.0403</v>
      </c>
      <c r="C1007" s="9">
        <f>15.0403 * CHOOSE(CONTROL!$C$32, $C$9, 100%, $E$9)</f>
        <v>15.0403</v>
      </c>
      <c r="D1007" s="9">
        <f>15.0414 * CHOOSE(CONTROL!$C$32, $C$9, 100%, $E$9)</f>
        <v>15.041399999999999</v>
      </c>
      <c r="E1007" s="11">
        <f>16.9094 * CHOOSE(CONTROL!$C$32, $C$9, 100%, $E$9)</f>
        <v>16.909400000000002</v>
      </c>
      <c r="F1007" s="11">
        <f>16.9094 * CHOOSE(CONTROL!$C$32, $C$9, 100%, $E$9)</f>
        <v>16.909400000000002</v>
      </c>
      <c r="G1007" s="11">
        <f>16.913 * CHOOSE(CONTROL!$C$32, $C$9, 100%, $E$9)</f>
        <v>16.913</v>
      </c>
      <c r="H1007" s="11">
        <f>35.8351 * CHOOSE(CONTROL!$C$32, $C$9, 100%, $E$9)</f>
        <v>35.835099999999997</v>
      </c>
      <c r="I1007" s="11">
        <f>35.8387 * CHOOSE(CONTROL!$C$32, $C$9, 100%, $E$9)</f>
        <v>35.838700000000003</v>
      </c>
      <c r="J1007" s="11">
        <f>35.8351 * CHOOSE(CONTROL!$C$32, $C$9, 100%, $E$9)</f>
        <v>35.835099999999997</v>
      </c>
      <c r="K1007" s="11">
        <f>35.8387 * CHOOSE(CONTROL!$C$32, $C$9, 100%, $E$9)</f>
        <v>35.838700000000003</v>
      </c>
      <c r="L1007" s="11">
        <f>16.9094 * CHOOSE(CONTROL!$C$32, $C$9, 100%, $E$9)</f>
        <v>16.909400000000002</v>
      </c>
      <c r="M1007" s="11">
        <f>16.913 * CHOOSE(CONTROL!$C$32, $C$9, 100%, $E$9)</f>
        <v>16.913</v>
      </c>
      <c r="N1007" s="11">
        <f>16.9094 * CHOOSE(CONTROL!$C$32, $C$9, 100%, $E$9)</f>
        <v>16.909400000000002</v>
      </c>
      <c r="O1007" s="11">
        <f>16.913 * CHOOSE(CONTROL!$C$32, $C$9, 100%, $E$9)</f>
        <v>16.913</v>
      </c>
    </row>
    <row r="1008" spans="1:15" ht="15" x14ac:dyDescent="0.2">
      <c r="A1008" s="13">
        <v>71529</v>
      </c>
      <c r="B1008" s="9">
        <f>15.0434 * CHOOSE(CONTROL!$C$32, $C$9, 100%, $E$9)</f>
        <v>15.0434</v>
      </c>
      <c r="C1008" s="9">
        <f>15.0434 * CHOOSE(CONTROL!$C$32, $C$9, 100%, $E$9)</f>
        <v>15.0434</v>
      </c>
      <c r="D1008" s="9">
        <f>15.0444 * CHOOSE(CONTROL!$C$32, $C$9, 100%, $E$9)</f>
        <v>15.0444</v>
      </c>
      <c r="E1008" s="11">
        <f>17.0102 * CHOOSE(CONTROL!$C$32, $C$9, 100%, $E$9)</f>
        <v>17.010200000000001</v>
      </c>
      <c r="F1008" s="11">
        <f>17.0102 * CHOOSE(CONTROL!$C$32, $C$9, 100%, $E$9)</f>
        <v>17.010200000000001</v>
      </c>
      <c r="G1008" s="11">
        <f>17.0138 * CHOOSE(CONTROL!$C$32, $C$9, 100%, $E$9)</f>
        <v>17.0138</v>
      </c>
      <c r="H1008" s="11">
        <f>35.9097 * CHOOSE(CONTROL!$C$32, $C$9, 100%, $E$9)</f>
        <v>35.909700000000001</v>
      </c>
      <c r="I1008" s="11">
        <f>35.9133 * CHOOSE(CONTROL!$C$32, $C$9, 100%, $E$9)</f>
        <v>35.9133</v>
      </c>
      <c r="J1008" s="11">
        <f>35.9097 * CHOOSE(CONTROL!$C$32, $C$9, 100%, $E$9)</f>
        <v>35.909700000000001</v>
      </c>
      <c r="K1008" s="11">
        <f>35.9133 * CHOOSE(CONTROL!$C$32, $C$9, 100%, $E$9)</f>
        <v>35.9133</v>
      </c>
      <c r="L1008" s="11">
        <f>17.0102 * CHOOSE(CONTROL!$C$32, $C$9, 100%, $E$9)</f>
        <v>17.010200000000001</v>
      </c>
      <c r="M1008" s="11">
        <f>17.0138 * CHOOSE(CONTROL!$C$32, $C$9, 100%, $E$9)</f>
        <v>17.0138</v>
      </c>
      <c r="N1008" s="11">
        <f>17.0102 * CHOOSE(CONTROL!$C$32, $C$9, 100%, $E$9)</f>
        <v>17.010200000000001</v>
      </c>
      <c r="O1008" s="11">
        <f>17.0138 * CHOOSE(CONTROL!$C$32, $C$9, 100%, $E$9)</f>
        <v>17.0138</v>
      </c>
    </row>
    <row r="1009" spans="1:15" ht="15" x14ac:dyDescent="0.2">
      <c r="A1009" s="13">
        <v>71559</v>
      </c>
      <c r="B1009" s="9">
        <f>15.0434 * CHOOSE(CONTROL!$C$32, $C$9, 100%, $E$9)</f>
        <v>15.0434</v>
      </c>
      <c r="C1009" s="9">
        <f>15.0434 * CHOOSE(CONTROL!$C$32, $C$9, 100%, $E$9)</f>
        <v>15.0434</v>
      </c>
      <c r="D1009" s="9">
        <f>15.0444 * CHOOSE(CONTROL!$C$32, $C$9, 100%, $E$9)</f>
        <v>15.0444</v>
      </c>
      <c r="E1009" s="11">
        <f>16.7636 * CHOOSE(CONTROL!$C$32, $C$9, 100%, $E$9)</f>
        <v>16.7636</v>
      </c>
      <c r="F1009" s="11">
        <f>16.7636 * CHOOSE(CONTROL!$C$32, $C$9, 100%, $E$9)</f>
        <v>16.7636</v>
      </c>
      <c r="G1009" s="11">
        <f>16.7672 * CHOOSE(CONTROL!$C$32, $C$9, 100%, $E$9)</f>
        <v>16.767199999999999</v>
      </c>
      <c r="H1009" s="11">
        <f>35.9845 * CHOOSE(CONTROL!$C$32, $C$9, 100%, $E$9)</f>
        <v>35.984499999999997</v>
      </c>
      <c r="I1009" s="11">
        <f>35.9881 * CHOOSE(CONTROL!$C$32, $C$9, 100%, $E$9)</f>
        <v>35.988100000000003</v>
      </c>
      <c r="J1009" s="11">
        <f>35.9845 * CHOOSE(CONTROL!$C$32, $C$9, 100%, $E$9)</f>
        <v>35.984499999999997</v>
      </c>
      <c r="K1009" s="11">
        <f>35.9881 * CHOOSE(CONTROL!$C$32, $C$9, 100%, $E$9)</f>
        <v>35.988100000000003</v>
      </c>
      <c r="L1009" s="11">
        <f>16.7636 * CHOOSE(CONTROL!$C$32, $C$9, 100%, $E$9)</f>
        <v>16.7636</v>
      </c>
      <c r="M1009" s="11">
        <f>16.7672 * CHOOSE(CONTROL!$C$32, $C$9, 100%, $E$9)</f>
        <v>16.767199999999999</v>
      </c>
      <c r="N1009" s="11">
        <f>16.7636 * CHOOSE(CONTROL!$C$32, $C$9, 100%, $E$9)</f>
        <v>16.7636</v>
      </c>
      <c r="O1009" s="11">
        <f>16.7672 * CHOOSE(CONTROL!$C$32, $C$9, 100%, $E$9)</f>
        <v>16.767199999999999</v>
      </c>
    </row>
    <row r="1010" spans="1:15" ht="15" x14ac:dyDescent="0.2">
      <c r="A1010" s="13">
        <v>71590</v>
      </c>
      <c r="B1010" s="9">
        <f>15.0024 * CHOOSE(CONTROL!$C$32, $C$9, 100%, $E$9)</f>
        <v>15.0024</v>
      </c>
      <c r="C1010" s="9">
        <f>15.0024 * CHOOSE(CONTROL!$C$32, $C$9, 100%, $E$9)</f>
        <v>15.0024</v>
      </c>
      <c r="D1010" s="9">
        <f>15.0035 * CHOOSE(CONTROL!$C$32, $C$9, 100%, $E$9)</f>
        <v>15.003500000000001</v>
      </c>
      <c r="E1010" s="11">
        <f>16.8956 * CHOOSE(CONTROL!$C$32, $C$9, 100%, $E$9)</f>
        <v>16.895600000000002</v>
      </c>
      <c r="F1010" s="11">
        <f>16.8956 * CHOOSE(CONTROL!$C$32, $C$9, 100%, $E$9)</f>
        <v>16.895600000000002</v>
      </c>
      <c r="G1010" s="11">
        <f>16.8992 * CHOOSE(CONTROL!$C$32, $C$9, 100%, $E$9)</f>
        <v>16.8992</v>
      </c>
      <c r="H1010" s="11">
        <f>35.6419 * CHOOSE(CONTROL!$C$32, $C$9, 100%, $E$9)</f>
        <v>35.6419</v>
      </c>
      <c r="I1010" s="11">
        <f>35.6455 * CHOOSE(CONTROL!$C$32, $C$9, 100%, $E$9)</f>
        <v>35.645499999999998</v>
      </c>
      <c r="J1010" s="11">
        <f>35.6419 * CHOOSE(CONTROL!$C$32, $C$9, 100%, $E$9)</f>
        <v>35.6419</v>
      </c>
      <c r="K1010" s="11">
        <f>35.6455 * CHOOSE(CONTROL!$C$32, $C$9, 100%, $E$9)</f>
        <v>35.645499999999998</v>
      </c>
      <c r="L1010" s="11">
        <f>16.8956 * CHOOSE(CONTROL!$C$32, $C$9, 100%, $E$9)</f>
        <v>16.895600000000002</v>
      </c>
      <c r="M1010" s="11">
        <f>16.8992 * CHOOSE(CONTROL!$C$32, $C$9, 100%, $E$9)</f>
        <v>16.8992</v>
      </c>
      <c r="N1010" s="11">
        <f>16.8956 * CHOOSE(CONTROL!$C$32, $C$9, 100%, $E$9)</f>
        <v>16.895600000000002</v>
      </c>
      <c r="O1010" s="11">
        <f>16.8992 * CHOOSE(CONTROL!$C$32, $C$9, 100%, $E$9)</f>
        <v>16.8992</v>
      </c>
    </row>
    <row r="1011" spans="1:15" ht="15" x14ac:dyDescent="0.2">
      <c r="A1011" s="13">
        <v>71621</v>
      </c>
      <c r="B1011" s="9">
        <f>14.9993 * CHOOSE(CONTROL!$C$32, $C$9, 100%, $E$9)</f>
        <v>14.9993</v>
      </c>
      <c r="C1011" s="9">
        <f>14.9993 * CHOOSE(CONTROL!$C$32, $C$9, 100%, $E$9)</f>
        <v>14.9993</v>
      </c>
      <c r="D1011" s="9">
        <f>15.0004 * CHOOSE(CONTROL!$C$32, $C$9, 100%, $E$9)</f>
        <v>15.000400000000001</v>
      </c>
      <c r="E1011" s="11">
        <f>16.4204 * CHOOSE(CONTROL!$C$32, $C$9, 100%, $E$9)</f>
        <v>16.420400000000001</v>
      </c>
      <c r="F1011" s="11">
        <f>16.4204 * CHOOSE(CONTROL!$C$32, $C$9, 100%, $E$9)</f>
        <v>16.420400000000001</v>
      </c>
      <c r="G1011" s="11">
        <f>16.424 * CHOOSE(CONTROL!$C$32, $C$9, 100%, $E$9)</f>
        <v>16.423999999999999</v>
      </c>
      <c r="H1011" s="11">
        <f>35.7162 * CHOOSE(CONTROL!$C$32, $C$9, 100%, $E$9)</f>
        <v>35.716200000000001</v>
      </c>
      <c r="I1011" s="11">
        <f>35.7198 * CHOOSE(CONTROL!$C$32, $C$9, 100%, $E$9)</f>
        <v>35.719799999999999</v>
      </c>
      <c r="J1011" s="11">
        <f>35.7162 * CHOOSE(CONTROL!$C$32, $C$9, 100%, $E$9)</f>
        <v>35.716200000000001</v>
      </c>
      <c r="K1011" s="11">
        <f>35.7198 * CHOOSE(CONTROL!$C$32, $C$9, 100%, $E$9)</f>
        <v>35.719799999999999</v>
      </c>
      <c r="L1011" s="11">
        <f>16.4204 * CHOOSE(CONTROL!$C$32, $C$9, 100%, $E$9)</f>
        <v>16.420400000000001</v>
      </c>
      <c r="M1011" s="11">
        <f>16.424 * CHOOSE(CONTROL!$C$32, $C$9, 100%, $E$9)</f>
        <v>16.423999999999999</v>
      </c>
      <c r="N1011" s="11">
        <f>16.4204 * CHOOSE(CONTROL!$C$32, $C$9, 100%, $E$9)</f>
        <v>16.420400000000001</v>
      </c>
      <c r="O1011" s="11">
        <f>16.424 * CHOOSE(CONTROL!$C$32, $C$9, 100%, $E$9)</f>
        <v>16.423999999999999</v>
      </c>
    </row>
    <row r="1012" spans="1:15" ht="15" x14ac:dyDescent="0.2">
      <c r="A1012" s="13">
        <v>71650</v>
      </c>
      <c r="B1012" s="9">
        <f>14.9963 * CHOOSE(CONTROL!$C$32, $C$9, 100%, $E$9)</f>
        <v>14.9963</v>
      </c>
      <c r="C1012" s="9">
        <f>14.9963 * CHOOSE(CONTROL!$C$32, $C$9, 100%, $E$9)</f>
        <v>14.9963</v>
      </c>
      <c r="D1012" s="9">
        <f>14.9974 * CHOOSE(CONTROL!$C$32, $C$9, 100%, $E$9)</f>
        <v>14.997400000000001</v>
      </c>
      <c r="E1012" s="11">
        <f>16.7912 * CHOOSE(CONTROL!$C$32, $C$9, 100%, $E$9)</f>
        <v>16.7912</v>
      </c>
      <c r="F1012" s="11">
        <f>16.7912 * CHOOSE(CONTROL!$C$32, $C$9, 100%, $E$9)</f>
        <v>16.7912</v>
      </c>
      <c r="G1012" s="11">
        <f>16.7949 * CHOOSE(CONTROL!$C$32, $C$9, 100%, $E$9)</f>
        <v>16.794899999999998</v>
      </c>
      <c r="H1012" s="11">
        <f>35.7906 * CHOOSE(CONTROL!$C$32, $C$9, 100%, $E$9)</f>
        <v>35.790599999999998</v>
      </c>
      <c r="I1012" s="11">
        <f>35.7942 * CHOOSE(CONTROL!$C$32, $C$9, 100%, $E$9)</f>
        <v>35.794199999999996</v>
      </c>
      <c r="J1012" s="11">
        <f>35.7906 * CHOOSE(CONTROL!$C$32, $C$9, 100%, $E$9)</f>
        <v>35.790599999999998</v>
      </c>
      <c r="K1012" s="11">
        <f>35.7942 * CHOOSE(CONTROL!$C$32, $C$9, 100%, $E$9)</f>
        <v>35.794199999999996</v>
      </c>
      <c r="L1012" s="11">
        <f>16.7912 * CHOOSE(CONTROL!$C$32, $C$9, 100%, $E$9)</f>
        <v>16.7912</v>
      </c>
      <c r="M1012" s="11">
        <f>16.7949 * CHOOSE(CONTROL!$C$32, $C$9, 100%, $E$9)</f>
        <v>16.794899999999998</v>
      </c>
      <c r="N1012" s="11">
        <f>16.7912 * CHOOSE(CONTROL!$C$32, $C$9, 100%, $E$9)</f>
        <v>16.7912</v>
      </c>
      <c r="O1012" s="11">
        <f>16.7949 * CHOOSE(CONTROL!$C$32, $C$9, 100%, $E$9)</f>
        <v>16.794899999999998</v>
      </c>
    </row>
    <row r="1013" spans="1:15" ht="15" x14ac:dyDescent="0.2">
      <c r="A1013" s="13">
        <v>71681</v>
      </c>
      <c r="B1013" s="9">
        <f>15.0046 * CHOOSE(CONTROL!$C$32, $C$9, 100%, $E$9)</f>
        <v>15.0046</v>
      </c>
      <c r="C1013" s="9">
        <f>15.0046 * CHOOSE(CONTROL!$C$32, $C$9, 100%, $E$9)</f>
        <v>15.0046</v>
      </c>
      <c r="D1013" s="9">
        <f>15.0057 * CHOOSE(CONTROL!$C$32, $C$9, 100%, $E$9)</f>
        <v>15.005699999999999</v>
      </c>
      <c r="E1013" s="11">
        <f>17.1876 * CHOOSE(CONTROL!$C$32, $C$9, 100%, $E$9)</f>
        <v>17.1876</v>
      </c>
      <c r="F1013" s="11">
        <f>17.1876 * CHOOSE(CONTROL!$C$32, $C$9, 100%, $E$9)</f>
        <v>17.1876</v>
      </c>
      <c r="G1013" s="11">
        <f>17.1912 * CHOOSE(CONTROL!$C$32, $C$9, 100%, $E$9)</f>
        <v>17.191199999999998</v>
      </c>
      <c r="H1013" s="11">
        <f>35.8651 * CHOOSE(CONTROL!$C$32, $C$9, 100%, $E$9)</f>
        <v>35.865099999999998</v>
      </c>
      <c r="I1013" s="11">
        <f>35.8687 * CHOOSE(CONTROL!$C$32, $C$9, 100%, $E$9)</f>
        <v>35.868699999999997</v>
      </c>
      <c r="J1013" s="11">
        <f>35.8651 * CHOOSE(CONTROL!$C$32, $C$9, 100%, $E$9)</f>
        <v>35.865099999999998</v>
      </c>
      <c r="K1013" s="11">
        <f>35.8687 * CHOOSE(CONTROL!$C$32, $C$9, 100%, $E$9)</f>
        <v>35.868699999999997</v>
      </c>
      <c r="L1013" s="11">
        <f>17.1876 * CHOOSE(CONTROL!$C$32, $C$9, 100%, $E$9)</f>
        <v>17.1876</v>
      </c>
      <c r="M1013" s="11">
        <f>17.1912 * CHOOSE(CONTROL!$C$32, $C$9, 100%, $E$9)</f>
        <v>17.191199999999998</v>
      </c>
      <c r="N1013" s="11">
        <f>17.1876 * CHOOSE(CONTROL!$C$32, $C$9, 100%, $E$9)</f>
        <v>17.1876</v>
      </c>
      <c r="O1013" s="11">
        <f>17.1912 * CHOOSE(CONTROL!$C$32, $C$9, 100%, $E$9)</f>
        <v>17.191199999999998</v>
      </c>
    </row>
    <row r="1014" spans="1:15" ht="15" x14ac:dyDescent="0.2">
      <c r="A1014" s="13">
        <v>71711</v>
      </c>
      <c r="B1014" s="9">
        <f>15.0046 * CHOOSE(CONTROL!$C$32, $C$9, 100%, $E$9)</f>
        <v>15.0046</v>
      </c>
      <c r="C1014" s="9">
        <f>15.0046 * CHOOSE(CONTROL!$C$32, $C$9, 100%, $E$9)</f>
        <v>15.0046</v>
      </c>
      <c r="D1014" s="9">
        <f>15.0062 * CHOOSE(CONTROL!$C$32, $C$9, 100%, $E$9)</f>
        <v>15.0062</v>
      </c>
      <c r="E1014" s="11">
        <f>17.3378 * CHOOSE(CONTROL!$C$32, $C$9, 100%, $E$9)</f>
        <v>17.337800000000001</v>
      </c>
      <c r="F1014" s="11">
        <f>17.3378 * CHOOSE(CONTROL!$C$32, $C$9, 100%, $E$9)</f>
        <v>17.337800000000001</v>
      </c>
      <c r="G1014" s="11">
        <f>17.3431 * CHOOSE(CONTROL!$C$32, $C$9, 100%, $E$9)</f>
        <v>17.3431</v>
      </c>
      <c r="H1014" s="11">
        <f>35.9398 * CHOOSE(CONTROL!$C$32, $C$9, 100%, $E$9)</f>
        <v>35.939799999999998</v>
      </c>
      <c r="I1014" s="11">
        <f>35.9451 * CHOOSE(CONTROL!$C$32, $C$9, 100%, $E$9)</f>
        <v>35.945099999999996</v>
      </c>
      <c r="J1014" s="11">
        <f>35.9398 * CHOOSE(CONTROL!$C$32, $C$9, 100%, $E$9)</f>
        <v>35.939799999999998</v>
      </c>
      <c r="K1014" s="11">
        <f>35.9451 * CHOOSE(CONTROL!$C$32, $C$9, 100%, $E$9)</f>
        <v>35.945099999999996</v>
      </c>
      <c r="L1014" s="11">
        <f>17.3378 * CHOOSE(CONTROL!$C$32, $C$9, 100%, $E$9)</f>
        <v>17.337800000000001</v>
      </c>
      <c r="M1014" s="11">
        <f>17.3431 * CHOOSE(CONTROL!$C$32, $C$9, 100%, $E$9)</f>
        <v>17.3431</v>
      </c>
      <c r="N1014" s="11">
        <f>17.3378 * CHOOSE(CONTROL!$C$32, $C$9, 100%, $E$9)</f>
        <v>17.337800000000001</v>
      </c>
      <c r="O1014" s="11">
        <f>17.3431 * CHOOSE(CONTROL!$C$32, $C$9, 100%, $E$9)</f>
        <v>17.3431</v>
      </c>
    </row>
    <row r="1015" spans="1:15" ht="15" x14ac:dyDescent="0.2">
      <c r="A1015" s="13">
        <v>71742</v>
      </c>
      <c r="B1015" s="9">
        <f>15.0107 * CHOOSE(CONTROL!$C$32, $C$9, 100%, $E$9)</f>
        <v>15.0107</v>
      </c>
      <c r="C1015" s="9">
        <f>15.0107 * CHOOSE(CONTROL!$C$32, $C$9, 100%, $E$9)</f>
        <v>15.0107</v>
      </c>
      <c r="D1015" s="9">
        <f>15.0123 * CHOOSE(CONTROL!$C$32, $C$9, 100%, $E$9)</f>
        <v>15.0123</v>
      </c>
      <c r="E1015" s="11">
        <f>17.1918 * CHOOSE(CONTROL!$C$32, $C$9, 100%, $E$9)</f>
        <v>17.191800000000001</v>
      </c>
      <c r="F1015" s="11">
        <f>17.1918 * CHOOSE(CONTROL!$C$32, $C$9, 100%, $E$9)</f>
        <v>17.191800000000001</v>
      </c>
      <c r="G1015" s="11">
        <f>17.1971 * CHOOSE(CONTROL!$C$32, $C$9, 100%, $E$9)</f>
        <v>17.197099999999999</v>
      </c>
      <c r="H1015" s="11">
        <f>36.0147 * CHOOSE(CONTROL!$C$32, $C$9, 100%, $E$9)</f>
        <v>36.014699999999998</v>
      </c>
      <c r="I1015" s="11">
        <f>36.02 * CHOOSE(CONTROL!$C$32, $C$9, 100%, $E$9)</f>
        <v>36.020000000000003</v>
      </c>
      <c r="J1015" s="11">
        <f>36.0147 * CHOOSE(CONTROL!$C$32, $C$9, 100%, $E$9)</f>
        <v>36.014699999999998</v>
      </c>
      <c r="K1015" s="11">
        <f>36.02 * CHOOSE(CONTROL!$C$32, $C$9, 100%, $E$9)</f>
        <v>36.020000000000003</v>
      </c>
      <c r="L1015" s="11">
        <f>17.1918 * CHOOSE(CONTROL!$C$32, $C$9, 100%, $E$9)</f>
        <v>17.191800000000001</v>
      </c>
      <c r="M1015" s="11">
        <f>17.1971 * CHOOSE(CONTROL!$C$32, $C$9, 100%, $E$9)</f>
        <v>17.197099999999999</v>
      </c>
      <c r="N1015" s="11">
        <f>17.1918 * CHOOSE(CONTROL!$C$32, $C$9, 100%, $E$9)</f>
        <v>17.191800000000001</v>
      </c>
      <c r="O1015" s="11">
        <f>17.1971 * CHOOSE(CONTROL!$C$32, $C$9, 100%, $E$9)</f>
        <v>17.197099999999999</v>
      </c>
    </row>
    <row r="1016" spans="1:15" ht="15" x14ac:dyDescent="0.2">
      <c r="A1016" s="13">
        <v>71772</v>
      </c>
      <c r="B1016" s="9">
        <f>15.1901 * CHOOSE(CONTROL!$C$32, $C$9, 100%, $E$9)</f>
        <v>15.190099999999999</v>
      </c>
      <c r="C1016" s="9">
        <f>15.1901 * CHOOSE(CONTROL!$C$32, $C$9, 100%, $E$9)</f>
        <v>15.190099999999999</v>
      </c>
      <c r="D1016" s="9">
        <f>15.1916 * CHOOSE(CONTROL!$C$32, $C$9, 100%, $E$9)</f>
        <v>15.191599999999999</v>
      </c>
      <c r="E1016" s="11">
        <f>17.4364 * CHOOSE(CONTROL!$C$32, $C$9, 100%, $E$9)</f>
        <v>17.436399999999999</v>
      </c>
      <c r="F1016" s="11">
        <f>17.4364 * CHOOSE(CONTROL!$C$32, $C$9, 100%, $E$9)</f>
        <v>17.436399999999999</v>
      </c>
      <c r="G1016" s="11">
        <f>17.4417 * CHOOSE(CONTROL!$C$32, $C$9, 100%, $E$9)</f>
        <v>17.441700000000001</v>
      </c>
      <c r="H1016" s="11">
        <f>36.0897 * CHOOSE(CONTROL!$C$32, $C$9, 100%, $E$9)</f>
        <v>36.089700000000001</v>
      </c>
      <c r="I1016" s="11">
        <f>36.095 * CHOOSE(CONTROL!$C$32, $C$9, 100%, $E$9)</f>
        <v>36.094999999999999</v>
      </c>
      <c r="J1016" s="11">
        <f>36.0897 * CHOOSE(CONTROL!$C$32, $C$9, 100%, $E$9)</f>
        <v>36.089700000000001</v>
      </c>
      <c r="K1016" s="11">
        <f>36.095 * CHOOSE(CONTROL!$C$32, $C$9, 100%, $E$9)</f>
        <v>36.094999999999999</v>
      </c>
      <c r="L1016" s="11">
        <f>17.4364 * CHOOSE(CONTROL!$C$32, $C$9, 100%, $E$9)</f>
        <v>17.436399999999999</v>
      </c>
      <c r="M1016" s="11">
        <f>17.4417 * CHOOSE(CONTROL!$C$32, $C$9, 100%, $E$9)</f>
        <v>17.441700000000001</v>
      </c>
      <c r="N1016" s="11">
        <f>17.4364 * CHOOSE(CONTROL!$C$32, $C$9, 100%, $E$9)</f>
        <v>17.436399999999999</v>
      </c>
      <c r="O1016" s="11">
        <f>17.4417 * CHOOSE(CONTROL!$C$32, $C$9, 100%, $E$9)</f>
        <v>17.441700000000001</v>
      </c>
    </row>
    <row r="1017" spans="1:15" ht="15" x14ac:dyDescent="0.2">
      <c r="A1017" s="13">
        <v>71803</v>
      </c>
      <c r="B1017" s="9">
        <f>15.1967 * CHOOSE(CONTROL!$C$32, $C$9, 100%, $E$9)</f>
        <v>15.1967</v>
      </c>
      <c r="C1017" s="9">
        <f>15.1967 * CHOOSE(CONTROL!$C$32, $C$9, 100%, $E$9)</f>
        <v>15.1967</v>
      </c>
      <c r="D1017" s="9">
        <f>15.1983 * CHOOSE(CONTROL!$C$32, $C$9, 100%, $E$9)</f>
        <v>15.1983</v>
      </c>
      <c r="E1017" s="11">
        <f>16.9904 * CHOOSE(CONTROL!$C$32, $C$9, 100%, $E$9)</f>
        <v>16.990400000000001</v>
      </c>
      <c r="F1017" s="11">
        <f>16.9904 * CHOOSE(CONTROL!$C$32, $C$9, 100%, $E$9)</f>
        <v>16.990400000000001</v>
      </c>
      <c r="G1017" s="11">
        <f>16.9957 * CHOOSE(CONTROL!$C$32, $C$9, 100%, $E$9)</f>
        <v>16.995699999999999</v>
      </c>
      <c r="H1017" s="11">
        <f>36.1649 * CHOOSE(CONTROL!$C$32, $C$9, 100%, $E$9)</f>
        <v>36.164900000000003</v>
      </c>
      <c r="I1017" s="11">
        <f>36.1702 * CHOOSE(CONTROL!$C$32, $C$9, 100%, $E$9)</f>
        <v>36.170200000000001</v>
      </c>
      <c r="J1017" s="11">
        <f>36.1649 * CHOOSE(CONTROL!$C$32, $C$9, 100%, $E$9)</f>
        <v>36.164900000000003</v>
      </c>
      <c r="K1017" s="11">
        <f>36.1702 * CHOOSE(CONTROL!$C$32, $C$9, 100%, $E$9)</f>
        <v>36.170200000000001</v>
      </c>
      <c r="L1017" s="11">
        <f>16.9904 * CHOOSE(CONTROL!$C$32, $C$9, 100%, $E$9)</f>
        <v>16.990400000000001</v>
      </c>
      <c r="M1017" s="11">
        <f>16.9957 * CHOOSE(CONTROL!$C$32, $C$9, 100%, $E$9)</f>
        <v>16.995699999999999</v>
      </c>
      <c r="N1017" s="11">
        <f>16.9904 * CHOOSE(CONTROL!$C$32, $C$9, 100%, $E$9)</f>
        <v>16.990400000000001</v>
      </c>
      <c r="O1017" s="11">
        <f>16.9957 * CHOOSE(CONTROL!$C$32, $C$9, 100%, $E$9)</f>
        <v>16.995699999999999</v>
      </c>
    </row>
    <row r="1018" spans="1:15" ht="15" x14ac:dyDescent="0.2">
      <c r="A1018" s="13">
        <v>71834</v>
      </c>
      <c r="B1018" s="9">
        <f>15.1937 * CHOOSE(CONTROL!$C$32, $C$9, 100%, $E$9)</f>
        <v>15.1937</v>
      </c>
      <c r="C1018" s="9">
        <f>15.1937 * CHOOSE(CONTROL!$C$32, $C$9, 100%, $E$9)</f>
        <v>15.1937</v>
      </c>
      <c r="D1018" s="9">
        <f>15.1953 * CHOOSE(CONTROL!$C$32, $C$9, 100%, $E$9)</f>
        <v>15.1953</v>
      </c>
      <c r="E1018" s="11">
        <f>16.9382 * CHOOSE(CONTROL!$C$32, $C$9, 100%, $E$9)</f>
        <v>16.938199999999998</v>
      </c>
      <c r="F1018" s="11">
        <f>16.9382 * CHOOSE(CONTROL!$C$32, $C$9, 100%, $E$9)</f>
        <v>16.938199999999998</v>
      </c>
      <c r="G1018" s="11">
        <f>16.9435 * CHOOSE(CONTROL!$C$32, $C$9, 100%, $E$9)</f>
        <v>16.9435</v>
      </c>
      <c r="H1018" s="11">
        <f>36.2403 * CHOOSE(CONTROL!$C$32, $C$9, 100%, $E$9)</f>
        <v>36.240299999999998</v>
      </c>
      <c r="I1018" s="11">
        <f>36.2456 * CHOOSE(CONTROL!$C$32, $C$9, 100%, $E$9)</f>
        <v>36.245600000000003</v>
      </c>
      <c r="J1018" s="11">
        <f>36.2403 * CHOOSE(CONTROL!$C$32, $C$9, 100%, $E$9)</f>
        <v>36.240299999999998</v>
      </c>
      <c r="K1018" s="11">
        <f>36.2456 * CHOOSE(CONTROL!$C$32, $C$9, 100%, $E$9)</f>
        <v>36.245600000000003</v>
      </c>
      <c r="L1018" s="11">
        <f>16.9382 * CHOOSE(CONTROL!$C$32, $C$9, 100%, $E$9)</f>
        <v>16.938199999999998</v>
      </c>
      <c r="M1018" s="11">
        <f>16.9435 * CHOOSE(CONTROL!$C$32, $C$9, 100%, $E$9)</f>
        <v>16.9435</v>
      </c>
      <c r="N1018" s="11">
        <f>16.9382 * CHOOSE(CONTROL!$C$32, $C$9, 100%, $E$9)</f>
        <v>16.938199999999998</v>
      </c>
      <c r="O1018" s="11">
        <f>16.9435 * CHOOSE(CONTROL!$C$32, $C$9, 100%, $E$9)</f>
        <v>16.9435</v>
      </c>
    </row>
    <row r="1019" spans="1:15" ht="15" x14ac:dyDescent="0.2">
      <c r="A1019" s="13">
        <v>71864</v>
      </c>
      <c r="B1019" s="9">
        <f>15.2306 * CHOOSE(CONTROL!$C$32, $C$9, 100%, $E$9)</f>
        <v>15.230600000000001</v>
      </c>
      <c r="C1019" s="9">
        <f>15.2306 * CHOOSE(CONTROL!$C$32, $C$9, 100%, $E$9)</f>
        <v>15.230600000000001</v>
      </c>
      <c r="D1019" s="9">
        <f>15.2317 * CHOOSE(CONTROL!$C$32, $C$9, 100%, $E$9)</f>
        <v>15.2317</v>
      </c>
      <c r="E1019" s="11">
        <f>17.1251 * CHOOSE(CONTROL!$C$32, $C$9, 100%, $E$9)</f>
        <v>17.1251</v>
      </c>
      <c r="F1019" s="11">
        <f>17.1251 * CHOOSE(CONTROL!$C$32, $C$9, 100%, $E$9)</f>
        <v>17.1251</v>
      </c>
      <c r="G1019" s="11">
        <f>17.1287 * CHOOSE(CONTROL!$C$32, $C$9, 100%, $E$9)</f>
        <v>17.128699999999998</v>
      </c>
      <c r="H1019" s="11">
        <f>36.3158 * CHOOSE(CONTROL!$C$32, $C$9, 100%, $E$9)</f>
        <v>36.315800000000003</v>
      </c>
      <c r="I1019" s="11">
        <f>36.3194 * CHOOSE(CONTROL!$C$32, $C$9, 100%, $E$9)</f>
        <v>36.319400000000002</v>
      </c>
      <c r="J1019" s="11">
        <f>36.3158 * CHOOSE(CONTROL!$C$32, $C$9, 100%, $E$9)</f>
        <v>36.315800000000003</v>
      </c>
      <c r="K1019" s="11">
        <f>36.3194 * CHOOSE(CONTROL!$C$32, $C$9, 100%, $E$9)</f>
        <v>36.319400000000002</v>
      </c>
      <c r="L1019" s="11">
        <f>17.1251 * CHOOSE(CONTROL!$C$32, $C$9, 100%, $E$9)</f>
        <v>17.1251</v>
      </c>
      <c r="M1019" s="11">
        <f>17.1287 * CHOOSE(CONTROL!$C$32, $C$9, 100%, $E$9)</f>
        <v>17.128699999999998</v>
      </c>
      <c r="N1019" s="11">
        <f>17.1251 * CHOOSE(CONTROL!$C$32, $C$9, 100%, $E$9)</f>
        <v>17.1251</v>
      </c>
      <c r="O1019" s="11">
        <f>17.1287 * CHOOSE(CONTROL!$C$32, $C$9, 100%, $E$9)</f>
        <v>17.128699999999998</v>
      </c>
    </row>
    <row r="1020" spans="1:15" ht="15" x14ac:dyDescent="0.2">
      <c r="A1020" s="13">
        <v>71895</v>
      </c>
      <c r="B1020" s="9">
        <f>15.2337 * CHOOSE(CONTROL!$C$32, $C$9, 100%, $E$9)</f>
        <v>15.233700000000001</v>
      </c>
      <c r="C1020" s="9">
        <f>15.2337 * CHOOSE(CONTROL!$C$32, $C$9, 100%, $E$9)</f>
        <v>15.233700000000001</v>
      </c>
      <c r="D1020" s="9">
        <f>15.2347 * CHOOSE(CONTROL!$C$32, $C$9, 100%, $E$9)</f>
        <v>15.2347</v>
      </c>
      <c r="E1020" s="11">
        <f>17.2274 * CHOOSE(CONTROL!$C$32, $C$9, 100%, $E$9)</f>
        <v>17.227399999999999</v>
      </c>
      <c r="F1020" s="11">
        <f>17.2274 * CHOOSE(CONTROL!$C$32, $C$9, 100%, $E$9)</f>
        <v>17.227399999999999</v>
      </c>
      <c r="G1020" s="11">
        <f>17.231 * CHOOSE(CONTROL!$C$32, $C$9, 100%, $E$9)</f>
        <v>17.231000000000002</v>
      </c>
      <c r="H1020" s="11">
        <f>36.3914 * CHOOSE(CONTROL!$C$32, $C$9, 100%, $E$9)</f>
        <v>36.391399999999997</v>
      </c>
      <c r="I1020" s="11">
        <f>36.3951 * CHOOSE(CONTROL!$C$32, $C$9, 100%, $E$9)</f>
        <v>36.395099999999999</v>
      </c>
      <c r="J1020" s="11">
        <f>36.3914 * CHOOSE(CONTROL!$C$32, $C$9, 100%, $E$9)</f>
        <v>36.391399999999997</v>
      </c>
      <c r="K1020" s="11">
        <f>36.3951 * CHOOSE(CONTROL!$C$32, $C$9, 100%, $E$9)</f>
        <v>36.395099999999999</v>
      </c>
      <c r="L1020" s="11">
        <f>17.2274 * CHOOSE(CONTROL!$C$32, $C$9, 100%, $E$9)</f>
        <v>17.227399999999999</v>
      </c>
      <c r="M1020" s="11">
        <f>17.231 * CHOOSE(CONTROL!$C$32, $C$9, 100%, $E$9)</f>
        <v>17.231000000000002</v>
      </c>
      <c r="N1020" s="11">
        <f>17.2274 * CHOOSE(CONTROL!$C$32, $C$9, 100%, $E$9)</f>
        <v>17.227399999999999</v>
      </c>
      <c r="O1020" s="11">
        <f>17.231 * CHOOSE(CONTROL!$C$32, $C$9, 100%, $E$9)</f>
        <v>17.231000000000002</v>
      </c>
    </row>
    <row r="1021" spans="1:15" ht="15" x14ac:dyDescent="0.2">
      <c r="A1021" s="13">
        <v>71925</v>
      </c>
      <c r="B1021" s="9">
        <f>15.2337 * CHOOSE(CONTROL!$C$32, $C$9, 100%, $E$9)</f>
        <v>15.233700000000001</v>
      </c>
      <c r="C1021" s="9">
        <f>15.2337 * CHOOSE(CONTROL!$C$32, $C$9, 100%, $E$9)</f>
        <v>15.233700000000001</v>
      </c>
      <c r="D1021" s="9">
        <f>15.2347 * CHOOSE(CONTROL!$C$32, $C$9, 100%, $E$9)</f>
        <v>15.2347</v>
      </c>
      <c r="E1021" s="11">
        <f>16.977 * CHOOSE(CONTROL!$C$32, $C$9, 100%, $E$9)</f>
        <v>16.977</v>
      </c>
      <c r="F1021" s="11">
        <f>16.977 * CHOOSE(CONTROL!$C$32, $C$9, 100%, $E$9)</f>
        <v>16.977</v>
      </c>
      <c r="G1021" s="11">
        <f>16.9806 * CHOOSE(CONTROL!$C$32, $C$9, 100%, $E$9)</f>
        <v>16.980599999999999</v>
      </c>
      <c r="H1021" s="11">
        <f>36.4673 * CHOOSE(CONTROL!$C$32, $C$9, 100%, $E$9)</f>
        <v>36.467300000000002</v>
      </c>
      <c r="I1021" s="11">
        <f>36.4709 * CHOOSE(CONTROL!$C$32, $C$9, 100%, $E$9)</f>
        <v>36.4709</v>
      </c>
      <c r="J1021" s="11">
        <f>36.4673 * CHOOSE(CONTROL!$C$32, $C$9, 100%, $E$9)</f>
        <v>36.467300000000002</v>
      </c>
      <c r="K1021" s="11">
        <f>36.4709 * CHOOSE(CONTROL!$C$32, $C$9, 100%, $E$9)</f>
        <v>36.4709</v>
      </c>
      <c r="L1021" s="11">
        <f>16.977 * CHOOSE(CONTROL!$C$32, $C$9, 100%, $E$9)</f>
        <v>16.977</v>
      </c>
      <c r="M1021" s="11">
        <f>16.9806 * CHOOSE(CONTROL!$C$32, $C$9, 100%, $E$9)</f>
        <v>16.980599999999999</v>
      </c>
      <c r="N1021" s="11">
        <f>16.977 * CHOOSE(CONTROL!$C$32, $C$9, 100%, $E$9)</f>
        <v>16.977</v>
      </c>
      <c r="O1021" s="11">
        <f>16.9806 * CHOOSE(CONTROL!$C$32, $C$9, 100%, $E$9)</f>
        <v>16.980599999999999</v>
      </c>
    </row>
    <row r="1022" spans="1:15" ht="15" x14ac:dyDescent="0.2">
      <c r="A1022" s="13">
        <v>71956</v>
      </c>
      <c r="B1022" s="9">
        <f>15.1897 * CHOOSE(CONTROL!$C$32, $C$9, 100%, $E$9)</f>
        <v>15.1897</v>
      </c>
      <c r="C1022" s="9">
        <f>15.1897 * CHOOSE(CONTROL!$C$32, $C$9, 100%, $E$9)</f>
        <v>15.1897</v>
      </c>
      <c r="D1022" s="9">
        <f>15.1908 * CHOOSE(CONTROL!$C$32, $C$9, 100%, $E$9)</f>
        <v>15.190799999999999</v>
      </c>
      <c r="E1022" s="11">
        <f>17.1081 * CHOOSE(CONTROL!$C$32, $C$9, 100%, $E$9)</f>
        <v>17.1081</v>
      </c>
      <c r="F1022" s="11">
        <f>17.1081 * CHOOSE(CONTROL!$C$32, $C$9, 100%, $E$9)</f>
        <v>17.1081</v>
      </c>
      <c r="G1022" s="11">
        <f>17.1117 * CHOOSE(CONTROL!$C$32, $C$9, 100%, $E$9)</f>
        <v>17.111699999999999</v>
      </c>
      <c r="H1022" s="11">
        <f>36.1137 * CHOOSE(CONTROL!$C$32, $C$9, 100%, $E$9)</f>
        <v>36.113700000000001</v>
      </c>
      <c r="I1022" s="11">
        <f>36.1173 * CHOOSE(CONTROL!$C$32, $C$9, 100%, $E$9)</f>
        <v>36.1173</v>
      </c>
      <c r="J1022" s="11">
        <f>36.1137 * CHOOSE(CONTROL!$C$32, $C$9, 100%, $E$9)</f>
        <v>36.113700000000001</v>
      </c>
      <c r="K1022" s="11">
        <f>36.1173 * CHOOSE(CONTROL!$C$32, $C$9, 100%, $E$9)</f>
        <v>36.1173</v>
      </c>
      <c r="L1022" s="11">
        <f>17.1081 * CHOOSE(CONTROL!$C$32, $C$9, 100%, $E$9)</f>
        <v>17.1081</v>
      </c>
      <c r="M1022" s="11">
        <f>17.1117 * CHOOSE(CONTROL!$C$32, $C$9, 100%, $E$9)</f>
        <v>17.111699999999999</v>
      </c>
      <c r="N1022" s="11">
        <f>17.1081 * CHOOSE(CONTROL!$C$32, $C$9, 100%, $E$9)</f>
        <v>17.1081</v>
      </c>
      <c r="O1022" s="11">
        <f>17.1117 * CHOOSE(CONTROL!$C$32, $C$9, 100%, $E$9)</f>
        <v>17.111699999999999</v>
      </c>
    </row>
    <row r="1023" spans="1:15" ht="15" x14ac:dyDescent="0.2">
      <c r="A1023" s="13">
        <v>71987</v>
      </c>
      <c r="B1023" s="9">
        <f>15.1867 * CHOOSE(CONTROL!$C$32, $C$9, 100%, $E$9)</f>
        <v>15.1867</v>
      </c>
      <c r="C1023" s="9">
        <f>15.1867 * CHOOSE(CONTROL!$C$32, $C$9, 100%, $E$9)</f>
        <v>15.1867</v>
      </c>
      <c r="D1023" s="9">
        <f>15.1878 * CHOOSE(CONTROL!$C$32, $C$9, 100%, $E$9)</f>
        <v>15.187799999999999</v>
      </c>
      <c r="E1023" s="11">
        <f>16.6258 * CHOOSE(CONTROL!$C$32, $C$9, 100%, $E$9)</f>
        <v>16.625800000000002</v>
      </c>
      <c r="F1023" s="11">
        <f>16.6258 * CHOOSE(CONTROL!$C$32, $C$9, 100%, $E$9)</f>
        <v>16.625800000000002</v>
      </c>
      <c r="G1023" s="11">
        <f>16.6294 * CHOOSE(CONTROL!$C$32, $C$9, 100%, $E$9)</f>
        <v>16.6294</v>
      </c>
      <c r="H1023" s="11">
        <f>36.1889 * CHOOSE(CONTROL!$C$32, $C$9, 100%, $E$9)</f>
        <v>36.188899999999997</v>
      </c>
      <c r="I1023" s="11">
        <f>36.1926 * CHOOSE(CONTROL!$C$32, $C$9, 100%, $E$9)</f>
        <v>36.192599999999999</v>
      </c>
      <c r="J1023" s="11">
        <f>36.1889 * CHOOSE(CONTROL!$C$32, $C$9, 100%, $E$9)</f>
        <v>36.188899999999997</v>
      </c>
      <c r="K1023" s="11">
        <f>36.1926 * CHOOSE(CONTROL!$C$32, $C$9, 100%, $E$9)</f>
        <v>36.192599999999999</v>
      </c>
      <c r="L1023" s="11">
        <f>16.6258 * CHOOSE(CONTROL!$C$32, $C$9, 100%, $E$9)</f>
        <v>16.625800000000002</v>
      </c>
      <c r="M1023" s="11">
        <f>16.6294 * CHOOSE(CONTROL!$C$32, $C$9, 100%, $E$9)</f>
        <v>16.6294</v>
      </c>
      <c r="N1023" s="11">
        <f>16.6258 * CHOOSE(CONTROL!$C$32, $C$9, 100%, $E$9)</f>
        <v>16.625800000000002</v>
      </c>
      <c r="O1023" s="11">
        <f>16.6294 * CHOOSE(CONTROL!$C$32, $C$9, 100%, $E$9)</f>
        <v>16.6294</v>
      </c>
    </row>
    <row r="1024" spans="1:15" ht="15" x14ac:dyDescent="0.2">
      <c r="A1024" s="13">
        <v>72015</v>
      </c>
      <c r="B1024" s="9">
        <f>15.1837 * CHOOSE(CONTROL!$C$32, $C$9, 100%, $E$9)</f>
        <v>15.1837</v>
      </c>
      <c r="C1024" s="9">
        <f>15.1837 * CHOOSE(CONTROL!$C$32, $C$9, 100%, $E$9)</f>
        <v>15.1837</v>
      </c>
      <c r="D1024" s="9">
        <f>15.1847 * CHOOSE(CONTROL!$C$32, $C$9, 100%, $E$9)</f>
        <v>15.184699999999999</v>
      </c>
      <c r="E1024" s="11">
        <f>17.0022 * CHOOSE(CONTROL!$C$32, $C$9, 100%, $E$9)</f>
        <v>17.002199999999998</v>
      </c>
      <c r="F1024" s="11">
        <f>17.0022 * CHOOSE(CONTROL!$C$32, $C$9, 100%, $E$9)</f>
        <v>17.002199999999998</v>
      </c>
      <c r="G1024" s="11">
        <f>17.0059 * CHOOSE(CONTROL!$C$32, $C$9, 100%, $E$9)</f>
        <v>17.0059</v>
      </c>
      <c r="H1024" s="11">
        <f>36.2643 * CHOOSE(CONTROL!$C$32, $C$9, 100%, $E$9)</f>
        <v>36.264299999999999</v>
      </c>
      <c r="I1024" s="11">
        <f>36.268 * CHOOSE(CONTROL!$C$32, $C$9, 100%, $E$9)</f>
        <v>36.268000000000001</v>
      </c>
      <c r="J1024" s="11">
        <f>36.2643 * CHOOSE(CONTROL!$C$32, $C$9, 100%, $E$9)</f>
        <v>36.264299999999999</v>
      </c>
      <c r="K1024" s="11">
        <f>36.268 * CHOOSE(CONTROL!$C$32, $C$9, 100%, $E$9)</f>
        <v>36.268000000000001</v>
      </c>
      <c r="L1024" s="11">
        <f>17.0022 * CHOOSE(CONTROL!$C$32, $C$9, 100%, $E$9)</f>
        <v>17.002199999999998</v>
      </c>
      <c r="M1024" s="11">
        <f>17.0059 * CHOOSE(CONTROL!$C$32, $C$9, 100%, $E$9)</f>
        <v>17.0059</v>
      </c>
      <c r="N1024" s="11">
        <f>17.0022 * CHOOSE(CONTROL!$C$32, $C$9, 100%, $E$9)</f>
        <v>17.002199999999998</v>
      </c>
      <c r="O1024" s="11">
        <f>17.0059 * CHOOSE(CONTROL!$C$32, $C$9, 100%, $E$9)</f>
        <v>17.0059</v>
      </c>
    </row>
    <row r="1025" spans="1:15" ht="15" x14ac:dyDescent="0.2">
      <c r="A1025" s="13">
        <v>72046</v>
      </c>
      <c r="B1025" s="9">
        <f>15.1922 * CHOOSE(CONTROL!$C$32, $C$9, 100%, $E$9)</f>
        <v>15.1922</v>
      </c>
      <c r="C1025" s="9">
        <f>15.1922 * CHOOSE(CONTROL!$C$32, $C$9, 100%, $E$9)</f>
        <v>15.1922</v>
      </c>
      <c r="D1025" s="9">
        <f>15.1932 * CHOOSE(CONTROL!$C$32, $C$9, 100%, $E$9)</f>
        <v>15.193199999999999</v>
      </c>
      <c r="E1025" s="11">
        <f>17.4046 * CHOOSE(CONTROL!$C$32, $C$9, 100%, $E$9)</f>
        <v>17.404599999999999</v>
      </c>
      <c r="F1025" s="11">
        <f>17.4046 * CHOOSE(CONTROL!$C$32, $C$9, 100%, $E$9)</f>
        <v>17.404599999999999</v>
      </c>
      <c r="G1025" s="11">
        <f>17.4082 * CHOOSE(CONTROL!$C$32, $C$9, 100%, $E$9)</f>
        <v>17.408200000000001</v>
      </c>
      <c r="H1025" s="11">
        <f>36.3399 * CHOOSE(CONTROL!$C$32, $C$9, 100%, $E$9)</f>
        <v>36.3399</v>
      </c>
      <c r="I1025" s="11">
        <f>36.3435 * CHOOSE(CONTROL!$C$32, $C$9, 100%, $E$9)</f>
        <v>36.343499999999999</v>
      </c>
      <c r="J1025" s="11">
        <f>36.3399 * CHOOSE(CONTROL!$C$32, $C$9, 100%, $E$9)</f>
        <v>36.3399</v>
      </c>
      <c r="K1025" s="11">
        <f>36.3435 * CHOOSE(CONTROL!$C$32, $C$9, 100%, $E$9)</f>
        <v>36.343499999999999</v>
      </c>
      <c r="L1025" s="11">
        <f>17.4046 * CHOOSE(CONTROL!$C$32, $C$9, 100%, $E$9)</f>
        <v>17.404599999999999</v>
      </c>
      <c r="M1025" s="11">
        <f>17.4082 * CHOOSE(CONTROL!$C$32, $C$9, 100%, $E$9)</f>
        <v>17.408200000000001</v>
      </c>
      <c r="N1025" s="11">
        <f>17.4046 * CHOOSE(CONTROL!$C$32, $C$9, 100%, $E$9)</f>
        <v>17.404599999999999</v>
      </c>
      <c r="O1025" s="11">
        <f>17.4082 * CHOOSE(CONTROL!$C$32, $C$9, 100%, $E$9)</f>
        <v>17.408200000000001</v>
      </c>
    </row>
    <row r="1026" spans="1:15" ht="15" x14ac:dyDescent="0.2">
      <c r="A1026" s="13">
        <v>72076</v>
      </c>
      <c r="B1026" s="9">
        <f>15.1922 * CHOOSE(CONTROL!$C$32, $C$9, 100%, $E$9)</f>
        <v>15.1922</v>
      </c>
      <c r="C1026" s="9">
        <f>15.1922 * CHOOSE(CONTROL!$C$32, $C$9, 100%, $E$9)</f>
        <v>15.1922</v>
      </c>
      <c r="D1026" s="9">
        <f>15.1938 * CHOOSE(CONTROL!$C$32, $C$9, 100%, $E$9)</f>
        <v>15.1938</v>
      </c>
      <c r="E1026" s="11">
        <f>17.5571 * CHOOSE(CONTROL!$C$32, $C$9, 100%, $E$9)</f>
        <v>17.557099999999998</v>
      </c>
      <c r="F1026" s="11">
        <f>17.5571 * CHOOSE(CONTROL!$C$32, $C$9, 100%, $E$9)</f>
        <v>17.557099999999998</v>
      </c>
      <c r="G1026" s="11">
        <f>17.5623 * CHOOSE(CONTROL!$C$32, $C$9, 100%, $E$9)</f>
        <v>17.5623</v>
      </c>
      <c r="H1026" s="11">
        <f>36.4156 * CHOOSE(CONTROL!$C$32, $C$9, 100%, $E$9)</f>
        <v>36.415599999999998</v>
      </c>
      <c r="I1026" s="11">
        <f>36.4209 * CHOOSE(CONTROL!$C$32, $C$9, 100%, $E$9)</f>
        <v>36.420900000000003</v>
      </c>
      <c r="J1026" s="11">
        <f>36.4156 * CHOOSE(CONTROL!$C$32, $C$9, 100%, $E$9)</f>
        <v>36.415599999999998</v>
      </c>
      <c r="K1026" s="11">
        <f>36.4209 * CHOOSE(CONTROL!$C$32, $C$9, 100%, $E$9)</f>
        <v>36.420900000000003</v>
      </c>
      <c r="L1026" s="11">
        <f>17.5571 * CHOOSE(CONTROL!$C$32, $C$9, 100%, $E$9)</f>
        <v>17.557099999999998</v>
      </c>
      <c r="M1026" s="11">
        <f>17.5623 * CHOOSE(CONTROL!$C$32, $C$9, 100%, $E$9)</f>
        <v>17.5623</v>
      </c>
      <c r="N1026" s="11">
        <f>17.5571 * CHOOSE(CONTROL!$C$32, $C$9, 100%, $E$9)</f>
        <v>17.557099999999998</v>
      </c>
      <c r="O1026" s="11">
        <f>17.5623 * CHOOSE(CONTROL!$C$32, $C$9, 100%, $E$9)</f>
        <v>17.5623</v>
      </c>
    </row>
    <row r="1027" spans="1:15" ht="15" x14ac:dyDescent="0.2">
      <c r="A1027" s="13">
        <v>72107</v>
      </c>
      <c r="B1027" s="9">
        <f>15.1983 * CHOOSE(CONTROL!$C$32, $C$9, 100%, $E$9)</f>
        <v>15.1983</v>
      </c>
      <c r="C1027" s="9">
        <f>15.1983 * CHOOSE(CONTROL!$C$32, $C$9, 100%, $E$9)</f>
        <v>15.1983</v>
      </c>
      <c r="D1027" s="9">
        <f>15.1998 * CHOOSE(CONTROL!$C$32, $C$9, 100%, $E$9)</f>
        <v>15.1998</v>
      </c>
      <c r="E1027" s="11">
        <f>17.4088 * CHOOSE(CONTROL!$C$32, $C$9, 100%, $E$9)</f>
        <v>17.408799999999999</v>
      </c>
      <c r="F1027" s="11">
        <f>17.4088 * CHOOSE(CONTROL!$C$32, $C$9, 100%, $E$9)</f>
        <v>17.408799999999999</v>
      </c>
      <c r="G1027" s="11">
        <f>17.4141 * CHOOSE(CONTROL!$C$32, $C$9, 100%, $E$9)</f>
        <v>17.414100000000001</v>
      </c>
      <c r="H1027" s="11">
        <f>36.4915 * CHOOSE(CONTROL!$C$32, $C$9, 100%, $E$9)</f>
        <v>36.491500000000002</v>
      </c>
      <c r="I1027" s="11">
        <f>36.4968 * CHOOSE(CONTROL!$C$32, $C$9, 100%, $E$9)</f>
        <v>36.4968</v>
      </c>
      <c r="J1027" s="11">
        <f>36.4915 * CHOOSE(CONTROL!$C$32, $C$9, 100%, $E$9)</f>
        <v>36.491500000000002</v>
      </c>
      <c r="K1027" s="11">
        <f>36.4968 * CHOOSE(CONTROL!$C$32, $C$9, 100%, $E$9)</f>
        <v>36.4968</v>
      </c>
      <c r="L1027" s="11">
        <f>17.4088 * CHOOSE(CONTROL!$C$32, $C$9, 100%, $E$9)</f>
        <v>17.408799999999999</v>
      </c>
      <c r="M1027" s="11">
        <f>17.4141 * CHOOSE(CONTROL!$C$32, $C$9, 100%, $E$9)</f>
        <v>17.414100000000001</v>
      </c>
      <c r="N1027" s="11">
        <f>17.4088 * CHOOSE(CONTROL!$C$32, $C$9, 100%, $E$9)</f>
        <v>17.408799999999999</v>
      </c>
      <c r="O1027" s="11">
        <f>17.4141 * CHOOSE(CONTROL!$C$32, $C$9, 100%, $E$9)</f>
        <v>17.414100000000001</v>
      </c>
    </row>
    <row r="1028" spans="1:15" ht="15" x14ac:dyDescent="0.2">
      <c r="A1028" s="13">
        <v>72137</v>
      </c>
      <c r="B1028" s="9">
        <f>15.3797 * CHOOSE(CONTROL!$C$32, $C$9, 100%, $E$9)</f>
        <v>15.3797</v>
      </c>
      <c r="C1028" s="9">
        <f>15.3797 * CHOOSE(CONTROL!$C$32, $C$9, 100%, $E$9)</f>
        <v>15.3797</v>
      </c>
      <c r="D1028" s="9">
        <f>15.3812 * CHOOSE(CONTROL!$C$32, $C$9, 100%, $E$9)</f>
        <v>15.3812</v>
      </c>
      <c r="E1028" s="11">
        <f>17.6566 * CHOOSE(CONTROL!$C$32, $C$9, 100%, $E$9)</f>
        <v>17.656600000000001</v>
      </c>
      <c r="F1028" s="11">
        <f>17.6566 * CHOOSE(CONTROL!$C$32, $C$9, 100%, $E$9)</f>
        <v>17.656600000000001</v>
      </c>
      <c r="G1028" s="11">
        <f>17.6619 * CHOOSE(CONTROL!$C$32, $C$9, 100%, $E$9)</f>
        <v>17.661899999999999</v>
      </c>
      <c r="H1028" s="11">
        <f>36.5675 * CHOOSE(CONTROL!$C$32, $C$9, 100%, $E$9)</f>
        <v>36.567500000000003</v>
      </c>
      <c r="I1028" s="11">
        <f>36.5728 * CHOOSE(CONTROL!$C$32, $C$9, 100%, $E$9)</f>
        <v>36.572800000000001</v>
      </c>
      <c r="J1028" s="11">
        <f>36.5675 * CHOOSE(CONTROL!$C$32, $C$9, 100%, $E$9)</f>
        <v>36.567500000000003</v>
      </c>
      <c r="K1028" s="11">
        <f>36.5728 * CHOOSE(CONTROL!$C$32, $C$9, 100%, $E$9)</f>
        <v>36.572800000000001</v>
      </c>
      <c r="L1028" s="11">
        <f>17.6566 * CHOOSE(CONTROL!$C$32, $C$9, 100%, $E$9)</f>
        <v>17.656600000000001</v>
      </c>
      <c r="M1028" s="11">
        <f>17.6619 * CHOOSE(CONTROL!$C$32, $C$9, 100%, $E$9)</f>
        <v>17.661899999999999</v>
      </c>
      <c r="N1028" s="11">
        <f>17.6566 * CHOOSE(CONTROL!$C$32, $C$9, 100%, $E$9)</f>
        <v>17.656600000000001</v>
      </c>
      <c r="O1028" s="11">
        <f>17.6619 * CHOOSE(CONTROL!$C$32, $C$9, 100%, $E$9)</f>
        <v>17.661899999999999</v>
      </c>
    </row>
    <row r="1029" spans="1:15" ht="15" x14ac:dyDescent="0.2">
      <c r="A1029" s="13">
        <v>72168</v>
      </c>
      <c r="B1029" s="9">
        <f>15.3863 * CHOOSE(CONTROL!$C$32, $C$9, 100%, $E$9)</f>
        <v>15.3863</v>
      </c>
      <c r="C1029" s="9">
        <f>15.3863 * CHOOSE(CONTROL!$C$32, $C$9, 100%, $E$9)</f>
        <v>15.3863</v>
      </c>
      <c r="D1029" s="9">
        <f>15.3879 * CHOOSE(CONTROL!$C$32, $C$9, 100%, $E$9)</f>
        <v>15.3879</v>
      </c>
      <c r="E1029" s="11">
        <f>17.2038 * CHOOSE(CONTROL!$C$32, $C$9, 100%, $E$9)</f>
        <v>17.203800000000001</v>
      </c>
      <c r="F1029" s="11">
        <f>17.2038 * CHOOSE(CONTROL!$C$32, $C$9, 100%, $E$9)</f>
        <v>17.203800000000001</v>
      </c>
      <c r="G1029" s="11">
        <f>17.2091 * CHOOSE(CONTROL!$C$32, $C$9, 100%, $E$9)</f>
        <v>17.209099999999999</v>
      </c>
      <c r="H1029" s="11">
        <f>36.6437 * CHOOSE(CONTROL!$C$32, $C$9, 100%, $E$9)</f>
        <v>36.643700000000003</v>
      </c>
      <c r="I1029" s="11">
        <f>36.649 * CHOOSE(CONTROL!$C$32, $C$9, 100%, $E$9)</f>
        <v>36.649000000000001</v>
      </c>
      <c r="J1029" s="11">
        <f>36.6437 * CHOOSE(CONTROL!$C$32, $C$9, 100%, $E$9)</f>
        <v>36.643700000000003</v>
      </c>
      <c r="K1029" s="11">
        <f>36.649 * CHOOSE(CONTROL!$C$32, $C$9, 100%, $E$9)</f>
        <v>36.649000000000001</v>
      </c>
      <c r="L1029" s="11">
        <f>17.2038 * CHOOSE(CONTROL!$C$32, $C$9, 100%, $E$9)</f>
        <v>17.203800000000001</v>
      </c>
      <c r="M1029" s="11">
        <f>17.2091 * CHOOSE(CONTROL!$C$32, $C$9, 100%, $E$9)</f>
        <v>17.209099999999999</v>
      </c>
      <c r="N1029" s="11">
        <f>17.2038 * CHOOSE(CONTROL!$C$32, $C$9, 100%, $E$9)</f>
        <v>17.203800000000001</v>
      </c>
      <c r="O1029" s="11">
        <f>17.2091 * CHOOSE(CONTROL!$C$32, $C$9, 100%, $E$9)</f>
        <v>17.209099999999999</v>
      </c>
    </row>
    <row r="1030" spans="1:15" ht="15" x14ac:dyDescent="0.2">
      <c r="A1030" s="13">
        <v>72199</v>
      </c>
      <c r="B1030" s="9">
        <f>15.3833 * CHOOSE(CONTROL!$C$32, $C$9, 100%, $E$9)</f>
        <v>15.3833</v>
      </c>
      <c r="C1030" s="9">
        <f>15.3833 * CHOOSE(CONTROL!$C$32, $C$9, 100%, $E$9)</f>
        <v>15.3833</v>
      </c>
      <c r="D1030" s="9">
        <f>15.3849 * CHOOSE(CONTROL!$C$32, $C$9, 100%, $E$9)</f>
        <v>15.3849</v>
      </c>
      <c r="E1030" s="11">
        <f>17.1509 * CHOOSE(CONTROL!$C$32, $C$9, 100%, $E$9)</f>
        <v>17.1509</v>
      </c>
      <c r="F1030" s="11">
        <f>17.1509 * CHOOSE(CONTROL!$C$32, $C$9, 100%, $E$9)</f>
        <v>17.1509</v>
      </c>
      <c r="G1030" s="11">
        <f>17.1562 * CHOOSE(CONTROL!$C$32, $C$9, 100%, $E$9)</f>
        <v>17.156199999999998</v>
      </c>
      <c r="H1030" s="11">
        <f>36.72 * CHOOSE(CONTROL!$C$32, $C$9, 100%, $E$9)</f>
        <v>36.72</v>
      </c>
      <c r="I1030" s="11">
        <f>36.7253 * CHOOSE(CONTROL!$C$32, $C$9, 100%, $E$9)</f>
        <v>36.725299999999997</v>
      </c>
      <c r="J1030" s="11">
        <f>36.72 * CHOOSE(CONTROL!$C$32, $C$9, 100%, $E$9)</f>
        <v>36.72</v>
      </c>
      <c r="K1030" s="11">
        <f>36.7253 * CHOOSE(CONTROL!$C$32, $C$9, 100%, $E$9)</f>
        <v>36.725299999999997</v>
      </c>
      <c r="L1030" s="11">
        <f>17.1509 * CHOOSE(CONTROL!$C$32, $C$9, 100%, $E$9)</f>
        <v>17.1509</v>
      </c>
      <c r="M1030" s="11">
        <f>17.1562 * CHOOSE(CONTROL!$C$32, $C$9, 100%, $E$9)</f>
        <v>17.156199999999998</v>
      </c>
      <c r="N1030" s="11">
        <f>17.1509 * CHOOSE(CONTROL!$C$32, $C$9, 100%, $E$9)</f>
        <v>17.1509</v>
      </c>
      <c r="O1030" s="11">
        <f>17.1562 * CHOOSE(CONTROL!$C$32, $C$9, 100%, $E$9)</f>
        <v>17.156199999999998</v>
      </c>
    </row>
    <row r="1031" spans="1:15" ht="15" x14ac:dyDescent="0.2">
      <c r="A1031" s="13">
        <v>72229</v>
      </c>
      <c r="B1031" s="9">
        <f>15.4209 * CHOOSE(CONTROL!$C$32, $C$9, 100%, $E$9)</f>
        <v>15.4209</v>
      </c>
      <c r="C1031" s="9">
        <f>15.4209 * CHOOSE(CONTROL!$C$32, $C$9, 100%, $E$9)</f>
        <v>15.4209</v>
      </c>
      <c r="D1031" s="9">
        <f>15.422 * CHOOSE(CONTROL!$C$32, $C$9, 100%, $E$9)</f>
        <v>15.422000000000001</v>
      </c>
      <c r="E1031" s="11">
        <f>17.3408 * CHOOSE(CONTROL!$C$32, $C$9, 100%, $E$9)</f>
        <v>17.340800000000002</v>
      </c>
      <c r="F1031" s="11">
        <f>17.3408 * CHOOSE(CONTROL!$C$32, $C$9, 100%, $E$9)</f>
        <v>17.340800000000002</v>
      </c>
      <c r="G1031" s="11">
        <f>17.3444 * CHOOSE(CONTROL!$C$32, $C$9, 100%, $E$9)</f>
        <v>17.3444</v>
      </c>
      <c r="H1031" s="11">
        <f>36.7965 * CHOOSE(CONTROL!$C$32, $C$9, 100%, $E$9)</f>
        <v>36.796500000000002</v>
      </c>
      <c r="I1031" s="11">
        <f>36.8001 * CHOOSE(CONTROL!$C$32, $C$9, 100%, $E$9)</f>
        <v>36.8001</v>
      </c>
      <c r="J1031" s="11">
        <f>36.7965 * CHOOSE(CONTROL!$C$32, $C$9, 100%, $E$9)</f>
        <v>36.796500000000002</v>
      </c>
      <c r="K1031" s="11">
        <f>36.8001 * CHOOSE(CONTROL!$C$32, $C$9, 100%, $E$9)</f>
        <v>36.8001</v>
      </c>
      <c r="L1031" s="11">
        <f>17.3408 * CHOOSE(CONTROL!$C$32, $C$9, 100%, $E$9)</f>
        <v>17.340800000000002</v>
      </c>
      <c r="M1031" s="11">
        <f>17.3444 * CHOOSE(CONTROL!$C$32, $C$9, 100%, $E$9)</f>
        <v>17.3444</v>
      </c>
      <c r="N1031" s="11">
        <f>17.3408 * CHOOSE(CONTROL!$C$32, $C$9, 100%, $E$9)</f>
        <v>17.340800000000002</v>
      </c>
      <c r="O1031" s="11">
        <f>17.3444 * CHOOSE(CONTROL!$C$32, $C$9, 100%, $E$9)</f>
        <v>17.3444</v>
      </c>
    </row>
    <row r="1032" spans="1:15" ht="15" x14ac:dyDescent="0.2">
      <c r="A1032" s="13">
        <v>72260</v>
      </c>
      <c r="B1032" s="9">
        <f>15.424 * CHOOSE(CONTROL!$C$32, $C$9, 100%, $E$9)</f>
        <v>15.423999999999999</v>
      </c>
      <c r="C1032" s="9">
        <f>15.424 * CHOOSE(CONTROL!$C$32, $C$9, 100%, $E$9)</f>
        <v>15.423999999999999</v>
      </c>
      <c r="D1032" s="9">
        <f>15.425 * CHOOSE(CONTROL!$C$32, $C$9, 100%, $E$9)</f>
        <v>15.425000000000001</v>
      </c>
      <c r="E1032" s="11">
        <f>17.4445 * CHOOSE(CONTROL!$C$32, $C$9, 100%, $E$9)</f>
        <v>17.444500000000001</v>
      </c>
      <c r="F1032" s="11">
        <f>17.4445 * CHOOSE(CONTROL!$C$32, $C$9, 100%, $E$9)</f>
        <v>17.444500000000001</v>
      </c>
      <c r="G1032" s="11">
        <f>17.4482 * CHOOSE(CONTROL!$C$32, $C$9, 100%, $E$9)</f>
        <v>17.4482</v>
      </c>
      <c r="H1032" s="11">
        <f>36.8732 * CHOOSE(CONTROL!$C$32, $C$9, 100%, $E$9)</f>
        <v>36.873199999999997</v>
      </c>
      <c r="I1032" s="11">
        <f>36.8768 * CHOOSE(CONTROL!$C$32, $C$9, 100%, $E$9)</f>
        <v>36.876800000000003</v>
      </c>
      <c r="J1032" s="11">
        <f>36.8732 * CHOOSE(CONTROL!$C$32, $C$9, 100%, $E$9)</f>
        <v>36.873199999999997</v>
      </c>
      <c r="K1032" s="11">
        <f>36.8768 * CHOOSE(CONTROL!$C$32, $C$9, 100%, $E$9)</f>
        <v>36.876800000000003</v>
      </c>
      <c r="L1032" s="11">
        <f>17.4445 * CHOOSE(CONTROL!$C$32, $C$9, 100%, $E$9)</f>
        <v>17.444500000000001</v>
      </c>
      <c r="M1032" s="11">
        <f>17.4482 * CHOOSE(CONTROL!$C$32, $C$9, 100%, $E$9)</f>
        <v>17.4482</v>
      </c>
      <c r="N1032" s="11">
        <f>17.4445 * CHOOSE(CONTROL!$C$32, $C$9, 100%, $E$9)</f>
        <v>17.444500000000001</v>
      </c>
      <c r="O1032" s="11">
        <f>17.4482 * CHOOSE(CONTROL!$C$32, $C$9, 100%, $E$9)</f>
        <v>17.4482</v>
      </c>
    </row>
    <row r="1033" spans="1:15" ht="15" x14ac:dyDescent="0.2">
      <c r="A1033" s="13">
        <v>72290</v>
      </c>
      <c r="B1033" s="9">
        <f>15.424 * CHOOSE(CONTROL!$C$32, $C$9, 100%, $E$9)</f>
        <v>15.423999999999999</v>
      </c>
      <c r="C1033" s="9">
        <f>15.424 * CHOOSE(CONTROL!$C$32, $C$9, 100%, $E$9)</f>
        <v>15.423999999999999</v>
      </c>
      <c r="D1033" s="9">
        <f>15.425 * CHOOSE(CONTROL!$C$32, $C$9, 100%, $E$9)</f>
        <v>15.425000000000001</v>
      </c>
      <c r="E1033" s="11">
        <f>17.1904 * CHOOSE(CONTROL!$C$32, $C$9, 100%, $E$9)</f>
        <v>17.1904</v>
      </c>
      <c r="F1033" s="11">
        <f>17.1904 * CHOOSE(CONTROL!$C$32, $C$9, 100%, $E$9)</f>
        <v>17.1904</v>
      </c>
      <c r="G1033" s="11">
        <f>17.194 * CHOOSE(CONTROL!$C$32, $C$9, 100%, $E$9)</f>
        <v>17.193999999999999</v>
      </c>
      <c r="H1033" s="11">
        <f>36.95 * CHOOSE(CONTROL!$C$32, $C$9, 100%, $E$9)</f>
        <v>36.950000000000003</v>
      </c>
      <c r="I1033" s="11">
        <f>36.9536 * CHOOSE(CONTROL!$C$32, $C$9, 100%, $E$9)</f>
        <v>36.953600000000002</v>
      </c>
      <c r="J1033" s="11">
        <f>36.95 * CHOOSE(CONTROL!$C$32, $C$9, 100%, $E$9)</f>
        <v>36.950000000000003</v>
      </c>
      <c r="K1033" s="11">
        <f>36.9536 * CHOOSE(CONTROL!$C$32, $C$9, 100%, $E$9)</f>
        <v>36.953600000000002</v>
      </c>
      <c r="L1033" s="11">
        <f>17.1904 * CHOOSE(CONTROL!$C$32, $C$9, 100%, $E$9)</f>
        <v>17.1904</v>
      </c>
      <c r="M1033" s="11">
        <f>17.194 * CHOOSE(CONTROL!$C$32, $C$9, 100%, $E$9)</f>
        <v>17.193999999999999</v>
      </c>
      <c r="N1033" s="11">
        <f>17.1904 * CHOOSE(CONTROL!$C$32, $C$9, 100%, $E$9)</f>
        <v>17.1904</v>
      </c>
      <c r="O1033" s="11">
        <f>17.194 * CHOOSE(CONTROL!$C$32, $C$9, 100%, $E$9)</f>
        <v>17.193999999999999</v>
      </c>
    </row>
    <row r="1034" spans="1:15" ht="15" x14ac:dyDescent="0.2">
      <c r="A1034" s="13">
        <v>72321</v>
      </c>
      <c r="B1034" s="9">
        <f>15.3771 * CHOOSE(CONTROL!$C$32, $C$9, 100%, $E$9)</f>
        <v>15.3771</v>
      </c>
      <c r="C1034" s="9">
        <f>15.3771 * CHOOSE(CONTROL!$C$32, $C$9, 100%, $E$9)</f>
        <v>15.3771</v>
      </c>
      <c r="D1034" s="9">
        <f>15.3782 * CHOOSE(CONTROL!$C$32, $C$9, 100%, $E$9)</f>
        <v>15.3782</v>
      </c>
      <c r="E1034" s="11">
        <f>17.3206 * CHOOSE(CONTROL!$C$32, $C$9, 100%, $E$9)</f>
        <v>17.320599999999999</v>
      </c>
      <c r="F1034" s="11">
        <f>17.3206 * CHOOSE(CONTROL!$C$32, $C$9, 100%, $E$9)</f>
        <v>17.320599999999999</v>
      </c>
      <c r="G1034" s="11">
        <f>17.3243 * CHOOSE(CONTROL!$C$32, $C$9, 100%, $E$9)</f>
        <v>17.324300000000001</v>
      </c>
      <c r="H1034" s="11">
        <f>36.5855 * CHOOSE(CONTROL!$C$32, $C$9, 100%, $E$9)</f>
        <v>36.585500000000003</v>
      </c>
      <c r="I1034" s="11">
        <f>36.5891 * CHOOSE(CONTROL!$C$32, $C$9, 100%, $E$9)</f>
        <v>36.589100000000002</v>
      </c>
      <c r="J1034" s="11">
        <f>36.5855 * CHOOSE(CONTROL!$C$32, $C$9, 100%, $E$9)</f>
        <v>36.585500000000003</v>
      </c>
      <c r="K1034" s="11">
        <f>36.5891 * CHOOSE(CONTROL!$C$32, $C$9, 100%, $E$9)</f>
        <v>36.589100000000002</v>
      </c>
      <c r="L1034" s="11">
        <f>17.3206 * CHOOSE(CONTROL!$C$32, $C$9, 100%, $E$9)</f>
        <v>17.320599999999999</v>
      </c>
      <c r="M1034" s="11">
        <f>17.3243 * CHOOSE(CONTROL!$C$32, $C$9, 100%, $E$9)</f>
        <v>17.324300000000001</v>
      </c>
      <c r="N1034" s="11">
        <f>17.3206 * CHOOSE(CONTROL!$C$32, $C$9, 100%, $E$9)</f>
        <v>17.320599999999999</v>
      </c>
      <c r="O1034" s="11">
        <f>17.3243 * CHOOSE(CONTROL!$C$32, $C$9, 100%, $E$9)</f>
        <v>17.324300000000001</v>
      </c>
    </row>
    <row r="1035" spans="1:15" ht="15" x14ac:dyDescent="0.2">
      <c r="A1035" s="13">
        <v>72352</v>
      </c>
      <c r="B1035" s="9">
        <f>15.3741 * CHOOSE(CONTROL!$C$32, $C$9, 100%, $E$9)</f>
        <v>15.3741</v>
      </c>
      <c r="C1035" s="9">
        <f>15.3741 * CHOOSE(CONTROL!$C$32, $C$9, 100%, $E$9)</f>
        <v>15.3741</v>
      </c>
      <c r="D1035" s="9">
        <f>15.3751 * CHOOSE(CONTROL!$C$32, $C$9, 100%, $E$9)</f>
        <v>15.3751</v>
      </c>
      <c r="E1035" s="11">
        <f>16.8312 * CHOOSE(CONTROL!$C$32, $C$9, 100%, $E$9)</f>
        <v>16.831199999999999</v>
      </c>
      <c r="F1035" s="11">
        <f>16.8312 * CHOOSE(CONTROL!$C$32, $C$9, 100%, $E$9)</f>
        <v>16.831199999999999</v>
      </c>
      <c r="G1035" s="11">
        <f>16.8348 * CHOOSE(CONTROL!$C$32, $C$9, 100%, $E$9)</f>
        <v>16.834800000000001</v>
      </c>
      <c r="H1035" s="11">
        <f>36.6617 * CHOOSE(CONTROL!$C$32, $C$9, 100%, $E$9)</f>
        <v>36.661700000000003</v>
      </c>
      <c r="I1035" s="11">
        <f>36.6653 * CHOOSE(CONTROL!$C$32, $C$9, 100%, $E$9)</f>
        <v>36.665300000000002</v>
      </c>
      <c r="J1035" s="11">
        <f>36.6617 * CHOOSE(CONTROL!$C$32, $C$9, 100%, $E$9)</f>
        <v>36.661700000000003</v>
      </c>
      <c r="K1035" s="11">
        <f>36.6653 * CHOOSE(CONTROL!$C$32, $C$9, 100%, $E$9)</f>
        <v>36.665300000000002</v>
      </c>
      <c r="L1035" s="11">
        <f>16.8312 * CHOOSE(CONTROL!$C$32, $C$9, 100%, $E$9)</f>
        <v>16.831199999999999</v>
      </c>
      <c r="M1035" s="11">
        <f>16.8348 * CHOOSE(CONTROL!$C$32, $C$9, 100%, $E$9)</f>
        <v>16.834800000000001</v>
      </c>
      <c r="N1035" s="11">
        <f>16.8312 * CHOOSE(CONTROL!$C$32, $C$9, 100%, $E$9)</f>
        <v>16.831199999999999</v>
      </c>
      <c r="O1035" s="11">
        <f>16.8348 * CHOOSE(CONTROL!$C$32, $C$9, 100%, $E$9)</f>
        <v>16.834800000000001</v>
      </c>
    </row>
    <row r="1036" spans="1:15" ht="15" x14ac:dyDescent="0.2">
      <c r="A1036" s="13">
        <v>72380</v>
      </c>
      <c r="B1036" s="9">
        <f>15.371 * CHOOSE(CONTROL!$C$32, $C$9, 100%, $E$9)</f>
        <v>15.371</v>
      </c>
      <c r="C1036" s="9">
        <f>15.371 * CHOOSE(CONTROL!$C$32, $C$9, 100%, $E$9)</f>
        <v>15.371</v>
      </c>
      <c r="D1036" s="9">
        <f>15.3721 * CHOOSE(CONTROL!$C$32, $C$9, 100%, $E$9)</f>
        <v>15.3721</v>
      </c>
      <c r="E1036" s="11">
        <f>17.2133 * CHOOSE(CONTROL!$C$32, $C$9, 100%, $E$9)</f>
        <v>17.2133</v>
      </c>
      <c r="F1036" s="11">
        <f>17.2133 * CHOOSE(CONTROL!$C$32, $C$9, 100%, $E$9)</f>
        <v>17.2133</v>
      </c>
      <c r="G1036" s="11">
        <f>17.2169 * CHOOSE(CONTROL!$C$32, $C$9, 100%, $E$9)</f>
        <v>17.216899999999999</v>
      </c>
      <c r="H1036" s="11">
        <f>36.7381 * CHOOSE(CONTROL!$C$32, $C$9, 100%, $E$9)</f>
        <v>36.738100000000003</v>
      </c>
      <c r="I1036" s="11">
        <f>36.7417 * CHOOSE(CONTROL!$C$32, $C$9, 100%, $E$9)</f>
        <v>36.741700000000002</v>
      </c>
      <c r="J1036" s="11">
        <f>36.7381 * CHOOSE(CONTROL!$C$32, $C$9, 100%, $E$9)</f>
        <v>36.738100000000003</v>
      </c>
      <c r="K1036" s="11">
        <f>36.7417 * CHOOSE(CONTROL!$C$32, $C$9, 100%, $E$9)</f>
        <v>36.741700000000002</v>
      </c>
      <c r="L1036" s="11">
        <f>17.2133 * CHOOSE(CONTROL!$C$32, $C$9, 100%, $E$9)</f>
        <v>17.2133</v>
      </c>
      <c r="M1036" s="11">
        <f>17.2169 * CHOOSE(CONTROL!$C$32, $C$9, 100%, $E$9)</f>
        <v>17.216899999999999</v>
      </c>
      <c r="N1036" s="11">
        <f>17.2133 * CHOOSE(CONTROL!$C$32, $C$9, 100%, $E$9)</f>
        <v>17.2133</v>
      </c>
      <c r="O1036" s="11">
        <f>17.2169 * CHOOSE(CONTROL!$C$32, $C$9, 100%, $E$9)</f>
        <v>17.216899999999999</v>
      </c>
    </row>
    <row r="1037" spans="1:15" ht="15" x14ac:dyDescent="0.2">
      <c r="A1037" s="13">
        <v>72411</v>
      </c>
      <c r="B1037" s="9">
        <f>15.3797 * CHOOSE(CONTROL!$C$32, $C$9, 100%, $E$9)</f>
        <v>15.3797</v>
      </c>
      <c r="C1037" s="9">
        <f>15.3797 * CHOOSE(CONTROL!$C$32, $C$9, 100%, $E$9)</f>
        <v>15.3797</v>
      </c>
      <c r="D1037" s="9">
        <f>15.3808 * CHOOSE(CONTROL!$C$32, $C$9, 100%, $E$9)</f>
        <v>15.380800000000001</v>
      </c>
      <c r="E1037" s="11">
        <f>17.6216 * CHOOSE(CONTROL!$C$32, $C$9, 100%, $E$9)</f>
        <v>17.621600000000001</v>
      </c>
      <c r="F1037" s="11">
        <f>17.6216 * CHOOSE(CONTROL!$C$32, $C$9, 100%, $E$9)</f>
        <v>17.621600000000001</v>
      </c>
      <c r="G1037" s="11">
        <f>17.6252 * CHOOSE(CONTROL!$C$32, $C$9, 100%, $E$9)</f>
        <v>17.6252</v>
      </c>
      <c r="H1037" s="11">
        <f>36.8146 * CHOOSE(CONTROL!$C$32, $C$9, 100%, $E$9)</f>
        <v>36.814599999999999</v>
      </c>
      <c r="I1037" s="11">
        <f>36.8183 * CHOOSE(CONTROL!$C$32, $C$9, 100%, $E$9)</f>
        <v>36.818300000000001</v>
      </c>
      <c r="J1037" s="11">
        <f>36.8146 * CHOOSE(CONTROL!$C$32, $C$9, 100%, $E$9)</f>
        <v>36.814599999999999</v>
      </c>
      <c r="K1037" s="11">
        <f>36.8183 * CHOOSE(CONTROL!$C$32, $C$9, 100%, $E$9)</f>
        <v>36.818300000000001</v>
      </c>
      <c r="L1037" s="11">
        <f>17.6216 * CHOOSE(CONTROL!$C$32, $C$9, 100%, $E$9)</f>
        <v>17.621600000000001</v>
      </c>
      <c r="M1037" s="11">
        <f>17.6252 * CHOOSE(CONTROL!$C$32, $C$9, 100%, $E$9)</f>
        <v>17.6252</v>
      </c>
      <c r="N1037" s="11">
        <f>17.6216 * CHOOSE(CONTROL!$C$32, $C$9, 100%, $E$9)</f>
        <v>17.621600000000001</v>
      </c>
      <c r="O1037" s="11">
        <f>17.6252 * CHOOSE(CONTROL!$C$32, $C$9, 100%, $E$9)</f>
        <v>17.6252</v>
      </c>
    </row>
    <row r="1038" spans="1:15" ht="15" x14ac:dyDescent="0.2">
      <c r="A1038" s="13">
        <v>72441</v>
      </c>
      <c r="B1038" s="9">
        <f>15.3797 * CHOOSE(CONTROL!$C$32, $C$9, 100%, $E$9)</f>
        <v>15.3797</v>
      </c>
      <c r="C1038" s="9">
        <f>15.3797 * CHOOSE(CONTROL!$C$32, $C$9, 100%, $E$9)</f>
        <v>15.3797</v>
      </c>
      <c r="D1038" s="9">
        <f>15.3813 * CHOOSE(CONTROL!$C$32, $C$9, 100%, $E$9)</f>
        <v>15.3813</v>
      </c>
      <c r="E1038" s="11">
        <f>17.7763 * CHOOSE(CONTROL!$C$32, $C$9, 100%, $E$9)</f>
        <v>17.776299999999999</v>
      </c>
      <c r="F1038" s="11">
        <f>17.7763 * CHOOSE(CONTROL!$C$32, $C$9, 100%, $E$9)</f>
        <v>17.776299999999999</v>
      </c>
      <c r="G1038" s="11">
        <f>17.7816 * CHOOSE(CONTROL!$C$32, $C$9, 100%, $E$9)</f>
        <v>17.781600000000001</v>
      </c>
      <c r="H1038" s="11">
        <f>36.8913 * CHOOSE(CONTROL!$C$32, $C$9, 100%, $E$9)</f>
        <v>36.891300000000001</v>
      </c>
      <c r="I1038" s="11">
        <f>36.8966 * CHOOSE(CONTROL!$C$32, $C$9, 100%, $E$9)</f>
        <v>36.896599999999999</v>
      </c>
      <c r="J1038" s="11">
        <f>36.8913 * CHOOSE(CONTROL!$C$32, $C$9, 100%, $E$9)</f>
        <v>36.891300000000001</v>
      </c>
      <c r="K1038" s="11">
        <f>36.8966 * CHOOSE(CONTROL!$C$32, $C$9, 100%, $E$9)</f>
        <v>36.896599999999999</v>
      </c>
      <c r="L1038" s="11">
        <f>17.7763 * CHOOSE(CONTROL!$C$32, $C$9, 100%, $E$9)</f>
        <v>17.776299999999999</v>
      </c>
      <c r="M1038" s="11">
        <f>17.7816 * CHOOSE(CONTROL!$C$32, $C$9, 100%, $E$9)</f>
        <v>17.781600000000001</v>
      </c>
      <c r="N1038" s="11">
        <f>17.7763 * CHOOSE(CONTROL!$C$32, $C$9, 100%, $E$9)</f>
        <v>17.776299999999999</v>
      </c>
      <c r="O1038" s="11">
        <f>17.7816 * CHOOSE(CONTROL!$C$32, $C$9, 100%, $E$9)</f>
        <v>17.781600000000001</v>
      </c>
    </row>
    <row r="1039" spans="1:15" ht="15" x14ac:dyDescent="0.2">
      <c r="A1039" s="13">
        <v>72472</v>
      </c>
      <c r="B1039" s="9">
        <f>15.3858 * CHOOSE(CONTROL!$C$32, $C$9, 100%, $E$9)</f>
        <v>15.3858</v>
      </c>
      <c r="C1039" s="9">
        <f>15.3858 * CHOOSE(CONTROL!$C$32, $C$9, 100%, $E$9)</f>
        <v>15.3858</v>
      </c>
      <c r="D1039" s="9">
        <f>15.3874 * CHOOSE(CONTROL!$C$32, $C$9, 100%, $E$9)</f>
        <v>15.3874</v>
      </c>
      <c r="E1039" s="11">
        <f>17.6258 * CHOOSE(CONTROL!$C$32, $C$9, 100%, $E$9)</f>
        <v>17.625800000000002</v>
      </c>
      <c r="F1039" s="11">
        <f>17.6258 * CHOOSE(CONTROL!$C$32, $C$9, 100%, $E$9)</f>
        <v>17.625800000000002</v>
      </c>
      <c r="G1039" s="11">
        <f>17.6311 * CHOOSE(CONTROL!$C$32, $C$9, 100%, $E$9)</f>
        <v>17.6311</v>
      </c>
      <c r="H1039" s="11">
        <f>36.9682 * CHOOSE(CONTROL!$C$32, $C$9, 100%, $E$9)</f>
        <v>36.968200000000003</v>
      </c>
      <c r="I1039" s="11">
        <f>36.9735 * CHOOSE(CONTROL!$C$32, $C$9, 100%, $E$9)</f>
        <v>36.973500000000001</v>
      </c>
      <c r="J1039" s="11">
        <f>36.9682 * CHOOSE(CONTROL!$C$32, $C$9, 100%, $E$9)</f>
        <v>36.968200000000003</v>
      </c>
      <c r="K1039" s="11">
        <f>36.9735 * CHOOSE(CONTROL!$C$32, $C$9, 100%, $E$9)</f>
        <v>36.973500000000001</v>
      </c>
      <c r="L1039" s="11">
        <f>17.6258 * CHOOSE(CONTROL!$C$32, $C$9, 100%, $E$9)</f>
        <v>17.625800000000002</v>
      </c>
      <c r="M1039" s="11">
        <f>17.6311 * CHOOSE(CONTROL!$C$32, $C$9, 100%, $E$9)</f>
        <v>17.6311</v>
      </c>
      <c r="N1039" s="11">
        <f>17.6258 * CHOOSE(CONTROL!$C$32, $C$9, 100%, $E$9)</f>
        <v>17.625800000000002</v>
      </c>
      <c r="O1039" s="11">
        <f>17.6311 * CHOOSE(CONTROL!$C$32, $C$9, 100%, $E$9)</f>
        <v>17.6311</v>
      </c>
    </row>
    <row r="1040" spans="1:15" ht="15" x14ac:dyDescent="0.2">
      <c r="A1040" s="13">
        <v>72502</v>
      </c>
      <c r="B1040" s="9">
        <f>15.5692 * CHOOSE(CONTROL!$C$32, $C$9, 100%, $E$9)</f>
        <v>15.5692</v>
      </c>
      <c r="C1040" s="9">
        <f>15.5692 * CHOOSE(CONTROL!$C$32, $C$9, 100%, $E$9)</f>
        <v>15.5692</v>
      </c>
      <c r="D1040" s="9">
        <f>15.5708 * CHOOSE(CONTROL!$C$32, $C$9, 100%, $E$9)</f>
        <v>15.5708</v>
      </c>
      <c r="E1040" s="11">
        <f>17.8768 * CHOOSE(CONTROL!$C$32, $C$9, 100%, $E$9)</f>
        <v>17.876799999999999</v>
      </c>
      <c r="F1040" s="11">
        <f>17.8768 * CHOOSE(CONTROL!$C$32, $C$9, 100%, $E$9)</f>
        <v>17.876799999999999</v>
      </c>
      <c r="G1040" s="11">
        <f>17.8821 * CHOOSE(CONTROL!$C$32, $C$9, 100%, $E$9)</f>
        <v>17.882100000000001</v>
      </c>
      <c r="H1040" s="11">
        <f>37.0452 * CHOOSE(CONTROL!$C$32, $C$9, 100%, $E$9)</f>
        <v>37.045200000000001</v>
      </c>
      <c r="I1040" s="11">
        <f>37.0505 * CHOOSE(CONTROL!$C$32, $C$9, 100%, $E$9)</f>
        <v>37.0505</v>
      </c>
      <c r="J1040" s="11">
        <f>37.0452 * CHOOSE(CONTROL!$C$32, $C$9, 100%, $E$9)</f>
        <v>37.045200000000001</v>
      </c>
      <c r="K1040" s="11">
        <f>37.0505 * CHOOSE(CONTROL!$C$32, $C$9, 100%, $E$9)</f>
        <v>37.0505</v>
      </c>
      <c r="L1040" s="11">
        <f>17.8768 * CHOOSE(CONTROL!$C$32, $C$9, 100%, $E$9)</f>
        <v>17.876799999999999</v>
      </c>
      <c r="M1040" s="11">
        <f>17.8821 * CHOOSE(CONTROL!$C$32, $C$9, 100%, $E$9)</f>
        <v>17.882100000000001</v>
      </c>
      <c r="N1040" s="11">
        <f>17.8768 * CHOOSE(CONTROL!$C$32, $C$9, 100%, $E$9)</f>
        <v>17.876799999999999</v>
      </c>
      <c r="O1040" s="11">
        <f>17.8821 * CHOOSE(CONTROL!$C$32, $C$9, 100%, $E$9)</f>
        <v>17.882100000000001</v>
      </c>
    </row>
    <row r="1041" spans="1:15" ht="15" x14ac:dyDescent="0.2">
      <c r="A1041" s="13">
        <v>72533</v>
      </c>
      <c r="B1041" s="9">
        <f>15.5759 * CHOOSE(CONTROL!$C$32, $C$9, 100%, $E$9)</f>
        <v>15.575900000000001</v>
      </c>
      <c r="C1041" s="9">
        <f>15.5759 * CHOOSE(CONTROL!$C$32, $C$9, 100%, $E$9)</f>
        <v>15.575900000000001</v>
      </c>
      <c r="D1041" s="9">
        <f>15.5775 * CHOOSE(CONTROL!$C$32, $C$9, 100%, $E$9)</f>
        <v>15.577500000000001</v>
      </c>
      <c r="E1041" s="11">
        <f>17.4173 * CHOOSE(CONTROL!$C$32, $C$9, 100%, $E$9)</f>
        <v>17.417300000000001</v>
      </c>
      <c r="F1041" s="11">
        <f>17.4173 * CHOOSE(CONTROL!$C$32, $C$9, 100%, $E$9)</f>
        <v>17.417300000000001</v>
      </c>
      <c r="G1041" s="11">
        <f>17.4226 * CHOOSE(CONTROL!$C$32, $C$9, 100%, $E$9)</f>
        <v>17.422599999999999</v>
      </c>
      <c r="H1041" s="11">
        <f>37.1224 * CHOOSE(CONTROL!$C$32, $C$9, 100%, $E$9)</f>
        <v>37.122399999999999</v>
      </c>
      <c r="I1041" s="11">
        <f>37.1277 * CHOOSE(CONTROL!$C$32, $C$9, 100%, $E$9)</f>
        <v>37.127699999999997</v>
      </c>
      <c r="J1041" s="11">
        <f>37.1224 * CHOOSE(CONTROL!$C$32, $C$9, 100%, $E$9)</f>
        <v>37.122399999999999</v>
      </c>
      <c r="K1041" s="11">
        <f>37.1277 * CHOOSE(CONTROL!$C$32, $C$9, 100%, $E$9)</f>
        <v>37.127699999999997</v>
      </c>
      <c r="L1041" s="11">
        <f>17.4173 * CHOOSE(CONTROL!$C$32, $C$9, 100%, $E$9)</f>
        <v>17.417300000000001</v>
      </c>
      <c r="M1041" s="11">
        <f>17.4226 * CHOOSE(CONTROL!$C$32, $C$9, 100%, $E$9)</f>
        <v>17.422599999999999</v>
      </c>
      <c r="N1041" s="11">
        <f>17.4173 * CHOOSE(CONTROL!$C$32, $C$9, 100%, $E$9)</f>
        <v>17.417300000000001</v>
      </c>
      <c r="O1041" s="11">
        <f>17.4226 * CHOOSE(CONTROL!$C$32, $C$9, 100%, $E$9)</f>
        <v>17.422599999999999</v>
      </c>
    </row>
    <row r="1042" spans="1:15" ht="15" x14ac:dyDescent="0.2">
      <c r="A1042" s="13">
        <v>72564</v>
      </c>
      <c r="B1042" s="9">
        <f>15.5729 * CHOOSE(CONTROL!$C$32, $C$9, 100%, $E$9)</f>
        <v>15.572900000000001</v>
      </c>
      <c r="C1042" s="9">
        <f>15.5729 * CHOOSE(CONTROL!$C$32, $C$9, 100%, $E$9)</f>
        <v>15.572900000000001</v>
      </c>
      <c r="D1042" s="9">
        <f>15.5745 * CHOOSE(CONTROL!$C$32, $C$9, 100%, $E$9)</f>
        <v>15.5745</v>
      </c>
      <c r="E1042" s="11">
        <f>17.3636 * CHOOSE(CONTROL!$C$32, $C$9, 100%, $E$9)</f>
        <v>17.363600000000002</v>
      </c>
      <c r="F1042" s="11">
        <f>17.3636 * CHOOSE(CONTROL!$C$32, $C$9, 100%, $E$9)</f>
        <v>17.363600000000002</v>
      </c>
      <c r="G1042" s="11">
        <f>17.3689 * CHOOSE(CONTROL!$C$32, $C$9, 100%, $E$9)</f>
        <v>17.3689</v>
      </c>
      <c r="H1042" s="11">
        <f>37.1997 * CHOOSE(CONTROL!$C$32, $C$9, 100%, $E$9)</f>
        <v>37.1997</v>
      </c>
      <c r="I1042" s="11">
        <f>37.205 * CHOOSE(CONTROL!$C$32, $C$9, 100%, $E$9)</f>
        <v>37.204999999999998</v>
      </c>
      <c r="J1042" s="11">
        <f>37.1997 * CHOOSE(CONTROL!$C$32, $C$9, 100%, $E$9)</f>
        <v>37.1997</v>
      </c>
      <c r="K1042" s="11">
        <f>37.205 * CHOOSE(CONTROL!$C$32, $C$9, 100%, $E$9)</f>
        <v>37.204999999999998</v>
      </c>
      <c r="L1042" s="11">
        <f>17.3636 * CHOOSE(CONTROL!$C$32, $C$9, 100%, $E$9)</f>
        <v>17.363600000000002</v>
      </c>
      <c r="M1042" s="11">
        <f>17.3689 * CHOOSE(CONTROL!$C$32, $C$9, 100%, $E$9)</f>
        <v>17.3689</v>
      </c>
      <c r="N1042" s="11">
        <f>17.3636 * CHOOSE(CONTROL!$C$32, $C$9, 100%, $E$9)</f>
        <v>17.363600000000002</v>
      </c>
      <c r="O1042" s="11">
        <f>17.3689 * CHOOSE(CONTROL!$C$32, $C$9, 100%, $E$9)</f>
        <v>17.3689</v>
      </c>
    </row>
    <row r="1043" spans="1:15" ht="15" x14ac:dyDescent="0.2">
      <c r="A1043" s="13">
        <v>72594</v>
      </c>
      <c r="B1043" s="9">
        <f>15.6112 * CHOOSE(CONTROL!$C$32, $C$9, 100%, $E$9)</f>
        <v>15.6112</v>
      </c>
      <c r="C1043" s="9">
        <f>15.6112 * CHOOSE(CONTROL!$C$32, $C$9, 100%, $E$9)</f>
        <v>15.6112</v>
      </c>
      <c r="D1043" s="9">
        <f>15.6123 * CHOOSE(CONTROL!$C$32, $C$9, 100%, $E$9)</f>
        <v>15.612299999999999</v>
      </c>
      <c r="E1043" s="11">
        <f>17.5565 * CHOOSE(CONTROL!$C$32, $C$9, 100%, $E$9)</f>
        <v>17.5565</v>
      </c>
      <c r="F1043" s="11">
        <f>17.5565 * CHOOSE(CONTROL!$C$32, $C$9, 100%, $E$9)</f>
        <v>17.5565</v>
      </c>
      <c r="G1043" s="11">
        <f>17.5601 * CHOOSE(CONTROL!$C$32, $C$9, 100%, $E$9)</f>
        <v>17.560099999999998</v>
      </c>
      <c r="H1043" s="11">
        <f>37.2772 * CHOOSE(CONTROL!$C$32, $C$9, 100%, $E$9)</f>
        <v>37.277200000000001</v>
      </c>
      <c r="I1043" s="11">
        <f>37.2808 * CHOOSE(CONTROL!$C$32, $C$9, 100%, $E$9)</f>
        <v>37.280799999999999</v>
      </c>
      <c r="J1043" s="11">
        <f>37.2772 * CHOOSE(CONTROL!$C$32, $C$9, 100%, $E$9)</f>
        <v>37.277200000000001</v>
      </c>
      <c r="K1043" s="11">
        <f>37.2808 * CHOOSE(CONTROL!$C$32, $C$9, 100%, $E$9)</f>
        <v>37.280799999999999</v>
      </c>
      <c r="L1043" s="11">
        <f>17.5565 * CHOOSE(CONTROL!$C$32, $C$9, 100%, $E$9)</f>
        <v>17.5565</v>
      </c>
      <c r="M1043" s="11">
        <f>17.5601 * CHOOSE(CONTROL!$C$32, $C$9, 100%, $E$9)</f>
        <v>17.560099999999998</v>
      </c>
      <c r="N1043" s="11">
        <f>17.5565 * CHOOSE(CONTROL!$C$32, $C$9, 100%, $E$9)</f>
        <v>17.5565</v>
      </c>
      <c r="O1043" s="11">
        <f>17.5601 * CHOOSE(CONTROL!$C$32, $C$9, 100%, $E$9)</f>
        <v>17.560099999999998</v>
      </c>
    </row>
    <row r="1044" spans="1:15" ht="15" x14ac:dyDescent="0.2">
      <c r="A1044" s="13">
        <v>72625</v>
      </c>
      <c r="B1044" s="9">
        <f>15.6143 * CHOOSE(CONTROL!$C$32, $C$9, 100%, $E$9)</f>
        <v>15.6143</v>
      </c>
      <c r="C1044" s="9">
        <f>15.6143 * CHOOSE(CONTROL!$C$32, $C$9, 100%, $E$9)</f>
        <v>15.6143</v>
      </c>
      <c r="D1044" s="9">
        <f>15.6154 * CHOOSE(CONTROL!$C$32, $C$9, 100%, $E$9)</f>
        <v>15.615399999999999</v>
      </c>
      <c r="E1044" s="11">
        <f>17.6617 * CHOOSE(CONTROL!$C$32, $C$9, 100%, $E$9)</f>
        <v>17.6617</v>
      </c>
      <c r="F1044" s="11">
        <f>17.6617 * CHOOSE(CONTROL!$C$32, $C$9, 100%, $E$9)</f>
        <v>17.6617</v>
      </c>
      <c r="G1044" s="11">
        <f>17.6653 * CHOOSE(CONTROL!$C$32, $C$9, 100%, $E$9)</f>
        <v>17.665299999999998</v>
      </c>
      <c r="H1044" s="11">
        <f>37.3549 * CHOOSE(CONTROL!$C$32, $C$9, 100%, $E$9)</f>
        <v>37.354900000000001</v>
      </c>
      <c r="I1044" s="11">
        <f>37.3585 * CHOOSE(CONTROL!$C$32, $C$9, 100%, $E$9)</f>
        <v>37.358499999999999</v>
      </c>
      <c r="J1044" s="11">
        <f>37.3549 * CHOOSE(CONTROL!$C$32, $C$9, 100%, $E$9)</f>
        <v>37.354900000000001</v>
      </c>
      <c r="K1044" s="11">
        <f>37.3585 * CHOOSE(CONTROL!$C$32, $C$9, 100%, $E$9)</f>
        <v>37.358499999999999</v>
      </c>
      <c r="L1044" s="11">
        <f>17.6617 * CHOOSE(CONTROL!$C$32, $C$9, 100%, $E$9)</f>
        <v>17.6617</v>
      </c>
      <c r="M1044" s="11">
        <f>17.6653 * CHOOSE(CONTROL!$C$32, $C$9, 100%, $E$9)</f>
        <v>17.665299999999998</v>
      </c>
      <c r="N1044" s="11">
        <f>17.6617 * CHOOSE(CONTROL!$C$32, $C$9, 100%, $E$9)</f>
        <v>17.6617</v>
      </c>
      <c r="O1044" s="11">
        <f>17.6653 * CHOOSE(CONTROL!$C$32, $C$9, 100%, $E$9)</f>
        <v>17.665299999999998</v>
      </c>
    </row>
    <row r="1045" spans="1:15" ht="15" x14ac:dyDescent="0.2">
      <c r="A1045" s="13">
        <v>72655</v>
      </c>
      <c r="B1045" s="9">
        <f>15.6143 * CHOOSE(CONTROL!$C$32, $C$9, 100%, $E$9)</f>
        <v>15.6143</v>
      </c>
      <c r="C1045" s="9">
        <f>15.6143 * CHOOSE(CONTROL!$C$32, $C$9, 100%, $E$9)</f>
        <v>15.6143</v>
      </c>
      <c r="D1045" s="9">
        <f>15.6154 * CHOOSE(CONTROL!$C$32, $C$9, 100%, $E$9)</f>
        <v>15.615399999999999</v>
      </c>
      <c r="E1045" s="11">
        <f>17.4039 * CHOOSE(CONTROL!$C$32, $C$9, 100%, $E$9)</f>
        <v>17.4039</v>
      </c>
      <c r="F1045" s="11">
        <f>17.4039 * CHOOSE(CONTROL!$C$32, $C$9, 100%, $E$9)</f>
        <v>17.4039</v>
      </c>
      <c r="G1045" s="11">
        <f>17.4075 * CHOOSE(CONTROL!$C$32, $C$9, 100%, $E$9)</f>
        <v>17.407499999999999</v>
      </c>
      <c r="H1045" s="11">
        <f>37.4327 * CHOOSE(CONTROL!$C$32, $C$9, 100%, $E$9)</f>
        <v>37.432699999999997</v>
      </c>
      <c r="I1045" s="11">
        <f>37.4363 * CHOOSE(CONTROL!$C$32, $C$9, 100%, $E$9)</f>
        <v>37.436300000000003</v>
      </c>
      <c r="J1045" s="11">
        <f>37.4327 * CHOOSE(CONTROL!$C$32, $C$9, 100%, $E$9)</f>
        <v>37.432699999999997</v>
      </c>
      <c r="K1045" s="11">
        <f>37.4363 * CHOOSE(CONTROL!$C$32, $C$9, 100%, $E$9)</f>
        <v>37.436300000000003</v>
      </c>
      <c r="L1045" s="11">
        <f>17.4039 * CHOOSE(CONTROL!$C$32, $C$9, 100%, $E$9)</f>
        <v>17.4039</v>
      </c>
      <c r="M1045" s="11">
        <f>17.4075 * CHOOSE(CONTROL!$C$32, $C$9, 100%, $E$9)</f>
        <v>17.407499999999999</v>
      </c>
      <c r="N1045" s="11">
        <f>17.4039 * CHOOSE(CONTROL!$C$32, $C$9, 100%, $E$9)</f>
        <v>17.4039</v>
      </c>
      <c r="O1045" s="11">
        <f>17.4075 * CHOOSE(CONTROL!$C$32, $C$9, 100%, $E$9)</f>
        <v>17.407499999999999</v>
      </c>
    </row>
    <row r="1046" spans="1:15" ht="15" x14ac:dyDescent="0.2">
      <c r="A1046" s="13">
        <v>72686</v>
      </c>
      <c r="B1046" s="9">
        <f>15.5645 * CHOOSE(CONTROL!$C$32, $C$9, 100%, $E$9)</f>
        <v>15.564500000000001</v>
      </c>
      <c r="C1046" s="9">
        <f>15.5645 * CHOOSE(CONTROL!$C$32, $C$9, 100%, $E$9)</f>
        <v>15.564500000000001</v>
      </c>
      <c r="D1046" s="9">
        <f>15.5655 * CHOOSE(CONTROL!$C$32, $C$9, 100%, $E$9)</f>
        <v>15.5655</v>
      </c>
      <c r="E1046" s="11">
        <f>17.5331 * CHOOSE(CONTROL!$C$32, $C$9, 100%, $E$9)</f>
        <v>17.533100000000001</v>
      </c>
      <c r="F1046" s="11">
        <f>17.5331 * CHOOSE(CONTROL!$C$32, $C$9, 100%, $E$9)</f>
        <v>17.533100000000001</v>
      </c>
      <c r="G1046" s="11">
        <f>17.5368 * CHOOSE(CONTROL!$C$32, $C$9, 100%, $E$9)</f>
        <v>17.536799999999999</v>
      </c>
      <c r="H1046" s="11">
        <f>37.0573 * CHOOSE(CONTROL!$C$32, $C$9, 100%, $E$9)</f>
        <v>37.057299999999998</v>
      </c>
      <c r="I1046" s="11">
        <f>37.0609 * CHOOSE(CONTROL!$C$32, $C$9, 100%, $E$9)</f>
        <v>37.060899999999997</v>
      </c>
      <c r="J1046" s="11">
        <f>37.0573 * CHOOSE(CONTROL!$C$32, $C$9, 100%, $E$9)</f>
        <v>37.057299999999998</v>
      </c>
      <c r="K1046" s="11">
        <f>37.0609 * CHOOSE(CONTROL!$C$32, $C$9, 100%, $E$9)</f>
        <v>37.060899999999997</v>
      </c>
      <c r="L1046" s="11">
        <f>17.5331 * CHOOSE(CONTROL!$C$32, $C$9, 100%, $E$9)</f>
        <v>17.533100000000001</v>
      </c>
      <c r="M1046" s="11">
        <f>17.5368 * CHOOSE(CONTROL!$C$32, $C$9, 100%, $E$9)</f>
        <v>17.536799999999999</v>
      </c>
      <c r="N1046" s="11">
        <f>17.5331 * CHOOSE(CONTROL!$C$32, $C$9, 100%, $E$9)</f>
        <v>17.533100000000001</v>
      </c>
      <c r="O1046" s="11">
        <f>17.5368 * CHOOSE(CONTROL!$C$32, $C$9, 100%, $E$9)</f>
        <v>17.536799999999999</v>
      </c>
    </row>
    <row r="1047" spans="1:15" ht="15" x14ac:dyDescent="0.2">
      <c r="A1047" s="13">
        <v>72717</v>
      </c>
      <c r="B1047" s="9">
        <f>15.5614 * CHOOSE(CONTROL!$C$32, $C$9, 100%, $E$9)</f>
        <v>15.561400000000001</v>
      </c>
      <c r="C1047" s="9">
        <f>15.5614 * CHOOSE(CONTROL!$C$32, $C$9, 100%, $E$9)</f>
        <v>15.561400000000001</v>
      </c>
      <c r="D1047" s="9">
        <f>15.5625 * CHOOSE(CONTROL!$C$32, $C$9, 100%, $E$9)</f>
        <v>15.5625</v>
      </c>
      <c r="E1047" s="11">
        <f>17.0366 * CHOOSE(CONTROL!$C$32, $C$9, 100%, $E$9)</f>
        <v>17.0366</v>
      </c>
      <c r="F1047" s="11">
        <f>17.0366 * CHOOSE(CONTROL!$C$32, $C$9, 100%, $E$9)</f>
        <v>17.0366</v>
      </c>
      <c r="G1047" s="11">
        <f>17.0402 * CHOOSE(CONTROL!$C$32, $C$9, 100%, $E$9)</f>
        <v>17.040199999999999</v>
      </c>
      <c r="H1047" s="11">
        <f>37.1345 * CHOOSE(CONTROL!$C$32, $C$9, 100%, $E$9)</f>
        <v>37.134500000000003</v>
      </c>
      <c r="I1047" s="11">
        <f>37.1381 * CHOOSE(CONTROL!$C$32, $C$9, 100%, $E$9)</f>
        <v>37.138100000000001</v>
      </c>
      <c r="J1047" s="11">
        <f>37.1345 * CHOOSE(CONTROL!$C$32, $C$9, 100%, $E$9)</f>
        <v>37.134500000000003</v>
      </c>
      <c r="K1047" s="11">
        <f>37.1381 * CHOOSE(CONTROL!$C$32, $C$9, 100%, $E$9)</f>
        <v>37.138100000000001</v>
      </c>
      <c r="L1047" s="11">
        <f>17.0366 * CHOOSE(CONTROL!$C$32, $C$9, 100%, $E$9)</f>
        <v>17.0366</v>
      </c>
      <c r="M1047" s="11">
        <f>17.0402 * CHOOSE(CONTROL!$C$32, $C$9, 100%, $E$9)</f>
        <v>17.040199999999999</v>
      </c>
      <c r="N1047" s="11">
        <f>17.0366 * CHOOSE(CONTROL!$C$32, $C$9, 100%, $E$9)</f>
        <v>17.0366</v>
      </c>
      <c r="O1047" s="11">
        <f>17.0402 * CHOOSE(CONTROL!$C$32, $C$9, 100%, $E$9)</f>
        <v>17.040199999999999</v>
      </c>
    </row>
    <row r="1048" spans="1:15" ht="15" x14ac:dyDescent="0.2">
      <c r="A1048" s="13">
        <v>72745</v>
      </c>
      <c r="B1048" s="9">
        <f>15.5584 * CHOOSE(CONTROL!$C$32, $C$9, 100%, $E$9)</f>
        <v>15.558400000000001</v>
      </c>
      <c r="C1048" s="9">
        <f>15.5584 * CHOOSE(CONTROL!$C$32, $C$9, 100%, $E$9)</f>
        <v>15.558400000000001</v>
      </c>
      <c r="D1048" s="9">
        <f>15.5595 * CHOOSE(CONTROL!$C$32, $C$9, 100%, $E$9)</f>
        <v>15.5595</v>
      </c>
      <c r="E1048" s="11">
        <f>17.4243 * CHOOSE(CONTROL!$C$32, $C$9, 100%, $E$9)</f>
        <v>17.424299999999999</v>
      </c>
      <c r="F1048" s="11">
        <f>17.4243 * CHOOSE(CONTROL!$C$32, $C$9, 100%, $E$9)</f>
        <v>17.424299999999999</v>
      </c>
      <c r="G1048" s="11">
        <f>17.4279 * CHOOSE(CONTROL!$C$32, $C$9, 100%, $E$9)</f>
        <v>17.427900000000001</v>
      </c>
      <c r="H1048" s="11">
        <f>37.2119 * CHOOSE(CONTROL!$C$32, $C$9, 100%, $E$9)</f>
        <v>37.2119</v>
      </c>
      <c r="I1048" s="11">
        <f>37.2155 * CHOOSE(CONTROL!$C$32, $C$9, 100%, $E$9)</f>
        <v>37.215499999999999</v>
      </c>
      <c r="J1048" s="11">
        <f>37.2119 * CHOOSE(CONTROL!$C$32, $C$9, 100%, $E$9)</f>
        <v>37.2119</v>
      </c>
      <c r="K1048" s="11">
        <f>37.2155 * CHOOSE(CONTROL!$C$32, $C$9, 100%, $E$9)</f>
        <v>37.215499999999999</v>
      </c>
      <c r="L1048" s="11">
        <f>17.4243 * CHOOSE(CONTROL!$C$32, $C$9, 100%, $E$9)</f>
        <v>17.424299999999999</v>
      </c>
      <c r="M1048" s="11">
        <f>17.4279 * CHOOSE(CONTROL!$C$32, $C$9, 100%, $E$9)</f>
        <v>17.427900000000001</v>
      </c>
      <c r="N1048" s="11">
        <f>17.4243 * CHOOSE(CONTROL!$C$32, $C$9, 100%, $E$9)</f>
        <v>17.424299999999999</v>
      </c>
      <c r="O1048" s="11">
        <f>17.4279 * CHOOSE(CONTROL!$C$32, $C$9, 100%, $E$9)</f>
        <v>17.427900000000001</v>
      </c>
    </row>
    <row r="1049" spans="1:15" ht="15" x14ac:dyDescent="0.2">
      <c r="A1049" s="13">
        <v>72776</v>
      </c>
      <c r="B1049" s="9">
        <f>15.5673 * CHOOSE(CONTROL!$C$32, $C$9, 100%, $E$9)</f>
        <v>15.567299999999999</v>
      </c>
      <c r="C1049" s="9">
        <f>15.5673 * CHOOSE(CONTROL!$C$32, $C$9, 100%, $E$9)</f>
        <v>15.567299999999999</v>
      </c>
      <c r="D1049" s="9">
        <f>15.5683 * CHOOSE(CONTROL!$C$32, $C$9, 100%, $E$9)</f>
        <v>15.568300000000001</v>
      </c>
      <c r="E1049" s="11">
        <f>17.8386 * CHOOSE(CONTROL!$C$32, $C$9, 100%, $E$9)</f>
        <v>17.8386</v>
      </c>
      <c r="F1049" s="11">
        <f>17.8386 * CHOOSE(CONTROL!$C$32, $C$9, 100%, $E$9)</f>
        <v>17.8386</v>
      </c>
      <c r="G1049" s="11">
        <f>17.8422 * CHOOSE(CONTROL!$C$32, $C$9, 100%, $E$9)</f>
        <v>17.842199999999998</v>
      </c>
      <c r="H1049" s="11">
        <f>37.2894 * CHOOSE(CONTROL!$C$32, $C$9, 100%, $E$9)</f>
        <v>37.289400000000001</v>
      </c>
      <c r="I1049" s="11">
        <f>37.293 * CHOOSE(CONTROL!$C$32, $C$9, 100%, $E$9)</f>
        <v>37.292999999999999</v>
      </c>
      <c r="J1049" s="11">
        <f>37.2894 * CHOOSE(CONTROL!$C$32, $C$9, 100%, $E$9)</f>
        <v>37.289400000000001</v>
      </c>
      <c r="K1049" s="11">
        <f>37.293 * CHOOSE(CONTROL!$C$32, $C$9, 100%, $E$9)</f>
        <v>37.292999999999999</v>
      </c>
      <c r="L1049" s="11">
        <f>17.8386 * CHOOSE(CONTROL!$C$32, $C$9, 100%, $E$9)</f>
        <v>17.8386</v>
      </c>
      <c r="M1049" s="11">
        <f>17.8422 * CHOOSE(CONTROL!$C$32, $C$9, 100%, $E$9)</f>
        <v>17.842199999999998</v>
      </c>
      <c r="N1049" s="11">
        <f>17.8386 * CHOOSE(CONTROL!$C$32, $C$9, 100%, $E$9)</f>
        <v>17.8386</v>
      </c>
      <c r="O1049" s="11">
        <f>17.8422 * CHOOSE(CONTROL!$C$32, $C$9, 100%, $E$9)</f>
        <v>17.842199999999998</v>
      </c>
    </row>
    <row r="1050" spans="1:15" ht="15" x14ac:dyDescent="0.2">
      <c r="A1050" s="13">
        <v>72806</v>
      </c>
      <c r="B1050" s="9">
        <f>15.5673 * CHOOSE(CONTROL!$C$32, $C$9, 100%, $E$9)</f>
        <v>15.567299999999999</v>
      </c>
      <c r="C1050" s="9">
        <f>15.5673 * CHOOSE(CONTROL!$C$32, $C$9, 100%, $E$9)</f>
        <v>15.567299999999999</v>
      </c>
      <c r="D1050" s="9">
        <f>15.5688 * CHOOSE(CONTROL!$C$32, $C$9, 100%, $E$9)</f>
        <v>15.5688</v>
      </c>
      <c r="E1050" s="11">
        <f>17.9956 * CHOOSE(CONTROL!$C$32, $C$9, 100%, $E$9)</f>
        <v>17.9956</v>
      </c>
      <c r="F1050" s="11">
        <f>17.9956 * CHOOSE(CONTROL!$C$32, $C$9, 100%, $E$9)</f>
        <v>17.9956</v>
      </c>
      <c r="G1050" s="11">
        <f>18.0009 * CHOOSE(CONTROL!$C$32, $C$9, 100%, $E$9)</f>
        <v>18.000900000000001</v>
      </c>
      <c r="H1050" s="11">
        <f>37.3671 * CHOOSE(CONTROL!$C$32, $C$9, 100%, $E$9)</f>
        <v>37.367100000000001</v>
      </c>
      <c r="I1050" s="11">
        <f>37.3724 * CHOOSE(CONTROL!$C$32, $C$9, 100%, $E$9)</f>
        <v>37.372399999999999</v>
      </c>
      <c r="J1050" s="11">
        <f>37.3671 * CHOOSE(CONTROL!$C$32, $C$9, 100%, $E$9)</f>
        <v>37.367100000000001</v>
      </c>
      <c r="K1050" s="11">
        <f>37.3724 * CHOOSE(CONTROL!$C$32, $C$9, 100%, $E$9)</f>
        <v>37.372399999999999</v>
      </c>
      <c r="L1050" s="11">
        <f>17.9956 * CHOOSE(CONTROL!$C$32, $C$9, 100%, $E$9)</f>
        <v>17.9956</v>
      </c>
      <c r="M1050" s="11">
        <f>18.0009 * CHOOSE(CONTROL!$C$32, $C$9, 100%, $E$9)</f>
        <v>18.000900000000001</v>
      </c>
      <c r="N1050" s="11">
        <f>17.9956 * CHOOSE(CONTROL!$C$32, $C$9, 100%, $E$9)</f>
        <v>17.9956</v>
      </c>
      <c r="O1050" s="11">
        <f>18.0009 * CHOOSE(CONTROL!$C$32, $C$9, 100%, $E$9)</f>
        <v>18.000900000000001</v>
      </c>
    </row>
    <row r="1051" spans="1:15" ht="15" x14ac:dyDescent="0.2">
      <c r="A1051" s="13">
        <v>72837</v>
      </c>
      <c r="B1051" s="9">
        <f>15.5733 * CHOOSE(CONTROL!$C$32, $C$9, 100%, $E$9)</f>
        <v>15.5733</v>
      </c>
      <c r="C1051" s="9">
        <f>15.5733 * CHOOSE(CONTROL!$C$32, $C$9, 100%, $E$9)</f>
        <v>15.5733</v>
      </c>
      <c r="D1051" s="9">
        <f>15.5749 * CHOOSE(CONTROL!$C$32, $C$9, 100%, $E$9)</f>
        <v>15.5749</v>
      </c>
      <c r="E1051" s="11">
        <f>17.8428 * CHOOSE(CONTROL!$C$32, $C$9, 100%, $E$9)</f>
        <v>17.8428</v>
      </c>
      <c r="F1051" s="11">
        <f>17.8428 * CHOOSE(CONTROL!$C$32, $C$9, 100%, $E$9)</f>
        <v>17.8428</v>
      </c>
      <c r="G1051" s="11">
        <f>17.8481 * CHOOSE(CONTROL!$C$32, $C$9, 100%, $E$9)</f>
        <v>17.848099999999999</v>
      </c>
      <c r="H1051" s="11">
        <f>37.4449 * CHOOSE(CONTROL!$C$32, $C$9, 100%, $E$9)</f>
        <v>37.444899999999997</v>
      </c>
      <c r="I1051" s="11">
        <f>37.4502 * CHOOSE(CONTROL!$C$32, $C$9, 100%, $E$9)</f>
        <v>37.450200000000002</v>
      </c>
      <c r="J1051" s="11">
        <f>37.4449 * CHOOSE(CONTROL!$C$32, $C$9, 100%, $E$9)</f>
        <v>37.444899999999997</v>
      </c>
      <c r="K1051" s="11">
        <f>37.4502 * CHOOSE(CONTROL!$C$32, $C$9, 100%, $E$9)</f>
        <v>37.450200000000002</v>
      </c>
      <c r="L1051" s="11">
        <f>17.8428 * CHOOSE(CONTROL!$C$32, $C$9, 100%, $E$9)</f>
        <v>17.8428</v>
      </c>
      <c r="M1051" s="11">
        <f>17.8481 * CHOOSE(CONTROL!$C$32, $C$9, 100%, $E$9)</f>
        <v>17.848099999999999</v>
      </c>
      <c r="N1051" s="11">
        <f>17.8428 * CHOOSE(CONTROL!$C$32, $C$9, 100%, $E$9)</f>
        <v>17.8428</v>
      </c>
      <c r="O1051" s="11">
        <f>17.8481 * CHOOSE(CONTROL!$C$32, $C$9, 100%, $E$9)</f>
        <v>17.848099999999999</v>
      </c>
    </row>
    <row r="1052" spans="1:15" ht="15" x14ac:dyDescent="0.2">
      <c r="A1052" s="13">
        <v>72867</v>
      </c>
      <c r="B1052" s="9">
        <f>15.7588 * CHOOSE(CONTROL!$C$32, $C$9, 100%, $E$9)</f>
        <v>15.758800000000001</v>
      </c>
      <c r="C1052" s="9">
        <f>15.7588 * CHOOSE(CONTROL!$C$32, $C$9, 100%, $E$9)</f>
        <v>15.758800000000001</v>
      </c>
      <c r="D1052" s="9">
        <f>15.7604 * CHOOSE(CONTROL!$C$32, $C$9, 100%, $E$9)</f>
        <v>15.760400000000001</v>
      </c>
      <c r="E1052" s="11">
        <f>18.0969 * CHOOSE(CONTROL!$C$32, $C$9, 100%, $E$9)</f>
        <v>18.096900000000002</v>
      </c>
      <c r="F1052" s="11">
        <f>18.0969 * CHOOSE(CONTROL!$C$32, $C$9, 100%, $E$9)</f>
        <v>18.096900000000002</v>
      </c>
      <c r="G1052" s="11">
        <f>18.1022 * CHOOSE(CONTROL!$C$32, $C$9, 100%, $E$9)</f>
        <v>18.1022</v>
      </c>
      <c r="H1052" s="11">
        <f>37.5229 * CHOOSE(CONTROL!$C$32, $C$9, 100%, $E$9)</f>
        <v>37.5229</v>
      </c>
      <c r="I1052" s="11">
        <f>37.5282 * CHOOSE(CONTROL!$C$32, $C$9, 100%, $E$9)</f>
        <v>37.528199999999998</v>
      </c>
      <c r="J1052" s="11">
        <f>37.5229 * CHOOSE(CONTROL!$C$32, $C$9, 100%, $E$9)</f>
        <v>37.5229</v>
      </c>
      <c r="K1052" s="11">
        <f>37.5282 * CHOOSE(CONTROL!$C$32, $C$9, 100%, $E$9)</f>
        <v>37.528199999999998</v>
      </c>
      <c r="L1052" s="11">
        <f>18.0969 * CHOOSE(CONTROL!$C$32, $C$9, 100%, $E$9)</f>
        <v>18.096900000000002</v>
      </c>
      <c r="M1052" s="11">
        <f>18.1022 * CHOOSE(CONTROL!$C$32, $C$9, 100%, $E$9)</f>
        <v>18.1022</v>
      </c>
      <c r="N1052" s="11">
        <f>18.0969 * CHOOSE(CONTROL!$C$32, $C$9, 100%, $E$9)</f>
        <v>18.096900000000002</v>
      </c>
      <c r="O1052" s="11">
        <f>18.1022 * CHOOSE(CONTROL!$C$32, $C$9, 100%, $E$9)</f>
        <v>18.1022</v>
      </c>
    </row>
    <row r="1053" spans="1:15" ht="15" x14ac:dyDescent="0.2">
      <c r="A1053" s="13">
        <v>72898</v>
      </c>
      <c r="B1053" s="9">
        <f>15.7655 * CHOOSE(CONTROL!$C$32, $C$9, 100%, $E$9)</f>
        <v>15.765499999999999</v>
      </c>
      <c r="C1053" s="9">
        <f>15.7655 * CHOOSE(CONTROL!$C$32, $C$9, 100%, $E$9)</f>
        <v>15.765499999999999</v>
      </c>
      <c r="D1053" s="9">
        <f>15.7671 * CHOOSE(CONTROL!$C$32, $C$9, 100%, $E$9)</f>
        <v>15.767099999999999</v>
      </c>
      <c r="E1053" s="11">
        <f>17.6307 * CHOOSE(CONTROL!$C$32, $C$9, 100%, $E$9)</f>
        <v>17.630700000000001</v>
      </c>
      <c r="F1053" s="11">
        <f>17.6307 * CHOOSE(CONTROL!$C$32, $C$9, 100%, $E$9)</f>
        <v>17.630700000000001</v>
      </c>
      <c r="G1053" s="11">
        <f>17.636 * CHOOSE(CONTROL!$C$32, $C$9, 100%, $E$9)</f>
        <v>17.635999999999999</v>
      </c>
      <c r="H1053" s="11">
        <f>37.6011 * CHOOSE(CONTROL!$C$32, $C$9, 100%, $E$9)</f>
        <v>37.601100000000002</v>
      </c>
      <c r="I1053" s="11">
        <f>37.6064 * CHOOSE(CONTROL!$C$32, $C$9, 100%, $E$9)</f>
        <v>37.606400000000001</v>
      </c>
      <c r="J1053" s="11">
        <f>37.6011 * CHOOSE(CONTROL!$C$32, $C$9, 100%, $E$9)</f>
        <v>37.601100000000002</v>
      </c>
      <c r="K1053" s="11">
        <f>37.6064 * CHOOSE(CONTROL!$C$32, $C$9, 100%, $E$9)</f>
        <v>37.606400000000001</v>
      </c>
      <c r="L1053" s="11">
        <f>17.6307 * CHOOSE(CONTROL!$C$32, $C$9, 100%, $E$9)</f>
        <v>17.630700000000001</v>
      </c>
      <c r="M1053" s="11">
        <f>17.636 * CHOOSE(CONTROL!$C$32, $C$9, 100%, $E$9)</f>
        <v>17.635999999999999</v>
      </c>
      <c r="N1053" s="11">
        <f>17.6307 * CHOOSE(CONTROL!$C$32, $C$9, 100%, $E$9)</f>
        <v>17.630700000000001</v>
      </c>
      <c r="O1053" s="11">
        <f>17.636 * CHOOSE(CONTROL!$C$32, $C$9, 100%, $E$9)</f>
        <v>17.635999999999999</v>
      </c>
    </row>
    <row r="1054" spans="1:15" ht="15" x14ac:dyDescent="0.2">
      <c r="A1054" s="13">
        <v>72929</v>
      </c>
      <c r="B1054" s="9">
        <f>15.7625 * CHOOSE(CONTROL!$C$32, $C$9, 100%, $E$9)</f>
        <v>15.762499999999999</v>
      </c>
      <c r="C1054" s="9">
        <f>15.7625 * CHOOSE(CONTROL!$C$32, $C$9, 100%, $E$9)</f>
        <v>15.762499999999999</v>
      </c>
      <c r="D1054" s="9">
        <f>15.7641 * CHOOSE(CONTROL!$C$32, $C$9, 100%, $E$9)</f>
        <v>15.764099999999999</v>
      </c>
      <c r="E1054" s="11">
        <f>17.5763 * CHOOSE(CONTROL!$C$32, $C$9, 100%, $E$9)</f>
        <v>17.5763</v>
      </c>
      <c r="F1054" s="11">
        <f>17.5763 * CHOOSE(CONTROL!$C$32, $C$9, 100%, $E$9)</f>
        <v>17.5763</v>
      </c>
      <c r="G1054" s="11">
        <f>17.5816 * CHOOSE(CONTROL!$C$32, $C$9, 100%, $E$9)</f>
        <v>17.581600000000002</v>
      </c>
      <c r="H1054" s="11">
        <f>37.6795 * CHOOSE(CONTROL!$C$32, $C$9, 100%, $E$9)</f>
        <v>37.679499999999997</v>
      </c>
      <c r="I1054" s="11">
        <f>37.6848 * CHOOSE(CONTROL!$C$32, $C$9, 100%, $E$9)</f>
        <v>37.684800000000003</v>
      </c>
      <c r="J1054" s="11">
        <f>37.6795 * CHOOSE(CONTROL!$C$32, $C$9, 100%, $E$9)</f>
        <v>37.679499999999997</v>
      </c>
      <c r="K1054" s="11">
        <f>37.6848 * CHOOSE(CONTROL!$C$32, $C$9, 100%, $E$9)</f>
        <v>37.684800000000003</v>
      </c>
      <c r="L1054" s="11">
        <f>17.5763 * CHOOSE(CONTROL!$C$32, $C$9, 100%, $E$9)</f>
        <v>17.5763</v>
      </c>
      <c r="M1054" s="11">
        <f>17.5816 * CHOOSE(CONTROL!$C$32, $C$9, 100%, $E$9)</f>
        <v>17.581600000000002</v>
      </c>
      <c r="N1054" s="11">
        <f>17.5763 * CHOOSE(CONTROL!$C$32, $C$9, 100%, $E$9)</f>
        <v>17.5763</v>
      </c>
      <c r="O1054" s="11">
        <f>17.5816 * CHOOSE(CONTROL!$C$32, $C$9, 100%, $E$9)</f>
        <v>17.581600000000002</v>
      </c>
    </row>
    <row r="1055" spans="1:15" ht="15" x14ac:dyDescent="0.2">
      <c r="A1055" s="13">
        <v>72959</v>
      </c>
      <c r="B1055" s="9">
        <f>15.8016 * CHOOSE(CONTROL!$C$32, $C$9, 100%, $E$9)</f>
        <v>15.801600000000001</v>
      </c>
      <c r="C1055" s="9">
        <f>15.8016 * CHOOSE(CONTROL!$C$32, $C$9, 100%, $E$9)</f>
        <v>15.801600000000001</v>
      </c>
      <c r="D1055" s="9">
        <f>15.8026 * CHOOSE(CONTROL!$C$32, $C$9, 100%, $E$9)</f>
        <v>15.8026</v>
      </c>
      <c r="E1055" s="11">
        <f>17.7721 * CHOOSE(CONTROL!$C$32, $C$9, 100%, $E$9)</f>
        <v>17.772099999999998</v>
      </c>
      <c r="F1055" s="11">
        <f>17.7721 * CHOOSE(CONTROL!$C$32, $C$9, 100%, $E$9)</f>
        <v>17.772099999999998</v>
      </c>
      <c r="G1055" s="11">
        <f>17.7758 * CHOOSE(CONTROL!$C$32, $C$9, 100%, $E$9)</f>
        <v>17.7758</v>
      </c>
      <c r="H1055" s="11">
        <f>37.758 * CHOOSE(CONTROL!$C$32, $C$9, 100%, $E$9)</f>
        <v>37.758000000000003</v>
      </c>
      <c r="I1055" s="11">
        <f>37.7616 * CHOOSE(CONTROL!$C$32, $C$9, 100%, $E$9)</f>
        <v>37.761600000000001</v>
      </c>
      <c r="J1055" s="11">
        <f>37.758 * CHOOSE(CONTROL!$C$32, $C$9, 100%, $E$9)</f>
        <v>37.758000000000003</v>
      </c>
      <c r="K1055" s="11">
        <f>37.7616 * CHOOSE(CONTROL!$C$32, $C$9, 100%, $E$9)</f>
        <v>37.761600000000001</v>
      </c>
      <c r="L1055" s="11">
        <f>17.7721 * CHOOSE(CONTROL!$C$32, $C$9, 100%, $E$9)</f>
        <v>17.772099999999998</v>
      </c>
      <c r="M1055" s="11">
        <f>17.7758 * CHOOSE(CONTROL!$C$32, $C$9, 100%, $E$9)</f>
        <v>17.7758</v>
      </c>
      <c r="N1055" s="11">
        <f>17.7721 * CHOOSE(CONTROL!$C$32, $C$9, 100%, $E$9)</f>
        <v>17.772099999999998</v>
      </c>
      <c r="O1055" s="11">
        <f>17.7758 * CHOOSE(CONTROL!$C$32, $C$9, 100%, $E$9)</f>
        <v>17.7758</v>
      </c>
    </row>
    <row r="1056" spans="1:15" ht="15" x14ac:dyDescent="0.2">
      <c r="A1056" s="13">
        <v>72990</v>
      </c>
      <c r="B1056" s="9">
        <f>15.8046 * CHOOSE(CONTROL!$C$32, $C$9, 100%, $E$9)</f>
        <v>15.804600000000001</v>
      </c>
      <c r="C1056" s="9">
        <f>15.8046 * CHOOSE(CONTROL!$C$32, $C$9, 100%, $E$9)</f>
        <v>15.804600000000001</v>
      </c>
      <c r="D1056" s="9">
        <f>15.8057 * CHOOSE(CONTROL!$C$32, $C$9, 100%, $E$9)</f>
        <v>15.8057</v>
      </c>
      <c r="E1056" s="11">
        <f>17.8789 * CHOOSE(CONTROL!$C$32, $C$9, 100%, $E$9)</f>
        <v>17.878900000000002</v>
      </c>
      <c r="F1056" s="11">
        <f>17.8789 * CHOOSE(CONTROL!$C$32, $C$9, 100%, $E$9)</f>
        <v>17.878900000000002</v>
      </c>
      <c r="G1056" s="11">
        <f>17.8825 * CHOOSE(CONTROL!$C$32, $C$9, 100%, $E$9)</f>
        <v>17.8825</v>
      </c>
      <c r="H1056" s="11">
        <f>37.8366 * CHOOSE(CONTROL!$C$32, $C$9, 100%, $E$9)</f>
        <v>37.836599999999997</v>
      </c>
      <c r="I1056" s="11">
        <f>37.8402 * CHOOSE(CONTROL!$C$32, $C$9, 100%, $E$9)</f>
        <v>37.840200000000003</v>
      </c>
      <c r="J1056" s="11">
        <f>37.8366 * CHOOSE(CONTROL!$C$32, $C$9, 100%, $E$9)</f>
        <v>37.836599999999997</v>
      </c>
      <c r="K1056" s="11">
        <f>37.8402 * CHOOSE(CONTROL!$C$32, $C$9, 100%, $E$9)</f>
        <v>37.840200000000003</v>
      </c>
      <c r="L1056" s="11">
        <f>17.8789 * CHOOSE(CONTROL!$C$32, $C$9, 100%, $E$9)</f>
        <v>17.878900000000002</v>
      </c>
      <c r="M1056" s="11">
        <f>17.8825 * CHOOSE(CONTROL!$C$32, $C$9, 100%, $E$9)</f>
        <v>17.8825</v>
      </c>
      <c r="N1056" s="11">
        <f>17.8789 * CHOOSE(CONTROL!$C$32, $C$9, 100%, $E$9)</f>
        <v>17.878900000000002</v>
      </c>
      <c r="O1056" s="11">
        <f>17.8825 * CHOOSE(CONTROL!$C$32, $C$9, 100%, $E$9)</f>
        <v>17.8825</v>
      </c>
    </row>
    <row r="1057" spans="1:15" ht="15" x14ac:dyDescent="0.2">
      <c r="A1057" s="13">
        <v>73020</v>
      </c>
      <c r="B1057" s="9">
        <f>15.8046 * CHOOSE(CONTROL!$C$32, $C$9, 100%, $E$9)</f>
        <v>15.804600000000001</v>
      </c>
      <c r="C1057" s="9">
        <f>15.8046 * CHOOSE(CONTROL!$C$32, $C$9, 100%, $E$9)</f>
        <v>15.804600000000001</v>
      </c>
      <c r="D1057" s="9">
        <f>15.8057 * CHOOSE(CONTROL!$C$32, $C$9, 100%, $E$9)</f>
        <v>15.8057</v>
      </c>
      <c r="E1057" s="11">
        <f>17.6173 * CHOOSE(CONTROL!$C$32, $C$9, 100%, $E$9)</f>
        <v>17.6173</v>
      </c>
      <c r="F1057" s="11">
        <f>17.6173 * CHOOSE(CONTROL!$C$32, $C$9, 100%, $E$9)</f>
        <v>17.6173</v>
      </c>
      <c r="G1057" s="11">
        <f>17.6209 * CHOOSE(CONTROL!$C$32, $C$9, 100%, $E$9)</f>
        <v>17.620899999999999</v>
      </c>
      <c r="H1057" s="11">
        <f>37.9154 * CHOOSE(CONTROL!$C$32, $C$9, 100%, $E$9)</f>
        <v>37.915399999999998</v>
      </c>
      <c r="I1057" s="11">
        <f>37.9191 * CHOOSE(CONTROL!$C$32, $C$9, 100%, $E$9)</f>
        <v>37.9191</v>
      </c>
      <c r="J1057" s="11">
        <f>37.9154 * CHOOSE(CONTROL!$C$32, $C$9, 100%, $E$9)</f>
        <v>37.915399999999998</v>
      </c>
      <c r="K1057" s="11">
        <f>37.9191 * CHOOSE(CONTROL!$C$32, $C$9, 100%, $E$9)</f>
        <v>37.9191</v>
      </c>
      <c r="L1057" s="11">
        <f>17.6173 * CHOOSE(CONTROL!$C$32, $C$9, 100%, $E$9)</f>
        <v>17.6173</v>
      </c>
      <c r="M1057" s="11">
        <f>17.6209 * CHOOSE(CONTROL!$C$32, $C$9, 100%, $E$9)</f>
        <v>17.620899999999999</v>
      </c>
      <c r="N1057" s="11">
        <f>17.6173 * CHOOSE(CONTROL!$C$32, $C$9, 100%, $E$9)</f>
        <v>17.6173</v>
      </c>
      <c r="O1057" s="11">
        <f>17.6209 * CHOOSE(CONTROL!$C$32, $C$9, 100%, $E$9)</f>
        <v>17.620899999999999</v>
      </c>
    </row>
    <row r="1058" spans="1:15" ht="15" x14ac:dyDescent="0.2">
      <c r="A1058" s="13">
        <v>73051</v>
      </c>
      <c r="B1058" s="9">
        <f>15.7518 * CHOOSE(CONTROL!$C$32, $C$9, 100%, $E$9)</f>
        <v>15.751799999999999</v>
      </c>
      <c r="C1058" s="9">
        <f>15.7518 * CHOOSE(CONTROL!$C$32, $C$9, 100%, $E$9)</f>
        <v>15.751799999999999</v>
      </c>
      <c r="D1058" s="9">
        <f>15.7529 * CHOOSE(CONTROL!$C$32, $C$9, 100%, $E$9)</f>
        <v>15.7529</v>
      </c>
      <c r="E1058" s="11">
        <f>17.7456 * CHOOSE(CONTROL!$C$32, $C$9, 100%, $E$9)</f>
        <v>17.7456</v>
      </c>
      <c r="F1058" s="11">
        <f>17.7456 * CHOOSE(CONTROL!$C$32, $C$9, 100%, $E$9)</f>
        <v>17.7456</v>
      </c>
      <c r="G1058" s="11">
        <f>17.7493 * CHOOSE(CONTROL!$C$32, $C$9, 100%, $E$9)</f>
        <v>17.749300000000002</v>
      </c>
      <c r="H1058" s="11">
        <f>37.5291 * CHOOSE(CONTROL!$C$32, $C$9, 100%, $E$9)</f>
        <v>37.5291</v>
      </c>
      <c r="I1058" s="11">
        <f>37.5327 * CHOOSE(CONTROL!$C$32, $C$9, 100%, $E$9)</f>
        <v>37.532699999999998</v>
      </c>
      <c r="J1058" s="11">
        <f>37.5291 * CHOOSE(CONTROL!$C$32, $C$9, 100%, $E$9)</f>
        <v>37.5291</v>
      </c>
      <c r="K1058" s="11">
        <f>37.5327 * CHOOSE(CONTROL!$C$32, $C$9, 100%, $E$9)</f>
        <v>37.532699999999998</v>
      </c>
      <c r="L1058" s="11">
        <f>17.7456 * CHOOSE(CONTROL!$C$32, $C$9, 100%, $E$9)</f>
        <v>17.7456</v>
      </c>
      <c r="M1058" s="11">
        <f>17.7493 * CHOOSE(CONTROL!$C$32, $C$9, 100%, $E$9)</f>
        <v>17.749300000000002</v>
      </c>
      <c r="N1058" s="11">
        <f>17.7456 * CHOOSE(CONTROL!$C$32, $C$9, 100%, $E$9)</f>
        <v>17.7456</v>
      </c>
      <c r="O1058" s="11">
        <f>17.7493 * CHOOSE(CONTROL!$C$32, $C$9, 100%, $E$9)</f>
        <v>17.749300000000002</v>
      </c>
    </row>
    <row r="1059" spans="1:15" ht="15" x14ac:dyDescent="0.2">
      <c r="A1059" s="13">
        <v>73082</v>
      </c>
      <c r="B1059" s="9">
        <f>15.7488 * CHOOSE(CONTROL!$C$32, $C$9, 100%, $E$9)</f>
        <v>15.748799999999999</v>
      </c>
      <c r="C1059" s="9">
        <f>15.7488 * CHOOSE(CONTROL!$C$32, $C$9, 100%, $E$9)</f>
        <v>15.748799999999999</v>
      </c>
      <c r="D1059" s="9">
        <f>15.7498 * CHOOSE(CONTROL!$C$32, $C$9, 100%, $E$9)</f>
        <v>15.7498</v>
      </c>
      <c r="E1059" s="11">
        <f>17.242 * CHOOSE(CONTROL!$C$32, $C$9, 100%, $E$9)</f>
        <v>17.242000000000001</v>
      </c>
      <c r="F1059" s="11">
        <f>17.242 * CHOOSE(CONTROL!$C$32, $C$9, 100%, $E$9)</f>
        <v>17.242000000000001</v>
      </c>
      <c r="G1059" s="11">
        <f>17.2457 * CHOOSE(CONTROL!$C$32, $C$9, 100%, $E$9)</f>
        <v>17.245699999999999</v>
      </c>
      <c r="H1059" s="11">
        <f>37.6073 * CHOOSE(CONTROL!$C$32, $C$9, 100%, $E$9)</f>
        <v>37.607300000000002</v>
      </c>
      <c r="I1059" s="11">
        <f>37.6109 * CHOOSE(CONTROL!$C$32, $C$9, 100%, $E$9)</f>
        <v>37.610900000000001</v>
      </c>
      <c r="J1059" s="11">
        <f>37.6073 * CHOOSE(CONTROL!$C$32, $C$9, 100%, $E$9)</f>
        <v>37.607300000000002</v>
      </c>
      <c r="K1059" s="11">
        <f>37.6109 * CHOOSE(CONTROL!$C$32, $C$9, 100%, $E$9)</f>
        <v>37.610900000000001</v>
      </c>
      <c r="L1059" s="11">
        <f>17.242 * CHOOSE(CONTROL!$C$32, $C$9, 100%, $E$9)</f>
        <v>17.242000000000001</v>
      </c>
      <c r="M1059" s="11">
        <f>17.2457 * CHOOSE(CONTROL!$C$32, $C$9, 100%, $E$9)</f>
        <v>17.245699999999999</v>
      </c>
      <c r="N1059" s="11">
        <f>17.242 * CHOOSE(CONTROL!$C$32, $C$9, 100%, $E$9)</f>
        <v>17.242000000000001</v>
      </c>
      <c r="O1059" s="11">
        <f>17.2457 * CHOOSE(CONTROL!$C$32, $C$9, 100%, $E$9)</f>
        <v>17.245699999999999</v>
      </c>
    </row>
    <row r="1060" spans="1:15" ht="15" x14ac:dyDescent="0.2">
      <c r="A1060" s="13">
        <v>73110</v>
      </c>
      <c r="B1060" s="9">
        <f>15.7457 * CHOOSE(CONTROL!$C$32, $C$9, 100%, $E$9)</f>
        <v>15.745699999999999</v>
      </c>
      <c r="C1060" s="9">
        <f>15.7457 * CHOOSE(CONTROL!$C$32, $C$9, 100%, $E$9)</f>
        <v>15.745699999999999</v>
      </c>
      <c r="D1060" s="9">
        <f>15.7468 * CHOOSE(CONTROL!$C$32, $C$9, 100%, $E$9)</f>
        <v>15.7468</v>
      </c>
      <c r="E1060" s="11">
        <f>17.6353 * CHOOSE(CONTROL!$C$32, $C$9, 100%, $E$9)</f>
        <v>17.635300000000001</v>
      </c>
      <c r="F1060" s="11">
        <f>17.6353 * CHOOSE(CONTROL!$C$32, $C$9, 100%, $E$9)</f>
        <v>17.635300000000001</v>
      </c>
      <c r="G1060" s="11">
        <f>17.6389 * CHOOSE(CONTROL!$C$32, $C$9, 100%, $E$9)</f>
        <v>17.6389</v>
      </c>
      <c r="H1060" s="11">
        <f>37.6857 * CHOOSE(CONTROL!$C$32, $C$9, 100%, $E$9)</f>
        <v>37.685699999999997</v>
      </c>
      <c r="I1060" s="11">
        <f>37.6893 * CHOOSE(CONTROL!$C$32, $C$9, 100%, $E$9)</f>
        <v>37.689300000000003</v>
      </c>
      <c r="J1060" s="11">
        <f>37.6857 * CHOOSE(CONTROL!$C$32, $C$9, 100%, $E$9)</f>
        <v>37.685699999999997</v>
      </c>
      <c r="K1060" s="11">
        <f>37.6893 * CHOOSE(CONTROL!$C$32, $C$9, 100%, $E$9)</f>
        <v>37.689300000000003</v>
      </c>
      <c r="L1060" s="11">
        <f>17.6353 * CHOOSE(CONTROL!$C$32, $C$9, 100%, $E$9)</f>
        <v>17.635300000000001</v>
      </c>
      <c r="M1060" s="11">
        <f>17.6389 * CHOOSE(CONTROL!$C$32, $C$9, 100%, $E$9)</f>
        <v>17.6389</v>
      </c>
      <c r="N1060" s="11">
        <f>17.6353 * CHOOSE(CONTROL!$C$32, $C$9, 100%, $E$9)</f>
        <v>17.635300000000001</v>
      </c>
      <c r="O1060" s="11">
        <f>17.6389 * CHOOSE(CONTROL!$C$32, $C$9, 100%, $E$9)</f>
        <v>17.6389</v>
      </c>
    </row>
    <row r="1061" spans="1:15" ht="15" x14ac:dyDescent="0.2">
      <c r="A1061" s="13">
        <v>73141</v>
      </c>
      <c r="B1061" s="9">
        <f>15.7548 * CHOOSE(CONTROL!$C$32, $C$9, 100%, $E$9)</f>
        <v>15.754799999999999</v>
      </c>
      <c r="C1061" s="9">
        <f>15.7548 * CHOOSE(CONTROL!$C$32, $C$9, 100%, $E$9)</f>
        <v>15.754799999999999</v>
      </c>
      <c r="D1061" s="9">
        <f>15.7559 * CHOOSE(CONTROL!$C$32, $C$9, 100%, $E$9)</f>
        <v>15.7559</v>
      </c>
      <c r="E1061" s="11">
        <f>18.0556 * CHOOSE(CONTROL!$C$32, $C$9, 100%, $E$9)</f>
        <v>18.055599999999998</v>
      </c>
      <c r="F1061" s="11">
        <f>18.0556 * CHOOSE(CONTROL!$C$32, $C$9, 100%, $E$9)</f>
        <v>18.055599999999998</v>
      </c>
      <c r="G1061" s="11">
        <f>18.0592 * CHOOSE(CONTROL!$C$32, $C$9, 100%, $E$9)</f>
        <v>18.059200000000001</v>
      </c>
      <c r="H1061" s="11">
        <f>37.7642 * CHOOSE(CONTROL!$C$32, $C$9, 100%, $E$9)</f>
        <v>37.764200000000002</v>
      </c>
      <c r="I1061" s="11">
        <f>37.7678 * CHOOSE(CONTROL!$C$32, $C$9, 100%, $E$9)</f>
        <v>37.767800000000001</v>
      </c>
      <c r="J1061" s="11">
        <f>37.7642 * CHOOSE(CONTROL!$C$32, $C$9, 100%, $E$9)</f>
        <v>37.764200000000002</v>
      </c>
      <c r="K1061" s="11">
        <f>37.7678 * CHOOSE(CONTROL!$C$32, $C$9, 100%, $E$9)</f>
        <v>37.767800000000001</v>
      </c>
      <c r="L1061" s="11">
        <f>18.0556 * CHOOSE(CONTROL!$C$32, $C$9, 100%, $E$9)</f>
        <v>18.055599999999998</v>
      </c>
      <c r="M1061" s="11">
        <f>18.0592 * CHOOSE(CONTROL!$C$32, $C$9, 100%, $E$9)</f>
        <v>18.059200000000001</v>
      </c>
      <c r="N1061" s="11">
        <f>18.0556 * CHOOSE(CONTROL!$C$32, $C$9, 100%, $E$9)</f>
        <v>18.055599999999998</v>
      </c>
      <c r="O1061" s="11">
        <f>18.0592 * CHOOSE(CONTROL!$C$32, $C$9, 100%, $E$9)</f>
        <v>18.059200000000001</v>
      </c>
    </row>
    <row r="1062" spans="1:15" ht="15" x14ac:dyDescent="0.2">
      <c r="A1062" s="13">
        <v>73171</v>
      </c>
      <c r="B1062" s="9">
        <f>15.7548 * CHOOSE(CONTROL!$C$32, $C$9, 100%, $E$9)</f>
        <v>15.754799999999999</v>
      </c>
      <c r="C1062" s="9">
        <f>15.7548 * CHOOSE(CONTROL!$C$32, $C$9, 100%, $E$9)</f>
        <v>15.754799999999999</v>
      </c>
      <c r="D1062" s="9">
        <f>15.7564 * CHOOSE(CONTROL!$C$32, $C$9, 100%, $E$9)</f>
        <v>15.756399999999999</v>
      </c>
      <c r="E1062" s="11">
        <f>18.2148 * CHOOSE(CONTROL!$C$32, $C$9, 100%, $E$9)</f>
        <v>18.2148</v>
      </c>
      <c r="F1062" s="11">
        <f>18.2148 * CHOOSE(CONTROL!$C$32, $C$9, 100%, $E$9)</f>
        <v>18.2148</v>
      </c>
      <c r="G1062" s="11">
        <f>18.2201 * CHOOSE(CONTROL!$C$32, $C$9, 100%, $E$9)</f>
        <v>18.220099999999999</v>
      </c>
      <c r="H1062" s="11">
        <f>37.8428 * CHOOSE(CONTROL!$C$32, $C$9, 100%, $E$9)</f>
        <v>37.842799999999997</v>
      </c>
      <c r="I1062" s="11">
        <f>37.8481 * CHOOSE(CONTROL!$C$32, $C$9, 100%, $E$9)</f>
        <v>37.848100000000002</v>
      </c>
      <c r="J1062" s="11">
        <f>37.8428 * CHOOSE(CONTROL!$C$32, $C$9, 100%, $E$9)</f>
        <v>37.842799999999997</v>
      </c>
      <c r="K1062" s="11">
        <f>37.8481 * CHOOSE(CONTROL!$C$32, $C$9, 100%, $E$9)</f>
        <v>37.848100000000002</v>
      </c>
      <c r="L1062" s="11">
        <f>18.2148 * CHOOSE(CONTROL!$C$32, $C$9, 100%, $E$9)</f>
        <v>18.2148</v>
      </c>
      <c r="M1062" s="11">
        <f>18.2201 * CHOOSE(CONTROL!$C$32, $C$9, 100%, $E$9)</f>
        <v>18.220099999999999</v>
      </c>
      <c r="N1062" s="11">
        <f>18.2148 * CHOOSE(CONTROL!$C$32, $C$9, 100%, $E$9)</f>
        <v>18.2148</v>
      </c>
      <c r="O1062" s="11">
        <f>18.2201 * CHOOSE(CONTROL!$C$32, $C$9, 100%, $E$9)</f>
        <v>18.220099999999999</v>
      </c>
    </row>
    <row r="1063" spans="1:15" ht="15" x14ac:dyDescent="0.2">
      <c r="A1063" s="13">
        <v>73202</v>
      </c>
      <c r="B1063" s="9">
        <f>15.7609 * CHOOSE(CONTROL!$C$32, $C$9, 100%, $E$9)</f>
        <v>15.760899999999999</v>
      </c>
      <c r="C1063" s="9">
        <f>15.7609 * CHOOSE(CONTROL!$C$32, $C$9, 100%, $E$9)</f>
        <v>15.760899999999999</v>
      </c>
      <c r="D1063" s="9">
        <f>15.7625 * CHOOSE(CONTROL!$C$32, $C$9, 100%, $E$9)</f>
        <v>15.762499999999999</v>
      </c>
      <c r="E1063" s="11">
        <f>18.0598 * CHOOSE(CONTROL!$C$32, $C$9, 100%, $E$9)</f>
        <v>18.059799999999999</v>
      </c>
      <c r="F1063" s="11">
        <f>18.0598 * CHOOSE(CONTROL!$C$32, $C$9, 100%, $E$9)</f>
        <v>18.059799999999999</v>
      </c>
      <c r="G1063" s="11">
        <f>18.0651 * CHOOSE(CONTROL!$C$32, $C$9, 100%, $E$9)</f>
        <v>18.065100000000001</v>
      </c>
      <c r="H1063" s="11">
        <f>37.9217 * CHOOSE(CONTROL!$C$32, $C$9, 100%, $E$9)</f>
        <v>37.921700000000001</v>
      </c>
      <c r="I1063" s="11">
        <f>37.927 * CHOOSE(CONTROL!$C$32, $C$9, 100%, $E$9)</f>
        <v>37.927</v>
      </c>
      <c r="J1063" s="11">
        <f>37.9217 * CHOOSE(CONTROL!$C$32, $C$9, 100%, $E$9)</f>
        <v>37.921700000000001</v>
      </c>
      <c r="K1063" s="11">
        <f>37.927 * CHOOSE(CONTROL!$C$32, $C$9, 100%, $E$9)</f>
        <v>37.927</v>
      </c>
      <c r="L1063" s="11">
        <f>18.0598 * CHOOSE(CONTROL!$C$32, $C$9, 100%, $E$9)</f>
        <v>18.059799999999999</v>
      </c>
      <c r="M1063" s="11">
        <f>18.0651 * CHOOSE(CONTROL!$C$32, $C$9, 100%, $E$9)</f>
        <v>18.065100000000001</v>
      </c>
      <c r="N1063" s="11">
        <f>18.0598 * CHOOSE(CONTROL!$C$32, $C$9, 100%, $E$9)</f>
        <v>18.059799999999999</v>
      </c>
      <c r="O1063" s="11">
        <f>18.0651 * CHOOSE(CONTROL!$C$32, $C$9, 100%, $E$9)</f>
        <v>18.065100000000001</v>
      </c>
    </row>
    <row r="1064" spans="1:15" ht="15" x14ac:dyDescent="0.2">
      <c r="A1064" s="13">
        <v>73232</v>
      </c>
      <c r="B1064" s="9">
        <f>15.9484 * CHOOSE(CONTROL!$C$32, $C$9, 100%, $E$9)</f>
        <v>15.948399999999999</v>
      </c>
      <c r="C1064" s="9">
        <f>15.9484 * CHOOSE(CONTROL!$C$32, $C$9, 100%, $E$9)</f>
        <v>15.948399999999999</v>
      </c>
      <c r="D1064" s="9">
        <f>15.95 * CHOOSE(CONTROL!$C$32, $C$9, 100%, $E$9)</f>
        <v>15.95</v>
      </c>
      <c r="E1064" s="11">
        <f>18.3171 * CHOOSE(CONTROL!$C$32, $C$9, 100%, $E$9)</f>
        <v>18.3171</v>
      </c>
      <c r="F1064" s="11">
        <f>18.3171 * CHOOSE(CONTROL!$C$32, $C$9, 100%, $E$9)</f>
        <v>18.3171</v>
      </c>
      <c r="G1064" s="11">
        <f>18.3224 * CHOOSE(CONTROL!$C$32, $C$9, 100%, $E$9)</f>
        <v>18.322399999999998</v>
      </c>
      <c r="H1064" s="11">
        <f>38.0007 * CHOOSE(CONTROL!$C$32, $C$9, 100%, $E$9)</f>
        <v>38.000700000000002</v>
      </c>
      <c r="I1064" s="11">
        <f>38.006 * CHOOSE(CONTROL!$C$32, $C$9, 100%, $E$9)</f>
        <v>38.006</v>
      </c>
      <c r="J1064" s="11">
        <f>38.0007 * CHOOSE(CONTROL!$C$32, $C$9, 100%, $E$9)</f>
        <v>38.000700000000002</v>
      </c>
      <c r="K1064" s="11">
        <f>38.006 * CHOOSE(CONTROL!$C$32, $C$9, 100%, $E$9)</f>
        <v>38.006</v>
      </c>
      <c r="L1064" s="11">
        <f>18.3171 * CHOOSE(CONTROL!$C$32, $C$9, 100%, $E$9)</f>
        <v>18.3171</v>
      </c>
      <c r="M1064" s="11">
        <f>18.3224 * CHOOSE(CONTROL!$C$32, $C$9, 100%, $E$9)</f>
        <v>18.322399999999998</v>
      </c>
      <c r="N1064" s="11">
        <f>18.3171 * CHOOSE(CONTROL!$C$32, $C$9, 100%, $E$9)</f>
        <v>18.3171</v>
      </c>
      <c r="O1064" s="11">
        <f>18.3224 * CHOOSE(CONTROL!$C$32, $C$9, 100%, $E$9)</f>
        <v>18.322399999999998</v>
      </c>
    </row>
    <row r="1065" spans="1:15" ht="15" x14ac:dyDescent="0.2">
      <c r="A1065" s="13">
        <v>73263</v>
      </c>
      <c r="B1065" s="9">
        <f>15.9551 * CHOOSE(CONTROL!$C$32, $C$9, 100%, $E$9)</f>
        <v>15.9551</v>
      </c>
      <c r="C1065" s="9">
        <f>15.9551 * CHOOSE(CONTROL!$C$32, $C$9, 100%, $E$9)</f>
        <v>15.9551</v>
      </c>
      <c r="D1065" s="9">
        <f>15.9567 * CHOOSE(CONTROL!$C$32, $C$9, 100%, $E$9)</f>
        <v>15.9567</v>
      </c>
      <c r="E1065" s="11">
        <f>17.8441 * CHOOSE(CONTROL!$C$32, $C$9, 100%, $E$9)</f>
        <v>17.844100000000001</v>
      </c>
      <c r="F1065" s="11">
        <f>17.8441 * CHOOSE(CONTROL!$C$32, $C$9, 100%, $E$9)</f>
        <v>17.844100000000001</v>
      </c>
      <c r="G1065" s="11">
        <f>17.8494 * CHOOSE(CONTROL!$C$32, $C$9, 100%, $E$9)</f>
        <v>17.849399999999999</v>
      </c>
      <c r="H1065" s="11">
        <f>38.0799 * CHOOSE(CONTROL!$C$32, $C$9, 100%, $E$9)</f>
        <v>38.079900000000002</v>
      </c>
      <c r="I1065" s="11">
        <f>38.0851 * CHOOSE(CONTROL!$C$32, $C$9, 100%, $E$9)</f>
        <v>38.085099999999997</v>
      </c>
      <c r="J1065" s="11">
        <f>38.0799 * CHOOSE(CONTROL!$C$32, $C$9, 100%, $E$9)</f>
        <v>38.079900000000002</v>
      </c>
      <c r="K1065" s="11">
        <f>38.0851 * CHOOSE(CONTROL!$C$32, $C$9, 100%, $E$9)</f>
        <v>38.085099999999997</v>
      </c>
      <c r="L1065" s="11">
        <f>17.8441 * CHOOSE(CONTROL!$C$32, $C$9, 100%, $E$9)</f>
        <v>17.844100000000001</v>
      </c>
      <c r="M1065" s="11">
        <f>17.8494 * CHOOSE(CONTROL!$C$32, $C$9, 100%, $E$9)</f>
        <v>17.849399999999999</v>
      </c>
      <c r="N1065" s="11">
        <f>17.8441 * CHOOSE(CONTROL!$C$32, $C$9, 100%, $E$9)</f>
        <v>17.844100000000001</v>
      </c>
      <c r="O1065" s="11">
        <f>17.8494 * CHOOSE(CONTROL!$C$32, $C$9, 100%, $E$9)</f>
        <v>17.849399999999999</v>
      </c>
    </row>
    <row r="1066" spans="1:15" ht="15" x14ac:dyDescent="0.2">
      <c r="A1066" s="13">
        <v>73294</v>
      </c>
      <c r="B1066" s="9">
        <f>15.9521 * CHOOSE(CONTROL!$C$32, $C$9, 100%, $E$9)</f>
        <v>15.9521</v>
      </c>
      <c r="C1066" s="9">
        <f>15.9521 * CHOOSE(CONTROL!$C$32, $C$9, 100%, $E$9)</f>
        <v>15.9521</v>
      </c>
      <c r="D1066" s="9">
        <f>15.9537 * CHOOSE(CONTROL!$C$32, $C$9, 100%, $E$9)</f>
        <v>15.9537</v>
      </c>
      <c r="E1066" s="11">
        <f>17.789 * CHOOSE(CONTROL!$C$32, $C$9, 100%, $E$9)</f>
        <v>17.789000000000001</v>
      </c>
      <c r="F1066" s="11">
        <f>17.789 * CHOOSE(CONTROL!$C$32, $C$9, 100%, $E$9)</f>
        <v>17.789000000000001</v>
      </c>
      <c r="G1066" s="11">
        <f>17.7942 * CHOOSE(CONTROL!$C$32, $C$9, 100%, $E$9)</f>
        <v>17.7942</v>
      </c>
      <c r="H1066" s="11">
        <f>38.1592 * CHOOSE(CONTROL!$C$32, $C$9, 100%, $E$9)</f>
        <v>38.159199999999998</v>
      </c>
      <c r="I1066" s="11">
        <f>38.1645 * CHOOSE(CONTROL!$C$32, $C$9, 100%, $E$9)</f>
        <v>38.164499999999997</v>
      </c>
      <c r="J1066" s="11">
        <f>38.1592 * CHOOSE(CONTROL!$C$32, $C$9, 100%, $E$9)</f>
        <v>38.159199999999998</v>
      </c>
      <c r="K1066" s="11">
        <f>38.1645 * CHOOSE(CONTROL!$C$32, $C$9, 100%, $E$9)</f>
        <v>38.164499999999997</v>
      </c>
      <c r="L1066" s="11">
        <f>17.789 * CHOOSE(CONTROL!$C$32, $C$9, 100%, $E$9)</f>
        <v>17.789000000000001</v>
      </c>
      <c r="M1066" s="11">
        <f>17.7942 * CHOOSE(CONTROL!$C$32, $C$9, 100%, $E$9)</f>
        <v>17.7942</v>
      </c>
      <c r="N1066" s="11">
        <f>17.789 * CHOOSE(CONTROL!$C$32, $C$9, 100%, $E$9)</f>
        <v>17.789000000000001</v>
      </c>
      <c r="O1066" s="11">
        <f>17.7942 * CHOOSE(CONTROL!$C$32, $C$9, 100%, $E$9)</f>
        <v>17.7942</v>
      </c>
    </row>
    <row r="1067" spans="1:15" ht="15" x14ac:dyDescent="0.2">
      <c r="A1067" s="13">
        <v>73324</v>
      </c>
      <c r="B1067" s="9">
        <f>15.9919 * CHOOSE(CONTROL!$C$32, $C$9, 100%, $E$9)</f>
        <v>15.991899999999999</v>
      </c>
      <c r="C1067" s="9">
        <f>15.9919 * CHOOSE(CONTROL!$C$32, $C$9, 100%, $E$9)</f>
        <v>15.991899999999999</v>
      </c>
      <c r="D1067" s="9">
        <f>15.9929 * CHOOSE(CONTROL!$C$32, $C$9, 100%, $E$9)</f>
        <v>15.992900000000001</v>
      </c>
      <c r="E1067" s="11">
        <f>17.9878 * CHOOSE(CONTROL!$C$32, $C$9, 100%, $E$9)</f>
        <v>17.9878</v>
      </c>
      <c r="F1067" s="11">
        <f>17.9878 * CHOOSE(CONTROL!$C$32, $C$9, 100%, $E$9)</f>
        <v>17.9878</v>
      </c>
      <c r="G1067" s="11">
        <f>17.9914 * CHOOSE(CONTROL!$C$32, $C$9, 100%, $E$9)</f>
        <v>17.991399999999999</v>
      </c>
      <c r="H1067" s="11">
        <f>38.2387 * CHOOSE(CONTROL!$C$32, $C$9, 100%, $E$9)</f>
        <v>38.238700000000001</v>
      </c>
      <c r="I1067" s="11">
        <f>38.2423 * CHOOSE(CONTROL!$C$32, $C$9, 100%, $E$9)</f>
        <v>38.2423</v>
      </c>
      <c r="J1067" s="11">
        <f>38.2387 * CHOOSE(CONTROL!$C$32, $C$9, 100%, $E$9)</f>
        <v>38.238700000000001</v>
      </c>
      <c r="K1067" s="11">
        <f>38.2423 * CHOOSE(CONTROL!$C$32, $C$9, 100%, $E$9)</f>
        <v>38.2423</v>
      </c>
      <c r="L1067" s="11">
        <f>17.9878 * CHOOSE(CONTROL!$C$32, $C$9, 100%, $E$9)</f>
        <v>17.9878</v>
      </c>
      <c r="M1067" s="11">
        <f>17.9914 * CHOOSE(CONTROL!$C$32, $C$9, 100%, $E$9)</f>
        <v>17.991399999999999</v>
      </c>
      <c r="N1067" s="11">
        <f>17.9878 * CHOOSE(CONTROL!$C$32, $C$9, 100%, $E$9)</f>
        <v>17.9878</v>
      </c>
      <c r="O1067" s="11">
        <f>17.9914 * CHOOSE(CONTROL!$C$32, $C$9, 100%, $E$9)</f>
        <v>17.991399999999999</v>
      </c>
    </row>
    <row r="1068" spans="1:15" ht="15" x14ac:dyDescent="0.2">
      <c r="A1068" s="13">
        <v>73355</v>
      </c>
      <c r="B1068" s="9">
        <f>15.9949 * CHOOSE(CONTROL!$C$32, $C$9, 100%, $E$9)</f>
        <v>15.994899999999999</v>
      </c>
      <c r="C1068" s="9">
        <f>15.9949 * CHOOSE(CONTROL!$C$32, $C$9, 100%, $E$9)</f>
        <v>15.994899999999999</v>
      </c>
      <c r="D1068" s="9">
        <f>15.996 * CHOOSE(CONTROL!$C$32, $C$9, 100%, $E$9)</f>
        <v>15.996</v>
      </c>
      <c r="E1068" s="11">
        <f>18.0961 * CHOOSE(CONTROL!$C$32, $C$9, 100%, $E$9)</f>
        <v>18.0961</v>
      </c>
      <c r="F1068" s="11">
        <f>18.0961 * CHOOSE(CONTROL!$C$32, $C$9, 100%, $E$9)</f>
        <v>18.0961</v>
      </c>
      <c r="G1068" s="11">
        <f>18.0997 * CHOOSE(CONTROL!$C$32, $C$9, 100%, $E$9)</f>
        <v>18.099699999999999</v>
      </c>
      <c r="H1068" s="11">
        <f>38.3183 * CHOOSE(CONTROL!$C$32, $C$9, 100%, $E$9)</f>
        <v>38.318300000000001</v>
      </c>
      <c r="I1068" s="11">
        <f>38.322 * CHOOSE(CONTROL!$C$32, $C$9, 100%, $E$9)</f>
        <v>38.322000000000003</v>
      </c>
      <c r="J1068" s="11">
        <f>38.3183 * CHOOSE(CONTROL!$C$32, $C$9, 100%, $E$9)</f>
        <v>38.318300000000001</v>
      </c>
      <c r="K1068" s="11">
        <f>38.322 * CHOOSE(CONTROL!$C$32, $C$9, 100%, $E$9)</f>
        <v>38.322000000000003</v>
      </c>
      <c r="L1068" s="11">
        <f>18.0961 * CHOOSE(CONTROL!$C$32, $C$9, 100%, $E$9)</f>
        <v>18.0961</v>
      </c>
      <c r="M1068" s="11">
        <f>18.0997 * CHOOSE(CONTROL!$C$32, $C$9, 100%, $E$9)</f>
        <v>18.099699999999999</v>
      </c>
      <c r="N1068" s="11">
        <f>18.0961 * CHOOSE(CONTROL!$C$32, $C$9, 100%, $E$9)</f>
        <v>18.0961</v>
      </c>
      <c r="O1068" s="11">
        <f>18.0997 * CHOOSE(CONTROL!$C$32, $C$9, 100%, $E$9)</f>
        <v>18.099699999999999</v>
      </c>
    </row>
    <row r="1069" spans="1:15" ht="15" x14ac:dyDescent="0.2">
      <c r="A1069" s="13">
        <v>73385</v>
      </c>
      <c r="B1069" s="9">
        <f>15.9949 * CHOOSE(CONTROL!$C$32, $C$9, 100%, $E$9)</f>
        <v>15.994899999999999</v>
      </c>
      <c r="C1069" s="9">
        <f>15.9949 * CHOOSE(CONTROL!$C$32, $C$9, 100%, $E$9)</f>
        <v>15.994899999999999</v>
      </c>
      <c r="D1069" s="9">
        <f>15.996 * CHOOSE(CONTROL!$C$32, $C$9, 100%, $E$9)</f>
        <v>15.996</v>
      </c>
      <c r="E1069" s="11">
        <f>17.8307 * CHOOSE(CONTROL!$C$32, $C$9, 100%, $E$9)</f>
        <v>17.8307</v>
      </c>
      <c r="F1069" s="11">
        <f>17.8307 * CHOOSE(CONTROL!$C$32, $C$9, 100%, $E$9)</f>
        <v>17.8307</v>
      </c>
      <c r="G1069" s="11">
        <f>17.8343 * CHOOSE(CONTROL!$C$32, $C$9, 100%, $E$9)</f>
        <v>17.834299999999999</v>
      </c>
      <c r="H1069" s="11">
        <f>38.3982 * CHOOSE(CONTROL!$C$32, $C$9, 100%, $E$9)</f>
        <v>38.398200000000003</v>
      </c>
      <c r="I1069" s="11">
        <f>38.4018 * CHOOSE(CONTROL!$C$32, $C$9, 100%, $E$9)</f>
        <v>38.401800000000001</v>
      </c>
      <c r="J1069" s="11">
        <f>38.3982 * CHOOSE(CONTROL!$C$32, $C$9, 100%, $E$9)</f>
        <v>38.398200000000003</v>
      </c>
      <c r="K1069" s="11">
        <f>38.4018 * CHOOSE(CONTROL!$C$32, $C$9, 100%, $E$9)</f>
        <v>38.401800000000001</v>
      </c>
      <c r="L1069" s="11">
        <f>17.8307 * CHOOSE(CONTROL!$C$32, $C$9, 100%, $E$9)</f>
        <v>17.8307</v>
      </c>
      <c r="M1069" s="11">
        <f>17.8343 * CHOOSE(CONTROL!$C$32, $C$9, 100%, $E$9)</f>
        <v>17.834299999999999</v>
      </c>
      <c r="N1069" s="11">
        <f>17.8307 * CHOOSE(CONTROL!$C$32, $C$9, 100%, $E$9)</f>
        <v>17.8307</v>
      </c>
      <c r="O1069" s="11">
        <f>17.8343 * CHOOSE(CONTROL!$C$32, $C$9, 100%, $E$9)</f>
        <v>17.834299999999999</v>
      </c>
    </row>
    <row r="1070" spans="1:15" ht="15" x14ac:dyDescent="0.2">
      <c r="A1070" s="12"/>
      <c r="B1070" s="9"/>
      <c r="C1070" s="9"/>
      <c r="D1070" s="9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ht="15" x14ac:dyDescent="0.2">
      <c r="A1071" s="10">
        <v>2013</v>
      </c>
      <c r="B1071" s="9">
        <f t="shared" ref="B1071:O1071" si="0">AVERAGE(B14:B25)</f>
        <v>2.2966500000000001</v>
      </c>
      <c r="C1071" s="9">
        <f t="shared" si="0"/>
        <v>2.2232833333333333</v>
      </c>
      <c r="D1071" s="9">
        <f t="shared" si="0"/>
        <v>2.2699416666666665</v>
      </c>
      <c r="E1071" s="9">
        <f t="shared" si="0"/>
        <v>3.4876333333333331</v>
      </c>
      <c r="F1071" s="9">
        <f t="shared" si="0"/>
        <v>3.1494</v>
      </c>
      <c r="G1071" s="9">
        <f t="shared" si="0"/>
        <v>3.164908333333333</v>
      </c>
      <c r="H1071" s="9">
        <f t="shared" si="0"/>
        <v>5.8405666666666649</v>
      </c>
      <c r="I1071" s="9">
        <f t="shared" si="0"/>
        <v>5.8560666666666661</v>
      </c>
      <c r="J1071" s="9">
        <f t="shared" si="0"/>
        <v>5.8405666666666649</v>
      </c>
      <c r="K1071" s="9">
        <f t="shared" si="0"/>
        <v>5.8560666666666661</v>
      </c>
      <c r="L1071" s="9">
        <f t="shared" si="0"/>
        <v>3.4876333333333331</v>
      </c>
      <c r="M1071" s="9">
        <f t="shared" si="0"/>
        <v>3.5031166666666671</v>
      </c>
      <c r="N1071" s="9">
        <f t="shared" si="0"/>
        <v>3.4876333333333331</v>
      </c>
      <c r="O1071" s="9">
        <f t="shared" si="0"/>
        <v>3.5031166666666671</v>
      </c>
    </row>
    <row r="1072" spans="1:15" ht="15" x14ac:dyDescent="0.2">
      <c r="A1072" s="10">
        <v>2014</v>
      </c>
      <c r="B1072" s="9">
        <f t="shared" ref="B1072:O1072" si="1">AVERAGE(B26:B37)</f>
        <v>2.3654999999999995</v>
      </c>
      <c r="C1072" s="9">
        <f t="shared" si="1"/>
        <v>2.3576916666666663</v>
      </c>
      <c r="D1072" s="9">
        <f t="shared" si="1"/>
        <v>2.40435</v>
      </c>
      <c r="E1072" s="9">
        <f t="shared" si="1"/>
        <v>3.460575</v>
      </c>
      <c r="F1072" s="9">
        <f t="shared" si="1"/>
        <v>3.3780666666666668</v>
      </c>
      <c r="G1072" s="9">
        <f t="shared" si="1"/>
        <v>3.3935666666666671</v>
      </c>
      <c r="H1072" s="9">
        <f t="shared" si="1"/>
        <v>5.9827833333333338</v>
      </c>
      <c r="I1072" s="9">
        <f t="shared" si="1"/>
        <v>5.9982750000000005</v>
      </c>
      <c r="J1072" s="9">
        <f t="shared" si="1"/>
        <v>5.9827833333333338</v>
      </c>
      <c r="K1072" s="9">
        <f t="shared" si="1"/>
        <v>5.9982750000000005</v>
      </c>
      <c r="L1072" s="9">
        <f t="shared" si="1"/>
        <v>3.460575</v>
      </c>
      <c r="M1072" s="9">
        <f t="shared" si="1"/>
        <v>3.4760500000000003</v>
      </c>
      <c r="N1072" s="9">
        <f t="shared" si="1"/>
        <v>3.460575</v>
      </c>
      <c r="O1072" s="9">
        <f t="shared" si="1"/>
        <v>3.4760500000000003</v>
      </c>
    </row>
    <row r="1073" spans="1:15" ht="15" x14ac:dyDescent="0.2">
      <c r="A1073" s="10">
        <v>2015</v>
      </c>
      <c r="B1073" s="9">
        <f t="shared" ref="B1073:O1073" si="2">AVERAGE(B38:B49)</f>
        <v>2.483975</v>
      </c>
      <c r="C1073" s="9">
        <f t="shared" si="2"/>
        <v>2.483975</v>
      </c>
      <c r="D1073" s="9">
        <f t="shared" si="2"/>
        <v>2.485233333333333</v>
      </c>
      <c r="E1073" s="9">
        <f t="shared" si="2"/>
        <v>3.8020250000000004</v>
      </c>
      <c r="F1073" s="9">
        <f t="shared" si="2"/>
        <v>3.5835999999999992</v>
      </c>
      <c r="G1073" s="9">
        <f t="shared" si="2"/>
        <v>3.5879083333333335</v>
      </c>
      <c r="H1073" s="9">
        <f t="shared" si="2"/>
        <v>6.1340666666666666</v>
      </c>
      <c r="I1073" s="9">
        <f t="shared" si="2"/>
        <v>6.1384000000000007</v>
      </c>
      <c r="J1073" s="9">
        <f t="shared" si="2"/>
        <v>6.1340666666666666</v>
      </c>
      <c r="K1073" s="9">
        <f t="shared" si="2"/>
        <v>6.1384000000000007</v>
      </c>
      <c r="L1073" s="9">
        <f t="shared" si="2"/>
        <v>3.8020250000000004</v>
      </c>
      <c r="M1073" s="9">
        <f t="shared" si="2"/>
        <v>3.8063333333333329</v>
      </c>
      <c r="N1073" s="9">
        <f t="shared" si="2"/>
        <v>3.8020250000000004</v>
      </c>
      <c r="O1073" s="9">
        <f t="shared" si="2"/>
        <v>3.8063333333333329</v>
      </c>
    </row>
    <row r="1074" spans="1:15" ht="15" x14ac:dyDescent="0.2">
      <c r="A1074" s="10">
        <v>2016</v>
      </c>
      <c r="B1074" s="9">
        <f t="shared" ref="B1074:O1074" si="3">AVERAGE(B50:B61)</f>
        <v>3.2759166666666668</v>
      </c>
      <c r="C1074" s="9">
        <f t="shared" si="3"/>
        <v>3.2759166666666668</v>
      </c>
      <c r="D1074" s="9">
        <f t="shared" si="3"/>
        <v>3.2771833333333338</v>
      </c>
      <c r="E1074" s="9">
        <f t="shared" si="3"/>
        <v>3.9337</v>
      </c>
      <c r="F1074" s="9">
        <f t="shared" si="3"/>
        <v>3.6856000000000004</v>
      </c>
      <c r="G1074" s="9">
        <f t="shared" si="3"/>
        <v>3.6899083333333333</v>
      </c>
      <c r="H1074" s="9">
        <f t="shared" si="3"/>
        <v>6.2891916666666674</v>
      </c>
      <c r="I1074" s="9">
        <f t="shared" si="3"/>
        <v>6.2935083333333326</v>
      </c>
      <c r="J1074" s="9">
        <f t="shared" si="3"/>
        <v>6.2891916666666674</v>
      </c>
      <c r="K1074" s="9">
        <f t="shared" si="3"/>
        <v>6.2935083333333326</v>
      </c>
      <c r="L1074" s="9">
        <f t="shared" si="3"/>
        <v>3.9337</v>
      </c>
      <c r="M1074" s="9">
        <f t="shared" si="3"/>
        <v>3.9380083333333329</v>
      </c>
      <c r="N1074" s="9">
        <f t="shared" si="3"/>
        <v>3.9337</v>
      </c>
      <c r="O1074" s="9">
        <f t="shared" si="3"/>
        <v>3.9380083333333329</v>
      </c>
    </row>
    <row r="1075" spans="1:15" ht="15" x14ac:dyDescent="0.2">
      <c r="A1075" s="10">
        <v>2017</v>
      </c>
      <c r="B1075" s="9">
        <f t="shared" ref="B1075:O1075" si="4">AVERAGE(B62:B73)</f>
        <v>3.3130666666666659</v>
      </c>
      <c r="C1075" s="9">
        <f t="shared" si="4"/>
        <v>3.3130666666666659</v>
      </c>
      <c r="D1075" s="9">
        <f t="shared" si="4"/>
        <v>3.3143583333333329</v>
      </c>
      <c r="E1075" s="9">
        <f t="shared" si="4"/>
        <v>3.8792333333333331</v>
      </c>
      <c r="F1075" s="9">
        <f t="shared" si="4"/>
        <v>3.8792333333333331</v>
      </c>
      <c r="G1075" s="9">
        <f t="shared" si="4"/>
        <v>3.8835499999999996</v>
      </c>
      <c r="H1075" s="9">
        <f t="shared" si="4"/>
        <v>6.4482416666666671</v>
      </c>
      <c r="I1075" s="9">
        <f t="shared" si="4"/>
        <v>6.4525583333333332</v>
      </c>
      <c r="J1075" s="9">
        <f t="shared" si="4"/>
        <v>6.4482416666666671</v>
      </c>
      <c r="K1075" s="9">
        <f t="shared" si="4"/>
        <v>6.4525583333333332</v>
      </c>
      <c r="L1075" s="9">
        <f t="shared" si="4"/>
        <v>3.8792333333333331</v>
      </c>
      <c r="M1075" s="9">
        <f t="shared" si="4"/>
        <v>3.8835499999999996</v>
      </c>
      <c r="N1075" s="9">
        <f t="shared" si="4"/>
        <v>3.8792333333333331</v>
      </c>
      <c r="O1075" s="9">
        <f t="shared" si="4"/>
        <v>3.8835499999999996</v>
      </c>
    </row>
    <row r="1076" spans="1:15" ht="15" x14ac:dyDescent="0.2">
      <c r="A1076" s="10">
        <v>2018</v>
      </c>
      <c r="B1076" s="9">
        <f t="shared" ref="B1076:O1076" si="5">AVERAGE(B74:B85)</f>
        <v>3.4019250000000003</v>
      </c>
      <c r="C1076" s="9">
        <f t="shared" si="5"/>
        <v>3.4019250000000003</v>
      </c>
      <c r="D1076" s="9">
        <f t="shared" si="5"/>
        <v>3.4032166666666659</v>
      </c>
      <c r="E1076" s="9">
        <f t="shared" si="5"/>
        <v>3.9989833333333333</v>
      </c>
      <c r="F1076" s="9">
        <f t="shared" si="5"/>
        <v>3.9989833333333333</v>
      </c>
      <c r="G1076" s="9">
        <f t="shared" si="5"/>
        <v>4.0033166666666666</v>
      </c>
      <c r="H1076" s="9">
        <f t="shared" si="5"/>
        <v>6.6113</v>
      </c>
      <c r="I1076" s="9">
        <f t="shared" si="5"/>
        <v>6.6156249999999988</v>
      </c>
      <c r="J1076" s="9">
        <f t="shared" si="5"/>
        <v>6.6113</v>
      </c>
      <c r="K1076" s="9">
        <f t="shared" si="5"/>
        <v>6.6156249999999988</v>
      </c>
      <c r="L1076" s="9">
        <f t="shared" si="5"/>
        <v>3.9989833333333333</v>
      </c>
      <c r="M1076" s="9">
        <f t="shared" si="5"/>
        <v>4.0033166666666666</v>
      </c>
      <c r="N1076" s="9">
        <f t="shared" si="5"/>
        <v>3.9989833333333333</v>
      </c>
      <c r="O1076" s="9">
        <f t="shared" si="5"/>
        <v>4.0033166666666666</v>
      </c>
    </row>
    <row r="1077" spans="1:15" ht="15" x14ac:dyDescent="0.2">
      <c r="A1077" s="10">
        <v>2019</v>
      </c>
      <c r="B1077" s="9">
        <f t="shared" ref="B1077:O1077" si="6">AVERAGE(B86:B97)</f>
        <v>3.2222999999999993</v>
      </c>
      <c r="C1077" s="9">
        <f t="shared" si="6"/>
        <v>3.2222999999999993</v>
      </c>
      <c r="D1077" s="9">
        <f t="shared" si="6"/>
        <v>3.2235916666666671</v>
      </c>
      <c r="E1077" s="9">
        <f t="shared" si="6"/>
        <v>4.0889833333333341</v>
      </c>
      <c r="F1077" s="9">
        <f t="shared" si="6"/>
        <v>4.0889833333333341</v>
      </c>
      <c r="G1077" s="9">
        <f t="shared" si="6"/>
        <v>4.0932916666666666</v>
      </c>
      <c r="H1077" s="9">
        <f t="shared" si="6"/>
        <v>6.7785000000000002</v>
      </c>
      <c r="I1077" s="9">
        <f t="shared" si="6"/>
        <v>6.7828249999999999</v>
      </c>
      <c r="J1077" s="9">
        <f t="shared" si="6"/>
        <v>6.7785000000000002</v>
      </c>
      <c r="K1077" s="9">
        <f t="shared" si="6"/>
        <v>6.7828249999999999</v>
      </c>
      <c r="L1077" s="9">
        <f t="shared" si="6"/>
        <v>4.0889833333333341</v>
      </c>
      <c r="M1077" s="9">
        <f t="shared" si="6"/>
        <v>4.0932916666666666</v>
      </c>
      <c r="N1077" s="9">
        <f t="shared" si="6"/>
        <v>4.0889833333333341</v>
      </c>
      <c r="O1077" s="9">
        <f t="shared" si="6"/>
        <v>4.0932916666666666</v>
      </c>
    </row>
    <row r="1078" spans="1:15" ht="15" x14ac:dyDescent="0.2">
      <c r="A1078" s="10">
        <v>2020</v>
      </c>
      <c r="B1078" s="9">
        <f t="shared" ref="B1078:O1078" si="7">AVERAGE(B98:B109)</f>
        <v>3.286566666666666</v>
      </c>
      <c r="C1078" s="9">
        <f t="shared" si="7"/>
        <v>3.286566666666666</v>
      </c>
      <c r="D1078" s="9">
        <f t="shared" si="7"/>
        <v>3.2878583333333329</v>
      </c>
      <c r="E1078" s="9">
        <f t="shared" si="7"/>
        <v>4.1808833333333331</v>
      </c>
      <c r="F1078" s="9">
        <f t="shared" si="7"/>
        <v>4.1808833333333331</v>
      </c>
      <c r="G1078" s="9">
        <f t="shared" si="7"/>
        <v>4.1851916666666664</v>
      </c>
      <c r="H1078" s="9">
        <f t="shared" si="7"/>
        <v>6.9499166666666667</v>
      </c>
      <c r="I1078" s="9">
        <f t="shared" si="7"/>
        <v>6.9542499999999992</v>
      </c>
      <c r="J1078" s="9">
        <f t="shared" si="7"/>
        <v>6.9499166666666667</v>
      </c>
      <c r="K1078" s="9">
        <f t="shared" si="7"/>
        <v>6.9542499999999992</v>
      </c>
      <c r="L1078" s="9">
        <f t="shared" si="7"/>
        <v>4.1808833333333331</v>
      </c>
      <c r="M1078" s="9">
        <f t="shared" si="7"/>
        <v>4.1851916666666664</v>
      </c>
      <c r="N1078" s="9">
        <f t="shared" si="7"/>
        <v>4.1808833333333331</v>
      </c>
      <c r="O1078" s="9">
        <f t="shared" si="7"/>
        <v>4.1851916666666664</v>
      </c>
    </row>
    <row r="1079" spans="1:15" ht="15" x14ac:dyDescent="0.2">
      <c r="A1079" s="10">
        <v>2021</v>
      </c>
      <c r="B1079" s="9">
        <f t="shared" ref="B1079:O1079" si="8">AVERAGE(B110:B121)</f>
        <v>3.3671249999999993</v>
      </c>
      <c r="C1079" s="9">
        <f t="shared" si="8"/>
        <v>3.3671249999999993</v>
      </c>
      <c r="D1079" s="9">
        <f t="shared" si="8"/>
        <v>3.3684250000000002</v>
      </c>
      <c r="E1079" s="9">
        <f t="shared" si="8"/>
        <v>4.2754583333333338</v>
      </c>
      <c r="F1079" s="9">
        <f t="shared" si="8"/>
        <v>4.2754583333333338</v>
      </c>
      <c r="G1079" s="9">
        <f t="shared" si="8"/>
        <v>4.2797916666666671</v>
      </c>
      <c r="H1079" s="9">
        <f t="shared" si="8"/>
        <v>7.125683333333332</v>
      </c>
      <c r="I1079" s="9">
        <f t="shared" si="8"/>
        <v>7.1299916666666681</v>
      </c>
      <c r="J1079" s="9">
        <f t="shared" si="8"/>
        <v>7.125683333333332</v>
      </c>
      <c r="K1079" s="9">
        <f t="shared" si="8"/>
        <v>7.1299916666666681</v>
      </c>
      <c r="L1079" s="9">
        <f t="shared" si="8"/>
        <v>4.2754583333333338</v>
      </c>
      <c r="M1079" s="9">
        <f t="shared" si="8"/>
        <v>4.2797916666666671</v>
      </c>
      <c r="N1079" s="9">
        <f t="shared" si="8"/>
        <v>4.2754583333333338</v>
      </c>
      <c r="O1079" s="9">
        <f t="shared" si="8"/>
        <v>4.2797916666666671</v>
      </c>
    </row>
    <row r="1080" spans="1:15" ht="15" x14ac:dyDescent="0.2">
      <c r="A1080" s="10">
        <v>2022</v>
      </c>
      <c r="B1080" s="9">
        <f t="shared" ref="B1080:O1080" si="9">AVERAGE(B122:B133)</f>
        <v>3.4470750000000003</v>
      </c>
      <c r="C1080" s="9">
        <f t="shared" si="9"/>
        <v>3.4470750000000003</v>
      </c>
      <c r="D1080" s="9">
        <f t="shared" si="9"/>
        <v>3.4483666666666668</v>
      </c>
      <c r="E1080" s="9">
        <f t="shared" si="9"/>
        <v>4.3818083333333337</v>
      </c>
      <c r="F1080" s="9">
        <f t="shared" si="9"/>
        <v>4.3818083333333337</v>
      </c>
      <c r="G1080" s="9">
        <f t="shared" si="9"/>
        <v>4.3861166666666671</v>
      </c>
      <c r="H1080" s="9">
        <f t="shared" si="9"/>
        <v>7.3058749999999977</v>
      </c>
      <c r="I1080" s="9">
        <f t="shared" si="9"/>
        <v>7.3101833333333337</v>
      </c>
      <c r="J1080" s="9">
        <f t="shared" si="9"/>
        <v>7.3058749999999977</v>
      </c>
      <c r="K1080" s="9">
        <f t="shared" si="9"/>
        <v>7.3101833333333337</v>
      </c>
      <c r="L1080" s="9">
        <f t="shared" si="9"/>
        <v>4.3818083333333337</v>
      </c>
      <c r="M1080" s="9">
        <f t="shared" si="9"/>
        <v>4.3861166666666671</v>
      </c>
      <c r="N1080" s="9">
        <f t="shared" si="9"/>
        <v>4.3818083333333337</v>
      </c>
      <c r="O1080" s="9">
        <f t="shared" si="9"/>
        <v>4.3861166666666671</v>
      </c>
    </row>
    <row r="1081" spans="1:15" ht="15" x14ac:dyDescent="0.2">
      <c r="A1081" s="10">
        <v>2023</v>
      </c>
      <c r="B1081" s="9">
        <f t="shared" ref="B1081:O1081" si="10">AVERAGE(B134:B145)</f>
        <v>3.5408249999999994</v>
      </c>
      <c r="C1081" s="9">
        <f t="shared" si="10"/>
        <v>3.5408249999999994</v>
      </c>
      <c r="D1081" s="9">
        <f t="shared" si="10"/>
        <v>3.5421166666666668</v>
      </c>
      <c r="E1081" s="9">
        <f t="shared" si="10"/>
        <v>4.490308333333334</v>
      </c>
      <c r="F1081" s="9">
        <f t="shared" si="10"/>
        <v>4.490308333333334</v>
      </c>
      <c r="G1081" s="9">
        <f t="shared" si="10"/>
        <v>4.4946166666666665</v>
      </c>
      <c r="H1081" s="9">
        <f t="shared" si="10"/>
        <v>7.4906249999999988</v>
      </c>
      <c r="I1081" s="9">
        <f t="shared" si="10"/>
        <v>7.4949333333333321</v>
      </c>
      <c r="J1081" s="9">
        <f t="shared" si="10"/>
        <v>7.4906249999999988</v>
      </c>
      <c r="K1081" s="9">
        <f t="shared" si="10"/>
        <v>7.4949333333333321</v>
      </c>
      <c r="L1081" s="9">
        <f t="shared" si="10"/>
        <v>4.490308333333334</v>
      </c>
      <c r="M1081" s="9">
        <f t="shared" si="10"/>
        <v>4.4946166666666665</v>
      </c>
      <c r="N1081" s="9">
        <f t="shared" si="10"/>
        <v>4.490308333333334</v>
      </c>
      <c r="O1081" s="9">
        <f t="shared" si="10"/>
        <v>4.4946166666666665</v>
      </c>
    </row>
    <row r="1082" spans="1:15" ht="15" x14ac:dyDescent="0.2">
      <c r="A1082" s="10">
        <v>2024</v>
      </c>
      <c r="B1082" s="9">
        <f t="shared" ref="B1082:O1082" si="11">AVERAGE(B146:B157)</f>
        <v>3.6291499999999997</v>
      </c>
      <c r="C1082" s="9">
        <f t="shared" si="11"/>
        <v>3.6291499999999997</v>
      </c>
      <c r="D1082" s="9">
        <f t="shared" si="11"/>
        <v>3.6304500000000002</v>
      </c>
      <c r="E1082" s="9">
        <f t="shared" si="11"/>
        <v>4.6075583333333325</v>
      </c>
      <c r="F1082" s="9">
        <f t="shared" si="11"/>
        <v>4.6075583333333325</v>
      </c>
      <c r="G1082" s="9">
        <f t="shared" si="11"/>
        <v>4.6118500000000004</v>
      </c>
      <c r="H1082" s="9">
        <f t="shared" si="11"/>
        <v>7.6800500000000005</v>
      </c>
      <c r="I1082" s="9">
        <f t="shared" si="11"/>
        <v>7.6843666666666666</v>
      </c>
      <c r="J1082" s="9">
        <f t="shared" si="11"/>
        <v>7.6800500000000005</v>
      </c>
      <c r="K1082" s="9">
        <f t="shared" si="11"/>
        <v>7.6843666666666666</v>
      </c>
      <c r="L1082" s="9">
        <f t="shared" si="11"/>
        <v>4.6075583333333325</v>
      </c>
      <c r="M1082" s="9">
        <f t="shared" si="11"/>
        <v>4.6118500000000004</v>
      </c>
      <c r="N1082" s="9">
        <f t="shared" si="11"/>
        <v>4.6075583333333325</v>
      </c>
      <c r="O1082" s="9">
        <f t="shared" si="11"/>
        <v>4.6118500000000004</v>
      </c>
    </row>
    <row r="1083" spans="1:15" ht="15" x14ac:dyDescent="0.2">
      <c r="A1083" s="10">
        <v>2025</v>
      </c>
      <c r="B1083" s="9">
        <f t="shared" ref="B1083:O1083" si="12">AVERAGE(B158:B169)</f>
        <v>3.7209500000000002</v>
      </c>
      <c r="C1083" s="9">
        <f t="shared" si="12"/>
        <v>3.7209500000000002</v>
      </c>
      <c r="D1083" s="9">
        <f t="shared" si="12"/>
        <v>3.7222416666666676</v>
      </c>
      <c r="E1083" s="9">
        <f t="shared" si="12"/>
        <v>4.7325583333333325</v>
      </c>
      <c r="F1083" s="9">
        <f t="shared" si="12"/>
        <v>4.7325583333333325</v>
      </c>
      <c r="G1083" s="9">
        <f t="shared" si="12"/>
        <v>4.7368916666666667</v>
      </c>
      <c r="H1083" s="9">
        <f t="shared" si="12"/>
        <v>7.8742666666666663</v>
      </c>
      <c r="I1083" s="9">
        <f t="shared" si="12"/>
        <v>7.8785833333333342</v>
      </c>
      <c r="J1083" s="9">
        <f t="shared" si="12"/>
        <v>7.8742666666666663</v>
      </c>
      <c r="K1083" s="9">
        <f t="shared" si="12"/>
        <v>7.8785833333333342</v>
      </c>
      <c r="L1083" s="9">
        <f t="shared" si="12"/>
        <v>4.7325583333333325</v>
      </c>
      <c r="M1083" s="9">
        <f t="shared" si="12"/>
        <v>4.7368916666666667</v>
      </c>
      <c r="N1083" s="9">
        <f t="shared" si="12"/>
        <v>4.7325583333333325</v>
      </c>
      <c r="O1083" s="9">
        <f t="shared" si="12"/>
        <v>4.7368916666666667</v>
      </c>
    </row>
    <row r="1084" spans="1:15" ht="15" x14ac:dyDescent="0.2">
      <c r="A1084" s="10">
        <v>2026</v>
      </c>
      <c r="B1084" s="9">
        <f t="shared" ref="B1084:O1084" si="13">AVERAGE(B170:B181)</f>
        <v>3.8184083333333336</v>
      </c>
      <c r="C1084" s="9">
        <f t="shared" si="13"/>
        <v>3.8184083333333336</v>
      </c>
      <c r="D1084" s="9">
        <f t="shared" si="13"/>
        <v>3.8196916666666669</v>
      </c>
      <c r="E1084" s="9">
        <f t="shared" si="13"/>
        <v>4.8625583333333324</v>
      </c>
      <c r="F1084" s="9">
        <f t="shared" si="13"/>
        <v>4.8625583333333324</v>
      </c>
      <c r="G1084" s="9">
        <f t="shared" si="13"/>
        <v>4.8668749999999994</v>
      </c>
      <c r="H1084" s="9">
        <f t="shared" si="13"/>
        <v>8.073383333333334</v>
      </c>
      <c r="I1084" s="9">
        <f t="shared" si="13"/>
        <v>8.0777000000000019</v>
      </c>
      <c r="J1084" s="9">
        <f t="shared" si="13"/>
        <v>8.073383333333334</v>
      </c>
      <c r="K1084" s="9">
        <f t="shared" si="13"/>
        <v>8.0777000000000019</v>
      </c>
      <c r="L1084" s="9">
        <f t="shared" si="13"/>
        <v>4.8625583333333324</v>
      </c>
      <c r="M1084" s="9">
        <f t="shared" si="13"/>
        <v>4.8668749999999994</v>
      </c>
      <c r="N1084" s="9">
        <f t="shared" si="13"/>
        <v>4.8625583333333324</v>
      </c>
      <c r="O1084" s="9">
        <f t="shared" si="13"/>
        <v>4.8668749999999994</v>
      </c>
    </row>
    <row r="1085" spans="1:15" ht="15" x14ac:dyDescent="0.2">
      <c r="A1085" s="10">
        <v>2027</v>
      </c>
      <c r="B1085" s="9">
        <f t="shared" ref="B1085:O1085" si="14">AVERAGE(B182:B193)</f>
        <v>3.9176666666666669</v>
      </c>
      <c r="C1085" s="9">
        <f t="shared" si="14"/>
        <v>3.9176666666666669</v>
      </c>
      <c r="D1085" s="9">
        <f t="shared" si="14"/>
        <v>3.9189416666666665</v>
      </c>
      <c r="E1085" s="9">
        <f t="shared" si="14"/>
        <v>4.9883083333333325</v>
      </c>
      <c r="F1085" s="9">
        <f t="shared" si="14"/>
        <v>4.9883083333333325</v>
      </c>
      <c r="G1085" s="9">
        <f t="shared" si="14"/>
        <v>4.9926166666666658</v>
      </c>
      <c r="H1085" s="9">
        <f t="shared" si="14"/>
        <v>8.2775499999999997</v>
      </c>
      <c r="I1085" s="9">
        <f t="shared" si="14"/>
        <v>8.2818666666666658</v>
      </c>
      <c r="J1085" s="9">
        <f t="shared" si="14"/>
        <v>8.2775499999999997</v>
      </c>
      <c r="K1085" s="9">
        <f t="shared" si="14"/>
        <v>8.2818666666666658</v>
      </c>
      <c r="L1085" s="9">
        <f t="shared" si="14"/>
        <v>4.9883083333333325</v>
      </c>
      <c r="M1085" s="9">
        <f t="shared" si="14"/>
        <v>4.9926166666666658</v>
      </c>
      <c r="N1085" s="9">
        <f t="shared" si="14"/>
        <v>4.9883083333333325</v>
      </c>
      <c r="O1085" s="9">
        <f t="shared" si="14"/>
        <v>4.9926166666666658</v>
      </c>
    </row>
    <row r="1086" spans="1:15" ht="15" x14ac:dyDescent="0.2">
      <c r="A1086" s="10">
        <v>2028</v>
      </c>
      <c r="B1086" s="9">
        <f t="shared" ref="B1086:O1086" si="15">AVERAGE(B194:B205)</f>
        <v>4.0231749999999984</v>
      </c>
      <c r="C1086" s="9">
        <f t="shared" si="15"/>
        <v>4.0231749999999984</v>
      </c>
      <c r="D1086" s="9">
        <f t="shared" si="15"/>
        <v>4.0244666666666662</v>
      </c>
      <c r="E1086" s="9">
        <f t="shared" si="15"/>
        <v>5.121858333333333</v>
      </c>
      <c r="F1086" s="9">
        <f t="shared" si="15"/>
        <v>5.121858333333333</v>
      </c>
      <c r="G1086" s="9">
        <f t="shared" si="15"/>
        <v>5.1261666666666663</v>
      </c>
      <c r="H1086" s="9">
        <f t="shared" si="15"/>
        <v>8.4868833333333331</v>
      </c>
      <c r="I1086" s="9">
        <f t="shared" si="15"/>
        <v>8.4911916666666656</v>
      </c>
      <c r="J1086" s="9">
        <f t="shared" si="15"/>
        <v>8.4868833333333331</v>
      </c>
      <c r="K1086" s="9">
        <f t="shared" si="15"/>
        <v>8.4911916666666656</v>
      </c>
      <c r="L1086" s="9">
        <f t="shared" si="15"/>
        <v>5.121858333333333</v>
      </c>
      <c r="M1086" s="9">
        <f t="shared" si="15"/>
        <v>5.1261666666666663</v>
      </c>
      <c r="N1086" s="9">
        <f t="shared" si="15"/>
        <v>5.121858333333333</v>
      </c>
      <c r="O1086" s="9">
        <f t="shared" si="15"/>
        <v>5.1261666666666663</v>
      </c>
    </row>
    <row r="1087" spans="1:15" ht="15" x14ac:dyDescent="0.2">
      <c r="A1087" s="10">
        <v>2029</v>
      </c>
      <c r="B1087" s="9">
        <f t="shared" ref="B1087:O1087" si="16">AVERAGE(B206:B217)</f>
        <v>4.1202916666666676</v>
      </c>
      <c r="C1087" s="9">
        <f t="shared" si="16"/>
        <v>4.1202916666666676</v>
      </c>
      <c r="D1087" s="9">
        <f t="shared" si="16"/>
        <v>4.1215583333333337</v>
      </c>
      <c r="E1087" s="9">
        <f t="shared" si="16"/>
        <v>5.2511833333333335</v>
      </c>
      <c r="F1087" s="9">
        <f t="shared" si="16"/>
        <v>5.2511833333333335</v>
      </c>
      <c r="G1087" s="9">
        <f t="shared" si="16"/>
        <v>5.2554916666666669</v>
      </c>
      <c r="H1087" s="9">
        <f t="shared" si="16"/>
        <v>8.7015000000000011</v>
      </c>
      <c r="I1087" s="9">
        <f t="shared" si="16"/>
        <v>8.705824999999999</v>
      </c>
      <c r="J1087" s="9">
        <f t="shared" si="16"/>
        <v>8.7015000000000011</v>
      </c>
      <c r="K1087" s="9">
        <f t="shared" si="16"/>
        <v>8.705824999999999</v>
      </c>
      <c r="L1087" s="9">
        <f t="shared" si="16"/>
        <v>5.2511833333333335</v>
      </c>
      <c r="M1087" s="9">
        <f t="shared" si="16"/>
        <v>5.2554916666666669</v>
      </c>
      <c r="N1087" s="9">
        <f t="shared" si="16"/>
        <v>5.2511833333333335</v>
      </c>
      <c r="O1087" s="9">
        <f t="shared" si="16"/>
        <v>5.2554916666666669</v>
      </c>
    </row>
    <row r="1088" spans="1:15" ht="15" x14ac:dyDescent="0.2">
      <c r="A1088" s="10">
        <v>2030</v>
      </c>
      <c r="B1088" s="9">
        <f t="shared" ref="B1088:O1088" si="17">AVERAGE(B218:B229)</f>
        <v>4.2197500000000003</v>
      </c>
      <c r="C1088" s="9">
        <f t="shared" si="17"/>
        <v>4.2197500000000003</v>
      </c>
      <c r="D1088" s="9">
        <f t="shared" si="17"/>
        <v>4.2210416666666664</v>
      </c>
      <c r="E1088" s="9">
        <f t="shared" si="17"/>
        <v>5.3853833333333334</v>
      </c>
      <c r="F1088" s="9">
        <f t="shared" si="17"/>
        <v>5.3853833333333334</v>
      </c>
      <c r="G1088" s="9">
        <f t="shared" si="17"/>
        <v>5.3897166666666676</v>
      </c>
      <c r="H1088" s="9">
        <f t="shared" si="17"/>
        <v>8.9215500000000016</v>
      </c>
      <c r="I1088" s="9">
        <f t="shared" si="17"/>
        <v>8.9258666666666659</v>
      </c>
      <c r="J1088" s="9">
        <f t="shared" si="17"/>
        <v>8.9215500000000016</v>
      </c>
      <c r="K1088" s="9">
        <f t="shared" si="17"/>
        <v>8.9258666666666659</v>
      </c>
      <c r="L1088" s="9">
        <f t="shared" si="17"/>
        <v>5.3853833333333334</v>
      </c>
      <c r="M1088" s="9">
        <f t="shared" si="17"/>
        <v>5.3897166666666676</v>
      </c>
      <c r="N1088" s="9">
        <f t="shared" si="17"/>
        <v>5.3853833333333334</v>
      </c>
      <c r="O1088" s="9">
        <f t="shared" si="17"/>
        <v>5.3897166666666676</v>
      </c>
    </row>
    <row r="1089" spans="1:15" ht="15" x14ac:dyDescent="0.2">
      <c r="A1089" s="10">
        <v>2031</v>
      </c>
      <c r="B1089" s="9">
        <f t="shared" ref="B1089:O1089" si="18">AVERAGE(B230:B241)</f>
        <v>4.319983333333334</v>
      </c>
      <c r="C1089" s="9">
        <f t="shared" si="18"/>
        <v>4.319983333333334</v>
      </c>
      <c r="D1089" s="9">
        <f t="shared" si="18"/>
        <v>4.321275</v>
      </c>
      <c r="E1089" s="9">
        <f t="shared" si="18"/>
        <v>5.5212583333333329</v>
      </c>
      <c r="F1089" s="9">
        <f t="shared" si="18"/>
        <v>5.5212583333333329</v>
      </c>
      <c r="G1089" s="9">
        <f t="shared" si="18"/>
        <v>5.5255916666666671</v>
      </c>
      <c r="H1089" s="9">
        <f t="shared" si="18"/>
        <v>9.1471499999999999</v>
      </c>
      <c r="I1089" s="9">
        <f t="shared" si="18"/>
        <v>9.151466666666666</v>
      </c>
      <c r="J1089" s="9">
        <f t="shared" si="18"/>
        <v>9.1471499999999999</v>
      </c>
      <c r="K1089" s="9">
        <f t="shared" si="18"/>
        <v>9.151466666666666</v>
      </c>
      <c r="L1089" s="9">
        <f t="shared" si="18"/>
        <v>5.5212583333333329</v>
      </c>
      <c r="M1089" s="9">
        <f t="shared" si="18"/>
        <v>5.5255916666666671</v>
      </c>
      <c r="N1089" s="9">
        <f t="shared" si="18"/>
        <v>5.5212583333333329</v>
      </c>
      <c r="O1089" s="9">
        <f t="shared" si="18"/>
        <v>5.5255916666666671</v>
      </c>
    </row>
    <row r="1090" spans="1:15" ht="15" x14ac:dyDescent="0.2">
      <c r="A1090" s="10">
        <v>2032</v>
      </c>
      <c r="B1090" s="9">
        <f t="shared" ref="B1090:O1090" si="19">AVERAGE(B242:B253)</f>
        <v>4.4233666666666664</v>
      </c>
      <c r="C1090" s="9">
        <f t="shared" si="19"/>
        <v>4.4233666666666664</v>
      </c>
      <c r="D1090" s="9">
        <f t="shared" si="19"/>
        <v>4.4246499999999997</v>
      </c>
      <c r="E1090" s="9">
        <f t="shared" si="19"/>
        <v>5.6636583333333341</v>
      </c>
      <c r="F1090" s="9">
        <f t="shared" si="19"/>
        <v>5.6636583333333341</v>
      </c>
      <c r="G1090" s="9">
        <f t="shared" si="19"/>
        <v>5.6679666666666675</v>
      </c>
      <c r="H1090" s="9">
        <f t="shared" si="19"/>
        <v>9.3784916666666671</v>
      </c>
      <c r="I1090" s="9">
        <f t="shared" si="19"/>
        <v>9.3828000000000014</v>
      </c>
      <c r="J1090" s="9">
        <f t="shared" si="19"/>
        <v>9.3784916666666671</v>
      </c>
      <c r="K1090" s="9">
        <f t="shared" si="19"/>
        <v>9.3828000000000014</v>
      </c>
      <c r="L1090" s="9">
        <f t="shared" si="19"/>
        <v>5.6636583333333341</v>
      </c>
      <c r="M1090" s="9">
        <f t="shared" si="19"/>
        <v>5.6679666666666675</v>
      </c>
      <c r="N1090" s="9">
        <f t="shared" si="19"/>
        <v>5.6636583333333341</v>
      </c>
      <c r="O1090" s="9">
        <f t="shared" si="19"/>
        <v>5.6679666666666675</v>
      </c>
    </row>
    <row r="1091" spans="1:15" ht="15" x14ac:dyDescent="0.2">
      <c r="A1091" s="10">
        <v>2033</v>
      </c>
      <c r="B1091" s="9">
        <f t="shared" ref="B1091:O1091" si="20">AVERAGE(B254:B265)</f>
        <v>4.5277250000000011</v>
      </c>
      <c r="C1091" s="9">
        <f t="shared" si="20"/>
        <v>4.5277250000000011</v>
      </c>
      <c r="D1091" s="9">
        <f t="shared" si="20"/>
        <v>4.5290083333333335</v>
      </c>
      <c r="E1091" s="9">
        <f t="shared" si="20"/>
        <v>5.8086833333333336</v>
      </c>
      <c r="F1091" s="9">
        <f t="shared" si="20"/>
        <v>5.8086833333333336</v>
      </c>
      <c r="G1091" s="9">
        <f t="shared" si="20"/>
        <v>5.8129750000000016</v>
      </c>
      <c r="H1091" s="9">
        <f t="shared" si="20"/>
        <v>9.6156583333333323</v>
      </c>
      <c r="I1091" s="9">
        <f t="shared" si="20"/>
        <v>9.6199666666666683</v>
      </c>
      <c r="J1091" s="9">
        <f t="shared" si="20"/>
        <v>9.6156583333333323</v>
      </c>
      <c r="K1091" s="9">
        <f t="shared" si="20"/>
        <v>9.6199666666666683</v>
      </c>
      <c r="L1091" s="9">
        <f t="shared" si="20"/>
        <v>5.8086833333333336</v>
      </c>
      <c r="M1091" s="9">
        <f t="shared" si="20"/>
        <v>5.8129750000000016</v>
      </c>
      <c r="N1091" s="9">
        <f t="shared" si="20"/>
        <v>5.8086833333333336</v>
      </c>
      <c r="O1091" s="9">
        <f t="shared" si="20"/>
        <v>5.8129750000000016</v>
      </c>
    </row>
    <row r="1092" spans="1:15" ht="15" x14ac:dyDescent="0.2">
      <c r="A1092" s="10">
        <v>2034</v>
      </c>
      <c r="B1092" s="9">
        <f t="shared" ref="B1092:O1092" si="21">AVERAGE(B266:B277)</f>
        <v>4.6365749999999997</v>
      </c>
      <c r="C1092" s="9">
        <f t="shared" si="21"/>
        <v>4.6365749999999997</v>
      </c>
      <c r="D1092" s="9">
        <f t="shared" si="21"/>
        <v>4.6378583333333339</v>
      </c>
      <c r="E1092" s="9">
        <f t="shared" si="21"/>
        <v>5.9626083333333346</v>
      </c>
      <c r="F1092" s="9">
        <f t="shared" si="21"/>
        <v>5.9626083333333346</v>
      </c>
      <c r="G1092" s="9">
        <f t="shared" si="21"/>
        <v>5.966941666666667</v>
      </c>
      <c r="H1092" s="9">
        <f t="shared" si="21"/>
        <v>9.8588166666666659</v>
      </c>
      <c r="I1092" s="9">
        <f t="shared" si="21"/>
        <v>9.8631250000000001</v>
      </c>
      <c r="J1092" s="9">
        <f t="shared" si="21"/>
        <v>9.8588166666666659</v>
      </c>
      <c r="K1092" s="9">
        <f t="shared" si="21"/>
        <v>9.8631250000000001</v>
      </c>
      <c r="L1092" s="9">
        <f t="shared" si="21"/>
        <v>5.9626083333333346</v>
      </c>
      <c r="M1092" s="9">
        <f t="shared" si="21"/>
        <v>5.966941666666667</v>
      </c>
      <c r="N1092" s="9">
        <f t="shared" si="21"/>
        <v>5.9626083333333346</v>
      </c>
      <c r="O1092" s="9">
        <f t="shared" si="21"/>
        <v>5.966941666666667</v>
      </c>
    </row>
    <row r="1093" spans="1:15" ht="15" x14ac:dyDescent="0.2">
      <c r="A1093" s="10">
        <v>2035</v>
      </c>
      <c r="B1093" s="9">
        <f t="shared" ref="B1093:O1093" si="22">AVERAGE(B278:B289)</f>
        <v>4.7452499999999995</v>
      </c>
      <c r="C1093" s="9">
        <f t="shared" si="22"/>
        <v>4.7452499999999995</v>
      </c>
      <c r="D1093" s="9">
        <f t="shared" si="22"/>
        <v>4.7465333333333337</v>
      </c>
      <c r="E1093" s="9">
        <f t="shared" si="22"/>
        <v>6.2283083333333344</v>
      </c>
      <c r="F1093" s="9">
        <f t="shared" si="22"/>
        <v>6.2283083333333344</v>
      </c>
      <c r="G1093" s="9">
        <f t="shared" si="22"/>
        <v>6.2326249999999996</v>
      </c>
      <c r="H1093" s="9">
        <f t="shared" si="22"/>
        <v>10.108133333333333</v>
      </c>
      <c r="I1093" s="9">
        <f t="shared" si="22"/>
        <v>10.112441666666667</v>
      </c>
      <c r="J1093" s="9">
        <f t="shared" si="22"/>
        <v>10.108133333333333</v>
      </c>
      <c r="K1093" s="9">
        <f t="shared" si="22"/>
        <v>10.112441666666667</v>
      </c>
      <c r="L1093" s="9">
        <f t="shared" si="22"/>
        <v>6.2283083333333344</v>
      </c>
      <c r="M1093" s="9">
        <f t="shared" si="22"/>
        <v>6.2326249999999996</v>
      </c>
      <c r="N1093" s="9">
        <f t="shared" si="22"/>
        <v>6.2283083333333344</v>
      </c>
      <c r="O1093" s="9">
        <f t="shared" si="22"/>
        <v>6.2326249999999996</v>
      </c>
    </row>
    <row r="1094" spans="1:15" ht="15" x14ac:dyDescent="0.2">
      <c r="A1094" s="10">
        <v>2036</v>
      </c>
      <c r="B1094" s="9">
        <f t="shared" ref="B1094:O1094" si="23">AVERAGE(B290:B301)</f>
        <v>4.8552916666666661</v>
      </c>
      <c r="C1094" s="9">
        <f t="shared" si="23"/>
        <v>4.8552916666666661</v>
      </c>
      <c r="D1094" s="9">
        <f t="shared" si="23"/>
        <v>4.8565666666666667</v>
      </c>
      <c r="E1094" s="9">
        <f t="shared" si="23"/>
        <v>6.4622250000000001</v>
      </c>
      <c r="F1094" s="9">
        <f t="shared" si="23"/>
        <v>6.4622250000000001</v>
      </c>
      <c r="G1094" s="9">
        <f t="shared" si="23"/>
        <v>6.4665333333333317</v>
      </c>
      <c r="H1094" s="9">
        <f t="shared" si="23"/>
        <v>10.36375</v>
      </c>
      <c r="I1094" s="9">
        <f t="shared" si="23"/>
        <v>10.368066666666666</v>
      </c>
      <c r="J1094" s="9">
        <f t="shared" si="23"/>
        <v>10.36375</v>
      </c>
      <c r="K1094" s="9">
        <f t="shared" si="23"/>
        <v>10.368066666666666</v>
      </c>
      <c r="L1094" s="9">
        <f t="shared" si="23"/>
        <v>6.4622250000000001</v>
      </c>
      <c r="M1094" s="9">
        <f t="shared" si="23"/>
        <v>6.4665333333333317</v>
      </c>
      <c r="N1094" s="9">
        <f t="shared" si="23"/>
        <v>6.4622250000000001</v>
      </c>
      <c r="O1094" s="9">
        <f t="shared" si="23"/>
        <v>6.4665333333333317</v>
      </c>
    </row>
    <row r="1095" spans="1:15" ht="15" x14ac:dyDescent="0.2">
      <c r="A1095" s="10">
        <v>2037</v>
      </c>
      <c r="B1095" s="9">
        <f t="shared" ref="B1095:O1095" si="24">AVERAGE(B302:B313)</f>
        <v>4.964783333333334</v>
      </c>
      <c r="C1095" s="9">
        <f t="shared" si="24"/>
        <v>4.964783333333334</v>
      </c>
      <c r="D1095" s="9">
        <f t="shared" si="24"/>
        <v>4.9660833333333327</v>
      </c>
      <c r="E1095" s="9">
        <f t="shared" si="24"/>
        <v>6.5224749999999991</v>
      </c>
      <c r="F1095" s="9">
        <f t="shared" si="24"/>
        <v>6.5224749999999991</v>
      </c>
      <c r="G1095" s="9">
        <f t="shared" si="24"/>
        <v>6.5267833333333343</v>
      </c>
      <c r="H1095" s="9">
        <f t="shared" si="24"/>
        <v>10.625816666666665</v>
      </c>
      <c r="I1095" s="9">
        <f t="shared" si="24"/>
        <v>10.630141666666667</v>
      </c>
      <c r="J1095" s="9">
        <f t="shared" si="24"/>
        <v>10.625816666666665</v>
      </c>
      <c r="K1095" s="9">
        <f t="shared" si="24"/>
        <v>10.630141666666667</v>
      </c>
      <c r="L1095" s="9">
        <f t="shared" si="24"/>
        <v>6.5224749999999991</v>
      </c>
      <c r="M1095" s="9">
        <f t="shared" si="24"/>
        <v>6.5267833333333343</v>
      </c>
      <c r="N1095" s="9">
        <f t="shared" si="24"/>
        <v>6.5224749999999991</v>
      </c>
      <c r="O1095" s="9">
        <f t="shared" si="24"/>
        <v>6.5267833333333343</v>
      </c>
    </row>
    <row r="1096" spans="1:15" ht="15" x14ac:dyDescent="0.2">
      <c r="A1096" s="10">
        <v>2038</v>
      </c>
      <c r="B1096" s="9">
        <f t="shared" ref="B1096:O1096" si="25">AVERAGE(B314:B325)</f>
        <v>5.078008333333333</v>
      </c>
      <c r="C1096" s="9">
        <f t="shared" si="25"/>
        <v>5.078008333333333</v>
      </c>
      <c r="D1096" s="9">
        <f t="shared" si="25"/>
        <v>5.0792916666666663</v>
      </c>
      <c r="E1096" s="9">
        <f t="shared" si="25"/>
        <v>6.5534166666666671</v>
      </c>
      <c r="F1096" s="9">
        <f t="shared" si="25"/>
        <v>6.5534166666666671</v>
      </c>
      <c r="G1096" s="9">
        <f t="shared" si="25"/>
        <v>6.5577499999999995</v>
      </c>
      <c r="H1096" s="9">
        <f t="shared" si="25"/>
        <v>10.894541666666667</v>
      </c>
      <c r="I1096" s="9">
        <f t="shared" si="25"/>
        <v>10.898849999999998</v>
      </c>
      <c r="J1096" s="9">
        <f t="shared" si="25"/>
        <v>10.894541666666667</v>
      </c>
      <c r="K1096" s="9">
        <f t="shared" si="25"/>
        <v>10.898849999999998</v>
      </c>
      <c r="L1096" s="9">
        <f t="shared" si="25"/>
        <v>6.5534166666666671</v>
      </c>
      <c r="M1096" s="9">
        <f t="shared" si="25"/>
        <v>6.5577499999999995</v>
      </c>
      <c r="N1096" s="9">
        <f t="shared" si="25"/>
        <v>6.5534166666666671</v>
      </c>
      <c r="O1096" s="9">
        <f t="shared" si="25"/>
        <v>6.5577499999999995</v>
      </c>
    </row>
    <row r="1097" spans="1:15" ht="15" x14ac:dyDescent="0.2">
      <c r="A1097" s="10">
        <v>2039</v>
      </c>
      <c r="B1097" s="9">
        <f t="shared" ref="B1097:O1097" si="26">AVERAGE(B326:B337)</f>
        <v>5.1910833333333333</v>
      </c>
      <c r="C1097" s="9">
        <f t="shared" si="26"/>
        <v>5.1910833333333333</v>
      </c>
      <c r="D1097" s="9">
        <f t="shared" si="26"/>
        <v>5.1923583333333339</v>
      </c>
      <c r="E1097" s="9">
        <f t="shared" si="26"/>
        <v>6.5795250000000003</v>
      </c>
      <c r="F1097" s="9">
        <f t="shared" si="26"/>
        <v>6.5795250000000003</v>
      </c>
      <c r="G1097" s="9">
        <f t="shared" si="26"/>
        <v>6.5838416666666655</v>
      </c>
      <c r="H1097" s="9">
        <f t="shared" si="26"/>
        <v>11.170033333333334</v>
      </c>
      <c r="I1097" s="9">
        <f t="shared" si="26"/>
        <v>11.174358333333332</v>
      </c>
      <c r="J1097" s="9">
        <f t="shared" si="26"/>
        <v>11.170033333333334</v>
      </c>
      <c r="K1097" s="9">
        <f t="shared" si="26"/>
        <v>11.174358333333332</v>
      </c>
      <c r="L1097" s="9">
        <f t="shared" si="26"/>
        <v>6.5795250000000003</v>
      </c>
      <c r="M1097" s="9">
        <f t="shared" si="26"/>
        <v>6.5838416666666655</v>
      </c>
      <c r="N1097" s="9">
        <f t="shared" si="26"/>
        <v>6.5795250000000003</v>
      </c>
      <c r="O1097" s="9">
        <f t="shared" si="26"/>
        <v>6.5838416666666655</v>
      </c>
    </row>
    <row r="1098" spans="1:15" ht="15" x14ac:dyDescent="0.2">
      <c r="A1098" s="10">
        <v>2040</v>
      </c>
      <c r="B1098" s="9">
        <f t="shared" ref="B1098:O1098" si="27">AVERAGE(B338:B349)</f>
        <v>5.3088083333333334</v>
      </c>
      <c r="C1098" s="9">
        <f t="shared" si="27"/>
        <v>5.3088083333333334</v>
      </c>
      <c r="D1098" s="9">
        <f t="shared" si="27"/>
        <v>5.3100916666666675</v>
      </c>
      <c r="E1098" s="9">
        <f t="shared" si="27"/>
        <v>6.6098166666666671</v>
      </c>
      <c r="F1098" s="9">
        <f t="shared" si="27"/>
        <v>6.6098166666666671</v>
      </c>
      <c r="G1098" s="9">
        <f t="shared" si="27"/>
        <v>6.6141166666666669</v>
      </c>
      <c r="H1098" s="9">
        <f t="shared" si="27"/>
        <v>11.452516666666668</v>
      </c>
      <c r="I1098" s="9">
        <f t="shared" si="27"/>
        <v>11.456833333333334</v>
      </c>
      <c r="J1098" s="9">
        <f t="shared" si="27"/>
        <v>11.452516666666668</v>
      </c>
      <c r="K1098" s="9">
        <f t="shared" si="27"/>
        <v>11.456833333333334</v>
      </c>
      <c r="L1098" s="9">
        <f t="shared" si="27"/>
        <v>6.6098166666666671</v>
      </c>
      <c r="M1098" s="9">
        <f t="shared" si="27"/>
        <v>6.6141166666666669</v>
      </c>
      <c r="N1098" s="9">
        <f t="shared" si="27"/>
        <v>6.6098166666666671</v>
      </c>
      <c r="O1098" s="9">
        <f t="shared" si="27"/>
        <v>6.6141166666666669</v>
      </c>
    </row>
    <row r="1099" spans="1:15" ht="15" x14ac:dyDescent="0.2">
      <c r="A1099" s="10">
        <v>2041</v>
      </c>
      <c r="B1099" s="9">
        <f t="shared" ref="B1099:O1099" si="28">AVERAGE(B350:B361)</f>
        <v>5.4292249999999989</v>
      </c>
      <c r="C1099" s="9">
        <f t="shared" si="28"/>
        <v>5.4292249999999989</v>
      </c>
      <c r="D1099" s="9">
        <f t="shared" si="28"/>
        <v>5.430483333333334</v>
      </c>
      <c r="E1099" s="9">
        <f t="shared" si="28"/>
        <v>6.6440333333333328</v>
      </c>
      <c r="F1099" s="9">
        <f t="shared" si="28"/>
        <v>6.6440333333333328</v>
      </c>
      <c r="G1099" s="9">
        <f t="shared" si="28"/>
        <v>6.6483583333333343</v>
      </c>
      <c r="H1099" s="9">
        <f t="shared" si="28"/>
        <v>11.742133333333333</v>
      </c>
      <c r="I1099" s="9">
        <f t="shared" si="28"/>
        <v>11.746441666666664</v>
      </c>
      <c r="J1099" s="9">
        <f t="shared" si="28"/>
        <v>11.742133333333333</v>
      </c>
      <c r="K1099" s="9">
        <f t="shared" si="28"/>
        <v>11.746441666666664</v>
      </c>
      <c r="L1099" s="9">
        <f t="shared" si="28"/>
        <v>6.6440333333333328</v>
      </c>
      <c r="M1099" s="9">
        <f t="shared" si="28"/>
        <v>6.6483583333333343</v>
      </c>
      <c r="N1099" s="9">
        <f t="shared" si="28"/>
        <v>6.6440333333333328</v>
      </c>
      <c r="O1099" s="9">
        <f t="shared" si="28"/>
        <v>6.6483583333333343</v>
      </c>
    </row>
    <row r="1100" spans="1:15" ht="15" x14ac:dyDescent="0.2">
      <c r="A1100" s="10">
        <v>2042</v>
      </c>
      <c r="B1100" s="9">
        <f t="shared" ref="B1100:O1100" si="29">AVERAGE(B362:B373)</f>
        <v>5.5523500000000006</v>
      </c>
      <c r="C1100" s="9">
        <f t="shared" si="29"/>
        <v>5.5523500000000006</v>
      </c>
      <c r="D1100" s="9">
        <f t="shared" si="29"/>
        <v>5.5536416666666675</v>
      </c>
      <c r="E1100" s="9">
        <f t="shared" si="29"/>
        <v>6.6822333333333335</v>
      </c>
      <c r="F1100" s="9">
        <f t="shared" si="29"/>
        <v>6.6822333333333335</v>
      </c>
      <c r="G1100" s="9">
        <f t="shared" si="29"/>
        <v>6.6865499999999995</v>
      </c>
      <c r="H1100" s="9">
        <f t="shared" si="29"/>
        <v>12.039075000000002</v>
      </c>
      <c r="I1100" s="9">
        <f t="shared" si="29"/>
        <v>12.0434</v>
      </c>
      <c r="J1100" s="9">
        <f t="shared" si="29"/>
        <v>12.039075000000002</v>
      </c>
      <c r="K1100" s="9">
        <f t="shared" si="29"/>
        <v>12.0434</v>
      </c>
      <c r="L1100" s="9">
        <f t="shared" si="29"/>
        <v>6.6822333333333335</v>
      </c>
      <c r="M1100" s="9">
        <f t="shared" si="29"/>
        <v>6.6865499999999995</v>
      </c>
      <c r="N1100" s="9">
        <f t="shared" si="29"/>
        <v>6.6822333333333335</v>
      </c>
      <c r="O1100" s="9">
        <f t="shared" si="29"/>
        <v>6.6865499999999995</v>
      </c>
    </row>
    <row r="1101" spans="1:15" ht="15" x14ac:dyDescent="0.2">
      <c r="A1101" s="10">
        <v>2043</v>
      </c>
      <c r="B1101" s="9">
        <f t="shared" ref="B1101:O1101" si="30">AVERAGE(B374:B385)</f>
        <v>5.6783000000000001</v>
      </c>
      <c r="C1101" s="9">
        <f t="shared" si="30"/>
        <v>5.6783000000000001</v>
      </c>
      <c r="D1101" s="9">
        <f t="shared" si="30"/>
        <v>5.6795749999999998</v>
      </c>
      <c r="E1101" s="9">
        <f t="shared" si="30"/>
        <v>6.72445</v>
      </c>
      <c r="F1101" s="9">
        <f t="shared" si="30"/>
        <v>6.72445</v>
      </c>
      <c r="G1101" s="9">
        <f t="shared" si="30"/>
        <v>6.7287666666666661</v>
      </c>
      <c r="H1101" s="9">
        <f t="shared" si="30"/>
        <v>12.343516666666666</v>
      </c>
      <c r="I1101" s="9">
        <f t="shared" si="30"/>
        <v>12.347850000000001</v>
      </c>
      <c r="J1101" s="9">
        <f t="shared" si="30"/>
        <v>12.343516666666666</v>
      </c>
      <c r="K1101" s="9">
        <f t="shared" si="30"/>
        <v>12.347850000000001</v>
      </c>
      <c r="L1101" s="9">
        <f t="shared" si="30"/>
        <v>6.72445</v>
      </c>
      <c r="M1101" s="9">
        <f t="shared" si="30"/>
        <v>6.7287666666666661</v>
      </c>
      <c r="N1101" s="9">
        <f t="shared" si="30"/>
        <v>6.72445</v>
      </c>
      <c r="O1101" s="9">
        <f t="shared" si="30"/>
        <v>6.7287666666666661</v>
      </c>
    </row>
    <row r="1102" spans="1:15" ht="15" x14ac:dyDescent="0.2">
      <c r="A1102" s="10">
        <v>2044</v>
      </c>
      <c r="B1102" s="9">
        <f t="shared" ref="B1102:O1102" si="31">AVERAGE(B386:B397)</f>
        <v>5.807083333333332</v>
      </c>
      <c r="C1102" s="9">
        <f t="shared" si="31"/>
        <v>5.807083333333332</v>
      </c>
      <c r="D1102" s="9">
        <f t="shared" si="31"/>
        <v>5.8083583333333335</v>
      </c>
      <c r="E1102" s="9">
        <f t="shared" si="31"/>
        <v>6.774516666666667</v>
      </c>
      <c r="F1102" s="9">
        <f t="shared" si="31"/>
        <v>6.774516666666667</v>
      </c>
      <c r="G1102" s="9">
        <f t="shared" si="31"/>
        <v>6.7788249999999985</v>
      </c>
      <c r="H1102" s="9">
        <f t="shared" si="31"/>
        <v>12.655675</v>
      </c>
      <c r="I1102" s="9">
        <f t="shared" si="31"/>
        <v>12.659991666666665</v>
      </c>
      <c r="J1102" s="9">
        <f t="shared" si="31"/>
        <v>12.655675</v>
      </c>
      <c r="K1102" s="9">
        <f t="shared" si="31"/>
        <v>12.659991666666665</v>
      </c>
      <c r="L1102" s="9">
        <f t="shared" si="31"/>
        <v>6.774516666666667</v>
      </c>
      <c r="M1102" s="9">
        <f t="shared" si="31"/>
        <v>6.7788249999999985</v>
      </c>
      <c r="N1102" s="9">
        <f t="shared" si="31"/>
        <v>6.774516666666667</v>
      </c>
      <c r="O1102" s="9">
        <f t="shared" si="31"/>
        <v>6.7788249999999985</v>
      </c>
    </row>
    <row r="1103" spans="1:15" ht="15" x14ac:dyDescent="0.2">
      <c r="A1103" s="10">
        <v>2045</v>
      </c>
      <c r="B1103" s="9">
        <f t="shared" ref="B1103:O1103" si="32">AVERAGE(B398:B409)</f>
        <v>5.9387999999999996</v>
      </c>
      <c r="C1103" s="9">
        <f t="shared" si="32"/>
        <v>5.9387999999999996</v>
      </c>
      <c r="D1103" s="9">
        <f t="shared" si="32"/>
        <v>5.9400916666666665</v>
      </c>
      <c r="E1103" s="9">
        <f t="shared" si="32"/>
        <v>6.8389249999999997</v>
      </c>
      <c r="F1103" s="9">
        <f t="shared" si="32"/>
        <v>6.8389249999999997</v>
      </c>
      <c r="G1103" s="9">
        <f t="shared" si="32"/>
        <v>6.8432416666666676</v>
      </c>
      <c r="H1103" s="9">
        <f t="shared" si="32"/>
        <v>12.975716666666665</v>
      </c>
      <c r="I1103" s="9">
        <f t="shared" si="32"/>
        <v>12.980033333333333</v>
      </c>
      <c r="J1103" s="9">
        <f t="shared" si="32"/>
        <v>12.975716666666665</v>
      </c>
      <c r="K1103" s="9">
        <f t="shared" si="32"/>
        <v>12.980033333333333</v>
      </c>
      <c r="L1103" s="9">
        <f t="shared" si="32"/>
        <v>6.8389249999999997</v>
      </c>
      <c r="M1103" s="9">
        <f t="shared" si="32"/>
        <v>6.8432416666666676</v>
      </c>
      <c r="N1103" s="9">
        <f t="shared" si="32"/>
        <v>6.8389249999999997</v>
      </c>
      <c r="O1103" s="9">
        <f t="shared" si="32"/>
        <v>6.8432416666666676</v>
      </c>
    </row>
    <row r="1104" spans="1:15" ht="15" x14ac:dyDescent="0.2">
      <c r="A1104" s="10">
        <v>2046</v>
      </c>
      <c r="B1104" s="9">
        <f t="shared" ref="B1104:O1104" si="33">AVERAGE(B410:B421)</f>
        <v>6.073525000000001</v>
      </c>
      <c r="C1104" s="9">
        <f t="shared" si="33"/>
        <v>6.073525000000001</v>
      </c>
      <c r="D1104" s="9">
        <f t="shared" si="33"/>
        <v>6.0748083333333343</v>
      </c>
      <c r="E1104" s="9">
        <f t="shared" si="33"/>
        <v>6.9243500000000004</v>
      </c>
      <c r="F1104" s="9">
        <f t="shared" si="33"/>
        <v>6.9243500000000004</v>
      </c>
      <c r="G1104" s="9">
        <f t="shared" si="33"/>
        <v>6.9286583333333338</v>
      </c>
      <c r="H1104" s="9">
        <f t="shared" si="33"/>
        <v>13.303866666666666</v>
      </c>
      <c r="I1104" s="9">
        <f t="shared" si="33"/>
        <v>13.308174999999999</v>
      </c>
      <c r="J1104" s="9">
        <f t="shared" si="33"/>
        <v>13.303866666666666</v>
      </c>
      <c r="K1104" s="9">
        <f t="shared" si="33"/>
        <v>13.308174999999999</v>
      </c>
      <c r="L1104" s="9">
        <f t="shared" si="33"/>
        <v>6.9243500000000004</v>
      </c>
      <c r="M1104" s="9">
        <f t="shared" si="33"/>
        <v>6.9286583333333338</v>
      </c>
      <c r="N1104" s="9">
        <f t="shared" si="33"/>
        <v>6.9243500000000004</v>
      </c>
      <c r="O1104" s="9">
        <f t="shared" si="33"/>
        <v>6.9286583333333338</v>
      </c>
    </row>
    <row r="1105" spans="1:15" ht="15" x14ac:dyDescent="0.2">
      <c r="A1105" s="10">
        <v>2047</v>
      </c>
      <c r="B1105" s="9">
        <f t="shared" ref="B1105:O1105" si="34">AVERAGE(B422:B433)</f>
        <v>6.2112833333333333</v>
      </c>
      <c r="C1105" s="9">
        <f t="shared" si="34"/>
        <v>6.2112833333333333</v>
      </c>
      <c r="D1105" s="9">
        <f t="shared" si="34"/>
        <v>6.2125750000000011</v>
      </c>
      <c r="E1105" s="9">
        <f t="shared" si="34"/>
        <v>7.0300916666666664</v>
      </c>
      <c r="F1105" s="9">
        <f t="shared" si="34"/>
        <v>7.0300916666666664</v>
      </c>
      <c r="G1105" s="9">
        <f t="shared" si="34"/>
        <v>7.0343999999999989</v>
      </c>
      <c r="H1105" s="9">
        <f t="shared" si="34"/>
        <v>13.640291666666668</v>
      </c>
      <c r="I1105" s="9">
        <f t="shared" si="34"/>
        <v>13.644608333333332</v>
      </c>
      <c r="J1105" s="9">
        <f t="shared" si="34"/>
        <v>13.640291666666668</v>
      </c>
      <c r="K1105" s="9">
        <f t="shared" si="34"/>
        <v>13.644608333333332</v>
      </c>
      <c r="L1105" s="9">
        <f t="shared" si="34"/>
        <v>7.0300916666666664</v>
      </c>
      <c r="M1105" s="9">
        <f t="shared" si="34"/>
        <v>7.0343999999999989</v>
      </c>
      <c r="N1105" s="9">
        <f t="shared" si="34"/>
        <v>7.0300916666666664</v>
      </c>
      <c r="O1105" s="9">
        <f t="shared" si="34"/>
        <v>7.0343999999999989</v>
      </c>
    </row>
    <row r="1106" spans="1:15" ht="15" x14ac:dyDescent="0.2">
      <c r="A1106" s="10">
        <v>2048</v>
      </c>
      <c r="B1106" s="9">
        <f t="shared" ref="B1106:O1106" si="35">AVERAGE(B434:B445)</f>
        <v>6.3522166666666671</v>
      </c>
      <c r="C1106" s="9">
        <f t="shared" si="35"/>
        <v>6.3522166666666671</v>
      </c>
      <c r="D1106" s="9">
        <f t="shared" si="35"/>
        <v>6.3534666666666668</v>
      </c>
      <c r="E1106" s="9">
        <f t="shared" si="35"/>
        <v>7.1572916666666666</v>
      </c>
      <c r="F1106" s="9">
        <f t="shared" si="35"/>
        <v>7.1572916666666666</v>
      </c>
      <c r="G1106" s="9">
        <f t="shared" si="35"/>
        <v>7.1615916666666672</v>
      </c>
      <c r="H1106" s="9">
        <f t="shared" si="35"/>
        <v>13.985233333333333</v>
      </c>
      <c r="I1106" s="9">
        <f t="shared" si="35"/>
        <v>13.989541666666668</v>
      </c>
      <c r="J1106" s="9">
        <f t="shared" si="35"/>
        <v>13.985233333333333</v>
      </c>
      <c r="K1106" s="9">
        <f t="shared" si="35"/>
        <v>13.989541666666668</v>
      </c>
      <c r="L1106" s="9">
        <f t="shared" si="35"/>
        <v>7.1572916666666666</v>
      </c>
      <c r="M1106" s="9">
        <f t="shared" si="35"/>
        <v>7.1615916666666672</v>
      </c>
      <c r="N1106" s="9">
        <f t="shared" si="35"/>
        <v>7.1572916666666666</v>
      </c>
      <c r="O1106" s="9">
        <f t="shared" si="35"/>
        <v>7.1615916666666672</v>
      </c>
    </row>
    <row r="1107" spans="1:15" ht="15" x14ac:dyDescent="0.2">
      <c r="A1107" s="10">
        <v>2049</v>
      </c>
      <c r="B1107" s="9">
        <f t="shared" ref="B1107:O1107" si="36">AVERAGE(B446:B457)</f>
        <v>6.4963166666666652</v>
      </c>
      <c r="C1107" s="9">
        <f t="shared" si="36"/>
        <v>6.4963166666666652</v>
      </c>
      <c r="D1107" s="9">
        <f t="shared" si="36"/>
        <v>6.4976000000000012</v>
      </c>
      <c r="E1107" s="9">
        <f t="shared" si="36"/>
        <v>7.3044833333333328</v>
      </c>
      <c r="F1107" s="9">
        <f t="shared" si="36"/>
        <v>7.3044833333333328</v>
      </c>
      <c r="G1107" s="9">
        <f t="shared" si="36"/>
        <v>7.3087833333333334</v>
      </c>
      <c r="H1107" s="9">
        <f t="shared" si="36"/>
        <v>14.338891666666667</v>
      </c>
      <c r="I1107" s="9">
        <f t="shared" si="36"/>
        <v>14.343208333333337</v>
      </c>
      <c r="J1107" s="9">
        <f t="shared" si="36"/>
        <v>14.338891666666667</v>
      </c>
      <c r="K1107" s="9">
        <f t="shared" si="36"/>
        <v>14.343208333333337</v>
      </c>
      <c r="L1107" s="9">
        <f t="shared" si="36"/>
        <v>7.3044833333333328</v>
      </c>
      <c r="M1107" s="9">
        <f t="shared" si="36"/>
        <v>7.3087833333333334</v>
      </c>
      <c r="N1107" s="9">
        <f t="shared" si="36"/>
        <v>7.3044833333333328</v>
      </c>
      <c r="O1107" s="9">
        <f t="shared" si="36"/>
        <v>7.3087833333333334</v>
      </c>
    </row>
    <row r="1108" spans="1:15" ht="15" x14ac:dyDescent="0.2">
      <c r="A1108" s="10">
        <v>2050</v>
      </c>
      <c r="B1108" s="9">
        <f t="shared" ref="B1108:O1108" si="37">AVERAGE(B458:B469)</f>
        <v>6.6436749999999982</v>
      </c>
      <c r="C1108" s="9">
        <f t="shared" si="37"/>
        <v>6.6436749999999982</v>
      </c>
      <c r="D1108" s="9">
        <f t="shared" si="37"/>
        <v>6.6449666666666678</v>
      </c>
      <c r="E1108" s="9">
        <f t="shared" si="37"/>
        <v>7.4640833333333338</v>
      </c>
      <c r="F1108" s="9">
        <f t="shared" si="37"/>
        <v>7.4640833333333338</v>
      </c>
      <c r="G1108" s="9">
        <f t="shared" si="37"/>
        <v>7.4683916666666663</v>
      </c>
      <c r="H1108" s="9">
        <f t="shared" si="37"/>
        <v>14.701491666666669</v>
      </c>
      <c r="I1108" s="9">
        <f t="shared" si="37"/>
        <v>14.70580833333333</v>
      </c>
      <c r="J1108" s="9">
        <f t="shared" si="37"/>
        <v>14.701491666666669</v>
      </c>
      <c r="K1108" s="9">
        <f t="shared" si="37"/>
        <v>14.70580833333333</v>
      </c>
      <c r="L1108" s="9">
        <f t="shared" si="37"/>
        <v>7.4640833333333338</v>
      </c>
      <c r="M1108" s="9">
        <f t="shared" si="37"/>
        <v>7.4683916666666663</v>
      </c>
      <c r="N1108" s="9">
        <f t="shared" si="37"/>
        <v>7.4640833333333338</v>
      </c>
      <c r="O1108" s="9">
        <f t="shared" si="37"/>
        <v>7.4683916666666663</v>
      </c>
    </row>
    <row r="1109" spans="1:15" ht="15" x14ac:dyDescent="0.2">
      <c r="A1109" s="10">
        <v>2051</v>
      </c>
      <c r="B1109" s="9">
        <f t="shared" ref="B1109:O1109" si="38">AVERAGE(B470:B481)</f>
        <v>6.7943916666666659</v>
      </c>
      <c r="C1109" s="9">
        <f t="shared" si="38"/>
        <v>6.7943916666666659</v>
      </c>
      <c r="D1109" s="9">
        <f t="shared" si="38"/>
        <v>6.7957000000000001</v>
      </c>
      <c r="E1109" s="9">
        <f t="shared" si="38"/>
        <v>7.627958333333333</v>
      </c>
      <c r="F1109" s="9">
        <f t="shared" si="38"/>
        <v>7.627958333333333</v>
      </c>
      <c r="G1109" s="9">
        <f t="shared" si="38"/>
        <v>7.6322916666666671</v>
      </c>
      <c r="H1109" s="9">
        <f t="shared" si="38"/>
        <v>15.073275000000001</v>
      </c>
      <c r="I1109" s="9">
        <f t="shared" si="38"/>
        <v>15.077591666666669</v>
      </c>
      <c r="J1109" s="9">
        <f t="shared" si="38"/>
        <v>15.073275000000001</v>
      </c>
      <c r="K1109" s="9">
        <f t="shared" si="38"/>
        <v>15.077591666666669</v>
      </c>
      <c r="L1109" s="9">
        <f t="shared" si="38"/>
        <v>7.627958333333333</v>
      </c>
      <c r="M1109" s="9">
        <f t="shared" si="38"/>
        <v>7.6322916666666671</v>
      </c>
      <c r="N1109" s="9">
        <f t="shared" si="38"/>
        <v>7.627958333333333</v>
      </c>
      <c r="O1109" s="9">
        <f t="shared" si="38"/>
        <v>7.6322916666666671</v>
      </c>
    </row>
    <row r="1110" spans="1:15" ht="15" x14ac:dyDescent="0.2">
      <c r="A1110" s="10">
        <v>2052</v>
      </c>
      <c r="B1110" s="9">
        <f t="shared" ref="B1110:O1110" si="39">AVERAGE(B482:B493)</f>
        <v>6.9485583333333336</v>
      </c>
      <c r="C1110" s="9">
        <f t="shared" si="39"/>
        <v>6.9485583333333336</v>
      </c>
      <c r="D1110" s="9">
        <f t="shared" si="39"/>
        <v>6.9498499999999988</v>
      </c>
      <c r="E1110" s="9">
        <f t="shared" si="39"/>
        <v>7.7962999999999996</v>
      </c>
      <c r="F1110" s="9">
        <f t="shared" si="39"/>
        <v>7.7962999999999996</v>
      </c>
      <c r="G1110" s="9">
        <f t="shared" si="39"/>
        <v>7.8006083333333338</v>
      </c>
      <c r="H1110" s="9">
        <f t="shared" si="39"/>
        <v>15.454475000000002</v>
      </c>
      <c r="I1110" s="9">
        <f t="shared" si="39"/>
        <v>15.458783333333335</v>
      </c>
      <c r="J1110" s="9">
        <f t="shared" si="39"/>
        <v>15.454475000000002</v>
      </c>
      <c r="K1110" s="9">
        <f t="shared" si="39"/>
        <v>15.458783333333335</v>
      </c>
      <c r="L1110" s="9">
        <f t="shared" si="39"/>
        <v>7.7962999999999996</v>
      </c>
      <c r="M1110" s="9">
        <f t="shared" si="39"/>
        <v>7.8006083333333338</v>
      </c>
      <c r="N1110" s="9">
        <f t="shared" si="39"/>
        <v>7.7962999999999996</v>
      </c>
      <c r="O1110" s="9">
        <f t="shared" si="39"/>
        <v>7.8006083333333338</v>
      </c>
    </row>
    <row r="1111" spans="1:15" ht="15" x14ac:dyDescent="0.2">
      <c r="A1111" s="10">
        <v>2053</v>
      </c>
      <c r="B1111" s="9">
        <f t="shared" ref="B1111:O1111" si="40">AVERAGE(B494:B505)</f>
        <v>7.1062166666666675</v>
      </c>
      <c r="C1111" s="9">
        <f t="shared" si="40"/>
        <v>7.1062166666666675</v>
      </c>
      <c r="D1111" s="9">
        <f t="shared" si="40"/>
        <v>7.1075000000000008</v>
      </c>
      <c r="E1111" s="9">
        <f t="shared" si="40"/>
        <v>7.9691916666666662</v>
      </c>
      <c r="F1111" s="9">
        <f t="shared" si="40"/>
        <v>7.9691916666666662</v>
      </c>
      <c r="G1111" s="9">
        <f t="shared" si="40"/>
        <v>7.9735166666666659</v>
      </c>
      <c r="H1111" s="9">
        <f t="shared" si="40"/>
        <v>15.845283333333334</v>
      </c>
      <c r="I1111" s="9">
        <f t="shared" si="40"/>
        <v>15.849608333333334</v>
      </c>
      <c r="J1111" s="9">
        <f t="shared" si="40"/>
        <v>15.845283333333334</v>
      </c>
      <c r="K1111" s="9">
        <f t="shared" si="40"/>
        <v>15.849608333333334</v>
      </c>
      <c r="L1111" s="9">
        <f t="shared" si="40"/>
        <v>7.9691916666666662</v>
      </c>
      <c r="M1111" s="9">
        <f t="shared" si="40"/>
        <v>7.9735166666666659</v>
      </c>
      <c r="N1111" s="9">
        <f t="shared" si="40"/>
        <v>7.9691916666666662</v>
      </c>
      <c r="O1111" s="9">
        <f t="shared" si="40"/>
        <v>7.9735166666666659</v>
      </c>
    </row>
    <row r="1112" spans="1:15" ht="15" x14ac:dyDescent="0.2">
      <c r="A1112" s="10">
        <v>2054</v>
      </c>
      <c r="B1112" s="9">
        <f t="shared" ref="B1112:O1112" si="41">AVERAGE(B506:B517)</f>
        <v>7.2674666666666674</v>
      </c>
      <c r="C1112" s="9">
        <f t="shared" si="41"/>
        <v>7.2674666666666674</v>
      </c>
      <c r="D1112" s="9">
        <f t="shared" si="41"/>
        <v>7.2687416666666671</v>
      </c>
      <c r="E1112" s="9">
        <f t="shared" si="41"/>
        <v>8.1467749999999999</v>
      </c>
      <c r="F1112" s="9">
        <f t="shared" si="41"/>
        <v>8.1467749999999999</v>
      </c>
      <c r="G1112" s="9">
        <f t="shared" si="41"/>
        <v>8.151091666666666</v>
      </c>
      <c r="H1112" s="9">
        <f t="shared" si="41"/>
        <v>16.245991666666669</v>
      </c>
      <c r="I1112" s="9">
        <f t="shared" si="41"/>
        <v>16.250299999999999</v>
      </c>
      <c r="J1112" s="9">
        <f t="shared" si="41"/>
        <v>16.245991666666669</v>
      </c>
      <c r="K1112" s="9">
        <f t="shared" si="41"/>
        <v>16.250299999999999</v>
      </c>
      <c r="L1112" s="9">
        <f t="shared" si="41"/>
        <v>8.1467749999999999</v>
      </c>
      <c r="M1112" s="9">
        <f t="shared" si="41"/>
        <v>8.151091666666666</v>
      </c>
      <c r="N1112" s="9">
        <f t="shared" si="41"/>
        <v>8.1467749999999999</v>
      </c>
      <c r="O1112" s="9">
        <f t="shared" si="41"/>
        <v>8.151091666666666</v>
      </c>
    </row>
    <row r="1113" spans="1:15" ht="15" x14ac:dyDescent="0.2">
      <c r="A1113" s="10">
        <v>2055</v>
      </c>
      <c r="B1113" s="9">
        <f t="shared" ref="B1113:O1113" si="42">AVERAGE(B18:B529)</f>
        <v>4.7923289062500007</v>
      </c>
      <c r="C1113" s="9">
        <f t="shared" si="42"/>
        <v>4.7910062500000006</v>
      </c>
      <c r="D1113" s="9">
        <f t="shared" si="42"/>
        <v>4.7941232421875002</v>
      </c>
      <c r="E1113" s="9">
        <f t="shared" si="42"/>
        <v>5.8382347656249998</v>
      </c>
      <c r="F1113" s="9">
        <f t="shared" si="42"/>
        <v>5.8204392578124997</v>
      </c>
      <c r="G1113" s="9">
        <f t="shared" si="42"/>
        <v>5.825210937500005</v>
      </c>
      <c r="H1113" s="9">
        <f t="shared" si="42"/>
        <v>10.374734374999996</v>
      </c>
      <c r="I1113" s="9">
        <f t="shared" si="42"/>
        <v>10.379507812499998</v>
      </c>
      <c r="J1113" s="9">
        <f t="shared" si="42"/>
        <v>10.374734374999996</v>
      </c>
      <c r="K1113" s="9">
        <f t="shared" si="42"/>
        <v>10.379507812499998</v>
      </c>
      <c r="L1113" s="9">
        <f t="shared" si="42"/>
        <v>5.8382347656249998</v>
      </c>
      <c r="M1113" s="9">
        <f t="shared" si="42"/>
        <v>5.843004687500005</v>
      </c>
      <c r="N1113" s="9">
        <f t="shared" si="42"/>
        <v>5.8382347656249998</v>
      </c>
      <c r="O1113" s="9">
        <f t="shared" si="42"/>
        <v>5.843004687500005</v>
      </c>
    </row>
    <row r="1114" spans="1:15" ht="15" x14ac:dyDescent="0.2">
      <c r="A1114" s="10">
        <v>2056</v>
      </c>
      <c r="B1114" s="9">
        <f t="shared" ref="B1114:O1114" si="43">AVERAGE(B530:B541)</f>
        <v>7.6010166666666663</v>
      </c>
      <c r="C1114" s="9">
        <f t="shared" si="43"/>
        <v>7.6010166666666663</v>
      </c>
      <c r="D1114" s="9">
        <f t="shared" si="43"/>
        <v>7.6022833333333333</v>
      </c>
      <c r="E1114" s="9">
        <f t="shared" si="43"/>
        <v>8.5165749999999996</v>
      </c>
      <c r="F1114" s="9">
        <f t="shared" si="43"/>
        <v>8.5165749999999996</v>
      </c>
      <c r="G1114" s="9">
        <f t="shared" si="43"/>
        <v>8.5208916666666674</v>
      </c>
      <c r="H1114" s="9">
        <f t="shared" si="43"/>
        <v>17.078049999999998</v>
      </c>
      <c r="I1114" s="9">
        <f t="shared" si="43"/>
        <v>17.082366666666669</v>
      </c>
      <c r="J1114" s="9">
        <f t="shared" si="43"/>
        <v>17.078049999999998</v>
      </c>
      <c r="K1114" s="9">
        <f t="shared" si="43"/>
        <v>17.082366666666669</v>
      </c>
      <c r="L1114" s="9">
        <f t="shared" si="43"/>
        <v>8.5165749999999996</v>
      </c>
      <c r="M1114" s="9">
        <f t="shared" si="43"/>
        <v>8.5208916666666674</v>
      </c>
      <c r="N1114" s="9">
        <f t="shared" si="43"/>
        <v>8.5165749999999996</v>
      </c>
      <c r="O1114" s="9">
        <f t="shared" si="43"/>
        <v>8.5208916666666674</v>
      </c>
    </row>
    <row r="1115" spans="1:15" ht="15" x14ac:dyDescent="0.2">
      <c r="A1115" s="10">
        <v>2057</v>
      </c>
      <c r="B1115" s="9">
        <f t="shared" ref="B1115:O1115" si="44">AVERAGE(B542:B553)</f>
        <v>7.7734750000000012</v>
      </c>
      <c r="C1115" s="9">
        <f t="shared" si="44"/>
        <v>7.7734750000000012</v>
      </c>
      <c r="D1115" s="9">
        <f t="shared" si="44"/>
        <v>7.7747666666666655</v>
      </c>
      <c r="E1115" s="9">
        <f t="shared" si="44"/>
        <v>8.7090916666666676</v>
      </c>
      <c r="F1115" s="9">
        <f t="shared" si="44"/>
        <v>8.7090916666666676</v>
      </c>
      <c r="G1115" s="9">
        <f t="shared" si="44"/>
        <v>8.7134166666666655</v>
      </c>
      <c r="H1115" s="9">
        <f t="shared" si="44"/>
        <v>17.509924999999996</v>
      </c>
      <c r="I1115" s="9">
        <f t="shared" si="44"/>
        <v>17.514241666666667</v>
      </c>
      <c r="J1115" s="9">
        <f t="shared" si="44"/>
        <v>17.509924999999996</v>
      </c>
      <c r="K1115" s="9">
        <f t="shared" si="44"/>
        <v>17.514241666666667</v>
      </c>
      <c r="L1115" s="9">
        <f t="shared" si="44"/>
        <v>8.7090916666666676</v>
      </c>
      <c r="M1115" s="9">
        <f t="shared" si="44"/>
        <v>8.7134166666666655</v>
      </c>
      <c r="N1115" s="9">
        <f t="shared" si="44"/>
        <v>8.7090916666666676</v>
      </c>
      <c r="O1115" s="9">
        <f t="shared" si="44"/>
        <v>8.7134166666666655</v>
      </c>
    </row>
    <row r="1116" spans="1:15" ht="15" x14ac:dyDescent="0.2">
      <c r="A1116" s="10">
        <v>2058</v>
      </c>
      <c r="B1116" s="9">
        <f t="shared" ref="B1116:O1116" si="45">AVERAGE(B554:B565)</f>
        <v>7.9498749999999996</v>
      </c>
      <c r="C1116" s="9">
        <f t="shared" si="45"/>
        <v>7.9498749999999996</v>
      </c>
      <c r="D1116" s="9">
        <f t="shared" si="45"/>
        <v>7.9511750000000019</v>
      </c>
      <c r="E1116" s="9">
        <f t="shared" si="45"/>
        <v>8.9068749999999994</v>
      </c>
      <c r="F1116" s="9">
        <f t="shared" si="45"/>
        <v>8.9068749999999994</v>
      </c>
      <c r="G1116" s="9">
        <f t="shared" si="45"/>
        <v>8.9111916666666673</v>
      </c>
      <c r="H1116" s="9">
        <f t="shared" si="45"/>
        <v>17.952716666666664</v>
      </c>
      <c r="I1116" s="9">
        <f t="shared" si="45"/>
        <v>17.957033333333332</v>
      </c>
      <c r="J1116" s="9">
        <f t="shared" si="45"/>
        <v>17.952716666666664</v>
      </c>
      <c r="K1116" s="9">
        <f t="shared" si="45"/>
        <v>17.957033333333332</v>
      </c>
      <c r="L1116" s="9">
        <f t="shared" si="45"/>
        <v>8.9068749999999994</v>
      </c>
      <c r="M1116" s="9">
        <f t="shared" si="45"/>
        <v>8.9111916666666673</v>
      </c>
      <c r="N1116" s="9">
        <f t="shared" si="45"/>
        <v>8.9068749999999994</v>
      </c>
      <c r="O1116" s="9">
        <f t="shared" si="45"/>
        <v>8.9111916666666673</v>
      </c>
    </row>
    <row r="1117" spans="1:15" ht="15" x14ac:dyDescent="0.2">
      <c r="A1117" s="10">
        <v>2059</v>
      </c>
      <c r="B1117" s="9">
        <f t="shared" ref="B1117:O1117" si="46">AVERAGE(B566:B577)</f>
        <v>8.1302916666666665</v>
      </c>
      <c r="C1117" s="9">
        <f t="shared" si="46"/>
        <v>8.1302916666666665</v>
      </c>
      <c r="D1117" s="9">
        <f t="shared" si="46"/>
        <v>8.1315833333333334</v>
      </c>
      <c r="E1117" s="9">
        <f t="shared" si="46"/>
        <v>9.1100750000000001</v>
      </c>
      <c r="F1117" s="9">
        <f t="shared" si="46"/>
        <v>9.1100750000000001</v>
      </c>
      <c r="G1117" s="9">
        <f t="shared" si="46"/>
        <v>9.1143999999999981</v>
      </c>
      <c r="H1117" s="9">
        <f t="shared" si="46"/>
        <v>18.406724999999998</v>
      </c>
      <c r="I1117" s="9">
        <f t="shared" si="46"/>
        <v>18.411041666666666</v>
      </c>
      <c r="J1117" s="9">
        <f t="shared" si="46"/>
        <v>18.406724999999998</v>
      </c>
      <c r="K1117" s="9">
        <f t="shared" si="46"/>
        <v>18.411041666666666</v>
      </c>
      <c r="L1117" s="9">
        <f t="shared" si="46"/>
        <v>9.1100750000000001</v>
      </c>
      <c r="M1117" s="9">
        <f t="shared" si="46"/>
        <v>9.1143999999999981</v>
      </c>
      <c r="N1117" s="9">
        <f t="shared" si="46"/>
        <v>9.1100750000000001</v>
      </c>
      <c r="O1117" s="9">
        <f t="shared" si="46"/>
        <v>9.1143999999999981</v>
      </c>
    </row>
    <row r="1118" spans="1:15" ht="15" x14ac:dyDescent="0.2">
      <c r="A1118" s="10">
        <v>2060</v>
      </c>
      <c r="B1118" s="9">
        <f t="shared" ref="B1118:O1118" si="47">AVERAGE(B578:B589)</f>
        <v>8.3147999999999982</v>
      </c>
      <c r="C1118" s="9">
        <f t="shared" si="47"/>
        <v>8.3147999999999982</v>
      </c>
      <c r="D1118" s="9">
        <f t="shared" si="47"/>
        <v>8.3160749999999997</v>
      </c>
      <c r="E1118" s="9">
        <f t="shared" si="47"/>
        <v>9.3188999999999993</v>
      </c>
      <c r="F1118" s="9">
        <f t="shared" si="47"/>
        <v>9.3188999999999993</v>
      </c>
      <c r="G1118" s="9">
        <f t="shared" si="47"/>
        <v>9.3232000000000017</v>
      </c>
      <c r="H1118" s="9">
        <f t="shared" si="47"/>
        <v>18.872208333333333</v>
      </c>
      <c r="I1118" s="9">
        <f t="shared" si="47"/>
        <v>18.876508333333337</v>
      </c>
      <c r="J1118" s="9">
        <f t="shared" si="47"/>
        <v>18.872208333333333</v>
      </c>
      <c r="K1118" s="9">
        <f t="shared" si="47"/>
        <v>18.876508333333337</v>
      </c>
      <c r="L1118" s="9">
        <f t="shared" si="47"/>
        <v>9.3188999999999993</v>
      </c>
      <c r="M1118" s="9">
        <f t="shared" si="47"/>
        <v>9.3232000000000017</v>
      </c>
      <c r="N1118" s="9">
        <f t="shared" si="47"/>
        <v>9.3188999999999993</v>
      </c>
      <c r="O1118" s="9">
        <f t="shared" si="47"/>
        <v>9.3232000000000017</v>
      </c>
    </row>
    <row r="1119" spans="1:15" ht="15" x14ac:dyDescent="0.2">
      <c r="A1119" s="10">
        <v>2061</v>
      </c>
      <c r="B1119" s="9">
        <f t="shared" ref="B1119:O1119" si="48">AVERAGE(B590:B601)</f>
        <v>8.5034916666666671</v>
      </c>
      <c r="C1119" s="9">
        <f t="shared" si="48"/>
        <v>8.5034916666666671</v>
      </c>
      <c r="D1119" s="9">
        <f t="shared" si="48"/>
        <v>8.5047749999999986</v>
      </c>
      <c r="E1119" s="9">
        <f t="shared" si="48"/>
        <v>9.5334583333333338</v>
      </c>
      <c r="F1119" s="9">
        <f t="shared" si="48"/>
        <v>9.5334583333333338</v>
      </c>
      <c r="G1119" s="9">
        <f t="shared" si="48"/>
        <v>9.5377750000000017</v>
      </c>
      <c r="H1119" s="9">
        <f t="shared" si="48"/>
        <v>19.349433333333334</v>
      </c>
      <c r="I1119" s="9">
        <f t="shared" si="48"/>
        <v>19.353750000000002</v>
      </c>
      <c r="J1119" s="9">
        <f t="shared" si="48"/>
        <v>19.349433333333334</v>
      </c>
      <c r="K1119" s="9">
        <f t="shared" si="48"/>
        <v>19.353750000000002</v>
      </c>
      <c r="L1119" s="9">
        <f t="shared" si="48"/>
        <v>9.5334583333333338</v>
      </c>
      <c r="M1119" s="9">
        <f t="shared" si="48"/>
        <v>9.5377750000000017</v>
      </c>
      <c r="N1119" s="9">
        <f t="shared" si="48"/>
        <v>9.5334583333333338</v>
      </c>
      <c r="O1119" s="9">
        <f t="shared" si="48"/>
        <v>9.5377750000000017</v>
      </c>
    </row>
    <row r="1120" spans="1:15" ht="15" x14ac:dyDescent="0.2">
      <c r="A1120" s="10">
        <v>2062</v>
      </c>
      <c r="B1120" s="9">
        <f t="shared" ref="B1120:O1129" ca="1" si="49">AVERAGE(OFFSET(B$602,($A1120-$A$1120)*12,0,12,1))</f>
        <v>8.6921999999999979</v>
      </c>
      <c r="C1120" s="9">
        <f t="shared" ca="1" si="49"/>
        <v>8.6921999999999979</v>
      </c>
      <c r="D1120" s="9">
        <f t="shared" ca="1" si="49"/>
        <v>8.6934833333333348</v>
      </c>
      <c r="E1120" s="9">
        <f t="shared" ca="1" si="49"/>
        <v>9.7480333333333338</v>
      </c>
      <c r="F1120" s="9">
        <f t="shared" ca="1" si="49"/>
        <v>9.7480333333333338</v>
      </c>
      <c r="G1120" s="9">
        <f t="shared" ca="1" si="49"/>
        <v>9.7523500000000016</v>
      </c>
      <c r="H1120" s="9">
        <f t="shared" ca="1" si="49"/>
        <v>19.826691666666665</v>
      </c>
      <c r="I1120" s="9">
        <f t="shared" ca="1" si="49"/>
        <v>19.831008333333333</v>
      </c>
      <c r="J1120" s="9">
        <f t="shared" ca="1" si="49"/>
        <v>19.826691666666665</v>
      </c>
      <c r="K1120" s="9">
        <f t="shared" ca="1" si="49"/>
        <v>19.831008333333333</v>
      </c>
      <c r="L1120" s="9">
        <f t="shared" ca="1" si="49"/>
        <v>9.7480333333333338</v>
      </c>
      <c r="M1120" s="9">
        <f t="shared" ca="1" si="49"/>
        <v>9.7523500000000016</v>
      </c>
      <c r="N1120" s="9">
        <f t="shared" ca="1" si="49"/>
        <v>9.7480333333333338</v>
      </c>
      <c r="O1120" s="9">
        <f t="shared" ca="1" si="49"/>
        <v>9.7523500000000016</v>
      </c>
    </row>
    <row r="1121" spans="1:15" ht="15" x14ac:dyDescent="0.2">
      <c r="A1121" s="10">
        <v>2063</v>
      </c>
      <c r="B1121" s="9">
        <f t="shared" ca="1" si="49"/>
        <v>8.8809083333333341</v>
      </c>
      <c r="C1121" s="9">
        <f t="shared" ca="1" si="49"/>
        <v>8.8809083333333341</v>
      </c>
      <c r="D1121" s="9">
        <f t="shared" ca="1" si="49"/>
        <v>8.8821999999999992</v>
      </c>
      <c r="E1121" s="9">
        <f t="shared" ca="1" si="49"/>
        <v>9.9625916666666665</v>
      </c>
      <c r="F1121" s="9">
        <f t="shared" ca="1" si="49"/>
        <v>9.9625916666666665</v>
      </c>
      <c r="G1121" s="9">
        <f t="shared" ca="1" si="49"/>
        <v>9.9669083333333344</v>
      </c>
      <c r="H1121" s="9">
        <f t="shared" ca="1" si="49"/>
        <v>20.303949999999997</v>
      </c>
      <c r="I1121" s="9">
        <f t="shared" ca="1" si="49"/>
        <v>20.308266666666665</v>
      </c>
      <c r="J1121" s="9">
        <f t="shared" ca="1" si="49"/>
        <v>20.303949999999997</v>
      </c>
      <c r="K1121" s="9">
        <f t="shared" ca="1" si="49"/>
        <v>20.308266666666665</v>
      </c>
      <c r="L1121" s="9">
        <f t="shared" ca="1" si="49"/>
        <v>9.9625916666666665</v>
      </c>
      <c r="M1121" s="9">
        <f t="shared" ca="1" si="49"/>
        <v>9.9669083333333344</v>
      </c>
      <c r="N1121" s="9">
        <f t="shared" ca="1" si="49"/>
        <v>9.9625916666666665</v>
      </c>
      <c r="O1121" s="9">
        <f t="shared" ca="1" si="49"/>
        <v>9.9669083333333344</v>
      </c>
    </row>
    <row r="1122" spans="1:15" ht="15" x14ac:dyDescent="0.2">
      <c r="A1122" s="10">
        <v>2064</v>
      </c>
      <c r="B1122" s="9">
        <f t="shared" ca="1" si="49"/>
        <v>9.0695916666666658</v>
      </c>
      <c r="C1122" s="9">
        <f t="shared" ca="1" si="49"/>
        <v>9.0695916666666658</v>
      </c>
      <c r="D1122" s="9">
        <f t="shared" ca="1" si="49"/>
        <v>9.0708916666666664</v>
      </c>
      <c r="E1122" s="9">
        <f t="shared" ca="1" si="49"/>
        <v>10.177166666666666</v>
      </c>
      <c r="F1122" s="9">
        <f t="shared" ca="1" si="49"/>
        <v>10.177166666666666</v>
      </c>
      <c r="G1122" s="9">
        <f t="shared" ca="1" si="49"/>
        <v>10.181483333333334</v>
      </c>
      <c r="H1122" s="9">
        <f t="shared" ca="1" si="49"/>
        <v>20.781183333333335</v>
      </c>
      <c r="I1122" s="9">
        <f t="shared" ca="1" si="49"/>
        <v>20.785508333333336</v>
      </c>
      <c r="J1122" s="9">
        <f t="shared" ca="1" si="49"/>
        <v>20.781183333333335</v>
      </c>
      <c r="K1122" s="9">
        <f t="shared" ca="1" si="49"/>
        <v>20.785508333333336</v>
      </c>
      <c r="L1122" s="9">
        <f t="shared" ca="1" si="49"/>
        <v>10.177166666666666</v>
      </c>
      <c r="M1122" s="9">
        <f t="shared" ca="1" si="49"/>
        <v>10.181483333333334</v>
      </c>
      <c r="N1122" s="9">
        <f t="shared" ca="1" si="49"/>
        <v>10.177166666666666</v>
      </c>
      <c r="O1122" s="9">
        <f t="shared" ca="1" si="49"/>
        <v>10.181483333333334</v>
      </c>
    </row>
    <row r="1123" spans="1:15" ht="15" x14ac:dyDescent="0.2">
      <c r="A1123" s="10">
        <v>2065</v>
      </c>
      <c r="B1123" s="9">
        <f t="shared" ca="1" si="49"/>
        <v>9.2583083333333338</v>
      </c>
      <c r="C1123" s="9">
        <f t="shared" ca="1" si="49"/>
        <v>9.2583083333333338</v>
      </c>
      <c r="D1123" s="9">
        <f t="shared" ca="1" si="49"/>
        <v>9.2596000000000007</v>
      </c>
      <c r="E1123" s="9">
        <f t="shared" ca="1" si="49"/>
        <v>10.391724999999999</v>
      </c>
      <c r="F1123" s="9">
        <f t="shared" ca="1" si="49"/>
        <v>10.391724999999999</v>
      </c>
      <c r="G1123" s="9">
        <f t="shared" ca="1" si="49"/>
        <v>10.396033333333333</v>
      </c>
      <c r="H1123" s="9">
        <f t="shared" ca="1" si="49"/>
        <v>21.258433333333333</v>
      </c>
      <c r="I1123" s="9">
        <f t="shared" ca="1" si="49"/>
        <v>21.262741666666667</v>
      </c>
      <c r="J1123" s="9">
        <f t="shared" ca="1" si="49"/>
        <v>21.258433333333333</v>
      </c>
      <c r="K1123" s="9">
        <f t="shared" ca="1" si="49"/>
        <v>21.262741666666667</v>
      </c>
      <c r="L1123" s="9">
        <f t="shared" ca="1" si="49"/>
        <v>10.391724999999999</v>
      </c>
      <c r="M1123" s="9">
        <f t="shared" ca="1" si="49"/>
        <v>10.396033333333333</v>
      </c>
      <c r="N1123" s="9">
        <f t="shared" ca="1" si="49"/>
        <v>10.391724999999999</v>
      </c>
      <c r="O1123" s="9">
        <f t="shared" ca="1" si="49"/>
        <v>10.396033333333333</v>
      </c>
    </row>
    <row r="1124" spans="1:15" ht="15" x14ac:dyDescent="0.2">
      <c r="A1124" s="10">
        <v>2066</v>
      </c>
      <c r="B1124" s="9">
        <f t="shared" ca="1" si="49"/>
        <v>9.447000000000001</v>
      </c>
      <c r="C1124" s="9">
        <f t="shared" ca="1" si="49"/>
        <v>9.447000000000001</v>
      </c>
      <c r="D1124" s="9">
        <f t="shared" ca="1" si="49"/>
        <v>9.4483000000000015</v>
      </c>
      <c r="E1124" s="9">
        <f t="shared" ca="1" si="49"/>
        <v>10.606275</v>
      </c>
      <c r="F1124" s="9">
        <f t="shared" ca="1" si="49"/>
        <v>10.606275</v>
      </c>
      <c r="G1124" s="9">
        <f t="shared" ca="1" si="49"/>
        <v>10.610583333333336</v>
      </c>
      <c r="H1124" s="9">
        <f t="shared" ca="1" si="49"/>
        <v>21.735683333333331</v>
      </c>
      <c r="I1124" s="9">
        <f t="shared" ca="1" si="49"/>
        <v>21.740000000000006</v>
      </c>
      <c r="J1124" s="9">
        <f t="shared" ca="1" si="49"/>
        <v>21.735683333333331</v>
      </c>
      <c r="K1124" s="9">
        <f t="shared" ca="1" si="49"/>
        <v>21.740000000000006</v>
      </c>
      <c r="L1124" s="9">
        <f t="shared" ca="1" si="49"/>
        <v>10.606275</v>
      </c>
      <c r="M1124" s="9">
        <f t="shared" ca="1" si="49"/>
        <v>10.610583333333336</v>
      </c>
      <c r="N1124" s="9">
        <f t="shared" ca="1" si="49"/>
        <v>10.606275</v>
      </c>
      <c r="O1124" s="9">
        <f t="shared" ca="1" si="49"/>
        <v>10.610583333333336</v>
      </c>
    </row>
    <row r="1125" spans="1:15" ht="15" x14ac:dyDescent="0.2">
      <c r="A1125" s="10">
        <v>2067</v>
      </c>
      <c r="B1125" s="9">
        <f t="shared" ca="1" si="49"/>
        <v>9.6357083333333335</v>
      </c>
      <c r="C1125" s="9">
        <f t="shared" ca="1" si="49"/>
        <v>9.6357083333333335</v>
      </c>
      <c r="D1125" s="9">
        <f t="shared" ca="1" si="49"/>
        <v>9.6369916666666686</v>
      </c>
      <c r="E1125" s="9">
        <f t="shared" ca="1" si="49"/>
        <v>10.82085</v>
      </c>
      <c r="F1125" s="9">
        <f t="shared" ca="1" si="49"/>
        <v>10.82085</v>
      </c>
      <c r="G1125" s="9">
        <f t="shared" ca="1" si="49"/>
        <v>10.825175000000002</v>
      </c>
      <c r="H1125" s="9">
        <f t="shared" ca="1" si="49"/>
        <v>22.212941666666666</v>
      </c>
      <c r="I1125" s="9">
        <f t="shared" ca="1" si="49"/>
        <v>22.217258333333334</v>
      </c>
      <c r="J1125" s="9">
        <f t="shared" ca="1" si="49"/>
        <v>22.212941666666666</v>
      </c>
      <c r="K1125" s="9">
        <f t="shared" ca="1" si="49"/>
        <v>22.217258333333334</v>
      </c>
      <c r="L1125" s="9">
        <f t="shared" ca="1" si="49"/>
        <v>10.82085</v>
      </c>
      <c r="M1125" s="9">
        <f t="shared" ca="1" si="49"/>
        <v>10.825175000000002</v>
      </c>
      <c r="N1125" s="9">
        <f t="shared" ca="1" si="49"/>
        <v>10.82085</v>
      </c>
      <c r="O1125" s="9">
        <f t="shared" ca="1" si="49"/>
        <v>10.825175000000002</v>
      </c>
    </row>
    <row r="1126" spans="1:15" ht="15" x14ac:dyDescent="0.2">
      <c r="A1126" s="10">
        <v>2068</v>
      </c>
      <c r="B1126" s="9">
        <f t="shared" ca="1" si="49"/>
        <v>9.8244083333333343</v>
      </c>
      <c r="C1126" s="9">
        <f t="shared" ca="1" si="49"/>
        <v>9.8244083333333343</v>
      </c>
      <c r="D1126" s="9">
        <f t="shared" ca="1" si="49"/>
        <v>9.8256916666666658</v>
      </c>
      <c r="E1126" s="9">
        <f t="shared" ca="1" si="49"/>
        <v>11.035424999999998</v>
      </c>
      <c r="F1126" s="9">
        <f t="shared" ca="1" si="49"/>
        <v>11.035424999999998</v>
      </c>
      <c r="G1126" s="9">
        <f t="shared" ca="1" si="49"/>
        <v>11.039733333333333</v>
      </c>
      <c r="H1126" s="9">
        <f t="shared" ca="1" si="49"/>
        <v>22.690191666666667</v>
      </c>
      <c r="I1126" s="9">
        <f t="shared" ca="1" si="49"/>
        <v>22.694500000000001</v>
      </c>
      <c r="J1126" s="9">
        <f t="shared" ca="1" si="49"/>
        <v>22.690191666666667</v>
      </c>
      <c r="K1126" s="9">
        <f t="shared" ca="1" si="49"/>
        <v>22.694500000000001</v>
      </c>
      <c r="L1126" s="9">
        <f t="shared" ca="1" si="49"/>
        <v>11.035424999999998</v>
      </c>
      <c r="M1126" s="9">
        <f t="shared" ca="1" si="49"/>
        <v>11.039733333333333</v>
      </c>
      <c r="N1126" s="9">
        <f t="shared" ca="1" si="49"/>
        <v>11.035424999999998</v>
      </c>
      <c r="O1126" s="9">
        <f t="shared" ca="1" si="49"/>
        <v>11.039733333333333</v>
      </c>
    </row>
    <row r="1127" spans="1:15" ht="15" x14ac:dyDescent="0.2">
      <c r="A1127" s="10">
        <v>2069</v>
      </c>
      <c r="B1127" s="9">
        <f t="shared" ca="1" si="49"/>
        <v>10.013091666666666</v>
      </c>
      <c r="C1127" s="9">
        <f t="shared" ca="1" si="49"/>
        <v>10.013091666666666</v>
      </c>
      <c r="D1127" s="9">
        <f t="shared" ca="1" si="49"/>
        <v>10.014383333333335</v>
      </c>
      <c r="E1127" s="9">
        <f t="shared" ca="1" si="49"/>
        <v>11.249983333333333</v>
      </c>
      <c r="F1127" s="9">
        <f t="shared" ca="1" si="49"/>
        <v>11.249983333333333</v>
      </c>
      <c r="G1127" s="9">
        <f t="shared" ca="1" si="49"/>
        <v>11.254300000000001</v>
      </c>
      <c r="H1127" s="9">
        <f t="shared" ca="1" si="49"/>
        <v>23.167433333333332</v>
      </c>
      <c r="I1127" s="9">
        <f t="shared" ca="1" si="49"/>
        <v>23.171741666666666</v>
      </c>
      <c r="J1127" s="9">
        <f t="shared" ca="1" si="49"/>
        <v>23.167433333333332</v>
      </c>
      <c r="K1127" s="9">
        <f t="shared" ca="1" si="49"/>
        <v>23.171741666666666</v>
      </c>
      <c r="L1127" s="9">
        <f t="shared" ca="1" si="49"/>
        <v>11.249983333333333</v>
      </c>
      <c r="M1127" s="9">
        <f t="shared" ca="1" si="49"/>
        <v>11.254300000000001</v>
      </c>
      <c r="N1127" s="9">
        <f t="shared" ca="1" si="49"/>
        <v>11.249983333333333</v>
      </c>
      <c r="O1127" s="9">
        <f t="shared" ca="1" si="49"/>
        <v>11.254300000000001</v>
      </c>
    </row>
    <row r="1128" spans="1:15" ht="15" x14ac:dyDescent="0.2">
      <c r="A1128" s="10">
        <v>2070</v>
      </c>
      <c r="B1128" s="9">
        <f t="shared" ca="1" si="49"/>
        <v>10.201825000000001</v>
      </c>
      <c r="C1128" s="9">
        <f t="shared" ca="1" si="49"/>
        <v>10.201825000000001</v>
      </c>
      <c r="D1128" s="9">
        <f t="shared" ca="1" si="49"/>
        <v>10.203091666666666</v>
      </c>
      <c r="E1128" s="9">
        <f t="shared" ca="1" si="49"/>
        <v>11.464541666666667</v>
      </c>
      <c r="F1128" s="9">
        <f t="shared" ca="1" si="49"/>
        <v>11.464541666666667</v>
      </c>
      <c r="G1128" s="9">
        <f t="shared" ca="1" si="49"/>
        <v>11.468866666666665</v>
      </c>
      <c r="H1128" s="9">
        <f t="shared" ca="1" si="49"/>
        <v>23.644691666666663</v>
      </c>
      <c r="I1128" s="9">
        <f t="shared" ca="1" si="49"/>
        <v>23.649008333333331</v>
      </c>
      <c r="J1128" s="9">
        <f t="shared" ca="1" si="49"/>
        <v>23.644691666666663</v>
      </c>
      <c r="K1128" s="9">
        <f t="shared" ca="1" si="49"/>
        <v>23.649008333333331</v>
      </c>
      <c r="L1128" s="9">
        <f t="shared" ca="1" si="49"/>
        <v>11.464541666666667</v>
      </c>
      <c r="M1128" s="9">
        <f t="shared" ca="1" si="49"/>
        <v>11.468866666666665</v>
      </c>
      <c r="N1128" s="9">
        <f t="shared" ca="1" si="49"/>
        <v>11.464541666666667</v>
      </c>
      <c r="O1128" s="9">
        <f t="shared" ca="1" si="49"/>
        <v>11.468866666666665</v>
      </c>
    </row>
    <row r="1129" spans="1:15" ht="15" x14ac:dyDescent="0.2">
      <c r="A1129" s="10">
        <v>2071</v>
      </c>
      <c r="B1129" s="9">
        <f t="shared" ca="1" si="49"/>
        <v>10.390508333333333</v>
      </c>
      <c r="C1129" s="9">
        <f t="shared" ca="1" si="49"/>
        <v>10.390508333333333</v>
      </c>
      <c r="D1129" s="9">
        <f t="shared" ca="1" si="49"/>
        <v>10.391791666666666</v>
      </c>
      <c r="E1129" s="9">
        <f t="shared" ca="1" si="49"/>
        <v>11.679108333333334</v>
      </c>
      <c r="F1129" s="9">
        <f t="shared" ca="1" si="49"/>
        <v>11.679108333333334</v>
      </c>
      <c r="G1129" s="9">
        <f t="shared" ca="1" si="49"/>
        <v>11.683416666666668</v>
      </c>
      <c r="H1129" s="9">
        <f t="shared" ca="1" si="49"/>
        <v>24.121916666666664</v>
      </c>
      <c r="I1129" s="9">
        <f t="shared" ca="1" si="49"/>
        <v>24.126241666666669</v>
      </c>
      <c r="J1129" s="9">
        <f t="shared" ca="1" si="49"/>
        <v>24.121916666666664</v>
      </c>
      <c r="K1129" s="9">
        <f t="shared" ca="1" si="49"/>
        <v>24.126241666666669</v>
      </c>
      <c r="L1129" s="9">
        <f t="shared" ca="1" si="49"/>
        <v>11.679108333333334</v>
      </c>
      <c r="M1129" s="9">
        <f t="shared" ca="1" si="49"/>
        <v>11.683416666666668</v>
      </c>
      <c r="N1129" s="9">
        <f t="shared" ca="1" si="49"/>
        <v>11.679108333333334</v>
      </c>
      <c r="O1129" s="9">
        <f t="shared" ca="1" si="49"/>
        <v>11.683416666666668</v>
      </c>
    </row>
    <row r="1130" spans="1:15" ht="15" x14ac:dyDescent="0.2">
      <c r="A1130" s="10">
        <v>2072</v>
      </c>
      <c r="B1130" s="9">
        <f t="shared" ref="B1130:O1139" ca="1" si="50">AVERAGE(OFFSET(B$602,($A1130-$A$1120)*12,0,12,1))</f>
        <v>10.579216666666667</v>
      </c>
      <c r="C1130" s="9">
        <f t="shared" ca="1" si="50"/>
        <v>10.579216666666667</v>
      </c>
      <c r="D1130" s="9">
        <f t="shared" ca="1" si="50"/>
        <v>10.580483333333332</v>
      </c>
      <c r="E1130" s="9">
        <f t="shared" ca="1" si="50"/>
        <v>11.893658333333335</v>
      </c>
      <c r="F1130" s="9">
        <f t="shared" ca="1" si="50"/>
        <v>11.893658333333335</v>
      </c>
      <c r="G1130" s="9">
        <f t="shared" ca="1" si="50"/>
        <v>11.897975000000002</v>
      </c>
      <c r="H1130" s="9">
        <f t="shared" ca="1" si="50"/>
        <v>24.59919166666667</v>
      </c>
      <c r="I1130" s="9">
        <f t="shared" ca="1" si="50"/>
        <v>24.603491666666667</v>
      </c>
      <c r="J1130" s="9">
        <f t="shared" ca="1" si="50"/>
        <v>24.59919166666667</v>
      </c>
      <c r="K1130" s="9">
        <f t="shared" ca="1" si="50"/>
        <v>24.603491666666667</v>
      </c>
      <c r="L1130" s="9">
        <f t="shared" ca="1" si="50"/>
        <v>11.893658333333335</v>
      </c>
      <c r="M1130" s="9">
        <f t="shared" ca="1" si="50"/>
        <v>11.897975000000002</v>
      </c>
      <c r="N1130" s="9">
        <f t="shared" ca="1" si="50"/>
        <v>11.893658333333335</v>
      </c>
      <c r="O1130" s="9">
        <f t="shared" ca="1" si="50"/>
        <v>11.897975000000002</v>
      </c>
    </row>
    <row r="1131" spans="1:15" ht="15" x14ac:dyDescent="0.2">
      <c r="A1131" s="10">
        <v>2073</v>
      </c>
      <c r="B1131" s="9">
        <f t="shared" ca="1" si="50"/>
        <v>10.767916666666666</v>
      </c>
      <c r="C1131" s="9">
        <f t="shared" ca="1" si="50"/>
        <v>10.767916666666666</v>
      </c>
      <c r="D1131" s="9">
        <f t="shared" ca="1" si="50"/>
        <v>10.769191666666666</v>
      </c>
      <c r="E1131" s="9">
        <f t="shared" ca="1" si="50"/>
        <v>12.108233333333333</v>
      </c>
      <c r="F1131" s="9">
        <f t="shared" ca="1" si="50"/>
        <v>12.108233333333333</v>
      </c>
      <c r="G1131" s="9">
        <f t="shared" ca="1" si="50"/>
        <v>12.112566666666666</v>
      </c>
      <c r="H1131" s="9">
        <f t="shared" ca="1" si="50"/>
        <v>25.076433333333338</v>
      </c>
      <c r="I1131" s="9">
        <f t="shared" ca="1" si="50"/>
        <v>25.080749999999995</v>
      </c>
      <c r="J1131" s="9">
        <f t="shared" ca="1" si="50"/>
        <v>25.076433333333338</v>
      </c>
      <c r="K1131" s="9">
        <f t="shared" ca="1" si="50"/>
        <v>25.080749999999995</v>
      </c>
      <c r="L1131" s="9">
        <f t="shared" ca="1" si="50"/>
        <v>12.108233333333333</v>
      </c>
      <c r="M1131" s="9">
        <f t="shared" ca="1" si="50"/>
        <v>12.112566666666666</v>
      </c>
      <c r="N1131" s="9">
        <f t="shared" ca="1" si="50"/>
        <v>12.108233333333333</v>
      </c>
      <c r="O1131" s="9">
        <f t="shared" ca="1" si="50"/>
        <v>12.112566666666666</v>
      </c>
    </row>
    <row r="1132" spans="1:15" ht="15" x14ac:dyDescent="0.2">
      <c r="A1132" s="10">
        <v>2074</v>
      </c>
      <c r="B1132" s="9">
        <f t="shared" ca="1" si="50"/>
        <v>10.956608333333334</v>
      </c>
      <c r="C1132" s="9">
        <f t="shared" ca="1" si="50"/>
        <v>10.956608333333334</v>
      </c>
      <c r="D1132" s="9">
        <f t="shared" ca="1" si="50"/>
        <v>10.9579</v>
      </c>
      <c r="E1132" s="9">
        <f t="shared" ca="1" si="50"/>
        <v>12.322799999999999</v>
      </c>
      <c r="F1132" s="9">
        <f t="shared" ca="1" si="50"/>
        <v>12.322799999999999</v>
      </c>
      <c r="G1132" s="9">
        <f t="shared" ca="1" si="50"/>
        <v>12.327133333333334</v>
      </c>
      <c r="H1132" s="9">
        <f t="shared" ca="1" si="50"/>
        <v>25.553666666666668</v>
      </c>
      <c r="I1132" s="9">
        <f t="shared" ca="1" si="50"/>
        <v>25.557983333333336</v>
      </c>
      <c r="J1132" s="9">
        <f t="shared" ca="1" si="50"/>
        <v>25.553666666666668</v>
      </c>
      <c r="K1132" s="9">
        <f t="shared" ca="1" si="50"/>
        <v>25.557983333333336</v>
      </c>
      <c r="L1132" s="9">
        <f t="shared" ca="1" si="50"/>
        <v>12.322799999999999</v>
      </c>
      <c r="M1132" s="9">
        <f t="shared" ca="1" si="50"/>
        <v>12.327133333333334</v>
      </c>
      <c r="N1132" s="9">
        <f t="shared" ca="1" si="50"/>
        <v>12.322799999999999</v>
      </c>
      <c r="O1132" s="9">
        <f t="shared" ca="1" si="50"/>
        <v>12.327133333333334</v>
      </c>
    </row>
    <row r="1133" spans="1:15" ht="15" x14ac:dyDescent="0.2">
      <c r="A1133" s="10">
        <v>2075</v>
      </c>
      <c r="B1133" s="9">
        <f t="shared" ca="1" si="50"/>
        <v>11.145333333333332</v>
      </c>
      <c r="C1133" s="9">
        <f t="shared" ca="1" si="50"/>
        <v>11.145333333333332</v>
      </c>
      <c r="D1133" s="9">
        <f t="shared" ca="1" si="50"/>
        <v>11.146608333333333</v>
      </c>
      <c r="E1133" s="9">
        <f t="shared" ca="1" si="50"/>
        <v>12.537374999999999</v>
      </c>
      <c r="F1133" s="9">
        <f t="shared" ca="1" si="50"/>
        <v>12.537374999999999</v>
      </c>
      <c r="G1133" s="9">
        <f t="shared" ca="1" si="50"/>
        <v>12.541691666666665</v>
      </c>
      <c r="H1133" s="9">
        <f t="shared" ca="1" si="50"/>
        <v>26.030925</v>
      </c>
      <c r="I1133" s="9">
        <f t="shared" ca="1" si="50"/>
        <v>26.035233333333338</v>
      </c>
      <c r="J1133" s="9">
        <f t="shared" ca="1" si="50"/>
        <v>26.030925</v>
      </c>
      <c r="K1133" s="9">
        <f t="shared" ca="1" si="50"/>
        <v>26.035233333333338</v>
      </c>
      <c r="L1133" s="9">
        <f t="shared" ca="1" si="50"/>
        <v>12.537374999999999</v>
      </c>
      <c r="M1133" s="9">
        <f t="shared" ca="1" si="50"/>
        <v>12.541691666666665</v>
      </c>
      <c r="N1133" s="9">
        <f t="shared" ca="1" si="50"/>
        <v>12.537374999999999</v>
      </c>
      <c r="O1133" s="9">
        <f t="shared" ca="1" si="50"/>
        <v>12.541691666666665</v>
      </c>
    </row>
    <row r="1134" spans="1:15" ht="15" x14ac:dyDescent="0.2">
      <c r="A1134" s="10">
        <v>2076</v>
      </c>
      <c r="B1134" s="9">
        <f t="shared" ca="1" si="50"/>
        <v>11.334016666666665</v>
      </c>
      <c r="C1134" s="9">
        <f t="shared" ca="1" si="50"/>
        <v>11.334016666666665</v>
      </c>
      <c r="D1134" s="9">
        <f t="shared" ca="1" si="50"/>
        <v>11.335308333333332</v>
      </c>
      <c r="E1134" s="9">
        <f t="shared" ca="1" si="50"/>
        <v>12.751941666666667</v>
      </c>
      <c r="F1134" s="9">
        <f t="shared" ca="1" si="50"/>
        <v>12.751941666666667</v>
      </c>
      <c r="G1134" s="9">
        <f t="shared" ca="1" si="50"/>
        <v>12.756258333333333</v>
      </c>
      <c r="H1134" s="9">
        <f t="shared" ca="1" si="50"/>
        <v>26.508174999999994</v>
      </c>
      <c r="I1134" s="9">
        <f t="shared" ca="1" si="50"/>
        <v>26.512491666666666</v>
      </c>
      <c r="J1134" s="9">
        <f t="shared" ca="1" si="50"/>
        <v>26.508174999999994</v>
      </c>
      <c r="K1134" s="9">
        <f t="shared" ca="1" si="50"/>
        <v>26.512491666666666</v>
      </c>
      <c r="L1134" s="9">
        <f t="shared" ca="1" si="50"/>
        <v>12.751941666666667</v>
      </c>
      <c r="M1134" s="9">
        <f t="shared" ca="1" si="50"/>
        <v>12.756258333333333</v>
      </c>
      <c r="N1134" s="9">
        <f t="shared" ca="1" si="50"/>
        <v>12.751941666666667</v>
      </c>
      <c r="O1134" s="9">
        <f t="shared" ca="1" si="50"/>
        <v>12.756258333333333</v>
      </c>
    </row>
    <row r="1135" spans="1:15" ht="15" x14ac:dyDescent="0.2">
      <c r="A1135" s="10">
        <v>2077</v>
      </c>
      <c r="B1135" s="9">
        <f t="shared" ca="1" si="50"/>
        <v>11.522716666666668</v>
      </c>
      <c r="C1135" s="9">
        <f t="shared" ca="1" si="50"/>
        <v>11.522716666666668</v>
      </c>
      <c r="D1135" s="9">
        <f t="shared" ca="1" si="50"/>
        <v>11.523991666666666</v>
      </c>
      <c r="E1135" s="9">
        <f t="shared" ca="1" si="50"/>
        <v>12.966499999999998</v>
      </c>
      <c r="F1135" s="9">
        <f t="shared" ca="1" si="50"/>
        <v>12.966499999999998</v>
      </c>
      <c r="G1135" s="9">
        <f t="shared" ca="1" si="50"/>
        <v>12.970808333333332</v>
      </c>
      <c r="H1135" s="9">
        <f t="shared" ca="1" si="50"/>
        <v>26.985425000000003</v>
      </c>
      <c r="I1135" s="9">
        <f t="shared" ca="1" si="50"/>
        <v>26.989733333333334</v>
      </c>
      <c r="J1135" s="9">
        <f t="shared" ca="1" si="50"/>
        <v>26.985425000000003</v>
      </c>
      <c r="K1135" s="9">
        <f t="shared" ca="1" si="50"/>
        <v>26.989733333333334</v>
      </c>
      <c r="L1135" s="9">
        <f t="shared" ca="1" si="50"/>
        <v>12.966499999999998</v>
      </c>
      <c r="M1135" s="9">
        <f t="shared" ca="1" si="50"/>
        <v>12.970808333333332</v>
      </c>
      <c r="N1135" s="9">
        <f t="shared" ca="1" si="50"/>
        <v>12.966499999999998</v>
      </c>
      <c r="O1135" s="9">
        <f t="shared" ca="1" si="50"/>
        <v>12.970808333333332</v>
      </c>
    </row>
    <row r="1136" spans="1:15" ht="15" x14ac:dyDescent="0.2">
      <c r="A1136" s="10">
        <v>2078</v>
      </c>
      <c r="B1136" s="9">
        <f t="shared" ca="1" si="50"/>
        <v>11.711416666666667</v>
      </c>
      <c r="C1136" s="9">
        <f t="shared" ca="1" si="50"/>
        <v>11.711416666666667</v>
      </c>
      <c r="D1136" s="9">
        <f t="shared" ca="1" si="50"/>
        <v>11.712716666666667</v>
      </c>
      <c r="E1136" s="9">
        <f t="shared" ca="1" si="50"/>
        <v>13.181066666666664</v>
      </c>
      <c r="F1136" s="9">
        <f t="shared" ca="1" si="50"/>
        <v>13.181066666666664</v>
      </c>
      <c r="G1136" s="9">
        <f t="shared" ca="1" si="50"/>
        <v>13.185383333333334</v>
      </c>
      <c r="H1136" s="9">
        <f t="shared" ca="1" si="50"/>
        <v>27.462674999999994</v>
      </c>
      <c r="I1136" s="9">
        <f t="shared" ca="1" si="50"/>
        <v>27.466983333333332</v>
      </c>
      <c r="J1136" s="9">
        <f t="shared" ca="1" si="50"/>
        <v>27.462674999999994</v>
      </c>
      <c r="K1136" s="9">
        <f t="shared" ca="1" si="50"/>
        <v>27.466983333333332</v>
      </c>
      <c r="L1136" s="9">
        <f t="shared" ca="1" si="50"/>
        <v>13.181066666666664</v>
      </c>
      <c r="M1136" s="9">
        <f t="shared" ca="1" si="50"/>
        <v>13.185383333333334</v>
      </c>
      <c r="N1136" s="9">
        <f t="shared" ca="1" si="50"/>
        <v>13.181066666666664</v>
      </c>
      <c r="O1136" s="9">
        <f t="shared" ca="1" si="50"/>
        <v>13.185383333333334</v>
      </c>
    </row>
    <row r="1137" spans="1:15" ht="15" x14ac:dyDescent="0.2">
      <c r="A1137" s="10">
        <v>2079</v>
      </c>
      <c r="B1137" s="9">
        <f t="shared" ca="1" si="50"/>
        <v>11.900108333333334</v>
      </c>
      <c r="C1137" s="9">
        <f t="shared" ca="1" si="50"/>
        <v>11.900108333333334</v>
      </c>
      <c r="D1137" s="9">
        <f t="shared" ca="1" si="50"/>
        <v>11.901408333333334</v>
      </c>
      <c r="E1137" s="9">
        <f t="shared" ca="1" si="50"/>
        <v>13.395650000000002</v>
      </c>
      <c r="F1137" s="9">
        <f t="shared" ca="1" si="50"/>
        <v>13.395650000000002</v>
      </c>
      <c r="G1137" s="9">
        <f t="shared" ca="1" si="50"/>
        <v>13.399958333333336</v>
      </c>
      <c r="H1137" s="9">
        <f t="shared" ca="1" si="50"/>
        <v>27.939916666666665</v>
      </c>
      <c r="I1137" s="9">
        <f t="shared" ca="1" si="50"/>
        <v>27.944225000000003</v>
      </c>
      <c r="J1137" s="9">
        <f t="shared" ca="1" si="50"/>
        <v>27.939916666666665</v>
      </c>
      <c r="K1137" s="9">
        <f t="shared" ca="1" si="50"/>
        <v>27.944225000000003</v>
      </c>
      <c r="L1137" s="9">
        <f t="shared" ca="1" si="50"/>
        <v>13.395650000000002</v>
      </c>
      <c r="M1137" s="9">
        <f t="shared" ca="1" si="50"/>
        <v>13.399958333333336</v>
      </c>
      <c r="N1137" s="9">
        <f t="shared" ca="1" si="50"/>
        <v>13.395650000000002</v>
      </c>
      <c r="O1137" s="9">
        <f t="shared" ca="1" si="50"/>
        <v>13.399958333333336</v>
      </c>
    </row>
    <row r="1138" spans="1:15" ht="15" x14ac:dyDescent="0.2">
      <c r="A1138" s="10">
        <v>2080</v>
      </c>
      <c r="B1138" s="9">
        <f t="shared" ca="1" si="50"/>
        <v>12.088825</v>
      </c>
      <c r="C1138" s="9">
        <f t="shared" ca="1" si="50"/>
        <v>12.088825</v>
      </c>
      <c r="D1138" s="9">
        <f t="shared" ca="1" si="50"/>
        <v>12.090108333333333</v>
      </c>
      <c r="E1138" s="9">
        <f t="shared" ca="1" si="50"/>
        <v>13.610216666666666</v>
      </c>
      <c r="F1138" s="9">
        <f t="shared" ca="1" si="50"/>
        <v>13.610216666666666</v>
      </c>
      <c r="G1138" s="9">
        <f t="shared" ca="1" si="50"/>
        <v>13.614524999999999</v>
      </c>
      <c r="H1138" s="9">
        <f t="shared" ca="1" si="50"/>
        <v>28.417175</v>
      </c>
      <c r="I1138" s="9">
        <f t="shared" ca="1" si="50"/>
        <v>28.421491666666668</v>
      </c>
      <c r="J1138" s="9">
        <f t="shared" ca="1" si="50"/>
        <v>28.417175</v>
      </c>
      <c r="K1138" s="9">
        <f t="shared" ca="1" si="50"/>
        <v>28.421491666666668</v>
      </c>
      <c r="L1138" s="9">
        <f t="shared" ca="1" si="50"/>
        <v>13.610216666666666</v>
      </c>
      <c r="M1138" s="9">
        <f t="shared" ca="1" si="50"/>
        <v>13.614524999999999</v>
      </c>
      <c r="N1138" s="9">
        <f t="shared" ca="1" si="50"/>
        <v>13.610216666666666</v>
      </c>
      <c r="O1138" s="9">
        <f t="shared" ca="1" si="50"/>
        <v>13.614524999999999</v>
      </c>
    </row>
    <row r="1139" spans="1:15" ht="15" x14ac:dyDescent="0.2">
      <c r="A1139" s="10">
        <v>2081</v>
      </c>
      <c r="B1139" s="9">
        <f t="shared" ca="1" si="50"/>
        <v>12.277508333333332</v>
      </c>
      <c r="C1139" s="9">
        <f t="shared" ca="1" si="50"/>
        <v>12.277508333333332</v>
      </c>
      <c r="D1139" s="9">
        <f t="shared" ca="1" si="50"/>
        <v>12.278808333333332</v>
      </c>
      <c r="E1139" s="9">
        <f t="shared" ca="1" si="50"/>
        <v>13.824775000000001</v>
      </c>
      <c r="F1139" s="9">
        <f t="shared" ca="1" si="50"/>
        <v>13.824775000000001</v>
      </c>
      <c r="G1139" s="9">
        <f t="shared" ca="1" si="50"/>
        <v>13.829083333333331</v>
      </c>
      <c r="H1139" s="9">
        <f t="shared" ca="1" si="50"/>
        <v>28.894408333333331</v>
      </c>
      <c r="I1139" s="9">
        <f t="shared" ca="1" si="50"/>
        <v>28.898724999999999</v>
      </c>
      <c r="J1139" s="9">
        <f t="shared" ca="1" si="50"/>
        <v>28.894408333333331</v>
      </c>
      <c r="K1139" s="9">
        <f t="shared" ca="1" si="50"/>
        <v>28.898724999999999</v>
      </c>
      <c r="L1139" s="9">
        <f t="shared" ca="1" si="50"/>
        <v>13.824775000000001</v>
      </c>
      <c r="M1139" s="9">
        <f t="shared" ca="1" si="50"/>
        <v>13.829083333333331</v>
      </c>
      <c r="N1139" s="9">
        <f t="shared" ca="1" si="50"/>
        <v>13.824775000000001</v>
      </c>
      <c r="O1139" s="9">
        <f t="shared" ca="1" si="50"/>
        <v>13.829083333333331</v>
      </c>
    </row>
    <row r="1140" spans="1:15" ht="15" x14ac:dyDescent="0.2">
      <c r="A1140" s="10">
        <v>2082</v>
      </c>
      <c r="B1140" s="9">
        <f t="shared" ref="B1140:O1149" ca="1" si="51">AVERAGE(OFFSET(B$602,($A1140-$A$1120)*12,0,12,1))</f>
        <v>12.466233333333333</v>
      </c>
      <c r="C1140" s="9">
        <f t="shared" ca="1" si="51"/>
        <v>12.466233333333333</v>
      </c>
      <c r="D1140" s="9">
        <f t="shared" ca="1" si="51"/>
        <v>12.467500000000001</v>
      </c>
      <c r="E1140" s="9">
        <f t="shared" ca="1" si="51"/>
        <v>14.039341666666667</v>
      </c>
      <c r="F1140" s="9">
        <f t="shared" ca="1" si="51"/>
        <v>14.039341666666667</v>
      </c>
      <c r="G1140" s="9">
        <f t="shared" ca="1" si="51"/>
        <v>14.043658333333333</v>
      </c>
      <c r="H1140" s="9">
        <f t="shared" ca="1" si="51"/>
        <v>29.371658333333333</v>
      </c>
      <c r="I1140" s="9">
        <f t="shared" ca="1" si="51"/>
        <v>29.375974999999997</v>
      </c>
      <c r="J1140" s="9">
        <f t="shared" ca="1" si="51"/>
        <v>29.371658333333333</v>
      </c>
      <c r="K1140" s="9">
        <f t="shared" ca="1" si="51"/>
        <v>29.375974999999997</v>
      </c>
      <c r="L1140" s="9">
        <f t="shared" ca="1" si="51"/>
        <v>14.039341666666667</v>
      </c>
      <c r="M1140" s="9">
        <f t="shared" ca="1" si="51"/>
        <v>14.043658333333333</v>
      </c>
      <c r="N1140" s="9">
        <f t="shared" ca="1" si="51"/>
        <v>14.039341666666667</v>
      </c>
      <c r="O1140" s="9">
        <f t="shared" ca="1" si="51"/>
        <v>14.043658333333333</v>
      </c>
    </row>
    <row r="1141" spans="1:15" ht="15" x14ac:dyDescent="0.2">
      <c r="A1141" s="10">
        <v>2083</v>
      </c>
      <c r="B1141" s="9">
        <f t="shared" ca="1" si="51"/>
        <v>12.654925</v>
      </c>
      <c r="C1141" s="9">
        <f t="shared" ca="1" si="51"/>
        <v>12.654925</v>
      </c>
      <c r="D1141" s="9">
        <f t="shared" ca="1" si="51"/>
        <v>12.656216666666666</v>
      </c>
      <c r="E1141" s="9">
        <f t="shared" ca="1" si="51"/>
        <v>14.253891666666668</v>
      </c>
      <c r="F1141" s="9">
        <f t="shared" ca="1" si="51"/>
        <v>14.253891666666668</v>
      </c>
      <c r="G1141" s="9">
        <f t="shared" ca="1" si="51"/>
        <v>14.258208333333334</v>
      </c>
      <c r="H1141" s="9">
        <f t="shared" ca="1" si="51"/>
        <v>29.84890833333333</v>
      </c>
      <c r="I1141" s="9">
        <f t="shared" ca="1" si="51"/>
        <v>29.853233333333336</v>
      </c>
      <c r="J1141" s="9">
        <f t="shared" ca="1" si="51"/>
        <v>29.84890833333333</v>
      </c>
      <c r="K1141" s="9">
        <f t="shared" ca="1" si="51"/>
        <v>29.853233333333336</v>
      </c>
      <c r="L1141" s="9">
        <f t="shared" ca="1" si="51"/>
        <v>14.253891666666668</v>
      </c>
      <c r="M1141" s="9">
        <f t="shared" ca="1" si="51"/>
        <v>14.258208333333334</v>
      </c>
      <c r="N1141" s="9">
        <f t="shared" ca="1" si="51"/>
        <v>14.253891666666668</v>
      </c>
      <c r="O1141" s="9">
        <f t="shared" ca="1" si="51"/>
        <v>14.258208333333334</v>
      </c>
    </row>
    <row r="1142" spans="1:15" ht="15" x14ac:dyDescent="0.2">
      <c r="A1142" s="10">
        <v>2084</v>
      </c>
      <c r="B1142" s="9">
        <f t="shared" ca="1" si="51"/>
        <v>12.843616666666664</v>
      </c>
      <c r="C1142" s="9">
        <f t="shared" ca="1" si="51"/>
        <v>12.843616666666664</v>
      </c>
      <c r="D1142" s="9">
        <f t="shared" ca="1" si="51"/>
        <v>12.844900000000001</v>
      </c>
      <c r="E1142" s="9">
        <f t="shared" ca="1" si="51"/>
        <v>14.468458333333331</v>
      </c>
      <c r="F1142" s="9">
        <f t="shared" ca="1" si="51"/>
        <v>14.468458333333331</v>
      </c>
      <c r="G1142" s="9">
        <f t="shared" ca="1" si="51"/>
        <v>14.47278333333333</v>
      </c>
      <c r="H1142" s="9">
        <f t="shared" ca="1" si="51"/>
        <v>30.326166666666669</v>
      </c>
      <c r="I1142" s="9">
        <f t="shared" ca="1" si="51"/>
        <v>30.330475000000007</v>
      </c>
      <c r="J1142" s="9">
        <f t="shared" ca="1" si="51"/>
        <v>30.326166666666669</v>
      </c>
      <c r="K1142" s="9">
        <f t="shared" ca="1" si="51"/>
        <v>30.330475000000007</v>
      </c>
      <c r="L1142" s="9">
        <f t="shared" ca="1" si="51"/>
        <v>14.468458333333331</v>
      </c>
      <c r="M1142" s="9">
        <f t="shared" ca="1" si="51"/>
        <v>14.47278333333333</v>
      </c>
      <c r="N1142" s="9">
        <f t="shared" ca="1" si="51"/>
        <v>14.468458333333331</v>
      </c>
      <c r="O1142" s="9">
        <f t="shared" ca="1" si="51"/>
        <v>14.47278333333333</v>
      </c>
    </row>
    <row r="1143" spans="1:15" ht="15" x14ac:dyDescent="0.2">
      <c r="A1143" s="10">
        <v>2085</v>
      </c>
      <c r="B1143" s="9">
        <f t="shared" ca="1" si="51"/>
        <v>13.032333333333334</v>
      </c>
      <c r="C1143" s="9">
        <f t="shared" ca="1" si="51"/>
        <v>13.032333333333334</v>
      </c>
      <c r="D1143" s="9">
        <f t="shared" ca="1" si="51"/>
        <v>13.0336</v>
      </c>
      <c r="E1143" s="9">
        <f t="shared" ca="1" si="51"/>
        <v>14.683025000000001</v>
      </c>
      <c r="F1143" s="9">
        <f t="shared" ca="1" si="51"/>
        <v>14.683025000000001</v>
      </c>
      <c r="G1143" s="9">
        <f t="shared" ca="1" si="51"/>
        <v>14.68734166666667</v>
      </c>
      <c r="H1143" s="9">
        <f t="shared" ca="1" si="51"/>
        <v>30.803408333333334</v>
      </c>
      <c r="I1143" s="9">
        <f t="shared" ca="1" si="51"/>
        <v>30.807733333333331</v>
      </c>
      <c r="J1143" s="9">
        <f t="shared" ca="1" si="51"/>
        <v>30.803408333333334</v>
      </c>
      <c r="K1143" s="9">
        <f t="shared" ca="1" si="51"/>
        <v>30.807733333333331</v>
      </c>
      <c r="L1143" s="9">
        <f t="shared" ca="1" si="51"/>
        <v>14.683025000000001</v>
      </c>
      <c r="M1143" s="9">
        <f t="shared" ca="1" si="51"/>
        <v>14.68734166666667</v>
      </c>
      <c r="N1143" s="9">
        <f t="shared" ca="1" si="51"/>
        <v>14.683025000000001</v>
      </c>
      <c r="O1143" s="9">
        <f t="shared" ca="1" si="51"/>
        <v>14.68734166666667</v>
      </c>
    </row>
    <row r="1144" spans="1:15" ht="15" x14ac:dyDescent="0.2">
      <c r="A1144" s="10">
        <v>2086</v>
      </c>
      <c r="B1144" s="9">
        <f t="shared" ca="1" si="51"/>
        <v>13.221025000000003</v>
      </c>
      <c r="C1144" s="9">
        <f t="shared" ca="1" si="51"/>
        <v>13.221025000000003</v>
      </c>
      <c r="D1144" s="9">
        <f t="shared" ca="1" si="51"/>
        <v>13.22231666666667</v>
      </c>
      <c r="E1144" s="9">
        <f t="shared" ca="1" si="51"/>
        <v>14.897599999999999</v>
      </c>
      <c r="F1144" s="9">
        <f t="shared" ca="1" si="51"/>
        <v>14.897599999999999</v>
      </c>
      <c r="G1144" s="9">
        <f t="shared" ca="1" si="51"/>
        <v>14.90191666666667</v>
      </c>
      <c r="H1144" s="9">
        <f t="shared" ca="1" si="51"/>
        <v>31.280666666666672</v>
      </c>
      <c r="I1144" s="9">
        <f t="shared" ca="1" si="51"/>
        <v>31.284966666666666</v>
      </c>
      <c r="J1144" s="9">
        <f t="shared" ca="1" si="51"/>
        <v>31.280666666666672</v>
      </c>
      <c r="K1144" s="9">
        <f t="shared" ca="1" si="51"/>
        <v>31.284966666666666</v>
      </c>
      <c r="L1144" s="9">
        <f t="shared" ca="1" si="51"/>
        <v>14.897599999999999</v>
      </c>
      <c r="M1144" s="9">
        <f t="shared" ca="1" si="51"/>
        <v>14.90191666666667</v>
      </c>
      <c r="N1144" s="9">
        <f t="shared" ca="1" si="51"/>
        <v>14.897599999999999</v>
      </c>
      <c r="O1144" s="9">
        <f t="shared" ca="1" si="51"/>
        <v>14.90191666666667</v>
      </c>
    </row>
    <row r="1145" spans="1:15" ht="15" x14ac:dyDescent="0.2">
      <c r="A1145" s="10">
        <v>2087</v>
      </c>
      <c r="B1145" s="9">
        <f t="shared" ca="1" si="51"/>
        <v>13.409750000000003</v>
      </c>
      <c r="C1145" s="9">
        <f t="shared" ca="1" si="51"/>
        <v>13.409750000000003</v>
      </c>
      <c r="D1145" s="9">
        <f t="shared" ca="1" si="51"/>
        <v>13.41100833333333</v>
      </c>
      <c r="E1145" s="9">
        <f t="shared" ca="1" si="51"/>
        <v>15.112158333333335</v>
      </c>
      <c r="F1145" s="9">
        <f t="shared" ca="1" si="51"/>
        <v>15.112158333333335</v>
      </c>
      <c r="G1145" s="9">
        <f t="shared" ca="1" si="51"/>
        <v>15.116474999999999</v>
      </c>
      <c r="H1145" s="9">
        <f t="shared" ca="1" si="51"/>
        <v>31.757925</v>
      </c>
      <c r="I1145" s="9">
        <f t="shared" ca="1" si="51"/>
        <v>31.762225000000004</v>
      </c>
      <c r="J1145" s="9">
        <f t="shared" ca="1" si="51"/>
        <v>31.757925</v>
      </c>
      <c r="K1145" s="9">
        <f t="shared" ca="1" si="51"/>
        <v>31.762225000000004</v>
      </c>
      <c r="L1145" s="9">
        <f t="shared" ca="1" si="51"/>
        <v>15.112158333333335</v>
      </c>
      <c r="M1145" s="9">
        <f t="shared" ca="1" si="51"/>
        <v>15.116474999999999</v>
      </c>
      <c r="N1145" s="9">
        <f t="shared" ca="1" si="51"/>
        <v>15.112158333333335</v>
      </c>
      <c r="O1145" s="9">
        <f t="shared" ca="1" si="51"/>
        <v>15.116474999999999</v>
      </c>
    </row>
    <row r="1146" spans="1:15" ht="15" x14ac:dyDescent="0.2">
      <c r="A1146" s="10">
        <v>2088</v>
      </c>
      <c r="B1146" s="9">
        <f t="shared" ca="1" si="51"/>
        <v>13.598433333333332</v>
      </c>
      <c r="C1146" s="9">
        <f t="shared" ca="1" si="51"/>
        <v>13.598433333333332</v>
      </c>
      <c r="D1146" s="9">
        <f t="shared" ca="1" si="51"/>
        <v>13.599724999999999</v>
      </c>
      <c r="E1146" s="9">
        <f t="shared" ca="1" si="51"/>
        <v>15.326716666666664</v>
      </c>
      <c r="F1146" s="9">
        <f t="shared" ca="1" si="51"/>
        <v>15.326716666666664</v>
      </c>
      <c r="G1146" s="9">
        <f t="shared" ca="1" si="51"/>
        <v>15.331025000000002</v>
      </c>
      <c r="H1146" s="9">
        <f t="shared" ca="1" si="51"/>
        <v>32.235166666666679</v>
      </c>
      <c r="I1146" s="9">
        <f t="shared" ca="1" si="51"/>
        <v>32.239474999999999</v>
      </c>
      <c r="J1146" s="9">
        <f t="shared" ca="1" si="51"/>
        <v>32.235166666666679</v>
      </c>
      <c r="K1146" s="9">
        <f t="shared" ca="1" si="51"/>
        <v>32.239474999999999</v>
      </c>
      <c r="L1146" s="9">
        <f t="shared" ca="1" si="51"/>
        <v>15.326716666666664</v>
      </c>
      <c r="M1146" s="9">
        <f t="shared" ca="1" si="51"/>
        <v>15.331025000000002</v>
      </c>
      <c r="N1146" s="9">
        <f t="shared" ca="1" si="51"/>
        <v>15.326716666666664</v>
      </c>
      <c r="O1146" s="9">
        <f t="shared" ca="1" si="51"/>
        <v>15.331025000000002</v>
      </c>
    </row>
    <row r="1147" spans="1:15" ht="15" x14ac:dyDescent="0.2">
      <c r="A1147" s="10">
        <v>2089</v>
      </c>
      <c r="B1147" s="9">
        <f t="shared" ca="1" si="51"/>
        <v>13.787141666666669</v>
      </c>
      <c r="C1147" s="9">
        <f t="shared" ca="1" si="51"/>
        <v>13.787141666666669</v>
      </c>
      <c r="D1147" s="9">
        <f t="shared" ca="1" si="51"/>
        <v>13.788400000000001</v>
      </c>
      <c r="E1147" s="9">
        <f t="shared" ca="1" si="51"/>
        <v>15.541283333333332</v>
      </c>
      <c r="F1147" s="9">
        <f t="shared" ca="1" si="51"/>
        <v>15.541283333333332</v>
      </c>
      <c r="G1147" s="9">
        <f t="shared" ca="1" si="51"/>
        <v>15.5456</v>
      </c>
      <c r="H1147" s="9">
        <f t="shared" ca="1" si="51"/>
        <v>32.712400000000002</v>
      </c>
      <c r="I1147" s="9">
        <f t="shared" ca="1" si="51"/>
        <v>32.716724999999997</v>
      </c>
      <c r="J1147" s="9">
        <f t="shared" ca="1" si="51"/>
        <v>32.712400000000002</v>
      </c>
      <c r="K1147" s="9">
        <f t="shared" ca="1" si="51"/>
        <v>32.716724999999997</v>
      </c>
      <c r="L1147" s="9">
        <f t="shared" ca="1" si="51"/>
        <v>15.541283333333332</v>
      </c>
      <c r="M1147" s="9">
        <f t="shared" ca="1" si="51"/>
        <v>15.5456</v>
      </c>
      <c r="N1147" s="9">
        <f t="shared" ca="1" si="51"/>
        <v>15.541283333333332</v>
      </c>
      <c r="O1147" s="9">
        <f t="shared" ca="1" si="51"/>
        <v>15.5456</v>
      </c>
    </row>
    <row r="1148" spans="1:15" ht="15" x14ac:dyDescent="0.2">
      <c r="A1148" s="10">
        <v>2090</v>
      </c>
      <c r="B1148" s="9">
        <f t="shared" ca="1" si="51"/>
        <v>13.975841666666668</v>
      </c>
      <c r="C1148" s="9">
        <f t="shared" ca="1" si="51"/>
        <v>13.975841666666668</v>
      </c>
      <c r="D1148" s="9">
        <f t="shared" ca="1" si="51"/>
        <v>13.977124999999996</v>
      </c>
      <c r="E1148" s="9">
        <f t="shared" ca="1" si="51"/>
        <v>15.755858333333334</v>
      </c>
      <c r="F1148" s="9">
        <f t="shared" ca="1" si="51"/>
        <v>15.755858333333334</v>
      </c>
      <c r="G1148" s="9">
        <f t="shared" ca="1" si="51"/>
        <v>15.760166666666663</v>
      </c>
      <c r="H1148" s="9">
        <f t="shared" ca="1" si="51"/>
        <v>33.18966666666666</v>
      </c>
      <c r="I1148" s="9">
        <f t="shared" ca="1" si="51"/>
        <v>33.193958333333335</v>
      </c>
      <c r="J1148" s="9">
        <f t="shared" ca="1" si="51"/>
        <v>33.18966666666666</v>
      </c>
      <c r="K1148" s="9">
        <f t="shared" ca="1" si="51"/>
        <v>33.193958333333335</v>
      </c>
      <c r="L1148" s="9">
        <f t="shared" ca="1" si="51"/>
        <v>15.755858333333334</v>
      </c>
      <c r="M1148" s="9">
        <f t="shared" ca="1" si="51"/>
        <v>15.760166666666663</v>
      </c>
      <c r="N1148" s="9">
        <f t="shared" ca="1" si="51"/>
        <v>15.755858333333334</v>
      </c>
      <c r="O1148" s="9">
        <f t="shared" ca="1" si="51"/>
        <v>15.760166666666663</v>
      </c>
    </row>
    <row r="1149" spans="1:15" ht="15" x14ac:dyDescent="0.2">
      <c r="A1149" s="10">
        <v>2091</v>
      </c>
      <c r="B1149" s="9">
        <f t="shared" ca="1" si="51"/>
        <v>14.164533333333333</v>
      </c>
      <c r="C1149" s="9">
        <f t="shared" ca="1" si="51"/>
        <v>14.164533333333333</v>
      </c>
      <c r="D1149" s="9">
        <f t="shared" ca="1" si="51"/>
        <v>14.165816666666665</v>
      </c>
      <c r="E1149" s="9">
        <f t="shared" ca="1" si="51"/>
        <v>15.970408333333333</v>
      </c>
      <c r="F1149" s="9">
        <f t="shared" ca="1" si="51"/>
        <v>15.970408333333333</v>
      </c>
      <c r="G1149" s="9">
        <f t="shared" ca="1" si="51"/>
        <v>15.974724999999999</v>
      </c>
      <c r="H1149" s="9">
        <f t="shared" ca="1" si="51"/>
        <v>33.666908333333332</v>
      </c>
      <c r="I1149" s="9">
        <f t="shared" ca="1" si="51"/>
        <v>33.671208333333333</v>
      </c>
      <c r="J1149" s="9">
        <f t="shared" ca="1" si="51"/>
        <v>33.666908333333332</v>
      </c>
      <c r="K1149" s="9">
        <f t="shared" ca="1" si="51"/>
        <v>33.671208333333333</v>
      </c>
      <c r="L1149" s="9">
        <f t="shared" ca="1" si="51"/>
        <v>15.970408333333333</v>
      </c>
      <c r="M1149" s="9">
        <f t="shared" ca="1" si="51"/>
        <v>15.974724999999999</v>
      </c>
      <c r="N1149" s="9">
        <f t="shared" ca="1" si="51"/>
        <v>15.970408333333333</v>
      </c>
      <c r="O1149" s="9">
        <f t="shared" ca="1" si="51"/>
        <v>15.974724999999999</v>
      </c>
    </row>
    <row r="1150" spans="1:15" ht="15" x14ac:dyDescent="0.2">
      <c r="A1150" s="10">
        <v>2092</v>
      </c>
      <c r="B1150" s="9">
        <f t="shared" ref="B1150:O1158" ca="1" si="52">AVERAGE(OFFSET(B$602,($A1150-$A$1120)*12,0,12,1))</f>
        <v>14.353250000000001</v>
      </c>
      <c r="C1150" s="9">
        <f t="shared" ca="1" si="52"/>
        <v>14.353250000000001</v>
      </c>
      <c r="D1150" s="9">
        <f t="shared" ca="1" si="52"/>
        <v>14.354508333333333</v>
      </c>
      <c r="E1150" s="9">
        <f t="shared" ca="1" si="52"/>
        <v>16.184991666666665</v>
      </c>
      <c r="F1150" s="9">
        <f t="shared" ca="1" si="52"/>
        <v>16.184991666666665</v>
      </c>
      <c r="G1150" s="9">
        <f t="shared" ca="1" si="52"/>
        <v>16.189299999999999</v>
      </c>
      <c r="H1150" s="9">
        <f t="shared" ca="1" si="52"/>
        <v>34.144149999999996</v>
      </c>
      <c r="I1150" s="9">
        <f t="shared" ca="1" si="52"/>
        <v>34.14845833333333</v>
      </c>
      <c r="J1150" s="9">
        <f t="shared" ca="1" si="52"/>
        <v>34.144149999999996</v>
      </c>
      <c r="K1150" s="9">
        <f t="shared" ca="1" si="52"/>
        <v>34.14845833333333</v>
      </c>
      <c r="L1150" s="9">
        <f t="shared" ca="1" si="52"/>
        <v>16.184991666666665</v>
      </c>
      <c r="M1150" s="9">
        <f t="shared" ca="1" si="52"/>
        <v>16.189299999999999</v>
      </c>
      <c r="N1150" s="9">
        <f t="shared" ca="1" si="52"/>
        <v>16.184991666666665</v>
      </c>
      <c r="O1150" s="9">
        <f t="shared" ca="1" si="52"/>
        <v>16.189299999999999</v>
      </c>
    </row>
    <row r="1151" spans="1:15" ht="15" x14ac:dyDescent="0.2">
      <c r="A1151" s="10">
        <v>2093</v>
      </c>
      <c r="B1151" s="9">
        <f t="shared" ca="1" si="52"/>
        <v>14.541925000000001</v>
      </c>
      <c r="C1151" s="9">
        <f t="shared" ca="1" si="52"/>
        <v>14.541925000000001</v>
      </c>
      <c r="D1151" s="9">
        <f t="shared" ca="1" si="52"/>
        <v>14.543216666666666</v>
      </c>
      <c r="E1151" s="9">
        <f t="shared" ca="1" si="52"/>
        <v>16.399541666666668</v>
      </c>
      <c r="F1151" s="9">
        <f t="shared" ca="1" si="52"/>
        <v>16.399541666666668</v>
      </c>
      <c r="G1151" s="9">
        <f t="shared" ca="1" si="52"/>
        <v>16.403849999999995</v>
      </c>
      <c r="H1151" s="9">
        <f t="shared" ca="1" si="52"/>
        <v>34.621400000000001</v>
      </c>
      <c r="I1151" s="9">
        <f t="shared" ca="1" si="52"/>
        <v>34.625716666666669</v>
      </c>
      <c r="J1151" s="9">
        <f t="shared" ca="1" si="52"/>
        <v>34.621400000000001</v>
      </c>
      <c r="K1151" s="9">
        <f t="shared" ca="1" si="52"/>
        <v>34.625716666666669</v>
      </c>
      <c r="L1151" s="9">
        <f t="shared" ca="1" si="52"/>
        <v>16.399541666666668</v>
      </c>
      <c r="M1151" s="9">
        <f t="shared" ca="1" si="52"/>
        <v>16.403849999999995</v>
      </c>
      <c r="N1151" s="9">
        <f t="shared" ca="1" si="52"/>
        <v>16.399541666666668</v>
      </c>
      <c r="O1151" s="9">
        <f t="shared" ca="1" si="52"/>
        <v>16.403849999999995</v>
      </c>
    </row>
    <row r="1152" spans="1:15" ht="15" x14ac:dyDescent="0.2">
      <c r="A1152" s="10">
        <v>2094</v>
      </c>
      <c r="B1152" s="9">
        <f t="shared" ca="1" si="52"/>
        <v>14.730650000000002</v>
      </c>
      <c r="C1152" s="9">
        <f t="shared" ca="1" si="52"/>
        <v>14.730650000000002</v>
      </c>
      <c r="D1152" s="9">
        <f t="shared" ca="1" si="52"/>
        <v>14.731908333333331</v>
      </c>
      <c r="E1152" s="9">
        <f t="shared" ca="1" si="52"/>
        <v>16.614100000000004</v>
      </c>
      <c r="F1152" s="9">
        <f t="shared" ca="1" si="52"/>
        <v>16.614100000000004</v>
      </c>
      <c r="G1152" s="9">
        <f t="shared" ca="1" si="52"/>
        <v>16.618416666666665</v>
      </c>
      <c r="H1152" s="9">
        <f t="shared" ca="1" si="52"/>
        <v>35.098641666666673</v>
      </c>
      <c r="I1152" s="9">
        <f t="shared" ca="1" si="52"/>
        <v>35.10295</v>
      </c>
      <c r="J1152" s="9">
        <f t="shared" ca="1" si="52"/>
        <v>35.098641666666673</v>
      </c>
      <c r="K1152" s="9">
        <f t="shared" ca="1" si="52"/>
        <v>35.10295</v>
      </c>
      <c r="L1152" s="9">
        <f t="shared" ca="1" si="52"/>
        <v>16.614100000000004</v>
      </c>
      <c r="M1152" s="9">
        <f t="shared" ca="1" si="52"/>
        <v>16.618416666666665</v>
      </c>
      <c r="N1152" s="9">
        <f t="shared" ca="1" si="52"/>
        <v>16.614100000000004</v>
      </c>
      <c r="O1152" s="9">
        <f t="shared" ca="1" si="52"/>
        <v>16.618416666666665</v>
      </c>
    </row>
    <row r="1153" spans="1:15" ht="15" x14ac:dyDescent="0.2">
      <c r="A1153" s="10">
        <v>2095</v>
      </c>
      <c r="B1153" s="9">
        <f t="shared" ca="1" si="52"/>
        <v>14.919341666666666</v>
      </c>
      <c r="C1153" s="9">
        <f t="shared" ca="1" si="52"/>
        <v>14.919341666666666</v>
      </c>
      <c r="D1153" s="9">
        <f t="shared" ca="1" si="52"/>
        <v>14.920624999999999</v>
      </c>
      <c r="E1153" s="9">
        <f t="shared" ca="1" si="52"/>
        <v>16.828675</v>
      </c>
      <c r="F1153" s="9">
        <f t="shared" ca="1" si="52"/>
        <v>16.828675</v>
      </c>
      <c r="G1153" s="9">
        <f t="shared" ca="1" si="52"/>
        <v>16.832991666666665</v>
      </c>
      <c r="H1153" s="9">
        <f t="shared" ca="1" si="52"/>
        <v>35.575908333333331</v>
      </c>
      <c r="I1153" s="9">
        <f t="shared" ca="1" si="52"/>
        <v>35.580208333333339</v>
      </c>
      <c r="J1153" s="9">
        <f t="shared" ca="1" si="52"/>
        <v>35.575908333333331</v>
      </c>
      <c r="K1153" s="9">
        <f t="shared" ca="1" si="52"/>
        <v>35.580208333333339</v>
      </c>
      <c r="L1153" s="9">
        <f t="shared" ca="1" si="52"/>
        <v>16.828675</v>
      </c>
      <c r="M1153" s="9">
        <f t="shared" ca="1" si="52"/>
        <v>16.832991666666665</v>
      </c>
      <c r="N1153" s="9">
        <f t="shared" ca="1" si="52"/>
        <v>16.828675</v>
      </c>
      <c r="O1153" s="9">
        <f t="shared" ca="1" si="52"/>
        <v>16.832991666666665</v>
      </c>
    </row>
    <row r="1154" spans="1:15" ht="15" x14ac:dyDescent="0.2">
      <c r="A1154" s="10">
        <v>2096</v>
      </c>
      <c r="B1154" s="9">
        <f t="shared" ca="1" si="52"/>
        <v>15.108033333333333</v>
      </c>
      <c r="C1154" s="9">
        <f t="shared" ca="1" si="52"/>
        <v>15.108033333333333</v>
      </c>
      <c r="D1154" s="9">
        <f t="shared" ca="1" si="52"/>
        <v>15.109316666666665</v>
      </c>
      <c r="E1154" s="9">
        <f t="shared" ca="1" si="52"/>
        <v>17.043241666666667</v>
      </c>
      <c r="F1154" s="9">
        <f t="shared" ca="1" si="52"/>
        <v>17.043241666666667</v>
      </c>
      <c r="G1154" s="9">
        <f t="shared" ca="1" si="52"/>
        <v>17.047558333333335</v>
      </c>
      <c r="H1154" s="9">
        <f t="shared" ca="1" si="52"/>
        <v>36.053141666666669</v>
      </c>
      <c r="I1154" s="9">
        <f t="shared" ca="1" si="52"/>
        <v>36.057458333333329</v>
      </c>
      <c r="J1154" s="9">
        <f t="shared" ca="1" si="52"/>
        <v>36.053141666666669</v>
      </c>
      <c r="K1154" s="9">
        <f t="shared" ca="1" si="52"/>
        <v>36.057458333333329</v>
      </c>
      <c r="L1154" s="9">
        <f t="shared" ca="1" si="52"/>
        <v>17.043241666666667</v>
      </c>
      <c r="M1154" s="9">
        <f t="shared" ca="1" si="52"/>
        <v>17.047558333333335</v>
      </c>
      <c r="N1154" s="9">
        <f t="shared" ca="1" si="52"/>
        <v>17.043241666666667</v>
      </c>
      <c r="O1154" s="9">
        <f t="shared" ca="1" si="52"/>
        <v>17.047558333333335</v>
      </c>
    </row>
    <row r="1155" spans="1:15" ht="15" x14ac:dyDescent="0.2">
      <c r="A1155" s="10">
        <v>2097</v>
      </c>
      <c r="B1155" s="9">
        <f t="shared" ca="1" si="52"/>
        <v>15.296750000000001</v>
      </c>
      <c r="C1155" s="9">
        <f t="shared" ca="1" si="52"/>
        <v>15.296750000000001</v>
      </c>
      <c r="D1155" s="9">
        <f t="shared" ca="1" si="52"/>
        <v>15.298008333333334</v>
      </c>
      <c r="E1155" s="9">
        <f t="shared" ca="1" si="52"/>
        <v>17.2578</v>
      </c>
      <c r="F1155" s="9">
        <f t="shared" ca="1" si="52"/>
        <v>17.2578</v>
      </c>
      <c r="G1155" s="9">
        <f t="shared" ca="1" si="52"/>
        <v>17.262116666666664</v>
      </c>
      <c r="H1155" s="9">
        <f t="shared" ca="1" si="52"/>
        <v>36.530399999999993</v>
      </c>
      <c r="I1155" s="9">
        <f t="shared" ca="1" si="52"/>
        <v>36.534725000000002</v>
      </c>
      <c r="J1155" s="9">
        <f t="shared" ca="1" si="52"/>
        <v>36.530399999999993</v>
      </c>
      <c r="K1155" s="9">
        <f t="shared" ca="1" si="52"/>
        <v>36.534725000000002</v>
      </c>
      <c r="L1155" s="9">
        <f t="shared" ca="1" si="52"/>
        <v>17.2578</v>
      </c>
      <c r="M1155" s="9">
        <f t="shared" ca="1" si="52"/>
        <v>17.262116666666664</v>
      </c>
      <c r="N1155" s="9">
        <f t="shared" ca="1" si="52"/>
        <v>17.2578</v>
      </c>
      <c r="O1155" s="9">
        <f t="shared" ca="1" si="52"/>
        <v>17.262116666666664</v>
      </c>
    </row>
    <row r="1156" spans="1:15" ht="15" x14ac:dyDescent="0.2">
      <c r="A1156" s="10">
        <v>2098</v>
      </c>
      <c r="B1156" s="9">
        <f t="shared" ca="1" si="52"/>
        <v>15.485433333333333</v>
      </c>
      <c r="C1156" s="9">
        <f t="shared" ca="1" si="52"/>
        <v>15.485433333333333</v>
      </c>
      <c r="D1156" s="9">
        <f t="shared" ca="1" si="52"/>
        <v>15.486733333333333</v>
      </c>
      <c r="E1156" s="9">
        <f t="shared" ca="1" si="52"/>
        <v>17.472383333333333</v>
      </c>
      <c r="F1156" s="9">
        <f t="shared" ca="1" si="52"/>
        <v>17.472383333333333</v>
      </c>
      <c r="G1156" s="9">
        <f t="shared" ca="1" si="52"/>
        <v>17.476700000000001</v>
      </c>
      <c r="H1156" s="9">
        <f t="shared" ca="1" si="52"/>
        <v>37.007624999999997</v>
      </c>
      <c r="I1156" s="9">
        <f t="shared" ca="1" si="52"/>
        <v>37.011941666666665</v>
      </c>
      <c r="J1156" s="9">
        <f t="shared" ca="1" si="52"/>
        <v>37.007624999999997</v>
      </c>
      <c r="K1156" s="9">
        <f t="shared" ca="1" si="52"/>
        <v>37.011941666666665</v>
      </c>
      <c r="L1156" s="9">
        <f t="shared" ca="1" si="52"/>
        <v>17.472383333333333</v>
      </c>
      <c r="M1156" s="9">
        <f t="shared" ca="1" si="52"/>
        <v>17.476700000000001</v>
      </c>
      <c r="N1156" s="9">
        <f t="shared" ca="1" si="52"/>
        <v>17.472383333333333</v>
      </c>
      <c r="O1156" s="9">
        <f t="shared" ca="1" si="52"/>
        <v>17.476700000000001</v>
      </c>
    </row>
    <row r="1157" spans="1:15" ht="15" x14ac:dyDescent="0.2">
      <c r="A1157" s="10">
        <v>2099</v>
      </c>
      <c r="B1157" s="9">
        <f t="shared" ca="1" si="52"/>
        <v>15.674149999999999</v>
      </c>
      <c r="C1157" s="9">
        <f t="shared" ca="1" si="52"/>
        <v>15.674149999999999</v>
      </c>
      <c r="D1157" s="9">
        <f t="shared" ca="1" si="52"/>
        <v>15.675425000000002</v>
      </c>
      <c r="E1157" s="9">
        <f t="shared" ca="1" si="52"/>
        <v>17.686933333333332</v>
      </c>
      <c r="F1157" s="9">
        <f t="shared" ca="1" si="52"/>
        <v>17.686933333333332</v>
      </c>
      <c r="G1157" s="9">
        <f t="shared" ca="1" si="52"/>
        <v>17.691258333333334</v>
      </c>
      <c r="H1157" s="9">
        <f t="shared" ca="1" si="52"/>
        <v>37.484883333333329</v>
      </c>
      <c r="I1157" s="9">
        <f t="shared" ca="1" si="52"/>
        <v>37.489200000000004</v>
      </c>
      <c r="J1157" s="9">
        <f t="shared" ca="1" si="52"/>
        <v>37.484883333333329</v>
      </c>
      <c r="K1157" s="9">
        <f t="shared" ca="1" si="52"/>
        <v>37.489200000000004</v>
      </c>
      <c r="L1157" s="9">
        <f t="shared" ca="1" si="52"/>
        <v>17.686933333333332</v>
      </c>
      <c r="M1157" s="9">
        <f t="shared" ca="1" si="52"/>
        <v>17.691258333333334</v>
      </c>
      <c r="N1157" s="9">
        <f t="shared" ca="1" si="52"/>
        <v>17.686933333333332</v>
      </c>
      <c r="O1157" s="9">
        <f t="shared" ca="1" si="52"/>
        <v>17.691258333333334</v>
      </c>
    </row>
    <row r="1158" spans="1:15" ht="15" x14ac:dyDescent="0.2">
      <c r="A1158" s="10">
        <v>2100</v>
      </c>
      <c r="B1158" s="9">
        <f t="shared" ca="1" si="52"/>
        <v>15.862841666666663</v>
      </c>
      <c r="C1158" s="9">
        <f t="shared" ca="1" si="52"/>
        <v>15.862841666666663</v>
      </c>
      <c r="D1158" s="9">
        <f t="shared" ca="1" si="52"/>
        <v>15.864133333333335</v>
      </c>
      <c r="E1158" s="9">
        <f t="shared" ca="1" si="52"/>
        <v>17.901491666666669</v>
      </c>
      <c r="F1158" s="9">
        <f t="shared" ca="1" si="52"/>
        <v>17.901491666666669</v>
      </c>
      <c r="G1158" s="9">
        <f t="shared" ca="1" si="52"/>
        <v>17.905808333333329</v>
      </c>
      <c r="H1158" s="9">
        <f t="shared" ca="1" si="52"/>
        <v>37.962150000000001</v>
      </c>
      <c r="I1158" s="9">
        <f t="shared" ca="1" si="52"/>
        <v>37.966458333333328</v>
      </c>
      <c r="J1158" s="9">
        <f t="shared" ca="1" si="52"/>
        <v>37.962150000000001</v>
      </c>
      <c r="K1158" s="9">
        <f t="shared" ca="1" si="52"/>
        <v>37.966458333333328</v>
      </c>
      <c r="L1158" s="9">
        <f t="shared" ca="1" si="52"/>
        <v>17.901491666666669</v>
      </c>
      <c r="M1158" s="9">
        <f t="shared" ca="1" si="52"/>
        <v>17.905808333333329</v>
      </c>
      <c r="N1158" s="9">
        <f t="shared" ca="1" si="52"/>
        <v>17.901491666666669</v>
      </c>
      <c r="O1158" s="9">
        <f t="shared" ca="1" si="52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scale="4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0" zoomScaleNormal="70" workbookViewId="0">
      <pane xSplit="1" ySplit="11" topLeftCell="B12" activePane="bottomRight" state="frozen"/>
      <selection activeCell="A7" sqref="A7:B7"/>
      <selection pane="topRight" activeCell="A7" sqref="A7:B7"/>
      <selection pane="bottomLeft" activeCell="A7" sqref="A7:B7"/>
      <selection pane="bottomRight" activeCell="B12" sqref="B12"/>
    </sheetView>
  </sheetViews>
  <sheetFormatPr defaultColWidth="7.109375" defaultRowHeight="12.75" x14ac:dyDescent="0.2"/>
  <cols>
    <col min="1" max="1" width="19.77734375" style="31" customWidth="1"/>
    <col min="2" max="4" width="16.109375" style="31" customWidth="1"/>
    <col min="5" max="5" width="21" style="31" customWidth="1"/>
    <col min="6" max="9" width="16.109375" style="31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1" t="s">
        <v>91</v>
      </c>
    </row>
    <row r="2" spans="1:17" ht="15.75" x14ac:dyDescent="0.25">
      <c r="A2" s="101" t="s">
        <v>92</v>
      </c>
    </row>
    <row r="3" spans="1:17" ht="15.75" x14ac:dyDescent="0.25">
      <c r="A3" s="101" t="s">
        <v>93</v>
      </c>
    </row>
    <row r="4" spans="1:17" ht="15.75" x14ac:dyDescent="0.25">
      <c r="A4" s="101" t="s">
        <v>94</v>
      </c>
    </row>
    <row r="5" spans="1:17" ht="15.75" x14ac:dyDescent="0.25">
      <c r="A5" s="101" t="s">
        <v>96</v>
      </c>
    </row>
    <row r="6" spans="1:17" ht="15.75" x14ac:dyDescent="0.25">
      <c r="A6" s="101" t="s">
        <v>98</v>
      </c>
    </row>
    <row r="8" spans="1:17" ht="15.75" x14ac:dyDescent="0.25">
      <c r="A8" s="43" t="s">
        <v>27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43"/>
      <c r="B9" s="42"/>
      <c r="C9" s="41" t="s">
        <v>25</v>
      </c>
      <c r="D9" s="40">
        <f>1-0.273</f>
        <v>0.72699999999999998</v>
      </c>
      <c r="E9" s="41" t="s">
        <v>24</v>
      </c>
      <c r="F9" s="40">
        <f>1+0.273</f>
        <v>1.2730000000000001</v>
      </c>
      <c r="G9" s="8"/>
      <c r="H9" s="8"/>
      <c r="I9" s="8"/>
    </row>
    <row r="10" spans="1:17" s="36" customFormat="1" ht="32.450000000000003" customHeight="1" x14ac:dyDescent="0.25">
      <c r="B10" s="37" t="s">
        <v>37</v>
      </c>
      <c r="C10" s="37" t="s">
        <v>36</v>
      </c>
      <c r="D10" s="37" t="s">
        <v>35</v>
      </c>
      <c r="E10" s="39" t="s">
        <v>34</v>
      </c>
      <c r="F10" s="37" t="s">
        <v>33</v>
      </c>
      <c r="G10" s="39" t="s">
        <v>32</v>
      </c>
      <c r="H10" s="39" t="s">
        <v>31</v>
      </c>
      <c r="I10" s="37" t="s">
        <v>30</v>
      </c>
      <c r="J10" s="37" t="s">
        <v>29</v>
      </c>
      <c r="K10" s="37" t="s">
        <v>28</v>
      </c>
      <c r="L10" s="37"/>
    </row>
    <row r="11" spans="1:17" s="36" customFormat="1" ht="19.5" customHeight="1" x14ac:dyDescent="0.25">
      <c r="A11" s="38" t="s">
        <v>15</v>
      </c>
      <c r="B11" s="37" t="s">
        <v>14</v>
      </c>
      <c r="C11" s="37" t="s">
        <v>14</v>
      </c>
      <c r="D11" s="37" t="s">
        <v>14</v>
      </c>
      <c r="E11" s="37" t="s">
        <v>14</v>
      </c>
      <c r="F11" s="37" t="s">
        <v>14</v>
      </c>
      <c r="G11" s="37" t="s">
        <v>14</v>
      </c>
      <c r="H11" s="37" t="s">
        <v>14</v>
      </c>
      <c r="I11" s="37" t="s">
        <v>14</v>
      </c>
      <c r="J11" s="37" t="s">
        <v>14</v>
      </c>
      <c r="K11" s="37" t="s">
        <v>14</v>
      </c>
      <c r="L11" s="37"/>
    </row>
    <row r="12" spans="1:17" ht="15" x14ac:dyDescent="0.2">
      <c r="A12" s="13">
        <v>41275</v>
      </c>
      <c r="B12" s="14">
        <v>24.537438554750199</v>
      </c>
      <c r="C12" s="14">
        <v>24.1051915564654</v>
      </c>
      <c r="D12" s="14">
        <v>24.1051915564654</v>
      </c>
      <c r="E12" s="14">
        <v>23.9685330658994</v>
      </c>
      <c r="F12" s="14">
        <v>23.9685330658994</v>
      </c>
      <c r="G12" s="14">
        <v>24.239908537597501</v>
      </c>
      <c r="H12" s="14">
        <v>24.1051915564654</v>
      </c>
      <c r="I12" s="14">
        <v>24.1051915564654</v>
      </c>
      <c r="J12" s="14">
        <v>23.744985724561499</v>
      </c>
      <c r="K12" s="14">
        <v>24.1051915564654</v>
      </c>
      <c r="L12" s="14"/>
      <c r="M12" s="35"/>
      <c r="N12" s="35"/>
      <c r="O12" s="35"/>
      <c r="P12" s="35"/>
      <c r="Q12" s="35"/>
    </row>
    <row r="13" spans="1:17" ht="15" x14ac:dyDescent="0.2">
      <c r="A13" s="13">
        <v>41306</v>
      </c>
      <c r="B13" s="14">
        <v>25.612662092624401</v>
      </c>
      <c r="C13" s="14">
        <v>25.180415094339601</v>
      </c>
      <c r="D13" s="14">
        <v>25.180415094339601</v>
      </c>
      <c r="E13" s="14">
        <v>25.043756603773598</v>
      </c>
      <c r="F13" s="14">
        <v>25.043756603773598</v>
      </c>
      <c r="G13" s="14">
        <v>25.315132075471698</v>
      </c>
      <c r="H13" s="14">
        <v>25.180415094339601</v>
      </c>
      <c r="I13" s="14">
        <v>25.180415094339601</v>
      </c>
      <c r="J13" s="14">
        <v>24.8202092624357</v>
      </c>
      <c r="K13" s="14">
        <v>25.180415094339601</v>
      </c>
      <c r="L13" s="14"/>
      <c r="M13" s="35"/>
      <c r="N13" s="35"/>
      <c r="O13" s="35"/>
      <c r="P13" s="35"/>
      <c r="Q13" s="35"/>
    </row>
    <row r="14" spans="1:17" ht="15" x14ac:dyDescent="0.2">
      <c r="A14" s="13">
        <v>41334</v>
      </c>
      <c r="B14" s="14">
        <v>23.994085486637498</v>
      </c>
      <c r="C14" s="14">
        <v>23.561838488352802</v>
      </c>
      <c r="D14" s="14">
        <v>23.561838488352802</v>
      </c>
      <c r="E14" s="14">
        <v>23.425179997786799</v>
      </c>
      <c r="F14" s="14">
        <v>23.425179997786799</v>
      </c>
      <c r="G14" s="14">
        <v>23.696555469484899</v>
      </c>
      <c r="H14" s="14">
        <v>23.561838488352802</v>
      </c>
      <c r="I14" s="14">
        <v>23.561838488352802</v>
      </c>
      <c r="J14" s="14">
        <v>23.201632656448801</v>
      </c>
      <c r="K14" s="14">
        <v>23.561838488352802</v>
      </c>
      <c r="L14" s="14"/>
      <c r="M14" s="35"/>
      <c r="N14" s="35"/>
      <c r="O14" s="35"/>
      <c r="P14" s="35"/>
      <c r="Q14" s="35"/>
    </row>
    <row r="15" spans="1:17" ht="15" x14ac:dyDescent="0.2">
      <c r="A15" s="13">
        <v>41365</v>
      </c>
      <c r="B15" s="14">
        <v>22.9189005145798</v>
      </c>
      <c r="C15" s="14">
        <v>22.486653516295</v>
      </c>
      <c r="D15" s="14">
        <v>22.486653516295</v>
      </c>
      <c r="E15" s="14">
        <v>22.349995025729001</v>
      </c>
      <c r="F15" s="14">
        <v>22.349995025729001</v>
      </c>
      <c r="G15" s="14">
        <v>22.621370497427101</v>
      </c>
      <c r="H15" s="14">
        <v>22.486653516295</v>
      </c>
      <c r="I15" s="14">
        <v>22.486653516295</v>
      </c>
      <c r="J15" s="14">
        <v>22.126447684391099</v>
      </c>
      <c r="K15" s="14">
        <v>22.486653516295</v>
      </c>
      <c r="L15" s="14"/>
      <c r="M15" s="35"/>
      <c r="N15" s="35"/>
      <c r="O15" s="35"/>
      <c r="P15" s="35"/>
      <c r="Q15" s="35"/>
    </row>
    <row r="16" spans="1:17" ht="15" x14ac:dyDescent="0.2">
      <c r="A16" s="13">
        <v>41395</v>
      </c>
      <c r="B16" s="14">
        <v>22.8476548995739</v>
      </c>
      <c r="C16" s="14">
        <v>22.4154079012892</v>
      </c>
      <c r="D16" s="14">
        <v>22.4154079012892</v>
      </c>
      <c r="E16" s="14">
        <v>22.278749410723201</v>
      </c>
      <c r="F16" s="14">
        <v>22.278749410723201</v>
      </c>
      <c r="G16" s="14">
        <v>22.550124882421301</v>
      </c>
      <c r="H16" s="14">
        <v>22.4154079012892</v>
      </c>
      <c r="I16" s="14">
        <v>22.4154079012892</v>
      </c>
      <c r="J16" s="14">
        <v>22.055202069385299</v>
      </c>
      <c r="K16" s="14">
        <v>22.4154079012892</v>
      </c>
      <c r="L16" s="14"/>
      <c r="M16" s="35"/>
      <c r="N16" s="35"/>
      <c r="O16" s="35"/>
      <c r="P16" s="35"/>
      <c r="Q16" s="35"/>
    </row>
    <row r="17" spans="1:17" ht="15" x14ac:dyDescent="0.2">
      <c r="A17" s="13">
        <v>41426</v>
      </c>
      <c r="B17" s="14">
        <v>22.7692229845626</v>
      </c>
      <c r="C17" s="14">
        <v>22.336975986277899</v>
      </c>
      <c r="D17" s="14">
        <v>22.336975986277899</v>
      </c>
      <c r="E17" s="14">
        <v>22.200317495711801</v>
      </c>
      <c r="F17" s="14">
        <v>22.200317495711801</v>
      </c>
      <c r="G17" s="14">
        <v>22.471692967409901</v>
      </c>
      <c r="H17" s="14">
        <v>22.336975986277899</v>
      </c>
      <c r="I17" s="14">
        <v>22.336975986277899</v>
      </c>
      <c r="J17" s="14">
        <v>21.976770154373899</v>
      </c>
      <c r="K17" s="14">
        <v>22.336975986277899</v>
      </c>
      <c r="L17" s="14"/>
      <c r="M17" s="35"/>
      <c r="N17" s="35"/>
      <c r="O17" s="35"/>
      <c r="P17" s="35"/>
      <c r="Q17" s="35"/>
    </row>
    <row r="18" spans="1:17" ht="15" x14ac:dyDescent="0.2">
      <c r="A18" s="13">
        <v>41456</v>
      </c>
      <c r="B18" s="14">
        <v>22.7548147512864</v>
      </c>
      <c r="C18" s="14">
        <v>22.322567753001699</v>
      </c>
      <c r="D18" s="14">
        <v>22.322567753001699</v>
      </c>
      <c r="E18" s="14">
        <v>22.1859092624357</v>
      </c>
      <c r="F18" s="14">
        <v>22.1859092624357</v>
      </c>
      <c r="G18" s="14">
        <v>22.4572847341338</v>
      </c>
      <c r="H18" s="14">
        <v>22.322567753001699</v>
      </c>
      <c r="I18" s="14">
        <v>22.322567753001699</v>
      </c>
      <c r="J18" s="14">
        <v>21.962361921097799</v>
      </c>
      <c r="K18" s="14">
        <v>22.322567753001699</v>
      </c>
      <c r="L18" s="14"/>
      <c r="M18" s="35"/>
      <c r="N18" s="35"/>
      <c r="O18" s="35"/>
      <c r="P18" s="35"/>
      <c r="Q18" s="35"/>
    </row>
    <row r="19" spans="1:17" ht="15" x14ac:dyDescent="0.2">
      <c r="A19" s="13">
        <v>41487</v>
      </c>
      <c r="B19" s="14">
        <f>22.9941 * CHOOSE(CONTROL!$C$9, $D$9, 100%, $F$9) + CHOOSE(CONTROL!$C$27, 0.0021, 0)</f>
        <v>22.996199999999998</v>
      </c>
      <c r="C19" s="14">
        <f>22.5619 * CHOOSE(CONTROL!$C$9, $D$9, 100%, $F$9) + CHOOSE(CONTROL!$C$27, 0.0021, 0)</f>
        <v>22.564</v>
      </c>
      <c r="D19" s="14">
        <f>22.5619 * CHOOSE(CONTROL!$C$9, $D$9, 100%, $F$9) + CHOOSE(CONTROL!$C$27, 0.0021, 0)</f>
        <v>22.564</v>
      </c>
      <c r="E19" s="14">
        <f>22.4252 * CHOOSE(CONTROL!$C$9, $D$9, 100%, $F$9) + CHOOSE(CONTROL!$C$27, 0.0021, 0)</f>
        <v>22.427299999999999</v>
      </c>
      <c r="F19" s="14">
        <f>22.4252 * CHOOSE(CONTROL!$C$9, $D$9, 100%, $F$9) + CHOOSE(CONTROL!$C$27, 0.0021, 0)</f>
        <v>22.427299999999999</v>
      </c>
      <c r="G19" s="14">
        <f>22.6966 * CHOOSE(CONTROL!$C$9, $D$9, 100%, $F$9) + CHOOSE(CONTROL!$C$27, 0.0021, 0)</f>
        <v>22.698699999999999</v>
      </c>
      <c r="H19" s="14">
        <f>22.5619 * CHOOSE(CONTROL!$C$9, $D$9, 100%, $F$9) + CHOOSE(CONTROL!$C$27, 0.0021, 0)</f>
        <v>22.564</v>
      </c>
      <c r="I19" s="14">
        <f>22.5619 * CHOOSE(CONTROL!$C$9, $D$9, 100%, $F$9) + CHOOSE(CONTROL!$C$27, 0.0021, 0)</f>
        <v>22.564</v>
      </c>
      <c r="J19" s="14">
        <f>22.2016 * CHOOSE(CONTROL!$C$9, $D$9, 100%, $F$9) + CHOOSE(CONTROL!$C$27, 0.0021, 0)</f>
        <v>22.203699999999998</v>
      </c>
      <c r="K19" s="14">
        <f>22.5619 * CHOOSE(CONTROL!$C$9, $D$9, 100%, $F$9) + CHOOSE(CONTROL!$C$27, 0.0021, 0)</f>
        <v>22.564</v>
      </c>
      <c r="L19" s="14"/>
      <c r="M19" s="35"/>
      <c r="N19" s="35"/>
      <c r="O19" s="35"/>
      <c r="P19" s="35"/>
      <c r="Q19" s="35"/>
    </row>
    <row r="20" spans="1:17" ht="15" x14ac:dyDescent="0.2">
      <c r="A20" s="13">
        <v>41518</v>
      </c>
      <c r="B20" s="14">
        <f>23.033 * CHOOSE(CONTROL!$C$9, $D$9, 100%, $F$9) + CHOOSE(CONTROL!$C$27, 0.0021, 0)</f>
        <v>23.0351</v>
      </c>
      <c r="C20" s="14">
        <f>22.6008 * CHOOSE(CONTROL!$C$9, $D$9, 100%, $F$9) + CHOOSE(CONTROL!$C$27, 0.0021, 0)</f>
        <v>22.602899999999998</v>
      </c>
      <c r="D20" s="14">
        <f>22.6008 * CHOOSE(CONTROL!$C$9, $D$9, 100%, $F$9) + CHOOSE(CONTROL!$C$27, 0.0021, 0)</f>
        <v>22.602899999999998</v>
      </c>
      <c r="E20" s="14">
        <f>22.4641 * CHOOSE(CONTROL!$C$9, $D$9, 100%, $F$9) + CHOOSE(CONTROL!$C$27, 0.0021, 0)</f>
        <v>22.466199999999997</v>
      </c>
      <c r="F20" s="14">
        <f>22.4641 * CHOOSE(CONTROL!$C$9, $D$9, 100%, $F$9) + CHOOSE(CONTROL!$C$27, 0.0021, 0)</f>
        <v>22.466199999999997</v>
      </c>
      <c r="G20" s="14">
        <f>22.7355 * CHOOSE(CONTROL!$C$9, $D$9, 100%, $F$9) + CHOOSE(CONTROL!$C$27, 0.0021, 0)</f>
        <v>22.737599999999997</v>
      </c>
      <c r="H20" s="14">
        <f>22.6008 * CHOOSE(CONTROL!$C$9, $D$9, 100%, $F$9) + CHOOSE(CONTROL!$C$27, 0.0021, 0)</f>
        <v>22.602899999999998</v>
      </c>
      <c r="I20" s="14">
        <f>22.6008 * CHOOSE(CONTROL!$C$9, $D$9, 100%, $F$9) + CHOOSE(CONTROL!$C$27, 0.0021, 0)</f>
        <v>22.602899999999998</v>
      </c>
      <c r="J20" s="14">
        <f>22.2405 * CHOOSE(CONTROL!$C$9, $D$9, 100%, $F$9) + CHOOSE(CONTROL!$C$27, 0.0021, 0)</f>
        <v>22.242599999999999</v>
      </c>
      <c r="K20" s="14">
        <f>22.6008 * CHOOSE(CONTROL!$C$9, $D$9, 100%, $F$9) + CHOOSE(CONTROL!$C$27, 0.0021, 0)</f>
        <v>22.602899999999998</v>
      </c>
      <c r="L20" s="14"/>
      <c r="M20" s="35"/>
      <c r="N20" s="35"/>
      <c r="O20" s="35"/>
      <c r="P20" s="35"/>
      <c r="Q20" s="35"/>
    </row>
    <row r="21" spans="1:17" ht="15" x14ac:dyDescent="0.2">
      <c r="A21" s="13">
        <v>41548</v>
      </c>
      <c r="B21" s="14">
        <f>23.0625 * CHOOSE(CONTROL!$C$9, $D$9, 100%, $F$9) + CHOOSE(CONTROL!$C$27, 0.0021, 0)</f>
        <v>23.064599999999999</v>
      </c>
      <c r="C21" s="14">
        <f>22.6303 * CHOOSE(CONTROL!$C$9, $D$9, 100%, $F$9) + CHOOSE(CONTROL!$C$27, 0.0021, 0)</f>
        <v>22.632399999999997</v>
      </c>
      <c r="D21" s="14">
        <f>22.6303 * CHOOSE(CONTROL!$C$9, $D$9, 100%, $F$9) + CHOOSE(CONTROL!$C$27, 0.0021, 0)</f>
        <v>22.632399999999997</v>
      </c>
      <c r="E21" s="14">
        <f>22.4936 * CHOOSE(CONTROL!$C$9, $D$9, 100%, $F$9) + CHOOSE(CONTROL!$C$27, 0.0021, 0)</f>
        <v>22.495699999999999</v>
      </c>
      <c r="F21" s="14">
        <f>22.4936 * CHOOSE(CONTROL!$C$9, $D$9, 100%, $F$9) + CHOOSE(CONTROL!$C$27, 0.0021, 0)</f>
        <v>22.495699999999999</v>
      </c>
      <c r="G21" s="14">
        <f>22.765 * CHOOSE(CONTROL!$C$9, $D$9, 100%, $F$9) + CHOOSE(CONTROL!$C$27, 0.0021, 0)</f>
        <v>22.767099999999999</v>
      </c>
      <c r="H21" s="14">
        <f>22.6303 * CHOOSE(CONTROL!$C$9, $D$9, 100%, $F$9) + CHOOSE(CONTROL!$C$27, 0.0021, 0)</f>
        <v>22.632399999999997</v>
      </c>
      <c r="I21" s="14">
        <f>22.6303 * CHOOSE(CONTROL!$C$9, $D$9, 100%, $F$9) + CHOOSE(CONTROL!$C$27, 0.0021, 0)</f>
        <v>22.632399999999997</v>
      </c>
      <c r="J21" s="14">
        <f>22.2701 * CHOOSE(CONTROL!$C$9, $D$9, 100%, $F$9) + CHOOSE(CONTROL!$C$27, 0.0021, 0)</f>
        <v>22.272199999999998</v>
      </c>
      <c r="K21" s="14">
        <f>22.6303 * CHOOSE(CONTROL!$C$9, $D$9, 100%, $F$9) + CHOOSE(CONTROL!$C$27, 0.0021, 0)</f>
        <v>22.632399999999997</v>
      </c>
      <c r="L21" s="14"/>
      <c r="M21" s="35"/>
      <c r="N21" s="35"/>
      <c r="O21" s="35"/>
      <c r="P21" s="35"/>
      <c r="Q21" s="35"/>
    </row>
    <row r="22" spans="1:17" ht="15" x14ac:dyDescent="0.2">
      <c r="A22" s="13">
        <v>41579</v>
      </c>
      <c r="B22" s="14">
        <f>23.0849 * CHOOSE(CONTROL!$C$9, $D$9, 100%, $F$9) + CHOOSE(CONTROL!$C$27, 0.0021, 0)</f>
        <v>23.087</v>
      </c>
      <c r="C22" s="14">
        <f>22.6526 * CHOOSE(CONTROL!$C$9, $D$9, 100%, $F$9) + CHOOSE(CONTROL!$C$27, 0.0021, 0)</f>
        <v>22.654699999999998</v>
      </c>
      <c r="D22" s="14">
        <f>22.6526 * CHOOSE(CONTROL!$C$9, $D$9, 100%, $F$9) + CHOOSE(CONTROL!$C$27, 0.0021, 0)</f>
        <v>22.654699999999998</v>
      </c>
      <c r="E22" s="14">
        <f>22.516 * CHOOSE(CONTROL!$C$9, $D$9, 100%, $F$9) + CHOOSE(CONTROL!$C$27, 0.0021, 0)</f>
        <v>22.518099999999997</v>
      </c>
      <c r="F22" s="14">
        <f>22.516 * CHOOSE(CONTROL!$C$9, $D$9, 100%, $F$9) + CHOOSE(CONTROL!$C$27, 0.0021, 0)</f>
        <v>22.518099999999997</v>
      </c>
      <c r="G22" s="14">
        <f>22.7873 * CHOOSE(CONTROL!$C$9, $D$9, 100%, $F$9) + CHOOSE(CONTROL!$C$27, 0.0021, 0)</f>
        <v>22.789399999999997</v>
      </c>
      <c r="H22" s="14">
        <f>22.6526 * CHOOSE(CONTROL!$C$9, $D$9, 100%, $F$9) + CHOOSE(CONTROL!$C$27, 0.0021, 0)</f>
        <v>22.654699999999998</v>
      </c>
      <c r="I22" s="14">
        <f>22.6526 * CHOOSE(CONTROL!$C$9, $D$9, 100%, $F$9) + CHOOSE(CONTROL!$C$27, 0.0021, 0)</f>
        <v>22.654699999999998</v>
      </c>
      <c r="J22" s="14">
        <f>22.2924 * CHOOSE(CONTROL!$C$9, $D$9, 100%, $F$9) + CHOOSE(CONTROL!$C$27, 0.0021, 0)</f>
        <v>22.294499999999999</v>
      </c>
      <c r="K22" s="14">
        <f>22.6526 * CHOOSE(CONTROL!$C$9, $D$9, 100%, $F$9) + CHOOSE(CONTROL!$C$27, 0.0021, 0)</f>
        <v>22.654699999999998</v>
      </c>
      <c r="L22" s="14"/>
      <c r="M22" s="35"/>
      <c r="N22" s="35"/>
      <c r="O22" s="35"/>
      <c r="P22" s="35"/>
      <c r="Q22" s="35"/>
    </row>
    <row r="23" spans="1:17" ht="15" x14ac:dyDescent="0.2">
      <c r="A23" s="13">
        <v>41609</v>
      </c>
      <c r="B23" s="14">
        <f>23.1036 * CHOOSE(CONTROL!$C$9, $D$9, 100%, $F$9) + CHOOSE(CONTROL!$C$27, 0.0021, 0)</f>
        <v>23.105699999999999</v>
      </c>
      <c r="C23" s="14">
        <f>22.6714 * CHOOSE(CONTROL!$C$9, $D$9, 100%, $F$9) + CHOOSE(CONTROL!$C$27, 0.0021, 0)</f>
        <v>22.673499999999997</v>
      </c>
      <c r="D23" s="14">
        <f>22.6714 * CHOOSE(CONTROL!$C$9, $D$9, 100%, $F$9) + CHOOSE(CONTROL!$C$27, 0.0021, 0)</f>
        <v>22.673499999999997</v>
      </c>
      <c r="E23" s="14">
        <f>22.5347 * CHOOSE(CONTROL!$C$9, $D$9, 100%, $F$9) + CHOOSE(CONTROL!$C$27, 0.0021, 0)</f>
        <v>22.536799999999999</v>
      </c>
      <c r="F23" s="14">
        <f>22.5347 * CHOOSE(CONTROL!$C$9, $D$9, 100%, $F$9) + CHOOSE(CONTROL!$C$27, 0.0021, 0)</f>
        <v>22.536799999999999</v>
      </c>
      <c r="G23" s="14">
        <f>22.8061 * CHOOSE(CONTROL!$C$9, $D$9, 100%, $F$9) + CHOOSE(CONTROL!$C$27, 0.0021, 0)</f>
        <v>22.808199999999999</v>
      </c>
      <c r="H23" s="14">
        <f>22.6714 * CHOOSE(CONTROL!$C$9, $D$9, 100%, $F$9) + CHOOSE(CONTROL!$C$27, 0.0021, 0)</f>
        <v>22.673499999999997</v>
      </c>
      <c r="I23" s="14">
        <f>22.6714 * CHOOSE(CONTROL!$C$9, $D$9, 100%, $F$9) + CHOOSE(CONTROL!$C$27, 0.0021, 0)</f>
        <v>22.673499999999997</v>
      </c>
      <c r="J23" s="14">
        <f>22.3111 * CHOOSE(CONTROL!$C$9, $D$9, 100%, $F$9) + CHOOSE(CONTROL!$C$27, 0.0021, 0)</f>
        <v>22.313199999999998</v>
      </c>
      <c r="K23" s="14">
        <f>22.6714 * CHOOSE(CONTROL!$C$9, $D$9, 100%, $F$9) + CHOOSE(CONTROL!$C$27, 0.0021, 0)</f>
        <v>22.673499999999997</v>
      </c>
      <c r="L23" s="14"/>
      <c r="M23" s="35"/>
      <c r="N23" s="35"/>
      <c r="O23" s="35"/>
      <c r="P23" s="35"/>
      <c r="Q23" s="35"/>
    </row>
    <row r="24" spans="1:17" ht="15" x14ac:dyDescent="0.2">
      <c r="A24" s="13">
        <v>41640</v>
      </c>
      <c r="B24" s="14">
        <f>23.1382 * CHOOSE(CONTROL!$C$9, $D$9, 100%, $F$9) + CHOOSE(CONTROL!$C$27, 0.0021, 0)</f>
        <v>23.1403</v>
      </c>
      <c r="C24" s="14">
        <f>22.7059 * CHOOSE(CONTROL!$C$9, $D$9, 100%, $F$9) + CHOOSE(CONTROL!$C$27, 0.0021, 0)</f>
        <v>22.707999999999998</v>
      </c>
      <c r="D24" s="14">
        <f>22.7059 * CHOOSE(CONTROL!$C$9, $D$9, 100%, $F$9) + CHOOSE(CONTROL!$C$27, 0.0021, 0)</f>
        <v>22.707999999999998</v>
      </c>
      <c r="E24" s="14">
        <f>22.5693 * CHOOSE(CONTROL!$C$9, $D$9, 100%, $F$9) + CHOOSE(CONTROL!$C$27, 0.0021, 0)</f>
        <v>22.571399999999997</v>
      </c>
      <c r="F24" s="14">
        <f>22.5693 * CHOOSE(CONTROL!$C$9, $D$9, 100%, $F$9) + CHOOSE(CONTROL!$C$27, 0.0021, 0)</f>
        <v>22.571399999999997</v>
      </c>
      <c r="G24" s="14">
        <f>22.8407 * CHOOSE(CONTROL!$C$9, $D$9, 100%, $F$9) + CHOOSE(CONTROL!$C$27, 0.0021, 0)</f>
        <v>22.842799999999997</v>
      </c>
      <c r="H24" s="14">
        <f>22.7059 * CHOOSE(CONTROL!$C$9, $D$9, 100%, $F$9) + CHOOSE(CONTROL!$C$27, 0.0021, 0)</f>
        <v>22.707999999999998</v>
      </c>
      <c r="I24" s="14">
        <f>22.7059 * CHOOSE(CONTROL!$C$9, $D$9, 100%, $F$9) + CHOOSE(CONTROL!$C$27, 0.0021, 0)</f>
        <v>22.707999999999998</v>
      </c>
      <c r="J24" s="14">
        <f>22.3457 * CHOOSE(CONTROL!$C$9, $D$9, 100%, $F$9) + CHOOSE(CONTROL!$C$27, 0.0021, 0)</f>
        <v>22.347799999999999</v>
      </c>
      <c r="K24" s="14">
        <f>22.7059 * CHOOSE(CONTROL!$C$9, $D$9, 100%, $F$9) + CHOOSE(CONTROL!$C$27, 0.0021, 0)</f>
        <v>22.707999999999998</v>
      </c>
      <c r="L24" s="14"/>
      <c r="M24" s="35"/>
      <c r="N24" s="35"/>
      <c r="O24" s="35"/>
      <c r="P24" s="35"/>
      <c r="Q24" s="35"/>
    </row>
    <row r="25" spans="1:17" ht="15" x14ac:dyDescent="0.2">
      <c r="A25" s="13">
        <v>41671</v>
      </c>
      <c r="B25" s="14">
        <f>23.1418 * CHOOSE(CONTROL!$C$9, $D$9, 100%, $F$9) + CHOOSE(CONTROL!$C$27, 0.0021, 0)</f>
        <v>23.143899999999999</v>
      </c>
      <c r="C25" s="14">
        <f>22.7095 * CHOOSE(CONTROL!$C$9, $D$9, 100%, $F$9) + CHOOSE(CONTROL!$C$27, 0.0021, 0)</f>
        <v>22.711599999999997</v>
      </c>
      <c r="D25" s="14">
        <f>22.7095 * CHOOSE(CONTROL!$C$9, $D$9, 100%, $F$9) + CHOOSE(CONTROL!$C$27, 0.0021, 0)</f>
        <v>22.711599999999997</v>
      </c>
      <c r="E25" s="14">
        <f>22.5729 * CHOOSE(CONTROL!$C$9, $D$9, 100%, $F$9) + CHOOSE(CONTROL!$C$27, 0.0021, 0)</f>
        <v>22.574999999999999</v>
      </c>
      <c r="F25" s="14">
        <f>22.5729 * CHOOSE(CONTROL!$C$9, $D$9, 100%, $F$9) + CHOOSE(CONTROL!$C$27, 0.0021, 0)</f>
        <v>22.574999999999999</v>
      </c>
      <c r="G25" s="14">
        <f>22.8443 * CHOOSE(CONTROL!$C$9, $D$9, 100%, $F$9) + CHOOSE(CONTROL!$C$27, 0.0021, 0)</f>
        <v>22.846399999999999</v>
      </c>
      <c r="H25" s="14">
        <f>22.7095 * CHOOSE(CONTROL!$C$9, $D$9, 100%, $F$9) + CHOOSE(CONTROL!$C$27, 0.0021, 0)</f>
        <v>22.711599999999997</v>
      </c>
      <c r="I25" s="14">
        <f>22.7095 * CHOOSE(CONTROL!$C$9, $D$9, 100%, $F$9) + CHOOSE(CONTROL!$C$27, 0.0021, 0)</f>
        <v>22.711599999999997</v>
      </c>
      <c r="J25" s="14">
        <f>22.3493 * CHOOSE(CONTROL!$C$9, $D$9, 100%, $F$9) + CHOOSE(CONTROL!$C$27, 0.0021, 0)</f>
        <v>22.351399999999998</v>
      </c>
      <c r="K25" s="14">
        <f>22.7095 * CHOOSE(CONTROL!$C$9, $D$9, 100%, $F$9) + CHOOSE(CONTROL!$C$27, 0.0021, 0)</f>
        <v>22.711599999999997</v>
      </c>
      <c r="L25" s="14"/>
      <c r="M25" s="35"/>
      <c r="N25" s="35"/>
      <c r="O25" s="35"/>
      <c r="P25" s="35"/>
      <c r="Q25" s="35"/>
    </row>
    <row r="26" spans="1:17" ht="15" x14ac:dyDescent="0.2">
      <c r="A26" s="13">
        <v>41699</v>
      </c>
      <c r="B26" s="14">
        <f>23.0813 * CHOOSE(CONTROL!$C$9, $D$9, 100%, $F$9) + CHOOSE(CONTROL!$C$27, 0.0021, 0)</f>
        <v>23.083399999999997</v>
      </c>
      <c r="C26" s="14">
        <f>22.649 * CHOOSE(CONTROL!$C$9, $D$9, 100%, $F$9) + CHOOSE(CONTROL!$C$27, 0.0021, 0)</f>
        <v>22.6511</v>
      </c>
      <c r="D26" s="14">
        <f>22.649 * CHOOSE(CONTROL!$C$9, $D$9, 100%, $F$9) + CHOOSE(CONTROL!$C$27, 0.0021, 0)</f>
        <v>22.6511</v>
      </c>
      <c r="E26" s="14">
        <f>22.5124 * CHOOSE(CONTROL!$C$9, $D$9, 100%, $F$9) + CHOOSE(CONTROL!$C$27, 0.0021, 0)</f>
        <v>22.514499999999998</v>
      </c>
      <c r="F26" s="14">
        <f>22.5124 * CHOOSE(CONTROL!$C$9, $D$9, 100%, $F$9) + CHOOSE(CONTROL!$C$27, 0.0021, 0)</f>
        <v>22.514499999999998</v>
      </c>
      <c r="G26" s="14">
        <f>22.7837 * CHOOSE(CONTROL!$C$9, $D$9, 100%, $F$9) + CHOOSE(CONTROL!$C$27, 0.0021, 0)</f>
        <v>22.785799999999998</v>
      </c>
      <c r="H26" s="14">
        <f>22.649 * CHOOSE(CONTROL!$C$9, $D$9, 100%, $F$9) + CHOOSE(CONTROL!$C$27, 0.0021, 0)</f>
        <v>22.6511</v>
      </c>
      <c r="I26" s="14">
        <f>22.649 * CHOOSE(CONTROL!$C$9, $D$9, 100%, $F$9) + CHOOSE(CONTROL!$C$27, 0.0021, 0)</f>
        <v>22.6511</v>
      </c>
      <c r="J26" s="14">
        <f>22.2888 * CHOOSE(CONTROL!$C$9, $D$9, 100%, $F$9) + CHOOSE(CONTROL!$C$27, 0.0021, 0)</f>
        <v>22.290899999999997</v>
      </c>
      <c r="K26" s="14">
        <f>22.649 * CHOOSE(CONTROL!$C$9, $D$9, 100%, $F$9) + CHOOSE(CONTROL!$C$27, 0.0021, 0)</f>
        <v>22.6511</v>
      </c>
      <c r="L26" s="14"/>
      <c r="M26" s="35"/>
      <c r="N26" s="35"/>
      <c r="O26" s="35"/>
      <c r="P26" s="35"/>
      <c r="Q26" s="35"/>
    </row>
    <row r="27" spans="1:17" ht="15" x14ac:dyDescent="0.2">
      <c r="A27" s="13">
        <v>41730</v>
      </c>
      <c r="B27" s="14">
        <f>22.9732 * CHOOSE(CONTROL!$C$9, $D$9, 100%, $F$9) + CHOOSE(CONTROL!$C$27, 0.0021, 0)</f>
        <v>22.975299999999997</v>
      </c>
      <c r="C27" s="14">
        <f>22.541 * CHOOSE(CONTROL!$C$9, $D$9, 100%, $F$9) + CHOOSE(CONTROL!$C$27, 0.0021, 0)</f>
        <v>22.543099999999999</v>
      </c>
      <c r="D27" s="14">
        <f>22.541 * CHOOSE(CONTROL!$C$9, $D$9, 100%, $F$9) + CHOOSE(CONTROL!$C$27, 0.0021, 0)</f>
        <v>22.543099999999999</v>
      </c>
      <c r="E27" s="14">
        <f>22.4043 * CHOOSE(CONTROL!$C$9, $D$9, 100%, $F$9) + CHOOSE(CONTROL!$C$27, 0.0021, 0)</f>
        <v>22.406399999999998</v>
      </c>
      <c r="F27" s="14">
        <f>22.4043 * CHOOSE(CONTROL!$C$9, $D$9, 100%, $F$9) + CHOOSE(CONTROL!$C$27, 0.0021, 0)</f>
        <v>22.406399999999998</v>
      </c>
      <c r="G27" s="14">
        <f>22.6757 * CHOOSE(CONTROL!$C$9, $D$9, 100%, $F$9) + CHOOSE(CONTROL!$C$27, 0.0021, 0)</f>
        <v>22.677799999999998</v>
      </c>
      <c r="H27" s="14">
        <f>22.541 * CHOOSE(CONTROL!$C$9, $D$9, 100%, $F$9) + CHOOSE(CONTROL!$C$27, 0.0021, 0)</f>
        <v>22.543099999999999</v>
      </c>
      <c r="I27" s="14">
        <f>22.541 * CHOOSE(CONTROL!$C$9, $D$9, 100%, $F$9) + CHOOSE(CONTROL!$C$27, 0.0021, 0)</f>
        <v>22.543099999999999</v>
      </c>
      <c r="J27" s="14">
        <f>22.1808 * CHOOSE(CONTROL!$C$9, $D$9, 100%, $F$9) + CHOOSE(CONTROL!$C$27, 0.0021, 0)</f>
        <v>22.1829</v>
      </c>
      <c r="K27" s="14">
        <f>22.541 * CHOOSE(CONTROL!$C$9, $D$9, 100%, $F$9) + CHOOSE(CONTROL!$C$27, 0.0021, 0)</f>
        <v>22.543099999999999</v>
      </c>
      <c r="L27" s="14"/>
      <c r="M27" s="35"/>
      <c r="N27" s="35"/>
      <c r="O27" s="35"/>
      <c r="P27" s="35"/>
      <c r="Q27" s="35"/>
    </row>
    <row r="28" spans="1:17" ht="15" x14ac:dyDescent="0.2">
      <c r="A28" s="13">
        <v>41760</v>
      </c>
      <c r="B28" s="14">
        <f>22.8731 * CHOOSE(CONTROL!$C$9, $D$9, 100%, $F$9) + CHOOSE(CONTROL!$C$27, 0.0021, 0)</f>
        <v>22.8752</v>
      </c>
      <c r="C28" s="14">
        <f>22.4408 * CHOOSE(CONTROL!$C$9, $D$9, 100%, $F$9) + CHOOSE(CONTROL!$C$27, 0.0021, 0)</f>
        <v>22.442899999999998</v>
      </c>
      <c r="D28" s="14">
        <f>22.4408 * CHOOSE(CONTROL!$C$9, $D$9, 100%, $F$9) + CHOOSE(CONTROL!$C$27, 0.0021, 0)</f>
        <v>22.442899999999998</v>
      </c>
      <c r="E28" s="14">
        <f>22.3042 * CHOOSE(CONTROL!$C$9, $D$9, 100%, $F$9) + CHOOSE(CONTROL!$C$27, 0.0021, 0)</f>
        <v>22.3063</v>
      </c>
      <c r="F28" s="14">
        <f>22.3042 * CHOOSE(CONTROL!$C$9, $D$9, 100%, $F$9) + CHOOSE(CONTROL!$C$27, 0.0021, 0)</f>
        <v>22.3063</v>
      </c>
      <c r="G28" s="14">
        <f>22.5755 * CHOOSE(CONTROL!$C$9, $D$9, 100%, $F$9) + CHOOSE(CONTROL!$C$27, 0.0021, 0)</f>
        <v>22.5776</v>
      </c>
      <c r="H28" s="14">
        <f>22.4408 * CHOOSE(CONTROL!$C$9, $D$9, 100%, $F$9) + CHOOSE(CONTROL!$C$27, 0.0021, 0)</f>
        <v>22.442899999999998</v>
      </c>
      <c r="I28" s="14">
        <f>22.4408 * CHOOSE(CONTROL!$C$9, $D$9, 100%, $F$9) + CHOOSE(CONTROL!$C$27, 0.0021, 0)</f>
        <v>22.442899999999998</v>
      </c>
      <c r="J28" s="14">
        <f>22.0806 * CHOOSE(CONTROL!$C$9, $D$9, 100%, $F$9) + CHOOSE(CONTROL!$C$27, 0.0021, 0)</f>
        <v>22.082699999999999</v>
      </c>
      <c r="K28" s="14">
        <f>22.4408 * CHOOSE(CONTROL!$C$9, $D$9, 100%, $F$9) + CHOOSE(CONTROL!$C$27, 0.0021, 0)</f>
        <v>22.442899999999998</v>
      </c>
      <c r="L28" s="14"/>
      <c r="M28" s="35"/>
      <c r="N28" s="35"/>
      <c r="O28" s="35"/>
      <c r="P28" s="35"/>
      <c r="Q28" s="35"/>
    </row>
    <row r="29" spans="1:17" ht="15" x14ac:dyDescent="0.2">
      <c r="A29" s="13">
        <v>41791</v>
      </c>
      <c r="B29" s="14">
        <f>22.7888 * CHOOSE(CONTROL!$C$9, $D$9, 100%, $F$9) + CHOOSE(CONTROL!$C$27, 0.0021, 0)</f>
        <v>22.790899999999997</v>
      </c>
      <c r="C29" s="14">
        <f>22.3565 * CHOOSE(CONTROL!$C$9, $D$9, 100%, $F$9) + CHOOSE(CONTROL!$C$27, 0.0021, 0)</f>
        <v>22.358599999999999</v>
      </c>
      <c r="D29" s="14">
        <f>22.3565 * CHOOSE(CONTROL!$C$9, $D$9, 100%, $F$9) + CHOOSE(CONTROL!$C$27, 0.0021, 0)</f>
        <v>22.358599999999999</v>
      </c>
      <c r="E29" s="14">
        <f>22.2199 * CHOOSE(CONTROL!$C$9, $D$9, 100%, $F$9) + CHOOSE(CONTROL!$C$27, 0.0021, 0)</f>
        <v>22.221999999999998</v>
      </c>
      <c r="F29" s="14">
        <f>22.2199 * CHOOSE(CONTROL!$C$9, $D$9, 100%, $F$9) + CHOOSE(CONTROL!$C$27, 0.0021, 0)</f>
        <v>22.221999999999998</v>
      </c>
      <c r="G29" s="14">
        <f>22.4913 * CHOOSE(CONTROL!$C$9, $D$9, 100%, $F$9) + CHOOSE(CONTROL!$C$27, 0.0021, 0)</f>
        <v>22.493399999999998</v>
      </c>
      <c r="H29" s="14">
        <f>22.3565 * CHOOSE(CONTROL!$C$9, $D$9, 100%, $F$9) + CHOOSE(CONTROL!$C$27, 0.0021, 0)</f>
        <v>22.358599999999999</v>
      </c>
      <c r="I29" s="14">
        <f>22.3565 * CHOOSE(CONTROL!$C$9, $D$9, 100%, $F$9) + CHOOSE(CONTROL!$C$27, 0.0021, 0)</f>
        <v>22.358599999999999</v>
      </c>
      <c r="J29" s="14">
        <f>21.9963 * CHOOSE(CONTROL!$C$9, $D$9, 100%, $F$9) + CHOOSE(CONTROL!$C$27, 0.0021, 0)</f>
        <v>21.9984</v>
      </c>
      <c r="K29" s="14">
        <f>22.3565 * CHOOSE(CONTROL!$C$9, $D$9, 100%, $F$9) + CHOOSE(CONTROL!$C$27, 0.0021, 0)</f>
        <v>22.358599999999999</v>
      </c>
      <c r="L29" s="14"/>
      <c r="M29" s="35"/>
      <c r="N29" s="35"/>
      <c r="O29" s="35"/>
      <c r="P29" s="35"/>
      <c r="Q29" s="35"/>
    </row>
    <row r="30" spans="1:17" ht="15" x14ac:dyDescent="0.2">
      <c r="A30" s="13">
        <v>41821</v>
      </c>
      <c r="B30" s="14">
        <f>22.742 * CHOOSE(CONTROL!$C$9, $D$9, 100%, $F$9) + CHOOSE(CONTROL!$C$27, 0.0021, 0)</f>
        <v>22.7441</v>
      </c>
      <c r="C30" s="14">
        <f>22.3097 * CHOOSE(CONTROL!$C$9, $D$9, 100%, $F$9) + CHOOSE(CONTROL!$C$27, 0.0021, 0)</f>
        <v>22.311799999999998</v>
      </c>
      <c r="D30" s="14">
        <f>22.3097 * CHOOSE(CONTROL!$C$9, $D$9, 100%, $F$9) + CHOOSE(CONTROL!$C$27, 0.0021, 0)</f>
        <v>22.311799999999998</v>
      </c>
      <c r="E30" s="14">
        <f>22.173 * CHOOSE(CONTROL!$C$9, $D$9, 100%, $F$9) + CHOOSE(CONTROL!$C$27, 0.0021, 0)</f>
        <v>22.175099999999997</v>
      </c>
      <c r="F30" s="14">
        <f>22.173 * CHOOSE(CONTROL!$C$9, $D$9, 100%, $F$9) + CHOOSE(CONTROL!$C$27, 0.0021, 0)</f>
        <v>22.175099999999997</v>
      </c>
      <c r="G30" s="14">
        <f>22.4444 * CHOOSE(CONTROL!$C$9, $D$9, 100%, $F$9) + CHOOSE(CONTROL!$C$27, 0.0021, 0)</f>
        <v>22.4465</v>
      </c>
      <c r="H30" s="14">
        <f>22.3097 * CHOOSE(CONTROL!$C$9, $D$9, 100%, $F$9) + CHOOSE(CONTROL!$C$27, 0.0021, 0)</f>
        <v>22.311799999999998</v>
      </c>
      <c r="I30" s="14">
        <f>22.3097 * CHOOSE(CONTROL!$C$9, $D$9, 100%, $F$9) + CHOOSE(CONTROL!$C$27, 0.0021, 0)</f>
        <v>22.311799999999998</v>
      </c>
      <c r="J30" s="14">
        <f>21.9495 * CHOOSE(CONTROL!$C$9, $D$9, 100%, $F$9) + CHOOSE(CONTROL!$C$27, 0.0021, 0)</f>
        <v>21.951599999999999</v>
      </c>
      <c r="K30" s="14">
        <f>22.3097 * CHOOSE(CONTROL!$C$9, $D$9, 100%, $F$9) + CHOOSE(CONTROL!$C$27, 0.0021, 0)</f>
        <v>22.311799999999998</v>
      </c>
      <c r="L30" s="14"/>
      <c r="M30" s="35"/>
      <c r="N30" s="35"/>
      <c r="O30" s="35"/>
      <c r="P30" s="35"/>
      <c r="Q30" s="35"/>
    </row>
    <row r="31" spans="1:17" ht="15" x14ac:dyDescent="0.2">
      <c r="A31" s="13">
        <v>41852</v>
      </c>
      <c r="B31" s="14">
        <f>22.7045 * CHOOSE(CONTROL!$C$9, $D$9, 100%, $F$9) + CHOOSE(CONTROL!$C$27, 0.0021, 0)</f>
        <v>22.706599999999998</v>
      </c>
      <c r="C31" s="14">
        <f>22.2722 * CHOOSE(CONTROL!$C$9, $D$9, 100%, $F$9) + CHOOSE(CONTROL!$C$27, 0.0021, 0)</f>
        <v>22.2743</v>
      </c>
      <c r="D31" s="14">
        <f>22.2722 * CHOOSE(CONTROL!$C$9, $D$9, 100%, $F$9) + CHOOSE(CONTROL!$C$27, 0.0021, 0)</f>
        <v>22.2743</v>
      </c>
      <c r="E31" s="14">
        <f>22.1356 * CHOOSE(CONTROL!$C$9, $D$9, 100%, $F$9) + CHOOSE(CONTROL!$C$27, 0.0021, 0)</f>
        <v>22.137699999999999</v>
      </c>
      <c r="F31" s="14">
        <f>22.1356 * CHOOSE(CONTROL!$C$9, $D$9, 100%, $F$9) + CHOOSE(CONTROL!$C$27, 0.0021, 0)</f>
        <v>22.137699999999999</v>
      </c>
      <c r="G31" s="14">
        <f>22.407 * CHOOSE(CONTROL!$C$9, $D$9, 100%, $F$9) + CHOOSE(CONTROL!$C$27, 0.0021, 0)</f>
        <v>22.409099999999999</v>
      </c>
      <c r="H31" s="14">
        <f>22.2722 * CHOOSE(CONTROL!$C$9, $D$9, 100%, $F$9) + CHOOSE(CONTROL!$C$27, 0.0021, 0)</f>
        <v>22.2743</v>
      </c>
      <c r="I31" s="14">
        <f>22.2722 * CHOOSE(CONTROL!$C$9, $D$9, 100%, $F$9) + CHOOSE(CONTROL!$C$27, 0.0021, 0)</f>
        <v>22.2743</v>
      </c>
      <c r="J31" s="14">
        <f>21.912 * CHOOSE(CONTROL!$C$9, $D$9, 100%, $F$9) + CHOOSE(CONTROL!$C$27, 0.0021, 0)</f>
        <v>21.914099999999998</v>
      </c>
      <c r="K31" s="14">
        <f>22.2722 * CHOOSE(CONTROL!$C$9, $D$9, 100%, $F$9) + CHOOSE(CONTROL!$C$27, 0.0021, 0)</f>
        <v>22.2743</v>
      </c>
      <c r="L31" s="14"/>
      <c r="M31" s="35"/>
      <c r="N31" s="35"/>
      <c r="O31" s="35"/>
      <c r="P31" s="35"/>
      <c r="Q31" s="35"/>
    </row>
    <row r="32" spans="1:17" ht="15" x14ac:dyDescent="0.2">
      <c r="A32" s="13">
        <v>41883</v>
      </c>
      <c r="B32" s="14">
        <f>22.675 * CHOOSE(CONTROL!$C$9, $D$9, 100%, $F$9) + CHOOSE(CONTROL!$C$27, 0.0021, 0)</f>
        <v>22.677099999999999</v>
      </c>
      <c r="C32" s="14">
        <f>22.2427 * CHOOSE(CONTROL!$C$9, $D$9, 100%, $F$9) + CHOOSE(CONTROL!$C$27, 0.0021, 0)</f>
        <v>22.244799999999998</v>
      </c>
      <c r="D32" s="14">
        <f>22.2427 * CHOOSE(CONTROL!$C$9, $D$9, 100%, $F$9) + CHOOSE(CONTROL!$C$27, 0.0021, 0)</f>
        <v>22.244799999999998</v>
      </c>
      <c r="E32" s="14">
        <f>22.1061 * CHOOSE(CONTROL!$C$9, $D$9, 100%, $F$9) + CHOOSE(CONTROL!$C$27, 0.0021, 0)</f>
        <v>22.1082</v>
      </c>
      <c r="F32" s="14">
        <f>22.1061 * CHOOSE(CONTROL!$C$9, $D$9, 100%, $F$9) + CHOOSE(CONTROL!$C$27, 0.0021, 0)</f>
        <v>22.1082</v>
      </c>
      <c r="G32" s="14">
        <f>22.3774 * CHOOSE(CONTROL!$C$9, $D$9, 100%, $F$9) + CHOOSE(CONTROL!$C$27, 0.0021, 0)</f>
        <v>22.3795</v>
      </c>
      <c r="H32" s="14">
        <f>22.2427 * CHOOSE(CONTROL!$C$9, $D$9, 100%, $F$9) + CHOOSE(CONTROL!$C$27, 0.0021, 0)</f>
        <v>22.244799999999998</v>
      </c>
      <c r="I32" s="14">
        <f>22.2427 * CHOOSE(CONTROL!$C$9, $D$9, 100%, $F$9) + CHOOSE(CONTROL!$C$27, 0.0021, 0)</f>
        <v>22.244799999999998</v>
      </c>
      <c r="J32" s="14">
        <f>21.8825 * CHOOSE(CONTROL!$C$9, $D$9, 100%, $F$9) + CHOOSE(CONTROL!$C$27, 0.0021, 0)</f>
        <v>21.884599999999999</v>
      </c>
      <c r="K32" s="14">
        <f>22.2427 * CHOOSE(CONTROL!$C$9, $D$9, 100%, $F$9) + CHOOSE(CONTROL!$C$27, 0.0021, 0)</f>
        <v>22.244799999999998</v>
      </c>
      <c r="L32" s="14"/>
      <c r="M32" s="35"/>
      <c r="N32" s="35"/>
      <c r="O32" s="35"/>
      <c r="P32" s="35"/>
      <c r="Q32" s="35"/>
    </row>
    <row r="33" spans="1:17" ht="15" x14ac:dyDescent="0.2">
      <c r="A33" s="13">
        <v>41913</v>
      </c>
      <c r="B33" s="14">
        <f>22.6433 * CHOOSE(CONTROL!$C$9, $D$9, 100%, $F$9) + CHOOSE(CONTROL!$C$27, 0.0021, 0)</f>
        <v>22.645399999999999</v>
      </c>
      <c r="C33" s="14">
        <f>22.211 * CHOOSE(CONTROL!$C$9, $D$9, 100%, $F$9) + CHOOSE(CONTROL!$C$27, 0.0021, 0)</f>
        <v>22.213099999999997</v>
      </c>
      <c r="D33" s="14">
        <f>22.211 * CHOOSE(CONTROL!$C$9, $D$9, 100%, $F$9) + CHOOSE(CONTROL!$C$27, 0.0021, 0)</f>
        <v>22.213099999999997</v>
      </c>
      <c r="E33" s="14">
        <f>22.0744 * CHOOSE(CONTROL!$C$9, $D$9, 100%, $F$9) + CHOOSE(CONTROL!$C$27, 0.0021, 0)</f>
        <v>22.076499999999999</v>
      </c>
      <c r="F33" s="14">
        <f>22.0744 * CHOOSE(CONTROL!$C$9, $D$9, 100%, $F$9) + CHOOSE(CONTROL!$C$27, 0.0021, 0)</f>
        <v>22.076499999999999</v>
      </c>
      <c r="G33" s="14">
        <f>22.3457 * CHOOSE(CONTROL!$C$9, $D$9, 100%, $F$9) + CHOOSE(CONTROL!$C$27, 0.0021, 0)</f>
        <v>22.347799999999999</v>
      </c>
      <c r="H33" s="14">
        <f>22.211 * CHOOSE(CONTROL!$C$9, $D$9, 100%, $F$9) + CHOOSE(CONTROL!$C$27, 0.0021, 0)</f>
        <v>22.213099999999997</v>
      </c>
      <c r="I33" s="14">
        <f>22.211 * CHOOSE(CONTROL!$C$9, $D$9, 100%, $F$9) + CHOOSE(CONTROL!$C$27, 0.0021, 0)</f>
        <v>22.213099999999997</v>
      </c>
      <c r="J33" s="14">
        <f>21.8508 * CHOOSE(CONTROL!$C$9, $D$9, 100%, $F$9) + CHOOSE(CONTROL!$C$27, 0.0021, 0)</f>
        <v>21.852899999999998</v>
      </c>
      <c r="K33" s="14">
        <f>22.211 * CHOOSE(CONTROL!$C$9, $D$9, 100%, $F$9) + CHOOSE(CONTROL!$C$27, 0.0021, 0)</f>
        <v>22.213099999999997</v>
      </c>
      <c r="L33" s="14"/>
      <c r="M33" s="35"/>
      <c r="N33" s="35"/>
      <c r="O33" s="35"/>
      <c r="P33" s="35"/>
      <c r="Q33" s="35"/>
    </row>
    <row r="34" spans="1:17" ht="15" x14ac:dyDescent="0.2">
      <c r="A34" s="13">
        <v>41944</v>
      </c>
      <c r="B34" s="14">
        <f>22.6044 * CHOOSE(CONTROL!$C$9, $D$9, 100%, $F$9) + CHOOSE(CONTROL!$C$27, 0.0021, 0)</f>
        <v>22.606499999999997</v>
      </c>
      <c r="C34" s="14">
        <f>22.1721 * CHOOSE(CONTROL!$C$9, $D$9, 100%, $F$9) + CHOOSE(CONTROL!$C$27, 0.0021, 0)</f>
        <v>22.174199999999999</v>
      </c>
      <c r="D34" s="14">
        <f>22.1721 * CHOOSE(CONTROL!$C$9, $D$9, 100%, $F$9) + CHOOSE(CONTROL!$C$27, 0.0021, 0)</f>
        <v>22.174199999999999</v>
      </c>
      <c r="E34" s="14">
        <f>22.0355 * CHOOSE(CONTROL!$C$9, $D$9, 100%, $F$9) + CHOOSE(CONTROL!$C$27, 0.0021, 0)</f>
        <v>22.037599999999998</v>
      </c>
      <c r="F34" s="14">
        <f>22.0355 * CHOOSE(CONTROL!$C$9, $D$9, 100%, $F$9) + CHOOSE(CONTROL!$C$27, 0.0021, 0)</f>
        <v>22.037599999999998</v>
      </c>
      <c r="G34" s="14">
        <f>22.3068 * CHOOSE(CONTROL!$C$9, $D$9, 100%, $F$9) + CHOOSE(CONTROL!$C$27, 0.0021, 0)</f>
        <v>22.308899999999998</v>
      </c>
      <c r="H34" s="14">
        <f>22.1721 * CHOOSE(CONTROL!$C$9, $D$9, 100%, $F$9) + CHOOSE(CONTROL!$C$27, 0.0021, 0)</f>
        <v>22.174199999999999</v>
      </c>
      <c r="I34" s="14">
        <f>22.1721 * CHOOSE(CONTROL!$C$9, $D$9, 100%, $F$9) + CHOOSE(CONTROL!$C$27, 0.0021, 0)</f>
        <v>22.174199999999999</v>
      </c>
      <c r="J34" s="14">
        <f>21.8119 * CHOOSE(CONTROL!$C$9, $D$9, 100%, $F$9) + CHOOSE(CONTROL!$C$27, 0.0021, 0)</f>
        <v>21.814</v>
      </c>
      <c r="K34" s="14">
        <f>22.1721 * CHOOSE(CONTROL!$C$9, $D$9, 100%, $F$9) + CHOOSE(CONTROL!$C$27, 0.0021, 0)</f>
        <v>22.174199999999999</v>
      </c>
      <c r="L34" s="14"/>
      <c r="M34" s="35"/>
      <c r="N34" s="35"/>
      <c r="O34" s="35"/>
      <c r="P34" s="35"/>
      <c r="Q34" s="35"/>
    </row>
    <row r="35" spans="1:17" ht="15" x14ac:dyDescent="0.2">
      <c r="A35" s="13">
        <v>41974</v>
      </c>
      <c r="B35" s="14">
        <f>22.5583 * CHOOSE(CONTROL!$C$9, $D$9, 100%, $F$9) + CHOOSE(CONTROL!$C$27, 0.0021, 0)</f>
        <v>22.560399999999998</v>
      </c>
      <c r="C35" s="14">
        <f>22.126 * CHOOSE(CONTROL!$C$9, $D$9, 100%, $F$9) + CHOOSE(CONTROL!$C$27, 0.0021, 0)</f>
        <v>22.1281</v>
      </c>
      <c r="D35" s="14">
        <f>22.126 * CHOOSE(CONTROL!$C$9, $D$9, 100%, $F$9) + CHOOSE(CONTROL!$C$27, 0.0021, 0)</f>
        <v>22.1281</v>
      </c>
      <c r="E35" s="14">
        <f>21.9893 * CHOOSE(CONTROL!$C$9, $D$9, 100%, $F$9) + CHOOSE(CONTROL!$C$27, 0.0021, 0)</f>
        <v>21.991399999999999</v>
      </c>
      <c r="F35" s="14">
        <f>21.9893 * CHOOSE(CONTROL!$C$9, $D$9, 100%, $F$9) + CHOOSE(CONTROL!$C$27, 0.0021, 0)</f>
        <v>21.991399999999999</v>
      </c>
      <c r="G35" s="14">
        <f>22.2607 * CHOOSE(CONTROL!$C$9, $D$9, 100%, $F$9) + CHOOSE(CONTROL!$C$27, 0.0021, 0)</f>
        <v>22.262799999999999</v>
      </c>
      <c r="H35" s="14">
        <f>22.126 * CHOOSE(CONTROL!$C$9, $D$9, 100%, $F$9) + CHOOSE(CONTROL!$C$27, 0.0021, 0)</f>
        <v>22.1281</v>
      </c>
      <c r="I35" s="14">
        <f>22.126 * CHOOSE(CONTROL!$C$9, $D$9, 100%, $F$9) + CHOOSE(CONTROL!$C$27, 0.0021, 0)</f>
        <v>22.1281</v>
      </c>
      <c r="J35" s="14">
        <f>21.7658 * CHOOSE(CONTROL!$C$9, $D$9, 100%, $F$9) + CHOOSE(CONTROL!$C$27, 0.0021, 0)</f>
        <v>21.767899999999997</v>
      </c>
      <c r="K35" s="14">
        <f>22.126 * CHOOSE(CONTROL!$C$9, $D$9, 100%, $F$9) + CHOOSE(CONTROL!$C$27, 0.0021, 0)</f>
        <v>22.1281</v>
      </c>
      <c r="L35" s="14"/>
      <c r="M35" s="35"/>
      <c r="N35" s="35"/>
      <c r="O35" s="35"/>
      <c r="P35" s="35"/>
      <c r="Q35" s="35"/>
    </row>
    <row r="36" spans="1:17" ht="15" x14ac:dyDescent="0.2">
      <c r="A36" s="13">
        <v>42005</v>
      </c>
      <c r="B36" s="14">
        <f>22.533 * CHOOSE(CONTROL!$C$9, $D$9, 100%, $F$9) + CHOOSE(CONTROL!$C$27, 0.0021, 0)</f>
        <v>22.5351</v>
      </c>
      <c r="C36" s="14">
        <f>22.1008 * CHOOSE(CONTROL!$C$9, $D$9, 100%, $F$9) + CHOOSE(CONTROL!$C$27, 0.0021, 0)</f>
        <v>22.102899999999998</v>
      </c>
      <c r="D36" s="14">
        <f>22.1008 * CHOOSE(CONTROL!$C$9, $D$9, 100%, $F$9) + CHOOSE(CONTROL!$C$27, 0.0021, 0)</f>
        <v>22.102899999999998</v>
      </c>
      <c r="E36" s="14">
        <f>21.9641 * CHOOSE(CONTROL!$C$9, $D$9, 100%, $F$9) + CHOOSE(CONTROL!$C$27, 0.0021, 0)</f>
        <v>21.966199999999997</v>
      </c>
      <c r="F36" s="14">
        <f>21.9641 * CHOOSE(CONTROL!$C$9, $D$9, 100%, $F$9) + CHOOSE(CONTROL!$C$27, 0.0021, 0)</f>
        <v>21.966199999999997</v>
      </c>
      <c r="G36" s="14">
        <f>22.2355 * CHOOSE(CONTROL!$C$9, $D$9, 100%, $F$9) + CHOOSE(CONTROL!$C$27, 0.0021, 0)</f>
        <v>22.237599999999997</v>
      </c>
      <c r="H36" s="14">
        <f>22.1008 * CHOOSE(CONTROL!$C$9, $D$9, 100%, $F$9) + CHOOSE(CONTROL!$C$27, 0.0021, 0)</f>
        <v>22.102899999999998</v>
      </c>
      <c r="I36" s="14">
        <f>22.1008 * CHOOSE(CONTROL!$C$9, $D$9, 100%, $F$9) + CHOOSE(CONTROL!$C$27, 0.0021, 0)</f>
        <v>22.102899999999998</v>
      </c>
      <c r="J36" s="14">
        <f>22.1008 * CHOOSE(CONTROL!$C$9, $D$9, 100%, $F$9) + CHOOSE(CONTROL!$C$27, 0.0021, 0)</f>
        <v>22.102899999999998</v>
      </c>
      <c r="K36" s="14">
        <f>22.1008 * CHOOSE(CONTROL!$C$9, $D$9, 100%, $F$9) + CHOOSE(CONTROL!$C$27, 0.0021, 0)</f>
        <v>22.102899999999998</v>
      </c>
      <c r="L36" s="14"/>
      <c r="M36" s="35"/>
      <c r="N36" s="35"/>
      <c r="O36" s="35"/>
      <c r="P36" s="35"/>
      <c r="Q36" s="35"/>
    </row>
    <row r="37" spans="1:17" ht="15" x14ac:dyDescent="0.2">
      <c r="A37" s="13">
        <v>42036</v>
      </c>
      <c r="B37" s="14">
        <f>22.5042 * CHOOSE(CONTROL!$C$9, $D$9, 100%, $F$9) + CHOOSE(CONTROL!$C$27, 0.0021, 0)</f>
        <v>22.5063</v>
      </c>
      <c r="C37" s="14">
        <f>22.072 * CHOOSE(CONTROL!$C$9, $D$9, 100%, $F$9) + CHOOSE(CONTROL!$C$27, 0.0021, 0)</f>
        <v>22.074099999999998</v>
      </c>
      <c r="D37" s="14">
        <f>22.072 * CHOOSE(CONTROL!$C$9, $D$9, 100%, $F$9) + CHOOSE(CONTROL!$C$27, 0.0021, 0)</f>
        <v>22.074099999999998</v>
      </c>
      <c r="E37" s="14">
        <f>21.9353 * CHOOSE(CONTROL!$C$9, $D$9, 100%, $F$9) + CHOOSE(CONTROL!$C$27, 0.0021, 0)</f>
        <v>21.9374</v>
      </c>
      <c r="F37" s="14">
        <f>21.9353 * CHOOSE(CONTROL!$C$9, $D$9, 100%, $F$9) + CHOOSE(CONTROL!$C$27, 0.0021, 0)</f>
        <v>21.9374</v>
      </c>
      <c r="G37" s="14">
        <f>22.2067 * CHOOSE(CONTROL!$C$9, $D$9, 100%, $F$9) + CHOOSE(CONTROL!$C$27, 0.0021, 0)</f>
        <v>22.2088</v>
      </c>
      <c r="H37" s="14">
        <f>22.072 * CHOOSE(CONTROL!$C$9, $D$9, 100%, $F$9) + CHOOSE(CONTROL!$C$27, 0.0021, 0)</f>
        <v>22.074099999999998</v>
      </c>
      <c r="I37" s="14">
        <f>22.072 * CHOOSE(CONTROL!$C$9, $D$9, 100%, $F$9) + CHOOSE(CONTROL!$C$27, 0.0021, 0)</f>
        <v>22.074099999999998</v>
      </c>
      <c r="J37" s="14">
        <f>22.072 * CHOOSE(CONTROL!$C$9, $D$9, 100%, $F$9) + CHOOSE(CONTROL!$C$27, 0.0021, 0)</f>
        <v>22.074099999999998</v>
      </c>
      <c r="K37" s="14">
        <f>22.072 * CHOOSE(CONTROL!$C$9, $D$9, 100%, $F$9) + CHOOSE(CONTROL!$C$27, 0.0021, 0)</f>
        <v>22.074099999999998</v>
      </c>
      <c r="L37" s="14"/>
      <c r="M37" s="35"/>
      <c r="N37" s="35"/>
      <c r="O37" s="35"/>
      <c r="P37" s="35"/>
      <c r="Q37" s="35"/>
    </row>
    <row r="38" spans="1:17" ht="15" x14ac:dyDescent="0.2">
      <c r="A38" s="13">
        <v>42064</v>
      </c>
      <c r="B38" s="14">
        <f>22.4646 * CHOOSE(CONTROL!$C$9, $D$9, 100%, $F$9) + CHOOSE(CONTROL!$C$27, 0.0021, 0)</f>
        <v>22.466699999999999</v>
      </c>
      <c r="C38" s="14">
        <f>22.0323 * CHOOSE(CONTROL!$C$9, $D$9, 100%, $F$9) + CHOOSE(CONTROL!$C$27, 0.0021, 0)</f>
        <v>22.034399999999998</v>
      </c>
      <c r="D38" s="14">
        <f>22.0323 * CHOOSE(CONTROL!$C$9, $D$9, 100%, $F$9) + CHOOSE(CONTROL!$C$27, 0.0021, 0)</f>
        <v>22.034399999999998</v>
      </c>
      <c r="E38" s="14">
        <f>21.8957 * CHOOSE(CONTROL!$C$9, $D$9, 100%, $F$9) + CHOOSE(CONTROL!$C$27, 0.0021, 0)</f>
        <v>21.8978</v>
      </c>
      <c r="F38" s="14">
        <f>21.8957 * CHOOSE(CONTROL!$C$9, $D$9, 100%, $F$9) + CHOOSE(CONTROL!$C$27, 0.0021, 0)</f>
        <v>21.8978</v>
      </c>
      <c r="G38" s="14">
        <f>22.1671 * CHOOSE(CONTROL!$C$9, $D$9, 100%, $F$9) + CHOOSE(CONTROL!$C$27, 0.0021, 0)</f>
        <v>22.1692</v>
      </c>
      <c r="H38" s="14">
        <f>22.0323 * CHOOSE(CONTROL!$C$9, $D$9, 100%, $F$9) + CHOOSE(CONTROL!$C$27, 0.0021, 0)</f>
        <v>22.034399999999998</v>
      </c>
      <c r="I38" s="14">
        <f>22.0323 * CHOOSE(CONTROL!$C$9, $D$9, 100%, $F$9) + CHOOSE(CONTROL!$C$27, 0.0021, 0)</f>
        <v>22.034399999999998</v>
      </c>
      <c r="J38" s="14">
        <f>22.0323 * CHOOSE(CONTROL!$C$9, $D$9, 100%, $F$9) + CHOOSE(CONTROL!$C$27, 0.0021, 0)</f>
        <v>22.034399999999998</v>
      </c>
      <c r="K38" s="14">
        <f>22.0323 * CHOOSE(CONTROL!$C$9, $D$9, 100%, $F$9) + CHOOSE(CONTROL!$C$27, 0.0021, 0)</f>
        <v>22.034399999999998</v>
      </c>
      <c r="L38" s="14"/>
      <c r="M38" s="35"/>
      <c r="N38" s="35"/>
      <c r="O38" s="35"/>
      <c r="P38" s="35"/>
      <c r="Q38" s="35"/>
    </row>
    <row r="39" spans="1:17" ht="15" x14ac:dyDescent="0.2">
      <c r="A39" s="13">
        <v>42095</v>
      </c>
      <c r="B39" s="14">
        <f>22.3637 * CHOOSE(CONTROL!$C$9, $D$9, 100%, $F$9) + CHOOSE(CONTROL!$C$27, 0.0021, 0)</f>
        <v>22.3658</v>
      </c>
      <c r="C39" s="14">
        <f>21.9315 * CHOOSE(CONTROL!$C$9, $D$9, 100%, $F$9) + CHOOSE(CONTROL!$C$27, 0.0021, 0)</f>
        <v>21.933599999999998</v>
      </c>
      <c r="D39" s="14">
        <f>21.9315 * CHOOSE(CONTROL!$C$9, $D$9, 100%, $F$9) + CHOOSE(CONTROL!$C$27, 0.0021, 0)</f>
        <v>21.933599999999998</v>
      </c>
      <c r="E39" s="14">
        <f>21.7948 * CHOOSE(CONTROL!$C$9, $D$9, 100%, $F$9) + CHOOSE(CONTROL!$C$27, 0.0021, 0)</f>
        <v>21.796899999999997</v>
      </c>
      <c r="F39" s="14">
        <f>21.7948 * CHOOSE(CONTROL!$C$9, $D$9, 100%, $F$9) + CHOOSE(CONTROL!$C$27, 0.0021, 0)</f>
        <v>21.796899999999997</v>
      </c>
      <c r="G39" s="14">
        <f>22.0662 * CHOOSE(CONTROL!$C$9, $D$9, 100%, $F$9) + CHOOSE(CONTROL!$C$27, 0.0021, 0)</f>
        <v>22.068299999999997</v>
      </c>
      <c r="H39" s="14">
        <f>21.9315 * CHOOSE(CONTROL!$C$9, $D$9, 100%, $F$9) + CHOOSE(CONTROL!$C$27, 0.0021, 0)</f>
        <v>21.933599999999998</v>
      </c>
      <c r="I39" s="14">
        <f>21.9315 * CHOOSE(CONTROL!$C$9, $D$9, 100%, $F$9) + CHOOSE(CONTROL!$C$27, 0.0021, 0)</f>
        <v>21.933599999999998</v>
      </c>
      <c r="J39" s="14">
        <f>21.9315 * CHOOSE(CONTROL!$C$9, $D$9, 100%, $F$9) + CHOOSE(CONTROL!$C$27, 0.0021, 0)</f>
        <v>21.933599999999998</v>
      </c>
      <c r="K39" s="14">
        <f>21.9315 * CHOOSE(CONTROL!$C$9, $D$9, 100%, $F$9) + CHOOSE(CONTROL!$C$27, 0.0021, 0)</f>
        <v>21.933599999999998</v>
      </c>
      <c r="L39" s="14"/>
      <c r="M39" s="35"/>
      <c r="N39" s="35"/>
      <c r="O39" s="35"/>
      <c r="P39" s="35"/>
      <c r="Q39" s="35"/>
    </row>
    <row r="40" spans="1:17" ht="15" x14ac:dyDescent="0.2">
      <c r="A40" s="13">
        <v>42125</v>
      </c>
      <c r="B40" s="14">
        <f>22.2629 * CHOOSE(CONTROL!$C$9, $D$9, 100%, $F$9) + CHOOSE(CONTROL!$C$27, 0.0021, 0)</f>
        <v>22.264999999999997</v>
      </c>
      <c r="C40" s="14">
        <f>21.8306 * CHOOSE(CONTROL!$C$9, $D$9, 100%, $F$9) + CHOOSE(CONTROL!$C$27, 0.0021, 0)</f>
        <v>21.832699999999999</v>
      </c>
      <c r="D40" s="14">
        <f>21.8306 * CHOOSE(CONTROL!$C$9, $D$9, 100%, $F$9) + CHOOSE(CONTROL!$C$27, 0.0021, 0)</f>
        <v>21.832699999999999</v>
      </c>
      <c r="E40" s="14">
        <f>21.694 * CHOOSE(CONTROL!$C$9, $D$9, 100%, $F$9) + CHOOSE(CONTROL!$C$27, 0.0021, 0)</f>
        <v>21.696099999999998</v>
      </c>
      <c r="F40" s="14">
        <f>21.694 * CHOOSE(CONTROL!$C$9, $D$9, 100%, $F$9) + CHOOSE(CONTROL!$C$27, 0.0021, 0)</f>
        <v>21.696099999999998</v>
      </c>
      <c r="G40" s="14">
        <f>21.9654 * CHOOSE(CONTROL!$C$9, $D$9, 100%, $F$9) + CHOOSE(CONTROL!$C$27, 0.0021, 0)</f>
        <v>21.967499999999998</v>
      </c>
      <c r="H40" s="14">
        <f>21.8306 * CHOOSE(CONTROL!$C$9, $D$9, 100%, $F$9) + CHOOSE(CONTROL!$C$27, 0.0021, 0)</f>
        <v>21.832699999999999</v>
      </c>
      <c r="I40" s="14">
        <f>21.8306 * CHOOSE(CONTROL!$C$9, $D$9, 100%, $F$9) + CHOOSE(CONTROL!$C$27, 0.0021, 0)</f>
        <v>21.832699999999999</v>
      </c>
      <c r="J40" s="14">
        <f>21.8306 * CHOOSE(CONTROL!$C$9, $D$9, 100%, $F$9) + CHOOSE(CONTROL!$C$27, 0.0021, 0)</f>
        <v>21.832699999999999</v>
      </c>
      <c r="K40" s="14">
        <f>21.8306 * CHOOSE(CONTROL!$C$9, $D$9, 100%, $F$9) + CHOOSE(CONTROL!$C$27, 0.0021, 0)</f>
        <v>21.832699999999999</v>
      </c>
      <c r="L40" s="14"/>
      <c r="M40" s="35"/>
      <c r="N40" s="35"/>
      <c r="O40" s="35"/>
      <c r="P40" s="35"/>
      <c r="Q40" s="35"/>
    </row>
    <row r="41" spans="1:17" ht="15" x14ac:dyDescent="0.2">
      <c r="A41" s="13">
        <v>42156</v>
      </c>
      <c r="B41" s="14">
        <f>22.162 * CHOOSE(CONTROL!$C$9, $D$9, 100%, $F$9) + CHOOSE(CONTROL!$C$27, 0.0021, 0)</f>
        <v>22.164099999999998</v>
      </c>
      <c r="C41" s="14">
        <f>21.7298 * CHOOSE(CONTROL!$C$9, $D$9, 100%, $F$9) + CHOOSE(CONTROL!$C$27, 0.0021, 0)</f>
        <v>21.7319</v>
      </c>
      <c r="D41" s="14">
        <f>21.7298 * CHOOSE(CONTROL!$C$9, $D$9, 100%, $F$9) + CHOOSE(CONTROL!$C$27, 0.0021, 0)</f>
        <v>21.7319</v>
      </c>
      <c r="E41" s="14">
        <f>21.5931 * CHOOSE(CONTROL!$C$9, $D$9, 100%, $F$9) + CHOOSE(CONTROL!$C$27, 0.0021, 0)</f>
        <v>21.595199999999998</v>
      </c>
      <c r="F41" s="14">
        <f>21.5931 * CHOOSE(CONTROL!$C$9, $D$9, 100%, $F$9) + CHOOSE(CONTROL!$C$27, 0.0021, 0)</f>
        <v>21.595199999999998</v>
      </c>
      <c r="G41" s="14">
        <f>21.8645 * CHOOSE(CONTROL!$C$9, $D$9, 100%, $F$9) + CHOOSE(CONTROL!$C$27, 0.0021, 0)</f>
        <v>21.866599999999998</v>
      </c>
      <c r="H41" s="14">
        <f>21.7298 * CHOOSE(CONTROL!$C$9, $D$9, 100%, $F$9) + CHOOSE(CONTROL!$C$27, 0.0021, 0)</f>
        <v>21.7319</v>
      </c>
      <c r="I41" s="14">
        <f>21.7298 * CHOOSE(CONTROL!$C$9, $D$9, 100%, $F$9) + CHOOSE(CONTROL!$C$27, 0.0021, 0)</f>
        <v>21.7319</v>
      </c>
      <c r="J41" s="14">
        <f>21.7298 * CHOOSE(CONTROL!$C$9, $D$9, 100%, $F$9) + CHOOSE(CONTROL!$C$27, 0.0021, 0)</f>
        <v>21.7319</v>
      </c>
      <c r="K41" s="14">
        <f>21.7298 * CHOOSE(CONTROL!$C$9, $D$9, 100%, $F$9) + CHOOSE(CONTROL!$C$27, 0.0021, 0)</f>
        <v>21.7319</v>
      </c>
      <c r="L41" s="14"/>
      <c r="M41" s="35"/>
      <c r="N41" s="35"/>
      <c r="O41" s="35"/>
      <c r="P41" s="35"/>
      <c r="Q41" s="35"/>
    </row>
    <row r="42" spans="1:17" ht="15" x14ac:dyDescent="0.2">
      <c r="A42" s="13">
        <v>42186</v>
      </c>
      <c r="B42" s="14">
        <f>22.1296 * CHOOSE(CONTROL!$C$9, $D$9, 100%, $F$9) + CHOOSE(CONTROL!$C$27, 0.0021, 0)</f>
        <v>22.131699999999999</v>
      </c>
      <c r="C42" s="14">
        <f>21.6974 * CHOOSE(CONTROL!$C$9, $D$9, 100%, $F$9) + CHOOSE(CONTROL!$C$27, 0.0021, 0)</f>
        <v>21.699499999999997</v>
      </c>
      <c r="D42" s="14">
        <f>21.6974 * CHOOSE(CONTROL!$C$9, $D$9, 100%, $F$9) + CHOOSE(CONTROL!$C$27, 0.0021, 0)</f>
        <v>21.699499999999997</v>
      </c>
      <c r="E42" s="14">
        <f>21.5607 * CHOOSE(CONTROL!$C$9, $D$9, 100%, $F$9) + CHOOSE(CONTROL!$C$27, 0.0021, 0)</f>
        <v>21.562799999999999</v>
      </c>
      <c r="F42" s="14">
        <f>21.5607 * CHOOSE(CONTROL!$C$9, $D$9, 100%, $F$9) + CHOOSE(CONTROL!$C$27, 0.0021, 0)</f>
        <v>21.562799999999999</v>
      </c>
      <c r="G42" s="14">
        <f>21.8321 * CHOOSE(CONTROL!$C$9, $D$9, 100%, $F$9) + CHOOSE(CONTROL!$C$27, 0.0021, 0)</f>
        <v>21.834199999999999</v>
      </c>
      <c r="H42" s="14">
        <f>21.6974 * CHOOSE(CONTROL!$C$9, $D$9, 100%, $F$9) + CHOOSE(CONTROL!$C$27, 0.0021, 0)</f>
        <v>21.699499999999997</v>
      </c>
      <c r="I42" s="14">
        <f>21.6974 * CHOOSE(CONTROL!$C$9, $D$9, 100%, $F$9) + CHOOSE(CONTROL!$C$27, 0.0021, 0)</f>
        <v>21.699499999999997</v>
      </c>
      <c r="J42" s="14">
        <f>21.6974 * CHOOSE(CONTROL!$C$9, $D$9, 100%, $F$9) + CHOOSE(CONTROL!$C$27, 0.0021, 0)</f>
        <v>21.699499999999997</v>
      </c>
      <c r="K42" s="14">
        <f>21.6974 * CHOOSE(CONTROL!$C$9, $D$9, 100%, $F$9) + CHOOSE(CONTROL!$C$27, 0.0021, 0)</f>
        <v>21.699499999999997</v>
      </c>
      <c r="L42" s="14"/>
      <c r="M42" s="35"/>
      <c r="N42" s="35"/>
      <c r="O42" s="35"/>
      <c r="P42" s="35"/>
      <c r="Q42" s="35"/>
    </row>
    <row r="43" spans="1:17" ht="15" x14ac:dyDescent="0.2">
      <c r="A43" s="13">
        <v>42217</v>
      </c>
      <c r="B43" s="14">
        <f>22.1044 * CHOOSE(CONTROL!$C$9, $D$9, 100%, $F$9) + CHOOSE(CONTROL!$C$27, 0.0021, 0)</f>
        <v>22.106499999999997</v>
      </c>
      <c r="C43" s="14">
        <f>21.6721 * CHOOSE(CONTROL!$C$9, $D$9, 100%, $F$9) + CHOOSE(CONTROL!$C$27, 0.0021, 0)</f>
        <v>21.674199999999999</v>
      </c>
      <c r="D43" s="14">
        <f>21.6721 * CHOOSE(CONTROL!$C$9, $D$9, 100%, $F$9) + CHOOSE(CONTROL!$C$27, 0.0021, 0)</f>
        <v>21.674199999999999</v>
      </c>
      <c r="E43" s="14">
        <f>21.5355 * CHOOSE(CONTROL!$C$9, $D$9, 100%, $F$9) + CHOOSE(CONTROL!$C$27, 0.0021, 0)</f>
        <v>21.537599999999998</v>
      </c>
      <c r="F43" s="14">
        <f>21.5355 * CHOOSE(CONTROL!$C$9, $D$9, 100%, $F$9) + CHOOSE(CONTROL!$C$27, 0.0021, 0)</f>
        <v>21.537599999999998</v>
      </c>
      <c r="G43" s="14">
        <f>21.8069 * CHOOSE(CONTROL!$C$9, $D$9, 100%, $F$9) + CHOOSE(CONTROL!$C$27, 0.0021, 0)</f>
        <v>21.808999999999997</v>
      </c>
      <c r="H43" s="14">
        <f>21.6721 * CHOOSE(CONTROL!$C$9, $D$9, 100%, $F$9) + CHOOSE(CONTROL!$C$27, 0.0021, 0)</f>
        <v>21.674199999999999</v>
      </c>
      <c r="I43" s="14">
        <f>21.6721 * CHOOSE(CONTROL!$C$9, $D$9, 100%, $F$9) + CHOOSE(CONTROL!$C$27, 0.0021, 0)</f>
        <v>21.674199999999999</v>
      </c>
      <c r="J43" s="14">
        <f>21.6721 * CHOOSE(CONTROL!$C$9, $D$9, 100%, $F$9) + CHOOSE(CONTROL!$C$27, 0.0021, 0)</f>
        <v>21.674199999999999</v>
      </c>
      <c r="K43" s="14">
        <f>21.6721 * CHOOSE(CONTROL!$C$9, $D$9, 100%, $F$9) + CHOOSE(CONTROL!$C$27, 0.0021, 0)</f>
        <v>21.674199999999999</v>
      </c>
      <c r="L43" s="14"/>
      <c r="M43" s="35"/>
      <c r="N43" s="35"/>
      <c r="O43" s="35"/>
      <c r="P43" s="35"/>
      <c r="Q43" s="35"/>
    </row>
    <row r="44" spans="1:17" ht="15" x14ac:dyDescent="0.2">
      <c r="A44" s="13">
        <v>42248</v>
      </c>
      <c r="B44" s="14">
        <f>22.0792 * CHOOSE(CONTROL!$C$9, $D$9, 100%, $F$9) + CHOOSE(CONTROL!$C$27, 0.0021, 0)</f>
        <v>22.081299999999999</v>
      </c>
      <c r="C44" s="14">
        <f>21.6469 * CHOOSE(CONTROL!$C$9, $D$9, 100%, $F$9) + CHOOSE(CONTROL!$C$27, 0.0021, 0)</f>
        <v>21.648999999999997</v>
      </c>
      <c r="D44" s="14">
        <f>21.6469 * CHOOSE(CONTROL!$C$9, $D$9, 100%, $F$9) + CHOOSE(CONTROL!$C$27, 0.0021, 0)</f>
        <v>21.648999999999997</v>
      </c>
      <c r="E44" s="14">
        <f>21.5103 * CHOOSE(CONTROL!$C$9, $D$9, 100%, $F$9) + CHOOSE(CONTROL!$C$27, 0.0021, 0)</f>
        <v>21.5124</v>
      </c>
      <c r="F44" s="14">
        <f>21.5103 * CHOOSE(CONTROL!$C$9, $D$9, 100%, $F$9) + CHOOSE(CONTROL!$C$27, 0.0021, 0)</f>
        <v>21.5124</v>
      </c>
      <c r="G44" s="14">
        <f>21.7816 * CHOOSE(CONTROL!$C$9, $D$9, 100%, $F$9) + CHOOSE(CONTROL!$C$27, 0.0021, 0)</f>
        <v>21.7837</v>
      </c>
      <c r="H44" s="14">
        <f>21.6469 * CHOOSE(CONTROL!$C$9, $D$9, 100%, $F$9) + CHOOSE(CONTROL!$C$27, 0.0021, 0)</f>
        <v>21.648999999999997</v>
      </c>
      <c r="I44" s="14">
        <f>21.6469 * CHOOSE(CONTROL!$C$9, $D$9, 100%, $F$9) + CHOOSE(CONTROL!$C$27, 0.0021, 0)</f>
        <v>21.648999999999997</v>
      </c>
      <c r="J44" s="14">
        <f>21.6469 * CHOOSE(CONTROL!$C$9, $D$9, 100%, $F$9) + CHOOSE(CONTROL!$C$27, 0.0021, 0)</f>
        <v>21.648999999999997</v>
      </c>
      <c r="K44" s="14">
        <f>21.6469 * CHOOSE(CONTROL!$C$9, $D$9, 100%, $F$9) + CHOOSE(CONTROL!$C$27, 0.0021, 0)</f>
        <v>21.648999999999997</v>
      </c>
      <c r="L44" s="14"/>
      <c r="M44" s="35"/>
      <c r="N44" s="35"/>
      <c r="O44" s="35"/>
      <c r="P44" s="35"/>
      <c r="Q44" s="35"/>
    </row>
    <row r="45" spans="1:17" ht="15" x14ac:dyDescent="0.2">
      <c r="A45" s="13">
        <v>42278</v>
      </c>
      <c r="B45" s="14">
        <f>22.0504 * CHOOSE(CONTROL!$C$9, $D$9, 100%, $F$9) + CHOOSE(CONTROL!$C$27, 0.0021, 0)</f>
        <v>22.052499999999998</v>
      </c>
      <c r="C45" s="14">
        <f>21.6181 * CHOOSE(CONTROL!$C$9, $D$9, 100%, $F$9) + CHOOSE(CONTROL!$C$27, 0.0021, 0)</f>
        <v>21.620199999999997</v>
      </c>
      <c r="D45" s="14">
        <f>21.6181 * CHOOSE(CONTROL!$C$9, $D$9, 100%, $F$9) + CHOOSE(CONTROL!$C$27, 0.0021, 0)</f>
        <v>21.620199999999997</v>
      </c>
      <c r="E45" s="14">
        <f>21.4815 * CHOOSE(CONTROL!$C$9, $D$9, 100%, $F$9) + CHOOSE(CONTROL!$C$27, 0.0021, 0)</f>
        <v>21.483599999999999</v>
      </c>
      <c r="F45" s="14">
        <f>21.4815 * CHOOSE(CONTROL!$C$9, $D$9, 100%, $F$9) + CHOOSE(CONTROL!$C$27, 0.0021, 0)</f>
        <v>21.483599999999999</v>
      </c>
      <c r="G45" s="14">
        <f>21.7528 * CHOOSE(CONTROL!$C$9, $D$9, 100%, $F$9) + CHOOSE(CONTROL!$C$27, 0.0021, 0)</f>
        <v>21.754899999999999</v>
      </c>
      <c r="H45" s="14">
        <f>21.6181 * CHOOSE(CONTROL!$C$9, $D$9, 100%, $F$9) + CHOOSE(CONTROL!$C$27, 0.0021, 0)</f>
        <v>21.620199999999997</v>
      </c>
      <c r="I45" s="14">
        <f>21.6181 * CHOOSE(CONTROL!$C$9, $D$9, 100%, $F$9) + CHOOSE(CONTROL!$C$27, 0.0021, 0)</f>
        <v>21.620199999999997</v>
      </c>
      <c r="J45" s="14">
        <f>21.6181 * CHOOSE(CONTROL!$C$9, $D$9, 100%, $F$9) + CHOOSE(CONTROL!$C$27, 0.0021, 0)</f>
        <v>21.620199999999997</v>
      </c>
      <c r="K45" s="14">
        <f>21.6181 * CHOOSE(CONTROL!$C$9, $D$9, 100%, $F$9) + CHOOSE(CONTROL!$C$27, 0.0021, 0)</f>
        <v>21.620199999999997</v>
      </c>
      <c r="L45" s="14"/>
      <c r="M45" s="35"/>
      <c r="N45" s="35"/>
      <c r="O45" s="35"/>
      <c r="P45" s="35"/>
      <c r="Q45" s="35"/>
    </row>
    <row r="46" spans="1:17" ht="15" x14ac:dyDescent="0.2">
      <c r="A46" s="13">
        <v>42309</v>
      </c>
      <c r="B46" s="14">
        <f>22.0179 * CHOOSE(CONTROL!$C$9, $D$9, 100%, $F$9) + CHOOSE(CONTROL!$C$27, 0.0021, 0)</f>
        <v>22.02</v>
      </c>
      <c r="C46" s="14">
        <f>21.5857 * CHOOSE(CONTROL!$C$9, $D$9, 100%, $F$9) + CHOOSE(CONTROL!$C$27, 0.0021, 0)</f>
        <v>21.587799999999998</v>
      </c>
      <c r="D46" s="14">
        <f>21.5857 * CHOOSE(CONTROL!$C$9, $D$9, 100%, $F$9) + CHOOSE(CONTROL!$C$27, 0.0021, 0)</f>
        <v>21.587799999999998</v>
      </c>
      <c r="E46" s="14">
        <f>21.449 * CHOOSE(CONTROL!$C$9, $D$9, 100%, $F$9) + CHOOSE(CONTROL!$C$27, 0.0021, 0)</f>
        <v>21.4511</v>
      </c>
      <c r="F46" s="14">
        <f>21.449 * CHOOSE(CONTROL!$C$9, $D$9, 100%, $F$9) + CHOOSE(CONTROL!$C$27, 0.0021, 0)</f>
        <v>21.4511</v>
      </c>
      <c r="G46" s="14">
        <f>21.7204 * CHOOSE(CONTROL!$C$9, $D$9, 100%, $F$9) + CHOOSE(CONTROL!$C$27, 0.0021, 0)</f>
        <v>21.7225</v>
      </c>
      <c r="H46" s="14">
        <f>21.5857 * CHOOSE(CONTROL!$C$9, $D$9, 100%, $F$9) + CHOOSE(CONTROL!$C$27, 0.0021, 0)</f>
        <v>21.587799999999998</v>
      </c>
      <c r="I46" s="14">
        <f>21.5857 * CHOOSE(CONTROL!$C$9, $D$9, 100%, $F$9) + CHOOSE(CONTROL!$C$27, 0.0021, 0)</f>
        <v>21.587799999999998</v>
      </c>
      <c r="J46" s="14">
        <f>21.5857 * CHOOSE(CONTROL!$C$9, $D$9, 100%, $F$9) + CHOOSE(CONTROL!$C$27, 0.0021, 0)</f>
        <v>21.587799999999998</v>
      </c>
      <c r="K46" s="14">
        <f>21.5857 * CHOOSE(CONTROL!$C$9, $D$9, 100%, $F$9) + CHOOSE(CONTROL!$C$27, 0.0021, 0)</f>
        <v>21.587799999999998</v>
      </c>
      <c r="L46" s="14"/>
      <c r="M46" s="35"/>
      <c r="N46" s="35"/>
      <c r="O46" s="35"/>
      <c r="P46" s="35"/>
      <c r="Q46" s="35"/>
    </row>
    <row r="47" spans="1:17" ht="15" x14ac:dyDescent="0.2">
      <c r="A47" s="13">
        <v>42339</v>
      </c>
      <c r="B47" s="14">
        <f>21.9819 * CHOOSE(CONTROL!$C$9, $D$9, 100%, $F$9) + CHOOSE(CONTROL!$C$27, 0.0021, 0)</f>
        <v>21.983999999999998</v>
      </c>
      <c r="C47" s="14">
        <f>21.5497 * CHOOSE(CONTROL!$C$9, $D$9, 100%, $F$9) + CHOOSE(CONTROL!$C$27, 0.0021, 0)</f>
        <v>21.5518</v>
      </c>
      <c r="D47" s="14">
        <f>21.5497 * CHOOSE(CONTROL!$C$9, $D$9, 100%, $F$9) + CHOOSE(CONTROL!$C$27, 0.0021, 0)</f>
        <v>21.5518</v>
      </c>
      <c r="E47" s="14">
        <f>21.413 * CHOOSE(CONTROL!$C$9, $D$9, 100%, $F$9) + CHOOSE(CONTROL!$C$27, 0.0021, 0)</f>
        <v>21.415099999999999</v>
      </c>
      <c r="F47" s="14">
        <f>21.413 * CHOOSE(CONTROL!$C$9, $D$9, 100%, $F$9) + CHOOSE(CONTROL!$C$27, 0.0021, 0)</f>
        <v>21.415099999999999</v>
      </c>
      <c r="G47" s="14">
        <f>21.6844 * CHOOSE(CONTROL!$C$9, $D$9, 100%, $F$9) + CHOOSE(CONTROL!$C$27, 0.0021, 0)</f>
        <v>21.686499999999999</v>
      </c>
      <c r="H47" s="14">
        <f>21.5497 * CHOOSE(CONTROL!$C$9, $D$9, 100%, $F$9) + CHOOSE(CONTROL!$C$27, 0.0021, 0)</f>
        <v>21.5518</v>
      </c>
      <c r="I47" s="14">
        <f>21.5497 * CHOOSE(CONTROL!$C$9, $D$9, 100%, $F$9) + CHOOSE(CONTROL!$C$27, 0.0021, 0)</f>
        <v>21.5518</v>
      </c>
      <c r="J47" s="14">
        <f>21.5497 * CHOOSE(CONTROL!$C$9, $D$9, 100%, $F$9) + CHOOSE(CONTROL!$C$27, 0.0021, 0)</f>
        <v>21.5518</v>
      </c>
      <c r="K47" s="14">
        <f>21.5497 * CHOOSE(CONTROL!$C$9, $D$9, 100%, $F$9) + CHOOSE(CONTROL!$C$27, 0.0021, 0)</f>
        <v>21.5518</v>
      </c>
      <c r="L47" s="14"/>
      <c r="M47" s="35"/>
      <c r="N47" s="35"/>
      <c r="O47" s="35"/>
      <c r="P47" s="35"/>
      <c r="Q47" s="35"/>
    </row>
    <row r="48" spans="1:17" ht="15" x14ac:dyDescent="0.2">
      <c r="A48" s="13">
        <v>42370</v>
      </c>
      <c r="B48" s="14">
        <f>24.0653 * CHOOSE(CONTROL!$C$9, $D$9, 100%, $F$9) + CHOOSE(CONTROL!$C$27, 0.0021, 0)</f>
        <v>24.067399999999999</v>
      </c>
      <c r="C48" s="14">
        <f>23.6331 * CHOOSE(CONTROL!$C$9, $D$9, 100%, $F$9) + CHOOSE(CONTROL!$C$27, 0.0021, 0)</f>
        <v>23.635199999999998</v>
      </c>
      <c r="D48" s="14">
        <f>23.6331 * CHOOSE(CONTROL!$C$9, $D$9, 100%, $F$9) + CHOOSE(CONTROL!$C$27, 0.0021, 0)</f>
        <v>23.635199999999998</v>
      </c>
      <c r="E48" s="14">
        <f>23.4964 * CHOOSE(CONTROL!$C$9, $D$9, 100%, $F$9) + CHOOSE(CONTROL!$C$27, 0.0021, 0)</f>
        <v>23.4985</v>
      </c>
      <c r="F48" s="14">
        <f>23.4964 * CHOOSE(CONTROL!$C$9, $D$9, 100%, $F$9) + CHOOSE(CONTROL!$C$27, 0.0021, 0)</f>
        <v>23.4985</v>
      </c>
      <c r="G48" s="14">
        <f>23.7678 * CHOOSE(CONTROL!$C$9, $D$9, 100%, $F$9) + CHOOSE(CONTROL!$C$27, 0.0021, 0)</f>
        <v>23.7699</v>
      </c>
      <c r="H48" s="14">
        <f>23.6331 * CHOOSE(CONTROL!$C$9, $D$9, 100%, $F$9) + CHOOSE(CONTROL!$C$27, 0.0021, 0)</f>
        <v>23.635199999999998</v>
      </c>
      <c r="I48" s="14">
        <f>23.6331 * CHOOSE(CONTROL!$C$9, $D$9, 100%, $F$9) + CHOOSE(CONTROL!$C$27, 0.0021, 0)</f>
        <v>23.635199999999998</v>
      </c>
      <c r="J48" s="14">
        <f>23.6331 * CHOOSE(CONTROL!$C$9, $D$9, 100%, $F$9) + CHOOSE(CONTROL!$C$27, 0.0021, 0)</f>
        <v>23.635199999999998</v>
      </c>
      <c r="K48" s="14">
        <f>23.6331 * CHOOSE(CONTROL!$C$9, $D$9, 100%, $F$9) + CHOOSE(CONTROL!$C$27, 0.0021, 0)</f>
        <v>23.635199999999998</v>
      </c>
      <c r="L48" s="14"/>
    </row>
    <row r="49" spans="1:12" ht="15" x14ac:dyDescent="0.2">
      <c r="A49" s="13">
        <v>42401</v>
      </c>
      <c r="B49" s="14">
        <f>23.4931 * CHOOSE(CONTROL!$C$9, $D$9, 100%, $F$9) + CHOOSE(CONTROL!$C$27, 0.0021, 0)</f>
        <v>23.495199999999997</v>
      </c>
      <c r="C49" s="14">
        <f>23.0608 * CHOOSE(CONTROL!$C$9, $D$9, 100%, $F$9) + CHOOSE(CONTROL!$C$27, 0.0021, 0)</f>
        <v>23.062899999999999</v>
      </c>
      <c r="D49" s="14">
        <f>23.0608 * CHOOSE(CONTROL!$C$9, $D$9, 100%, $F$9) + CHOOSE(CONTROL!$C$27, 0.0021, 0)</f>
        <v>23.062899999999999</v>
      </c>
      <c r="E49" s="14">
        <f>22.9242 * CHOOSE(CONTROL!$C$9, $D$9, 100%, $F$9) + CHOOSE(CONTROL!$C$27, 0.0021, 0)</f>
        <v>22.926299999999998</v>
      </c>
      <c r="F49" s="14">
        <f>22.9242 * CHOOSE(CONTROL!$C$9, $D$9, 100%, $F$9) + CHOOSE(CONTROL!$C$27, 0.0021, 0)</f>
        <v>22.926299999999998</v>
      </c>
      <c r="G49" s="14">
        <f>23.1955 * CHOOSE(CONTROL!$C$9, $D$9, 100%, $F$9) + CHOOSE(CONTROL!$C$27, 0.0021, 0)</f>
        <v>23.197599999999998</v>
      </c>
      <c r="H49" s="14">
        <f>23.0608 * CHOOSE(CONTROL!$C$9, $D$9, 100%, $F$9) + CHOOSE(CONTROL!$C$27, 0.0021, 0)</f>
        <v>23.062899999999999</v>
      </c>
      <c r="I49" s="14">
        <f>23.0608 * CHOOSE(CONTROL!$C$9, $D$9, 100%, $F$9) + CHOOSE(CONTROL!$C$27, 0.0021, 0)</f>
        <v>23.062899999999999</v>
      </c>
      <c r="J49" s="14">
        <f>23.0608 * CHOOSE(CONTROL!$C$9, $D$9, 100%, $F$9) + CHOOSE(CONTROL!$C$27, 0.0021, 0)</f>
        <v>23.062899999999999</v>
      </c>
      <c r="K49" s="14">
        <f>23.0608 * CHOOSE(CONTROL!$C$9, $D$9, 100%, $F$9) + CHOOSE(CONTROL!$C$27, 0.0021, 0)</f>
        <v>23.062899999999999</v>
      </c>
      <c r="L49" s="14"/>
    </row>
    <row r="50" spans="1:12" ht="15" x14ac:dyDescent="0.2">
      <c r="A50" s="13">
        <v>42430</v>
      </c>
      <c r="B50" s="14">
        <f>23.2815 * CHOOSE(CONTROL!$C$9, $D$9, 100%, $F$9) + CHOOSE(CONTROL!$C$27, 0.0021, 0)</f>
        <v>23.2836</v>
      </c>
      <c r="C50" s="14">
        <f>22.8492 * CHOOSE(CONTROL!$C$9, $D$9, 100%, $F$9) + CHOOSE(CONTROL!$C$27, 0.0021, 0)</f>
        <v>22.851299999999998</v>
      </c>
      <c r="D50" s="14">
        <f>22.8492 * CHOOSE(CONTROL!$C$9, $D$9, 100%, $F$9) + CHOOSE(CONTROL!$C$27, 0.0021, 0)</f>
        <v>22.851299999999998</v>
      </c>
      <c r="E50" s="14">
        <f>22.7126 * CHOOSE(CONTROL!$C$9, $D$9, 100%, $F$9) + CHOOSE(CONTROL!$C$27, 0.0021, 0)</f>
        <v>22.714699999999997</v>
      </c>
      <c r="F50" s="14">
        <f>22.7126 * CHOOSE(CONTROL!$C$9, $D$9, 100%, $F$9) + CHOOSE(CONTROL!$C$27, 0.0021, 0)</f>
        <v>22.714699999999997</v>
      </c>
      <c r="G50" s="14">
        <f>22.9839 * CHOOSE(CONTROL!$C$9, $D$9, 100%, $F$9) + CHOOSE(CONTROL!$C$27, 0.0021, 0)</f>
        <v>22.985999999999997</v>
      </c>
      <c r="H50" s="14">
        <f>22.8492 * CHOOSE(CONTROL!$C$9, $D$9, 100%, $F$9) + CHOOSE(CONTROL!$C$27, 0.0021, 0)</f>
        <v>22.851299999999998</v>
      </c>
      <c r="I50" s="14">
        <f>22.8492 * CHOOSE(CONTROL!$C$9, $D$9, 100%, $F$9) + CHOOSE(CONTROL!$C$27, 0.0021, 0)</f>
        <v>22.851299999999998</v>
      </c>
      <c r="J50" s="14">
        <f>22.8492 * CHOOSE(CONTROL!$C$9, $D$9, 100%, $F$9) + CHOOSE(CONTROL!$C$27, 0.0021, 0)</f>
        <v>22.851299999999998</v>
      </c>
      <c r="K50" s="14">
        <f>22.8492 * CHOOSE(CONTROL!$C$9, $D$9, 100%, $F$9) + CHOOSE(CONTROL!$C$27, 0.0021, 0)</f>
        <v>22.851299999999998</v>
      </c>
      <c r="L50" s="14"/>
    </row>
    <row r="51" spans="1:12" ht="15" x14ac:dyDescent="0.2">
      <c r="A51" s="13">
        <v>42461</v>
      </c>
      <c r="B51" s="14">
        <f>23.0193 * CHOOSE(CONTROL!$C$9, $D$9, 100%, $F$9) + CHOOSE(CONTROL!$C$27, 0.0021, 0)</f>
        <v>23.0214</v>
      </c>
      <c r="C51" s="14">
        <f>22.587 * CHOOSE(CONTROL!$C$9, $D$9, 100%, $F$9) + CHOOSE(CONTROL!$C$27, 0.0021, 0)</f>
        <v>22.589099999999998</v>
      </c>
      <c r="D51" s="14">
        <f>22.587 * CHOOSE(CONTROL!$C$9, $D$9, 100%, $F$9) + CHOOSE(CONTROL!$C$27, 0.0021, 0)</f>
        <v>22.589099999999998</v>
      </c>
      <c r="E51" s="14">
        <f>22.4504 * CHOOSE(CONTROL!$C$9, $D$9, 100%, $F$9) + CHOOSE(CONTROL!$C$27, 0.0021, 0)</f>
        <v>22.452499999999997</v>
      </c>
      <c r="F51" s="14">
        <f>22.4504 * CHOOSE(CONTROL!$C$9, $D$9, 100%, $F$9) + CHOOSE(CONTROL!$C$27, 0.0021, 0)</f>
        <v>22.452499999999997</v>
      </c>
      <c r="G51" s="14">
        <f>22.7217 * CHOOSE(CONTROL!$C$9, $D$9, 100%, $F$9) + CHOOSE(CONTROL!$C$27, 0.0021, 0)</f>
        <v>22.723799999999997</v>
      </c>
      <c r="H51" s="14">
        <f>22.587 * CHOOSE(CONTROL!$C$9, $D$9, 100%, $F$9) + CHOOSE(CONTROL!$C$27, 0.0021, 0)</f>
        <v>22.589099999999998</v>
      </c>
      <c r="I51" s="14">
        <f>22.587 * CHOOSE(CONTROL!$C$9, $D$9, 100%, $F$9) + CHOOSE(CONTROL!$C$27, 0.0021, 0)</f>
        <v>22.589099999999998</v>
      </c>
      <c r="J51" s="14">
        <f>22.587 * CHOOSE(CONTROL!$C$9, $D$9, 100%, $F$9) + CHOOSE(CONTROL!$C$27, 0.0021, 0)</f>
        <v>22.589099999999998</v>
      </c>
      <c r="K51" s="14">
        <f>22.587 * CHOOSE(CONTROL!$C$9, $D$9, 100%, $F$9) + CHOOSE(CONTROL!$C$27, 0.0021, 0)</f>
        <v>22.589099999999998</v>
      </c>
      <c r="L51" s="14"/>
    </row>
    <row r="52" spans="1:12" ht="15" x14ac:dyDescent="0.2">
      <c r="A52" s="13">
        <v>42491</v>
      </c>
      <c r="B52" s="14">
        <f>23.4981 * CHOOSE(CONTROL!$C$9, $D$9, 100%, $F$9) + CHOOSE(CONTROL!$C$27, 0.0021, 0)</f>
        <v>23.5002</v>
      </c>
      <c r="C52" s="14">
        <f>23.0659 * CHOOSE(CONTROL!$C$9, $D$9, 100%, $F$9) + CHOOSE(CONTROL!$C$27, 0.0021, 0)</f>
        <v>23.067999999999998</v>
      </c>
      <c r="D52" s="14">
        <f>23.0659 * CHOOSE(CONTROL!$C$9, $D$9, 100%, $F$9) + CHOOSE(CONTROL!$C$27, 0.0021, 0)</f>
        <v>23.067999999999998</v>
      </c>
      <c r="E52" s="14">
        <f>22.9292 * CHOOSE(CONTROL!$C$9, $D$9, 100%, $F$9) + CHOOSE(CONTROL!$C$27, 0.0021, 0)</f>
        <v>22.9313</v>
      </c>
      <c r="F52" s="14">
        <f>22.9292 * CHOOSE(CONTROL!$C$9, $D$9, 100%, $F$9) + CHOOSE(CONTROL!$C$27, 0.0021, 0)</f>
        <v>22.9313</v>
      </c>
      <c r="G52" s="14">
        <f>23.2006 * CHOOSE(CONTROL!$C$9, $D$9, 100%, $F$9) + CHOOSE(CONTROL!$C$27, 0.0021, 0)</f>
        <v>23.2027</v>
      </c>
      <c r="H52" s="14">
        <f>23.0659 * CHOOSE(CONTROL!$C$9, $D$9, 100%, $F$9) + CHOOSE(CONTROL!$C$27, 0.0021, 0)</f>
        <v>23.067999999999998</v>
      </c>
      <c r="I52" s="14">
        <f>23.0659 * CHOOSE(CONTROL!$C$9, $D$9, 100%, $F$9) + CHOOSE(CONTROL!$C$27, 0.0021, 0)</f>
        <v>23.067999999999998</v>
      </c>
      <c r="J52" s="14">
        <f>23.0659 * CHOOSE(CONTROL!$C$9, $D$9, 100%, $F$9) + CHOOSE(CONTROL!$C$27, 0.0021, 0)</f>
        <v>23.067999999999998</v>
      </c>
      <c r="K52" s="14">
        <f>23.0659 * CHOOSE(CONTROL!$C$9, $D$9, 100%, $F$9) + CHOOSE(CONTROL!$C$27, 0.0021, 0)</f>
        <v>23.067999999999998</v>
      </c>
      <c r="L52" s="14"/>
    </row>
    <row r="53" spans="1:12" ht="15" x14ac:dyDescent="0.2">
      <c r="A53" s="13">
        <v>42522</v>
      </c>
      <c r="B53" s="14">
        <f>23.8036 * CHOOSE(CONTROL!$C$9, $D$9, 100%, $F$9) + CHOOSE(CONTROL!$C$27, 0.0021, 0)</f>
        <v>23.805699999999998</v>
      </c>
      <c r="C53" s="14">
        <f>23.3713 * CHOOSE(CONTROL!$C$9, $D$9, 100%, $F$9) + CHOOSE(CONTROL!$C$27, 0.0021, 0)</f>
        <v>23.3734</v>
      </c>
      <c r="D53" s="14">
        <f>23.3713 * CHOOSE(CONTROL!$C$9, $D$9, 100%, $F$9) + CHOOSE(CONTROL!$C$27, 0.0021, 0)</f>
        <v>23.3734</v>
      </c>
      <c r="E53" s="14">
        <f>23.2347 * CHOOSE(CONTROL!$C$9, $D$9, 100%, $F$9) + CHOOSE(CONTROL!$C$27, 0.0021, 0)</f>
        <v>23.236799999999999</v>
      </c>
      <c r="F53" s="14">
        <f>23.2347 * CHOOSE(CONTROL!$C$9, $D$9, 100%, $F$9) + CHOOSE(CONTROL!$C$27, 0.0021, 0)</f>
        <v>23.236799999999999</v>
      </c>
      <c r="G53" s="14">
        <f>23.5061 * CHOOSE(CONTROL!$C$9, $D$9, 100%, $F$9) + CHOOSE(CONTROL!$C$27, 0.0021, 0)</f>
        <v>23.508199999999999</v>
      </c>
      <c r="H53" s="14">
        <f>23.3713 * CHOOSE(CONTROL!$C$9, $D$9, 100%, $F$9) + CHOOSE(CONTROL!$C$27, 0.0021, 0)</f>
        <v>23.3734</v>
      </c>
      <c r="I53" s="14">
        <f>23.3713 * CHOOSE(CONTROL!$C$9, $D$9, 100%, $F$9) + CHOOSE(CONTROL!$C$27, 0.0021, 0)</f>
        <v>23.3734</v>
      </c>
      <c r="J53" s="14">
        <f>23.3713 * CHOOSE(CONTROL!$C$9, $D$9, 100%, $F$9) + CHOOSE(CONTROL!$C$27, 0.0021, 0)</f>
        <v>23.3734</v>
      </c>
      <c r="K53" s="14">
        <f>23.3713 * CHOOSE(CONTROL!$C$9, $D$9, 100%, $F$9) + CHOOSE(CONTROL!$C$27, 0.0021, 0)</f>
        <v>23.3734</v>
      </c>
      <c r="L53" s="14"/>
    </row>
    <row r="54" spans="1:12" ht="15" x14ac:dyDescent="0.2">
      <c r="A54" s="13">
        <v>42552</v>
      </c>
      <c r="B54" s="14">
        <f>24.2806 * CHOOSE(CONTROL!$C$9, $D$9, 100%, $F$9) + CHOOSE(CONTROL!$C$27, 0.0021, 0)</f>
        <v>24.282699999999998</v>
      </c>
      <c r="C54" s="14">
        <f>23.8484 * CHOOSE(CONTROL!$C$9, $D$9, 100%, $F$9) + CHOOSE(CONTROL!$C$27, 0.0021, 0)</f>
        <v>23.8505</v>
      </c>
      <c r="D54" s="14">
        <f>23.8484 * CHOOSE(CONTROL!$C$9, $D$9, 100%, $F$9) + CHOOSE(CONTROL!$C$27, 0.0021, 0)</f>
        <v>23.8505</v>
      </c>
      <c r="E54" s="14">
        <f>23.7117 * CHOOSE(CONTROL!$C$9, $D$9, 100%, $F$9) + CHOOSE(CONTROL!$C$27, 0.0021, 0)</f>
        <v>23.713799999999999</v>
      </c>
      <c r="F54" s="14">
        <f>23.7117 * CHOOSE(CONTROL!$C$9, $D$9, 100%, $F$9) + CHOOSE(CONTROL!$C$27, 0.0021, 0)</f>
        <v>23.713799999999999</v>
      </c>
      <c r="G54" s="14">
        <f>23.9831 * CHOOSE(CONTROL!$C$9, $D$9, 100%, $F$9) + CHOOSE(CONTROL!$C$27, 0.0021, 0)</f>
        <v>23.985199999999999</v>
      </c>
      <c r="H54" s="14">
        <f>23.8484 * CHOOSE(CONTROL!$C$9, $D$9, 100%, $F$9) + CHOOSE(CONTROL!$C$27, 0.0021, 0)</f>
        <v>23.8505</v>
      </c>
      <c r="I54" s="14">
        <f>23.8484 * CHOOSE(CONTROL!$C$9, $D$9, 100%, $F$9) + CHOOSE(CONTROL!$C$27, 0.0021, 0)</f>
        <v>23.8505</v>
      </c>
      <c r="J54" s="14">
        <f>23.8484 * CHOOSE(CONTROL!$C$9, $D$9, 100%, $F$9) + CHOOSE(CONTROL!$C$27, 0.0021, 0)</f>
        <v>23.8505</v>
      </c>
      <c r="K54" s="14">
        <f>23.8484 * CHOOSE(CONTROL!$C$9, $D$9, 100%, $F$9) + CHOOSE(CONTROL!$C$27, 0.0021, 0)</f>
        <v>23.8505</v>
      </c>
      <c r="L54" s="14"/>
    </row>
    <row r="55" spans="1:12" ht="15" x14ac:dyDescent="0.2">
      <c r="A55" s="13">
        <v>42583</v>
      </c>
      <c r="B55" s="14">
        <f>24.4583 * CHOOSE(CONTROL!$C$9, $D$9, 100%, $F$9) + CHOOSE(CONTROL!$C$27, 0.0021, 0)</f>
        <v>24.4604</v>
      </c>
      <c r="C55" s="14">
        <f>24.0261 * CHOOSE(CONTROL!$C$9, $D$9, 100%, $F$9) + CHOOSE(CONTROL!$C$27, 0.0021, 0)</f>
        <v>24.028199999999998</v>
      </c>
      <c r="D55" s="14">
        <f>24.0261 * CHOOSE(CONTROL!$C$9, $D$9, 100%, $F$9) + CHOOSE(CONTROL!$C$27, 0.0021, 0)</f>
        <v>24.028199999999998</v>
      </c>
      <c r="E55" s="14">
        <f>23.8894 * CHOOSE(CONTROL!$C$9, $D$9, 100%, $F$9) + CHOOSE(CONTROL!$C$27, 0.0021, 0)</f>
        <v>23.891499999999997</v>
      </c>
      <c r="F55" s="14">
        <f>23.8894 * CHOOSE(CONTROL!$C$9, $D$9, 100%, $F$9) + CHOOSE(CONTROL!$C$27, 0.0021, 0)</f>
        <v>23.891499999999997</v>
      </c>
      <c r="G55" s="14">
        <f>24.1608 * CHOOSE(CONTROL!$C$9, $D$9, 100%, $F$9) + CHOOSE(CONTROL!$C$27, 0.0021, 0)</f>
        <v>24.162899999999997</v>
      </c>
      <c r="H55" s="14">
        <f>24.0261 * CHOOSE(CONTROL!$C$9, $D$9, 100%, $F$9) + CHOOSE(CONTROL!$C$27, 0.0021, 0)</f>
        <v>24.028199999999998</v>
      </c>
      <c r="I55" s="14">
        <f>24.0261 * CHOOSE(CONTROL!$C$9, $D$9, 100%, $F$9) + CHOOSE(CONTROL!$C$27, 0.0021, 0)</f>
        <v>24.028199999999998</v>
      </c>
      <c r="J55" s="14">
        <f>24.0261 * CHOOSE(CONTROL!$C$9, $D$9, 100%, $F$9) + CHOOSE(CONTROL!$C$27, 0.0021, 0)</f>
        <v>24.028199999999998</v>
      </c>
      <c r="K55" s="14">
        <f>24.0261 * CHOOSE(CONTROL!$C$9, $D$9, 100%, $F$9) + CHOOSE(CONTROL!$C$27, 0.0021, 0)</f>
        <v>24.028199999999998</v>
      </c>
      <c r="L55" s="14"/>
    </row>
    <row r="56" spans="1:12" ht="15" x14ac:dyDescent="0.2">
      <c r="A56" s="13">
        <v>42614</v>
      </c>
      <c r="B56" s="14">
        <f>24.9556 * CHOOSE(CONTROL!$C$9, $D$9, 100%, $F$9) + CHOOSE(CONTROL!$C$27, 0.0021, 0)</f>
        <v>24.957699999999999</v>
      </c>
      <c r="C56" s="14">
        <f>24.5234 * CHOOSE(CONTROL!$C$9, $D$9, 100%, $F$9) + CHOOSE(CONTROL!$C$27, 0.0021, 0)</f>
        <v>24.525499999999997</v>
      </c>
      <c r="D56" s="14">
        <f>24.5234 * CHOOSE(CONTROL!$C$9, $D$9, 100%, $F$9) + CHOOSE(CONTROL!$C$27, 0.0021, 0)</f>
        <v>24.525499999999997</v>
      </c>
      <c r="E56" s="14">
        <f>24.3867 * CHOOSE(CONTROL!$C$9, $D$9, 100%, $F$9) + CHOOSE(CONTROL!$C$27, 0.0021, 0)</f>
        <v>24.3888</v>
      </c>
      <c r="F56" s="14">
        <f>24.3867 * CHOOSE(CONTROL!$C$9, $D$9, 100%, $F$9) + CHOOSE(CONTROL!$C$27, 0.0021, 0)</f>
        <v>24.3888</v>
      </c>
      <c r="G56" s="14">
        <f>24.6581 * CHOOSE(CONTROL!$C$9, $D$9, 100%, $F$9) + CHOOSE(CONTROL!$C$27, 0.0021, 0)</f>
        <v>24.6602</v>
      </c>
      <c r="H56" s="14">
        <f>24.5234 * CHOOSE(CONTROL!$C$9, $D$9, 100%, $F$9) + CHOOSE(CONTROL!$C$27, 0.0021, 0)</f>
        <v>24.525499999999997</v>
      </c>
      <c r="I56" s="14">
        <f>24.5234 * CHOOSE(CONTROL!$C$9, $D$9, 100%, $F$9) + CHOOSE(CONTROL!$C$27, 0.0021, 0)</f>
        <v>24.525499999999997</v>
      </c>
      <c r="J56" s="14">
        <f>24.5234 * CHOOSE(CONTROL!$C$9, $D$9, 100%, $F$9) + CHOOSE(CONTROL!$C$27, 0.0021, 0)</f>
        <v>24.525499999999997</v>
      </c>
      <c r="K56" s="14">
        <f>24.5234 * CHOOSE(CONTROL!$C$9, $D$9, 100%, $F$9) + CHOOSE(CONTROL!$C$27, 0.0021, 0)</f>
        <v>24.525499999999997</v>
      </c>
      <c r="L56" s="14"/>
    </row>
    <row r="57" spans="1:12" ht="15" x14ac:dyDescent="0.2">
      <c r="A57" s="13">
        <v>42644</v>
      </c>
      <c r="B57" s="14">
        <f>25.5752 * CHOOSE(CONTROL!$C$9, $D$9, 100%, $F$9) + CHOOSE(CONTROL!$C$27, 0.0021, 0)</f>
        <v>25.577299999999997</v>
      </c>
      <c r="C57" s="14">
        <f>25.143 * CHOOSE(CONTROL!$C$9, $D$9, 100%, $F$9) + CHOOSE(CONTROL!$C$27, 0.0021, 0)</f>
        <v>25.145099999999999</v>
      </c>
      <c r="D57" s="14">
        <f>25.143 * CHOOSE(CONTROL!$C$9, $D$9, 100%, $F$9) + CHOOSE(CONTROL!$C$27, 0.0021, 0)</f>
        <v>25.145099999999999</v>
      </c>
      <c r="E57" s="14">
        <f>25.0063 * CHOOSE(CONTROL!$C$9, $D$9, 100%, $F$9) + CHOOSE(CONTROL!$C$27, 0.0021, 0)</f>
        <v>25.008399999999998</v>
      </c>
      <c r="F57" s="14">
        <f>25.0063 * CHOOSE(CONTROL!$C$9, $D$9, 100%, $F$9) + CHOOSE(CONTROL!$C$27, 0.0021, 0)</f>
        <v>25.008399999999998</v>
      </c>
      <c r="G57" s="14">
        <f>25.2777 * CHOOSE(CONTROL!$C$9, $D$9, 100%, $F$9) + CHOOSE(CONTROL!$C$27, 0.0021, 0)</f>
        <v>25.279799999999998</v>
      </c>
      <c r="H57" s="14">
        <f>25.143 * CHOOSE(CONTROL!$C$9, $D$9, 100%, $F$9) + CHOOSE(CONTROL!$C$27, 0.0021, 0)</f>
        <v>25.145099999999999</v>
      </c>
      <c r="I57" s="14">
        <f>25.143 * CHOOSE(CONTROL!$C$9, $D$9, 100%, $F$9) + CHOOSE(CONTROL!$C$27, 0.0021, 0)</f>
        <v>25.145099999999999</v>
      </c>
      <c r="J57" s="14">
        <f>25.143 * CHOOSE(CONTROL!$C$9, $D$9, 100%, $F$9) + CHOOSE(CONTROL!$C$27, 0.0021, 0)</f>
        <v>25.145099999999999</v>
      </c>
      <c r="K57" s="14">
        <f>25.143 * CHOOSE(CONTROL!$C$9, $D$9, 100%, $F$9) + CHOOSE(CONTROL!$C$27, 0.0021, 0)</f>
        <v>25.145099999999999</v>
      </c>
      <c r="L57" s="14"/>
    </row>
    <row r="58" spans="1:12" ht="15" x14ac:dyDescent="0.2">
      <c r="A58" s="13">
        <v>42675</v>
      </c>
      <c r="B58" s="14">
        <f>25.6771 * CHOOSE(CONTROL!$C$9, $D$9, 100%, $F$9) + CHOOSE(CONTROL!$C$27, 0.0021, 0)</f>
        <v>25.679199999999998</v>
      </c>
      <c r="C58" s="14">
        <f>25.2448 * CHOOSE(CONTROL!$C$9, $D$9, 100%, $F$9) + CHOOSE(CONTROL!$C$27, 0.0021, 0)</f>
        <v>25.2469</v>
      </c>
      <c r="D58" s="14">
        <f>25.2448 * CHOOSE(CONTROL!$C$9, $D$9, 100%, $F$9) + CHOOSE(CONTROL!$C$27, 0.0021, 0)</f>
        <v>25.2469</v>
      </c>
      <c r="E58" s="14">
        <f>25.1082 * CHOOSE(CONTROL!$C$9, $D$9, 100%, $F$9) + CHOOSE(CONTROL!$C$27, 0.0021, 0)</f>
        <v>25.110299999999999</v>
      </c>
      <c r="F58" s="14">
        <f>25.1082 * CHOOSE(CONTROL!$C$9, $D$9, 100%, $F$9) + CHOOSE(CONTROL!$C$27, 0.0021, 0)</f>
        <v>25.110299999999999</v>
      </c>
      <c r="G58" s="14">
        <f>25.3796 * CHOOSE(CONTROL!$C$9, $D$9, 100%, $F$9) + CHOOSE(CONTROL!$C$27, 0.0021, 0)</f>
        <v>25.381699999999999</v>
      </c>
      <c r="H58" s="14">
        <f>25.2448 * CHOOSE(CONTROL!$C$9, $D$9, 100%, $F$9) + CHOOSE(CONTROL!$C$27, 0.0021, 0)</f>
        <v>25.2469</v>
      </c>
      <c r="I58" s="14">
        <f>25.2448 * CHOOSE(CONTROL!$C$9, $D$9, 100%, $F$9) + CHOOSE(CONTROL!$C$27, 0.0021, 0)</f>
        <v>25.2469</v>
      </c>
      <c r="J58" s="14">
        <f>25.2448 * CHOOSE(CONTROL!$C$9, $D$9, 100%, $F$9) + CHOOSE(CONTROL!$C$27, 0.0021, 0)</f>
        <v>25.2469</v>
      </c>
      <c r="K58" s="14">
        <f>25.2448 * CHOOSE(CONTROL!$C$9, $D$9, 100%, $F$9) + CHOOSE(CONTROL!$C$27, 0.0021, 0)</f>
        <v>25.2469</v>
      </c>
      <c r="L58" s="14"/>
    </row>
    <row r="59" spans="1:12" ht="15" x14ac:dyDescent="0.2">
      <c r="A59" s="13">
        <v>42705</v>
      </c>
      <c r="B59" s="14">
        <f>25.2658 * CHOOSE(CONTROL!$C$9, $D$9, 100%, $F$9) + CHOOSE(CONTROL!$C$27, 0.0021, 0)</f>
        <v>25.267899999999997</v>
      </c>
      <c r="C59" s="14">
        <f>24.8335 * CHOOSE(CONTROL!$C$9, $D$9, 100%, $F$9) + CHOOSE(CONTROL!$C$27, 0.0021, 0)</f>
        <v>24.835599999999999</v>
      </c>
      <c r="D59" s="14">
        <f>24.8335 * CHOOSE(CONTROL!$C$9, $D$9, 100%, $F$9) + CHOOSE(CONTROL!$C$27, 0.0021, 0)</f>
        <v>24.835599999999999</v>
      </c>
      <c r="E59" s="14">
        <f>24.6969 * CHOOSE(CONTROL!$C$9, $D$9, 100%, $F$9) + CHOOSE(CONTROL!$C$27, 0.0021, 0)</f>
        <v>24.698999999999998</v>
      </c>
      <c r="F59" s="14">
        <f>24.6969 * CHOOSE(CONTROL!$C$9, $D$9, 100%, $F$9) + CHOOSE(CONTROL!$C$27, 0.0021, 0)</f>
        <v>24.698999999999998</v>
      </c>
      <c r="G59" s="14">
        <f>24.9683 * CHOOSE(CONTROL!$C$9, $D$9, 100%, $F$9) + CHOOSE(CONTROL!$C$27, 0.0021, 0)</f>
        <v>24.970399999999998</v>
      </c>
      <c r="H59" s="14">
        <f>24.8335 * CHOOSE(CONTROL!$C$9, $D$9, 100%, $F$9) + CHOOSE(CONTROL!$C$27, 0.0021, 0)</f>
        <v>24.835599999999999</v>
      </c>
      <c r="I59" s="14">
        <f>24.8335 * CHOOSE(CONTROL!$C$9, $D$9, 100%, $F$9) + CHOOSE(CONTROL!$C$27, 0.0021, 0)</f>
        <v>24.835599999999999</v>
      </c>
      <c r="J59" s="14">
        <f>24.8335 * CHOOSE(CONTROL!$C$9, $D$9, 100%, $F$9) + CHOOSE(CONTROL!$C$27, 0.0021, 0)</f>
        <v>24.835599999999999</v>
      </c>
      <c r="K59" s="14">
        <f>24.8335 * CHOOSE(CONTROL!$C$9, $D$9, 100%, $F$9) + CHOOSE(CONTROL!$C$27, 0.0021, 0)</f>
        <v>24.835599999999999</v>
      </c>
      <c r="L59" s="14"/>
    </row>
    <row r="60" spans="1:12" ht="15" x14ac:dyDescent="0.2">
      <c r="A60" s="13">
        <v>42736</v>
      </c>
      <c r="B60" s="14">
        <f>24.8626 * CHOOSE(CONTROL!$C$9, $D$9, 100%, $F$9) + CHOOSE(CONTROL!$C$27, 0.0021, 0)</f>
        <v>24.864699999999999</v>
      </c>
      <c r="C60" s="14">
        <f>24.4303 * CHOOSE(CONTROL!$C$9, $D$9, 100%, $F$9) + CHOOSE(CONTROL!$C$27, 0.0021, 0)</f>
        <v>24.432399999999998</v>
      </c>
      <c r="D60" s="14">
        <f>24.4303 * CHOOSE(CONTROL!$C$9, $D$9, 100%, $F$9) + CHOOSE(CONTROL!$C$27, 0.0021, 0)</f>
        <v>24.432399999999998</v>
      </c>
      <c r="E60" s="14">
        <f>24.2936 * CHOOSE(CONTROL!$C$9, $D$9, 100%, $F$9) + CHOOSE(CONTROL!$C$27, 0.0021, 0)</f>
        <v>24.2957</v>
      </c>
      <c r="F60" s="14">
        <f>24.2936 * CHOOSE(CONTROL!$C$9, $D$9, 100%, $F$9) + CHOOSE(CONTROL!$C$27, 0.0021, 0)</f>
        <v>24.2957</v>
      </c>
      <c r="G60" s="14">
        <f>24.565 * CHOOSE(CONTROL!$C$9, $D$9, 100%, $F$9) + CHOOSE(CONTROL!$C$27, 0.0021, 0)</f>
        <v>24.5671</v>
      </c>
      <c r="H60" s="14">
        <f>24.4303 * CHOOSE(CONTROL!$C$9, $D$9, 100%, $F$9) + CHOOSE(CONTROL!$C$27, 0.0021, 0)</f>
        <v>24.432399999999998</v>
      </c>
      <c r="I60" s="14">
        <f>24.4303 * CHOOSE(CONTROL!$C$9, $D$9, 100%, $F$9) + CHOOSE(CONTROL!$C$27, 0.0021, 0)</f>
        <v>24.432399999999998</v>
      </c>
      <c r="J60" s="14">
        <f>24.4303 * CHOOSE(CONTROL!$C$9, $D$9, 100%, $F$9) + CHOOSE(CONTROL!$C$27, 0.0021, 0)</f>
        <v>24.432399999999998</v>
      </c>
      <c r="K60" s="14">
        <f>24.4303 * CHOOSE(CONTROL!$C$9, $D$9, 100%, $F$9) + CHOOSE(CONTROL!$C$27, 0.0021, 0)</f>
        <v>24.432399999999998</v>
      </c>
      <c r="L60" s="14"/>
    </row>
    <row r="61" spans="1:12" ht="15" x14ac:dyDescent="0.2">
      <c r="A61" s="13">
        <v>42767</v>
      </c>
      <c r="B61" s="14">
        <f>24.2693 * CHOOSE(CONTROL!$C$9, $D$9, 100%, $F$9) + CHOOSE(CONTROL!$C$27, 0.0021, 0)</f>
        <v>24.2714</v>
      </c>
      <c r="C61" s="14">
        <f>23.8371 * CHOOSE(CONTROL!$C$9, $D$9, 100%, $F$9) + CHOOSE(CONTROL!$C$27, 0.0021, 0)</f>
        <v>23.839199999999998</v>
      </c>
      <c r="D61" s="14">
        <f>23.8371 * CHOOSE(CONTROL!$C$9, $D$9, 100%, $F$9) + CHOOSE(CONTROL!$C$27, 0.0021, 0)</f>
        <v>23.839199999999998</v>
      </c>
      <c r="E61" s="14">
        <f>23.7004 * CHOOSE(CONTROL!$C$9, $D$9, 100%, $F$9) + CHOOSE(CONTROL!$C$27, 0.0021, 0)</f>
        <v>23.702499999999997</v>
      </c>
      <c r="F61" s="14">
        <f>23.7004 * CHOOSE(CONTROL!$C$9, $D$9, 100%, $F$9) + CHOOSE(CONTROL!$C$27, 0.0021, 0)</f>
        <v>23.702499999999997</v>
      </c>
      <c r="G61" s="14">
        <f>23.9718 * CHOOSE(CONTROL!$C$9, $D$9, 100%, $F$9) + CHOOSE(CONTROL!$C$27, 0.0021, 0)</f>
        <v>23.9739</v>
      </c>
      <c r="H61" s="14">
        <f>23.8371 * CHOOSE(CONTROL!$C$9, $D$9, 100%, $F$9) + CHOOSE(CONTROL!$C$27, 0.0021, 0)</f>
        <v>23.839199999999998</v>
      </c>
      <c r="I61" s="14">
        <f>23.8371 * CHOOSE(CONTROL!$C$9, $D$9, 100%, $F$9) + CHOOSE(CONTROL!$C$27, 0.0021, 0)</f>
        <v>23.839199999999998</v>
      </c>
      <c r="J61" s="14">
        <f>23.8371 * CHOOSE(CONTROL!$C$9, $D$9, 100%, $F$9) + CHOOSE(CONTROL!$C$27, 0.0021, 0)</f>
        <v>23.839199999999998</v>
      </c>
      <c r="K61" s="14">
        <f>23.8371 * CHOOSE(CONTROL!$C$9, $D$9, 100%, $F$9) + CHOOSE(CONTROL!$C$27, 0.0021, 0)</f>
        <v>23.839199999999998</v>
      </c>
      <c r="L61" s="14"/>
    </row>
    <row r="62" spans="1:12" ht="15" x14ac:dyDescent="0.2">
      <c r="A62" s="13">
        <v>42795</v>
      </c>
      <c r="B62" s="14">
        <f>24.05 * CHOOSE(CONTROL!$C$9, $D$9, 100%, $F$9) + CHOOSE(CONTROL!$C$27, 0.0021, 0)</f>
        <v>24.052099999999999</v>
      </c>
      <c r="C62" s="14">
        <f>23.6177 * CHOOSE(CONTROL!$C$9, $D$9, 100%, $F$9) + CHOOSE(CONTROL!$C$27, 0.0021, 0)</f>
        <v>23.619799999999998</v>
      </c>
      <c r="D62" s="14">
        <f>23.6177 * CHOOSE(CONTROL!$C$9, $D$9, 100%, $F$9) + CHOOSE(CONTROL!$C$27, 0.0021, 0)</f>
        <v>23.619799999999998</v>
      </c>
      <c r="E62" s="14">
        <f>23.4811 * CHOOSE(CONTROL!$C$9, $D$9, 100%, $F$9) + CHOOSE(CONTROL!$C$27, 0.0021, 0)</f>
        <v>23.4832</v>
      </c>
      <c r="F62" s="14">
        <f>23.4811 * CHOOSE(CONTROL!$C$9, $D$9, 100%, $F$9) + CHOOSE(CONTROL!$C$27, 0.0021, 0)</f>
        <v>23.4832</v>
      </c>
      <c r="G62" s="14">
        <f>23.7524 * CHOOSE(CONTROL!$C$9, $D$9, 100%, $F$9) + CHOOSE(CONTROL!$C$27, 0.0021, 0)</f>
        <v>23.7545</v>
      </c>
      <c r="H62" s="14">
        <f>23.6177 * CHOOSE(CONTROL!$C$9, $D$9, 100%, $F$9) + CHOOSE(CONTROL!$C$27, 0.0021, 0)</f>
        <v>23.619799999999998</v>
      </c>
      <c r="I62" s="14">
        <f>23.6177 * CHOOSE(CONTROL!$C$9, $D$9, 100%, $F$9) + CHOOSE(CONTROL!$C$27, 0.0021, 0)</f>
        <v>23.619799999999998</v>
      </c>
      <c r="J62" s="14">
        <f>23.6177 * CHOOSE(CONTROL!$C$9, $D$9, 100%, $F$9) + CHOOSE(CONTROL!$C$27, 0.0021, 0)</f>
        <v>23.619799999999998</v>
      </c>
      <c r="K62" s="14">
        <f>23.6177 * CHOOSE(CONTROL!$C$9, $D$9, 100%, $F$9) + CHOOSE(CONTROL!$C$27, 0.0021, 0)</f>
        <v>23.619799999999998</v>
      </c>
      <c r="L62" s="14"/>
    </row>
    <row r="63" spans="1:12" ht="15" x14ac:dyDescent="0.2">
      <c r="A63" s="13">
        <v>42826</v>
      </c>
      <c r="B63" s="14">
        <f>23.7782 * CHOOSE(CONTROL!$C$9, $D$9, 100%, $F$9) + CHOOSE(CONTROL!$C$27, 0.0021, 0)</f>
        <v>23.780299999999997</v>
      </c>
      <c r="C63" s="14">
        <f>23.3459 * CHOOSE(CONTROL!$C$9, $D$9, 100%, $F$9) + CHOOSE(CONTROL!$C$27, 0.0021, 0)</f>
        <v>23.347999999999999</v>
      </c>
      <c r="D63" s="14">
        <f>23.3459 * CHOOSE(CONTROL!$C$9, $D$9, 100%, $F$9) + CHOOSE(CONTROL!$C$27, 0.0021, 0)</f>
        <v>23.347999999999999</v>
      </c>
      <c r="E63" s="14">
        <f>23.2093 * CHOOSE(CONTROL!$C$9, $D$9, 100%, $F$9) + CHOOSE(CONTROL!$C$27, 0.0021, 0)</f>
        <v>23.211399999999998</v>
      </c>
      <c r="F63" s="14">
        <f>23.2093 * CHOOSE(CONTROL!$C$9, $D$9, 100%, $F$9) + CHOOSE(CONTROL!$C$27, 0.0021, 0)</f>
        <v>23.211399999999998</v>
      </c>
      <c r="G63" s="14">
        <f>23.4806 * CHOOSE(CONTROL!$C$9, $D$9, 100%, $F$9) + CHOOSE(CONTROL!$C$27, 0.0021, 0)</f>
        <v>23.482699999999998</v>
      </c>
      <c r="H63" s="14">
        <f>23.3459 * CHOOSE(CONTROL!$C$9, $D$9, 100%, $F$9) + CHOOSE(CONTROL!$C$27, 0.0021, 0)</f>
        <v>23.347999999999999</v>
      </c>
      <c r="I63" s="14">
        <f>23.3459 * CHOOSE(CONTROL!$C$9, $D$9, 100%, $F$9) + CHOOSE(CONTROL!$C$27, 0.0021, 0)</f>
        <v>23.347999999999999</v>
      </c>
      <c r="J63" s="14">
        <f>23.3459 * CHOOSE(CONTROL!$C$9, $D$9, 100%, $F$9) + CHOOSE(CONTROL!$C$27, 0.0021, 0)</f>
        <v>23.347999999999999</v>
      </c>
      <c r="K63" s="14">
        <f>23.3459 * CHOOSE(CONTROL!$C$9, $D$9, 100%, $F$9) + CHOOSE(CONTROL!$C$27, 0.0021, 0)</f>
        <v>23.347999999999999</v>
      </c>
      <c r="L63" s="14"/>
    </row>
    <row r="64" spans="1:12" ht="15" x14ac:dyDescent="0.2">
      <c r="A64" s="13">
        <v>42856</v>
      </c>
      <c r="B64" s="14">
        <f>24.2746 * CHOOSE(CONTROL!$C$9, $D$9, 100%, $F$9) + CHOOSE(CONTROL!$C$27, 0.0021, 0)</f>
        <v>24.276699999999998</v>
      </c>
      <c r="C64" s="14">
        <f>23.8423 * CHOOSE(CONTROL!$C$9, $D$9, 100%, $F$9) + CHOOSE(CONTROL!$C$27, 0.0021, 0)</f>
        <v>23.8444</v>
      </c>
      <c r="D64" s="14">
        <f>23.8423 * CHOOSE(CONTROL!$C$9, $D$9, 100%, $F$9) + CHOOSE(CONTROL!$C$27, 0.0021, 0)</f>
        <v>23.8444</v>
      </c>
      <c r="E64" s="14">
        <f>23.7057 * CHOOSE(CONTROL!$C$9, $D$9, 100%, $F$9) + CHOOSE(CONTROL!$C$27, 0.0021, 0)</f>
        <v>23.707799999999999</v>
      </c>
      <c r="F64" s="14">
        <f>23.7057 * CHOOSE(CONTROL!$C$9, $D$9, 100%, $F$9) + CHOOSE(CONTROL!$C$27, 0.0021, 0)</f>
        <v>23.707799999999999</v>
      </c>
      <c r="G64" s="14">
        <f>23.977 * CHOOSE(CONTROL!$C$9, $D$9, 100%, $F$9) + CHOOSE(CONTROL!$C$27, 0.0021, 0)</f>
        <v>23.979099999999999</v>
      </c>
      <c r="H64" s="14">
        <f>23.8423 * CHOOSE(CONTROL!$C$9, $D$9, 100%, $F$9) + CHOOSE(CONTROL!$C$27, 0.0021, 0)</f>
        <v>23.8444</v>
      </c>
      <c r="I64" s="14">
        <f>23.8423 * CHOOSE(CONTROL!$C$9, $D$9, 100%, $F$9) + CHOOSE(CONTROL!$C$27, 0.0021, 0)</f>
        <v>23.8444</v>
      </c>
      <c r="J64" s="14">
        <f>23.8423 * CHOOSE(CONTROL!$C$9, $D$9, 100%, $F$9) + CHOOSE(CONTROL!$C$27, 0.0021, 0)</f>
        <v>23.8444</v>
      </c>
      <c r="K64" s="14">
        <f>23.8423 * CHOOSE(CONTROL!$C$9, $D$9, 100%, $F$9) + CHOOSE(CONTROL!$C$27, 0.0021, 0)</f>
        <v>23.8444</v>
      </c>
      <c r="L64" s="14"/>
    </row>
    <row r="65" spans="1:12" ht="15" x14ac:dyDescent="0.2">
      <c r="A65" s="13">
        <v>42887</v>
      </c>
      <c r="B65" s="14">
        <f>24.5912 * CHOOSE(CONTROL!$C$9, $D$9, 100%, $F$9) + CHOOSE(CONTROL!$C$27, 0.0021, 0)</f>
        <v>24.593299999999999</v>
      </c>
      <c r="C65" s="14">
        <f>24.159 * CHOOSE(CONTROL!$C$9, $D$9, 100%, $F$9) + CHOOSE(CONTROL!$C$27, 0.0021, 0)</f>
        <v>24.161099999999998</v>
      </c>
      <c r="D65" s="14">
        <f>24.159 * CHOOSE(CONTROL!$C$9, $D$9, 100%, $F$9) + CHOOSE(CONTROL!$C$27, 0.0021, 0)</f>
        <v>24.161099999999998</v>
      </c>
      <c r="E65" s="14">
        <f>24.0223 * CHOOSE(CONTROL!$C$9, $D$9, 100%, $F$9) + CHOOSE(CONTROL!$C$27, 0.0021, 0)</f>
        <v>24.0244</v>
      </c>
      <c r="F65" s="14">
        <f>24.0223 * CHOOSE(CONTROL!$C$9, $D$9, 100%, $F$9) + CHOOSE(CONTROL!$C$27, 0.0021, 0)</f>
        <v>24.0244</v>
      </c>
      <c r="G65" s="14">
        <f>24.2937 * CHOOSE(CONTROL!$C$9, $D$9, 100%, $F$9) + CHOOSE(CONTROL!$C$27, 0.0021, 0)</f>
        <v>24.2958</v>
      </c>
      <c r="H65" s="14">
        <f>24.159 * CHOOSE(CONTROL!$C$9, $D$9, 100%, $F$9) + CHOOSE(CONTROL!$C$27, 0.0021, 0)</f>
        <v>24.161099999999998</v>
      </c>
      <c r="I65" s="14">
        <f>24.159 * CHOOSE(CONTROL!$C$9, $D$9, 100%, $F$9) + CHOOSE(CONTROL!$C$27, 0.0021, 0)</f>
        <v>24.161099999999998</v>
      </c>
      <c r="J65" s="14">
        <f>24.159 * CHOOSE(CONTROL!$C$9, $D$9, 100%, $F$9) + CHOOSE(CONTROL!$C$27, 0.0021, 0)</f>
        <v>24.161099999999998</v>
      </c>
      <c r="K65" s="14">
        <f>24.159 * CHOOSE(CONTROL!$C$9, $D$9, 100%, $F$9) + CHOOSE(CONTROL!$C$27, 0.0021, 0)</f>
        <v>24.161099999999998</v>
      </c>
      <c r="L65" s="14"/>
    </row>
    <row r="66" spans="1:12" ht="15" x14ac:dyDescent="0.2">
      <c r="A66" s="13">
        <v>42917</v>
      </c>
      <c r="B66" s="14">
        <f>25.0857 * CHOOSE(CONTROL!$C$9, $D$9, 100%, $F$9) + CHOOSE(CONTROL!$C$27, 0.0021, 0)</f>
        <v>25.087799999999998</v>
      </c>
      <c r="C66" s="14">
        <f>24.6535 * CHOOSE(CONTROL!$C$9, $D$9, 100%, $F$9) + CHOOSE(CONTROL!$C$27, 0.0021, 0)</f>
        <v>24.6556</v>
      </c>
      <c r="D66" s="14">
        <f>24.6535 * CHOOSE(CONTROL!$C$9, $D$9, 100%, $F$9) + CHOOSE(CONTROL!$C$27, 0.0021, 0)</f>
        <v>24.6556</v>
      </c>
      <c r="E66" s="14">
        <f>24.5168 * CHOOSE(CONTROL!$C$9, $D$9, 100%, $F$9) + CHOOSE(CONTROL!$C$27, 0.0021, 0)</f>
        <v>24.518899999999999</v>
      </c>
      <c r="F66" s="14">
        <f>24.5168 * CHOOSE(CONTROL!$C$9, $D$9, 100%, $F$9) + CHOOSE(CONTROL!$C$27, 0.0021, 0)</f>
        <v>24.518899999999999</v>
      </c>
      <c r="G66" s="14">
        <f>24.7882 * CHOOSE(CONTROL!$C$9, $D$9, 100%, $F$9) + CHOOSE(CONTROL!$C$27, 0.0021, 0)</f>
        <v>24.790299999999998</v>
      </c>
      <c r="H66" s="14">
        <f>24.6535 * CHOOSE(CONTROL!$C$9, $D$9, 100%, $F$9) + CHOOSE(CONTROL!$C$27, 0.0021, 0)</f>
        <v>24.6556</v>
      </c>
      <c r="I66" s="14">
        <f>24.6535 * CHOOSE(CONTROL!$C$9, $D$9, 100%, $F$9) + CHOOSE(CONTROL!$C$27, 0.0021, 0)</f>
        <v>24.6556</v>
      </c>
      <c r="J66" s="14">
        <f>24.6535 * CHOOSE(CONTROL!$C$9, $D$9, 100%, $F$9) + CHOOSE(CONTROL!$C$27, 0.0021, 0)</f>
        <v>24.6556</v>
      </c>
      <c r="K66" s="14">
        <f>24.6535 * CHOOSE(CONTROL!$C$9, $D$9, 100%, $F$9) + CHOOSE(CONTROL!$C$27, 0.0021, 0)</f>
        <v>24.6556</v>
      </c>
      <c r="L66" s="14"/>
    </row>
    <row r="67" spans="1:12" ht="15" x14ac:dyDescent="0.2">
      <c r="A67" s="13">
        <v>42948</v>
      </c>
      <c r="B67" s="14">
        <f>25.2699 * CHOOSE(CONTROL!$C$9, $D$9, 100%, $F$9) + CHOOSE(CONTROL!$C$27, 0.0021, 0)</f>
        <v>25.271999999999998</v>
      </c>
      <c r="C67" s="14">
        <f>24.8377 * CHOOSE(CONTROL!$C$9, $D$9, 100%, $F$9) + CHOOSE(CONTROL!$C$27, 0.0021, 0)</f>
        <v>24.8398</v>
      </c>
      <c r="D67" s="14">
        <f>24.8377 * CHOOSE(CONTROL!$C$9, $D$9, 100%, $F$9) + CHOOSE(CONTROL!$C$27, 0.0021, 0)</f>
        <v>24.8398</v>
      </c>
      <c r="E67" s="14">
        <f>24.701 * CHOOSE(CONTROL!$C$9, $D$9, 100%, $F$9) + CHOOSE(CONTROL!$C$27, 0.0021, 0)</f>
        <v>24.703099999999999</v>
      </c>
      <c r="F67" s="14">
        <f>24.701 * CHOOSE(CONTROL!$C$9, $D$9, 100%, $F$9) + CHOOSE(CONTROL!$C$27, 0.0021, 0)</f>
        <v>24.703099999999999</v>
      </c>
      <c r="G67" s="14">
        <f>24.9724 * CHOOSE(CONTROL!$C$9, $D$9, 100%, $F$9) + CHOOSE(CONTROL!$C$27, 0.0021, 0)</f>
        <v>24.974499999999999</v>
      </c>
      <c r="H67" s="14">
        <f>24.8377 * CHOOSE(CONTROL!$C$9, $D$9, 100%, $F$9) + CHOOSE(CONTROL!$C$27, 0.0021, 0)</f>
        <v>24.8398</v>
      </c>
      <c r="I67" s="14">
        <f>24.8377 * CHOOSE(CONTROL!$C$9, $D$9, 100%, $F$9) + CHOOSE(CONTROL!$C$27, 0.0021, 0)</f>
        <v>24.8398</v>
      </c>
      <c r="J67" s="14">
        <f>24.8377 * CHOOSE(CONTROL!$C$9, $D$9, 100%, $F$9) + CHOOSE(CONTROL!$C$27, 0.0021, 0)</f>
        <v>24.8398</v>
      </c>
      <c r="K67" s="14">
        <f>24.8377 * CHOOSE(CONTROL!$C$9, $D$9, 100%, $F$9) + CHOOSE(CONTROL!$C$27, 0.0021, 0)</f>
        <v>24.8398</v>
      </c>
      <c r="L67" s="14"/>
    </row>
    <row r="68" spans="1:12" ht="15" x14ac:dyDescent="0.2">
      <c r="A68" s="13">
        <v>42979</v>
      </c>
      <c r="B68" s="14">
        <f>25.7854 * CHOOSE(CONTROL!$C$9, $D$9, 100%, $F$9) + CHOOSE(CONTROL!$C$27, 0.0021, 0)</f>
        <v>25.787499999999998</v>
      </c>
      <c r="C68" s="14">
        <f>25.3532 * CHOOSE(CONTROL!$C$9, $D$9, 100%, $F$9) + CHOOSE(CONTROL!$C$27, 0.0021, 0)</f>
        <v>25.3553</v>
      </c>
      <c r="D68" s="14">
        <f>25.3532 * CHOOSE(CONTROL!$C$9, $D$9, 100%, $F$9) + CHOOSE(CONTROL!$C$27, 0.0021, 0)</f>
        <v>25.3553</v>
      </c>
      <c r="E68" s="14">
        <f>25.2165 * CHOOSE(CONTROL!$C$9, $D$9, 100%, $F$9) + CHOOSE(CONTROL!$C$27, 0.0021, 0)</f>
        <v>25.218599999999999</v>
      </c>
      <c r="F68" s="14">
        <f>25.2165 * CHOOSE(CONTROL!$C$9, $D$9, 100%, $F$9) + CHOOSE(CONTROL!$C$27, 0.0021, 0)</f>
        <v>25.218599999999999</v>
      </c>
      <c r="G68" s="14">
        <f>25.4879 * CHOOSE(CONTROL!$C$9, $D$9, 100%, $F$9) + CHOOSE(CONTROL!$C$27, 0.0021, 0)</f>
        <v>25.49</v>
      </c>
      <c r="H68" s="14">
        <f>25.3532 * CHOOSE(CONTROL!$C$9, $D$9, 100%, $F$9) + CHOOSE(CONTROL!$C$27, 0.0021, 0)</f>
        <v>25.3553</v>
      </c>
      <c r="I68" s="14">
        <f>25.3532 * CHOOSE(CONTROL!$C$9, $D$9, 100%, $F$9) + CHOOSE(CONTROL!$C$27, 0.0021, 0)</f>
        <v>25.3553</v>
      </c>
      <c r="J68" s="14">
        <f>25.3532 * CHOOSE(CONTROL!$C$9, $D$9, 100%, $F$9) + CHOOSE(CONTROL!$C$27, 0.0021, 0)</f>
        <v>25.3553</v>
      </c>
      <c r="K68" s="14">
        <f>25.3532 * CHOOSE(CONTROL!$C$9, $D$9, 100%, $F$9) + CHOOSE(CONTROL!$C$27, 0.0021, 0)</f>
        <v>25.3553</v>
      </c>
      <c r="L68" s="14"/>
    </row>
    <row r="69" spans="1:12" ht="15" x14ac:dyDescent="0.2">
      <c r="A69" s="13">
        <v>43009</v>
      </c>
      <c r="B69" s="14">
        <f>26.4277 * CHOOSE(CONTROL!$C$9, $D$9, 100%, $F$9) + CHOOSE(CONTROL!$C$27, 0.0021, 0)</f>
        <v>26.4298</v>
      </c>
      <c r="C69" s="14">
        <f>25.9955 * CHOOSE(CONTROL!$C$9, $D$9, 100%, $F$9) + CHOOSE(CONTROL!$C$27, 0.0021, 0)</f>
        <v>25.997599999999998</v>
      </c>
      <c r="D69" s="14">
        <f>25.9955 * CHOOSE(CONTROL!$C$9, $D$9, 100%, $F$9) + CHOOSE(CONTROL!$C$27, 0.0021, 0)</f>
        <v>25.997599999999998</v>
      </c>
      <c r="E69" s="14">
        <f>25.8588 * CHOOSE(CONTROL!$C$9, $D$9, 100%, $F$9) + CHOOSE(CONTROL!$C$27, 0.0021, 0)</f>
        <v>25.860899999999997</v>
      </c>
      <c r="F69" s="14">
        <f>25.8588 * CHOOSE(CONTROL!$C$9, $D$9, 100%, $F$9) + CHOOSE(CONTROL!$C$27, 0.0021, 0)</f>
        <v>25.860899999999997</v>
      </c>
      <c r="G69" s="14">
        <f>26.1302 * CHOOSE(CONTROL!$C$9, $D$9, 100%, $F$9) + CHOOSE(CONTROL!$C$27, 0.0021, 0)</f>
        <v>26.132299999999997</v>
      </c>
      <c r="H69" s="14">
        <f>25.9955 * CHOOSE(CONTROL!$C$9, $D$9, 100%, $F$9) + CHOOSE(CONTROL!$C$27, 0.0021, 0)</f>
        <v>25.997599999999998</v>
      </c>
      <c r="I69" s="14">
        <f>25.9955 * CHOOSE(CONTROL!$C$9, $D$9, 100%, $F$9) + CHOOSE(CONTROL!$C$27, 0.0021, 0)</f>
        <v>25.997599999999998</v>
      </c>
      <c r="J69" s="14">
        <f>25.9955 * CHOOSE(CONTROL!$C$9, $D$9, 100%, $F$9) + CHOOSE(CONTROL!$C$27, 0.0021, 0)</f>
        <v>25.997599999999998</v>
      </c>
      <c r="K69" s="14">
        <f>25.9955 * CHOOSE(CONTROL!$C$9, $D$9, 100%, $F$9) + CHOOSE(CONTROL!$C$27, 0.0021, 0)</f>
        <v>25.997599999999998</v>
      </c>
      <c r="L69" s="14"/>
    </row>
    <row r="70" spans="1:12" ht="15" x14ac:dyDescent="0.2">
      <c r="A70" s="13">
        <v>43040</v>
      </c>
      <c r="B70" s="14">
        <f>26.5333 * CHOOSE(CONTROL!$C$9, $D$9, 100%, $F$9) + CHOOSE(CONTROL!$C$27, 0.0021, 0)</f>
        <v>26.535399999999999</v>
      </c>
      <c r="C70" s="14">
        <f>26.1011 * CHOOSE(CONTROL!$C$9, $D$9, 100%, $F$9) + CHOOSE(CONTROL!$C$27, 0.0021, 0)</f>
        <v>26.103199999999998</v>
      </c>
      <c r="D70" s="14">
        <f>26.1011 * CHOOSE(CONTROL!$C$9, $D$9, 100%, $F$9) + CHOOSE(CONTROL!$C$27, 0.0021, 0)</f>
        <v>26.103199999999998</v>
      </c>
      <c r="E70" s="14">
        <f>25.9644 * CHOOSE(CONTROL!$C$9, $D$9, 100%, $F$9) + CHOOSE(CONTROL!$C$27, 0.0021, 0)</f>
        <v>25.9665</v>
      </c>
      <c r="F70" s="14">
        <f>25.9644 * CHOOSE(CONTROL!$C$9, $D$9, 100%, $F$9) + CHOOSE(CONTROL!$C$27, 0.0021, 0)</f>
        <v>25.9665</v>
      </c>
      <c r="G70" s="14">
        <f>26.2358 * CHOOSE(CONTROL!$C$9, $D$9, 100%, $F$9) + CHOOSE(CONTROL!$C$27, 0.0021, 0)</f>
        <v>26.2379</v>
      </c>
      <c r="H70" s="14">
        <f>26.1011 * CHOOSE(CONTROL!$C$9, $D$9, 100%, $F$9) + CHOOSE(CONTROL!$C$27, 0.0021, 0)</f>
        <v>26.103199999999998</v>
      </c>
      <c r="I70" s="14">
        <f>26.1011 * CHOOSE(CONTROL!$C$9, $D$9, 100%, $F$9) + CHOOSE(CONTROL!$C$27, 0.0021, 0)</f>
        <v>26.103199999999998</v>
      </c>
      <c r="J70" s="14">
        <f>26.1011 * CHOOSE(CONTROL!$C$9, $D$9, 100%, $F$9) + CHOOSE(CONTROL!$C$27, 0.0021, 0)</f>
        <v>26.103199999999998</v>
      </c>
      <c r="K70" s="14">
        <f>26.1011 * CHOOSE(CONTROL!$C$9, $D$9, 100%, $F$9) + CHOOSE(CONTROL!$C$27, 0.0021, 0)</f>
        <v>26.103199999999998</v>
      </c>
      <c r="L70" s="14"/>
    </row>
    <row r="71" spans="1:12" ht="15" x14ac:dyDescent="0.2">
      <c r="A71" s="13">
        <v>43070</v>
      </c>
      <c r="B71" s="14">
        <f>26.107 * CHOOSE(CONTROL!$C$9, $D$9, 100%, $F$9) + CHOOSE(CONTROL!$C$27, 0.0021, 0)</f>
        <v>26.109099999999998</v>
      </c>
      <c r="C71" s="14">
        <f>25.6747 * CHOOSE(CONTROL!$C$9, $D$9, 100%, $F$9) + CHOOSE(CONTROL!$C$27, 0.0021, 0)</f>
        <v>25.6768</v>
      </c>
      <c r="D71" s="14">
        <f>25.6747 * CHOOSE(CONTROL!$C$9, $D$9, 100%, $F$9) + CHOOSE(CONTROL!$C$27, 0.0021, 0)</f>
        <v>25.6768</v>
      </c>
      <c r="E71" s="14">
        <f>25.538 * CHOOSE(CONTROL!$C$9, $D$9, 100%, $F$9) + CHOOSE(CONTROL!$C$27, 0.0021, 0)</f>
        <v>25.540099999999999</v>
      </c>
      <c r="F71" s="14">
        <f>25.538 * CHOOSE(CONTROL!$C$9, $D$9, 100%, $F$9) + CHOOSE(CONTROL!$C$27, 0.0021, 0)</f>
        <v>25.540099999999999</v>
      </c>
      <c r="G71" s="14">
        <f>25.8094 * CHOOSE(CONTROL!$C$9, $D$9, 100%, $F$9) + CHOOSE(CONTROL!$C$27, 0.0021, 0)</f>
        <v>25.811499999999999</v>
      </c>
      <c r="H71" s="14">
        <f>25.6747 * CHOOSE(CONTROL!$C$9, $D$9, 100%, $F$9) + CHOOSE(CONTROL!$C$27, 0.0021, 0)</f>
        <v>25.6768</v>
      </c>
      <c r="I71" s="14">
        <f>25.6747 * CHOOSE(CONTROL!$C$9, $D$9, 100%, $F$9) + CHOOSE(CONTROL!$C$27, 0.0021, 0)</f>
        <v>25.6768</v>
      </c>
      <c r="J71" s="14">
        <f>25.6747 * CHOOSE(CONTROL!$C$9, $D$9, 100%, $F$9) + CHOOSE(CONTROL!$C$27, 0.0021, 0)</f>
        <v>25.6768</v>
      </c>
      <c r="K71" s="14">
        <f>25.6747 * CHOOSE(CONTROL!$C$9, $D$9, 100%, $F$9) + CHOOSE(CONTROL!$C$27, 0.0021, 0)</f>
        <v>25.6768</v>
      </c>
      <c r="L71" s="14"/>
    </row>
    <row r="72" spans="1:12" ht="15" x14ac:dyDescent="0.2">
      <c r="A72" s="13">
        <v>43101</v>
      </c>
      <c r="B72" s="14">
        <f>28.7578 * CHOOSE(CONTROL!$C$9, $D$9, 100%, $F$9) + CHOOSE(CONTROL!$C$27, 0.0021, 0)</f>
        <v>28.759899999999998</v>
      </c>
      <c r="C72" s="14">
        <f>28.3255 * CHOOSE(CONTROL!$C$9, $D$9, 100%, $F$9) + CHOOSE(CONTROL!$C$27, 0.0021, 0)</f>
        <v>28.3276</v>
      </c>
      <c r="D72" s="14">
        <f>28.3255 * CHOOSE(CONTROL!$C$9, $D$9, 100%, $F$9) + CHOOSE(CONTROL!$C$27, 0.0021, 0)</f>
        <v>28.3276</v>
      </c>
      <c r="E72" s="14">
        <f>28.1889 * CHOOSE(CONTROL!$C$9, $D$9, 100%, $F$9) + CHOOSE(CONTROL!$C$27, 0.0021, 0)</f>
        <v>28.190999999999999</v>
      </c>
      <c r="F72" s="14">
        <f>28.1889 * CHOOSE(CONTROL!$C$9, $D$9, 100%, $F$9) + CHOOSE(CONTROL!$C$27, 0.0021, 0)</f>
        <v>28.190999999999999</v>
      </c>
      <c r="G72" s="14">
        <f>28.4602 * CHOOSE(CONTROL!$C$9, $D$9, 100%, $F$9) + CHOOSE(CONTROL!$C$27, 0.0021, 0)</f>
        <v>28.462299999999999</v>
      </c>
      <c r="H72" s="14">
        <f>28.3255 * CHOOSE(CONTROL!$C$9, $D$9, 100%, $F$9) + CHOOSE(CONTROL!$C$27, 0.0021, 0)</f>
        <v>28.3276</v>
      </c>
      <c r="I72" s="14">
        <f>28.3255 * CHOOSE(CONTROL!$C$9, $D$9, 100%, $F$9) + CHOOSE(CONTROL!$C$27, 0.0021, 0)</f>
        <v>28.3276</v>
      </c>
      <c r="J72" s="14">
        <f>28.3255 * CHOOSE(CONTROL!$C$9, $D$9, 100%, $F$9) + CHOOSE(CONTROL!$C$27, 0.0021, 0)</f>
        <v>28.3276</v>
      </c>
      <c r="K72" s="14">
        <f>28.3255 * CHOOSE(CONTROL!$C$9, $D$9, 100%, $F$9) + CHOOSE(CONTROL!$C$27, 0.0021, 0)</f>
        <v>28.3276</v>
      </c>
      <c r="L72" s="14"/>
    </row>
    <row r="73" spans="1:12" ht="15" x14ac:dyDescent="0.2">
      <c r="A73" s="13">
        <v>43132</v>
      </c>
      <c r="B73" s="14">
        <f>28.0621 * CHOOSE(CONTROL!$C$9, $D$9, 100%, $F$9) + CHOOSE(CONTROL!$C$27, 0.0021, 0)</f>
        <v>28.0642</v>
      </c>
      <c r="C73" s="14">
        <f>27.6299 * CHOOSE(CONTROL!$C$9, $D$9, 100%, $F$9) + CHOOSE(CONTROL!$C$27, 0.0021, 0)</f>
        <v>27.631999999999998</v>
      </c>
      <c r="D73" s="14">
        <f>27.6299 * CHOOSE(CONTROL!$C$9, $D$9, 100%, $F$9) + CHOOSE(CONTROL!$C$27, 0.0021, 0)</f>
        <v>27.631999999999998</v>
      </c>
      <c r="E73" s="14">
        <f>27.4932 * CHOOSE(CONTROL!$C$9, $D$9, 100%, $F$9) + CHOOSE(CONTROL!$C$27, 0.0021, 0)</f>
        <v>27.4953</v>
      </c>
      <c r="F73" s="14">
        <f>27.4932 * CHOOSE(CONTROL!$C$9, $D$9, 100%, $F$9) + CHOOSE(CONTROL!$C$27, 0.0021, 0)</f>
        <v>27.4953</v>
      </c>
      <c r="G73" s="14">
        <f>27.7646 * CHOOSE(CONTROL!$C$9, $D$9, 100%, $F$9) + CHOOSE(CONTROL!$C$27, 0.0021, 0)</f>
        <v>27.7667</v>
      </c>
      <c r="H73" s="14">
        <f>27.6299 * CHOOSE(CONTROL!$C$9, $D$9, 100%, $F$9) + CHOOSE(CONTROL!$C$27, 0.0021, 0)</f>
        <v>27.631999999999998</v>
      </c>
      <c r="I73" s="14">
        <f>27.6299 * CHOOSE(CONTROL!$C$9, $D$9, 100%, $F$9) + CHOOSE(CONTROL!$C$27, 0.0021, 0)</f>
        <v>27.631999999999998</v>
      </c>
      <c r="J73" s="14">
        <f>27.6299 * CHOOSE(CONTROL!$C$9, $D$9, 100%, $F$9) + CHOOSE(CONTROL!$C$27, 0.0021, 0)</f>
        <v>27.631999999999998</v>
      </c>
      <c r="K73" s="14">
        <f>27.6299 * CHOOSE(CONTROL!$C$9, $D$9, 100%, $F$9) + CHOOSE(CONTROL!$C$27, 0.0021, 0)</f>
        <v>27.631999999999998</v>
      </c>
      <c r="L73" s="14"/>
    </row>
    <row r="74" spans="1:12" ht="15" x14ac:dyDescent="0.2">
      <c r="A74" s="13">
        <v>43160</v>
      </c>
      <c r="B74" s="14">
        <f>27.8049 * CHOOSE(CONTROL!$C$9, $D$9, 100%, $F$9) + CHOOSE(CONTROL!$C$27, 0.0021, 0)</f>
        <v>27.806999999999999</v>
      </c>
      <c r="C74" s="14">
        <f>27.3727 * CHOOSE(CONTROL!$C$9, $D$9, 100%, $F$9) + CHOOSE(CONTROL!$C$27, 0.0021, 0)</f>
        <v>27.374799999999997</v>
      </c>
      <c r="D74" s="14">
        <f>27.3727 * CHOOSE(CONTROL!$C$9, $D$9, 100%, $F$9) + CHOOSE(CONTROL!$C$27, 0.0021, 0)</f>
        <v>27.374799999999997</v>
      </c>
      <c r="E74" s="14">
        <f>27.236 * CHOOSE(CONTROL!$C$9, $D$9, 100%, $F$9) + CHOOSE(CONTROL!$C$27, 0.0021, 0)</f>
        <v>27.238099999999999</v>
      </c>
      <c r="F74" s="14">
        <f>27.236 * CHOOSE(CONTROL!$C$9, $D$9, 100%, $F$9) + CHOOSE(CONTROL!$C$27, 0.0021, 0)</f>
        <v>27.238099999999999</v>
      </c>
      <c r="G74" s="14">
        <f>27.5074 * CHOOSE(CONTROL!$C$9, $D$9, 100%, $F$9) + CHOOSE(CONTROL!$C$27, 0.0021, 0)</f>
        <v>27.509499999999999</v>
      </c>
      <c r="H74" s="14">
        <f>27.3727 * CHOOSE(CONTROL!$C$9, $D$9, 100%, $F$9) + CHOOSE(CONTROL!$C$27, 0.0021, 0)</f>
        <v>27.374799999999997</v>
      </c>
      <c r="I74" s="14">
        <f>27.3727 * CHOOSE(CONTROL!$C$9, $D$9, 100%, $F$9) + CHOOSE(CONTROL!$C$27, 0.0021, 0)</f>
        <v>27.374799999999997</v>
      </c>
      <c r="J74" s="14">
        <f>27.3727 * CHOOSE(CONTROL!$C$9, $D$9, 100%, $F$9) + CHOOSE(CONTROL!$C$27, 0.0021, 0)</f>
        <v>27.374799999999997</v>
      </c>
      <c r="K74" s="14">
        <f>27.3727 * CHOOSE(CONTROL!$C$9, $D$9, 100%, $F$9) + CHOOSE(CONTROL!$C$27, 0.0021, 0)</f>
        <v>27.374799999999997</v>
      </c>
      <c r="L74" s="14"/>
    </row>
    <row r="75" spans="1:12" ht="15" x14ac:dyDescent="0.2">
      <c r="A75" s="13">
        <v>43191</v>
      </c>
      <c r="B75" s="14">
        <f>27.4862 * CHOOSE(CONTROL!$C$9, $D$9, 100%, $F$9) + CHOOSE(CONTROL!$C$27, 0.0021, 0)</f>
        <v>27.488299999999999</v>
      </c>
      <c r="C75" s="14">
        <f>27.054 * CHOOSE(CONTROL!$C$9, $D$9, 100%, $F$9) + CHOOSE(CONTROL!$C$27, 0.0021, 0)</f>
        <v>27.056099999999997</v>
      </c>
      <c r="D75" s="14">
        <f>27.054 * CHOOSE(CONTROL!$C$9, $D$9, 100%, $F$9) + CHOOSE(CONTROL!$C$27, 0.0021, 0)</f>
        <v>27.056099999999997</v>
      </c>
      <c r="E75" s="14">
        <f>26.9173 * CHOOSE(CONTROL!$C$9, $D$9, 100%, $F$9) + CHOOSE(CONTROL!$C$27, 0.0021, 0)</f>
        <v>26.9194</v>
      </c>
      <c r="F75" s="14">
        <f>26.9173 * CHOOSE(CONTROL!$C$9, $D$9, 100%, $F$9) + CHOOSE(CONTROL!$C$27, 0.0021, 0)</f>
        <v>26.9194</v>
      </c>
      <c r="G75" s="14">
        <f>27.1887 * CHOOSE(CONTROL!$C$9, $D$9, 100%, $F$9) + CHOOSE(CONTROL!$C$27, 0.0021, 0)</f>
        <v>27.190799999999999</v>
      </c>
      <c r="H75" s="14">
        <f>27.054 * CHOOSE(CONTROL!$C$9, $D$9, 100%, $F$9) + CHOOSE(CONTROL!$C$27, 0.0021, 0)</f>
        <v>27.056099999999997</v>
      </c>
      <c r="I75" s="14">
        <f>27.054 * CHOOSE(CONTROL!$C$9, $D$9, 100%, $F$9) + CHOOSE(CONTROL!$C$27, 0.0021, 0)</f>
        <v>27.056099999999997</v>
      </c>
      <c r="J75" s="14">
        <f>27.054 * CHOOSE(CONTROL!$C$9, $D$9, 100%, $F$9) + CHOOSE(CONTROL!$C$27, 0.0021, 0)</f>
        <v>27.056099999999997</v>
      </c>
      <c r="K75" s="14">
        <f>27.054 * CHOOSE(CONTROL!$C$9, $D$9, 100%, $F$9) + CHOOSE(CONTROL!$C$27, 0.0021, 0)</f>
        <v>27.056099999999997</v>
      </c>
      <c r="L75" s="14"/>
    </row>
    <row r="76" spans="1:12" ht="15" x14ac:dyDescent="0.2">
      <c r="A76" s="13">
        <v>43221</v>
      </c>
      <c r="B76" s="14">
        <f>28.0683 * CHOOSE(CONTROL!$C$9, $D$9, 100%, $F$9) + CHOOSE(CONTROL!$C$27, 0.0021, 0)</f>
        <v>28.070399999999999</v>
      </c>
      <c r="C76" s="14">
        <f>27.6361 * CHOOSE(CONTROL!$C$9, $D$9, 100%, $F$9) + CHOOSE(CONTROL!$C$27, 0.0021, 0)</f>
        <v>27.638199999999998</v>
      </c>
      <c r="D76" s="14">
        <f>27.6361 * CHOOSE(CONTROL!$C$9, $D$9, 100%, $F$9) + CHOOSE(CONTROL!$C$27, 0.0021, 0)</f>
        <v>27.638199999999998</v>
      </c>
      <c r="E76" s="14">
        <f>27.4994 * CHOOSE(CONTROL!$C$9, $D$9, 100%, $F$9) + CHOOSE(CONTROL!$C$27, 0.0021, 0)</f>
        <v>27.5015</v>
      </c>
      <c r="F76" s="14">
        <f>27.4994 * CHOOSE(CONTROL!$C$9, $D$9, 100%, $F$9) + CHOOSE(CONTROL!$C$27, 0.0021, 0)</f>
        <v>27.5015</v>
      </c>
      <c r="G76" s="14">
        <f>27.7708 * CHOOSE(CONTROL!$C$9, $D$9, 100%, $F$9) + CHOOSE(CONTROL!$C$27, 0.0021, 0)</f>
        <v>27.7729</v>
      </c>
      <c r="H76" s="14">
        <f>27.6361 * CHOOSE(CONTROL!$C$9, $D$9, 100%, $F$9) + CHOOSE(CONTROL!$C$27, 0.0021, 0)</f>
        <v>27.638199999999998</v>
      </c>
      <c r="I76" s="14">
        <f>27.6361 * CHOOSE(CONTROL!$C$9, $D$9, 100%, $F$9) + CHOOSE(CONTROL!$C$27, 0.0021, 0)</f>
        <v>27.638199999999998</v>
      </c>
      <c r="J76" s="14">
        <f>27.6361 * CHOOSE(CONTROL!$C$9, $D$9, 100%, $F$9) + CHOOSE(CONTROL!$C$27, 0.0021, 0)</f>
        <v>27.638199999999998</v>
      </c>
      <c r="K76" s="14">
        <f>27.6361 * CHOOSE(CONTROL!$C$9, $D$9, 100%, $F$9) + CHOOSE(CONTROL!$C$27, 0.0021, 0)</f>
        <v>27.638199999999998</v>
      </c>
      <c r="L76" s="14"/>
    </row>
    <row r="77" spans="1:12" ht="15" x14ac:dyDescent="0.2">
      <c r="A77" s="13">
        <v>43252</v>
      </c>
      <c r="B77" s="14">
        <f>28.4396 * CHOOSE(CONTROL!$C$9, $D$9, 100%, $F$9) + CHOOSE(CONTROL!$C$27, 0.0021, 0)</f>
        <v>28.441699999999997</v>
      </c>
      <c r="C77" s="14">
        <f>28.0074 * CHOOSE(CONTROL!$C$9, $D$9, 100%, $F$9) + CHOOSE(CONTROL!$C$27, 0.0021, 0)</f>
        <v>28.009499999999999</v>
      </c>
      <c r="D77" s="14">
        <f>28.0074 * CHOOSE(CONTROL!$C$9, $D$9, 100%, $F$9) + CHOOSE(CONTROL!$C$27, 0.0021, 0)</f>
        <v>28.009499999999999</v>
      </c>
      <c r="E77" s="14">
        <f>27.8707 * CHOOSE(CONTROL!$C$9, $D$9, 100%, $F$9) + CHOOSE(CONTROL!$C$27, 0.0021, 0)</f>
        <v>27.872799999999998</v>
      </c>
      <c r="F77" s="14">
        <f>27.8707 * CHOOSE(CONTROL!$C$9, $D$9, 100%, $F$9) + CHOOSE(CONTROL!$C$27, 0.0021, 0)</f>
        <v>27.872799999999998</v>
      </c>
      <c r="G77" s="14">
        <f>28.1421 * CHOOSE(CONTROL!$C$9, $D$9, 100%, $F$9) + CHOOSE(CONTROL!$C$27, 0.0021, 0)</f>
        <v>28.144199999999998</v>
      </c>
      <c r="H77" s="14">
        <f>28.0074 * CHOOSE(CONTROL!$C$9, $D$9, 100%, $F$9) + CHOOSE(CONTROL!$C$27, 0.0021, 0)</f>
        <v>28.009499999999999</v>
      </c>
      <c r="I77" s="14">
        <f>28.0074 * CHOOSE(CONTROL!$C$9, $D$9, 100%, $F$9) + CHOOSE(CONTROL!$C$27, 0.0021, 0)</f>
        <v>28.009499999999999</v>
      </c>
      <c r="J77" s="14">
        <f>28.0074 * CHOOSE(CONTROL!$C$9, $D$9, 100%, $F$9) + CHOOSE(CONTROL!$C$27, 0.0021, 0)</f>
        <v>28.009499999999999</v>
      </c>
      <c r="K77" s="14">
        <f>28.0074 * CHOOSE(CONTROL!$C$9, $D$9, 100%, $F$9) + CHOOSE(CONTROL!$C$27, 0.0021, 0)</f>
        <v>28.009499999999999</v>
      </c>
      <c r="L77" s="14"/>
    </row>
    <row r="78" spans="1:12" ht="15" x14ac:dyDescent="0.2">
      <c r="A78" s="13">
        <v>43282</v>
      </c>
      <c r="B78" s="14">
        <f>29.0195 * CHOOSE(CONTROL!$C$9, $D$9, 100%, $F$9) + CHOOSE(CONTROL!$C$27, 0.0021, 0)</f>
        <v>29.021599999999999</v>
      </c>
      <c r="C78" s="14">
        <f>28.5872 * CHOOSE(CONTROL!$C$9, $D$9, 100%, $F$9) + CHOOSE(CONTROL!$C$27, 0.0021, 0)</f>
        <v>28.589299999999998</v>
      </c>
      <c r="D78" s="14">
        <f>28.5872 * CHOOSE(CONTROL!$C$9, $D$9, 100%, $F$9) + CHOOSE(CONTROL!$C$27, 0.0021, 0)</f>
        <v>28.589299999999998</v>
      </c>
      <c r="E78" s="14">
        <f>28.4506 * CHOOSE(CONTROL!$C$9, $D$9, 100%, $F$9) + CHOOSE(CONTROL!$C$27, 0.0021, 0)</f>
        <v>28.4527</v>
      </c>
      <c r="F78" s="14">
        <f>28.4506 * CHOOSE(CONTROL!$C$9, $D$9, 100%, $F$9) + CHOOSE(CONTROL!$C$27, 0.0021, 0)</f>
        <v>28.4527</v>
      </c>
      <c r="G78" s="14">
        <f>28.7219 * CHOOSE(CONTROL!$C$9, $D$9, 100%, $F$9) + CHOOSE(CONTROL!$C$27, 0.0021, 0)</f>
        <v>28.724</v>
      </c>
      <c r="H78" s="14">
        <f>28.5872 * CHOOSE(CONTROL!$C$9, $D$9, 100%, $F$9) + CHOOSE(CONTROL!$C$27, 0.0021, 0)</f>
        <v>28.589299999999998</v>
      </c>
      <c r="I78" s="14">
        <f>28.5872 * CHOOSE(CONTROL!$C$9, $D$9, 100%, $F$9) + CHOOSE(CONTROL!$C$27, 0.0021, 0)</f>
        <v>28.589299999999998</v>
      </c>
      <c r="J78" s="14">
        <f>28.5872 * CHOOSE(CONTROL!$C$9, $D$9, 100%, $F$9) + CHOOSE(CONTROL!$C$27, 0.0021, 0)</f>
        <v>28.589299999999998</v>
      </c>
      <c r="K78" s="14">
        <f>28.5872 * CHOOSE(CONTROL!$C$9, $D$9, 100%, $F$9) + CHOOSE(CONTROL!$C$27, 0.0021, 0)</f>
        <v>28.589299999999998</v>
      </c>
      <c r="L78" s="14"/>
    </row>
    <row r="79" spans="1:12" ht="15" x14ac:dyDescent="0.2">
      <c r="A79" s="13">
        <v>43313</v>
      </c>
      <c r="B79" s="14">
        <f>29.2354 * CHOOSE(CONTROL!$C$9, $D$9, 100%, $F$9) + CHOOSE(CONTROL!$C$27, 0.0021, 0)</f>
        <v>29.237499999999997</v>
      </c>
      <c r="C79" s="14">
        <f>28.8032 * CHOOSE(CONTROL!$C$9, $D$9, 100%, $F$9) + CHOOSE(CONTROL!$C$27, 0.0021, 0)</f>
        <v>28.805299999999999</v>
      </c>
      <c r="D79" s="14">
        <f>28.8032 * CHOOSE(CONTROL!$C$9, $D$9, 100%, $F$9) + CHOOSE(CONTROL!$C$27, 0.0021, 0)</f>
        <v>28.805299999999999</v>
      </c>
      <c r="E79" s="14">
        <f>28.6665 * CHOOSE(CONTROL!$C$9, $D$9, 100%, $F$9) + CHOOSE(CONTROL!$C$27, 0.0021, 0)</f>
        <v>28.668599999999998</v>
      </c>
      <c r="F79" s="14">
        <f>28.6665 * CHOOSE(CONTROL!$C$9, $D$9, 100%, $F$9) + CHOOSE(CONTROL!$C$27, 0.0021, 0)</f>
        <v>28.668599999999998</v>
      </c>
      <c r="G79" s="14">
        <f>28.9379 * CHOOSE(CONTROL!$C$9, $D$9, 100%, $F$9) + CHOOSE(CONTROL!$C$27, 0.0021, 0)</f>
        <v>28.939999999999998</v>
      </c>
      <c r="H79" s="14">
        <f>28.8032 * CHOOSE(CONTROL!$C$9, $D$9, 100%, $F$9) + CHOOSE(CONTROL!$C$27, 0.0021, 0)</f>
        <v>28.805299999999999</v>
      </c>
      <c r="I79" s="14">
        <f>28.8032 * CHOOSE(CONTROL!$C$9, $D$9, 100%, $F$9) + CHOOSE(CONTROL!$C$27, 0.0021, 0)</f>
        <v>28.805299999999999</v>
      </c>
      <c r="J79" s="14">
        <f>28.8032 * CHOOSE(CONTROL!$C$9, $D$9, 100%, $F$9) + CHOOSE(CONTROL!$C$27, 0.0021, 0)</f>
        <v>28.805299999999999</v>
      </c>
      <c r="K79" s="14">
        <f>28.8032 * CHOOSE(CONTROL!$C$9, $D$9, 100%, $F$9) + CHOOSE(CONTROL!$C$27, 0.0021, 0)</f>
        <v>28.805299999999999</v>
      </c>
      <c r="L79" s="14"/>
    </row>
    <row r="80" spans="1:12" ht="15" x14ac:dyDescent="0.2">
      <c r="A80" s="13">
        <v>43344</v>
      </c>
      <c r="B80" s="14">
        <f>29.8399 * CHOOSE(CONTROL!$C$9, $D$9, 100%, $F$9) + CHOOSE(CONTROL!$C$27, 0.0021, 0)</f>
        <v>29.841999999999999</v>
      </c>
      <c r="C80" s="14">
        <f>29.4077 * CHOOSE(CONTROL!$C$9, $D$9, 100%, $F$9) + CHOOSE(CONTROL!$C$27, 0.0021, 0)</f>
        <v>29.409799999999997</v>
      </c>
      <c r="D80" s="14">
        <f>29.4077 * CHOOSE(CONTROL!$C$9, $D$9, 100%, $F$9) + CHOOSE(CONTROL!$C$27, 0.0021, 0)</f>
        <v>29.409799999999997</v>
      </c>
      <c r="E80" s="14">
        <f>29.271 * CHOOSE(CONTROL!$C$9, $D$9, 100%, $F$9) + CHOOSE(CONTROL!$C$27, 0.0021, 0)</f>
        <v>29.273099999999999</v>
      </c>
      <c r="F80" s="14">
        <f>29.271 * CHOOSE(CONTROL!$C$9, $D$9, 100%, $F$9) + CHOOSE(CONTROL!$C$27, 0.0021, 0)</f>
        <v>29.273099999999999</v>
      </c>
      <c r="G80" s="14">
        <f>29.5424 * CHOOSE(CONTROL!$C$9, $D$9, 100%, $F$9) + CHOOSE(CONTROL!$C$27, 0.0021, 0)</f>
        <v>29.544499999999999</v>
      </c>
      <c r="H80" s="14">
        <f>29.4077 * CHOOSE(CONTROL!$C$9, $D$9, 100%, $F$9) + CHOOSE(CONTROL!$C$27, 0.0021, 0)</f>
        <v>29.409799999999997</v>
      </c>
      <c r="I80" s="14">
        <f>29.4077 * CHOOSE(CONTROL!$C$9, $D$9, 100%, $F$9) + CHOOSE(CONTROL!$C$27, 0.0021, 0)</f>
        <v>29.409799999999997</v>
      </c>
      <c r="J80" s="14">
        <f>29.4077 * CHOOSE(CONTROL!$C$9, $D$9, 100%, $F$9) + CHOOSE(CONTROL!$C$27, 0.0021, 0)</f>
        <v>29.409799999999997</v>
      </c>
      <c r="K80" s="14">
        <f>29.4077 * CHOOSE(CONTROL!$C$9, $D$9, 100%, $F$9) + CHOOSE(CONTROL!$C$27, 0.0021, 0)</f>
        <v>29.409799999999997</v>
      </c>
      <c r="L80" s="14"/>
    </row>
    <row r="81" spans="1:12" ht="15" x14ac:dyDescent="0.2">
      <c r="A81" s="13">
        <v>43374</v>
      </c>
      <c r="B81" s="14">
        <f>30.5931 * CHOOSE(CONTROL!$C$9, $D$9, 100%, $F$9) + CHOOSE(CONTROL!$C$27, 0.0021, 0)</f>
        <v>30.595199999999998</v>
      </c>
      <c r="C81" s="14">
        <f>30.1608 * CHOOSE(CONTROL!$C$9, $D$9, 100%, $F$9) + CHOOSE(CONTROL!$C$27, 0.0021, 0)</f>
        <v>30.162899999999997</v>
      </c>
      <c r="D81" s="14">
        <f>30.1608 * CHOOSE(CONTROL!$C$9, $D$9, 100%, $F$9) + CHOOSE(CONTROL!$C$27, 0.0021, 0)</f>
        <v>30.162899999999997</v>
      </c>
      <c r="E81" s="14">
        <f>30.0241 * CHOOSE(CONTROL!$C$9, $D$9, 100%, $F$9) + CHOOSE(CONTROL!$C$27, 0.0021, 0)</f>
        <v>30.026199999999999</v>
      </c>
      <c r="F81" s="14">
        <f>30.0241 * CHOOSE(CONTROL!$C$9, $D$9, 100%, $F$9) + CHOOSE(CONTROL!$C$27, 0.0021, 0)</f>
        <v>30.026199999999999</v>
      </c>
      <c r="G81" s="14">
        <f>30.2955 * CHOOSE(CONTROL!$C$9, $D$9, 100%, $F$9) + CHOOSE(CONTROL!$C$27, 0.0021, 0)</f>
        <v>30.297599999999999</v>
      </c>
      <c r="H81" s="14">
        <f>30.1608 * CHOOSE(CONTROL!$C$9, $D$9, 100%, $F$9) + CHOOSE(CONTROL!$C$27, 0.0021, 0)</f>
        <v>30.162899999999997</v>
      </c>
      <c r="I81" s="14">
        <f>30.1608 * CHOOSE(CONTROL!$C$9, $D$9, 100%, $F$9) + CHOOSE(CONTROL!$C$27, 0.0021, 0)</f>
        <v>30.162899999999997</v>
      </c>
      <c r="J81" s="14">
        <f>30.1608 * CHOOSE(CONTROL!$C$9, $D$9, 100%, $F$9) + CHOOSE(CONTROL!$C$27, 0.0021, 0)</f>
        <v>30.162899999999997</v>
      </c>
      <c r="K81" s="14">
        <f>30.1608 * CHOOSE(CONTROL!$C$9, $D$9, 100%, $F$9) + CHOOSE(CONTROL!$C$27, 0.0021, 0)</f>
        <v>30.162899999999997</v>
      </c>
      <c r="L81" s="14"/>
    </row>
    <row r="82" spans="1:12" ht="15" x14ac:dyDescent="0.2">
      <c r="A82" s="13">
        <v>43405</v>
      </c>
      <c r="B82" s="14">
        <f>30.7169 * CHOOSE(CONTROL!$C$9, $D$9, 100%, $F$9) + CHOOSE(CONTROL!$C$27, 0.0021, 0)</f>
        <v>30.718999999999998</v>
      </c>
      <c r="C82" s="14">
        <f>30.2846 * CHOOSE(CONTROL!$C$9, $D$9, 100%, $F$9) + CHOOSE(CONTROL!$C$27, 0.0021, 0)</f>
        <v>30.2867</v>
      </c>
      <c r="D82" s="14">
        <f>30.2846 * CHOOSE(CONTROL!$C$9, $D$9, 100%, $F$9) + CHOOSE(CONTROL!$C$27, 0.0021, 0)</f>
        <v>30.2867</v>
      </c>
      <c r="E82" s="14">
        <f>30.1479 * CHOOSE(CONTROL!$C$9, $D$9, 100%, $F$9) + CHOOSE(CONTROL!$C$27, 0.0021, 0)</f>
        <v>30.15</v>
      </c>
      <c r="F82" s="14">
        <f>30.1479 * CHOOSE(CONTROL!$C$9, $D$9, 100%, $F$9) + CHOOSE(CONTROL!$C$27, 0.0021, 0)</f>
        <v>30.15</v>
      </c>
      <c r="G82" s="14">
        <f>30.4193 * CHOOSE(CONTROL!$C$9, $D$9, 100%, $F$9) + CHOOSE(CONTROL!$C$27, 0.0021, 0)</f>
        <v>30.421399999999998</v>
      </c>
      <c r="H82" s="14">
        <f>30.2846 * CHOOSE(CONTROL!$C$9, $D$9, 100%, $F$9) + CHOOSE(CONTROL!$C$27, 0.0021, 0)</f>
        <v>30.2867</v>
      </c>
      <c r="I82" s="14">
        <f>30.2846 * CHOOSE(CONTROL!$C$9, $D$9, 100%, $F$9) + CHOOSE(CONTROL!$C$27, 0.0021, 0)</f>
        <v>30.2867</v>
      </c>
      <c r="J82" s="14">
        <f>30.2846 * CHOOSE(CONTROL!$C$9, $D$9, 100%, $F$9) + CHOOSE(CONTROL!$C$27, 0.0021, 0)</f>
        <v>30.2867</v>
      </c>
      <c r="K82" s="14">
        <f>30.2846 * CHOOSE(CONTROL!$C$9, $D$9, 100%, $F$9) + CHOOSE(CONTROL!$C$27, 0.0021, 0)</f>
        <v>30.2867</v>
      </c>
      <c r="L82" s="14"/>
    </row>
    <row r="83" spans="1:12" ht="15" x14ac:dyDescent="0.2">
      <c r="A83" s="13">
        <v>43435</v>
      </c>
      <c r="B83" s="14">
        <f>30.2169 * CHOOSE(CONTROL!$C$9, $D$9, 100%, $F$9) + CHOOSE(CONTROL!$C$27, 0.0021, 0)</f>
        <v>30.218999999999998</v>
      </c>
      <c r="C83" s="14">
        <f>29.7847 * CHOOSE(CONTROL!$C$9, $D$9, 100%, $F$9) + CHOOSE(CONTROL!$C$27, 0.0021, 0)</f>
        <v>29.786799999999999</v>
      </c>
      <c r="D83" s="14">
        <f>29.7847 * CHOOSE(CONTROL!$C$9, $D$9, 100%, $F$9) + CHOOSE(CONTROL!$C$27, 0.0021, 0)</f>
        <v>29.786799999999999</v>
      </c>
      <c r="E83" s="14">
        <f>29.648 * CHOOSE(CONTROL!$C$9, $D$9, 100%, $F$9) + CHOOSE(CONTROL!$C$27, 0.0021, 0)</f>
        <v>29.650099999999998</v>
      </c>
      <c r="F83" s="14">
        <f>29.648 * CHOOSE(CONTROL!$C$9, $D$9, 100%, $F$9) + CHOOSE(CONTROL!$C$27, 0.0021, 0)</f>
        <v>29.650099999999998</v>
      </c>
      <c r="G83" s="14">
        <f>29.9194 * CHOOSE(CONTROL!$C$9, $D$9, 100%, $F$9) + CHOOSE(CONTROL!$C$27, 0.0021, 0)</f>
        <v>29.921499999999998</v>
      </c>
      <c r="H83" s="14">
        <f>29.7847 * CHOOSE(CONTROL!$C$9, $D$9, 100%, $F$9) + CHOOSE(CONTROL!$C$27, 0.0021, 0)</f>
        <v>29.786799999999999</v>
      </c>
      <c r="I83" s="14">
        <f>29.7847 * CHOOSE(CONTROL!$C$9, $D$9, 100%, $F$9) + CHOOSE(CONTROL!$C$27, 0.0021, 0)</f>
        <v>29.786799999999999</v>
      </c>
      <c r="J83" s="14">
        <f>29.7847 * CHOOSE(CONTROL!$C$9, $D$9, 100%, $F$9) + CHOOSE(CONTROL!$C$27, 0.0021, 0)</f>
        <v>29.786799999999999</v>
      </c>
      <c r="K83" s="14">
        <f>29.7847 * CHOOSE(CONTROL!$C$9, $D$9, 100%, $F$9) + CHOOSE(CONTROL!$C$27, 0.0021, 0)</f>
        <v>29.786799999999999</v>
      </c>
      <c r="L83" s="14"/>
    </row>
    <row r="84" spans="1:12" ht="15" x14ac:dyDescent="0.2">
      <c r="A84" s="13">
        <v>43466</v>
      </c>
      <c r="B84" s="14">
        <f>30.1047 * CHOOSE(CONTROL!$C$9, $D$9, 100%, $F$9) + CHOOSE(CONTROL!$C$27, 0.0021, 0)</f>
        <v>30.1068</v>
      </c>
      <c r="C84" s="14">
        <f>29.6725 * CHOOSE(CONTROL!$C$9, $D$9, 100%, $F$9) + CHOOSE(CONTROL!$C$27, 0.0021, 0)</f>
        <v>29.674599999999998</v>
      </c>
      <c r="D84" s="14">
        <f>29.6725 * CHOOSE(CONTROL!$C$9, $D$9, 100%, $F$9) + CHOOSE(CONTROL!$C$27, 0.0021, 0)</f>
        <v>29.674599999999998</v>
      </c>
      <c r="E84" s="14">
        <f>29.5358 * CHOOSE(CONTROL!$C$9, $D$9, 100%, $F$9) + CHOOSE(CONTROL!$C$27, 0.0021, 0)</f>
        <v>29.537899999999997</v>
      </c>
      <c r="F84" s="14">
        <f>29.5358 * CHOOSE(CONTROL!$C$9, $D$9, 100%, $F$9) + CHOOSE(CONTROL!$C$27, 0.0021, 0)</f>
        <v>29.537899999999997</v>
      </c>
      <c r="G84" s="14">
        <f>29.8072 * CHOOSE(CONTROL!$C$9, $D$9, 100%, $F$9) + CHOOSE(CONTROL!$C$27, 0.0021, 0)</f>
        <v>29.8093</v>
      </c>
      <c r="H84" s="14">
        <f>29.6725 * CHOOSE(CONTROL!$C$9, $D$9, 100%, $F$9) + CHOOSE(CONTROL!$C$27, 0.0021, 0)</f>
        <v>29.674599999999998</v>
      </c>
      <c r="I84" s="14">
        <f>29.6725 * CHOOSE(CONTROL!$C$9, $D$9, 100%, $F$9) + CHOOSE(CONTROL!$C$27, 0.0021, 0)</f>
        <v>29.674599999999998</v>
      </c>
      <c r="J84" s="14">
        <f>29.6725 * CHOOSE(CONTROL!$C$9, $D$9, 100%, $F$9) + CHOOSE(CONTROL!$C$27, 0.0021, 0)</f>
        <v>29.674599999999998</v>
      </c>
      <c r="K84" s="14">
        <f>29.6725 * CHOOSE(CONTROL!$C$9, $D$9, 100%, $F$9) + CHOOSE(CONTROL!$C$27, 0.0021, 0)</f>
        <v>29.674599999999998</v>
      </c>
      <c r="L84" s="14"/>
    </row>
    <row r="85" spans="1:12" ht="15" x14ac:dyDescent="0.2">
      <c r="A85" s="13">
        <v>43497</v>
      </c>
      <c r="B85" s="14">
        <f>29.3737 * CHOOSE(CONTROL!$C$9, $D$9, 100%, $F$9) + CHOOSE(CONTROL!$C$27, 0.0021, 0)</f>
        <v>29.375799999999998</v>
      </c>
      <c r="C85" s="14">
        <f>28.9414 * CHOOSE(CONTROL!$C$9, $D$9, 100%, $F$9) + CHOOSE(CONTROL!$C$27, 0.0021, 0)</f>
        <v>28.9435</v>
      </c>
      <c r="D85" s="14">
        <f>28.9414 * CHOOSE(CONTROL!$C$9, $D$9, 100%, $F$9) + CHOOSE(CONTROL!$C$27, 0.0021, 0)</f>
        <v>28.9435</v>
      </c>
      <c r="E85" s="14">
        <f>28.8048 * CHOOSE(CONTROL!$C$9, $D$9, 100%, $F$9) + CHOOSE(CONTROL!$C$27, 0.0021, 0)</f>
        <v>28.806899999999999</v>
      </c>
      <c r="F85" s="14">
        <f>28.8048 * CHOOSE(CONTROL!$C$9, $D$9, 100%, $F$9) + CHOOSE(CONTROL!$C$27, 0.0021, 0)</f>
        <v>28.806899999999999</v>
      </c>
      <c r="G85" s="14">
        <f>29.0762 * CHOOSE(CONTROL!$C$9, $D$9, 100%, $F$9) + CHOOSE(CONTROL!$C$27, 0.0021, 0)</f>
        <v>29.078299999999999</v>
      </c>
      <c r="H85" s="14">
        <f>28.9414 * CHOOSE(CONTROL!$C$9, $D$9, 100%, $F$9) + CHOOSE(CONTROL!$C$27, 0.0021, 0)</f>
        <v>28.9435</v>
      </c>
      <c r="I85" s="14">
        <f>28.9414 * CHOOSE(CONTROL!$C$9, $D$9, 100%, $F$9) + CHOOSE(CONTROL!$C$27, 0.0021, 0)</f>
        <v>28.9435</v>
      </c>
      <c r="J85" s="14">
        <f>28.9414 * CHOOSE(CONTROL!$C$9, $D$9, 100%, $F$9) + CHOOSE(CONTROL!$C$27, 0.0021, 0)</f>
        <v>28.9435</v>
      </c>
      <c r="K85" s="14">
        <f>28.9414 * CHOOSE(CONTROL!$C$9, $D$9, 100%, $F$9) + CHOOSE(CONTROL!$C$27, 0.0021, 0)</f>
        <v>28.9435</v>
      </c>
      <c r="L85" s="14"/>
    </row>
    <row r="86" spans="1:12" ht="15" x14ac:dyDescent="0.2">
      <c r="A86" s="13">
        <v>43525</v>
      </c>
      <c r="B86" s="14">
        <f>29.1034 * CHOOSE(CONTROL!$C$9, $D$9, 100%, $F$9) + CHOOSE(CONTROL!$C$27, 0.0021, 0)</f>
        <v>29.105499999999999</v>
      </c>
      <c r="C86" s="14">
        <f>28.6711 * CHOOSE(CONTROL!$C$9, $D$9, 100%, $F$9) + CHOOSE(CONTROL!$C$27, 0.0021, 0)</f>
        <v>28.673199999999998</v>
      </c>
      <c r="D86" s="14">
        <f>28.6711 * CHOOSE(CONTROL!$C$9, $D$9, 100%, $F$9) + CHOOSE(CONTROL!$C$27, 0.0021, 0)</f>
        <v>28.673199999999998</v>
      </c>
      <c r="E86" s="14">
        <f>28.5345 * CHOOSE(CONTROL!$C$9, $D$9, 100%, $F$9) + CHOOSE(CONTROL!$C$27, 0.0021, 0)</f>
        <v>28.5366</v>
      </c>
      <c r="F86" s="14">
        <f>28.5345 * CHOOSE(CONTROL!$C$9, $D$9, 100%, $F$9) + CHOOSE(CONTROL!$C$27, 0.0021, 0)</f>
        <v>28.5366</v>
      </c>
      <c r="G86" s="14">
        <f>28.8059 * CHOOSE(CONTROL!$C$9, $D$9, 100%, $F$9) + CHOOSE(CONTROL!$C$27, 0.0021, 0)</f>
        <v>28.808</v>
      </c>
      <c r="H86" s="14">
        <f>28.6711 * CHOOSE(CONTROL!$C$9, $D$9, 100%, $F$9) + CHOOSE(CONTROL!$C$27, 0.0021, 0)</f>
        <v>28.673199999999998</v>
      </c>
      <c r="I86" s="14">
        <f>28.6711 * CHOOSE(CONTROL!$C$9, $D$9, 100%, $F$9) + CHOOSE(CONTROL!$C$27, 0.0021, 0)</f>
        <v>28.673199999999998</v>
      </c>
      <c r="J86" s="14">
        <f>28.6711 * CHOOSE(CONTROL!$C$9, $D$9, 100%, $F$9) + CHOOSE(CONTROL!$C$27, 0.0021, 0)</f>
        <v>28.673199999999998</v>
      </c>
      <c r="K86" s="14">
        <f>28.6711 * CHOOSE(CONTROL!$C$9, $D$9, 100%, $F$9) + CHOOSE(CONTROL!$C$27, 0.0021, 0)</f>
        <v>28.673199999999998</v>
      </c>
      <c r="L86" s="14"/>
    </row>
    <row r="87" spans="1:12" ht="15" x14ac:dyDescent="0.2">
      <c r="A87" s="13">
        <v>43556</v>
      </c>
      <c r="B87" s="14">
        <f>28.7685 * CHOOSE(CONTROL!$C$9, $D$9, 100%, $F$9) + CHOOSE(CONTROL!$C$27, 0.0021, 0)</f>
        <v>28.770599999999998</v>
      </c>
      <c r="C87" s="14">
        <f>28.3362 * CHOOSE(CONTROL!$C$9, $D$9, 100%, $F$9) + CHOOSE(CONTROL!$C$27, 0.0021, 0)</f>
        <v>28.3383</v>
      </c>
      <c r="D87" s="14">
        <f>28.3362 * CHOOSE(CONTROL!$C$9, $D$9, 100%, $F$9) + CHOOSE(CONTROL!$C$27, 0.0021, 0)</f>
        <v>28.3383</v>
      </c>
      <c r="E87" s="14">
        <f>28.1996 * CHOOSE(CONTROL!$C$9, $D$9, 100%, $F$9) + CHOOSE(CONTROL!$C$27, 0.0021, 0)</f>
        <v>28.201699999999999</v>
      </c>
      <c r="F87" s="14">
        <f>28.1996 * CHOOSE(CONTROL!$C$9, $D$9, 100%, $F$9) + CHOOSE(CONTROL!$C$27, 0.0021, 0)</f>
        <v>28.201699999999999</v>
      </c>
      <c r="G87" s="14">
        <f>28.4709 * CHOOSE(CONTROL!$C$9, $D$9, 100%, $F$9) + CHOOSE(CONTROL!$C$27, 0.0021, 0)</f>
        <v>28.472999999999999</v>
      </c>
      <c r="H87" s="14">
        <f>28.3362 * CHOOSE(CONTROL!$C$9, $D$9, 100%, $F$9) + CHOOSE(CONTROL!$C$27, 0.0021, 0)</f>
        <v>28.3383</v>
      </c>
      <c r="I87" s="14">
        <f>28.3362 * CHOOSE(CONTROL!$C$9, $D$9, 100%, $F$9) + CHOOSE(CONTROL!$C$27, 0.0021, 0)</f>
        <v>28.3383</v>
      </c>
      <c r="J87" s="14">
        <f>28.3362 * CHOOSE(CONTROL!$C$9, $D$9, 100%, $F$9) + CHOOSE(CONTROL!$C$27, 0.0021, 0)</f>
        <v>28.3383</v>
      </c>
      <c r="K87" s="14">
        <f>28.3362 * CHOOSE(CONTROL!$C$9, $D$9, 100%, $F$9) + CHOOSE(CONTROL!$C$27, 0.0021, 0)</f>
        <v>28.3383</v>
      </c>
      <c r="L87" s="14"/>
    </row>
    <row r="88" spans="1:12" ht="15" x14ac:dyDescent="0.2">
      <c r="A88" s="13">
        <v>43586</v>
      </c>
      <c r="B88" s="14">
        <f>29.3802 * CHOOSE(CONTROL!$C$9, $D$9, 100%, $F$9) + CHOOSE(CONTROL!$C$27, 0.0021, 0)</f>
        <v>29.382299999999997</v>
      </c>
      <c r="C88" s="14">
        <f>28.9479 * CHOOSE(CONTROL!$C$9, $D$9, 100%, $F$9) + CHOOSE(CONTROL!$C$27, 0.0021, 0)</f>
        <v>28.95</v>
      </c>
      <c r="D88" s="14">
        <f>28.9479 * CHOOSE(CONTROL!$C$9, $D$9, 100%, $F$9) + CHOOSE(CONTROL!$C$27, 0.0021, 0)</f>
        <v>28.95</v>
      </c>
      <c r="E88" s="14">
        <f>28.8113 * CHOOSE(CONTROL!$C$9, $D$9, 100%, $F$9) + CHOOSE(CONTROL!$C$27, 0.0021, 0)</f>
        <v>28.813399999999998</v>
      </c>
      <c r="F88" s="14">
        <f>28.8113 * CHOOSE(CONTROL!$C$9, $D$9, 100%, $F$9) + CHOOSE(CONTROL!$C$27, 0.0021, 0)</f>
        <v>28.813399999999998</v>
      </c>
      <c r="G88" s="14">
        <f>29.0826 * CHOOSE(CONTROL!$C$9, $D$9, 100%, $F$9) + CHOOSE(CONTROL!$C$27, 0.0021, 0)</f>
        <v>29.084699999999998</v>
      </c>
      <c r="H88" s="14">
        <f>28.9479 * CHOOSE(CONTROL!$C$9, $D$9, 100%, $F$9) + CHOOSE(CONTROL!$C$27, 0.0021, 0)</f>
        <v>28.95</v>
      </c>
      <c r="I88" s="14">
        <f>28.9479 * CHOOSE(CONTROL!$C$9, $D$9, 100%, $F$9) + CHOOSE(CONTROL!$C$27, 0.0021, 0)</f>
        <v>28.95</v>
      </c>
      <c r="J88" s="14">
        <f>28.9479 * CHOOSE(CONTROL!$C$9, $D$9, 100%, $F$9) + CHOOSE(CONTROL!$C$27, 0.0021, 0)</f>
        <v>28.95</v>
      </c>
      <c r="K88" s="14">
        <f>28.9479 * CHOOSE(CONTROL!$C$9, $D$9, 100%, $F$9) + CHOOSE(CONTROL!$C$27, 0.0021, 0)</f>
        <v>28.95</v>
      </c>
      <c r="L88" s="14"/>
    </row>
    <row r="89" spans="1:12" ht="15" x14ac:dyDescent="0.2">
      <c r="A89" s="13">
        <v>43617</v>
      </c>
      <c r="B89" s="14">
        <f>29.7704 * CHOOSE(CONTROL!$C$9, $D$9, 100%, $F$9) + CHOOSE(CONTROL!$C$27, 0.0021, 0)</f>
        <v>29.772499999999997</v>
      </c>
      <c r="C89" s="14">
        <f>29.3381 * CHOOSE(CONTROL!$C$9, $D$9, 100%, $F$9) + CHOOSE(CONTROL!$C$27, 0.0021, 0)</f>
        <v>29.340199999999999</v>
      </c>
      <c r="D89" s="14">
        <f>29.3381 * CHOOSE(CONTROL!$C$9, $D$9, 100%, $F$9) + CHOOSE(CONTROL!$C$27, 0.0021, 0)</f>
        <v>29.340199999999999</v>
      </c>
      <c r="E89" s="14">
        <f>29.2015 * CHOOSE(CONTROL!$C$9, $D$9, 100%, $F$9) + CHOOSE(CONTROL!$C$27, 0.0021, 0)</f>
        <v>29.203599999999998</v>
      </c>
      <c r="F89" s="14">
        <f>29.2015 * CHOOSE(CONTROL!$C$9, $D$9, 100%, $F$9) + CHOOSE(CONTROL!$C$27, 0.0021, 0)</f>
        <v>29.203599999999998</v>
      </c>
      <c r="G89" s="14">
        <f>29.4728 * CHOOSE(CONTROL!$C$9, $D$9, 100%, $F$9) + CHOOSE(CONTROL!$C$27, 0.0021, 0)</f>
        <v>29.474899999999998</v>
      </c>
      <c r="H89" s="14">
        <f>29.3381 * CHOOSE(CONTROL!$C$9, $D$9, 100%, $F$9) + CHOOSE(CONTROL!$C$27, 0.0021, 0)</f>
        <v>29.340199999999999</v>
      </c>
      <c r="I89" s="14">
        <f>29.3381 * CHOOSE(CONTROL!$C$9, $D$9, 100%, $F$9) + CHOOSE(CONTROL!$C$27, 0.0021, 0)</f>
        <v>29.340199999999999</v>
      </c>
      <c r="J89" s="14">
        <f>29.3381 * CHOOSE(CONTROL!$C$9, $D$9, 100%, $F$9) + CHOOSE(CONTROL!$C$27, 0.0021, 0)</f>
        <v>29.340199999999999</v>
      </c>
      <c r="K89" s="14">
        <f>29.3381 * CHOOSE(CONTROL!$C$9, $D$9, 100%, $F$9) + CHOOSE(CONTROL!$C$27, 0.0021, 0)</f>
        <v>29.340199999999999</v>
      </c>
      <c r="L89" s="14"/>
    </row>
    <row r="90" spans="1:12" ht="15" x14ac:dyDescent="0.2">
      <c r="A90" s="13">
        <v>43647</v>
      </c>
      <c r="B90" s="14">
        <f>30.3797 * CHOOSE(CONTROL!$C$9, $D$9, 100%, $F$9) + CHOOSE(CONTROL!$C$27, 0.0021, 0)</f>
        <v>30.381799999999998</v>
      </c>
      <c r="C90" s="14">
        <f>29.9475 * CHOOSE(CONTROL!$C$9, $D$9, 100%, $F$9) + CHOOSE(CONTROL!$C$27, 0.0021, 0)</f>
        <v>29.9496</v>
      </c>
      <c r="D90" s="14">
        <f>29.9475 * CHOOSE(CONTROL!$C$9, $D$9, 100%, $F$9) + CHOOSE(CONTROL!$C$27, 0.0021, 0)</f>
        <v>29.9496</v>
      </c>
      <c r="E90" s="14">
        <f>29.8108 * CHOOSE(CONTROL!$C$9, $D$9, 100%, $F$9) + CHOOSE(CONTROL!$C$27, 0.0021, 0)</f>
        <v>29.812899999999999</v>
      </c>
      <c r="F90" s="14">
        <f>29.8108 * CHOOSE(CONTROL!$C$9, $D$9, 100%, $F$9) + CHOOSE(CONTROL!$C$27, 0.0021, 0)</f>
        <v>29.812899999999999</v>
      </c>
      <c r="G90" s="14">
        <f>30.0822 * CHOOSE(CONTROL!$C$9, $D$9, 100%, $F$9) + CHOOSE(CONTROL!$C$27, 0.0021, 0)</f>
        <v>30.084299999999999</v>
      </c>
      <c r="H90" s="14">
        <f>29.9475 * CHOOSE(CONTROL!$C$9, $D$9, 100%, $F$9) + CHOOSE(CONTROL!$C$27, 0.0021, 0)</f>
        <v>29.9496</v>
      </c>
      <c r="I90" s="14">
        <f>29.9475 * CHOOSE(CONTROL!$C$9, $D$9, 100%, $F$9) + CHOOSE(CONTROL!$C$27, 0.0021, 0)</f>
        <v>29.9496</v>
      </c>
      <c r="J90" s="14">
        <f>29.9475 * CHOOSE(CONTROL!$C$9, $D$9, 100%, $F$9) + CHOOSE(CONTROL!$C$27, 0.0021, 0)</f>
        <v>29.9496</v>
      </c>
      <c r="K90" s="14">
        <f>29.9475 * CHOOSE(CONTROL!$C$9, $D$9, 100%, $F$9) + CHOOSE(CONTROL!$C$27, 0.0021, 0)</f>
        <v>29.9496</v>
      </c>
      <c r="L90" s="14"/>
    </row>
    <row r="91" spans="1:12" ht="15" x14ac:dyDescent="0.2">
      <c r="A91" s="13">
        <v>43678</v>
      </c>
      <c r="B91" s="14">
        <f>30.6067 * CHOOSE(CONTROL!$C$9, $D$9, 100%, $F$9) + CHOOSE(CONTROL!$C$27, 0.0021, 0)</f>
        <v>30.608799999999999</v>
      </c>
      <c r="C91" s="14">
        <f>30.1744 * CHOOSE(CONTROL!$C$9, $D$9, 100%, $F$9) + CHOOSE(CONTROL!$C$27, 0.0021, 0)</f>
        <v>30.176499999999997</v>
      </c>
      <c r="D91" s="14">
        <f>30.1744 * CHOOSE(CONTROL!$C$9, $D$9, 100%, $F$9) + CHOOSE(CONTROL!$C$27, 0.0021, 0)</f>
        <v>30.176499999999997</v>
      </c>
      <c r="E91" s="14">
        <f>30.0378 * CHOOSE(CONTROL!$C$9, $D$9, 100%, $F$9) + CHOOSE(CONTROL!$C$27, 0.0021, 0)</f>
        <v>30.039899999999999</v>
      </c>
      <c r="F91" s="14">
        <f>30.0378 * CHOOSE(CONTROL!$C$9, $D$9, 100%, $F$9) + CHOOSE(CONTROL!$C$27, 0.0021, 0)</f>
        <v>30.039899999999999</v>
      </c>
      <c r="G91" s="14">
        <f>30.3091 * CHOOSE(CONTROL!$C$9, $D$9, 100%, $F$9) + CHOOSE(CONTROL!$C$27, 0.0021, 0)</f>
        <v>30.311199999999999</v>
      </c>
      <c r="H91" s="14">
        <f>30.1744 * CHOOSE(CONTROL!$C$9, $D$9, 100%, $F$9) + CHOOSE(CONTROL!$C$27, 0.0021, 0)</f>
        <v>30.176499999999997</v>
      </c>
      <c r="I91" s="14">
        <f>30.1744 * CHOOSE(CONTROL!$C$9, $D$9, 100%, $F$9) + CHOOSE(CONTROL!$C$27, 0.0021, 0)</f>
        <v>30.176499999999997</v>
      </c>
      <c r="J91" s="14">
        <f>30.1744 * CHOOSE(CONTROL!$C$9, $D$9, 100%, $F$9) + CHOOSE(CONTROL!$C$27, 0.0021, 0)</f>
        <v>30.176499999999997</v>
      </c>
      <c r="K91" s="14">
        <f>30.1744 * CHOOSE(CONTROL!$C$9, $D$9, 100%, $F$9) + CHOOSE(CONTROL!$C$27, 0.0021, 0)</f>
        <v>30.176499999999997</v>
      </c>
      <c r="L91" s="14"/>
    </row>
    <row r="92" spans="1:12" ht="15" x14ac:dyDescent="0.2">
      <c r="A92" s="13">
        <v>43709</v>
      </c>
      <c r="B92" s="14">
        <f>31.2419 * CHOOSE(CONTROL!$C$9, $D$9, 100%, $F$9) + CHOOSE(CONTROL!$C$27, 0.0021, 0)</f>
        <v>31.244</v>
      </c>
      <c r="C92" s="14">
        <f>30.8097 * CHOOSE(CONTROL!$C$9, $D$9, 100%, $F$9) + CHOOSE(CONTROL!$C$27, 0.0021, 0)</f>
        <v>30.811799999999998</v>
      </c>
      <c r="D92" s="14">
        <f>30.8097 * CHOOSE(CONTROL!$C$9, $D$9, 100%, $F$9) + CHOOSE(CONTROL!$C$27, 0.0021, 0)</f>
        <v>30.811799999999998</v>
      </c>
      <c r="E92" s="14">
        <f>30.673 * CHOOSE(CONTROL!$C$9, $D$9, 100%, $F$9) + CHOOSE(CONTROL!$C$27, 0.0021, 0)</f>
        <v>30.675099999999997</v>
      </c>
      <c r="F92" s="14">
        <f>30.673 * CHOOSE(CONTROL!$C$9, $D$9, 100%, $F$9) + CHOOSE(CONTROL!$C$27, 0.0021, 0)</f>
        <v>30.675099999999997</v>
      </c>
      <c r="G92" s="14">
        <f>30.9444 * CHOOSE(CONTROL!$C$9, $D$9, 100%, $F$9) + CHOOSE(CONTROL!$C$27, 0.0021, 0)</f>
        <v>30.9465</v>
      </c>
      <c r="H92" s="14">
        <f>30.8097 * CHOOSE(CONTROL!$C$9, $D$9, 100%, $F$9) + CHOOSE(CONTROL!$C$27, 0.0021, 0)</f>
        <v>30.811799999999998</v>
      </c>
      <c r="I92" s="14">
        <f>30.8097 * CHOOSE(CONTROL!$C$9, $D$9, 100%, $F$9) + CHOOSE(CONTROL!$C$27, 0.0021, 0)</f>
        <v>30.811799999999998</v>
      </c>
      <c r="J92" s="14">
        <f>30.8097 * CHOOSE(CONTROL!$C$9, $D$9, 100%, $F$9) + CHOOSE(CONTROL!$C$27, 0.0021, 0)</f>
        <v>30.811799999999998</v>
      </c>
      <c r="K92" s="14">
        <f>30.8097 * CHOOSE(CONTROL!$C$9, $D$9, 100%, $F$9) + CHOOSE(CONTROL!$C$27, 0.0021, 0)</f>
        <v>30.811799999999998</v>
      </c>
      <c r="L92" s="14"/>
    </row>
    <row r="93" spans="1:12" ht="15" x14ac:dyDescent="0.2">
      <c r="A93" s="13">
        <v>43739</v>
      </c>
      <c r="B93" s="14">
        <f>32.0334 * CHOOSE(CONTROL!$C$9, $D$9, 100%, $F$9) + CHOOSE(CONTROL!$C$27, 0.0021, 0)</f>
        <v>32.035499999999999</v>
      </c>
      <c r="C93" s="14">
        <f>31.6012 * CHOOSE(CONTROL!$C$9, $D$9, 100%, $F$9) + CHOOSE(CONTROL!$C$27, 0.0021, 0)</f>
        <v>31.603299999999997</v>
      </c>
      <c r="D93" s="14">
        <f>31.6012 * CHOOSE(CONTROL!$C$9, $D$9, 100%, $F$9) + CHOOSE(CONTROL!$C$27, 0.0021, 0)</f>
        <v>31.603299999999997</v>
      </c>
      <c r="E93" s="14">
        <f>31.4645 * CHOOSE(CONTROL!$C$9, $D$9, 100%, $F$9) + CHOOSE(CONTROL!$C$27, 0.0021, 0)</f>
        <v>31.4666</v>
      </c>
      <c r="F93" s="14">
        <f>31.4645 * CHOOSE(CONTROL!$C$9, $D$9, 100%, $F$9) + CHOOSE(CONTROL!$C$27, 0.0021, 0)</f>
        <v>31.4666</v>
      </c>
      <c r="G93" s="14">
        <f>31.7359 * CHOOSE(CONTROL!$C$9, $D$9, 100%, $F$9) + CHOOSE(CONTROL!$C$27, 0.0021, 0)</f>
        <v>31.738</v>
      </c>
      <c r="H93" s="14">
        <f>31.6012 * CHOOSE(CONTROL!$C$9, $D$9, 100%, $F$9) + CHOOSE(CONTROL!$C$27, 0.0021, 0)</f>
        <v>31.603299999999997</v>
      </c>
      <c r="I93" s="14">
        <f>31.6012 * CHOOSE(CONTROL!$C$9, $D$9, 100%, $F$9) + CHOOSE(CONTROL!$C$27, 0.0021, 0)</f>
        <v>31.603299999999997</v>
      </c>
      <c r="J93" s="14">
        <f>31.6012 * CHOOSE(CONTROL!$C$9, $D$9, 100%, $F$9) + CHOOSE(CONTROL!$C$27, 0.0021, 0)</f>
        <v>31.603299999999997</v>
      </c>
      <c r="K93" s="14">
        <f>31.6012 * CHOOSE(CONTROL!$C$9, $D$9, 100%, $F$9) + CHOOSE(CONTROL!$C$27, 0.0021, 0)</f>
        <v>31.603299999999997</v>
      </c>
      <c r="L93" s="14"/>
    </row>
    <row r="94" spans="1:12" ht="15" x14ac:dyDescent="0.2">
      <c r="A94" s="13">
        <v>43770</v>
      </c>
      <c r="B94" s="14">
        <f>32.1635 * CHOOSE(CONTROL!$C$9, $D$9, 100%, $F$9) + CHOOSE(CONTROL!$C$27, 0.0021, 0)</f>
        <v>32.165599999999998</v>
      </c>
      <c r="C94" s="14">
        <f>31.7313 * CHOOSE(CONTROL!$C$9, $D$9, 100%, $F$9) + CHOOSE(CONTROL!$C$27, 0.0021, 0)</f>
        <v>31.7334</v>
      </c>
      <c r="D94" s="14">
        <f>31.7313 * CHOOSE(CONTROL!$C$9, $D$9, 100%, $F$9) + CHOOSE(CONTROL!$C$27, 0.0021, 0)</f>
        <v>31.7334</v>
      </c>
      <c r="E94" s="14">
        <f>31.5946 * CHOOSE(CONTROL!$C$9, $D$9, 100%, $F$9) + CHOOSE(CONTROL!$C$27, 0.0021, 0)</f>
        <v>31.596699999999998</v>
      </c>
      <c r="F94" s="14">
        <f>31.5946 * CHOOSE(CONTROL!$C$9, $D$9, 100%, $F$9) + CHOOSE(CONTROL!$C$27, 0.0021, 0)</f>
        <v>31.596699999999998</v>
      </c>
      <c r="G94" s="14">
        <f>31.866 * CHOOSE(CONTROL!$C$9, $D$9, 100%, $F$9) + CHOOSE(CONTROL!$C$27, 0.0021, 0)</f>
        <v>31.868099999999998</v>
      </c>
      <c r="H94" s="14">
        <f>31.7313 * CHOOSE(CONTROL!$C$9, $D$9, 100%, $F$9) + CHOOSE(CONTROL!$C$27, 0.0021, 0)</f>
        <v>31.7334</v>
      </c>
      <c r="I94" s="14">
        <f>31.7313 * CHOOSE(CONTROL!$C$9, $D$9, 100%, $F$9) + CHOOSE(CONTROL!$C$27, 0.0021, 0)</f>
        <v>31.7334</v>
      </c>
      <c r="J94" s="14">
        <f>31.7313 * CHOOSE(CONTROL!$C$9, $D$9, 100%, $F$9) + CHOOSE(CONTROL!$C$27, 0.0021, 0)</f>
        <v>31.7334</v>
      </c>
      <c r="K94" s="14">
        <f>31.7313 * CHOOSE(CONTROL!$C$9, $D$9, 100%, $F$9) + CHOOSE(CONTROL!$C$27, 0.0021, 0)</f>
        <v>31.7334</v>
      </c>
      <c r="L94" s="14"/>
    </row>
    <row r="95" spans="1:12" ht="15" x14ac:dyDescent="0.2">
      <c r="A95" s="13">
        <v>43800</v>
      </c>
      <c r="B95" s="14">
        <f>31.6381 * CHOOSE(CONTROL!$C$9, $D$9, 100%, $F$9) + CHOOSE(CONTROL!$C$27, 0.0021, 0)</f>
        <v>31.6402</v>
      </c>
      <c r="C95" s="14">
        <f>31.2059 * CHOOSE(CONTROL!$C$9, $D$9, 100%, $F$9) + CHOOSE(CONTROL!$C$27, 0.0021, 0)</f>
        <v>31.207999999999998</v>
      </c>
      <c r="D95" s="14">
        <f>31.2059 * CHOOSE(CONTROL!$C$9, $D$9, 100%, $F$9) + CHOOSE(CONTROL!$C$27, 0.0021, 0)</f>
        <v>31.207999999999998</v>
      </c>
      <c r="E95" s="14">
        <f>31.0692 * CHOOSE(CONTROL!$C$9, $D$9, 100%, $F$9) + CHOOSE(CONTROL!$C$27, 0.0021, 0)</f>
        <v>31.071299999999997</v>
      </c>
      <c r="F95" s="14">
        <f>31.0692 * CHOOSE(CONTROL!$C$9, $D$9, 100%, $F$9) + CHOOSE(CONTROL!$C$27, 0.0021, 0)</f>
        <v>31.071299999999997</v>
      </c>
      <c r="G95" s="14">
        <f>31.3406 * CHOOSE(CONTROL!$C$9, $D$9, 100%, $F$9) + CHOOSE(CONTROL!$C$27, 0.0021, 0)</f>
        <v>31.342699999999997</v>
      </c>
      <c r="H95" s="14">
        <f>31.2059 * CHOOSE(CONTROL!$C$9, $D$9, 100%, $F$9) + CHOOSE(CONTROL!$C$27, 0.0021, 0)</f>
        <v>31.207999999999998</v>
      </c>
      <c r="I95" s="14">
        <f>31.2059 * CHOOSE(CONTROL!$C$9, $D$9, 100%, $F$9) + CHOOSE(CONTROL!$C$27, 0.0021, 0)</f>
        <v>31.207999999999998</v>
      </c>
      <c r="J95" s="14">
        <f>31.2059 * CHOOSE(CONTROL!$C$9, $D$9, 100%, $F$9) + CHOOSE(CONTROL!$C$27, 0.0021, 0)</f>
        <v>31.207999999999998</v>
      </c>
      <c r="K95" s="14">
        <f>31.2059 * CHOOSE(CONTROL!$C$9, $D$9, 100%, $F$9) + CHOOSE(CONTROL!$C$27, 0.0021, 0)</f>
        <v>31.207999999999998</v>
      </c>
      <c r="L95" s="14"/>
    </row>
    <row r="96" spans="1:12" ht="15" x14ac:dyDescent="0.2">
      <c r="A96" s="13">
        <v>43831</v>
      </c>
      <c r="B96" s="14">
        <f>31.6802 * CHOOSE(CONTROL!$C$9, $D$9, 100%, $F$9) + CHOOSE(CONTROL!$C$27, 0.0021, 0)</f>
        <v>31.682299999999998</v>
      </c>
      <c r="C96" s="14">
        <f>31.248 * CHOOSE(CONTROL!$C$9, $D$9, 100%, $F$9) + CHOOSE(CONTROL!$C$27, 0.0021, 0)</f>
        <v>31.2501</v>
      </c>
      <c r="D96" s="14">
        <f>31.248 * CHOOSE(CONTROL!$C$9, $D$9, 100%, $F$9) + CHOOSE(CONTROL!$C$27, 0.0021, 0)</f>
        <v>31.2501</v>
      </c>
      <c r="E96" s="14">
        <f>31.1113 * CHOOSE(CONTROL!$C$9, $D$9, 100%, $F$9) + CHOOSE(CONTROL!$C$27, 0.0021, 0)</f>
        <v>31.113399999999999</v>
      </c>
      <c r="F96" s="14">
        <f>31.1113 * CHOOSE(CONTROL!$C$9, $D$9, 100%, $F$9) + CHOOSE(CONTROL!$C$27, 0.0021, 0)</f>
        <v>31.113399999999999</v>
      </c>
      <c r="G96" s="14">
        <f>31.3827 * CHOOSE(CONTROL!$C$9, $D$9, 100%, $F$9) + CHOOSE(CONTROL!$C$27, 0.0021, 0)</f>
        <v>31.384799999999998</v>
      </c>
      <c r="H96" s="14">
        <f>31.248 * CHOOSE(CONTROL!$C$9, $D$9, 100%, $F$9) + CHOOSE(CONTROL!$C$27, 0.0021, 0)</f>
        <v>31.2501</v>
      </c>
      <c r="I96" s="14">
        <f>31.248 * CHOOSE(CONTROL!$C$9, $D$9, 100%, $F$9) + CHOOSE(CONTROL!$C$27, 0.0021, 0)</f>
        <v>31.2501</v>
      </c>
      <c r="J96" s="14">
        <f>31.248 * CHOOSE(CONTROL!$C$9, $D$9, 100%, $F$9) + CHOOSE(CONTROL!$C$27, 0.0021, 0)</f>
        <v>31.2501</v>
      </c>
      <c r="K96" s="14">
        <f>31.248 * CHOOSE(CONTROL!$C$9, $D$9, 100%, $F$9) + CHOOSE(CONTROL!$C$27, 0.0021, 0)</f>
        <v>31.2501</v>
      </c>
      <c r="L96" s="14"/>
    </row>
    <row r="97" spans="1:12" ht="15" x14ac:dyDescent="0.2">
      <c r="A97" s="13">
        <v>43862</v>
      </c>
      <c r="B97" s="14">
        <f>30.9078 * CHOOSE(CONTROL!$C$9, $D$9, 100%, $F$9) + CHOOSE(CONTROL!$C$27, 0.0021, 0)</f>
        <v>30.9099</v>
      </c>
      <c r="C97" s="14">
        <f>30.4756 * CHOOSE(CONTROL!$C$9, $D$9, 100%, $F$9) + CHOOSE(CONTROL!$C$27, 0.0021, 0)</f>
        <v>30.477699999999999</v>
      </c>
      <c r="D97" s="14">
        <f>30.4756 * CHOOSE(CONTROL!$C$9, $D$9, 100%, $F$9) + CHOOSE(CONTROL!$C$27, 0.0021, 0)</f>
        <v>30.477699999999999</v>
      </c>
      <c r="E97" s="14">
        <f>30.3389 * CHOOSE(CONTROL!$C$9, $D$9, 100%, $F$9) + CHOOSE(CONTROL!$C$27, 0.0021, 0)</f>
        <v>30.340999999999998</v>
      </c>
      <c r="F97" s="14">
        <f>30.3389 * CHOOSE(CONTROL!$C$9, $D$9, 100%, $F$9) + CHOOSE(CONTROL!$C$27, 0.0021, 0)</f>
        <v>30.340999999999998</v>
      </c>
      <c r="G97" s="14">
        <f>30.6103 * CHOOSE(CONTROL!$C$9, $D$9, 100%, $F$9) + CHOOSE(CONTROL!$C$27, 0.0021, 0)</f>
        <v>30.612399999999997</v>
      </c>
      <c r="H97" s="14">
        <f>30.4756 * CHOOSE(CONTROL!$C$9, $D$9, 100%, $F$9) + CHOOSE(CONTROL!$C$27, 0.0021, 0)</f>
        <v>30.477699999999999</v>
      </c>
      <c r="I97" s="14">
        <f>30.4756 * CHOOSE(CONTROL!$C$9, $D$9, 100%, $F$9) + CHOOSE(CONTROL!$C$27, 0.0021, 0)</f>
        <v>30.477699999999999</v>
      </c>
      <c r="J97" s="14">
        <f>30.4756 * CHOOSE(CONTROL!$C$9, $D$9, 100%, $F$9) + CHOOSE(CONTROL!$C$27, 0.0021, 0)</f>
        <v>30.477699999999999</v>
      </c>
      <c r="K97" s="14">
        <f>30.4756 * CHOOSE(CONTROL!$C$9, $D$9, 100%, $F$9) + CHOOSE(CONTROL!$C$27, 0.0021, 0)</f>
        <v>30.477699999999999</v>
      </c>
      <c r="L97" s="14"/>
    </row>
    <row r="98" spans="1:12" ht="15" x14ac:dyDescent="0.2">
      <c r="A98" s="13">
        <v>43891</v>
      </c>
      <c r="B98" s="14">
        <f>30.6222 * CHOOSE(CONTROL!$C$9, $D$9, 100%, $F$9) + CHOOSE(CONTROL!$C$27, 0.0021, 0)</f>
        <v>30.624299999999998</v>
      </c>
      <c r="C98" s="14">
        <f>30.19 * CHOOSE(CONTROL!$C$9, $D$9, 100%, $F$9) + CHOOSE(CONTROL!$C$27, 0.0021, 0)</f>
        <v>30.1921</v>
      </c>
      <c r="D98" s="14">
        <f>30.19 * CHOOSE(CONTROL!$C$9, $D$9, 100%, $F$9) + CHOOSE(CONTROL!$C$27, 0.0021, 0)</f>
        <v>30.1921</v>
      </c>
      <c r="E98" s="14">
        <f>30.0533 * CHOOSE(CONTROL!$C$9, $D$9, 100%, $F$9) + CHOOSE(CONTROL!$C$27, 0.0021, 0)</f>
        <v>30.055399999999999</v>
      </c>
      <c r="F98" s="14">
        <f>30.0533 * CHOOSE(CONTROL!$C$9, $D$9, 100%, $F$9) + CHOOSE(CONTROL!$C$27, 0.0021, 0)</f>
        <v>30.055399999999999</v>
      </c>
      <c r="G98" s="14">
        <f>30.3247 * CHOOSE(CONTROL!$C$9, $D$9, 100%, $F$9) + CHOOSE(CONTROL!$C$27, 0.0021, 0)</f>
        <v>30.326799999999999</v>
      </c>
      <c r="H98" s="14">
        <f>30.19 * CHOOSE(CONTROL!$C$9, $D$9, 100%, $F$9) + CHOOSE(CONTROL!$C$27, 0.0021, 0)</f>
        <v>30.1921</v>
      </c>
      <c r="I98" s="14">
        <f>30.19 * CHOOSE(CONTROL!$C$9, $D$9, 100%, $F$9) + CHOOSE(CONTROL!$C$27, 0.0021, 0)</f>
        <v>30.1921</v>
      </c>
      <c r="J98" s="14">
        <f>30.19 * CHOOSE(CONTROL!$C$9, $D$9, 100%, $F$9) + CHOOSE(CONTROL!$C$27, 0.0021, 0)</f>
        <v>30.1921</v>
      </c>
      <c r="K98" s="14">
        <f>30.19 * CHOOSE(CONTROL!$C$9, $D$9, 100%, $F$9) + CHOOSE(CONTROL!$C$27, 0.0021, 0)</f>
        <v>30.1921</v>
      </c>
      <c r="L98" s="14"/>
    </row>
    <row r="99" spans="1:12" ht="15" x14ac:dyDescent="0.2">
      <c r="A99" s="13">
        <v>43922</v>
      </c>
      <c r="B99" s="14">
        <f>30.2683 * CHOOSE(CONTROL!$C$9, $D$9, 100%, $F$9) + CHOOSE(CONTROL!$C$27, 0.0021, 0)</f>
        <v>30.270399999999999</v>
      </c>
      <c r="C99" s="14">
        <f>29.8361 * CHOOSE(CONTROL!$C$9, $D$9, 100%, $F$9) + CHOOSE(CONTROL!$C$27, 0.0021, 0)</f>
        <v>29.838199999999997</v>
      </c>
      <c r="D99" s="14">
        <f>29.8361 * CHOOSE(CONTROL!$C$9, $D$9, 100%, $F$9) + CHOOSE(CONTROL!$C$27, 0.0021, 0)</f>
        <v>29.838199999999997</v>
      </c>
      <c r="E99" s="14">
        <f>29.6994 * CHOOSE(CONTROL!$C$9, $D$9, 100%, $F$9) + CHOOSE(CONTROL!$C$27, 0.0021, 0)</f>
        <v>29.701499999999999</v>
      </c>
      <c r="F99" s="14">
        <f>29.6994 * CHOOSE(CONTROL!$C$9, $D$9, 100%, $F$9) + CHOOSE(CONTROL!$C$27, 0.0021, 0)</f>
        <v>29.701499999999999</v>
      </c>
      <c r="G99" s="14">
        <f>29.9708 * CHOOSE(CONTROL!$C$9, $D$9, 100%, $F$9) + CHOOSE(CONTROL!$C$27, 0.0021, 0)</f>
        <v>29.972899999999999</v>
      </c>
      <c r="H99" s="14">
        <f>29.8361 * CHOOSE(CONTROL!$C$9, $D$9, 100%, $F$9) + CHOOSE(CONTROL!$C$27, 0.0021, 0)</f>
        <v>29.838199999999997</v>
      </c>
      <c r="I99" s="14">
        <f>29.8361 * CHOOSE(CONTROL!$C$9, $D$9, 100%, $F$9) + CHOOSE(CONTROL!$C$27, 0.0021, 0)</f>
        <v>29.838199999999997</v>
      </c>
      <c r="J99" s="14">
        <f>29.8361 * CHOOSE(CONTROL!$C$9, $D$9, 100%, $F$9) + CHOOSE(CONTROL!$C$27, 0.0021, 0)</f>
        <v>29.838199999999997</v>
      </c>
      <c r="K99" s="14">
        <f>29.8361 * CHOOSE(CONTROL!$C$9, $D$9, 100%, $F$9) + CHOOSE(CONTROL!$C$27, 0.0021, 0)</f>
        <v>29.838199999999997</v>
      </c>
      <c r="L99" s="14"/>
    </row>
    <row r="100" spans="1:12" ht="15" x14ac:dyDescent="0.2">
      <c r="A100" s="13">
        <v>43952</v>
      </c>
      <c r="B100" s="14">
        <f>30.9146 * CHOOSE(CONTROL!$C$9, $D$9, 100%, $F$9) + CHOOSE(CONTROL!$C$27, 0.0021, 0)</f>
        <v>30.916699999999999</v>
      </c>
      <c r="C100" s="14">
        <f>30.4824 * CHOOSE(CONTROL!$C$9, $D$9, 100%, $F$9) + CHOOSE(CONTROL!$C$27, 0.0021, 0)</f>
        <v>30.484499999999997</v>
      </c>
      <c r="D100" s="14">
        <f>30.4824 * CHOOSE(CONTROL!$C$9, $D$9, 100%, $F$9) + CHOOSE(CONTROL!$C$27, 0.0021, 0)</f>
        <v>30.484499999999997</v>
      </c>
      <c r="E100" s="14">
        <f>30.3457 * CHOOSE(CONTROL!$C$9, $D$9, 100%, $F$9) + CHOOSE(CONTROL!$C$27, 0.0021, 0)</f>
        <v>30.347799999999999</v>
      </c>
      <c r="F100" s="14">
        <f>30.3457 * CHOOSE(CONTROL!$C$9, $D$9, 100%, $F$9) + CHOOSE(CONTROL!$C$27, 0.0021, 0)</f>
        <v>30.347799999999999</v>
      </c>
      <c r="G100" s="14">
        <f>30.6171 * CHOOSE(CONTROL!$C$9, $D$9, 100%, $F$9) + CHOOSE(CONTROL!$C$27, 0.0021, 0)</f>
        <v>30.619199999999999</v>
      </c>
      <c r="H100" s="14">
        <f>30.4824 * CHOOSE(CONTROL!$C$9, $D$9, 100%, $F$9) + CHOOSE(CONTROL!$C$27, 0.0021, 0)</f>
        <v>30.484499999999997</v>
      </c>
      <c r="I100" s="14">
        <f>30.4824 * CHOOSE(CONTROL!$C$9, $D$9, 100%, $F$9) + CHOOSE(CONTROL!$C$27, 0.0021, 0)</f>
        <v>30.484499999999997</v>
      </c>
      <c r="J100" s="14">
        <f>30.4824 * CHOOSE(CONTROL!$C$9, $D$9, 100%, $F$9) + CHOOSE(CONTROL!$C$27, 0.0021, 0)</f>
        <v>30.484499999999997</v>
      </c>
      <c r="K100" s="14">
        <f>30.4824 * CHOOSE(CONTROL!$C$9, $D$9, 100%, $F$9) + CHOOSE(CONTROL!$C$27, 0.0021, 0)</f>
        <v>30.484499999999997</v>
      </c>
      <c r="L100" s="14"/>
    </row>
    <row r="101" spans="1:12" ht="15" x14ac:dyDescent="0.2">
      <c r="A101" s="13">
        <v>43983</v>
      </c>
      <c r="B101" s="14">
        <f>31.3269 * CHOOSE(CONTROL!$C$9, $D$9, 100%, $F$9) + CHOOSE(CONTROL!$C$27, 0.0021, 0)</f>
        <v>31.328999999999997</v>
      </c>
      <c r="C101" s="14">
        <f>30.8947 * CHOOSE(CONTROL!$C$9, $D$9, 100%, $F$9) + CHOOSE(CONTROL!$C$27, 0.0021, 0)</f>
        <v>30.896799999999999</v>
      </c>
      <c r="D101" s="14">
        <f>30.8947 * CHOOSE(CONTROL!$C$9, $D$9, 100%, $F$9) + CHOOSE(CONTROL!$C$27, 0.0021, 0)</f>
        <v>30.896799999999999</v>
      </c>
      <c r="E101" s="14">
        <f>30.758 * CHOOSE(CONTROL!$C$9, $D$9, 100%, $F$9) + CHOOSE(CONTROL!$C$27, 0.0021, 0)</f>
        <v>30.760099999999998</v>
      </c>
      <c r="F101" s="14">
        <f>30.758 * CHOOSE(CONTROL!$C$9, $D$9, 100%, $F$9) + CHOOSE(CONTROL!$C$27, 0.0021, 0)</f>
        <v>30.760099999999998</v>
      </c>
      <c r="G101" s="14">
        <f>31.0294 * CHOOSE(CONTROL!$C$9, $D$9, 100%, $F$9) + CHOOSE(CONTROL!$C$27, 0.0021, 0)</f>
        <v>31.031499999999998</v>
      </c>
      <c r="H101" s="14">
        <f>30.8947 * CHOOSE(CONTROL!$C$9, $D$9, 100%, $F$9) + CHOOSE(CONTROL!$C$27, 0.0021, 0)</f>
        <v>30.896799999999999</v>
      </c>
      <c r="I101" s="14">
        <f>30.8947 * CHOOSE(CONTROL!$C$9, $D$9, 100%, $F$9) + CHOOSE(CONTROL!$C$27, 0.0021, 0)</f>
        <v>30.896799999999999</v>
      </c>
      <c r="J101" s="14">
        <f>30.8947 * CHOOSE(CONTROL!$C$9, $D$9, 100%, $F$9) + CHOOSE(CONTROL!$C$27, 0.0021, 0)</f>
        <v>30.896799999999999</v>
      </c>
      <c r="K101" s="14">
        <f>30.8947 * CHOOSE(CONTROL!$C$9, $D$9, 100%, $F$9) + CHOOSE(CONTROL!$C$27, 0.0021, 0)</f>
        <v>30.896799999999999</v>
      </c>
      <c r="L101" s="14"/>
    </row>
    <row r="102" spans="1:12" ht="15" x14ac:dyDescent="0.2">
      <c r="A102" s="13">
        <v>44013</v>
      </c>
      <c r="B102" s="14">
        <f>31.9708 * CHOOSE(CONTROL!$C$9, $D$9, 100%, $F$9) + CHOOSE(CONTROL!$C$27, 0.0021, 0)</f>
        <v>31.972899999999999</v>
      </c>
      <c r="C102" s="14">
        <f>31.5386 * CHOOSE(CONTROL!$C$9, $D$9, 100%, $F$9) + CHOOSE(CONTROL!$C$27, 0.0021, 0)</f>
        <v>31.540699999999998</v>
      </c>
      <c r="D102" s="14">
        <f>31.5386 * CHOOSE(CONTROL!$C$9, $D$9, 100%, $F$9) + CHOOSE(CONTROL!$C$27, 0.0021, 0)</f>
        <v>31.540699999999998</v>
      </c>
      <c r="E102" s="14">
        <f>31.4019 * CHOOSE(CONTROL!$C$9, $D$9, 100%, $F$9) + CHOOSE(CONTROL!$C$27, 0.0021, 0)</f>
        <v>31.404</v>
      </c>
      <c r="F102" s="14">
        <f>31.4019 * CHOOSE(CONTROL!$C$9, $D$9, 100%, $F$9) + CHOOSE(CONTROL!$C$27, 0.0021, 0)</f>
        <v>31.404</v>
      </c>
      <c r="G102" s="14">
        <f>31.6733 * CHOOSE(CONTROL!$C$9, $D$9, 100%, $F$9) + CHOOSE(CONTROL!$C$27, 0.0021, 0)</f>
        <v>31.6754</v>
      </c>
      <c r="H102" s="14">
        <f>31.5386 * CHOOSE(CONTROL!$C$9, $D$9, 100%, $F$9) + CHOOSE(CONTROL!$C$27, 0.0021, 0)</f>
        <v>31.540699999999998</v>
      </c>
      <c r="I102" s="14">
        <f>31.5386 * CHOOSE(CONTROL!$C$9, $D$9, 100%, $F$9) + CHOOSE(CONTROL!$C$27, 0.0021, 0)</f>
        <v>31.540699999999998</v>
      </c>
      <c r="J102" s="14">
        <f>31.5386 * CHOOSE(CONTROL!$C$9, $D$9, 100%, $F$9) + CHOOSE(CONTROL!$C$27, 0.0021, 0)</f>
        <v>31.540699999999998</v>
      </c>
      <c r="K102" s="14">
        <f>31.5386 * CHOOSE(CONTROL!$C$9, $D$9, 100%, $F$9) + CHOOSE(CONTROL!$C$27, 0.0021, 0)</f>
        <v>31.540699999999998</v>
      </c>
      <c r="L102" s="14"/>
    </row>
    <row r="103" spans="1:12" ht="15" x14ac:dyDescent="0.2">
      <c r="A103" s="13">
        <v>44044</v>
      </c>
      <c r="B103" s="14">
        <f>32.2106 * CHOOSE(CONTROL!$C$9, $D$9, 100%, $F$9) + CHOOSE(CONTROL!$C$27, 0.0021, 0)</f>
        <v>32.212699999999998</v>
      </c>
      <c r="C103" s="14">
        <f>31.7784 * CHOOSE(CONTROL!$C$9, $D$9, 100%, $F$9) + CHOOSE(CONTROL!$C$27, 0.0021, 0)</f>
        <v>31.7805</v>
      </c>
      <c r="D103" s="14">
        <f>31.7784 * CHOOSE(CONTROL!$C$9, $D$9, 100%, $F$9) + CHOOSE(CONTROL!$C$27, 0.0021, 0)</f>
        <v>31.7805</v>
      </c>
      <c r="E103" s="14">
        <f>31.6417 * CHOOSE(CONTROL!$C$9, $D$9, 100%, $F$9) + CHOOSE(CONTROL!$C$27, 0.0021, 0)</f>
        <v>31.643799999999999</v>
      </c>
      <c r="F103" s="14">
        <f>31.6417 * CHOOSE(CONTROL!$C$9, $D$9, 100%, $F$9) + CHOOSE(CONTROL!$C$27, 0.0021, 0)</f>
        <v>31.643799999999999</v>
      </c>
      <c r="G103" s="14">
        <f>31.9131 * CHOOSE(CONTROL!$C$9, $D$9, 100%, $F$9) + CHOOSE(CONTROL!$C$27, 0.0021, 0)</f>
        <v>31.915199999999999</v>
      </c>
      <c r="H103" s="14">
        <f>31.7784 * CHOOSE(CONTROL!$C$9, $D$9, 100%, $F$9) + CHOOSE(CONTROL!$C$27, 0.0021, 0)</f>
        <v>31.7805</v>
      </c>
      <c r="I103" s="14">
        <f>31.7784 * CHOOSE(CONTROL!$C$9, $D$9, 100%, $F$9) + CHOOSE(CONTROL!$C$27, 0.0021, 0)</f>
        <v>31.7805</v>
      </c>
      <c r="J103" s="14">
        <f>31.7784 * CHOOSE(CONTROL!$C$9, $D$9, 100%, $F$9) + CHOOSE(CONTROL!$C$27, 0.0021, 0)</f>
        <v>31.7805</v>
      </c>
      <c r="K103" s="14">
        <f>31.7784 * CHOOSE(CONTROL!$C$9, $D$9, 100%, $F$9) + CHOOSE(CONTROL!$C$27, 0.0021, 0)</f>
        <v>31.7805</v>
      </c>
      <c r="L103" s="14"/>
    </row>
    <row r="104" spans="1:12" ht="15" x14ac:dyDescent="0.2">
      <c r="A104" s="13">
        <v>44075</v>
      </c>
      <c r="B104" s="14">
        <f>32.8819 * CHOOSE(CONTROL!$C$9, $D$9, 100%, $F$9) + CHOOSE(CONTROL!$C$27, 0.0021, 0)</f>
        <v>32.884</v>
      </c>
      <c r="C104" s="14">
        <f>32.4496 * CHOOSE(CONTROL!$C$9, $D$9, 100%, $F$9) + CHOOSE(CONTROL!$C$27, 0.0021, 0)</f>
        <v>32.451699999999995</v>
      </c>
      <c r="D104" s="14">
        <f>32.4496 * CHOOSE(CONTROL!$C$9, $D$9, 100%, $F$9) + CHOOSE(CONTROL!$C$27, 0.0021, 0)</f>
        <v>32.451699999999995</v>
      </c>
      <c r="E104" s="14">
        <f>32.313 * CHOOSE(CONTROL!$C$9, $D$9, 100%, $F$9) + CHOOSE(CONTROL!$C$27, 0.0021, 0)</f>
        <v>32.315100000000001</v>
      </c>
      <c r="F104" s="14">
        <f>32.313 * CHOOSE(CONTROL!$C$9, $D$9, 100%, $F$9) + CHOOSE(CONTROL!$C$27, 0.0021, 0)</f>
        <v>32.315100000000001</v>
      </c>
      <c r="G104" s="14">
        <f>32.5844 * CHOOSE(CONTROL!$C$9, $D$9, 100%, $F$9) + CHOOSE(CONTROL!$C$27, 0.0021, 0)</f>
        <v>32.586500000000001</v>
      </c>
      <c r="H104" s="14">
        <f>32.4496 * CHOOSE(CONTROL!$C$9, $D$9, 100%, $F$9) + CHOOSE(CONTROL!$C$27, 0.0021, 0)</f>
        <v>32.451699999999995</v>
      </c>
      <c r="I104" s="14">
        <f>32.4496 * CHOOSE(CONTROL!$C$9, $D$9, 100%, $F$9) + CHOOSE(CONTROL!$C$27, 0.0021, 0)</f>
        <v>32.451699999999995</v>
      </c>
      <c r="J104" s="14">
        <f>32.4496 * CHOOSE(CONTROL!$C$9, $D$9, 100%, $F$9) + CHOOSE(CONTROL!$C$27, 0.0021, 0)</f>
        <v>32.451699999999995</v>
      </c>
      <c r="K104" s="14">
        <f>32.4496 * CHOOSE(CONTROL!$C$9, $D$9, 100%, $F$9) + CHOOSE(CONTROL!$C$27, 0.0021, 0)</f>
        <v>32.451699999999995</v>
      </c>
      <c r="L104" s="14"/>
    </row>
    <row r="105" spans="1:12" ht="15" x14ac:dyDescent="0.2">
      <c r="A105" s="13">
        <v>44105</v>
      </c>
      <c r="B105" s="14">
        <f>33.7182 * CHOOSE(CONTROL!$C$9, $D$9, 100%, $F$9) + CHOOSE(CONTROL!$C$27, 0.0021, 0)</f>
        <v>33.720300000000002</v>
      </c>
      <c r="C105" s="14">
        <f>33.2859 * CHOOSE(CONTROL!$C$9, $D$9, 100%, $F$9) + CHOOSE(CONTROL!$C$27, 0.0021, 0)</f>
        <v>33.287999999999997</v>
      </c>
      <c r="D105" s="14">
        <f>33.2859 * CHOOSE(CONTROL!$C$9, $D$9, 100%, $F$9) + CHOOSE(CONTROL!$C$27, 0.0021, 0)</f>
        <v>33.287999999999997</v>
      </c>
      <c r="E105" s="14">
        <f>33.1493 * CHOOSE(CONTROL!$C$9, $D$9, 100%, $F$9) + CHOOSE(CONTROL!$C$27, 0.0021, 0)</f>
        <v>33.151399999999995</v>
      </c>
      <c r="F105" s="14">
        <f>33.1493 * CHOOSE(CONTROL!$C$9, $D$9, 100%, $F$9) + CHOOSE(CONTROL!$C$27, 0.0021, 0)</f>
        <v>33.151399999999995</v>
      </c>
      <c r="G105" s="14">
        <f>33.4207 * CHOOSE(CONTROL!$C$9, $D$9, 100%, $F$9) + CHOOSE(CONTROL!$C$27, 0.0021, 0)</f>
        <v>33.422799999999995</v>
      </c>
      <c r="H105" s="14">
        <f>33.2859 * CHOOSE(CONTROL!$C$9, $D$9, 100%, $F$9) + CHOOSE(CONTROL!$C$27, 0.0021, 0)</f>
        <v>33.287999999999997</v>
      </c>
      <c r="I105" s="14">
        <f>33.2859 * CHOOSE(CONTROL!$C$9, $D$9, 100%, $F$9) + CHOOSE(CONTROL!$C$27, 0.0021, 0)</f>
        <v>33.287999999999997</v>
      </c>
      <c r="J105" s="14">
        <f>33.2859 * CHOOSE(CONTROL!$C$9, $D$9, 100%, $F$9) + CHOOSE(CONTROL!$C$27, 0.0021, 0)</f>
        <v>33.287999999999997</v>
      </c>
      <c r="K105" s="14">
        <f>33.2859 * CHOOSE(CONTROL!$C$9, $D$9, 100%, $F$9) + CHOOSE(CONTROL!$C$27, 0.0021, 0)</f>
        <v>33.287999999999997</v>
      </c>
      <c r="L105" s="14"/>
    </row>
    <row r="106" spans="1:12" ht="15" x14ac:dyDescent="0.2">
      <c r="A106" s="13">
        <v>44136</v>
      </c>
      <c r="B106" s="14">
        <f>33.8557 * CHOOSE(CONTROL!$C$9, $D$9, 100%, $F$9) + CHOOSE(CONTROL!$C$27, 0.0021, 0)</f>
        <v>33.857799999999997</v>
      </c>
      <c r="C106" s="14">
        <f>33.4234 * CHOOSE(CONTROL!$C$9, $D$9, 100%, $F$9) + CHOOSE(CONTROL!$C$27, 0.0021, 0)</f>
        <v>33.4255</v>
      </c>
      <c r="D106" s="14">
        <f>33.4234 * CHOOSE(CONTROL!$C$9, $D$9, 100%, $F$9) + CHOOSE(CONTROL!$C$27, 0.0021, 0)</f>
        <v>33.4255</v>
      </c>
      <c r="E106" s="14">
        <f>33.2868 * CHOOSE(CONTROL!$C$9, $D$9, 100%, $F$9) + CHOOSE(CONTROL!$C$27, 0.0021, 0)</f>
        <v>33.288899999999998</v>
      </c>
      <c r="F106" s="14">
        <f>33.2868 * CHOOSE(CONTROL!$C$9, $D$9, 100%, $F$9) + CHOOSE(CONTROL!$C$27, 0.0021, 0)</f>
        <v>33.288899999999998</v>
      </c>
      <c r="G106" s="14">
        <f>33.5581 * CHOOSE(CONTROL!$C$9, $D$9, 100%, $F$9) + CHOOSE(CONTROL!$C$27, 0.0021, 0)</f>
        <v>33.560200000000002</v>
      </c>
      <c r="H106" s="14">
        <f>33.4234 * CHOOSE(CONTROL!$C$9, $D$9, 100%, $F$9) + CHOOSE(CONTROL!$C$27, 0.0021, 0)</f>
        <v>33.4255</v>
      </c>
      <c r="I106" s="14">
        <f>33.4234 * CHOOSE(CONTROL!$C$9, $D$9, 100%, $F$9) + CHOOSE(CONTROL!$C$27, 0.0021, 0)</f>
        <v>33.4255</v>
      </c>
      <c r="J106" s="14">
        <f>33.4234 * CHOOSE(CONTROL!$C$9, $D$9, 100%, $F$9) + CHOOSE(CONTROL!$C$27, 0.0021, 0)</f>
        <v>33.4255</v>
      </c>
      <c r="K106" s="14">
        <f>33.4234 * CHOOSE(CONTROL!$C$9, $D$9, 100%, $F$9) + CHOOSE(CONTROL!$C$27, 0.0021, 0)</f>
        <v>33.4255</v>
      </c>
      <c r="L106" s="14"/>
    </row>
    <row r="107" spans="1:12" ht="15" x14ac:dyDescent="0.2">
      <c r="A107" s="13">
        <v>44166</v>
      </c>
      <c r="B107" s="14">
        <f>33.3005 * CHOOSE(CONTROL!$C$9, $D$9, 100%, $F$9) + CHOOSE(CONTROL!$C$27, 0.0021, 0)</f>
        <v>33.302599999999998</v>
      </c>
      <c r="C107" s="14">
        <f>32.8683 * CHOOSE(CONTROL!$C$9, $D$9, 100%, $F$9) + CHOOSE(CONTROL!$C$27, 0.0021, 0)</f>
        <v>32.870399999999997</v>
      </c>
      <c r="D107" s="14">
        <f>32.8683 * CHOOSE(CONTROL!$C$9, $D$9, 100%, $F$9) + CHOOSE(CONTROL!$C$27, 0.0021, 0)</f>
        <v>32.870399999999997</v>
      </c>
      <c r="E107" s="14">
        <f>32.7316 * CHOOSE(CONTROL!$C$9, $D$9, 100%, $F$9) + CHOOSE(CONTROL!$C$27, 0.0021, 0)</f>
        <v>32.733699999999999</v>
      </c>
      <c r="F107" s="14">
        <f>32.7316 * CHOOSE(CONTROL!$C$9, $D$9, 100%, $F$9) + CHOOSE(CONTROL!$C$27, 0.0021, 0)</f>
        <v>32.733699999999999</v>
      </c>
      <c r="G107" s="14">
        <f>33.003 * CHOOSE(CONTROL!$C$9, $D$9, 100%, $F$9) + CHOOSE(CONTROL!$C$27, 0.0021, 0)</f>
        <v>33.005099999999999</v>
      </c>
      <c r="H107" s="14">
        <f>32.8683 * CHOOSE(CONTROL!$C$9, $D$9, 100%, $F$9) + CHOOSE(CONTROL!$C$27, 0.0021, 0)</f>
        <v>32.870399999999997</v>
      </c>
      <c r="I107" s="14">
        <f>32.8683 * CHOOSE(CONTROL!$C$9, $D$9, 100%, $F$9) + CHOOSE(CONTROL!$C$27, 0.0021, 0)</f>
        <v>32.870399999999997</v>
      </c>
      <c r="J107" s="14">
        <f>32.8683 * CHOOSE(CONTROL!$C$9, $D$9, 100%, $F$9) + CHOOSE(CONTROL!$C$27, 0.0021, 0)</f>
        <v>32.870399999999997</v>
      </c>
      <c r="K107" s="14">
        <f>32.8683 * CHOOSE(CONTROL!$C$9, $D$9, 100%, $F$9) + CHOOSE(CONTROL!$C$27, 0.0021, 0)</f>
        <v>32.870399999999997</v>
      </c>
      <c r="L107" s="14"/>
    </row>
    <row r="108" spans="1:12" ht="15" x14ac:dyDescent="0.2">
      <c r="A108" s="13">
        <v>44197</v>
      </c>
      <c r="B108" s="14">
        <f>33.9389 * CHOOSE(CONTROL!$C$9, $D$9, 100%, $F$9) + CHOOSE(CONTROL!$C$27, 0.0021, 0)</f>
        <v>33.940999999999995</v>
      </c>
      <c r="C108" s="14">
        <f>33.5067 * CHOOSE(CONTROL!$C$9, $D$9, 100%, $F$9) + CHOOSE(CONTROL!$C$27, 0.0021, 0)</f>
        <v>33.508800000000001</v>
      </c>
      <c r="D108" s="14">
        <f>33.5067 * CHOOSE(CONTROL!$C$9, $D$9, 100%, $F$9) + CHOOSE(CONTROL!$C$27, 0.0021, 0)</f>
        <v>33.508800000000001</v>
      </c>
      <c r="E108" s="14">
        <f>33.37 * CHOOSE(CONTROL!$C$9, $D$9, 100%, $F$9) + CHOOSE(CONTROL!$C$27, 0.0021, 0)</f>
        <v>33.372099999999996</v>
      </c>
      <c r="F108" s="14">
        <f>33.37 * CHOOSE(CONTROL!$C$9, $D$9, 100%, $F$9) + CHOOSE(CONTROL!$C$27, 0.0021, 0)</f>
        <v>33.372099999999996</v>
      </c>
      <c r="G108" s="14">
        <f>33.6414 * CHOOSE(CONTROL!$C$9, $D$9, 100%, $F$9) + CHOOSE(CONTROL!$C$27, 0.0021, 0)</f>
        <v>33.643499999999996</v>
      </c>
      <c r="H108" s="14">
        <f>33.5067 * CHOOSE(CONTROL!$C$9, $D$9, 100%, $F$9) + CHOOSE(CONTROL!$C$27, 0.0021, 0)</f>
        <v>33.508800000000001</v>
      </c>
      <c r="I108" s="14">
        <f>33.5067 * CHOOSE(CONTROL!$C$9, $D$9, 100%, $F$9) + CHOOSE(CONTROL!$C$27, 0.0021, 0)</f>
        <v>33.508800000000001</v>
      </c>
      <c r="J108" s="14">
        <f>33.5067 * CHOOSE(CONTROL!$C$9, $D$9, 100%, $F$9) + CHOOSE(CONTROL!$C$27, 0.0021, 0)</f>
        <v>33.508800000000001</v>
      </c>
      <c r="K108" s="14">
        <f>33.5067 * CHOOSE(CONTROL!$C$9, $D$9, 100%, $F$9) + CHOOSE(CONTROL!$C$27, 0.0021, 0)</f>
        <v>33.508800000000001</v>
      </c>
      <c r="L108" s="14"/>
    </row>
    <row r="109" spans="1:12" ht="15" x14ac:dyDescent="0.2">
      <c r="A109" s="13">
        <v>44228</v>
      </c>
      <c r="B109" s="14">
        <f>33.1071 * CHOOSE(CONTROL!$C$9, $D$9, 100%, $F$9) + CHOOSE(CONTROL!$C$27, 0.0021, 0)</f>
        <v>33.109200000000001</v>
      </c>
      <c r="C109" s="14">
        <f>32.6749 * CHOOSE(CONTROL!$C$9, $D$9, 100%, $F$9) + CHOOSE(CONTROL!$C$27, 0.0021, 0)</f>
        <v>32.677</v>
      </c>
      <c r="D109" s="14">
        <f>32.6749 * CHOOSE(CONTROL!$C$9, $D$9, 100%, $F$9) + CHOOSE(CONTROL!$C$27, 0.0021, 0)</f>
        <v>32.677</v>
      </c>
      <c r="E109" s="14">
        <f>32.5382 * CHOOSE(CONTROL!$C$9, $D$9, 100%, $F$9) + CHOOSE(CONTROL!$C$27, 0.0021, 0)</f>
        <v>32.540300000000002</v>
      </c>
      <c r="F109" s="14">
        <f>32.5382 * CHOOSE(CONTROL!$C$9, $D$9, 100%, $F$9) + CHOOSE(CONTROL!$C$27, 0.0021, 0)</f>
        <v>32.540300000000002</v>
      </c>
      <c r="G109" s="14">
        <f>32.8096 * CHOOSE(CONTROL!$C$9, $D$9, 100%, $F$9) + CHOOSE(CONTROL!$C$27, 0.0021, 0)</f>
        <v>32.811700000000002</v>
      </c>
      <c r="H109" s="14">
        <f>32.6749 * CHOOSE(CONTROL!$C$9, $D$9, 100%, $F$9) + CHOOSE(CONTROL!$C$27, 0.0021, 0)</f>
        <v>32.677</v>
      </c>
      <c r="I109" s="14">
        <f>32.6749 * CHOOSE(CONTROL!$C$9, $D$9, 100%, $F$9) + CHOOSE(CONTROL!$C$27, 0.0021, 0)</f>
        <v>32.677</v>
      </c>
      <c r="J109" s="14">
        <f>32.6749 * CHOOSE(CONTROL!$C$9, $D$9, 100%, $F$9) + CHOOSE(CONTROL!$C$27, 0.0021, 0)</f>
        <v>32.677</v>
      </c>
      <c r="K109" s="14">
        <f>32.6749 * CHOOSE(CONTROL!$C$9, $D$9, 100%, $F$9) + CHOOSE(CONTROL!$C$27, 0.0021, 0)</f>
        <v>32.677</v>
      </c>
      <c r="L109" s="14"/>
    </row>
    <row r="110" spans="1:12" ht="15" x14ac:dyDescent="0.2">
      <c r="A110" s="13">
        <v>44256</v>
      </c>
      <c r="B110" s="14">
        <f>32.7995 * CHOOSE(CONTROL!$C$9, $D$9, 100%, $F$9) + CHOOSE(CONTROL!$C$27, 0.0021, 0)</f>
        <v>32.801600000000001</v>
      </c>
      <c r="C110" s="14">
        <f>32.3673 * CHOOSE(CONTROL!$C$9, $D$9, 100%, $F$9) + CHOOSE(CONTROL!$C$27, 0.0021, 0)</f>
        <v>32.369399999999999</v>
      </c>
      <c r="D110" s="14">
        <f>32.3673 * CHOOSE(CONTROL!$C$9, $D$9, 100%, $F$9) + CHOOSE(CONTROL!$C$27, 0.0021, 0)</f>
        <v>32.369399999999999</v>
      </c>
      <c r="E110" s="14">
        <f>32.2306 * CHOOSE(CONTROL!$C$9, $D$9, 100%, $F$9) + CHOOSE(CONTROL!$C$27, 0.0021, 0)</f>
        <v>32.232700000000001</v>
      </c>
      <c r="F110" s="14">
        <f>32.2306 * CHOOSE(CONTROL!$C$9, $D$9, 100%, $F$9) + CHOOSE(CONTROL!$C$27, 0.0021, 0)</f>
        <v>32.232700000000001</v>
      </c>
      <c r="G110" s="14">
        <f>32.502 * CHOOSE(CONTROL!$C$9, $D$9, 100%, $F$9) + CHOOSE(CONTROL!$C$27, 0.0021, 0)</f>
        <v>32.504100000000001</v>
      </c>
      <c r="H110" s="14">
        <f>32.3673 * CHOOSE(CONTROL!$C$9, $D$9, 100%, $F$9) + CHOOSE(CONTROL!$C$27, 0.0021, 0)</f>
        <v>32.369399999999999</v>
      </c>
      <c r="I110" s="14">
        <f>32.3673 * CHOOSE(CONTROL!$C$9, $D$9, 100%, $F$9) + CHOOSE(CONTROL!$C$27, 0.0021, 0)</f>
        <v>32.369399999999999</v>
      </c>
      <c r="J110" s="14">
        <f>32.3673 * CHOOSE(CONTROL!$C$9, $D$9, 100%, $F$9) + CHOOSE(CONTROL!$C$27, 0.0021, 0)</f>
        <v>32.369399999999999</v>
      </c>
      <c r="K110" s="14">
        <f>32.3673 * CHOOSE(CONTROL!$C$9, $D$9, 100%, $F$9) + CHOOSE(CONTROL!$C$27, 0.0021, 0)</f>
        <v>32.369399999999999</v>
      </c>
      <c r="L110" s="14"/>
    </row>
    <row r="111" spans="1:12" ht="15" x14ac:dyDescent="0.2">
      <c r="A111" s="13">
        <v>44287</v>
      </c>
      <c r="B111" s="14">
        <f>32.4185 * CHOOSE(CONTROL!$C$9, $D$9, 100%, $F$9) + CHOOSE(CONTROL!$C$27, 0.0021, 0)</f>
        <v>32.4206</v>
      </c>
      <c r="C111" s="14">
        <f>31.9862 * CHOOSE(CONTROL!$C$9, $D$9, 100%, $F$9) + CHOOSE(CONTROL!$C$27, 0.0021, 0)</f>
        <v>31.988299999999999</v>
      </c>
      <c r="D111" s="14">
        <f>31.9862 * CHOOSE(CONTROL!$C$9, $D$9, 100%, $F$9) + CHOOSE(CONTROL!$C$27, 0.0021, 0)</f>
        <v>31.988299999999999</v>
      </c>
      <c r="E111" s="14">
        <f>31.8495 * CHOOSE(CONTROL!$C$9, $D$9, 100%, $F$9) + CHOOSE(CONTROL!$C$27, 0.0021, 0)</f>
        <v>31.851599999999998</v>
      </c>
      <c r="F111" s="14">
        <f>31.8495 * CHOOSE(CONTROL!$C$9, $D$9, 100%, $F$9) + CHOOSE(CONTROL!$C$27, 0.0021, 0)</f>
        <v>31.851599999999998</v>
      </c>
      <c r="G111" s="14">
        <f>32.1209 * CHOOSE(CONTROL!$C$9, $D$9, 100%, $F$9) + CHOOSE(CONTROL!$C$27, 0.0021, 0)</f>
        <v>32.122999999999998</v>
      </c>
      <c r="H111" s="14">
        <f>31.9862 * CHOOSE(CONTROL!$C$9, $D$9, 100%, $F$9) + CHOOSE(CONTROL!$C$27, 0.0021, 0)</f>
        <v>31.988299999999999</v>
      </c>
      <c r="I111" s="14">
        <f>31.9862 * CHOOSE(CONTROL!$C$9, $D$9, 100%, $F$9) + CHOOSE(CONTROL!$C$27, 0.0021, 0)</f>
        <v>31.988299999999999</v>
      </c>
      <c r="J111" s="14">
        <f>31.9862 * CHOOSE(CONTROL!$C$9, $D$9, 100%, $F$9) + CHOOSE(CONTROL!$C$27, 0.0021, 0)</f>
        <v>31.988299999999999</v>
      </c>
      <c r="K111" s="14">
        <f>31.9862 * CHOOSE(CONTROL!$C$9, $D$9, 100%, $F$9) + CHOOSE(CONTROL!$C$27, 0.0021, 0)</f>
        <v>31.988299999999999</v>
      </c>
      <c r="L111" s="14"/>
    </row>
    <row r="112" spans="1:12" ht="15" x14ac:dyDescent="0.2">
      <c r="A112" s="13">
        <v>44317</v>
      </c>
      <c r="B112" s="14">
        <f>33.1145 * CHOOSE(CONTROL!$C$9, $D$9, 100%, $F$9) + CHOOSE(CONTROL!$C$27, 0.0021, 0)</f>
        <v>33.116599999999998</v>
      </c>
      <c r="C112" s="14">
        <f>32.6822 * CHOOSE(CONTROL!$C$9, $D$9, 100%, $F$9) + CHOOSE(CONTROL!$C$27, 0.0021, 0)</f>
        <v>32.6843</v>
      </c>
      <c r="D112" s="14">
        <f>32.6822 * CHOOSE(CONTROL!$C$9, $D$9, 100%, $F$9) + CHOOSE(CONTROL!$C$27, 0.0021, 0)</f>
        <v>32.6843</v>
      </c>
      <c r="E112" s="14">
        <f>32.5456 * CHOOSE(CONTROL!$C$9, $D$9, 100%, $F$9) + CHOOSE(CONTROL!$C$27, 0.0021, 0)</f>
        <v>32.547699999999999</v>
      </c>
      <c r="F112" s="14">
        <f>32.5456 * CHOOSE(CONTROL!$C$9, $D$9, 100%, $F$9) + CHOOSE(CONTROL!$C$27, 0.0021, 0)</f>
        <v>32.547699999999999</v>
      </c>
      <c r="G112" s="14">
        <f>32.8169 * CHOOSE(CONTROL!$C$9, $D$9, 100%, $F$9) + CHOOSE(CONTROL!$C$27, 0.0021, 0)</f>
        <v>32.818999999999996</v>
      </c>
      <c r="H112" s="14">
        <f>32.6822 * CHOOSE(CONTROL!$C$9, $D$9, 100%, $F$9) + CHOOSE(CONTROL!$C$27, 0.0021, 0)</f>
        <v>32.6843</v>
      </c>
      <c r="I112" s="14">
        <f>32.6822 * CHOOSE(CONTROL!$C$9, $D$9, 100%, $F$9) + CHOOSE(CONTROL!$C$27, 0.0021, 0)</f>
        <v>32.6843</v>
      </c>
      <c r="J112" s="14">
        <f>32.6822 * CHOOSE(CONTROL!$C$9, $D$9, 100%, $F$9) + CHOOSE(CONTROL!$C$27, 0.0021, 0)</f>
        <v>32.6843</v>
      </c>
      <c r="K112" s="14">
        <f>32.6822 * CHOOSE(CONTROL!$C$9, $D$9, 100%, $F$9) + CHOOSE(CONTROL!$C$27, 0.0021, 0)</f>
        <v>32.6843</v>
      </c>
      <c r="L112" s="14"/>
    </row>
    <row r="113" spans="1:12" ht="15" x14ac:dyDescent="0.2">
      <c r="A113" s="13">
        <v>44348</v>
      </c>
      <c r="B113" s="14">
        <f>33.5585 * CHOOSE(CONTROL!$C$9, $D$9, 100%, $F$9) + CHOOSE(CONTROL!$C$27, 0.0021, 0)</f>
        <v>33.560600000000001</v>
      </c>
      <c r="C113" s="14">
        <f>33.1262 * CHOOSE(CONTROL!$C$9, $D$9, 100%, $F$9) + CHOOSE(CONTROL!$C$27, 0.0021, 0)</f>
        <v>33.128299999999996</v>
      </c>
      <c r="D113" s="14">
        <f>33.1262 * CHOOSE(CONTROL!$C$9, $D$9, 100%, $F$9) + CHOOSE(CONTROL!$C$27, 0.0021, 0)</f>
        <v>33.128299999999996</v>
      </c>
      <c r="E113" s="14">
        <f>32.9896 * CHOOSE(CONTROL!$C$9, $D$9, 100%, $F$9) + CHOOSE(CONTROL!$C$27, 0.0021, 0)</f>
        <v>32.991700000000002</v>
      </c>
      <c r="F113" s="14">
        <f>32.9896 * CHOOSE(CONTROL!$C$9, $D$9, 100%, $F$9) + CHOOSE(CONTROL!$C$27, 0.0021, 0)</f>
        <v>32.991700000000002</v>
      </c>
      <c r="G113" s="14">
        <f>33.2609 * CHOOSE(CONTROL!$C$9, $D$9, 100%, $F$9) + CHOOSE(CONTROL!$C$27, 0.0021, 0)</f>
        <v>33.262999999999998</v>
      </c>
      <c r="H113" s="14">
        <f>33.1262 * CHOOSE(CONTROL!$C$9, $D$9, 100%, $F$9) + CHOOSE(CONTROL!$C$27, 0.0021, 0)</f>
        <v>33.128299999999996</v>
      </c>
      <c r="I113" s="14">
        <f>33.1262 * CHOOSE(CONTROL!$C$9, $D$9, 100%, $F$9) + CHOOSE(CONTROL!$C$27, 0.0021, 0)</f>
        <v>33.128299999999996</v>
      </c>
      <c r="J113" s="14">
        <f>33.1262 * CHOOSE(CONTROL!$C$9, $D$9, 100%, $F$9) + CHOOSE(CONTROL!$C$27, 0.0021, 0)</f>
        <v>33.128299999999996</v>
      </c>
      <c r="K113" s="14">
        <f>33.1262 * CHOOSE(CONTROL!$C$9, $D$9, 100%, $F$9) + CHOOSE(CONTROL!$C$27, 0.0021, 0)</f>
        <v>33.128299999999996</v>
      </c>
      <c r="L113" s="14"/>
    </row>
    <row r="114" spans="1:12" ht="15" x14ac:dyDescent="0.2">
      <c r="A114" s="13">
        <v>44378</v>
      </c>
      <c r="B114" s="14">
        <f>34.2518 * CHOOSE(CONTROL!$C$9, $D$9, 100%, $F$9) + CHOOSE(CONTROL!$C$27, 0.0021, 0)</f>
        <v>34.253900000000002</v>
      </c>
      <c r="C114" s="14">
        <f>33.8196 * CHOOSE(CONTROL!$C$9, $D$9, 100%, $F$9) + CHOOSE(CONTROL!$C$27, 0.0021, 0)</f>
        <v>33.8217</v>
      </c>
      <c r="D114" s="14">
        <f>33.8196 * CHOOSE(CONTROL!$C$9, $D$9, 100%, $F$9) + CHOOSE(CONTROL!$C$27, 0.0021, 0)</f>
        <v>33.8217</v>
      </c>
      <c r="E114" s="14">
        <f>33.6829 * CHOOSE(CONTROL!$C$9, $D$9, 100%, $F$9) + CHOOSE(CONTROL!$C$27, 0.0021, 0)</f>
        <v>33.684999999999995</v>
      </c>
      <c r="F114" s="14">
        <f>33.6829 * CHOOSE(CONTROL!$C$9, $D$9, 100%, $F$9) + CHOOSE(CONTROL!$C$27, 0.0021, 0)</f>
        <v>33.684999999999995</v>
      </c>
      <c r="G114" s="14">
        <f>33.9543 * CHOOSE(CONTROL!$C$9, $D$9, 100%, $F$9) + CHOOSE(CONTROL!$C$27, 0.0021, 0)</f>
        <v>33.956400000000002</v>
      </c>
      <c r="H114" s="14">
        <f>33.8196 * CHOOSE(CONTROL!$C$9, $D$9, 100%, $F$9) + CHOOSE(CONTROL!$C$27, 0.0021, 0)</f>
        <v>33.8217</v>
      </c>
      <c r="I114" s="14">
        <f>33.8196 * CHOOSE(CONTROL!$C$9, $D$9, 100%, $F$9) + CHOOSE(CONTROL!$C$27, 0.0021, 0)</f>
        <v>33.8217</v>
      </c>
      <c r="J114" s="14">
        <f>33.8196 * CHOOSE(CONTROL!$C$9, $D$9, 100%, $F$9) + CHOOSE(CONTROL!$C$27, 0.0021, 0)</f>
        <v>33.8217</v>
      </c>
      <c r="K114" s="14">
        <f>33.8196 * CHOOSE(CONTROL!$C$9, $D$9, 100%, $F$9) + CHOOSE(CONTROL!$C$27, 0.0021, 0)</f>
        <v>33.8217</v>
      </c>
      <c r="L114" s="14"/>
    </row>
    <row r="115" spans="1:12" ht="15" x14ac:dyDescent="0.2">
      <c r="A115" s="13">
        <v>44409</v>
      </c>
      <c r="B115" s="14">
        <f>34.5101 * CHOOSE(CONTROL!$C$9, $D$9, 100%, $F$9) + CHOOSE(CONTROL!$C$27, 0.0021, 0)</f>
        <v>34.5122</v>
      </c>
      <c r="C115" s="14">
        <f>34.0778 * CHOOSE(CONTROL!$C$9, $D$9, 100%, $F$9) + CHOOSE(CONTROL!$C$27, 0.0021, 0)</f>
        <v>34.079900000000002</v>
      </c>
      <c r="D115" s="14">
        <f>34.0778 * CHOOSE(CONTROL!$C$9, $D$9, 100%, $F$9) + CHOOSE(CONTROL!$C$27, 0.0021, 0)</f>
        <v>34.079900000000002</v>
      </c>
      <c r="E115" s="14">
        <f>33.9412 * CHOOSE(CONTROL!$C$9, $D$9, 100%, $F$9) + CHOOSE(CONTROL!$C$27, 0.0021, 0)</f>
        <v>33.943300000000001</v>
      </c>
      <c r="F115" s="14">
        <f>33.9412 * CHOOSE(CONTROL!$C$9, $D$9, 100%, $F$9) + CHOOSE(CONTROL!$C$27, 0.0021, 0)</f>
        <v>33.943300000000001</v>
      </c>
      <c r="G115" s="14">
        <f>34.2125 * CHOOSE(CONTROL!$C$9, $D$9, 100%, $F$9) + CHOOSE(CONTROL!$C$27, 0.0021, 0)</f>
        <v>34.214599999999997</v>
      </c>
      <c r="H115" s="14">
        <f>34.0778 * CHOOSE(CONTROL!$C$9, $D$9, 100%, $F$9) + CHOOSE(CONTROL!$C$27, 0.0021, 0)</f>
        <v>34.079900000000002</v>
      </c>
      <c r="I115" s="14">
        <f>34.0778 * CHOOSE(CONTROL!$C$9, $D$9, 100%, $F$9) + CHOOSE(CONTROL!$C$27, 0.0021, 0)</f>
        <v>34.079900000000002</v>
      </c>
      <c r="J115" s="14">
        <f>34.0778 * CHOOSE(CONTROL!$C$9, $D$9, 100%, $F$9) + CHOOSE(CONTROL!$C$27, 0.0021, 0)</f>
        <v>34.079900000000002</v>
      </c>
      <c r="K115" s="14">
        <f>34.0778 * CHOOSE(CONTROL!$C$9, $D$9, 100%, $F$9) + CHOOSE(CONTROL!$C$27, 0.0021, 0)</f>
        <v>34.079900000000002</v>
      </c>
      <c r="L115" s="14"/>
    </row>
    <row r="116" spans="1:12" ht="15" x14ac:dyDescent="0.2">
      <c r="A116" s="13">
        <v>44440</v>
      </c>
      <c r="B116" s="14">
        <f>35.2329 * CHOOSE(CONTROL!$C$9, $D$9, 100%, $F$9) + CHOOSE(CONTROL!$C$27, 0.0021, 0)</f>
        <v>35.234999999999999</v>
      </c>
      <c r="C116" s="14">
        <f>34.8007 * CHOOSE(CONTROL!$C$9, $D$9, 100%, $F$9) + CHOOSE(CONTROL!$C$27, 0.0021, 0)</f>
        <v>34.802799999999998</v>
      </c>
      <c r="D116" s="14">
        <f>34.8007 * CHOOSE(CONTROL!$C$9, $D$9, 100%, $F$9) + CHOOSE(CONTROL!$C$27, 0.0021, 0)</f>
        <v>34.802799999999998</v>
      </c>
      <c r="E116" s="14">
        <f>34.664 * CHOOSE(CONTROL!$C$9, $D$9, 100%, $F$9) + CHOOSE(CONTROL!$C$27, 0.0021, 0)</f>
        <v>34.6661</v>
      </c>
      <c r="F116" s="14">
        <f>34.664 * CHOOSE(CONTROL!$C$9, $D$9, 100%, $F$9) + CHOOSE(CONTROL!$C$27, 0.0021, 0)</f>
        <v>34.6661</v>
      </c>
      <c r="G116" s="14">
        <f>34.9354 * CHOOSE(CONTROL!$C$9, $D$9, 100%, $F$9) + CHOOSE(CONTROL!$C$27, 0.0021, 0)</f>
        <v>34.9375</v>
      </c>
      <c r="H116" s="14">
        <f>34.8007 * CHOOSE(CONTROL!$C$9, $D$9, 100%, $F$9) + CHOOSE(CONTROL!$C$27, 0.0021, 0)</f>
        <v>34.802799999999998</v>
      </c>
      <c r="I116" s="14">
        <f>34.8007 * CHOOSE(CONTROL!$C$9, $D$9, 100%, $F$9) + CHOOSE(CONTROL!$C$27, 0.0021, 0)</f>
        <v>34.802799999999998</v>
      </c>
      <c r="J116" s="14">
        <f>34.8007 * CHOOSE(CONTROL!$C$9, $D$9, 100%, $F$9) + CHOOSE(CONTROL!$C$27, 0.0021, 0)</f>
        <v>34.802799999999998</v>
      </c>
      <c r="K116" s="14">
        <f>34.8007 * CHOOSE(CONTROL!$C$9, $D$9, 100%, $F$9) + CHOOSE(CONTROL!$C$27, 0.0021, 0)</f>
        <v>34.802799999999998</v>
      </c>
      <c r="L116" s="14"/>
    </row>
    <row r="117" spans="1:12" ht="15" x14ac:dyDescent="0.2">
      <c r="A117" s="13">
        <v>44470</v>
      </c>
      <c r="B117" s="14">
        <f>36.1335 * CHOOSE(CONTROL!$C$9, $D$9, 100%, $F$9) + CHOOSE(CONTROL!$C$27, 0.0021, 0)</f>
        <v>36.135599999999997</v>
      </c>
      <c r="C117" s="14">
        <f>35.7012 * CHOOSE(CONTROL!$C$9, $D$9, 100%, $F$9) + CHOOSE(CONTROL!$C$27, 0.0021, 0)</f>
        <v>35.703299999999999</v>
      </c>
      <c r="D117" s="14">
        <f>35.7012 * CHOOSE(CONTROL!$C$9, $D$9, 100%, $F$9) + CHOOSE(CONTROL!$C$27, 0.0021, 0)</f>
        <v>35.703299999999999</v>
      </c>
      <c r="E117" s="14">
        <f>35.5646 * CHOOSE(CONTROL!$C$9, $D$9, 100%, $F$9) + CHOOSE(CONTROL!$C$27, 0.0021, 0)</f>
        <v>35.566699999999997</v>
      </c>
      <c r="F117" s="14">
        <f>35.5646 * CHOOSE(CONTROL!$C$9, $D$9, 100%, $F$9) + CHOOSE(CONTROL!$C$27, 0.0021, 0)</f>
        <v>35.566699999999997</v>
      </c>
      <c r="G117" s="14">
        <f>35.836 * CHOOSE(CONTROL!$C$9, $D$9, 100%, $F$9) + CHOOSE(CONTROL!$C$27, 0.0021, 0)</f>
        <v>35.838099999999997</v>
      </c>
      <c r="H117" s="14">
        <f>35.7012 * CHOOSE(CONTROL!$C$9, $D$9, 100%, $F$9) + CHOOSE(CONTROL!$C$27, 0.0021, 0)</f>
        <v>35.703299999999999</v>
      </c>
      <c r="I117" s="14">
        <f>35.7012 * CHOOSE(CONTROL!$C$9, $D$9, 100%, $F$9) + CHOOSE(CONTROL!$C$27, 0.0021, 0)</f>
        <v>35.703299999999999</v>
      </c>
      <c r="J117" s="14">
        <f>35.7012 * CHOOSE(CONTROL!$C$9, $D$9, 100%, $F$9) + CHOOSE(CONTROL!$C$27, 0.0021, 0)</f>
        <v>35.703299999999999</v>
      </c>
      <c r="K117" s="14">
        <f>35.7012 * CHOOSE(CONTROL!$C$9, $D$9, 100%, $F$9) + CHOOSE(CONTROL!$C$27, 0.0021, 0)</f>
        <v>35.703299999999999</v>
      </c>
      <c r="L117" s="14"/>
    </row>
    <row r="118" spans="1:12" ht="15" x14ac:dyDescent="0.2">
      <c r="A118" s="13">
        <v>44501</v>
      </c>
      <c r="B118" s="14">
        <f>36.2815 * CHOOSE(CONTROL!$C$9, $D$9, 100%, $F$9) + CHOOSE(CONTROL!$C$27, 0.0021, 0)</f>
        <v>36.2836</v>
      </c>
      <c r="C118" s="14">
        <f>35.8493 * CHOOSE(CONTROL!$C$9, $D$9, 100%, $F$9) + CHOOSE(CONTROL!$C$27, 0.0021, 0)</f>
        <v>35.851399999999998</v>
      </c>
      <c r="D118" s="14">
        <f>35.8493 * CHOOSE(CONTROL!$C$9, $D$9, 100%, $F$9) + CHOOSE(CONTROL!$C$27, 0.0021, 0)</f>
        <v>35.851399999999998</v>
      </c>
      <c r="E118" s="14">
        <f>35.7126 * CHOOSE(CONTROL!$C$9, $D$9, 100%, $F$9) + CHOOSE(CONTROL!$C$27, 0.0021, 0)</f>
        <v>35.714700000000001</v>
      </c>
      <c r="F118" s="14">
        <f>35.7126 * CHOOSE(CONTROL!$C$9, $D$9, 100%, $F$9) + CHOOSE(CONTROL!$C$27, 0.0021, 0)</f>
        <v>35.714700000000001</v>
      </c>
      <c r="G118" s="14">
        <f>35.984 * CHOOSE(CONTROL!$C$9, $D$9, 100%, $F$9) + CHOOSE(CONTROL!$C$27, 0.0021, 0)</f>
        <v>35.9861</v>
      </c>
      <c r="H118" s="14">
        <f>35.8493 * CHOOSE(CONTROL!$C$9, $D$9, 100%, $F$9) + CHOOSE(CONTROL!$C$27, 0.0021, 0)</f>
        <v>35.851399999999998</v>
      </c>
      <c r="I118" s="14">
        <f>35.8493 * CHOOSE(CONTROL!$C$9, $D$9, 100%, $F$9) + CHOOSE(CONTROL!$C$27, 0.0021, 0)</f>
        <v>35.851399999999998</v>
      </c>
      <c r="J118" s="14">
        <f>35.8493 * CHOOSE(CONTROL!$C$9, $D$9, 100%, $F$9) + CHOOSE(CONTROL!$C$27, 0.0021, 0)</f>
        <v>35.851399999999998</v>
      </c>
      <c r="K118" s="14">
        <f>35.8493 * CHOOSE(CONTROL!$C$9, $D$9, 100%, $F$9) + CHOOSE(CONTROL!$C$27, 0.0021, 0)</f>
        <v>35.851399999999998</v>
      </c>
      <c r="L118" s="14"/>
    </row>
    <row r="119" spans="1:12" ht="15" x14ac:dyDescent="0.2">
      <c r="A119" s="13">
        <v>44531</v>
      </c>
      <c r="B119" s="14">
        <f>35.6837 * CHOOSE(CONTROL!$C$9, $D$9, 100%, $F$9) + CHOOSE(CONTROL!$C$27, 0.0021, 0)</f>
        <v>35.6858</v>
      </c>
      <c r="C119" s="14">
        <f>35.2515 * CHOOSE(CONTROL!$C$9, $D$9, 100%, $F$9) + CHOOSE(CONTROL!$C$27, 0.0021, 0)</f>
        <v>35.253599999999999</v>
      </c>
      <c r="D119" s="14">
        <f>35.2515 * CHOOSE(CONTROL!$C$9, $D$9, 100%, $F$9) + CHOOSE(CONTROL!$C$27, 0.0021, 0)</f>
        <v>35.253599999999999</v>
      </c>
      <c r="E119" s="14">
        <f>35.1148 * CHOOSE(CONTROL!$C$9, $D$9, 100%, $F$9) + CHOOSE(CONTROL!$C$27, 0.0021, 0)</f>
        <v>35.116900000000001</v>
      </c>
      <c r="F119" s="14">
        <f>35.1148 * CHOOSE(CONTROL!$C$9, $D$9, 100%, $F$9) + CHOOSE(CONTROL!$C$27, 0.0021, 0)</f>
        <v>35.116900000000001</v>
      </c>
      <c r="G119" s="14">
        <f>35.3862 * CHOOSE(CONTROL!$C$9, $D$9, 100%, $F$9) + CHOOSE(CONTROL!$C$27, 0.0021, 0)</f>
        <v>35.388300000000001</v>
      </c>
      <c r="H119" s="14">
        <f>35.2515 * CHOOSE(CONTROL!$C$9, $D$9, 100%, $F$9) + CHOOSE(CONTROL!$C$27, 0.0021, 0)</f>
        <v>35.253599999999999</v>
      </c>
      <c r="I119" s="14">
        <f>35.2515 * CHOOSE(CONTROL!$C$9, $D$9, 100%, $F$9) + CHOOSE(CONTROL!$C$27, 0.0021, 0)</f>
        <v>35.253599999999999</v>
      </c>
      <c r="J119" s="14">
        <f>35.2515 * CHOOSE(CONTROL!$C$9, $D$9, 100%, $F$9) + CHOOSE(CONTROL!$C$27, 0.0021, 0)</f>
        <v>35.253599999999999</v>
      </c>
      <c r="K119" s="14">
        <f>35.2515 * CHOOSE(CONTROL!$C$9, $D$9, 100%, $F$9) + CHOOSE(CONTROL!$C$27, 0.0021, 0)</f>
        <v>35.253599999999999</v>
      </c>
      <c r="L119" s="14"/>
    </row>
    <row r="120" spans="1:12" ht="15" x14ac:dyDescent="0.2">
      <c r="A120" s="13">
        <v>44562</v>
      </c>
      <c r="B120" s="14">
        <f>36.4046 * CHOOSE(CONTROL!$C$9, $D$9, 100%, $F$9) + CHOOSE(CONTROL!$C$27, 0.0021, 0)</f>
        <v>36.406700000000001</v>
      </c>
      <c r="C120" s="14">
        <f>35.9724 * CHOOSE(CONTROL!$C$9, $D$9, 100%, $F$9) + CHOOSE(CONTROL!$C$27, 0.0021, 0)</f>
        <v>35.974499999999999</v>
      </c>
      <c r="D120" s="14">
        <f>35.9724 * CHOOSE(CONTROL!$C$9, $D$9, 100%, $F$9) + CHOOSE(CONTROL!$C$27, 0.0021, 0)</f>
        <v>35.974499999999999</v>
      </c>
      <c r="E120" s="14">
        <f>35.8357 * CHOOSE(CONTROL!$C$9, $D$9, 100%, $F$9) + CHOOSE(CONTROL!$C$27, 0.0021, 0)</f>
        <v>35.837800000000001</v>
      </c>
      <c r="F120" s="14">
        <f>35.8357 * CHOOSE(CONTROL!$C$9, $D$9, 100%, $F$9) + CHOOSE(CONTROL!$C$27, 0.0021, 0)</f>
        <v>35.837800000000001</v>
      </c>
      <c r="G120" s="14">
        <f>36.1071 * CHOOSE(CONTROL!$C$9, $D$9, 100%, $F$9) + CHOOSE(CONTROL!$C$27, 0.0021, 0)</f>
        <v>36.109200000000001</v>
      </c>
      <c r="H120" s="14">
        <f>35.9724 * CHOOSE(CONTROL!$C$9, $D$9, 100%, $F$9) + CHOOSE(CONTROL!$C$27, 0.0021, 0)</f>
        <v>35.974499999999999</v>
      </c>
      <c r="I120" s="14">
        <f>35.9724 * CHOOSE(CONTROL!$C$9, $D$9, 100%, $F$9) + CHOOSE(CONTROL!$C$27, 0.0021, 0)</f>
        <v>35.974499999999999</v>
      </c>
      <c r="J120" s="14">
        <f>35.9724 * CHOOSE(CONTROL!$C$9, $D$9, 100%, $F$9) + CHOOSE(CONTROL!$C$27, 0.0021, 0)</f>
        <v>35.974499999999999</v>
      </c>
      <c r="K120" s="14">
        <f>35.9724 * CHOOSE(CONTROL!$C$9, $D$9, 100%, $F$9) + CHOOSE(CONTROL!$C$27, 0.0021, 0)</f>
        <v>35.974499999999999</v>
      </c>
      <c r="L120" s="14"/>
    </row>
    <row r="121" spans="1:12" ht="15" x14ac:dyDescent="0.2">
      <c r="A121" s="13">
        <v>44593</v>
      </c>
      <c r="B121" s="14">
        <f>35.508 * CHOOSE(CONTROL!$C$9, $D$9, 100%, $F$9) + CHOOSE(CONTROL!$C$27, 0.0021, 0)</f>
        <v>35.510100000000001</v>
      </c>
      <c r="C121" s="14">
        <f>35.0758 * CHOOSE(CONTROL!$C$9, $D$9, 100%, $F$9) + CHOOSE(CONTROL!$C$27, 0.0021, 0)</f>
        <v>35.0779</v>
      </c>
      <c r="D121" s="14">
        <f>35.0758 * CHOOSE(CONTROL!$C$9, $D$9, 100%, $F$9) + CHOOSE(CONTROL!$C$27, 0.0021, 0)</f>
        <v>35.0779</v>
      </c>
      <c r="E121" s="14">
        <f>34.9391 * CHOOSE(CONTROL!$C$9, $D$9, 100%, $F$9) + CHOOSE(CONTROL!$C$27, 0.0021, 0)</f>
        <v>34.941200000000002</v>
      </c>
      <c r="F121" s="14">
        <f>34.9391 * CHOOSE(CONTROL!$C$9, $D$9, 100%, $F$9) + CHOOSE(CONTROL!$C$27, 0.0021, 0)</f>
        <v>34.941200000000002</v>
      </c>
      <c r="G121" s="14">
        <f>35.2105 * CHOOSE(CONTROL!$C$9, $D$9, 100%, $F$9) + CHOOSE(CONTROL!$C$27, 0.0021, 0)</f>
        <v>35.212600000000002</v>
      </c>
      <c r="H121" s="14">
        <f>35.0758 * CHOOSE(CONTROL!$C$9, $D$9, 100%, $F$9) + CHOOSE(CONTROL!$C$27, 0.0021, 0)</f>
        <v>35.0779</v>
      </c>
      <c r="I121" s="14">
        <f>35.0758 * CHOOSE(CONTROL!$C$9, $D$9, 100%, $F$9) + CHOOSE(CONTROL!$C$27, 0.0021, 0)</f>
        <v>35.0779</v>
      </c>
      <c r="J121" s="14">
        <f>35.0758 * CHOOSE(CONTROL!$C$9, $D$9, 100%, $F$9) + CHOOSE(CONTROL!$C$27, 0.0021, 0)</f>
        <v>35.0779</v>
      </c>
      <c r="K121" s="14">
        <f>35.0758 * CHOOSE(CONTROL!$C$9, $D$9, 100%, $F$9) + CHOOSE(CONTROL!$C$27, 0.0021, 0)</f>
        <v>35.0779</v>
      </c>
      <c r="L121" s="14"/>
    </row>
    <row r="122" spans="1:12" ht="15" x14ac:dyDescent="0.2">
      <c r="A122" s="13">
        <v>44621</v>
      </c>
      <c r="B122" s="14">
        <f>35.1765 * CHOOSE(CONTROL!$C$9, $D$9, 100%, $F$9) + CHOOSE(CONTROL!$C$27, 0.0021, 0)</f>
        <v>35.178599999999996</v>
      </c>
      <c r="C122" s="14">
        <f>34.7442 * CHOOSE(CONTROL!$C$9, $D$9, 100%, $F$9) + CHOOSE(CONTROL!$C$27, 0.0021, 0)</f>
        <v>34.746299999999998</v>
      </c>
      <c r="D122" s="14">
        <f>34.7442 * CHOOSE(CONTROL!$C$9, $D$9, 100%, $F$9) + CHOOSE(CONTROL!$C$27, 0.0021, 0)</f>
        <v>34.746299999999998</v>
      </c>
      <c r="E122" s="14">
        <f>34.6076 * CHOOSE(CONTROL!$C$9, $D$9, 100%, $F$9) + CHOOSE(CONTROL!$C$27, 0.0021, 0)</f>
        <v>34.609699999999997</v>
      </c>
      <c r="F122" s="14">
        <f>34.6076 * CHOOSE(CONTROL!$C$9, $D$9, 100%, $F$9) + CHOOSE(CONTROL!$C$27, 0.0021, 0)</f>
        <v>34.609699999999997</v>
      </c>
      <c r="G122" s="14">
        <f>34.879 * CHOOSE(CONTROL!$C$9, $D$9, 100%, $F$9) + CHOOSE(CONTROL!$C$27, 0.0021, 0)</f>
        <v>34.881099999999996</v>
      </c>
      <c r="H122" s="14">
        <f>34.7442 * CHOOSE(CONTROL!$C$9, $D$9, 100%, $F$9) + CHOOSE(CONTROL!$C$27, 0.0021, 0)</f>
        <v>34.746299999999998</v>
      </c>
      <c r="I122" s="14">
        <f>34.7442 * CHOOSE(CONTROL!$C$9, $D$9, 100%, $F$9) + CHOOSE(CONTROL!$C$27, 0.0021, 0)</f>
        <v>34.746299999999998</v>
      </c>
      <c r="J122" s="14">
        <f>34.7442 * CHOOSE(CONTROL!$C$9, $D$9, 100%, $F$9) + CHOOSE(CONTROL!$C$27, 0.0021, 0)</f>
        <v>34.746299999999998</v>
      </c>
      <c r="K122" s="14">
        <f>34.7442 * CHOOSE(CONTROL!$C$9, $D$9, 100%, $F$9) + CHOOSE(CONTROL!$C$27, 0.0021, 0)</f>
        <v>34.746299999999998</v>
      </c>
      <c r="L122" s="14"/>
    </row>
    <row r="123" spans="1:12" ht="15" x14ac:dyDescent="0.2">
      <c r="A123" s="13">
        <v>44652</v>
      </c>
      <c r="B123" s="14">
        <f>34.7657 * CHOOSE(CONTROL!$C$9, $D$9, 100%, $F$9) + CHOOSE(CONTROL!$C$27, 0.0021, 0)</f>
        <v>34.767800000000001</v>
      </c>
      <c r="C123" s="14">
        <f>34.3335 * CHOOSE(CONTROL!$C$9, $D$9, 100%, $F$9) + CHOOSE(CONTROL!$C$27, 0.0021, 0)</f>
        <v>34.335599999999999</v>
      </c>
      <c r="D123" s="14">
        <f>34.3335 * CHOOSE(CONTROL!$C$9, $D$9, 100%, $F$9) + CHOOSE(CONTROL!$C$27, 0.0021, 0)</f>
        <v>34.335599999999999</v>
      </c>
      <c r="E123" s="14">
        <f>34.1968 * CHOOSE(CONTROL!$C$9, $D$9, 100%, $F$9) + CHOOSE(CONTROL!$C$27, 0.0021, 0)</f>
        <v>34.198900000000002</v>
      </c>
      <c r="F123" s="14">
        <f>34.1968 * CHOOSE(CONTROL!$C$9, $D$9, 100%, $F$9) + CHOOSE(CONTROL!$C$27, 0.0021, 0)</f>
        <v>34.198900000000002</v>
      </c>
      <c r="G123" s="14">
        <f>34.4682 * CHOOSE(CONTROL!$C$9, $D$9, 100%, $F$9) + CHOOSE(CONTROL!$C$27, 0.0021, 0)</f>
        <v>34.470300000000002</v>
      </c>
      <c r="H123" s="14">
        <f>34.3335 * CHOOSE(CONTROL!$C$9, $D$9, 100%, $F$9) + CHOOSE(CONTROL!$C$27, 0.0021, 0)</f>
        <v>34.335599999999999</v>
      </c>
      <c r="I123" s="14">
        <f>34.3335 * CHOOSE(CONTROL!$C$9, $D$9, 100%, $F$9) + CHOOSE(CONTROL!$C$27, 0.0021, 0)</f>
        <v>34.335599999999999</v>
      </c>
      <c r="J123" s="14">
        <f>34.3335 * CHOOSE(CONTROL!$C$9, $D$9, 100%, $F$9) + CHOOSE(CONTROL!$C$27, 0.0021, 0)</f>
        <v>34.335599999999999</v>
      </c>
      <c r="K123" s="14">
        <f>34.3335 * CHOOSE(CONTROL!$C$9, $D$9, 100%, $F$9) + CHOOSE(CONTROL!$C$27, 0.0021, 0)</f>
        <v>34.335599999999999</v>
      </c>
      <c r="L123" s="14"/>
    </row>
    <row r="124" spans="1:12" ht="15" x14ac:dyDescent="0.2">
      <c r="A124" s="13">
        <v>44682</v>
      </c>
      <c r="B124" s="14">
        <f>35.516 * CHOOSE(CONTROL!$C$9, $D$9, 100%, $F$9) + CHOOSE(CONTROL!$C$27, 0.0021, 0)</f>
        <v>35.518099999999997</v>
      </c>
      <c r="C124" s="14">
        <f>35.0837 * CHOOSE(CONTROL!$C$9, $D$9, 100%, $F$9) + CHOOSE(CONTROL!$C$27, 0.0021, 0)</f>
        <v>35.085799999999999</v>
      </c>
      <c r="D124" s="14">
        <f>35.0837 * CHOOSE(CONTROL!$C$9, $D$9, 100%, $F$9) + CHOOSE(CONTROL!$C$27, 0.0021, 0)</f>
        <v>35.085799999999999</v>
      </c>
      <c r="E124" s="14">
        <f>34.947 * CHOOSE(CONTROL!$C$9, $D$9, 100%, $F$9) + CHOOSE(CONTROL!$C$27, 0.0021, 0)</f>
        <v>34.949100000000001</v>
      </c>
      <c r="F124" s="14">
        <f>34.947 * CHOOSE(CONTROL!$C$9, $D$9, 100%, $F$9) + CHOOSE(CONTROL!$C$27, 0.0021, 0)</f>
        <v>34.949100000000001</v>
      </c>
      <c r="G124" s="14">
        <f>35.2184 * CHOOSE(CONTROL!$C$9, $D$9, 100%, $F$9) + CHOOSE(CONTROL!$C$27, 0.0021, 0)</f>
        <v>35.220500000000001</v>
      </c>
      <c r="H124" s="14">
        <f>35.0837 * CHOOSE(CONTROL!$C$9, $D$9, 100%, $F$9) + CHOOSE(CONTROL!$C$27, 0.0021, 0)</f>
        <v>35.085799999999999</v>
      </c>
      <c r="I124" s="14">
        <f>35.0837 * CHOOSE(CONTROL!$C$9, $D$9, 100%, $F$9) + CHOOSE(CONTROL!$C$27, 0.0021, 0)</f>
        <v>35.085799999999999</v>
      </c>
      <c r="J124" s="14">
        <f>35.0837 * CHOOSE(CONTROL!$C$9, $D$9, 100%, $F$9) + CHOOSE(CONTROL!$C$27, 0.0021, 0)</f>
        <v>35.085799999999999</v>
      </c>
      <c r="K124" s="14">
        <f>35.0837 * CHOOSE(CONTROL!$C$9, $D$9, 100%, $F$9) + CHOOSE(CONTROL!$C$27, 0.0021, 0)</f>
        <v>35.085799999999999</v>
      </c>
      <c r="L124" s="14"/>
    </row>
    <row r="125" spans="1:12" ht="15" x14ac:dyDescent="0.2">
      <c r="A125" s="13">
        <v>44713</v>
      </c>
      <c r="B125" s="14">
        <f>35.9945 * CHOOSE(CONTROL!$C$9, $D$9, 100%, $F$9) + CHOOSE(CONTROL!$C$27, 0.0021, 0)</f>
        <v>35.996600000000001</v>
      </c>
      <c r="C125" s="14">
        <f>35.5623 * CHOOSE(CONTROL!$C$9, $D$9, 100%, $F$9) + CHOOSE(CONTROL!$C$27, 0.0021, 0)</f>
        <v>35.564399999999999</v>
      </c>
      <c r="D125" s="14">
        <f>35.5623 * CHOOSE(CONTROL!$C$9, $D$9, 100%, $F$9) + CHOOSE(CONTROL!$C$27, 0.0021, 0)</f>
        <v>35.564399999999999</v>
      </c>
      <c r="E125" s="14">
        <f>35.4256 * CHOOSE(CONTROL!$C$9, $D$9, 100%, $F$9) + CHOOSE(CONTROL!$C$27, 0.0021, 0)</f>
        <v>35.427700000000002</v>
      </c>
      <c r="F125" s="14">
        <f>35.4256 * CHOOSE(CONTROL!$C$9, $D$9, 100%, $F$9) + CHOOSE(CONTROL!$C$27, 0.0021, 0)</f>
        <v>35.427700000000002</v>
      </c>
      <c r="G125" s="14">
        <f>35.697 * CHOOSE(CONTROL!$C$9, $D$9, 100%, $F$9) + CHOOSE(CONTROL!$C$27, 0.0021, 0)</f>
        <v>35.699100000000001</v>
      </c>
      <c r="H125" s="14">
        <f>35.5623 * CHOOSE(CONTROL!$C$9, $D$9, 100%, $F$9) + CHOOSE(CONTROL!$C$27, 0.0021, 0)</f>
        <v>35.564399999999999</v>
      </c>
      <c r="I125" s="14">
        <f>35.5623 * CHOOSE(CONTROL!$C$9, $D$9, 100%, $F$9) + CHOOSE(CONTROL!$C$27, 0.0021, 0)</f>
        <v>35.564399999999999</v>
      </c>
      <c r="J125" s="14">
        <f>35.5623 * CHOOSE(CONTROL!$C$9, $D$9, 100%, $F$9) + CHOOSE(CONTROL!$C$27, 0.0021, 0)</f>
        <v>35.564399999999999</v>
      </c>
      <c r="K125" s="14">
        <f>35.5623 * CHOOSE(CONTROL!$C$9, $D$9, 100%, $F$9) + CHOOSE(CONTROL!$C$27, 0.0021, 0)</f>
        <v>35.564399999999999</v>
      </c>
      <c r="L125" s="14"/>
    </row>
    <row r="126" spans="1:12" ht="15" x14ac:dyDescent="0.2">
      <c r="A126" s="13">
        <v>44743</v>
      </c>
      <c r="B126" s="14">
        <f>36.7419 * CHOOSE(CONTROL!$C$9, $D$9, 100%, $F$9) + CHOOSE(CONTROL!$C$27, 0.0021, 0)</f>
        <v>36.744</v>
      </c>
      <c r="C126" s="14">
        <f>36.3097 * CHOOSE(CONTROL!$C$9, $D$9, 100%, $F$9) + CHOOSE(CONTROL!$C$27, 0.0021, 0)</f>
        <v>36.311799999999998</v>
      </c>
      <c r="D126" s="14">
        <f>36.3097 * CHOOSE(CONTROL!$C$9, $D$9, 100%, $F$9) + CHOOSE(CONTROL!$C$27, 0.0021, 0)</f>
        <v>36.311799999999998</v>
      </c>
      <c r="E126" s="14">
        <f>36.173 * CHOOSE(CONTROL!$C$9, $D$9, 100%, $F$9) + CHOOSE(CONTROL!$C$27, 0.0021, 0)</f>
        <v>36.1751</v>
      </c>
      <c r="F126" s="14">
        <f>36.173 * CHOOSE(CONTROL!$C$9, $D$9, 100%, $F$9) + CHOOSE(CONTROL!$C$27, 0.0021, 0)</f>
        <v>36.1751</v>
      </c>
      <c r="G126" s="14">
        <f>36.4444 * CHOOSE(CONTROL!$C$9, $D$9, 100%, $F$9) + CHOOSE(CONTROL!$C$27, 0.0021, 0)</f>
        <v>36.4465</v>
      </c>
      <c r="H126" s="14">
        <f>36.3097 * CHOOSE(CONTROL!$C$9, $D$9, 100%, $F$9) + CHOOSE(CONTROL!$C$27, 0.0021, 0)</f>
        <v>36.311799999999998</v>
      </c>
      <c r="I126" s="14">
        <f>36.3097 * CHOOSE(CONTROL!$C$9, $D$9, 100%, $F$9) + CHOOSE(CONTROL!$C$27, 0.0021, 0)</f>
        <v>36.311799999999998</v>
      </c>
      <c r="J126" s="14">
        <f>36.3097 * CHOOSE(CONTROL!$C$9, $D$9, 100%, $F$9) + CHOOSE(CONTROL!$C$27, 0.0021, 0)</f>
        <v>36.311799999999998</v>
      </c>
      <c r="K126" s="14">
        <f>36.3097 * CHOOSE(CONTROL!$C$9, $D$9, 100%, $F$9) + CHOOSE(CONTROL!$C$27, 0.0021, 0)</f>
        <v>36.311799999999998</v>
      </c>
      <c r="L126" s="14"/>
    </row>
    <row r="127" spans="1:12" ht="15" x14ac:dyDescent="0.2">
      <c r="A127" s="13">
        <v>44774</v>
      </c>
      <c r="B127" s="14">
        <f>37.0203 * CHOOSE(CONTROL!$C$9, $D$9, 100%, $F$9) + CHOOSE(CONTROL!$C$27, 0.0021, 0)</f>
        <v>37.022399999999998</v>
      </c>
      <c r="C127" s="14">
        <f>36.588 * CHOOSE(CONTROL!$C$9, $D$9, 100%, $F$9) + CHOOSE(CONTROL!$C$27, 0.0021, 0)</f>
        <v>36.5901</v>
      </c>
      <c r="D127" s="14">
        <f>36.588 * CHOOSE(CONTROL!$C$9, $D$9, 100%, $F$9) + CHOOSE(CONTROL!$C$27, 0.0021, 0)</f>
        <v>36.5901</v>
      </c>
      <c r="E127" s="14">
        <f>36.4514 * CHOOSE(CONTROL!$C$9, $D$9, 100%, $F$9) + CHOOSE(CONTROL!$C$27, 0.0021, 0)</f>
        <v>36.453499999999998</v>
      </c>
      <c r="F127" s="14">
        <f>36.4514 * CHOOSE(CONTROL!$C$9, $D$9, 100%, $F$9) + CHOOSE(CONTROL!$C$27, 0.0021, 0)</f>
        <v>36.453499999999998</v>
      </c>
      <c r="G127" s="14">
        <f>36.7227 * CHOOSE(CONTROL!$C$9, $D$9, 100%, $F$9) + CHOOSE(CONTROL!$C$27, 0.0021, 0)</f>
        <v>36.724800000000002</v>
      </c>
      <c r="H127" s="14">
        <f>36.588 * CHOOSE(CONTROL!$C$9, $D$9, 100%, $F$9) + CHOOSE(CONTROL!$C$27, 0.0021, 0)</f>
        <v>36.5901</v>
      </c>
      <c r="I127" s="14">
        <f>36.588 * CHOOSE(CONTROL!$C$9, $D$9, 100%, $F$9) + CHOOSE(CONTROL!$C$27, 0.0021, 0)</f>
        <v>36.5901</v>
      </c>
      <c r="J127" s="14">
        <f>36.588 * CHOOSE(CONTROL!$C$9, $D$9, 100%, $F$9) + CHOOSE(CONTROL!$C$27, 0.0021, 0)</f>
        <v>36.5901</v>
      </c>
      <c r="K127" s="14">
        <f>36.588 * CHOOSE(CONTROL!$C$9, $D$9, 100%, $F$9) + CHOOSE(CONTROL!$C$27, 0.0021, 0)</f>
        <v>36.5901</v>
      </c>
      <c r="L127" s="14"/>
    </row>
    <row r="128" spans="1:12" ht="15" x14ac:dyDescent="0.2">
      <c r="A128" s="13">
        <v>44805</v>
      </c>
      <c r="B128" s="14">
        <f>37.7995 * CHOOSE(CONTROL!$C$9, $D$9, 100%, $F$9) + CHOOSE(CONTROL!$C$27, 0.0021, 0)</f>
        <v>37.801600000000001</v>
      </c>
      <c r="C128" s="14">
        <f>37.3672 * CHOOSE(CONTROL!$C$9, $D$9, 100%, $F$9) + CHOOSE(CONTROL!$C$27, 0.0021, 0)</f>
        <v>37.369299999999996</v>
      </c>
      <c r="D128" s="14">
        <f>37.3672 * CHOOSE(CONTROL!$C$9, $D$9, 100%, $F$9) + CHOOSE(CONTROL!$C$27, 0.0021, 0)</f>
        <v>37.369299999999996</v>
      </c>
      <c r="E128" s="14">
        <f>37.2305 * CHOOSE(CONTROL!$C$9, $D$9, 100%, $F$9) + CHOOSE(CONTROL!$C$27, 0.0021, 0)</f>
        <v>37.232599999999998</v>
      </c>
      <c r="F128" s="14">
        <f>37.2305 * CHOOSE(CONTROL!$C$9, $D$9, 100%, $F$9) + CHOOSE(CONTROL!$C$27, 0.0021, 0)</f>
        <v>37.232599999999998</v>
      </c>
      <c r="G128" s="14">
        <f>37.5019 * CHOOSE(CONTROL!$C$9, $D$9, 100%, $F$9) + CHOOSE(CONTROL!$C$27, 0.0021, 0)</f>
        <v>37.503999999999998</v>
      </c>
      <c r="H128" s="14">
        <f>37.3672 * CHOOSE(CONTROL!$C$9, $D$9, 100%, $F$9) + CHOOSE(CONTROL!$C$27, 0.0021, 0)</f>
        <v>37.369299999999996</v>
      </c>
      <c r="I128" s="14">
        <f>37.3672 * CHOOSE(CONTROL!$C$9, $D$9, 100%, $F$9) + CHOOSE(CONTROL!$C$27, 0.0021, 0)</f>
        <v>37.369299999999996</v>
      </c>
      <c r="J128" s="14">
        <f>37.3672 * CHOOSE(CONTROL!$C$9, $D$9, 100%, $F$9) + CHOOSE(CONTROL!$C$27, 0.0021, 0)</f>
        <v>37.369299999999996</v>
      </c>
      <c r="K128" s="14">
        <f>37.3672 * CHOOSE(CONTROL!$C$9, $D$9, 100%, $F$9) + CHOOSE(CONTROL!$C$27, 0.0021, 0)</f>
        <v>37.369299999999996</v>
      </c>
      <c r="L128" s="14"/>
    </row>
    <row r="129" spans="1:12" ht="15" x14ac:dyDescent="0.2">
      <c r="A129" s="13">
        <v>44835</v>
      </c>
      <c r="B129" s="14">
        <f>38.7702 * CHOOSE(CONTROL!$C$9, $D$9, 100%, $F$9) + CHOOSE(CONTROL!$C$27, 0.0021, 0)</f>
        <v>38.772300000000001</v>
      </c>
      <c r="C129" s="14">
        <f>38.3379 * CHOOSE(CONTROL!$C$9, $D$9, 100%, $F$9) + CHOOSE(CONTROL!$C$27, 0.0021, 0)</f>
        <v>38.339999999999996</v>
      </c>
      <c r="D129" s="14">
        <f>38.3379 * CHOOSE(CONTROL!$C$9, $D$9, 100%, $F$9) + CHOOSE(CONTROL!$C$27, 0.0021, 0)</f>
        <v>38.339999999999996</v>
      </c>
      <c r="E129" s="14">
        <f>38.2013 * CHOOSE(CONTROL!$C$9, $D$9, 100%, $F$9) + CHOOSE(CONTROL!$C$27, 0.0021, 0)</f>
        <v>38.203400000000002</v>
      </c>
      <c r="F129" s="14">
        <f>38.2013 * CHOOSE(CONTROL!$C$9, $D$9, 100%, $F$9) + CHOOSE(CONTROL!$C$27, 0.0021, 0)</f>
        <v>38.203400000000002</v>
      </c>
      <c r="G129" s="14">
        <f>38.4727 * CHOOSE(CONTROL!$C$9, $D$9, 100%, $F$9) + CHOOSE(CONTROL!$C$27, 0.0021, 0)</f>
        <v>38.474800000000002</v>
      </c>
      <c r="H129" s="14">
        <f>38.3379 * CHOOSE(CONTROL!$C$9, $D$9, 100%, $F$9) + CHOOSE(CONTROL!$C$27, 0.0021, 0)</f>
        <v>38.339999999999996</v>
      </c>
      <c r="I129" s="14">
        <f>38.3379 * CHOOSE(CONTROL!$C$9, $D$9, 100%, $F$9) + CHOOSE(CONTROL!$C$27, 0.0021, 0)</f>
        <v>38.339999999999996</v>
      </c>
      <c r="J129" s="14">
        <f>38.3379 * CHOOSE(CONTROL!$C$9, $D$9, 100%, $F$9) + CHOOSE(CONTROL!$C$27, 0.0021, 0)</f>
        <v>38.339999999999996</v>
      </c>
      <c r="K129" s="14">
        <f>38.3379 * CHOOSE(CONTROL!$C$9, $D$9, 100%, $F$9) + CHOOSE(CONTROL!$C$27, 0.0021, 0)</f>
        <v>38.339999999999996</v>
      </c>
      <c r="L129" s="14"/>
    </row>
    <row r="130" spans="1:12" ht="15" x14ac:dyDescent="0.2">
      <c r="A130" s="13">
        <v>44866</v>
      </c>
      <c r="B130" s="14">
        <f>38.9298 * CHOOSE(CONTROL!$C$9, $D$9, 100%, $F$9) + CHOOSE(CONTROL!$C$27, 0.0021, 0)</f>
        <v>38.931899999999999</v>
      </c>
      <c r="C130" s="14">
        <f>38.4975 * CHOOSE(CONTROL!$C$9, $D$9, 100%, $F$9) + CHOOSE(CONTROL!$C$27, 0.0021, 0)</f>
        <v>38.499600000000001</v>
      </c>
      <c r="D130" s="14">
        <f>38.4975 * CHOOSE(CONTROL!$C$9, $D$9, 100%, $F$9) + CHOOSE(CONTROL!$C$27, 0.0021, 0)</f>
        <v>38.499600000000001</v>
      </c>
      <c r="E130" s="14">
        <f>38.3609 * CHOOSE(CONTROL!$C$9, $D$9, 100%, $F$9) + CHOOSE(CONTROL!$C$27, 0.0021, 0)</f>
        <v>38.363</v>
      </c>
      <c r="F130" s="14">
        <f>38.3609 * CHOOSE(CONTROL!$C$9, $D$9, 100%, $F$9) + CHOOSE(CONTROL!$C$27, 0.0021, 0)</f>
        <v>38.363</v>
      </c>
      <c r="G130" s="14">
        <f>38.6322 * CHOOSE(CONTROL!$C$9, $D$9, 100%, $F$9) + CHOOSE(CONTROL!$C$27, 0.0021, 0)</f>
        <v>38.634299999999996</v>
      </c>
      <c r="H130" s="14">
        <f>38.4975 * CHOOSE(CONTROL!$C$9, $D$9, 100%, $F$9) + CHOOSE(CONTROL!$C$27, 0.0021, 0)</f>
        <v>38.499600000000001</v>
      </c>
      <c r="I130" s="14">
        <f>38.4975 * CHOOSE(CONTROL!$C$9, $D$9, 100%, $F$9) + CHOOSE(CONTROL!$C$27, 0.0021, 0)</f>
        <v>38.499600000000001</v>
      </c>
      <c r="J130" s="14">
        <f>38.4975 * CHOOSE(CONTROL!$C$9, $D$9, 100%, $F$9) + CHOOSE(CONTROL!$C$27, 0.0021, 0)</f>
        <v>38.499600000000001</v>
      </c>
      <c r="K130" s="14">
        <f>38.4975 * CHOOSE(CONTROL!$C$9, $D$9, 100%, $F$9) + CHOOSE(CONTROL!$C$27, 0.0021, 0)</f>
        <v>38.499600000000001</v>
      </c>
      <c r="L130" s="14"/>
    </row>
    <row r="131" spans="1:12" ht="15" x14ac:dyDescent="0.2">
      <c r="A131" s="13">
        <v>44896</v>
      </c>
      <c r="B131" s="14">
        <f>38.2854 * CHOOSE(CONTROL!$C$9, $D$9, 100%, $F$9) + CHOOSE(CONTROL!$C$27, 0.0021, 0)</f>
        <v>38.287500000000001</v>
      </c>
      <c r="C131" s="14">
        <f>37.8531 * CHOOSE(CONTROL!$C$9, $D$9, 100%, $F$9) + CHOOSE(CONTROL!$C$27, 0.0021, 0)</f>
        <v>37.855199999999996</v>
      </c>
      <c r="D131" s="14">
        <f>37.8531 * CHOOSE(CONTROL!$C$9, $D$9, 100%, $F$9) + CHOOSE(CONTROL!$C$27, 0.0021, 0)</f>
        <v>37.855199999999996</v>
      </c>
      <c r="E131" s="14">
        <f>37.7165 * CHOOSE(CONTROL!$C$9, $D$9, 100%, $F$9) + CHOOSE(CONTROL!$C$27, 0.0021, 0)</f>
        <v>37.718600000000002</v>
      </c>
      <c r="F131" s="14">
        <f>37.7165 * CHOOSE(CONTROL!$C$9, $D$9, 100%, $F$9) + CHOOSE(CONTROL!$C$27, 0.0021, 0)</f>
        <v>37.718600000000002</v>
      </c>
      <c r="G131" s="14">
        <f>37.9879 * CHOOSE(CONTROL!$C$9, $D$9, 100%, $F$9) + CHOOSE(CONTROL!$C$27, 0.0021, 0)</f>
        <v>37.99</v>
      </c>
      <c r="H131" s="14">
        <f>37.8531 * CHOOSE(CONTROL!$C$9, $D$9, 100%, $F$9) + CHOOSE(CONTROL!$C$27, 0.0021, 0)</f>
        <v>37.855199999999996</v>
      </c>
      <c r="I131" s="14">
        <f>37.8531 * CHOOSE(CONTROL!$C$9, $D$9, 100%, $F$9) + CHOOSE(CONTROL!$C$27, 0.0021, 0)</f>
        <v>37.855199999999996</v>
      </c>
      <c r="J131" s="14">
        <f>37.8531 * CHOOSE(CONTROL!$C$9, $D$9, 100%, $F$9) + CHOOSE(CONTROL!$C$27, 0.0021, 0)</f>
        <v>37.855199999999996</v>
      </c>
      <c r="K131" s="14">
        <f>37.8531 * CHOOSE(CONTROL!$C$9, $D$9, 100%, $F$9) + CHOOSE(CONTROL!$C$27, 0.0021, 0)</f>
        <v>37.855199999999996</v>
      </c>
      <c r="L131" s="14"/>
    </row>
    <row r="132" spans="1:12" ht="15" x14ac:dyDescent="0.2">
      <c r="A132" s="13">
        <v>44927</v>
      </c>
      <c r="B132" s="14">
        <f>38.9133 * CHOOSE(CONTROL!$C$9, $D$9, 100%, $F$9) + CHOOSE(CONTROL!$C$27, 0.0021, 0)</f>
        <v>38.915399999999998</v>
      </c>
      <c r="C132" s="14">
        <f>38.4811 * CHOOSE(CONTROL!$C$9, $D$9, 100%, $F$9) + CHOOSE(CONTROL!$C$27, 0.0021, 0)</f>
        <v>38.483199999999997</v>
      </c>
      <c r="D132" s="14">
        <f>38.4811 * CHOOSE(CONTROL!$C$9, $D$9, 100%, $F$9) + CHOOSE(CONTROL!$C$27, 0.0021, 0)</f>
        <v>38.483199999999997</v>
      </c>
      <c r="E132" s="14">
        <f>38.3444 * CHOOSE(CONTROL!$C$9, $D$9, 100%, $F$9) + CHOOSE(CONTROL!$C$27, 0.0021, 0)</f>
        <v>38.346499999999999</v>
      </c>
      <c r="F132" s="14">
        <f>38.3444 * CHOOSE(CONTROL!$C$9, $D$9, 100%, $F$9) + CHOOSE(CONTROL!$C$27, 0.0021, 0)</f>
        <v>38.346499999999999</v>
      </c>
      <c r="G132" s="14">
        <f>38.6158 * CHOOSE(CONTROL!$C$9, $D$9, 100%, $F$9) + CHOOSE(CONTROL!$C$27, 0.0021, 0)</f>
        <v>38.617899999999999</v>
      </c>
      <c r="H132" s="14">
        <f>38.4811 * CHOOSE(CONTROL!$C$9, $D$9, 100%, $F$9) + CHOOSE(CONTROL!$C$27, 0.0021, 0)</f>
        <v>38.483199999999997</v>
      </c>
      <c r="I132" s="14">
        <f>38.4811 * CHOOSE(CONTROL!$C$9, $D$9, 100%, $F$9) + CHOOSE(CONTROL!$C$27, 0.0021, 0)</f>
        <v>38.483199999999997</v>
      </c>
      <c r="J132" s="14">
        <f>38.4811 * CHOOSE(CONTROL!$C$9, $D$9, 100%, $F$9) + CHOOSE(CONTROL!$C$27, 0.0021, 0)</f>
        <v>38.483199999999997</v>
      </c>
      <c r="K132" s="14">
        <f>38.4811 * CHOOSE(CONTROL!$C$9, $D$9, 100%, $F$9) + CHOOSE(CONTROL!$C$27, 0.0021, 0)</f>
        <v>38.483199999999997</v>
      </c>
      <c r="L132" s="14"/>
    </row>
    <row r="133" spans="1:12" ht="15" x14ac:dyDescent="0.2">
      <c r="A133" s="13">
        <v>44958</v>
      </c>
      <c r="B133" s="14">
        <f>37.9508 * CHOOSE(CONTROL!$C$9, $D$9, 100%, $F$9) + CHOOSE(CONTROL!$C$27, 0.0021, 0)</f>
        <v>37.9529</v>
      </c>
      <c r="C133" s="14">
        <f>37.5185 * CHOOSE(CONTROL!$C$9, $D$9, 100%, $F$9) + CHOOSE(CONTROL!$C$27, 0.0021, 0)</f>
        <v>37.520600000000002</v>
      </c>
      <c r="D133" s="14">
        <f>37.5185 * CHOOSE(CONTROL!$C$9, $D$9, 100%, $F$9) + CHOOSE(CONTROL!$C$27, 0.0021, 0)</f>
        <v>37.520600000000002</v>
      </c>
      <c r="E133" s="14">
        <f>37.3819 * CHOOSE(CONTROL!$C$9, $D$9, 100%, $F$9) + CHOOSE(CONTROL!$C$27, 0.0021, 0)</f>
        <v>37.384</v>
      </c>
      <c r="F133" s="14">
        <f>37.3819 * CHOOSE(CONTROL!$C$9, $D$9, 100%, $F$9) + CHOOSE(CONTROL!$C$27, 0.0021, 0)</f>
        <v>37.384</v>
      </c>
      <c r="G133" s="14">
        <f>37.6532 * CHOOSE(CONTROL!$C$9, $D$9, 100%, $F$9) + CHOOSE(CONTROL!$C$27, 0.0021, 0)</f>
        <v>37.655299999999997</v>
      </c>
      <c r="H133" s="14">
        <f>37.5185 * CHOOSE(CONTROL!$C$9, $D$9, 100%, $F$9) + CHOOSE(CONTROL!$C$27, 0.0021, 0)</f>
        <v>37.520600000000002</v>
      </c>
      <c r="I133" s="14">
        <f>37.5185 * CHOOSE(CONTROL!$C$9, $D$9, 100%, $F$9) + CHOOSE(CONTROL!$C$27, 0.0021, 0)</f>
        <v>37.520600000000002</v>
      </c>
      <c r="J133" s="14">
        <f>37.5185 * CHOOSE(CONTROL!$C$9, $D$9, 100%, $F$9) + CHOOSE(CONTROL!$C$27, 0.0021, 0)</f>
        <v>37.520600000000002</v>
      </c>
      <c r="K133" s="14">
        <f>37.5185 * CHOOSE(CONTROL!$C$9, $D$9, 100%, $F$9) + CHOOSE(CONTROL!$C$27, 0.0021, 0)</f>
        <v>37.520600000000002</v>
      </c>
      <c r="L133" s="14"/>
    </row>
    <row r="134" spans="1:12" ht="15" x14ac:dyDescent="0.2">
      <c r="A134" s="13">
        <v>44986</v>
      </c>
      <c r="B134" s="14">
        <f>37.5949 * CHOOSE(CONTROL!$C$9, $D$9, 100%, $F$9) + CHOOSE(CONTROL!$C$27, 0.0021, 0)</f>
        <v>37.597000000000001</v>
      </c>
      <c r="C134" s="14">
        <f>37.1626 * CHOOSE(CONTROL!$C$9, $D$9, 100%, $F$9) + CHOOSE(CONTROL!$C$27, 0.0021, 0)</f>
        <v>37.164699999999996</v>
      </c>
      <c r="D134" s="14">
        <f>37.1626 * CHOOSE(CONTROL!$C$9, $D$9, 100%, $F$9) + CHOOSE(CONTROL!$C$27, 0.0021, 0)</f>
        <v>37.164699999999996</v>
      </c>
      <c r="E134" s="14">
        <f>37.026 * CHOOSE(CONTROL!$C$9, $D$9, 100%, $F$9) + CHOOSE(CONTROL!$C$27, 0.0021, 0)</f>
        <v>37.028100000000002</v>
      </c>
      <c r="F134" s="14">
        <f>37.026 * CHOOSE(CONTROL!$C$9, $D$9, 100%, $F$9) + CHOOSE(CONTROL!$C$27, 0.0021, 0)</f>
        <v>37.028100000000002</v>
      </c>
      <c r="G134" s="14">
        <f>37.2973 * CHOOSE(CONTROL!$C$9, $D$9, 100%, $F$9) + CHOOSE(CONTROL!$C$27, 0.0021, 0)</f>
        <v>37.299399999999999</v>
      </c>
      <c r="H134" s="14">
        <f>37.1626 * CHOOSE(CONTROL!$C$9, $D$9, 100%, $F$9) + CHOOSE(CONTROL!$C$27, 0.0021, 0)</f>
        <v>37.164699999999996</v>
      </c>
      <c r="I134" s="14">
        <f>37.1626 * CHOOSE(CONTROL!$C$9, $D$9, 100%, $F$9) + CHOOSE(CONTROL!$C$27, 0.0021, 0)</f>
        <v>37.164699999999996</v>
      </c>
      <c r="J134" s="14">
        <f>37.1626 * CHOOSE(CONTROL!$C$9, $D$9, 100%, $F$9) + CHOOSE(CONTROL!$C$27, 0.0021, 0)</f>
        <v>37.164699999999996</v>
      </c>
      <c r="K134" s="14">
        <f>37.1626 * CHOOSE(CONTROL!$C$9, $D$9, 100%, $F$9) + CHOOSE(CONTROL!$C$27, 0.0021, 0)</f>
        <v>37.164699999999996</v>
      </c>
      <c r="L134" s="14"/>
    </row>
    <row r="135" spans="1:12" ht="15" x14ac:dyDescent="0.2">
      <c r="A135" s="13">
        <v>45017</v>
      </c>
      <c r="B135" s="14">
        <f>37.1539 * CHOOSE(CONTROL!$C$9, $D$9, 100%, $F$9) + CHOOSE(CONTROL!$C$27, 0.0021, 0)</f>
        <v>37.155999999999999</v>
      </c>
      <c r="C135" s="14">
        <f>36.7216 * CHOOSE(CONTROL!$C$9, $D$9, 100%, $F$9) + CHOOSE(CONTROL!$C$27, 0.0021, 0)</f>
        <v>36.723700000000001</v>
      </c>
      <c r="D135" s="14">
        <f>36.7216 * CHOOSE(CONTROL!$C$9, $D$9, 100%, $F$9) + CHOOSE(CONTROL!$C$27, 0.0021, 0)</f>
        <v>36.723700000000001</v>
      </c>
      <c r="E135" s="14">
        <f>36.585 * CHOOSE(CONTROL!$C$9, $D$9, 100%, $F$9) + CHOOSE(CONTROL!$C$27, 0.0021, 0)</f>
        <v>36.5871</v>
      </c>
      <c r="F135" s="14">
        <f>36.585 * CHOOSE(CONTROL!$C$9, $D$9, 100%, $F$9) + CHOOSE(CONTROL!$C$27, 0.0021, 0)</f>
        <v>36.5871</v>
      </c>
      <c r="G135" s="14">
        <f>36.8563 * CHOOSE(CONTROL!$C$9, $D$9, 100%, $F$9) + CHOOSE(CONTROL!$C$27, 0.0021, 0)</f>
        <v>36.858399999999996</v>
      </c>
      <c r="H135" s="14">
        <f>36.7216 * CHOOSE(CONTROL!$C$9, $D$9, 100%, $F$9) + CHOOSE(CONTROL!$C$27, 0.0021, 0)</f>
        <v>36.723700000000001</v>
      </c>
      <c r="I135" s="14">
        <f>36.7216 * CHOOSE(CONTROL!$C$9, $D$9, 100%, $F$9) + CHOOSE(CONTROL!$C$27, 0.0021, 0)</f>
        <v>36.723700000000001</v>
      </c>
      <c r="J135" s="14">
        <f>36.7216 * CHOOSE(CONTROL!$C$9, $D$9, 100%, $F$9) + CHOOSE(CONTROL!$C$27, 0.0021, 0)</f>
        <v>36.723700000000001</v>
      </c>
      <c r="K135" s="14">
        <f>36.7216 * CHOOSE(CONTROL!$C$9, $D$9, 100%, $F$9) + CHOOSE(CONTROL!$C$27, 0.0021, 0)</f>
        <v>36.723700000000001</v>
      </c>
      <c r="L135" s="14"/>
    </row>
    <row r="136" spans="1:12" ht="15" x14ac:dyDescent="0.2">
      <c r="A136" s="13">
        <v>45047</v>
      </c>
      <c r="B136" s="14">
        <f>37.9593 * CHOOSE(CONTROL!$C$9, $D$9, 100%, $F$9) + CHOOSE(CONTROL!$C$27, 0.0021, 0)</f>
        <v>37.961399999999998</v>
      </c>
      <c r="C136" s="14">
        <f>37.527 * CHOOSE(CONTROL!$C$9, $D$9, 100%, $F$9) + CHOOSE(CONTROL!$C$27, 0.0021, 0)</f>
        <v>37.5291</v>
      </c>
      <c r="D136" s="14">
        <f>37.527 * CHOOSE(CONTROL!$C$9, $D$9, 100%, $F$9) + CHOOSE(CONTROL!$C$27, 0.0021, 0)</f>
        <v>37.5291</v>
      </c>
      <c r="E136" s="14">
        <f>37.3904 * CHOOSE(CONTROL!$C$9, $D$9, 100%, $F$9) + CHOOSE(CONTROL!$C$27, 0.0021, 0)</f>
        <v>37.392499999999998</v>
      </c>
      <c r="F136" s="14">
        <f>37.3904 * CHOOSE(CONTROL!$C$9, $D$9, 100%, $F$9) + CHOOSE(CONTROL!$C$27, 0.0021, 0)</f>
        <v>37.392499999999998</v>
      </c>
      <c r="G136" s="14">
        <f>37.6618 * CHOOSE(CONTROL!$C$9, $D$9, 100%, $F$9) + CHOOSE(CONTROL!$C$27, 0.0021, 0)</f>
        <v>37.663899999999998</v>
      </c>
      <c r="H136" s="14">
        <f>37.527 * CHOOSE(CONTROL!$C$9, $D$9, 100%, $F$9) + CHOOSE(CONTROL!$C$27, 0.0021, 0)</f>
        <v>37.5291</v>
      </c>
      <c r="I136" s="14">
        <f>37.527 * CHOOSE(CONTROL!$C$9, $D$9, 100%, $F$9) + CHOOSE(CONTROL!$C$27, 0.0021, 0)</f>
        <v>37.5291</v>
      </c>
      <c r="J136" s="14">
        <f>37.527 * CHOOSE(CONTROL!$C$9, $D$9, 100%, $F$9) + CHOOSE(CONTROL!$C$27, 0.0021, 0)</f>
        <v>37.5291</v>
      </c>
      <c r="K136" s="14">
        <f>37.527 * CHOOSE(CONTROL!$C$9, $D$9, 100%, $F$9) + CHOOSE(CONTROL!$C$27, 0.0021, 0)</f>
        <v>37.5291</v>
      </c>
      <c r="L136" s="14"/>
    </row>
    <row r="137" spans="1:12" ht="15" x14ac:dyDescent="0.2">
      <c r="A137" s="13">
        <v>45078</v>
      </c>
      <c r="B137" s="14">
        <f>38.4731 * CHOOSE(CONTROL!$C$9, $D$9, 100%, $F$9) + CHOOSE(CONTROL!$C$27, 0.0021, 0)</f>
        <v>38.475200000000001</v>
      </c>
      <c r="C137" s="14">
        <f>38.0408 * CHOOSE(CONTROL!$C$9, $D$9, 100%, $F$9) + CHOOSE(CONTROL!$C$27, 0.0021, 0)</f>
        <v>38.042899999999996</v>
      </c>
      <c r="D137" s="14">
        <f>38.0408 * CHOOSE(CONTROL!$C$9, $D$9, 100%, $F$9) + CHOOSE(CONTROL!$C$27, 0.0021, 0)</f>
        <v>38.042899999999996</v>
      </c>
      <c r="E137" s="14">
        <f>37.9042 * CHOOSE(CONTROL!$C$9, $D$9, 100%, $F$9) + CHOOSE(CONTROL!$C$27, 0.0021, 0)</f>
        <v>37.906300000000002</v>
      </c>
      <c r="F137" s="14">
        <f>37.9042 * CHOOSE(CONTROL!$C$9, $D$9, 100%, $F$9) + CHOOSE(CONTROL!$C$27, 0.0021, 0)</f>
        <v>37.906300000000002</v>
      </c>
      <c r="G137" s="14">
        <f>38.1755 * CHOOSE(CONTROL!$C$9, $D$9, 100%, $F$9) + CHOOSE(CONTROL!$C$27, 0.0021, 0)</f>
        <v>38.177599999999998</v>
      </c>
      <c r="H137" s="14">
        <f>38.0408 * CHOOSE(CONTROL!$C$9, $D$9, 100%, $F$9) + CHOOSE(CONTROL!$C$27, 0.0021, 0)</f>
        <v>38.042899999999996</v>
      </c>
      <c r="I137" s="14">
        <f>38.0408 * CHOOSE(CONTROL!$C$9, $D$9, 100%, $F$9) + CHOOSE(CONTROL!$C$27, 0.0021, 0)</f>
        <v>38.042899999999996</v>
      </c>
      <c r="J137" s="14">
        <f>38.0408 * CHOOSE(CONTROL!$C$9, $D$9, 100%, $F$9) + CHOOSE(CONTROL!$C$27, 0.0021, 0)</f>
        <v>38.042899999999996</v>
      </c>
      <c r="K137" s="14">
        <f>38.0408 * CHOOSE(CONTROL!$C$9, $D$9, 100%, $F$9) + CHOOSE(CONTROL!$C$27, 0.0021, 0)</f>
        <v>38.042899999999996</v>
      </c>
      <c r="L137" s="14"/>
    </row>
    <row r="138" spans="1:12" ht="15" x14ac:dyDescent="0.2">
      <c r="A138" s="13">
        <v>45108</v>
      </c>
      <c r="B138" s="14">
        <f>39.2754 * CHOOSE(CONTROL!$C$9, $D$9, 100%, $F$9) + CHOOSE(CONTROL!$C$27, 0.0021, 0)</f>
        <v>39.277499999999996</v>
      </c>
      <c r="C138" s="14">
        <f>38.8432 * CHOOSE(CONTROL!$C$9, $D$9, 100%, $F$9) + CHOOSE(CONTROL!$C$27, 0.0021, 0)</f>
        <v>38.845300000000002</v>
      </c>
      <c r="D138" s="14">
        <f>38.8432 * CHOOSE(CONTROL!$C$9, $D$9, 100%, $F$9) + CHOOSE(CONTROL!$C$27, 0.0021, 0)</f>
        <v>38.845300000000002</v>
      </c>
      <c r="E138" s="14">
        <f>38.7065 * CHOOSE(CONTROL!$C$9, $D$9, 100%, $F$9) + CHOOSE(CONTROL!$C$27, 0.0021, 0)</f>
        <v>38.708599999999997</v>
      </c>
      <c r="F138" s="14">
        <f>38.7065 * CHOOSE(CONTROL!$C$9, $D$9, 100%, $F$9) + CHOOSE(CONTROL!$C$27, 0.0021, 0)</f>
        <v>38.708599999999997</v>
      </c>
      <c r="G138" s="14">
        <f>38.9779 * CHOOSE(CONTROL!$C$9, $D$9, 100%, $F$9) + CHOOSE(CONTROL!$C$27, 0.0021, 0)</f>
        <v>38.979999999999997</v>
      </c>
      <c r="H138" s="14">
        <f>38.8432 * CHOOSE(CONTROL!$C$9, $D$9, 100%, $F$9) + CHOOSE(CONTROL!$C$27, 0.0021, 0)</f>
        <v>38.845300000000002</v>
      </c>
      <c r="I138" s="14">
        <f>38.8432 * CHOOSE(CONTROL!$C$9, $D$9, 100%, $F$9) + CHOOSE(CONTROL!$C$27, 0.0021, 0)</f>
        <v>38.845300000000002</v>
      </c>
      <c r="J138" s="14">
        <f>38.8432 * CHOOSE(CONTROL!$C$9, $D$9, 100%, $F$9) + CHOOSE(CONTROL!$C$27, 0.0021, 0)</f>
        <v>38.845300000000002</v>
      </c>
      <c r="K138" s="14">
        <f>38.8432 * CHOOSE(CONTROL!$C$9, $D$9, 100%, $F$9) + CHOOSE(CONTROL!$C$27, 0.0021, 0)</f>
        <v>38.845300000000002</v>
      </c>
      <c r="L138" s="14"/>
    </row>
    <row r="139" spans="1:12" ht="15" x14ac:dyDescent="0.2">
      <c r="A139" s="13">
        <v>45139</v>
      </c>
      <c r="B139" s="14">
        <f>39.5742 * CHOOSE(CONTROL!$C$9, $D$9, 100%, $F$9) + CHOOSE(CONTROL!$C$27, 0.0021, 0)</f>
        <v>39.576299999999996</v>
      </c>
      <c r="C139" s="14">
        <f>39.142 * CHOOSE(CONTROL!$C$9, $D$9, 100%, $F$9) + CHOOSE(CONTROL!$C$27, 0.0021, 0)</f>
        <v>39.144100000000002</v>
      </c>
      <c r="D139" s="14">
        <f>39.142 * CHOOSE(CONTROL!$C$9, $D$9, 100%, $F$9) + CHOOSE(CONTROL!$C$27, 0.0021, 0)</f>
        <v>39.144100000000002</v>
      </c>
      <c r="E139" s="14">
        <f>39.0053 * CHOOSE(CONTROL!$C$9, $D$9, 100%, $F$9) + CHOOSE(CONTROL!$C$27, 0.0021, 0)</f>
        <v>39.007399999999997</v>
      </c>
      <c r="F139" s="14">
        <f>39.0053 * CHOOSE(CONTROL!$C$9, $D$9, 100%, $F$9) + CHOOSE(CONTROL!$C$27, 0.0021, 0)</f>
        <v>39.007399999999997</v>
      </c>
      <c r="G139" s="14">
        <f>39.2767 * CHOOSE(CONTROL!$C$9, $D$9, 100%, $F$9) + CHOOSE(CONTROL!$C$27, 0.0021, 0)</f>
        <v>39.278799999999997</v>
      </c>
      <c r="H139" s="14">
        <f>39.142 * CHOOSE(CONTROL!$C$9, $D$9, 100%, $F$9) + CHOOSE(CONTROL!$C$27, 0.0021, 0)</f>
        <v>39.144100000000002</v>
      </c>
      <c r="I139" s="14">
        <f>39.142 * CHOOSE(CONTROL!$C$9, $D$9, 100%, $F$9) + CHOOSE(CONTROL!$C$27, 0.0021, 0)</f>
        <v>39.144100000000002</v>
      </c>
      <c r="J139" s="14">
        <f>39.142 * CHOOSE(CONTROL!$C$9, $D$9, 100%, $F$9) + CHOOSE(CONTROL!$C$27, 0.0021, 0)</f>
        <v>39.144100000000002</v>
      </c>
      <c r="K139" s="14">
        <f>39.142 * CHOOSE(CONTROL!$C$9, $D$9, 100%, $F$9) + CHOOSE(CONTROL!$C$27, 0.0021, 0)</f>
        <v>39.144100000000002</v>
      </c>
      <c r="L139" s="14"/>
    </row>
    <row r="140" spans="1:12" ht="15" x14ac:dyDescent="0.2">
      <c r="A140" s="13">
        <v>45170</v>
      </c>
      <c r="B140" s="14">
        <f>40.4107 * CHOOSE(CONTROL!$C$9, $D$9, 100%, $F$9) + CHOOSE(CONTROL!$C$27, 0.0021, 0)</f>
        <v>40.412799999999997</v>
      </c>
      <c r="C140" s="14">
        <f>39.9785 * CHOOSE(CONTROL!$C$9, $D$9, 100%, $F$9) + CHOOSE(CONTROL!$C$27, 0.0021, 0)</f>
        <v>39.980599999999995</v>
      </c>
      <c r="D140" s="14">
        <f>39.9785 * CHOOSE(CONTROL!$C$9, $D$9, 100%, $F$9) + CHOOSE(CONTROL!$C$27, 0.0021, 0)</f>
        <v>39.980599999999995</v>
      </c>
      <c r="E140" s="14">
        <f>39.8418 * CHOOSE(CONTROL!$C$9, $D$9, 100%, $F$9) + CHOOSE(CONTROL!$C$27, 0.0021, 0)</f>
        <v>39.843899999999998</v>
      </c>
      <c r="F140" s="14">
        <f>39.8418 * CHOOSE(CONTROL!$C$9, $D$9, 100%, $F$9) + CHOOSE(CONTROL!$C$27, 0.0021, 0)</f>
        <v>39.843899999999998</v>
      </c>
      <c r="G140" s="14">
        <f>40.1132 * CHOOSE(CONTROL!$C$9, $D$9, 100%, $F$9) + CHOOSE(CONTROL!$C$27, 0.0021, 0)</f>
        <v>40.115299999999998</v>
      </c>
      <c r="H140" s="14">
        <f>39.9785 * CHOOSE(CONTROL!$C$9, $D$9, 100%, $F$9) + CHOOSE(CONTROL!$C$27, 0.0021, 0)</f>
        <v>39.980599999999995</v>
      </c>
      <c r="I140" s="14">
        <f>39.9785 * CHOOSE(CONTROL!$C$9, $D$9, 100%, $F$9) + CHOOSE(CONTROL!$C$27, 0.0021, 0)</f>
        <v>39.980599999999995</v>
      </c>
      <c r="J140" s="14">
        <f>39.9785 * CHOOSE(CONTROL!$C$9, $D$9, 100%, $F$9) + CHOOSE(CONTROL!$C$27, 0.0021, 0)</f>
        <v>39.980599999999995</v>
      </c>
      <c r="K140" s="14">
        <f>39.9785 * CHOOSE(CONTROL!$C$9, $D$9, 100%, $F$9) + CHOOSE(CONTROL!$C$27, 0.0021, 0)</f>
        <v>39.980599999999995</v>
      </c>
      <c r="L140" s="14"/>
    </row>
    <row r="141" spans="1:12" ht="15" x14ac:dyDescent="0.2">
      <c r="A141" s="13">
        <v>45200</v>
      </c>
      <c r="B141" s="14">
        <f>41.4528 * CHOOSE(CONTROL!$C$9, $D$9, 100%, $F$9) + CHOOSE(CONTROL!$C$27, 0.0021, 0)</f>
        <v>41.454900000000002</v>
      </c>
      <c r="C141" s="14">
        <f>41.0206 * CHOOSE(CONTROL!$C$9, $D$9, 100%, $F$9) + CHOOSE(CONTROL!$C$27, 0.0021, 0)</f>
        <v>41.0227</v>
      </c>
      <c r="D141" s="14">
        <f>41.0206 * CHOOSE(CONTROL!$C$9, $D$9, 100%, $F$9) + CHOOSE(CONTROL!$C$27, 0.0021, 0)</f>
        <v>41.0227</v>
      </c>
      <c r="E141" s="14">
        <f>40.8839 * CHOOSE(CONTROL!$C$9, $D$9, 100%, $F$9) + CHOOSE(CONTROL!$C$27, 0.0021, 0)</f>
        <v>40.885999999999996</v>
      </c>
      <c r="F141" s="14">
        <f>40.8839 * CHOOSE(CONTROL!$C$9, $D$9, 100%, $F$9) + CHOOSE(CONTROL!$C$27, 0.0021, 0)</f>
        <v>40.885999999999996</v>
      </c>
      <c r="G141" s="14">
        <f>41.1553 * CHOOSE(CONTROL!$C$9, $D$9, 100%, $F$9) + CHOOSE(CONTROL!$C$27, 0.0021, 0)</f>
        <v>41.157399999999996</v>
      </c>
      <c r="H141" s="14">
        <f>41.0206 * CHOOSE(CONTROL!$C$9, $D$9, 100%, $F$9) + CHOOSE(CONTROL!$C$27, 0.0021, 0)</f>
        <v>41.0227</v>
      </c>
      <c r="I141" s="14">
        <f>41.0206 * CHOOSE(CONTROL!$C$9, $D$9, 100%, $F$9) + CHOOSE(CONTROL!$C$27, 0.0021, 0)</f>
        <v>41.0227</v>
      </c>
      <c r="J141" s="14">
        <f>41.0206 * CHOOSE(CONTROL!$C$9, $D$9, 100%, $F$9) + CHOOSE(CONTROL!$C$27, 0.0021, 0)</f>
        <v>41.0227</v>
      </c>
      <c r="K141" s="14">
        <f>41.0206 * CHOOSE(CONTROL!$C$9, $D$9, 100%, $F$9) + CHOOSE(CONTROL!$C$27, 0.0021, 0)</f>
        <v>41.0227</v>
      </c>
      <c r="L141" s="14"/>
    </row>
    <row r="142" spans="1:12" ht="15" x14ac:dyDescent="0.2">
      <c r="A142" s="13">
        <v>45231</v>
      </c>
      <c r="B142" s="14">
        <f>41.6242 * CHOOSE(CONTROL!$C$9, $D$9, 100%, $F$9) + CHOOSE(CONTROL!$C$27, 0.0021, 0)</f>
        <v>41.626300000000001</v>
      </c>
      <c r="C142" s="14">
        <f>41.1919 * CHOOSE(CONTROL!$C$9, $D$9, 100%, $F$9) + CHOOSE(CONTROL!$C$27, 0.0021, 0)</f>
        <v>41.193999999999996</v>
      </c>
      <c r="D142" s="14">
        <f>41.1919 * CHOOSE(CONTROL!$C$9, $D$9, 100%, $F$9) + CHOOSE(CONTROL!$C$27, 0.0021, 0)</f>
        <v>41.193999999999996</v>
      </c>
      <c r="E142" s="14">
        <f>41.0553 * CHOOSE(CONTROL!$C$9, $D$9, 100%, $F$9) + CHOOSE(CONTROL!$C$27, 0.0021, 0)</f>
        <v>41.057400000000001</v>
      </c>
      <c r="F142" s="14">
        <f>41.0553 * CHOOSE(CONTROL!$C$9, $D$9, 100%, $F$9) + CHOOSE(CONTROL!$C$27, 0.0021, 0)</f>
        <v>41.057400000000001</v>
      </c>
      <c r="G142" s="14">
        <f>41.3266 * CHOOSE(CONTROL!$C$9, $D$9, 100%, $F$9) + CHOOSE(CONTROL!$C$27, 0.0021, 0)</f>
        <v>41.328699999999998</v>
      </c>
      <c r="H142" s="14">
        <f>41.1919 * CHOOSE(CONTROL!$C$9, $D$9, 100%, $F$9) + CHOOSE(CONTROL!$C$27, 0.0021, 0)</f>
        <v>41.193999999999996</v>
      </c>
      <c r="I142" s="14">
        <f>41.1919 * CHOOSE(CONTROL!$C$9, $D$9, 100%, $F$9) + CHOOSE(CONTROL!$C$27, 0.0021, 0)</f>
        <v>41.193999999999996</v>
      </c>
      <c r="J142" s="14">
        <f>41.1919 * CHOOSE(CONTROL!$C$9, $D$9, 100%, $F$9) + CHOOSE(CONTROL!$C$27, 0.0021, 0)</f>
        <v>41.193999999999996</v>
      </c>
      <c r="K142" s="14">
        <f>41.1919 * CHOOSE(CONTROL!$C$9, $D$9, 100%, $F$9) + CHOOSE(CONTROL!$C$27, 0.0021, 0)</f>
        <v>41.193999999999996</v>
      </c>
      <c r="L142" s="14"/>
    </row>
    <row r="143" spans="1:12" ht="15" x14ac:dyDescent="0.2">
      <c r="A143" s="13">
        <v>45261</v>
      </c>
      <c r="B143" s="14">
        <f>40.9324 * CHOOSE(CONTROL!$C$9, $D$9, 100%, $F$9) + CHOOSE(CONTROL!$C$27, 0.0021, 0)</f>
        <v>40.9345</v>
      </c>
      <c r="C143" s="14">
        <f>40.5001 * CHOOSE(CONTROL!$C$9, $D$9, 100%, $F$9) + CHOOSE(CONTROL!$C$27, 0.0021, 0)</f>
        <v>40.502200000000002</v>
      </c>
      <c r="D143" s="14">
        <f>40.5001 * CHOOSE(CONTROL!$C$9, $D$9, 100%, $F$9) + CHOOSE(CONTROL!$C$27, 0.0021, 0)</f>
        <v>40.502200000000002</v>
      </c>
      <c r="E143" s="14">
        <f>40.3635 * CHOOSE(CONTROL!$C$9, $D$9, 100%, $F$9) + CHOOSE(CONTROL!$C$27, 0.0021, 0)</f>
        <v>40.365600000000001</v>
      </c>
      <c r="F143" s="14">
        <f>40.3635 * CHOOSE(CONTROL!$C$9, $D$9, 100%, $F$9) + CHOOSE(CONTROL!$C$27, 0.0021, 0)</f>
        <v>40.365600000000001</v>
      </c>
      <c r="G143" s="14">
        <f>40.6349 * CHOOSE(CONTROL!$C$9, $D$9, 100%, $F$9) + CHOOSE(CONTROL!$C$27, 0.0021, 0)</f>
        <v>40.637</v>
      </c>
      <c r="H143" s="14">
        <f>40.5001 * CHOOSE(CONTROL!$C$9, $D$9, 100%, $F$9) + CHOOSE(CONTROL!$C$27, 0.0021, 0)</f>
        <v>40.502200000000002</v>
      </c>
      <c r="I143" s="14">
        <f>40.5001 * CHOOSE(CONTROL!$C$9, $D$9, 100%, $F$9) + CHOOSE(CONTROL!$C$27, 0.0021, 0)</f>
        <v>40.502200000000002</v>
      </c>
      <c r="J143" s="14">
        <f>40.5001 * CHOOSE(CONTROL!$C$9, $D$9, 100%, $F$9) + CHOOSE(CONTROL!$C$27, 0.0021, 0)</f>
        <v>40.502200000000002</v>
      </c>
      <c r="K143" s="14">
        <f>40.5001 * CHOOSE(CONTROL!$C$9, $D$9, 100%, $F$9) + CHOOSE(CONTROL!$C$27, 0.0021, 0)</f>
        <v>40.502200000000002</v>
      </c>
      <c r="L143" s="14"/>
    </row>
    <row r="144" spans="1:12" ht="15" x14ac:dyDescent="0.2">
      <c r="A144" s="13">
        <v>45292</v>
      </c>
      <c r="B144" s="14">
        <f>41.4806 * CHOOSE(CONTROL!$C$9, $D$9, 100%, $F$9) + CHOOSE(CONTROL!$C$27, 0.0021, 0)</f>
        <v>41.482700000000001</v>
      </c>
      <c r="C144" s="14">
        <f>41.0484 * CHOOSE(CONTROL!$C$9, $D$9, 100%, $F$9) + CHOOSE(CONTROL!$C$27, 0.0021, 0)</f>
        <v>41.0505</v>
      </c>
      <c r="D144" s="14">
        <f>41.0484 * CHOOSE(CONTROL!$C$9, $D$9, 100%, $F$9) + CHOOSE(CONTROL!$C$27, 0.0021, 0)</f>
        <v>41.0505</v>
      </c>
      <c r="E144" s="14">
        <f>40.9117 * CHOOSE(CONTROL!$C$9, $D$9, 100%, $F$9) + CHOOSE(CONTROL!$C$27, 0.0021, 0)</f>
        <v>40.913800000000002</v>
      </c>
      <c r="F144" s="14">
        <f>40.9117 * CHOOSE(CONTROL!$C$9, $D$9, 100%, $F$9) + CHOOSE(CONTROL!$C$27, 0.0021, 0)</f>
        <v>40.913800000000002</v>
      </c>
      <c r="G144" s="14">
        <f>41.1831 * CHOOSE(CONTROL!$C$9, $D$9, 100%, $F$9) + CHOOSE(CONTROL!$C$27, 0.0021, 0)</f>
        <v>41.185200000000002</v>
      </c>
      <c r="H144" s="14">
        <f>41.0484 * CHOOSE(CONTROL!$C$9, $D$9, 100%, $F$9) + CHOOSE(CONTROL!$C$27, 0.0021, 0)</f>
        <v>41.0505</v>
      </c>
      <c r="I144" s="14">
        <f>41.0484 * CHOOSE(CONTROL!$C$9, $D$9, 100%, $F$9) + CHOOSE(CONTROL!$C$27, 0.0021, 0)</f>
        <v>41.0505</v>
      </c>
      <c r="J144" s="14">
        <f>41.0484 * CHOOSE(CONTROL!$C$9, $D$9, 100%, $F$9) + CHOOSE(CONTROL!$C$27, 0.0021, 0)</f>
        <v>41.0505</v>
      </c>
      <c r="K144" s="14">
        <f>41.0484 * CHOOSE(CONTROL!$C$9, $D$9, 100%, $F$9) + CHOOSE(CONTROL!$C$27, 0.0021, 0)</f>
        <v>41.0505</v>
      </c>
      <c r="L144" s="14"/>
    </row>
    <row r="145" spans="1:12" ht="15" x14ac:dyDescent="0.2">
      <c r="A145" s="13">
        <v>45323</v>
      </c>
      <c r="B145" s="14">
        <f>40.4506 * CHOOSE(CONTROL!$C$9, $D$9, 100%, $F$9) + CHOOSE(CONTROL!$C$27, 0.0021, 0)</f>
        <v>40.4527</v>
      </c>
      <c r="C145" s="14">
        <f>40.0183 * CHOOSE(CONTROL!$C$9, $D$9, 100%, $F$9) + CHOOSE(CONTROL!$C$27, 0.0021, 0)</f>
        <v>40.020400000000002</v>
      </c>
      <c r="D145" s="14">
        <f>40.0183 * CHOOSE(CONTROL!$C$9, $D$9, 100%, $F$9) + CHOOSE(CONTROL!$C$27, 0.0021, 0)</f>
        <v>40.020400000000002</v>
      </c>
      <c r="E145" s="14">
        <f>39.8817 * CHOOSE(CONTROL!$C$9, $D$9, 100%, $F$9) + CHOOSE(CONTROL!$C$27, 0.0021, 0)</f>
        <v>39.883800000000001</v>
      </c>
      <c r="F145" s="14">
        <f>39.8817 * CHOOSE(CONTROL!$C$9, $D$9, 100%, $F$9) + CHOOSE(CONTROL!$C$27, 0.0021, 0)</f>
        <v>39.883800000000001</v>
      </c>
      <c r="G145" s="14">
        <f>40.1531 * CHOOSE(CONTROL!$C$9, $D$9, 100%, $F$9) + CHOOSE(CONTROL!$C$27, 0.0021, 0)</f>
        <v>40.155200000000001</v>
      </c>
      <c r="H145" s="14">
        <f>40.0183 * CHOOSE(CONTROL!$C$9, $D$9, 100%, $F$9) + CHOOSE(CONTROL!$C$27, 0.0021, 0)</f>
        <v>40.020400000000002</v>
      </c>
      <c r="I145" s="14">
        <f>40.0183 * CHOOSE(CONTROL!$C$9, $D$9, 100%, $F$9) + CHOOSE(CONTROL!$C$27, 0.0021, 0)</f>
        <v>40.020400000000002</v>
      </c>
      <c r="J145" s="14">
        <f>40.0183 * CHOOSE(CONTROL!$C$9, $D$9, 100%, $F$9) + CHOOSE(CONTROL!$C$27, 0.0021, 0)</f>
        <v>40.020400000000002</v>
      </c>
      <c r="K145" s="14">
        <f>40.0183 * CHOOSE(CONTROL!$C$9, $D$9, 100%, $F$9) + CHOOSE(CONTROL!$C$27, 0.0021, 0)</f>
        <v>40.020400000000002</v>
      </c>
      <c r="L145" s="14"/>
    </row>
    <row r="146" spans="1:12" ht="15" x14ac:dyDescent="0.2">
      <c r="A146" s="13">
        <v>45352</v>
      </c>
      <c r="B146" s="14">
        <f>40.0697 * CHOOSE(CONTROL!$C$9, $D$9, 100%, $F$9) + CHOOSE(CONTROL!$C$27, 0.0021, 0)</f>
        <v>40.071799999999996</v>
      </c>
      <c r="C146" s="14">
        <f>39.6375 * CHOOSE(CONTROL!$C$9, $D$9, 100%, $F$9) + CHOOSE(CONTROL!$C$27, 0.0021, 0)</f>
        <v>39.639600000000002</v>
      </c>
      <c r="D146" s="14">
        <f>39.6375 * CHOOSE(CONTROL!$C$9, $D$9, 100%, $F$9) + CHOOSE(CONTROL!$C$27, 0.0021, 0)</f>
        <v>39.639600000000002</v>
      </c>
      <c r="E146" s="14">
        <f>39.5008 * CHOOSE(CONTROL!$C$9, $D$9, 100%, $F$9) + CHOOSE(CONTROL!$C$27, 0.0021, 0)</f>
        <v>39.502899999999997</v>
      </c>
      <c r="F146" s="14">
        <f>39.5008 * CHOOSE(CONTROL!$C$9, $D$9, 100%, $F$9) + CHOOSE(CONTROL!$C$27, 0.0021, 0)</f>
        <v>39.502899999999997</v>
      </c>
      <c r="G146" s="14">
        <f>39.7722 * CHOOSE(CONTROL!$C$9, $D$9, 100%, $F$9) + CHOOSE(CONTROL!$C$27, 0.0021, 0)</f>
        <v>39.774299999999997</v>
      </c>
      <c r="H146" s="14">
        <f>39.6375 * CHOOSE(CONTROL!$C$9, $D$9, 100%, $F$9) + CHOOSE(CONTROL!$C$27, 0.0021, 0)</f>
        <v>39.639600000000002</v>
      </c>
      <c r="I146" s="14">
        <f>39.6375 * CHOOSE(CONTROL!$C$9, $D$9, 100%, $F$9) + CHOOSE(CONTROL!$C$27, 0.0021, 0)</f>
        <v>39.639600000000002</v>
      </c>
      <c r="J146" s="14">
        <f>39.6375 * CHOOSE(CONTROL!$C$9, $D$9, 100%, $F$9) + CHOOSE(CONTROL!$C$27, 0.0021, 0)</f>
        <v>39.639600000000002</v>
      </c>
      <c r="K146" s="14">
        <f>39.6375 * CHOOSE(CONTROL!$C$9, $D$9, 100%, $F$9) + CHOOSE(CONTROL!$C$27, 0.0021, 0)</f>
        <v>39.639600000000002</v>
      </c>
      <c r="L146" s="14"/>
    </row>
    <row r="147" spans="1:12" ht="15" x14ac:dyDescent="0.2">
      <c r="A147" s="13">
        <v>45383</v>
      </c>
      <c r="B147" s="14">
        <f>39.5978 * CHOOSE(CONTROL!$C$9, $D$9, 100%, $F$9) + CHOOSE(CONTROL!$C$27, 0.0021, 0)</f>
        <v>39.599899999999998</v>
      </c>
      <c r="C147" s="14">
        <f>39.1656 * CHOOSE(CONTROL!$C$9, $D$9, 100%, $F$9) + CHOOSE(CONTROL!$C$27, 0.0021, 0)</f>
        <v>39.167699999999996</v>
      </c>
      <c r="D147" s="14">
        <f>39.1656 * CHOOSE(CONTROL!$C$9, $D$9, 100%, $F$9) + CHOOSE(CONTROL!$C$27, 0.0021, 0)</f>
        <v>39.167699999999996</v>
      </c>
      <c r="E147" s="14">
        <f>39.0289 * CHOOSE(CONTROL!$C$9, $D$9, 100%, $F$9) + CHOOSE(CONTROL!$C$27, 0.0021, 0)</f>
        <v>39.030999999999999</v>
      </c>
      <c r="F147" s="14">
        <f>39.0289 * CHOOSE(CONTROL!$C$9, $D$9, 100%, $F$9) + CHOOSE(CONTROL!$C$27, 0.0021, 0)</f>
        <v>39.030999999999999</v>
      </c>
      <c r="G147" s="14">
        <f>39.3003 * CHOOSE(CONTROL!$C$9, $D$9, 100%, $F$9) + CHOOSE(CONTROL!$C$27, 0.0021, 0)</f>
        <v>39.302399999999999</v>
      </c>
      <c r="H147" s="14">
        <f>39.1656 * CHOOSE(CONTROL!$C$9, $D$9, 100%, $F$9) + CHOOSE(CONTROL!$C$27, 0.0021, 0)</f>
        <v>39.167699999999996</v>
      </c>
      <c r="I147" s="14">
        <f>39.1656 * CHOOSE(CONTROL!$C$9, $D$9, 100%, $F$9) + CHOOSE(CONTROL!$C$27, 0.0021, 0)</f>
        <v>39.167699999999996</v>
      </c>
      <c r="J147" s="14">
        <f>39.1656 * CHOOSE(CONTROL!$C$9, $D$9, 100%, $F$9) + CHOOSE(CONTROL!$C$27, 0.0021, 0)</f>
        <v>39.167699999999996</v>
      </c>
      <c r="K147" s="14">
        <f>39.1656 * CHOOSE(CONTROL!$C$9, $D$9, 100%, $F$9) + CHOOSE(CONTROL!$C$27, 0.0021, 0)</f>
        <v>39.167699999999996</v>
      </c>
      <c r="L147" s="14"/>
    </row>
    <row r="148" spans="1:12" ht="15" x14ac:dyDescent="0.2">
      <c r="A148" s="13">
        <v>45413</v>
      </c>
      <c r="B148" s="14">
        <f>40.4597 * CHOOSE(CONTROL!$C$9, $D$9, 100%, $F$9) + CHOOSE(CONTROL!$C$27, 0.0021, 0)</f>
        <v>40.461799999999997</v>
      </c>
      <c r="C148" s="14">
        <f>40.0275 * CHOOSE(CONTROL!$C$9, $D$9, 100%, $F$9) + CHOOSE(CONTROL!$C$27, 0.0021, 0)</f>
        <v>40.029600000000002</v>
      </c>
      <c r="D148" s="14">
        <f>40.0275 * CHOOSE(CONTROL!$C$9, $D$9, 100%, $F$9) + CHOOSE(CONTROL!$C$27, 0.0021, 0)</f>
        <v>40.029600000000002</v>
      </c>
      <c r="E148" s="14">
        <f>39.8908 * CHOOSE(CONTROL!$C$9, $D$9, 100%, $F$9) + CHOOSE(CONTROL!$C$27, 0.0021, 0)</f>
        <v>39.892899999999997</v>
      </c>
      <c r="F148" s="14">
        <f>39.8908 * CHOOSE(CONTROL!$C$9, $D$9, 100%, $F$9) + CHOOSE(CONTROL!$C$27, 0.0021, 0)</f>
        <v>39.892899999999997</v>
      </c>
      <c r="G148" s="14">
        <f>40.1622 * CHOOSE(CONTROL!$C$9, $D$9, 100%, $F$9) + CHOOSE(CONTROL!$C$27, 0.0021, 0)</f>
        <v>40.164299999999997</v>
      </c>
      <c r="H148" s="14">
        <f>40.0275 * CHOOSE(CONTROL!$C$9, $D$9, 100%, $F$9) + CHOOSE(CONTROL!$C$27, 0.0021, 0)</f>
        <v>40.029600000000002</v>
      </c>
      <c r="I148" s="14">
        <f>40.0275 * CHOOSE(CONTROL!$C$9, $D$9, 100%, $F$9) + CHOOSE(CONTROL!$C$27, 0.0021, 0)</f>
        <v>40.029600000000002</v>
      </c>
      <c r="J148" s="14">
        <f>40.0275 * CHOOSE(CONTROL!$C$9, $D$9, 100%, $F$9) + CHOOSE(CONTROL!$C$27, 0.0021, 0)</f>
        <v>40.029600000000002</v>
      </c>
      <c r="K148" s="14">
        <f>40.0275 * CHOOSE(CONTROL!$C$9, $D$9, 100%, $F$9) + CHOOSE(CONTROL!$C$27, 0.0021, 0)</f>
        <v>40.029600000000002</v>
      </c>
      <c r="L148" s="14"/>
    </row>
    <row r="149" spans="1:12" ht="15" x14ac:dyDescent="0.2">
      <c r="A149" s="13">
        <v>45444</v>
      </c>
      <c r="B149" s="14">
        <f>41.0095 * CHOOSE(CONTROL!$C$9, $D$9, 100%, $F$9) + CHOOSE(CONTROL!$C$27, 0.0021, 0)</f>
        <v>41.011600000000001</v>
      </c>
      <c r="C149" s="14">
        <f>40.5773 * CHOOSE(CONTROL!$C$9, $D$9, 100%, $F$9) + CHOOSE(CONTROL!$C$27, 0.0021, 0)</f>
        <v>40.5794</v>
      </c>
      <c r="D149" s="14">
        <f>40.5773 * CHOOSE(CONTROL!$C$9, $D$9, 100%, $F$9) + CHOOSE(CONTROL!$C$27, 0.0021, 0)</f>
        <v>40.5794</v>
      </c>
      <c r="E149" s="14">
        <f>40.4406 * CHOOSE(CONTROL!$C$9, $D$9, 100%, $F$9) + CHOOSE(CONTROL!$C$27, 0.0021, 0)</f>
        <v>40.442700000000002</v>
      </c>
      <c r="F149" s="14">
        <f>40.4406 * CHOOSE(CONTROL!$C$9, $D$9, 100%, $F$9) + CHOOSE(CONTROL!$C$27, 0.0021, 0)</f>
        <v>40.442700000000002</v>
      </c>
      <c r="G149" s="14">
        <f>40.712 * CHOOSE(CONTROL!$C$9, $D$9, 100%, $F$9) + CHOOSE(CONTROL!$C$27, 0.0021, 0)</f>
        <v>40.714100000000002</v>
      </c>
      <c r="H149" s="14">
        <f>40.5773 * CHOOSE(CONTROL!$C$9, $D$9, 100%, $F$9) + CHOOSE(CONTROL!$C$27, 0.0021, 0)</f>
        <v>40.5794</v>
      </c>
      <c r="I149" s="14">
        <f>40.5773 * CHOOSE(CONTROL!$C$9, $D$9, 100%, $F$9) + CHOOSE(CONTROL!$C$27, 0.0021, 0)</f>
        <v>40.5794</v>
      </c>
      <c r="J149" s="14">
        <f>40.5773 * CHOOSE(CONTROL!$C$9, $D$9, 100%, $F$9) + CHOOSE(CONTROL!$C$27, 0.0021, 0)</f>
        <v>40.5794</v>
      </c>
      <c r="K149" s="14">
        <f>40.5773 * CHOOSE(CONTROL!$C$9, $D$9, 100%, $F$9) + CHOOSE(CONTROL!$C$27, 0.0021, 0)</f>
        <v>40.5794</v>
      </c>
      <c r="L149" s="14"/>
    </row>
    <row r="150" spans="1:12" ht="15" x14ac:dyDescent="0.2">
      <c r="A150" s="13">
        <v>45474</v>
      </c>
      <c r="B150" s="14">
        <f>41.8681 * CHOOSE(CONTROL!$C$9, $D$9, 100%, $F$9) + CHOOSE(CONTROL!$C$27, 0.0021, 0)</f>
        <v>41.870199999999997</v>
      </c>
      <c r="C150" s="14">
        <f>41.4359 * CHOOSE(CONTROL!$C$9, $D$9, 100%, $F$9) + CHOOSE(CONTROL!$C$27, 0.0021, 0)</f>
        <v>41.437999999999995</v>
      </c>
      <c r="D150" s="14">
        <f>41.4359 * CHOOSE(CONTROL!$C$9, $D$9, 100%, $F$9) + CHOOSE(CONTROL!$C$27, 0.0021, 0)</f>
        <v>41.437999999999995</v>
      </c>
      <c r="E150" s="14">
        <f>41.2992 * CHOOSE(CONTROL!$C$9, $D$9, 100%, $F$9) + CHOOSE(CONTROL!$C$27, 0.0021, 0)</f>
        <v>41.301299999999998</v>
      </c>
      <c r="F150" s="14">
        <f>41.2992 * CHOOSE(CONTROL!$C$9, $D$9, 100%, $F$9) + CHOOSE(CONTROL!$C$27, 0.0021, 0)</f>
        <v>41.301299999999998</v>
      </c>
      <c r="G150" s="14">
        <f>41.5706 * CHOOSE(CONTROL!$C$9, $D$9, 100%, $F$9) + CHOOSE(CONTROL!$C$27, 0.0021, 0)</f>
        <v>41.572699999999998</v>
      </c>
      <c r="H150" s="14">
        <f>41.4359 * CHOOSE(CONTROL!$C$9, $D$9, 100%, $F$9) + CHOOSE(CONTROL!$C$27, 0.0021, 0)</f>
        <v>41.437999999999995</v>
      </c>
      <c r="I150" s="14">
        <f>41.4359 * CHOOSE(CONTROL!$C$9, $D$9, 100%, $F$9) + CHOOSE(CONTROL!$C$27, 0.0021, 0)</f>
        <v>41.437999999999995</v>
      </c>
      <c r="J150" s="14">
        <f>41.4359 * CHOOSE(CONTROL!$C$9, $D$9, 100%, $F$9) + CHOOSE(CONTROL!$C$27, 0.0021, 0)</f>
        <v>41.437999999999995</v>
      </c>
      <c r="K150" s="14">
        <f>41.4359 * CHOOSE(CONTROL!$C$9, $D$9, 100%, $F$9) + CHOOSE(CONTROL!$C$27, 0.0021, 0)</f>
        <v>41.437999999999995</v>
      </c>
      <c r="L150" s="14"/>
    </row>
    <row r="151" spans="1:12" ht="15" x14ac:dyDescent="0.2">
      <c r="A151" s="13">
        <v>45505</v>
      </c>
      <c r="B151" s="14">
        <f>42.1879 * CHOOSE(CONTROL!$C$9, $D$9, 100%, $F$9) + CHOOSE(CONTROL!$C$27, 0.0021, 0)</f>
        <v>42.19</v>
      </c>
      <c r="C151" s="14">
        <f>41.7556 * CHOOSE(CONTROL!$C$9, $D$9, 100%, $F$9) + CHOOSE(CONTROL!$C$27, 0.0021, 0)</f>
        <v>41.7577</v>
      </c>
      <c r="D151" s="14">
        <f>41.7556 * CHOOSE(CONTROL!$C$9, $D$9, 100%, $F$9) + CHOOSE(CONTROL!$C$27, 0.0021, 0)</f>
        <v>41.7577</v>
      </c>
      <c r="E151" s="14">
        <f>41.619 * CHOOSE(CONTROL!$C$9, $D$9, 100%, $F$9) + CHOOSE(CONTROL!$C$27, 0.0021, 0)</f>
        <v>41.621099999999998</v>
      </c>
      <c r="F151" s="14">
        <f>41.619 * CHOOSE(CONTROL!$C$9, $D$9, 100%, $F$9) + CHOOSE(CONTROL!$C$27, 0.0021, 0)</f>
        <v>41.621099999999998</v>
      </c>
      <c r="G151" s="14">
        <f>41.8903 * CHOOSE(CONTROL!$C$9, $D$9, 100%, $F$9) + CHOOSE(CONTROL!$C$27, 0.0021, 0)</f>
        <v>41.892400000000002</v>
      </c>
      <c r="H151" s="14">
        <f>41.7556 * CHOOSE(CONTROL!$C$9, $D$9, 100%, $F$9) + CHOOSE(CONTROL!$C$27, 0.0021, 0)</f>
        <v>41.7577</v>
      </c>
      <c r="I151" s="14">
        <f>41.7556 * CHOOSE(CONTROL!$C$9, $D$9, 100%, $F$9) + CHOOSE(CONTROL!$C$27, 0.0021, 0)</f>
        <v>41.7577</v>
      </c>
      <c r="J151" s="14">
        <f>41.7556 * CHOOSE(CONTROL!$C$9, $D$9, 100%, $F$9) + CHOOSE(CONTROL!$C$27, 0.0021, 0)</f>
        <v>41.7577</v>
      </c>
      <c r="K151" s="14">
        <f>41.7556 * CHOOSE(CONTROL!$C$9, $D$9, 100%, $F$9) + CHOOSE(CONTROL!$C$27, 0.0021, 0)</f>
        <v>41.7577</v>
      </c>
      <c r="L151" s="14"/>
    </row>
    <row r="152" spans="1:12" ht="15" x14ac:dyDescent="0.2">
      <c r="A152" s="13">
        <v>45536</v>
      </c>
      <c r="B152" s="14">
        <f>43.083 * CHOOSE(CONTROL!$C$9, $D$9, 100%, $F$9) + CHOOSE(CONTROL!$C$27, 0.0021, 0)</f>
        <v>43.085099999999997</v>
      </c>
      <c r="C152" s="14">
        <f>42.6507 * CHOOSE(CONTROL!$C$9, $D$9, 100%, $F$9) + CHOOSE(CONTROL!$C$27, 0.0021, 0)</f>
        <v>42.652799999999999</v>
      </c>
      <c r="D152" s="14">
        <f>42.6507 * CHOOSE(CONTROL!$C$9, $D$9, 100%, $F$9) + CHOOSE(CONTROL!$C$27, 0.0021, 0)</f>
        <v>42.652799999999999</v>
      </c>
      <c r="E152" s="14">
        <f>42.5141 * CHOOSE(CONTROL!$C$9, $D$9, 100%, $F$9) + CHOOSE(CONTROL!$C$27, 0.0021, 0)</f>
        <v>42.516199999999998</v>
      </c>
      <c r="F152" s="14">
        <f>42.5141 * CHOOSE(CONTROL!$C$9, $D$9, 100%, $F$9) + CHOOSE(CONTROL!$C$27, 0.0021, 0)</f>
        <v>42.516199999999998</v>
      </c>
      <c r="G152" s="14">
        <f>42.7855 * CHOOSE(CONTROL!$C$9, $D$9, 100%, $F$9) + CHOOSE(CONTROL!$C$27, 0.0021, 0)</f>
        <v>42.787599999999998</v>
      </c>
      <c r="H152" s="14">
        <f>42.6507 * CHOOSE(CONTROL!$C$9, $D$9, 100%, $F$9) + CHOOSE(CONTROL!$C$27, 0.0021, 0)</f>
        <v>42.652799999999999</v>
      </c>
      <c r="I152" s="14">
        <f>42.6507 * CHOOSE(CONTROL!$C$9, $D$9, 100%, $F$9) + CHOOSE(CONTROL!$C$27, 0.0021, 0)</f>
        <v>42.652799999999999</v>
      </c>
      <c r="J152" s="14">
        <f>42.6507 * CHOOSE(CONTROL!$C$9, $D$9, 100%, $F$9) + CHOOSE(CONTROL!$C$27, 0.0021, 0)</f>
        <v>42.652799999999999</v>
      </c>
      <c r="K152" s="14">
        <f>42.6507 * CHOOSE(CONTROL!$C$9, $D$9, 100%, $F$9) + CHOOSE(CONTROL!$C$27, 0.0021, 0)</f>
        <v>42.652799999999999</v>
      </c>
      <c r="L152" s="14"/>
    </row>
    <row r="153" spans="1:12" ht="15" x14ac:dyDescent="0.2">
      <c r="A153" s="13">
        <v>45566</v>
      </c>
      <c r="B153" s="14">
        <f>44.1982 * CHOOSE(CONTROL!$C$9, $D$9, 100%, $F$9) + CHOOSE(CONTROL!$C$27, 0.0021, 0)</f>
        <v>44.200299999999999</v>
      </c>
      <c r="C153" s="14">
        <f>43.7659 * CHOOSE(CONTROL!$C$9, $D$9, 100%, $F$9) + CHOOSE(CONTROL!$C$27, 0.0021, 0)</f>
        <v>43.768000000000001</v>
      </c>
      <c r="D153" s="14">
        <f>43.7659 * CHOOSE(CONTROL!$C$9, $D$9, 100%, $F$9) + CHOOSE(CONTROL!$C$27, 0.0021, 0)</f>
        <v>43.768000000000001</v>
      </c>
      <c r="E153" s="14">
        <f>43.6293 * CHOOSE(CONTROL!$C$9, $D$9, 100%, $F$9) + CHOOSE(CONTROL!$C$27, 0.0021, 0)</f>
        <v>43.631399999999999</v>
      </c>
      <c r="F153" s="14">
        <f>43.6293 * CHOOSE(CONTROL!$C$9, $D$9, 100%, $F$9) + CHOOSE(CONTROL!$C$27, 0.0021, 0)</f>
        <v>43.631399999999999</v>
      </c>
      <c r="G153" s="14">
        <f>43.9007 * CHOOSE(CONTROL!$C$9, $D$9, 100%, $F$9) + CHOOSE(CONTROL!$C$27, 0.0021, 0)</f>
        <v>43.902799999999999</v>
      </c>
      <c r="H153" s="14">
        <f>43.7659 * CHOOSE(CONTROL!$C$9, $D$9, 100%, $F$9) + CHOOSE(CONTROL!$C$27, 0.0021, 0)</f>
        <v>43.768000000000001</v>
      </c>
      <c r="I153" s="14">
        <f>43.7659 * CHOOSE(CONTROL!$C$9, $D$9, 100%, $F$9) + CHOOSE(CONTROL!$C$27, 0.0021, 0)</f>
        <v>43.768000000000001</v>
      </c>
      <c r="J153" s="14">
        <f>43.7659 * CHOOSE(CONTROL!$C$9, $D$9, 100%, $F$9) + CHOOSE(CONTROL!$C$27, 0.0021, 0)</f>
        <v>43.768000000000001</v>
      </c>
      <c r="K153" s="14">
        <f>43.7659 * CHOOSE(CONTROL!$C$9, $D$9, 100%, $F$9) + CHOOSE(CONTROL!$C$27, 0.0021, 0)</f>
        <v>43.768000000000001</v>
      </c>
      <c r="L153" s="14"/>
    </row>
    <row r="154" spans="1:12" ht="15" x14ac:dyDescent="0.2">
      <c r="A154" s="13">
        <v>45597</v>
      </c>
      <c r="B154" s="14">
        <f>44.3815 * CHOOSE(CONTROL!$C$9, $D$9, 100%, $F$9) + CHOOSE(CONTROL!$C$27, 0.0021, 0)</f>
        <v>44.383600000000001</v>
      </c>
      <c r="C154" s="14">
        <f>43.9493 * CHOOSE(CONTROL!$C$9, $D$9, 100%, $F$9) + CHOOSE(CONTROL!$C$27, 0.0021, 0)</f>
        <v>43.9514</v>
      </c>
      <c r="D154" s="14">
        <f>43.9493 * CHOOSE(CONTROL!$C$9, $D$9, 100%, $F$9) + CHOOSE(CONTROL!$C$27, 0.0021, 0)</f>
        <v>43.9514</v>
      </c>
      <c r="E154" s="14">
        <f>43.8126 * CHOOSE(CONTROL!$C$9, $D$9, 100%, $F$9) + CHOOSE(CONTROL!$C$27, 0.0021, 0)</f>
        <v>43.814700000000002</v>
      </c>
      <c r="F154" s="14">
        <f>43.8126 * CHOOSE(CONTROL!$C$9, $D$9, 100%, $F$9) + CHOOSE(CONTROL!$C$27, 0.0021, 0)</f>
        <v>43.814700000000002</v>
      </c>
      <c r="G154" s="14">
        <f>44.084 * CHOOSE(CONTROL!$C$9, $D$9, 100%, $F$9) + CHOOSE(CONTROL!$C$27, 0.0021, 0)</f>
        <v>44.086100000000002</v>
      </c>
      <c r="H154" s="14">
        <f>43.9493 * CHOOSE(CONTROL!$C$9, $D$9, 100%, $F$9) + CHOOSE(CONTROL!$C$27, 0.0021, 0)</f>
        <v>43.9514</v>
      </c>
      <c r="I154" s="14">
        <f>43.9493 * CHOOSE(CONTROL!$C$9, $D$9, 100%, $F$9) + CHOOSE(CONTROL!$C$27, 0.0021, 0)</f>
        <v>43.9514</v>
      </c>
      <c r="J154" s="14">
        <f>43.9493 * CHOOSE(CONTROL!$C$9, $D$9, 100%, $F$9) + CHOOSE(CONTROL!$C$27, 0.0021, 0)</f>
        <v>43.9514</v>
      </c>
      <c r="K154" s="14">
        <f>43.9493 * CHOOSE(CONTROL!$C$9, $D$9, 100%, $F$9) + CHOOSE(CONTROL!$C$27, 0.0021, 0)</f>
        <v>43.9514</v>
      </c>
      <c r="L154" s="14"/>
    </row>
    <row r="155" spans="1:12" ht="15" x14ac:dyDescent="0.2">
      <c r="A155" s="13">
        <v>45627</v>
      </c>
      <c r="B155" s="14">
        <f>43.6412 * CHOOSE(CONTROL!$C$9, $D$9, 100%, $F$9) + CHOOSE(CONTROL!$C$27, 0.0021, 0)</f>
        <v>43.643299999999996</v>
      </c>
      <c r="C155" s="14">
        <f>43.209 * CHOOSE(CONTROL!$C$9, $D$9, 100%, $F$9) + CHOOSE(CONTROL!$C$27, 0.0021, 0)</f>
        <v>43.211100000000002</v>
      </c>
      <c r="D155" s="14">
        <f>43.209 * CHOOSE(CONTROL!$C$9, $D$9, 100%, $F$9) + CHOOSE(CONTROL!$C$27, 0.0021, 0)</f>
        <v>43.211100000000002</v>
      </c>
      <c r="E155" s="14">
        <f>43.0723 * CHOOSE(CONTROL!$C$9, $D$9, 100%, $F$9) + CHOOSE(CONTROL!$C$27, 0.0021, 0)</f>
        <v>43.074399999999997</v>
      </c>
      <c r="F155" s="14">
        <f>43.0723 * CHOOSE(CONTROL!$C$9, $D$9, 100%, $F$9) + CHOOSE(CONTROL!$C$27, 0.0021, 0)</f>
        <v>43.074399999999997</v>
      </c>
      <c r="G155" s="14">
        <f>43.3437 * CHOOSE(CONTROL!$C$9, $D$9, 100%, $F$9) + CHOOSE(CONTROL!$C$27, 0.0021, 0)</f>
        <v>43.345799999999997</v>
      </c>
      <c r="H155" s="14">
        <f>43.209 * CHOOSE(CONTROL!$C$9, $D$9, 100%, $F$9) + CHOOSE(CONTROL!$C$27, 0.0021, 0)</f>
        <v>43.211100000000002</v>
      </c>
      <c r="I155" s="14">
        <f>43.209 * CHOOSE(CONTROL!$C$9, $D$9, 100%, $F$9) + CHOOSE(CONTROL!$C$27, 0.0021, 0)</f>
        <v>43.211100000000002</v>
      </c>
      <c r="J155" s="14">
        <f>43.209 * CHOOSE(CONTROL!$C$9, $D$9, 100%, $F$9) + CHOOSE(CONTROL!$C$27, 0.0021, 0)</f>
        <v>43.211100000000002</v>
      </c>
      <c r="K155" s="14">
        <f>43.209 * CHOOSE(CONTROL!$C$9, $D$9, 100%, $F$9) + CHOOSE(CONTROL!$C$27, 0.0021, 0)</f>
        <v>43.211100000000002</v>
      </c>
      <c r="L155" s="14"/>
    </row>
    <row r="156" spans="1:12" ht="15" x14ac:dyDescent="0.2">
      <c r="A156" s="13">
        <v>45658</v>
      </c>
      <c r="B156" s="14">
        <f>44.0879 * CHOOSE(CONTROL!$C$9, $D$9, 100%, $F$9) + CHOOSE(CONTROL!$C$27, 0.0021, 0)</f>
        <v>44.089999999999996</v>
      </c>
      <c r="C156" s="14">
        <f>43.6556 * CHOOSE(CONTROL!$C$9, $D$9, 100%, $F$9) + CHOOSE(CONTROL!$C$27, 0.0021, 0)</f>
        <v>43.657699999999998</v>
      </c>
      <c r="D156" s="14">
        <f>43.6556 * CHOOSE(CONTROL!$C$9, $D$9, 100%, $F$9) + CHOOSE(CONTROL!$C$27, 0.0021, 0)</f>
        <v>43.657699999999998</v>
      </c>
      <c r="E156" s="14">
        <f>43.519 * CHOOSE(CONTROL!$C$9, $D$9, 100%, $F$9) + CHOOSE(CONTROL!$C$27, 0.0021, 0)</f>
        <v>43.521099999999997</v>
      </c>
      <c r="F156" s="14">
        <f>43.519 * CHOOSE(CONTROL!$C$9, $D$9, 100%, $F$9) + CHOOSE(CONTROL!$C$27, 0.0021, 0)</f>
        <v>43.521099999999997</v>
      </c>
      <c r="G156" s="14">
        <f>43.7903 * CHOOSE(CONTROL!$C$9, $D$9, 100%, $F$9) + CHOOSE(CONTROL!$C$27, 0.0021, 0)</f>
        <v>43.792400000000001</v>
      </c>
      <c r="H156" s="14">
        <f>43.6556 * CHOOSE(CONTROL!$C$9, $D$9, 100%, $F$9) + CHOOSE(CONTROL!$C$27, 0.0021, 0)</f>
        <v>43.657699999999998</v>
      </c>
      <c r="I156" s="14">
        <f>43.6556 * CHOOSE(CONTROL!$C$9, $D$9, 100%, $F$9) + CHOOSE(CONTROL!$C$27, 0.0021, 0)</f>
        <v>43.657699999999998</v>
      </c>
      <c r="J156" s="14">
        <f>43.6556 * CHOOSE(CONTROL!$C$9, $D$9, 100%, $F$9) + CHOOSE(CONTROL!$C$27, 0.0021, 0)</f>
        <v>43.657699999999998</v>
      </c>
      <c r="K156" s="14">
        <f>43.6556 * CHOOSE(CONTROL!$C$9, $D$9, 100%, $F$9) + CHOOSE(CONTROL!$C$27, 0.0021, 0)</f>
        <v>43.657699999999998</v>
      </c>
      <c r="L156" s="14"/>
    </row>
    <row r="157" spans="1:12" ht="15" x14ac:dyDescent="0.2">
      <c r="A157" s="13">
        <v>45689</v>
      </c>
      <c r="B157" s="14">
        <f>42.9893 * CHOOSE(CONTROL!$C$9, $D$9, 100%, $F$9) + CHOOSE(CONTROL!$C$27, 0.0021, 0)</f>
        <v>42.991399999999999</v>
      </c>
      <c r="C157" s="14">
        <f>42.5571 * CHOOSE(CONTROL!$C$9, $D$9, 100%, $F$9) + CHOOSE(CONTROL!$C$27, 0.0021, 0)</f>
        <v>42.559199999999997</v>
      </c>
      <c r="D157" s="14">
        <f>42.5571 * CHOOSE(CONTROL!$C$9, $D$9, 100%, $F$9) + CHOOSE(CONTROL!$C$27, 0.0021, 0)</f>
        <v>42.559199999999997</v>
      </c>
      <c r="E157" s="14">
        <f>42.4204 * CHOOSE(CONTROL!$C$9, $D$9, 100%, $F$9) + CHOOSE(CONTROL!$C$27, 0.0021, 0)</f>
        <v>42.422499999999999</v>
      </c>
      <c r="F157" s="14">
        <f>42.4204 * CHOOSE(CONTROL!$C$9, $D$9, 100%, $F$9) + CHOOSE(CONTROL!$C$27, 0.0021, 0)</f>
        <v>42.422499999999999</v>
      </c>
      <c r="G157" s="14">
        <f>42.6918 * CHOOSE(CONTROL!$C$9, $D$9, 100%, $F$9) + CHOOSE(CONTROL!$C$27, 0.0021, 0)</f>
        <v>42.693899999999999</v>
      </c>
      <c r="H157" s="14">
        <f>42.5571 * CHOOSE(CONTROL!$C$9, $D$9, 100%, $F$9) + CHOOSE(CONTROL!$C$27, 0.0021, 0)</f>
        <v>42.559199999999997</v>
      </c>
      <c r="I157" s="14">
        <f>42.5571 * CHOOSE(CONTROL!$C$9, $D$9, 100%, $F$9) + CHOOSE(CONTROL!$C$27, 0.0021, 0)</f>
        <v>42.559199999999997</v>
      </c>
      <c r="J157" s="14">
        <f>42.5571 * CHOOSE(CONTROL!$C$9, $D$9, 100%, $F$9) + CHOOSE(CONTROL!$C$27, 0.0021, 0)</f>
        <v>42.559199999999997</v>
      </c>
      <c r="K157" s="14">
        <f>42.5571 * CHOOSE(CONTROL!$C$9, $D$9, 100%, $F$9) + CHOOSE(CONTROL!$C$27, 0.0021, 0)</f>
        <v>42.559199999999997</v>
      </c>
      <c r="L157" s="14"/>
    </row>
    <row r="158" spans="1:12" ht="15" x14ac:dyDescent="0.2">
      <c r="A158" s="13">
        <v>45717</v>
      </c>
      <c r="B158" s="14">
        <f>42.5831 * CHOOSE(CONTROL!$C$9, $D$9, 100%, $F$9) + CHOOSE(CONTROL!$C$27, 0.0021, 0)</f>
        <v>42.5852</v>
      </c>
      <c r="C158" s="14">
        <f>42.1509 * CHOOSE(CONTROL!$C$9, $D$9, 100%, $F$9) + CHOOSE(CONTROL!$C$27, 0.0021, 0)</f>
        <v>42.152999999999999</v>
      </c>
      <c r="D158" s="14">
        <f>42.1509 * CHOOSE(CONTROL!$C$9, $D$9, 100%, $F$9) + CHOOSE(CONTROL!$C$27, 0.0021, 0)</f>
        <v>42.152999999999999</v>
      </c>
      <c r="E158" s="14">
        <f>42.0142 * CHOOSE(CONTROL!$C$9, $D$9, 100%, $F$9) + CHOOSE(CONTROL!$C$27, 0.0021, 0)</f>
        <v>42.016300000000001</v>
      </c>
      <c r="F158" s="14">
        <f>42.0142 * CHOOSE(CONTROL!$C$9, $D$9, 100%, $F$9) + CHOOSE(CONTROL!$C$27, 0.0021, 0)</f>
        <v>42.016300000000001</v>
      </c>
      <c r="G158" s="14">
        <f>42.2856 * CHOOSE(CONTROL!$C$9, $D$9, 100%, $F$9) + CHOOSE(CONTROL!$C$27, 0.0021, 0)</f>
        <v>42.287700000000001</v>
      </c>
      <c r="H158" s="14">
        <f>42.1509 * CHOOSE(CONTROL!$C$9, $D$9, 100%, $F$9) + CHOOSE(CONTROL!$C$27, 0.0021, 0)</f>
        <v>42.152999999999999</v>
      </c>
      <c r="I158" s="14">
        <f>42.1509 * CHOOSE(CONTROL!$C$9, $D$9, 100%, $F$9) + CHOOSE(CONTROL!$C$27, 0.0021, 0)</f>
        <v>42.152999999999999</v>
      </c>
      <c r="J158" s="14">
        <f>42.1509 * CHOOSE(CONTROL!$C$9, $D$9, 100%, $F$9) + CHOOSE(CONTROL!$C$27, 0.0021, 0)</f>
        <v>42.152999999999999</v>
      </c>
      <c r="K158" s="14">
        <f>42.1509 * CHOOSE(CONTROL!$C$9, $D$9, 100%, $F$9) + CHOOSE(CONTROL!$C$27, 0.0021, 0)</f>
        <v>42.152999999999999</v>
      </c>
      <c r="L158" s="14"/>
    </row>
    <row r="159" spans="1:12" ht="15" x14ac:dyDescent="0.2">
      <c r="A159" s="13">
        <v>45748</v>
      </c>
      <c r="B159" s="14">
        <f>42.0798 * CHOOSE(CONTROL!$C$9, $D$9, 100%, $F$9) + CHOOSE(CONTROL!$C$27, 0.0021, 0)</f>
        <v>42.081899999999997</v>
      </c>
      <c r="C159" s="14">
        <f>41.6476 * CHOOSE(CONTROL!$C$9, $D$9, 100%, $F$9) + CHOOSE(CONTROL!$C$27, 0.0021, 0)</f>
        <v>41.649699999999996</v>
      </c>
      <c r="D159" s="14">
        <f>41.6476 * CHOOSE(CONTROL!$C$9, $D$9, 100%, $F$9) + CHOOSE(CONTROL!$C$27, 0.0021, 0)</f>
        <v>41.649699999999996</v>
      </c>
      <c r="E159" s="14">
        <f>41.5109 * CHOOSE(CONTROL!$C$9, $D$9, 100%, $F$9) + CHOOSE(CONTROL!$C$27, 0.0021, 0)</f>
        <v>41.512999999999998</v>
      </c>
      <c r="F159" s="14">
        <f>41.5109 * CHOOSE(CONTROL!$C$9, $D$9, 100%, $F$9) + CHOOSE(CONTROL!$C$27, 0.0021, 0)</f>
        <v>41.512999999999998</v>
      </c>
      <c r="G159" s="14">
        <f>41.7823 * CHOOSE(CONTROL!$C$9, $D$9, 100%, $F$9) + CHOOSE(CONTROL!$C$27, 0.0021, 0)</f>
        <v>41.784399999999998</v>
      </c>
      <c r="H159" s="14">
        <f>41.6476 * CHOOSE(CONTROL!$C$9, $D$9, 100%, $F$9) + CHOOSE(CONTROL!$C$27, 0.0021, 0)</f>
        <v>41.649699999999996</v>
      </c>
      <c r="I159" s="14">
        <f>41.6476 * CHOOSE(CONTROL!$C$9, $D$9, 100%, $F$9) + CHOOSE(CONTROL!$C$27, 0.0021, 0)</f>
        <v>41.649699999999996</v>
      </c>
      <c r="J159" s="14">
        <f>41.6476 * CHOOSE(CONTROL!$C$9, $D$9, 100%, $F$9) + CHOOSE(CONTROL!$C$27, 0.0021, 0)</f>
        <v>41.649699999999996</v>
      </c>
      <c r="K159" s="14">
        <f>41.6476 * CHOOSE(CONTROL!$C$9, $D$9, 100%, $F$9) + CHOOSE(CONTROL!$C$27, 0.0021, 0)</f>
        <v>41.649699999999996</v>
      </c>
      <c r="L159" s="14"/>
    </row>
    <row r="160" spans="1:12" ht="15" x14ac:dyDescent="0.2">
      <c r="A160" s="13">
        <v>45778</v>
      </c>
      <c r="B160" s="14">
        <f>42.999 * CHOOSE(CONTROL!$C$9, $D$9, 100%, $F$9) + CHOOSE(CONTROL!$C$27, 0.0021, 0)</f>
        <v>43.001100000000001</v>
      </c>
      <c r="C160" s="14">
        <f>42.5668 * CHOOSE(CONTROL!$C$9, $D$9, 100%, $F$9) + CHOOSE(CONTROL!$C$27, 0.0021, 0)</f>
        <v>42.568899999999999</v>
      </c>
      <c r="D160" s="14">
        <f>42.5668 * CHOOSE(CONTROL!$C$9, $D$9, 100%, $F$9) + CHOOSE(CONTROL!$C$27, 0.0021, 0)</f>
        <v>42.568899999999999</v>
      </c>
      <c r="E160" s="14">
        <f>42.4301 * CHOOSE(CONTROL!$C$9, $D$9, 100%, $F$9) + CHOOSE(CONTROL!$C$27, 0.0021, 0)</f>
        <v>42.432200000000002</v>
      </c>
      <c r="F160" s="14">
        <f>42.4301 * CHOOSE(CONTROL!$C$9, $D$9, 100%, $F$9) + CHOOSE(CONTROL!$C$27, 0.0021, 0)</f>
        <v>42.432200000000002</v>
      </c>
      <c r="G160" s="14">
        <f>42.7015 * CHOOSE(CONTROL!$C$9, $D$9, 100%, $F$9) + CHOOSE(CONTROL!$C$27, 0.0021, 0)</f>
        <v>42.703600000000002</v>
      </c>
      <c r="H160" s="14">
        <f>42.5668 * CHOOSE(CONTROL!$C$9, $D$9, 100%, $F$9) + CHOOSE(CONTROL!$C$27, 0.0021, 0)</f>
        <v>42.568899999999999</v>
      </c>
      <c r="I160" s="14">
        <f>42.5668 * CHOOSE(CONTROL!$C$9, $D$9, 100%, $F$9) + CHOOSE(CONTROL!$C$27, 0.0021, 0)</f>
        <v>42.568899999999999</v>
      </c>
      <c r="J160" s="14">
        <f>42.5668 * CHOOSE(CONTROL!$C$9, $D$9, 100%, $F$9) + CHOOSE(CONTROL!$C$27, 0.0021, 0)</f>
        <v>42.568899999999999</v>
      </c>
      <c r="K160" s="14">
        <f>42.5668 * CHOOSE(CONTROL!$C$9, $D$9, 100%, $F$9) + CHOOSE(CONTROL!$C$27, 0.0021, 0)</f>
        <v>42.568899999999999</v>
      </c>
      <c r="L160" s="14"/>
    </row>
    <row r="161" spans="1:12" ht="15" x14ac:dyDescent="0.2">
      <c r="A161" s="13">
        <v>45809</v>
      </c>
      <c r="B161" s="14">
        <f>43.5854 * CHOOSE(CONTROL!$C$9, $D$9, 100%, $F$9) + CHOOSE(CONTROL!$C$27, 0.0021, 0)</f>
        <v>43.587499999999999</v>
      </c>
      <c r="C161" s="14">
        <f>43.1532 * CHOOSE(CONTROL!$C$9, $D$9, 100%, $F$9) + CHOOSE(CONTROL!$C$27, 0.0021, 0)</f>
        <v>43.155299999999997</v>
      </c>
      <c r="D161" s="14">
        <f>43.1532 * CHOOSE(CONTROL!$C$9, $D$9, 100%, $F$9) + CHOOSE(CONTROL!$C$27, 0.0021, 0)</f>
        <v>43.155299999999997</v>
      </c>
      <c r="E161" s="14">
        <f>43.0165 * CHOOSE(CONTROL!$C$9, $D$9, 100%, $F$9) + CHOOSE(CONTROL!$C$27, 0.0021, 0)</f>
        <v>43.018599999999999</v>
      </c>
      <c r="F161" s="14">
        <f>43.0165 * CHOOSE(CONTROL!$C$9, $D$9, 100%, $F$9) + CHOOSE(CONTROL!$C$27, 0.0021, 0)</f>
        <v>43.018599999999999</v>
      </c>
      <c r="G161" s="14">
        <f>43.2879 * CHOOSE(CONTROL!$C$9, $D$9, 100%, $F$9) + CHOOSE(CONTROL!$C$27, 0.0021, 0)</f>
        <v>43.29</v>
      </c>
      <c r="H161" s="14">
        <f>43.1532 * CHOOSE(CONTROL!$C$9, $D$9, 100%, $F$9) + CHOOSE(CONTROL!$C$27, 0.0021, 0)</f>
        <v>43.155299999999997</v>
      </c>
      <c r="I161" s="14">
        <f>43.1532 * CHOOSE(CONTROL!$C$9, $D$9, 100%, $F$9) + CHOOSE(CONTROL!$C$27, 0.0021, 0)</f>
        <v>43.155299999999997</v>
      </c>
      <c r="J161" s="14">
        <f>43.1532 * CHOOSE(CONTROL!$C$9, $D$9, 100%, $F$9) + CHOOSE(CONTROL!$C$27, 0.0021, 0)</f>
        <v>43.155299999999997</v>
      </c>
      <c r="K161" s="14">
        <f>43.1532 * CHOOSE(CONTROL!$C$9, $D$9, 100%, $F$9) + CHOOSE(CONTROL!$C$27, 0.0021, 0)</f>
        <v>43.155299999999997</v>
      </c>
      <c r="L161" s="14"/>
    </row>
    <row r="162" spans="1:12" ht="15" x14ac:dyDescent="0.2">
      <c r="A162" s="13">
        <v>45839</v>
      </c>
      <c r="B162" s="14">
        <f>44.5012 * CHOOSE(CONTROL!$C$9, $D$9, 100%, $F$9) + CHOOSE(CONTROL!$C$27, 0.0021, 0)</f>
        <v>44.503299999999996</v>
      </c>
      <c r="C162" s="14">
        <f>44.0689 * CHOOSE(CONTROL!$C$9, $D$9, 100%, $F$9) + CHOOSE(CONTROL!$C$27, 0.0021, 0)</f>
        <v>44.070999999999998</v>
      </c>
      <c r="D162" s="14">
        <f>44.0689 * CHOOSE(CONTROL!$C$9, $D$9, 100%, $F$9) + CHOOSE(CONTROL!$C$27, 0.0021, 0)</f>
        <v>44.070999999999998</v>
      </c>
      <c r="E162" s="14">
        <f>43.9323 * CHOOSE(CONTROL!$C$9, $D$9, 100%, $F$9) + CHOOSE(CONTROL!$C$27, 0.0021, 0)</f>
        <v>43.934399999999997</v>
      </c>
      <c r="F162" s="14">
        <f>43.9323 * CHOOSE(CONTROL!$C$9, $D$9, 100%, $F$9) + CHOOSE(CONTROL!$C$27, 0.0021, 0)</f>
        <v>43.934399999999997</v>
      </c>
      <c r="G162" s="14">
        <f>44.2036 * CHOOSE(CONTROL!$C$9, $D$9, 100%, $F$9) + CHOOSE(CONTROL!$C$27, 0.0021, 0)</f>
        <v>44.2057</v>
      </c>
      <c r="H162" s="14">
        <f>44.0689 * CHOOSE(CONTROL!$C$9, $D$9, 100%, $F$9) + CHOOSE(CONTROL!$C$27, 0.0021, 0)</f>
        <v>44.070999999999998</v>
      </c>
      <c r="I162" s="14">
        <f>44.0689 * CHOOSE(CONTROL!$C$9, $D$9, 100%, $F$9) + CHOOSE(CONTROL!$C$27, 0.0021, 0)</f>
        <v>44.070999999999998</v>
      </c>
      <c r="J162" s="14">
        <f>44.0689 * CHOOSE(CONTROL!$C$9, $D$9, 100%, $F$9) + CHOOSE(CONTROL!$C$27, 0.0021, 0)</f>
        <v>44.070999999999998</v>
      </c>
      <c r="K162" s="14">
        <f>44.0689 * CHOOSE(CONTROL!$C$9, $D$9, 100%, $F$9) + CHOOSE(CONTROL!$C$27, 0.0021, 0)</f>
        <v>44.070999999999998</v>
      </c>
      <c r="L162" s="14"/>
    </row>
    <row r="163" spans="1:12" ht="15" x14ac:dyDescent="0.2">
      <c r="A163" s="13">
        <v>45870</v>
      </c>
      <c r="B163" s="14">
        <f>44.8422 * CHOOSE(CONTROL!$C$9, $D$9, 100%, $F$9) + CHOOSE(CONTROL!$C$27, 0.0021, 0)</f>
        <v>44.844299999999997</v>
      </c>
      <c r="C163" s="14">
        <f>44.4099 * CHOOSE(CONTROL!$C$9, $D$9, 100%, $F$9) + CHOOSE(CONTROL!$C$27, 0.0021, 0)</f>
        <v>44.411999999999999</v>
      </c>
      <c r="D163" s="14">
        <f>44.4099 * CHOOSE(CONTROL!$C$9, $D$9, 100%, $F$9) + CHOOSE(CONTROL!$C$27, 0.0021, 0)</f>
        <v>44.411999999999999</v>
      </c>
      <c r="E163" s="14">
        <f>44.2733 * CHOOSE(CONTROL!$C$9, $D$9, 100%, $F$9) + CHOOSE(CONTROL!$C$27, 0.0021, 0)</f>
        <v>44.275399999999998</v>
      </c>
      <c r="F163" s="14">
        <f>44.2733 * CHOOSE(CONTROL!$C$9, $D$9, 100%, $F$9) + CHOOSE(CONTROL!$C$27, 0.0021, 0)</f>
        <v>44.275399999999998</v>
      </c>
      <c r="G163" s="14">
        <f>44.5447 * CHOOSE(CONTROL!$C$9, $D$9, 100%, $F$9) + CHOOSE(CONTROL!$C$27, 0.0021, 0)</f>
        <v>44.546799999999998</v>
      </c>
      <c r="H163" s="14">
        <f>44.4099 * CHOOSE(CONTROL!$C$9, $D$9, 100%, $F$9) + CHOOSE(CONTROL!$C$27, 0.0021, 0)</f>
        <v>44.411999999999999</v>
      </c>
      <c r="I163" s="14">
        <f>44.4099 * CHOOSE(CONTROL!$C$9, $D$9, 100%, $F$9) + CHOOSE(CONTROL!$C$27, 0.0021, 0)</f>
        <v>44.411999999999999</v>
      </c>
      <c r="J163" s="14">
        <f>44.4099 * CHOOSE(CONTROL!$C$9, $D$9, 100%, $F$9) + CHOOSE(CONTROL!$C$27, 0.0021, 0)</f>
        <v>44.411999999999999</v>
      </c>
      <c r="K163" s="14">
        <f>44.4099 * CHOOSE(CONTROL!$C$9, $D$9, 100%, $F$9) + CHOOSE(CONTROL!$C$27, 0.0021, 0)</f>
        <v>44.411999999999999</v>
      </c>
      <c r="L163" s="14"/>
    </row>
    <row r="164" spans="1:12" ht="15" x14ac:dyDescent="0.2">
      <c r="A164" s="13">
        <v>45901</v>
      </c>
      <c r="B164" s="14">
        <f>45.7969 * CHOOSE(CONTROL!$C$9, $D$9, 100%, $F$9) + CHOOSE(CONTROL!$C$27, 0.0021, 0)</f>
        <v>45.798999999999999</v>
      </c>
      <c r="C164" s="14">
        <f>45.3646 * CHOOSE(CONTROL!$C$9, $D$9, 100%, $F$9) + CHOOSE(CONTROL!$C$27, 0.0021, 0)</f>
        <v>45.366700000000002</v>
      </c>
      <c r="D164" s="14">
        <f>45.3646 * CHOOSE(CONTROL!$C$9, $D$9, 100%, $F$9) + CHOOSE(CONTROL!$C$27, 0.0021, 0)</f>
        <v>45.366700000000002</v>
      </c>
      <c r="E164" s="14">
        <f>45.228 * CHOOSE(CONTROL!$C$9, $D$9, 100%, $F$9) + CHOOSE(CONTROL!$C$27, 0.0021, 0)</f>
        <v>45.2301</v>
      </c>
      <c r="F164" s="14">
        <f>45.228 * CHOOSE(CONTROL!$C$9, $D$9, 100%, $F$9) + CHOOSE(CONTROL!$C$27, 0.0021, 0)</f>
        <v>45.2301</v>
      </c>
      <c r="G164" s="14">
        <f>45.4993 * CHOOSE(CONTROL!$C$9, $D$9, 100%, $F$9) + CHOOSE(CONTROL!$C$27, 0.0021, 0)</f>
        <v>45.501399999999997</v>
      </c>
      <c r="H164" s="14">
        <f>45.3646 * CHOOSE(CONTROL!$C$9, $D$9, 100%, $F$9) + CHOOSE(CONTROL!$C$27, 0.0021, 0)</f>
        <v>45.366700000000002</v>
      </c>
      <c r="I164" s="14">
        <f>45.3646 * CHOOSE(CONTROL!$C$9, $D$9, 100%, $F$9) + CHOOSE(CONTROL!$C$27, 0.0021, 0)</f>
        <v>45.366700000000002</v>
      </c>
      <c r="J164" s="14">
        <f>45.3646 * CHOOSE(CONTROL!$C$9, $D$9, 100%, $F$9) + CHOOSE(CONTROL!$C$27, 0.0021, 0)</f>
        <v>45.366700000000002</v>
      </c>
      <c r="K164" s="14">
        <f>45.3646 * CHOOSE(CONTROL!$C$9, $D$9, 100%, $F$9) + CHOOSE(CONTROL!$C$27, 0.0021, 0)</f>
        <v>45.366700000000002</v>
      </c>
      <c r="L164" s="14"/>
    </row>
    <row r="165" spans="1:12" ht="15" x14ac:dyDescent="0.2">
      <c r="A165" s="13">
        <v>45931</v>
      </c>
      <c r="B165" s="14">
        <f>46.9863 * CHOOSE(CONTROL!$C$9, $D$9, 100%, $F$9) + CHOOSE(CONTROL!$C$27, 0.0021, 0)</f>
        <v>46.988399999999999</v>
      </c>
      <c r="C165" s="14">
        <f>46.554 * CHOOSE(CONTROL!$C$9, $D$9, 100%, $F$9) + CHOOSE(CONTROL!$C$27, 0.0021, 0)</f>
        <v>46.556100000000001</v>
      </c>
      <c r="D165" s="14">
        <f>46.554 * CHOOSE(CONTROL!$C$9, $D$9, 100%, $F$9) + CHOOSE(CONTROL!$C$27, 0.0021, 0)</f>
        <v>46.556100000000001</v>
      </c>
      <c r="E165" s="14">
        <f>46.4173 * CHOOSE(CONTROL!$C$9, $D$9, 100%, $F$9) + CHOOSE(CONTROL!$C$27, 0.0021, 0)</f>
        <v>46.419399999999996</v>
      </c>
      <c r="F165" s="14">
        <f>46.4173 * CHOOSE(CONTROL!$C$9, $D$9, 100%, $F$9) + CHOOSE(CONTROL!$C$27, 0.0021, 0)</f>
        <v>46.419399999999996</v>
      </c>
      <c r="G165" s="14">
        <f>46.6887 * CHOOSE(CONTROL!$C$9, $D$9, 100%, $F$9) + CHOOSE(CONTROL!$C$27, 0.0021, 0)</f>
        <v>46.690799999999996</v>
      </c>
      <c r="H165" s="14">
        <f>46.554 * CHOOSE(CONTROL!$C$9, $D$9, 100%, $F$9) + CHOOSE(CONTROL!$C$27, 0.0021, 0)</f>
        <v>46.556100000000001</v>
      </c>
      <c r="I165" s="14">
        <f>46.554 * CHOOSE(CONTROL!$C$9, $D$9, 100%, $F$9) + CHOOSE(CONTROL!$C$27, 0.0021, 0)</f>
        <v>46.556100000000001</v>
      </c>
      <c r="J165" s="14">
        <f>46.554 * CHOOSE(CONTROL!$C$9, $D$9, 100%, $F$9) + CHOOSE(CONTROL!$C$27, 0.0021, 0)</f>
        <v>46.556100000000001</v>
      </c>
      <c r="K165" s="14">
        <f>46.554 * CHOOSE(CONTROL!$C$9, $D$9, 100%, $F$9) + CHOOSE(CONTROL!$C$27, 0.0021, 0)</f>
        <v>46.556100000000001</v>
      </c>
      <c r="L165" s="14"/>
    </row>
    <row r="166" spans="1:12" ht="15" x14ac:dyDescent="0.2">
      <c r="A166" s="13">
        <v>45962</v>
      </c>
      <c r="B166" s="14">
        <f>47.1818 * CHOOSE(CONTROL!$C$9, $D$9, 100%, $F$9) + CHOOSE(CONTROL!$C$27, 0.0021, 0)</f>
        <v>47.183900000000001</v>
      </c>
      <c r="C166" s="14">
        <f>46.7495 * CHOOSE(CONTROL!$C$9, $D$9, 100%, $F$9) + CHOOSE(CONTROL!$C$27, 0.0021, 0)</f>
        <v>46.751599999999996</v>
      </c>
      <c r="D166" s="14">
        <f>46.7495 * CHOOSE(CONTROL!$C$9, $D$9, 100%, $F$9) + CHOOSE(CONTROL!$C$27, 0.0021, 0)</f>
        <v>46.751599999999996</v>
      </c>
      <c r="E166" s="14">
        <f>46.6129 * CHOOSE(CONTROL!$C$9, $D$9, 100%, $F$9) + CHOOSE(CONTROL!$C$27, 0.0021, 0)</f>
        <v>46.615000000000002</v>
      </c>
      <c r="F166" s="14">
        <f>46.6129 * CHOOSE(CONTROL!$C$9, $D$9, 100%, $F$9) + CHOOSE(CONTROL!$C$27, 0.0021, 0)</f>
        <v>46.615000000000002</v>
      </c>
      <c r="G166" s="14">
        <f>46.8842 * CHOOSE(CONTROL!$C$9, $D$9, 100%, $F$9) + CHOOSE(CONTROL!$C$27, 0.0021, 0)</f>
        <v>46.886299999999999</v>
      </c>
      <c r="H166" s="14">
        <f>46.7495 * CHOOSE(CONTROL!$C$9, $D$9, 100%, $F$9) + CHOOSE(CONTROL!$C$27, 0.0021, 0)</f>
        <v>46.751599999999996</v>
      </c>
      <c r="I166" s="14">
        <f>46.7495 * CHOOSE(CONTROL!$C$9, $D$9, 100%, $F$9) + CHOOSE(CONTROL!$C$27, 0.0021, 0)</f>
        <v>46.751599999999996</v>
      </c>
      <c r="J166" s="14">
        <f>46.7495 * CHOOSE(CONTROL!$C$9, $D$9, 100%, $F$9) + CHOOSE(CONTROL!$C$27, 0.0021, 0)</f>
        <v>46.751599999999996</v>
      </c>
      <c r="K166" s="14">
        <f>46.7495 * CHOOSE(CONTROL!$C$9, $D$9, 100%, $F$9) + CHOOSE(CONTROL!$C$27, 0.0021, 0)</f>
        <v>46.751599999999996</v>
      </c>
      <c r="L166" s="14"/>
    </row>
    <row r="167" spans="1:12" ht="15" x14ac:dyDescent="0.2">
      <c r="A167" s="13">
        <v>45992</v>
      </c>
      <c r="B167" s="14">
        <f>46.3922 * CHOOSE(CONTROL!$C$9, $D$9, 100%, $F$9) + CHOOSE(CONTROL!$C$27, 0.0021, 0)</f>
        <v>46.394300000000001</v>
      </c>
      <c r="C167" s="14">
        <f>45.96 * CHOOSE(CONTROL!$C$9, $D$9, 100%, $F$9) + CHOOSE(CONTROL!$C$27, 0.0021, 0)</f>
        <v>45.9621</v>
      </c>
      <c r="D167" s="14">
        <f>45.96 * CHOOSE(CONTROL!$C$9, $D$9, 100%, $F$9) + CHOOSE(CONTROL!$C$27, 0.0021, 0)</f>
        <v>45.9621</v>
      </c>
      <c r="E167" s="14">
        <f>45.8233 * CHOOSE(CONTROL!$C$9, $D$9, 100%, $F$9) + CHOOSE(CONTROL!$C$27, 0.0021, 0)</f>
        <v>45.825400000000002</v>
      </c>
      <c r="F167" s="14">
        <f>45.8233 * CHOOSE(CONTROL!$C$9, $D$9, 100%, $F$9) + CHOOSE(CONTROL!$C$27, 0.0021, 0)</f>
        <v>45.825400000000002</v>
      </c>
      <c r="G167" s="14">
        <f>46.0947 * CHOOSE(CONTROL!$C$9, $D$9, 100%, $F$9) + CHOOSE(CONTROL!$C$27, 0.0021, 0)</f>
        <v>46.096800000000002</v>
      </c>
      <c r="H167" s="14">
        <f>45.96 * CHOOSE(CONTROL!$C$9, $D$9, 100%, $F$9) + CHOOSE(CONTROL!$C$27, 0.0021, 0)</f>
        <v>45.9621</v>
      </c>
      <c r="I167" s="14">
        <f>45.96 * CHOOSE(CONTROL!$C$9, $D$9, 100%, $F$9) + CHOOSE(CONTROL!$C$27, 0.0021, 0)</f>
        <v>45.9621</v>
      </c>
      <c r="J167" s="14">
        <f>45.96 * CHOOSE(CONTROL!$C$9, $D$9, 100%, $F$9) + CHOOSE(CONTROL!$C$27, 0.0021, 0)</f>
        <v>45.9621</v>
      </c>
      <c r="K167" s="14">
        <f>45.96 * CHOOSE(CONTROL!$C$9, $D$9, 100%, $F$9) + CHOOSE(CONTROL!$C$27, 0.0021, 0)</f>
        <v>45.9621</v>
      </c>
      <c r="L167" s="14"/>
    </row>
    <row r="168" spans="1:12" ht="15" x14ac:dyDescent="0.2">
      <c r="A168" s="13">
        <v>46023</v>
      </c>
      <c r="B168" s="14">
        <f>46.0471 * CHOOSE(CONTROL!$C$9, $D$9, 100%, $F$9) + CHOOSE(CONTROL!$C$27, 0.0021, 0)</f>
        <v>46.049199999999999</v>
      </c>
      <c r="C168" s="14">
        <f>45.6148 * CHOOSE(CONTROL!$C$9, $D$9, 100%, $F$9) + CHOOSE(CONTROL!$C$27, 0.0021, 0)</f>
        <v>45.616900000000001</v>
      </c>
      <c r="D168" s="14">
        <f>45.6148 * CHOOSE(CONTROL!$C$9, $D$9, 100%, $F$9) + CHOOSE(CONTROL!$C$27, 0.0021, 0)</f>
        <v>45.616900000000001</v>
      </c>
      <c r="E168" s="14">
        <f>45.4782 * CHOOSE(CONTROL!$C$9, $D$9, 100%, $F$9) + CHOOSE(CONTROL!$C$27, 0.0021, 0)</f>
        <v>45.4803</v>
      </c>
      <c r="F168" s="14">
        <f>45.4782 * CHOOSE(CONTROL!$C$9, $D$9, 100%, $F$9) + CHOOSE(CONTROL!$C$27, 0.0021, 0)</f>
        <v>45.4803</v>
      </c>
      <c r="G168" s="14">
        <f>45.7496 * CHOOSE(CONTROL!$C$9, $D$9, 100%, $F$9) + CHOOSE(CONTROL!$C$27, 0.0021, 0)</f>
        <v>45.7517</v>
      </c>
      <c r="H168" s="14">
        <f>45.6148 * CHOOSE(CONTROL!$C$9, $D$9, 100%, $F$9) + CHOOSE(CONTROL!$C$27, 0.0021, 0)</f>
        <v>45.616900000000001</v>
      </c>
      <c r="I168" s="14">
        <f>45.6148 * CHOOSE(CONTROL!$C$9, $D$9, 100%, $F$9) + CHOOSE(CONTROL!$C$27, 0.0021, 0)</f>
        <v>45.616900000000001</v>
      </c>
      <c r="J168" s="14">
        <f>45.6148 * CHOOSE(CONTROL!$C$9, $D$9, 100%, $F$9) + CHOOSE(CONTROL!$C$27, 0.0021, 0)</f>
        <v>45.616900000000001</v>
      </c>
      <c r="K168" s="14">
        <f>45.6148 * CHOOSE(CONTROL!$C$9, $D$9, 100%, $F$9) + CHOOSE(CONTROL!$C$27, 0.0021, 0)</f>
        <v>45.616900000000001</v>
      </c>
      <c r="L168" s="14"/>
    </row>
    <row r="169" spans="1:12" ht="15" x14ac:dyDescent="0.2">
      <c r="A169" s="13">
        <v>46054</v>
      </c>
      <c r="B169" s="14">
        <f>44.897 * CHOOSE(CONTROL!$C$9, $D$9, 100%, $F$9) + CHOOSE(CONTROL!$C$27, 0.0021, 0)</f>
        <v>44.899099999999997</v>
      </c>
      <c r="C169" s="14">
        <f>44.4648 * CHOOSE(CONTROL!$C$9, $D$9, 100%, $F$9) + CHOOSE(CONTROL!$C$27, 0.0021, 0)</f>
        <v>44.466899999999995</v>
      </c>
      <c r="D169" s="14">
        <f>44.4648 * CHOOSE(CONTROL!$C$9, $D$9, 100%, $F$9) + CHOOSE(CONTROL!$C$27, 0.0021, 0)</f>
        <v>44.466899999999995</v>
      </c>
      <c r="E169" s="14">
        <f>44.3281 * CHOOSE(CONTROL!$C$9, $D$9, 100%, $F$9) + CHOOSE(CONTROL!$C$27, 0.0021, 0)</f>
        <v>44.330199999999998</v>
      </c>
      <c r="F169" s="14">
        <f>44.3281 * CHOOSE(CONTROL!$C$9, $D$9, 100%, $F$9) + CHOOSE(CONTROL!$C$27, 0.0021, 0)</f>
        <v>44.330199999999998</v>
      </c>
      <c r="G169" s="14">
        <f>44.5995 * CHOOSE(CONTROL!$C$9, $D$9, 100%, $F$9) + CHOOSE(CONTROL!$C$27, 0.0021, 0)</f>
        <v>44.601599999999998</v>
      </c>
      <c r="H169" s="14">
        <f>44.4648 * CHOOSE(CONTROL!$C$9, $D$9, 100%, $F$9) + CHOOSE(CONTROL!$C$27, 0.0021, 0)</f>
        <v>44.466899999999995</v>
      </c>
      <c r="I169" s="14">
        <f>44.4648 * CHOOSE(CONTROL!$C$9, $D$9, 100%, $F$9) + CHOOSE(CONTROL!$C$27, 0.0021, 0)</f>
        <v>44.466899999999995</v>
      </c>
      <c r="J169" s="14">
        <f>44.4648 * CHOOSE(CONTROL!$C$9, $D$9, 100%, $F$9) + CHOOSE(CONTROL!$C$27, 0.0021, 0)</f>
        <v>44.466899999999995</v>
      </c>
      <c r="K169" s="14">
        <f>44.4648 * CHOOSE(CONTROL!$C$9, $D$9, 100%, $F$9) + CHOOSE(CONTROL!$C$27, 0.0021, 0)</f>
        <v>44.466899999999995</v>
      </c>
      <c r="L169" s="14"/>
    </row>
    <row r="170" spans="1:12" ht="15" x14ac:dyDescent="0.2">
      <c r="A170" s="13">
        <v>46082</v>
      </c>
      <c r="B170" s="14">
        <f>44.4718 * CHOOSE(CONTROL!$C$9, $D$9, 100%, $F$9) + CHOOSE(CONTROL!$C$27, 0.0021, 0)</f>
        <v>44.4739</v>
      </c>
      <c r="C170" s="14">
        <f>44.0396 * CHOOSE(CONTROL!$C$9, $D$9, 100%, $F$9) + CHOOSE(CONTROL!$C$27, 0.0021, 0)</f>
        <v>44.041699999999999</v>
      </c>
      <c r="D170" s="14">
        <f>44.0396 * CHOOSE(CONTROL!$C$9, $D$9, 100%, $F$9) + CHOOSE(CONTROL!$C$27, 0.0021, 0)</f>
        <v>44.041699999999999</v>
      </c>
      <c r="E170" s="14">
        <f>43.9029 * CHOOSE(CONTROL!$C$9, $D$9, 100%, $F$9) + CHOOSE(CONTROL!$C$27, 0.0021, 0)</f>
        <v>43.905000000000001</v>
      </c>
      <c r="F170" s="14">
        <f>43.9029 * CHOOSE(CONTROL!$C$9, $D$9, 100%, $F$9) + CHOOSE(CONTROL!$C$27, 0.0021, 0)</f>
        <v>43.905000000000001</v>
      </c>
      <c r="G170" s="14">
        <f>44.1743 * CHOOSE(CONTROL!$C$9, $D$9, 100%, $F$9) + CHOOSE(CONTROL!$C$27, 0.0021, 0)</f>
        <v>44.176400000000001</v>
      </c>
      <c r="H170" s="14">
        <f>44.0396 * CHOOSE(CONTROL!$C$9, $D$9, 100%, $F$9) + CHOOSE(CONTROL!$C$27, 0.0021, 0)</f>
        <v>44.041699999999999</v>
      </c>
      <c r="I170" s="14">
        <f>44.0396 * CHOOSE(CONTROL!$C$9, $D$9, 100%, $F$9) + CHOOSE(CONTROL!$C$27, 0.0021, 0)</f>
        <v>44.041699999999999</v>
      </c>
      <c r="J170" s="14">
        <f>44.0396 * CHOOSE(CONTROL!$C$9, $D$9, 100%, $F$9) + CHOOSE(CONTROL!$C$27, 0.0021, 0)</f>
        <v>44.041699999999999</v>
      </c>
      <c r="K170" s="14">
        <f>44.0396 * CHOOSE(CONTROL!$C$9, $D$9, 100%, $F$9) + CHOOSE(CONTROL!$C$27, 0.0021, 0)</f>
        <v>44.041699999999999</v>
      </c>
      <c r="L170" s="14"/>
    </row>
    <row r="171" spans="1:12" ht="15" x14ac:dyDescent="0.2">
      <c r="A171" s="13">
        <v>46113</v>
      </c>
      <c r="B171" s="14">
        <f>43.9449 * CHOOSE(CONTROL!$C$9, $D$9, 100%, $F$9) + CHOOSE(CONTROL!$C$27, 0.0021, 0)</f>
        <v>43.946999999999996</v>
      </c>
      <c r="C171" s="14">
        <f>43.5126 * CHOOSE(CONTROL!$C$9, $D$9, 100%, $F$9) + CHOOSE(CONTROL!$C$27, 0.0021, 0)</f>
        <v>43.514699999999998</v>
      </c>
      <c r="D171" s="14">
        <f>43.5126 * CHOOSE(CONTROL!$C$9, $D$9, 100%, $F$9) + CHOOSE(CONTROL!$C$27, 0.0021, 0)</f>
        <v>43.514699999999998</v>
      </c>
      <c r="E171" s="14">
        <f>43.376 * CHOOSE(CONTROL!$C$9, $D$9, 100%, $F$9) + CHOOSE(CONTROL!$C$27, 0.0021, 0)</f>
        <v>43.378099999999996</v>
      </c>
      <c r="F171" s="14">
        <f>43.376 * CHOOSE(CONTROL!$C$9, $D$9, 100%, $F$9) + CHOOSE(CONTROL!$C$27, 0.0021, 0)</f>
        <v>43.378099999999996</v>
      </c>
      <c r="G171" s="14">
        <f>43.6474 * CHOOSE(CONTROL!$C$9, $D$9, 100%, $F$9) + CHOOSE(CONTROL!$C$27, 0.0021, 0)</f>
        <v>43.649499999999996</v>
      </c>
      <c r="H171" s="14">
        <f>43.5126 * CHOOSE(CONTROL!$C$9, $D$9, 100%, $F$9) + CHOOSE(CONTROL!$C$27, 0.0021, 0)</f>
        <v>43.514699999999998</v>
      </c>
      <c r="I171" s="14">
        <f>43.5126 * CHOOSE(CONTROL!$C$9, $D$9, 100%, $F$9) + CHOOSE(CONTROL!$C$27, 0.0021, 0)</f>
        <v>43.514699999999998</v>
      </c>
      <c r="J171" s="14">
        <f>43.5126 * CHOOSE(CONTROL!$C$9, $D$9, 100%, $F$9) + CHOOSE(CONTROL!$C$27, 0.0021, 0)</f>
        <v>43.514699999999998</v>
      </c>
      <c r="K171" s="14">
        <f>43.5126 * CHOOSE(CONTROL!$C$9, $D$9, 100%, $F$9) + CHOOSE(CONTROL!$C$27, 0.0021, 0)</f>
        <v>43.514699999999998</v>
      </c>
      <c r="L171" s="14"/>
    </row>
    <row r="172" spans="1:12" ht="15" x14ac:dyDescent="0.2">
      <c r="A172" s="13">
        <v>46143</v>
      </c>
      <c r="B172" s="14">
        <f>44.9072 * CHOOSE(CONTROL!$C$9, $D$9, 100%, $F$9) + CHOOSE(CONTROL!$C$27, 0.0021, 0)</f>
        <v>44.909300000000002</v>
      </c>
      <c r="C172" s="14">
        <f>44.475 * CHOOSE(CONTROL!$C$9, $D$9, 100%, $F$9) + CHOOSE(CONTROL!$C$27, 0.0021, 0)</f>
        <v>44.4771</v>
      </c>
      <c r="D172" s="14">
        <f>44.475 * CHOOSE(CONTROL!$C$9, $D$9, 100%, $F$9) + CHOOSE(CONTROL!$C$27, 0.0021, 0)</f>
        <v>44.4771</v>
      </c>
      <c r="E172" s="14">
        <f>44.3383 * CHOOSE(CONTROL!$C$9, $D$9, 100%, $F$9) + CHOOSE(CONTROL!$C$27, 0.0021, 0)</f>
        <v>44.340399999999995</v>
      </c>
      <c r="F172" s="14">
        <f>44.3383 * CHOOSE(CONTROL!$C$9, $D$9, 100%, $F$9) + CHOOSE(CONTROL!$C$27, 0.0021, 0)</f>
        <v>44.340399999999995</v>
      </c>
      <c r="G172" s="14">
        <f>44.6097 * CHOOSE(CONTROL!$C$9, $D$9, 100%, $F$9) + CHOOSE(CONTROL!$C$27, 0.0021, 0)</f>
        <v>44.611799999999995</v>
      </c>
      <c r="H172" s="14">
        <f>44.475 * CHOOSE(CONTROL!$C$9, $D$9, 100%, $F$9) + CHOOSE(CONTROL!$C$27, 0.0021, 0)</f>
        <v>44.4771</v>
      </c>
      <c r="I172" s="14">
        <f>44.475 * CHOOSE(CONTROL!$C$9, $D$9, 100%, $F$9) + CHOOSE(CONTROL!$C$27, 0.0021, 0)</f>
        <v>44.4771</v>
      </c>
      <c r="J172" s="14">
        <f>44.475 * CHOOSE(CONTROL!$C$9, $D$9, 100%, $F$9) + CHOOSE(CONTROL!$C$27, 0.0021, 0)</f>
        <v>44.4771</v>
      </c>
      <c r="K172" s="14">
        <f>44.475 * CHOOSE(CONTROL!$C$9, $D$9, 100%, $F$9) + CHOOSE(CONTROL!$C$27, 0.0021, 0)</f>
        <v>44.4771</v>
      </c>
      <c r="L172" s="14"/>
    </row>
    <row r="173" spans="1:12" ht="15" x14ac:dyDescent="0.2">
      <c r="A173" s="13">
        <v>46174</v>
      </c>
      <c r="B173" s="14">
        <f>45.5211 * CHOOSE(CONTROL!$C$9, $D$9, 100%, $F$9) + CHOOSE(CONTROL!$C$27, 0.0021, 0)</f>
        <v>45.523199999999996</v>
      </c>
      <c r="C173" s="14">
        <f>45.0888 * CHOOSE(CONTROL!$C$9, $D$9, 100%, $F$9) + CHOOSE(CONTROL!$C$27, 0.0021, 0)</f>
        <v>45.090899999999998</v>
      </c>
      <c r="D173" s="14">
        <f>45.0888 * CHOOSE(CONTROL!$C$9, $D$9, 100%, $F$9) + CHOOSE(CONTROL!$C$27, 0.0021, 0)</f>
        <v>45.090899999999998</v>
      </c>
      <c r="E173" s="14">
        <f>44.9522 * CHOOSE(CONTROL!$C$9, $D$9, 100%, $F$9) + CHOOSE(CONTROL!$C$27, 0.0021, 0)</f>
        <v>44.954299999999996</v>
      </c>
      <c r="F173" s="14">
        <f>44.9522 * CHOOSE(CONTROL!$C$9, $D$9, 100%, $F$9) + CHOOSE(CONTROL!$C$27, 0.0021, 0)</f>
        <v>44.954299999999996</v>
      </c>
      <c r="G173" s="14">
        <f>45.2236 * CHOOSE(CONTROL!$C$9, $D$9, 100%, $F$9) + CHOOSE(CONTROL!$C$27, 0.0021, 0)</f>
        <v>45.225699999999996</v>
      </c>
      <c r="H173" s="14">
        <f>45.0888 * CHOOSE(CONTROL!$C$9, $D$9, 100%, $F$9) + CHOOSE(CONTROL!$C$27, 0.0021, 0)</f>
        <v>45.090899999999998</v>
      </c>
      <c r="I173" s="14">
        <f>45.0888 * CHOOSE(CONTROL!$C$9, $D$9, 100%, $F$9) + CHOOSE(CONTROL!$C$27, 0.0021, 0)</f>
        <v>45.090899999999998</v>
      </c>
      <c r="J173" s="14">
        <f>45.0888 * CHOOSE(CONTROL!$C$9, $D$9, 100%, $F$9) + CHOOSE(CONTROL!$C$27, 0.0021, 0)</f>
        <v>45.090899999999998</v>
      </c>
      <c r="K173" s="14">
        <f>45.0888 * CHOOSE(CONTROL!$C$9, $D$9, 100%, $F$9) + CHOOSE(CONTROL!$C$27, 0.0021, 0)</f>
        <v>45.090899999999998</v>
      </c>
      <c r="L173" s="14"/>
    </row>
    <row r="174" spans="1:12" ht="15" x14ac:dyDescent="0.2">
      <c r="A174" s="13">
        <v>46204</v>
      </c>
      <c r="B174" s="14">
        <f>46.4798 * CHOOSE(CONTROL!$C$9, $D$9, 100%, $F$9) + CHOOSE(CONTROL!$C$27, 0.0021, 0)</f>
        <v>46.481899999999996</v>
      </c>
      <c r="C174" s="14">
        <f>46.0475 * CHOOSE(CONTROL!$C$9, $D$9, 100%, $F$9) + CHOOSE(CONTROL!$C$27, 0.0021, 0)</f>
        <v>46.049599999999998</v>
      </c>
      <c r="D174" s="14">
        <f>46.0475 * CHOOSE(CONTROL!$C$9, $D$9, 100%, $F$9) + CHOOSE(CONTROL!$C$27, 0.0021, 0)</f>
        <v>46.049599999999998</v>
      </c>
      <c r="E174" s="14">
        <f>45.9109 * CHOOSE(CONTROL!$C$9, $D$9, 100%, $F$9) + CHOOSE(CONTROL!$C$27, 0.0021, 0)</f>
        <v>45.912999999999997</v>
      </c>
      <c r="F174" s="14">
        <f>45.9109 * CHOOSE(CONTROL!$C$9, $D$9, 100%, $F$9) + CHOOSE(CONTROL!$C$27, 0.0021, 0)</f>
        <v>45.912999999999997</v>
      </c>
      <c r="G174" s="14">
        <f>46.1822 * CHOOSE(CONTROL!$C$9, $D$9, 100%, $F$9) + CHOOSE(CONTROL!$C$27, 0.0021, 0)</f>
        <v>46.1843</v>
      </c>
      <c r="H174" s="14">
        <f>46.0475 * CHOOSE(CONTROL!$C$9, $D$9, 100%, $F$9) + CHOOSE(CONTROL!$C$27, 0.0021, 0)</f>
        <v>46.049599999999998</v>
      </c>
      <c r="I174" s="14">
        <f>46.0475 * CHOOSE(CONTROL!$C$9, $D$9, 100%, $F$9) + CHOOSE(CONTROL!$C$27, 0.0021, 0)</f>
        <v>46.049599999999998</v>
      </c>
      <c r="J174" s="14">
        <f>46.0475 * CHOOSE(CONTROL!$C$9, $D$9, 100%, $F$9) + CHOOSE(CONTROL!$C$27, 0.0021, 0)</f>
        <v>46.049599999999998</v>
      </c>
      <c r="K174" s="14">
        <f>46.0475 * CHOOSE(CONTROL!$C$9, $D$9, 100%, $F$9) + CHOOSE(CONTROL!$C$27, 0.0021, 0)</f>
        <v>46.049599999999998</v>
      </c>
      <c r="L174" s="14"/>
    </row>
    <row r="175" spans="1:12" ht="15" x14ac:dyDescent="0.2">
      <c r="A175" s="13">
        <v>46235</v>
      </c>
      <c r="B175" s="14">
        <f>46.8368 * CHOOSE(CONTROL!$C$9, $D$9, 100%, $F$9) + CHOOSE(CONTROL!$C$27, 0.0021, 0)</f>
        <v>46.838899999999995</v>
      </c>
      <c r="C175" s="14">
        <f>46.4045 * CHOOSE(CONTROL!$C$9, $D$9, 100%, $F$9) + CHOOSE(CONTROL!$C$27, 0.0021, 0)</f>
        <v>46.406599999999997</v>
      </c>
      <c r="D175" s="14">
        <f>46.4045 * CHOOSE(CONTROL!$C$9, $D$9, 100%, $F$9) + CHOOSE(CONTROL!$C$27, 0.0021, 0)</f>
        <v>46.406599999999997</v>
      </c>
      <c r="E175" s="14">
        <f>46.2679 * CHOOSE(CONTROL!$C$9, $D$9, 100%, $F$9) + CHOOSE(CONTROL!$C$27, 0.0021, 0)</f>
        <v>46.269999999999996</v>
      </c>
      <c r="F175" s="14">
        <f>46.2679 * CHOOSE(CONTROL!$C$9, $D$9, 100%, $F$9) + CHOOSE(CONTROL!$C$27, 0.0021, 0)</f>
        <v>46.269999999999996</v>
      </c>
      <c r="G175" s="14">
        <f>46.5392 * CHOOSE(CONTROL!$C$9, $D$9, 100%, $F$9) + CHOOSE(CONTROL!$C$27, 0.0021, 0)</f>
        <v>46.5413</v>
      </c>
      <c r="H175" s="14">
        <f>46.4045 * CHOOSE(CONTROL!$C$9, $D$9, 100%, $F$9) + CHOOSE(CONTROL!$C$27, 0.0021, 0)</f>
        <v>46.406599999999997</v>
      </c>
      <c r="I175" s="14">
        <f>46.4045 * CHOOSE(CONTROL!$C$9, $D$9, 100%, $F$9) + CHOOSE(CONTROL!$C$27, 0.0021, 0)</f>
        <v>46.406599999999997</v>
      </c>
      <c r="J175" s="14">
        <f>46.4045 * CHOOSE(CONTROL!$C$9, $D$9, 100%, $F$9) + CHOOSE(CONTROL!$C$27, 0.0021, 0)</f>
        <v>46.406599999999997</v>
      </c>
      <c r="K175" s="14">
        <f>46.4045 * CHOOSE(CONTROL!$C$9, $D$9, 100%, $F$9) + CHOOSE(CONTROL!$C$27, 0.0021, 0)</f>
        <v>46.406599999999997</v>
      </c>
      <c r="L175" s="14"/>
    </row>
    <row r="176" spans="1:12" ht="15" x14ac:dyDescent="0.2">
      <c r="A176" s="13">
        <v>46266</v>
      </c>
      <c r="B176" s="14">
        <f>47.8362 * CHOOSE(CONTROL!$C$9, $D$9, 100%, $F$9) + CHOOSE(CONTROL!$C$27, 0.0021, 0)</f>
        <v>47.838299999999997</v>
      </c>
      <c r="C176" s="14">
        <f>47.4039 * CHOOSE(CONTROL!$C$9, $D$9, 100%, $F$9) + CHOOSE(CONTROL!$C$27, 0.0021, 0)</f>
        <v>47.405999999999999</v>
      </c>
      <c r="D176" s="14">
        <f>47.4039 * CHOOSE(CONTROL!$C$9, $D$9, 100%, $F$9) + CHOOSE(CONTROL!$C$27, 0.0021, 0)</f>
        <v>47.405999999999999</v>
      </c>
      <c r="E176" s="14">
        <f>47.2673 * CHOOSE(CONTROL!$C$9, $D$9, 100%, $F$9) + CHOOSE(CONTROL!$C$27, 0.0021, 0)</f>
        <v>47.269399999999997</v>
      </c>
      <c r="F176" s="14">
        <f>47.2673 * CHOOSE(CONTROL!$C$9, $D$9, 100%, $F$9) + CHOOSE(CONTROL!$C$27, 0.0021, 0)</f>
        <v>47.269399999999997</v>
      </c>
      <c r="G176" s="14">
        <f>47.5387 * CHOOSE(CONTROL!$C$9, $D$9, 100%, $F$9) + CHOOSE(CONTROL!$C$27, 0.0021, 0)</f>
        <v>47.540799999999997</v>
      </c>
      <c r="H176" s="14">
        <f>47.4039 * CHOOSE(CONTROL!$C$9, $D$9, 100%, $F$9) + CHOOSE(CONTROL!$C$27, 0.0021, 0)</f>
        <v>47.405999999999999</v>
      </c>
      <c r="I176" s="14">
        <f>47.4039 * CHOOSE(CONTROL!$C$9, $D$9, 100%, $F$9) + CHOOSE(CONTROL!$C$27, 0.0021, 0)</f>
        <v>47.405999999999999</v>
      </c>
      <c r="J176" s="14">
        <f>47.4039 * CHOOSE(CONTROL!$C$9, $D$9, 100%, $F$9) + CHOOSE(CONTROL!$C$27, 0.0021, 0)</f>
        <v>47.405999999999999</v>
      </c>
      <c r="K176" s="14">
        <f>47.4039 * CHOOSE(CONTROL!$C$9, $D$9, 100%, $F$9) + CHOOSE(CONTROL!$C$27, 0.0021, 0)</f>
        <v>47.405999999999999</v>
      </c>
      <c r="L176" s="14"/>
    </row>
    <row r="177" spans="1:12" ht="15" x14ac:dyDescent="0.2">
      <c r="A177" s="13">
        <v>46296</v>
      </c>
      <c r="B177" s="14">
        <f>49.0813 * CHOOSE(CONTROL!$C$9, $D$9, 100%, $F$9) + CHOOSE(CONTROL!$C$27, 0.0021, 0)</f>
        <v>49.083399999999997</v>
      </c>
      <c r="C177" s="14">
        <f>48.6491 * CHOOSE(CONTROL!$C$9, $D$9, 100%, $F$9) + CHOOSE(CONTROL!$C$27, 0.0021, 0)</f>
        <v>48.651199999999996</v>
      </c>
      <c r="D177" s="14">
        <f>48.6491 * CHOOSE(CONTROL!$C$9, $D$9, 100%, $F$9) + CHOOSE(CONTROL!$C$27, 0.0021, 0)</f>
        <v>48.651199999999996</v>
      </c>
      <c r="E177" s="14">
        <f>48.5124 * CHOOSE(CONTROL!$C$9, $D$9, 100%, $F$9) + CHOOSE(CONTROL!$C$27, 0.0021, 0)</f>
        <v>48.514499999999998</v>
      </c>
      <c r="F177" s="14">
        <f>48.5124 * CHOOSE(CONTROL!$C$9, $D$9, 100%, $F$9) + CHOOSE(CONTROL!$C$27, 0.0021, 0)</f>
        <v>48.514499999999998</v>
      </c>
      <c r="G177" s="14">
        <f>48.7838 * CHOOSE(CONTROL!$C$9, $D$9, 100%, $F$9) + CHOOSE(CONTROL!$C$27, 0.0021, 0)</f>
        <v>48.785899999999998</v>
      </c>
      <c r="H177" s="14">
        <f>48.6491 * CHOOSE(CONTROL!$C$9, $D$9, 100%, $F$9) + CHOOSE(CONTROL!$C$27, 0.0021, 0)</f>
        <v>48.651199999999996</v>
      </c>
      <c r="I177" s="14">
        <f>48.6491 * CHOOSE(CONTROL!$C$9, $D$9, 100%, $F$9) + CHOOSE(CONTROL!$C$27, 0.0021, 0)</f>
        <v>48.651199999999996</v>
      </c>
      <c r="J177" s="14">
        <f>48.6491 * CHOOSE(CONTROL!$C$9, $D$9, 100%, $F$9) + CHOOSE(CONTROL!$C$27, 0.0021, 0)</f>
        <v>48.651199999999996</v>
      </c>
      <c r="K177" s="14">
        <f>48.6491 * CHOOSE(CONTROL!$C$9, $D$9, 100%, $F$9) + CHOOSE(CONTROL!$C$27, 0.0021, 0)</f>
        <v>48.651199999999996</v>
      </c>
      <c r="L177" s="14"/>
    </row>
    <row r="178" spans="1:12" ht="15" x14ac:dyDescent="0.2">
      <c r="A178" s="13">
        <v>46327</v>
      </c>
      <c r="B178" s="14">
        <f>49.286 * CHOOSE(CONTROL!$C$9, $D$9, 100%, $F$9) + CHOOSE(CONTROL!$C$27, 0.0021, 0)</f>
        <v>49.2881</v>
      </c>
      <c r="C178" s="14">
        <f>48.8538 * CHOOSE(CONTROL!$C$9, $D$9, 100%, $F$9) + CHOOSE(CONTROL!$C$27, 0.0021, 0)</f>
        <v>48.855899999999998</v>
      </c>
      <c r="D178" s="14">
        <f>48.8538 * CHOOSE(CONTROL!$C$9, $D$9, 100%, $F$9) + CHOOSE(CONTROL!$C$27, 0.0021, 0)</f>
        <v>48.855899999999998</v>
      </c>
      <c r="E178" s="14">
        <f>48.7171 * CHOOSE(CONTROL!$C$9, $D$9, 100%, $F$9) + CHOOSE(CONTROL!$C$27, 0.0021, 0)</f>
        <v>48.719200000000001</v>
      </c>
      <c r="F178" s="14">
        <f>48.7171 * CHOOSE(CONTROL!$C$9, $D$9, 100%, $F$9) + CHOOSE(CONTROL!$C$27, 0.0021, 0)</f>
        <v>48.719200000000001</v>
      </c>
      <c r="G178" s="14">
        <f>48.9885 * CHOOSE(CONTROL!$C$9, $D$9, 100%, $F$9) + CHOOSE(CONTROL!$C$27, 0.0021, 0)</f>
        <v>48.990600000000001</v>
      </c>
      <c r="H178" s="14">
        <f>48.8538 * CHOOSE(CONTROL!$C$9, $D$9, 100%, $F$9) + CHOOSE(CONTROL!$C$27, 0.0021, 0)</f>
        <v>48.855899999999998</v>
      </c>
      <c r="I178" s="14">
        <f>48.8538 * CHOOSE(CONTROL!$C$9, $D$9, 100%, $F$9) + CHOOSE(CONTROL!$C$27, 0.0021, 0)</f>
        <v>48.855899999999998</v>
      </c>
      <c r="J178" s="14">
        <f>48.8538 * CHOOSE(CONTROL!$C$9, $D$9, 100%, $F$9) + CHOOSE(CONTROL!$C$27, 0.0021, 0)</f>
        <v>48.855899999999998</v>
      </c>
      <c r="K178" s="14">
        <f>48.8538 * CHOOSE(CONTROL!$C$9, $D$9, 100%, $F$9) + CHOOSE(CONTROL!$C$27, 0.0021, 0)</f>
        <v>48.855899999999998</v>
      </c>
      <c r="L178" s="14"/>
    </row>
    <row r="179" spans="1:12" ht="15" x14ac:dyDescent="0.2">
      <c r="A179" s="13">
        <v>46357</v>
      </c>
      <c r="B179" s="14">
        <f>48.4595 * CHOOSE(CONTROL!$C$9, $D$9, 100%, $F$9) + CHOOSE(CONTROL!$C$27, 0.0021, 0)</f>
        <v>48.461599999999997</v>
      </c>
      <c r="C179" s="14">
        <f>48.0272 * CHOOSE(CONTROL!$C$9, $D$9, 100%, $F$9) + CHOOSE(CONTROL!$C$27, 0.0021, 0)</f>
        <v>48.029299999999999</v>
      </c>
      <c r="D179" s="14">
        <f>48.0272 * CHOOSE(CONTROL!$C$9, $D$9, 100%, $F$9) + CHOOSE(CONTROL!$C$27, 0.0021, 0)</f>
        <v>48.029299999999999</v>
      </c>
      <c r="E179" s="14">
        <f>47.8906 * CHOOSE(CONTROL!$C$9, $D$9, 100%, $F$9) + CHOOSE(CONTROL!$C$27, 0.0021, 0)</f>
        <v>47.892699999999998</v>
      </c>
      <c r="F179" s="14">
        <f>47.8906 * CHOOSE(CONTROL!$C$9, $D$9, 100%, $F$9) + CHOOSE(CONTROL!$C$27, 0.0021, 0)</f>
        <v>47.892699999999998</v>
      </c>
      <c r="G179" s="14">
        <f>48.162 * CHOOSE(CONTROL!$C$9, $D$9, 100%, $F$9) + CHOOSE(CONTROL!$C$27, 0.0021, 0)</f>
        <v>48.164099999999998</v>
      </c>
      <c r="H179" s="14">
        <f>48.0272 * CHOOSE(CONTROL!$C$9, $D$9, 100%, $F$9) + CHOOSE(CONTROL!$C$27, 0.0021, 0)</f>
        <v>48.029299999999999</v>
      </c>
      <c r="I179" s="14">
        <f>48.0272 * CHOOSE(CONTROL!$C$9, $D$9, 100%, $F$9) + CHOOSE(CONTROL!$C$27, 0.0021, 0)</f>
        <v>48.029299999999999</v>
      </c>
      <c r="J179" s="14">
        <f>48.0272 * CHOOSE(CONTROL!$C$9, $D$9, 100%, $F$9) + CHOOSE(CONTROL!$C$27, 0.0021, 0)</f>
        <v>48.029299999999999</v>
      </c>
      <c r="K179" s="14">
        <f>48.0272 * CHOOSE(CONTROL!$C$9, $D$9, 100%, $F$9) + CHOOSE(CONTROL!$C$27, 0.0021, 0)</f>
        <v>48.029299999999999</v>
      </c>
      <c r="L179" s="14"/>
    </row>
    <row r="180" spans="1:12" ht="15" x14ac:dyDescent="0.2">
      <c r="A180" s="13">
        <v>46388</v>
      </c>
      <c r="B180" s="14">
        <f>48.0427 * CHOOSE(CONTROL!$C$9, $D$9, 100%, $F$9) + CHOOSE(CONTROL!$C$27, 0.0021, 0)</f>
        <v>48.044800000000002</v>
      </c>
      <c r="C180" s="14">
        <f>47.6105 * CHOOSE(CONTROL!$C$9, $D$9, 100%, $F$9) + CHOOSE(CONTROL!$C$27, 0.0021, 0)</f>
        <v>47.6126</v>
      </c>
      <c r="D180" s="14">
        <f>47.6105 * CHOOSE(CONTROL!$C$9, $D$9, 100%, $F$9) + CHOOSE(CONTROL!$C$27, 0.0021, 0)</f>
        <v>47.6126</v>
      </c>
      <c r="E180" s="14">
        <f>47.4738 * CHOOSE(CONTROL!$C$9, $D$9, 100%, $F$9) + CHOOSE(CONTROL!$C$27, 0.0021, 0)</f>
        <v>47.475899999999996</v>
      </c>
      <c r="F180" s="14">
        <f>47.4738 * CHOOSE(CONTROL!$C$9, $D$9, 100%, $F$9) + CHOOSE(CONTROL!$C$27, 0.0021, 0)</f>
        <v>47.475899999999996</v>
      </c>
      <c r="G180" s="14">
        <f>47.7452 * CHOOSE(CONTROL!$C$9, $D$9, 100%, $F$9) + CHOOSE(CONTROL!$C$27, 0.0021, 0)</f>
        <v>47.747299999999996</v>
      </c>
      <c r="H180" s="14">
        <f>47.6105 * CHOOSE(CONTROL!$C$9, $D$9, 100%, $F$9) + CHOOSE(CONTROL!$C$27, 0.0021, 0)</f>
        <v>47.6126</v>
      </c>
      <c r="I180" s="14">
        <f>47.6105 * CHOOSE(CONTROL!$C$9, $D$9, 100%, $F$9) + CHOOSE(CONTROL!$C$27, 0.0021, 0)</f>
        <v>47.6126</v>
      </c>
      <c r="J180" s="14">
        <f>47.6105 * CHOOSE(CONTROL!$C$9, $D$9, 100%, $F$9) + CHOOSE(CONTROL!$C$27, 0.0021, 0)</f>
        <v>47.6126</v>
      </c>
      <c r="K180" s="14">
        <f>47.6105 * CHOOSE(CONTROL!$C$9, $D$9, 100%, $F$9) + CHOOSE(CONTROL!$C$27, 0.0021, 0)</f>
        <v>47.6126</v>
      </c>
      <c r="L180" s="14"/>
    </row>
    <row r="181" spans="1:12" ht="15" x14ac:dyDescent="0.2">
      <c r="A181" s="13">
        <v>46419</v>
      </c>
      <c r="B181" s="14">
        <f>46.8402 * CHOOSE(CONTROL!$C$9, $D$9, 100%, $F$9) + CHOOSE(CONTROL!$C$27, 0.0021, 0)</f>
        <v>46.842300000000002</v>
      </c>
      <c r="C181" s="14">
        <f>46.408 * CHOOSE(CONTROL!$C$9, $D$9, 100%, $F$9) + CHOOSE(CONTROL!$C$27, 0.0021, 0)</f>
        <v>46.4101</v>
      </c>
      <c r="D181" s="14">
        <f>46.408 * CHOOSE(CONTROL!$C$9, $D$9, 100%, $F$9) + CHOOSE(CONTROL!$C$27, 0.0021, 0)</f>
        <v>46.4101</v>
      </c>
      <c r="E181" s="14">
        <f>46.2713 * CHOOSE(CONTROL!$C$9, $D$9, 100%, $F$9) + CHOOSE(CONTROL!$C$27, 0.0021, 0)</f>
        <v>46.273399999999995</v>
      </c>
      <c r="F181" s="14">
        <f>46.2713 * CHOOSE(CONTROL!$C$9, $D$9, 100%, $F$9) + CHOOSE(CONTROL!$C$27, 0.0021, 0)</f>
        <v>46.273399999999995</v>
      </c>
      <c r="G181" s="14">
        <f>46.5427 * CHOOSE(CONTROL!$C$9, $D$9, 100%, $F$9) + CHOOSE(CONTROL!$C$27, 0.0021, 0)</f>
        <v>46.544800000000002</v>
      </c>
      <c r="H181" s="14">
        <f>46.408 * CHOOSE(CONTROL!$C$9, $D$9, 100%, $F$9) + CHOOSE(CONTROL!$C$27, 0.0021, 0)</f>
        <v>46.4101</v>
      </c>
      <c r="I181" s="14">
        <f>46.408 * CHOOSE(CONTROL!$C$9, $D$9, 100%, $F$9) + CHOOSE(CONTROL!$C$27, 0.0021, 0)</f>
        <v>46.4101</v>
      </c>
      <c r="J181" s="14">
        <f>46.408 * CHOOSE(CONTROL!$C$9, $D$9, 100%, $F$9) + CHOOSE(CONTROL!$C$27, 0.0021, 0)</f>
        <v>46.4101</v>
      </c>
      <c r="K181" s="14">
        <f>46.408 * CHOOSE(CONTROL!$C$9, $D$9, 100%, $F$9) + CHOOSE(CONTROL!$C$27, 0.0021, 0)</f>
        <v>46.4101</v>
      </c>
      <c r="L181" s="14"/>
    </row>
    <row r="182" spans="1:12" ht="15" x14ac:dyDescent="0.2">
      <c r="A182" s="13">
        <v>46447</v>
      </c>
      <c r="B182" s="14">
        <f>46.3956 * CHOOSE(CONTROL!$C$9, $D$9, 100%, $F$9) + CHOOSE(CONTROL!$C$27, 0.0021, 0)</f>
        <v>46.3977</v>
      </c>
      <c r="C182" s="14">
        <f>45.9633 * CHOOSE(CONTROL!$C$9, $D$9, 100%, $F$9) + CHOOSE(CONTROL!$C$27, 0.0021, 0)</f>
        <v>45.965399999999995</v>
      </c>
      <c r="D182" s="14">
        <f>45.9633 * CHOOSE(CONTROL!$C$9, $D$9, 100%, $F$9) + CHOOSE(CONTROL!$C$27, 0.0021, 0)</f>
        <v>45.965399999999995</v>
      </c>
      <c r="E182" s="14">
        <f>45.8267 * CHOOSE(CONTROL!$C$9, $D$9, 100%, $F$9) + CHOOSE(CONTROL!$C$27, 0.0021, 0)</f>
        <v>45.828800000000001</v>
      </c>
      <c r="F182" s="14">
        <f>45.8267 * CHOOSE(CONTROL!$C$9, $D$9, 100%, $F$9) + CHOOSE(CONTROL!$C$27, 0.0021, 0)</f>
        <v>45.828800000000001</v>
      </c>
      <c r="G182" s="14">
        <f>46.098 * CHOOSE(CONTROL!$C$9, $D$9, 100%, $F$9) + CHOOSE(CONTROL!$C$27, 0.0021, 0)</f>
        <v>46.100099999999998</v>
      </c>
      <c r="H182" s="14">
        <f>45.9633 * CHOOSE(CONTROL!$C$9, $D$9, 100%, $F$9) + CHOOSE(CONTROL!$C$27, 0.0021, 0)</f>
        <v>45.965399999999995</v>
      </c>
      <c r="I182" s="14">
        <f>45.9633 * CHOOSE(CONTROL!$C$9, $D$9, 100%, $F$9) + CHOOSE(CONTROL!$C$27, 0.0021, 0)</f>
        <v>45.965399999999995</v>
      </c>
      <c r="J182" s="14">
        <f>45.9633 * CHOOSE(CONTROL!$C$9, $D$9, 100%, $F$9) + CHOOSE(CONTROL!$C$27, 0.0021, 0)</f>
        <v>45.965399999999995</v>
      </c>
      <c r="K182" s="14">
        <f>45.9633 * CHOOSE(CONTROL!$C$9, $D$9, 100%, $F$9) + CHOOSE(CONTROL!$C$27, 0.0021, 0)</f>
        <v>45.965399999999995</v>
      </c>
      <c r="L182" s="14"/>
    </row>
    <row r="183" spans="1:12" ht="15" x14ac:dyDescent="0.2">
      <c r="A183" s="13">
        <v>46478</v>
      </c>
      <c r="B183" s="14">
        <f>45.8446 * CHOOSE(CONTROL!$C$9, $D$9, 100%, $F$9) + CHOOSE(CONTROL!$C$27, 0.0021, 0)</f>
        <v>45.846699999999998</v>
      </c>
      <c r="C183" s="14">
        <f>45.4124 * CHOOSE(CONTROL!$C$9, $D$9, 100%, $F$9) + CHOOSE(CONTROL!$C$27, 0.0021, 0)</f>
        <v>45.414499999999997</v>
      </c>
      <c r="D183" s="14">
        <f>45.4124 * CHOOSE(CONTROL!$C$9, $D$9, 100%, $F$9) + CHOOSE(CONTROL!$C$27, 0.0021, 0)</f>
        <v>45.414499999999997</v>
      </c>
      <c r="E183" s="14">
        <f>45.2757 * CHOOSE(CONTROL!$C$9, $D$9, 100%, $F$9) + CHOOSE(CONTROL!$C$27, 0.0021, 0)</f>
        <v>45.277799999999999</v>
      </c>
      <c r="F183" s="14">
        <f>45.2757 * CHOOSE(CONTROL!$C$9, $D$9, 100%, $F$9) + CHOOSE(CONTROL!$C$27, 0.0021, 0)</f>
        <v>45.277799999999999</v>
      </c>
      <c r="G183" s="14">
        <f>45.5471 * CHOOSE(CONTROL!$C$9, $D$9, 100%, $F$9) + CHOOSE(CONTROL!$C$27, 0.0021, 0)</f>
        <v>45.549199999999999</v>
      </c>
      <c r="H183" s="14">
        <f>45.4124 * CHOOSE(CONTROL!$C$9, $D$9, 100%, $F$9) + CHOOSE(CONTROL!$C$27, 0.0021, 0)</f>
        <v>45.414499999999997</v>
      </c>
      <c r="I183" s="14">
        <f>45.4124 * CHOOSE(CONTROL!$C$9, $D$9, 100%, $F$9) + CHOOSE(CONTROL!$C$27, 0.0021, 0)</f>
        <v>45.414499999999997</v>
      </c>
      <c r="J183" s="14">
        <f>45.4124 * CHOOSE(CONTROL!$C$9, $D$9, 100%, $F$9) + CHOOSE(CONTROL!$C$27, 0.0021, 0)</f>
        <v>45.414499999999997</v>
      </c>
      <c r="K183" s="14">
        <f>45.4124 * CHOOSE(CONTROL!$C$9, $D$9, 100%, $F$9) + CHOOSE(CONTROL!$C$27, 0.0021, 0)</f>
        <v>45.414499999999997</v>
      </c>
      <c r="L183" s="14"/>
    </row>
    <row r="184" spans="1:12" ht="15" x14ac:dyDescent="0.2">
      <c r="A184" s="13">
        <v>46508</v>
      </c>
      <c r="B184" s="14">
        <f>46.8509 * CHOOSE(CONTROL!$C$9, $D$9, 100%, $F$9) + CHOOSE(CONTROL!$C$27, 0.0021, 0)</f>
        <v>46.853000000000002</v>
      </c>
      <c r="C184" s="14">
        <f>46.4186 * CHOOSE(CONTROL!$C$9, $D$9, 100%, $F$9) + CHOOSE(CONTROL!$C$27, 0.0021, 0)</f>
        <v>46.420699999999997</v>
      </c>
      <c r="D184" s="14">
        <f>46.4186 * CHOOSE(CONTROL!$C$9, $D$9, 100%, $F$9) + CHOOSE(CONTROL!$C$27, 0.0021, 0)</f>
        <v>46.420699999999997</v>
      </c>
      <c r="E184" s="14">
        <f>46.2819 * CHOOSE(CONTROL!$C$9, $D$9, 100%, $F$9) + CHOOSE(CONTROL!$C$27, 0.0021, 0)</f>
        <v>46.283999999999999</v>
      </c>
      <c r="F184" s="14">
        <f>46.2819 * CHOOSE(CONTROL!$C$9, $D$9, 100%, $F$9) + CHOOSE(CONTROL!$C$27, 0.0021, 0)</f>
        <v>46.283999999999999</v>
      </c>
      <c r="G184" s="14">
        <f>46.5533 * CHOOSE(CONTROL!$C$9, $D$9, 100%, $F$9) + CHOOSE(CONTROL!$C$27, 0.0021, 0)</f>
        <v>46.555399999999999</v>
      </c>
      <c r="H184" s="14">
        <f>46.4186 * CHOOSE(CONTROL!$C$9, $D$9, 100%, $F$9) + CHOOSE(CONTROL!$C$27, 0.0021, 0)</f>
        <v>46.420699999999997</v>
      </c>
      <c r="I184" s="14">
        <f>46.4186 * CHOOSE(CONTROL!$C$9, $D$9, 100%, $F$9) + CHOOSE(CONTROL!$C$27, 0.0021, 0)</f>
        <v>46.420699999999997</v>
      </c>
      <c r="J184" s="14">
        <f>46.4186 * CHOOSE(CONTROL!$C$9, $D$9, 100%, $F$9) + CHOOSE(CONTROL!$C$27, 0.0021, 0)</f>
        <v>46.420699999999997</v>
      </c>
      <c r="K184" s="14">
        <f>46.4186 * CHOOSE(CONTROL!$C$9, $D$9, 100%, $F$9) + CHOOSE(CONTROL!$C$27, 0.0021, 0)</f>
        <v>46.420699999999997</v>
      </c>
      <c r="L184" s="14"/>
    </row>
    <row r="185" spans="1:12" ht="15" x14ac:dyDescent="0.2">
      <c r="A185" s="13">
        <v>46539</v>
      </c>
      <c r="B185" s="14">
        <f>47.4927 * CHOOSE(CONTROL!$C$9, $D$9, 100%, $F$9) + CHOOSE(CONTROL!$C$27, 0.0021, 0)</f>
        <v>47.494799999999998</v>
      </c>
      <c r="C185" s="14">
        <f>47.0605 * CHOOSE(CONTROL!$C$9, $D$9, 100%, $F$9) + CHOOSE(CONTROL!$C$27, 0.0021, 0)</f>
        <v>47.062599999999996</v>
      </c>
      <c r="D185" s="14">
        <f>47.0605 * CHOOSE(CONTROL!$C$9, $D$9, 100%, $F$9) + CHOOSE(CONTROL!$C$27, 0.0021, 0)</f>
        <v>47.062599999999996</v>
      </c>
      <c r="E185" s="14">
        <f>46.9238 * CHOOSE(CONTROL!$C$9, $D$9, 100%, $F$9) + CHOOSE(CONTROL!$C$27, 0.0021, 0)</f>
        <v>46.925899999999999</v>
      </c>
      <c r="F185" s="14">
        <f>46.9238 * CHOOSE(CONTROL!$C$9, $D$9, 100%, $F$9) + CHOOSE(CONTROL!$C$27, 0.0021, 0)</f>
        <v>46.925899999999999</v>
      </c>
      <c r="G185" s="14">
        <f>47.1952 * CHOOSE(CONTROL!$C$9, $D$9, 100%, $F$9) + CHOOSE(CONTROL!$C$27, 0.0021, 0)</f>
        <v>47.197299999999998</v>
      </c>
      <c r="H185" s="14">
        <f>47.0605 * CHOOSE(CONTROL!$C$9, $D$9, 100%, $F$9) + CHOOSE(CONTROL!$C$27, 0.0021, 0)</f>
        <v>47.062599999999996</v>
      </c>
      <c r="I185" s="14">
        <f>47.0605 * CHOOSE(CONTROL!$C$9, $D$9, 100%, $F$9) + CHOOSE(CONTROL!$C$27, 0.0021, 0)</f>
        <v>47.062599999999996</v>
      </c>
      <c r="J185" s="14">
        <f>47.0605 * CHOOSE(CONTROL!$C$9, $D$9, 100%, $F$9) + CHOOSE(CONTROL!$C$27, 0.0021, 0)</f>
        <v>47.062599999999996</v>
      </c>
      <c r="K185" s="14">
        <f>47.0605 * CHOOSE(CONTROL!$C$9, $D$9, 100%, $F$9) + CHOOSE(CONTROL!$C$27, 0.0021, 0)</f>
        <v>47.062599999999996</v>
      </c>
      <c r="L185" s="14"/>
    </row>
    <row r="186" spans="1:12" ht="15" x14ac:dyDescent="0.2">
      <c r="A186" s="13">
        <v>46569</v>
      </c>
      <c r="B186" s="14">
        <f>48.4951 * CHOOSE(CONTROL!$C$9, $D$9, 100%, $F$9) + CHOOSE(CONTROL!$C$27, 0.0021, 0)</f>
        <v>48.497199999999999</v>
      </c>
      <c r="C186" s="14">
        <f>48.0629 * CHOOSE(CONTROL!$C$9, $D$9, 100%, $F$9) + CHOOSE(CONTROL!$C$27, 0.0021, 0)</f>
        <v>48.064999999999998</v>
      </c>
      <c r="D186" s="14">
        <f>48.0629 * CHOOSE(CONTROL!$C$9, $D$9, 100%, $F$9) + CHOOSE(CONTROL!$C$27, 0.0021, 0)</f>
        <v>48.064999999999998</v>
      </c>
      <c r="E186" s="14">
        <f>47.9262 * CHOOSE(CONTROL!$C$9, $D$9, 100%, $F$9) + CHOOSE(CONTROL!$C$27, 0.0021, 0)</f>
        <v>47.9283</v>
      </c>
      <c r="F186" s="14">
        <f>47.9262 * CHOOSE(CONTROL!$C$9, $D$9, 100%, $F$9) + CHOOSE(CONTROL!$C$27, 0.0021, 0)</f>
        <v>47.9283</v>
      </c>
      <c r="G186" s="14">
        <f>48.1976 * CHOOSE(CONTROL!$C$9, $D$9, 100%, $F$9) + CHOOSE(CONTROL!$C$27, 0.0021, 0)</f>
        <v>48.1997</v>
      </c>
      <c r="H186" s="14">
        <f>48.0629 * CHOOSE(CONTROL!$C$9, $D$9, 100%, $F$9) + CHOOSE(CONTROL!$C$27, 0.0021, 0)</f>
        <v>48.064999999999998</v>
      </c>
      <c r="I186" s="14">
        <f>48.0629 * CHOOSE(CONTROL!$C$9, $D$9, 100%, $F$9) + CHOOSE(CONTROL!$C$27, 0.0021, 0)</f>
        <v>48.064999999999998</v>
      </c>
      <c r="J186" s="14">
        <f>48.0629 * CHOOSE(CONTROL!$C$9, $D$9, 100%, $F$9) + CHOOSE(CONTROL!$C$27, 0.0021, 0)</f>
        <v>48.064999999999998</v>
      </c>
      <c r="K186" s="14">
        <f>48.0629 * CHOOSE(CONTROL!$C$9, $D$9, 100%, $F$9) + CHOOSE(CONTROL!$C$27, 0.0021, 0)</f>
        <v>48.064999999999998</v>
      </c>
      <c r="L186" s="14"/>
    </row>
    <row r="187" spans="1:12" ht="15" x14ac:dyDescent="0.2">
      <c r="A187" s="13">
        <v>46600</v>
      </c>
      <c r="B187" s="14">
        <f>48.8684 * CHOOSE(CONTROL!$C$9, $D$9, 100%, $F$9) + CHOOSE(CONTROL!$C$27, 0.0021, 0)</f>
        <v>48.8705</v>
      </c>
      <c r="C187" s="14">
        <f>48.4362 * CHOOSE(CONTROL!$C$9, $D$9, 100%, $F$9) + CHOOSE(CONTROL!$C$27, 0.0021, 0)</f>
        <v>48.438299999999998</v>
      </c>
      <c r="D187" s="14">
        <f>48.4362 * CHOOSE(CONTROL!$C$9, $D$9, 100%, $F$9) + CHOOSE(CONTROL!$C$27, 0.0021, 0)</f>
        <v>48.438299999999998</v>
      </c>
      <c r="E187" s="14">
        <f>48.2995 * CHOOSE(CONTROL!$C$9, $D$9, 100%, $F$9) + CHOOSE(CONTROL!$C$27, 0.0021, 0)</f>
        <v>48.301600000000001</v>
      </c>
      <c r="F187" s="14">
        <f>48.2995 * CHOOSE(CONTROL!$C$9, $D$9, 100%, $F$9) + CHOOSE(CONTROL!$C$27, 0.0021, 0)</f>
        <v>48.301600000000001</v>
      </c>
      <c r="G187" s="14">
        <f>48.5709 * CHOOSE(CONTROL!$C$9, $D$9, 100%, $F$9) + CHOOSE(CONTROL!$C$27, 0.0021, 0)</f>
        <v>48.573</v>
      </c>
      <c r="H187" s="14">
        <f>48.4362 * CHOOSE(CONTROL!$C$9, $D$9, 100%, $F$9) + CHOOSE(CONTROL!$C$27, 0.0021, 0)</f>
        <v>48.438299999999998</v>
      </c>
      <c r="I187" s="14">
        <f>48.4362 * CHOOSE(CONTROL!$C$9, $D$9, 100%, $F$9) + CHOOSE(CONTROL!$C$27, 0.0021, 0)</f>
        <v>48.438299999999998</v>
      </c>
      <c r="J187" s="14">
        <f>48.4362 * CHOOSE(CONTROL!$C$9, $D$9, 100%, $F$9) + CHOOSE(CONTROL!$C$27, 0.0021, 0)</f>
        <v>48.438299999999998</v>
      </c>
      <c r="K187" s="14">
        <f>48.4362 * CHOOSE(CONTROL!$C$9, $D$9, 100%, $F$9) + CHOOSE(CONTROL!$C$27, 0.0021, 0)</f>
        <v>48.438299999999998</v>
      </c>
      <c r="L187" s="14"/>
    </row>
    <row r="188" spans="1:12" ht="15" x14ac:dyDescent="0.2">
      <c r="A188" s="13">
        <v>46631</v>
      </c>
      <c r="B188" s="14">
        <f>49.9134 * CHOOSE(CONTROL!$C$9, $D$9, 100%, $F$9) + CHOOSE(CONTROL!$C$27, 0.0021, 0)</f>
        <v>49.915500000000002</v>
      </c>
      <c r="C188" s="14">
        <f>49.4812 * CHOOSE(CONTROL!$C$9, $D$9, 100%, $F$9) + CHOOSE(CONTROL!$C$27, 0.0021, 0)</f>
        <v>49.4833</v>
      </c>
      <c r="D188" s="14">
        <f>49.4812 * CHOOSE(CONTROL!$C$9, $D$9, 100%, $F$9) + CHOOSE(CONTROL!$C$27, 0.0021, 0)</f>
        <v>49.4833</v>
      </c>
      <c r="E188" s="14">
        <f>49.3445 * CHOOSE(CONTROL!$C$9, $D$9, 100%, $F$9) + CHOOSE(CONTROL!$C$27, 0.0021, 0)</f>
        <v>49.346599999999995</v>
      </c>
      <c r="F188" s="14">
        <f>49.3445 * CHOOSE(CONTROL!$C$9, $D$9, 100%, $F$9) + CHOOSE(CONTROL!$C$27, 0.0021, 0)</f>
        <v>49.346599999999995</v>
      </c>
      <c r="G188" s="14">
        <f>49.6159 * CHOOSE(CONTROL!$C$9, $D$9, 100%, $F$9) + CHOOSE(CONTROL!$C$27, 0.0021, 0)</f>
        <v>49.618000000000002</v>
      </c>
      <c r="H188" s="14">
        <f>49.4812 * CHOOSE(CONTROL!$C$9, $D$9, 100%, $F$9) + CHOOSE(CONTROL!$C$27, 0.0021, 0)</f>
        <v>49.4833</v>
      </c>
      <c r="I188" s="14">
        <f>49.4812 * CHOOSE(CONTROL!$C$9, $D$9, 100%, $F$9) + CHOOSE(CONTROL!$C$27, 0.0021, 0)</f>
        <v>49.4833</v>
      </c>
      <c r="J188" s="14">
        <f>49.4812 * CHOOSE(CONTROL!$C$9, $D$9, 100%, $F$9) + CHOOSE(CONTROL!$C$27, 0.0021, 0)</f>
        <v>49.4833</v>
      </c>
      <c r="K188" s="14">
        <f>49.4812 * CHOOSE(CONTROL!$C$9, $D$9, 100%, $F$9) + CHOOSE(CONTROL!$C$27, 0.0021, 0)</f>
        <v>49.4833</v>
      </c>
      <c r="L188" s="14"/>
    </row>
    <row r="189" spans="1:12" ht="15" x14ac:dyDescent="0.2">
      <c r="A189" s="13">
        <v>46661</v>
      </c>
      <c r="B189" s="14">
        <f>51.2153 * CHOOSE(CONTROL!$C$9, $D$9, 100%, $F$9) + CHOOSE(CONTROL!$C$27, 0.0021, 0)</f>
        <v>51.217399999999998</v>
      </c>
      <c r="C189" s="14">
        <f>50.7831 * CHOOSE(CONTROL!$C$9, $D$9, 100%, $F$9) + CHOOSE(CONTROL!$C$27, 0.0021, 0)</f>
        <v>50.785199999999996</v>
      </c>
      <c r="D189" s="14">
        <f>50.7831 * CHOOSE(CONTROL!$C$9, $D$9, 100%, $F$9) + CHOOSE(CONTROL!$C$27, 0.0021, 0)</f>
        <v>50.785199999999996</v>
      </c>
      <c r="E189" s="14">
        <f>50.6464 * CHOOSE(CONTROL!$C$9, $D$9, 100%, $F$9) + CHOOSE(CONTROL!$C$27, 0.0021, 0)</f>
        <v>50.648499999999999</v>
      </c>
      <c r="F189" s="14">
        <f>50.6464 * CHOOSE(CONTROL!$C$9, $D$9, 100%, $F$9) + CHOOSE(CONTROL!$C$27, 0.0021, 0)</f>
        <v>50.648499999999999</v>
      </c>
      <c r="G189" s="14">
        <f>50.9178 * CHOOSE(CONTROL!$C$9, $D$9, 100%, $F$9) + CHOOSE(CONTROL!$C$27, 0.0021, 0)</f>
        <v>50.919899999999998</v>
      </c>
      <c r="H189" s="14">
        <f>50.7831 * CHOOSE(CONTROL!$C$9, $D$9, 100%, $F$9) + CHOOSE(CONTROL!$C$27, 0.0021, 0)</f>
        <v>50.785199999999996</v>
      </c>
      <c r="I189" s="14">
        <f>50.7831 * CHOOSE(CONTROL!$C$9, $D$9, 100%, $F$9) + CHOOSE(CONTROL!$C$27, 0.0021, 0)</f>
        <v>50.785199999999996</v>
      </c>
      <c r="J189" s="14">
        <f>50.7831 * CHOOSE(CONTROL!$C$9, $D$9, 100%, $F$9) + CHOOSE(CONTROL!$C$27, 0.0021, 0)</f>
        <v>50.785199999999996</v>
      </c>
      <c r="K189" s="14">
        <f>50.7831 * CHOOSE(CONTROL!$C$9, $D$9, 100%, $F$9) + CHOOSE(CONTROL!$C$27, 0.0021, 0)</f>
        <v>50.785199999999996</v>
      </c>
      <c r="L189" s="14"/>
    </row>
    <row r="190" spans="1:12" ht="15" x14ac:dyDescent="0.2">
      <c r="A190" s="13">
        <v>46692</v>
      </c>
      <c r="B190" s="14">
        <f>51.4294 * CHOOSE(CONTROL!$C$9, $D$9, 100%, $F$9) + CHOOSE(CONTROL!$C$27, 0.0021, 0)</f>
        <v>51.4315</v>
      </c>
      <c r="C190" s="14">
        <f>50.9971 * CHOOSE(CONTROL!$C$9, $D$9, 100%, $F$9) + CHOOSE(CONTROL!$C$27, 0.0021, 0)</f>
        <v>50.999200000000002</v>
      </c>
      <c r="D190" s="14">
        <f>50.9971 * CHOOSE(CONTROL!$C$9, $D$9, 100%, $F$9) + CHOOSE(CONTROL!$C$27, 0.0021, 0)</f>
        <v>50.999200000000002</v>
      </c>
      <c r="E190" s="14">
        <f>50.8605 * CHOOSE(CONTROL!$C$9, $D$9, 100%, $F$9) + CHOOSE(CONTROL!$C$27, 0.0021, 0)</f>
        <v>50.8626</v>
      </c>
      <c r="F190" s="14">
        <f>50.8605 * CHOOSE(CONTROL!$C$9, $D$9, 100%, $F$9) + CHOOSE(CONTROL!$C$27, 0.0021, 0)</f>
        <v>50.8626</v>
      </c>
      <c r="G190" s="14">
        <f>51.1318 * CHOOSE(CONTROL!$C$9, $D$9, 100%, $F$9) + CHOOSE(CONTROL!$C$27, 0.0021, 0)</f>
        <v>51.133899999999997</v>
      </c>
      <c r="H190" s="14">
        <f>50.9971 * CHOOSE(CONTROL!$C$9, $D$9, 100%, $F$9) + CHOOSE(CONTROL!$C$27, 0.0021, 0)</f>
        <v>50.999200000000002</v>
      </c>
      <c r="I190" s="14">
        <f>50.9971 * CHOOSE(CONTROL!$C$9, $D$9, 100%, $F$9) + CHOOSE(CONTROL!$C$27, 0.0021, 0)</f>
        <v>50.999200000000002</v>
      </c>
      <c r="J190" s="14">
        <f>50.9971 * CHOOSE(CONTROL!$C$9, $D$9, 100%, $F$9) + CHOOSE(CONTROL!$C$27, 0.0021, 0)</f>
        <v>50.999200000000002</v>
      </c>
      <c r="K190" s="14">
        <f>50.9971 * CHOOSE(CONTROL!$C$9, $D$9, 100%, $F$9) + CHOOSE(CONTROL!$C$27, 0.0021, 0)</f>
        <v>50.999200000000002</v>
      </c>
      <c r="L190" s="14"/>
    </row>
    <row r="191" spans="1:12" ht="15" x14ac:dyDescent="0.2">
      <c r="A191" s="13">
        <v>46722</v>
      </c>
      <c r="B191" s="14">
        <f>50.5651 * CHOOSE(CONTROL!$C$9, $D$9, 100%, $F$9) + CHOOSE(CONTROL!$C$27, 0.0021, 0)</f>
        <v>50.5672</v>
      </c>
      <c r="C191" s="14">
        <f>50.1329 * CHOOSE(CONTROL!$C$9, $D$9, 100%, $F$9) + CHOOSE(CONTROL!$C$27, 0.0021, 0)</f>
        <v>50.134999999999998</v>
      </c>
      <c r="D191" s="14">
        <f>50.1329 * CHOOSE(CONTROL!$C$9, $D$9, 100%, $F$9) + CHOOSE(CONTROL!$C$27, 0.0021, 0)</f>
        <v>50.134999999999998</v>
      </c>
      <c r="E191" s="14">
        <f>49.9962 * CHOOSE(CONTROL!$C$9, $D$9, 100%, $F$9) + CHOOSE(CONTROL!$C$27, 0.0021, 0)</f>
        <v>49.9983</v>
      </c>
      <c r="F191" s="14">
        <f>49.9962 * CHOOSE(CONTROL!$C$9, $D$9, 100%, $F$9) + CHOOSE(CONTROL!$C$27, 0.0021, 0)</f>
        <v>49.9983</v>
      </c>
      <c r="G191" s="14">
        <f>50.2676 * CHOOSE(CONTROL!$C$9, $D$9, 100%, $F$9) + CHOOSE(CONTROL!$C$27, 0.0021, 0)</f>
        <v>50.2697</v>
      </c>
      <c r="H191" s="14">
        <f>50.1329 * CHOOSE(CONTROL!$C$9, $D$9, 100%, $F$9) + CHOOSE(CONTROL!$C$27, 0.0021, 0)</f>
        <v>50.134999999999998</v>
      </c>
      <c r="I191" s="14">
        <f>50.1329 * CHOOSE(CONTROL!$C$9, $D$9, 100%, $F$9) + CHOOSE(CONTROL!$C$27, 0.0021, 0)</f>
        <v>50.134999999999998</v>
      </c>
      <c r="J191" s="14">
        <f>50.1329 * CHOOSE(CONTROL!$C$9, $D$9, 100%, $F$9) + CHOOSE(CONTROL!$C$27, 0.0021, 0)</f>
        <v>50.134999999999998</v>
      </c>
      <c r="K191" s="14">
        <f>50.1329 * CHOOSE(CONTROL!$C$9, $D$9, 100%, $F$9) + CHOOSE(CONTROL!$C$27, 0.0021, 0)</f>
        <v>50.134999999999998</v>
      </c>
      <c r="L191" s="14"/>
    </row>
    <row r="192" spans="1:12" ht="15" x14ac:dyDescent="0.2">
      <c r="A192" s="13">
        <v>46753</v>
      </c>
      <c r="B192" s="14">
        <f>50.036 * CHOOSE(CONTROL!$C$9, $D$9, 100%, $F$9) + CHOOSE(CONTROL!$C$27, 0.0021, 0)</f>
        <v>50.0381</v>
      </c>
      <c r="C192" s="14">
        <f>49.6038 * CHOOSE(CONTROL!$C$9, $D$9, 100%, $F$9) + CHOOSE(CONTROL!$C$27, 0.0021, 0)</f>
        <v>49.605899999999998</v>
      </c>
      <c r="D192" s="14">
        <f>49.6038 * CHOOSE(CONTROL!$C$9, $D$9, 100%, $F$9) + CHOOSE(CONTROL!$C$27, 0.0021, 0)</f>
        <v>49.605899999999998</v>
      </c>
      <c r="E192" s="14">
        <f>49.4671 * CHOOSE(CONTROL!$C$9, $D$9, 100%, $F$9) + CHOOSE(CONTROL!$C$27, 0.0021, 0)</f>
        <v>49.469200000000001</v>
      </c>
      <c r="F192" s="14">
        <f>49.4671 * CHOOSE(CONTROL!$C$9, $D$9, 100%, $F$9) + CHOOSE(CONTROL!$C$27, 0.0021, 0)</f>
        <v>49.469200000000001</v>
      </c>
      <c r="G192" s="14">
        <f>49.7385 * CHOOSE(CONTROL!$C$9, $D$9, 100%, $F$9) + CHOOSE(CONTROL!$C$27, 0.0021, 0)</f>
        <v>49.740600000000001</v>
      </c>
      <c r="H192" s="14">
        <f>49.6038 * CHOOSE(CONTROL!$C$9, $D$9, 100%, $F$9) + CHOOSE(CONTROL!$C$27, 0.0021, 0)</f>
        <v>49.605899999999998</v>
      </c>
      <c r="I192" s="14">
        <f>49.6038 * CHOOSE(CONTROL!$C$9, $D$9, 100%, $F$9) + CHOOSE(CONTROL!$C$27, 0.0021, 0)</f>
        <v>49.605899999999998</v>
      </c>
      <c r="J192" s="14">
        <f>49.6038 * CHOOSE(CONTROL!$C$9, $D$9, 100%, $F$9) + CHOOSE(CONTROL!$C$27, 0.0021, 0)</f>
        <v>49.605899999999998</v>
      </c>
      <c r="K192" s="14">
        <f>49.6038 * CHOOSE(CONTROL!$C$9, $D$9, 100%, $F$9) + CHOOSE(CONTROL!$C$27, 0.0021, 0)</f>
        <v>49.605899999999998</v>
      </c>
      <c r="L192" s="14"/>
    </row>
    <row r="193" spans="1:12" ht="15" x14ac:dyDescent="0.2">
      <c r="A193" s="13">
        <v>46784</v>
      </c>
      <c r="B193" s="14">
        <f>48.7811 * CHOOSE(CONTROL!$C$9, $D$9, 100%, $F$9) + CHOOSE(CONTROL!$C$27, 0.0021, 0)</f>
        <v>48.783200000000001</v>
      </c>
      <c r="C193" s="14">
        <f>48.3489 * CHOOSE(CONTROL!$C$9, $D$9, 100%, $F$9) + CHOOSE(CONTROL!$C$27, 0.0021, 0)</f>
        <v>48.350999999999999</v>
      </c>
      <c r="D193" s="14">
        <f>48.3489 * CHOOSE(CONTROL!$C$9, $D$9, 100%, $F$9) + CHOOSE(CONTROL!$C$27, 0.0021, 0)</f>
        <v>48.350999999999999</v>
      </c>
      <c r="E193" s="14">
        <f>48.2122 * CHOOSE(CONTROL!$C$9, $D$9, 100%, $F$9) + CHOOSE(CONTROL!$C$27, 0.0021, 0)</f>
        <v>48.214300000000001</v>
      </c>
      <c r="F193" s="14">
        <f>48.2122 * CHOOSE(CONTROL!$C$9, $D$9, 100%, $F$9) + CHOOSE(CONTROL!$C$27, 0.0021, 0)</f>
        <v>48.214300000000001</v>
      </c>
      <c r="G193" s="14">
        <f>48.4836 * CHOOSE(CONTROL!$C$9, $D$9, 100%, $F$9) + CHOOSE(CONTROL!$C$27, 0.0021, 0)</f>
        <v>48.485700000000001</v>
      </c>
      <c r="H193" s="14">
        <f>48.3489 * CHOOSE(CONTROL!$C$9, $D$9, 100%, $F$9) + CHOOSE(CONTROL!$C$27, 0.0021, 0)</f>
        <v>48.350999999999999</v>
      </c>
      <c r="I193" s="14">
        <f>48.3489 * CHOOSE(CONTROL!$C$9, $D$9, 100%, $F$9) + CHOOSE(CONTROL!$C$27, 0.0021, 0)</f>
        <v>48.350999999999999</v>
      </c>
      <c r="J193" s="14">
        <f>48.3489 * CHOOSE(CONTROL!$C$9, $D$9, 100%, $F$9) + CHOOSE(CONTROL!$C$27, 0.0021, 0)</f>
        <v>48.350999999999999</v>
      </c>
      <c r="K193" s="14">
        <f>48.3489 * CHOOSE(CONTROL!$C$9, $D$9, 100%, $F$9) + CHOOSE(CONTROL!$C$27, 0.0021, 0)</f>
        <v>48.350999999999999</v>
      </c>
      <c r="L193" s="14"/>
    </row>
    <row r="194" spans="1:12" ht="15" x14ac:dyDescent="0.2">
      <c r="A194" s="13">
        <v>46813</v>
      </c>
      <c r="B194" s="14">
        <f>48.3171 * CHOOSE(CONTROL!$C$9, $D$9, 100%, $F$9) + CHOOSE(CONTROL!$C$27, 0.0021, 0)</f>
        <v>48.319200000000002</v>
      </c>
      <c r="C194" s="14">
        <f>47.8849 * CHOOSE(CONTROL!$C$9, $D$9, 100%, $F$9) + CHOOSE(CONTROL!$C$27, 0.0021, 0)</f>
        <v>47.887</v>
      </c>
      <c r="D194" s="14">
        <f>47.8849 * CHOOSE(CONTROL!$C$9, $D$9, 100%, $F$9) + CHOOSE(CONTROL!$C$27, 0.0021, 0)</f>
        <v>47.887</v>
      </c>
      <c r="E194" s="14">
        <f>47.7482 * CHOOSE(CONTROL!$C$9, $D$9, 100%, $F$9) + CHOOSE(CONTROL!$C$27, 0.0021, 0)</f>
        <v>47.750299999999996</v>
      </c>
      <c r="F194" s="14">
        <f>47.7482 * CHOOSE(CONTROL!$C$9, $D$9, 100%, $F$9) + CHOOSE(CONTROL!$C$27, 0.0021, 0)</f>
        <v>47.750299999999996</v>
      </c>
      <c r="G194" s="14">
        <f>48.0196 * CHOOSE(CONTROL!$C$9, $D$9, 100%, $F$9) + CHOOSE(CONTROL!$C$27, 0.0021, 0)</f>
        <v>48.021699999999996</v>
      </c>
      <c r="H194" s="14">
        <f>47.8849 * CHOOSE(CONTROL!$C$9, $D$9, 100%, $F$9) + CHOOSE(CONTROL!$C$27, 0.0021, 0)</f>
        <v>47.887</v>
      </c>
      <c r="I194" s="14">
        <f>47.8849 * CHOOSE(CONTROL!$C$9, $D$9, 100%, $F$9) + CHOOSE(CONTROL!$C$27, 0.0021, 0)</f>
        <v>47.887</v>
      </c>
      <c r="J194" s="14">
        <f>47.8849 * CHOOSE(CONTROL!$C$9, $D$9, 100%, $F$9) + CHOOSE(CONTROL!$C$27, 0.0021, 0)</f>
        <v>47.887</v>
      </c>
      <c r="K194" s="14">
        <f>47.8849 * CHOOSE(CONTROL!$C$9, $D$9, 100%, $F$9) + CHOOSE(CONTROL!$C$27, 0.0021, 0)</f>
        <v>47.887</v>
      </c>
      <c r="L194" s="14"/>
    </row>
    <row r="195" spans="1:12" ht="15" x14ac:dyDescent="0.2">
      <c r="A195" s="13">
        <v>46844</v>
      </c>
      <c r="B195" s="14">
        <f>47.7422 * CHOOSE(CONTROL!$C$9, $D$9, 100%, $F$9) + CHOOSE(CONTROL!$C$27, 0.0021, 0)</f>
        <v>47.744299999999996</v>
      </c>
      <c r="C195" s="14">
        <f>47.31 * CHOOSE(CONTROL!$C$9, $D$9, 100%, $F$9) + CHOOSE(CONTROL!$C$27, 0.0021, 0)</f>
        <v>47.312100000000001</v>
      </c>
      <c r="D195" s="14">
        <f>47.31 * CHOOSE(CONTROL!$C$9, $D$9, 100%, $F$9) + CHOOSE(CONTROL!$C$27, 0.0021, 0)</f>
        <v>47.312100000000001</v>
      </c>
      <c r="E195" s="14">
        <f>47.1733 * CHOOSE(CONTROL!$C$9, $D$9, 100%, $F$9) + CHOOSE(CONTROL!$C$27, 0.0021, 0)</f>
        <v>47.175399999999996</v>
      </c>
      <c r="F195" s="14">
        <f>47.1733 * CHOOSE(CONTROL!$C$9, $D$9, 100%, $F$9) + CHOOSE(CONTROL!$C$27, 0.0021, 0)</f>
        <v>47.175399999999996</v>
      </c>
      <c r="G195" s="14">
        <f>47.4447 * CHOOSE(CONTROL!$C$9, $D$9, 100%, $F$9) + CHOOSE(CONTROL!$C$27, 0.0021, 0)</f>
        <v>47.446799999999996</v>
      </c>
      <c r="H195" s="14">
        <f>47.31 * CHOOSE(CONTROL!$C$9, $D$9, 100%, $F$9) + CHOOSE(CONTROL!$C$27, 0.0021, 0)</f>
        <v>47.312100000000001</v>
      </c>
      <c r="I195" s="14">
        <f>47.31 * CHOOSE(CONTROL!$C$9, $D$9, 100%, $F$9) + CHOOSE(CONTROL!$C$27, 0.0021, 0)</f>
        <v>47.312100000000001</v>
      </c>
      <c r="J195" s="14">
        <f>47.31 * CHOOSE(CONTROL!$C$9, $D$9, 100%, $F$9) + CHOOSE(CONTROL!$C$27, 0.0021, 0)</f>
        <v>47.312100000000001</v>
      </c>
      <c r="K195" s="14">
        <f>47.31 * CHOOSE(CONTROL!$C$9, $D$9, 100%, $F$9) + CHOOSE(CONTROL!$C$27, 0.0021, 0)</f>
        <v>47.312100000000001</v>
      </c>
      <c r="L195" s="14"/>
    </row>
    <row r="196" spans="1:12" ht="15" x14ac:dyDescent="0.2">
      <c r="A196" s="13">
        <v>46874</v>
      </c>
      <c r="B196" s="14">
        <f>48.7923 * CHOOSE(CONTROL!$C$9, $D$9, 100%, $F$9) + CHOOSE(CONTROL!$C$27, 0.0021, 0)</f>
        <v>48.794399999999996</v>
      </c>
      <c r="C196" s="14">
        <f>48.36 * CHOOSE(CONTROL!$C$9, $D$9, 100%, $F$9) + CHOOSE(CONTROL!$C$27, 0.0021, 0)</f>
        <v>48.362099999999998</v>
      </c>
      <c r="D196" s="14">
        <f>48.36 * CHOOSE(CONTROL!$C$9, $D$9, 100%, $F$9) + CHOOSE(CONTROL!$C$27, 0.0021, 0)</f>
        <v>48.362099999999998</v>
      </c>
      <c r="E196" s="14">
        <f>48.2233 * CHOOSE(CONTROL!$C$9, $D$9, 100%, $F$9) + CHOOSE(CONTROL!$C$27, 0.0021, 0)</f>
        <v>48.2254</v>
      </c>
      <c r="F196" s="14">
        <f>48.2233 * CHOOSE(CONTROL!$C$9, $D$9, 100%, $F$9) + CHOOSE(CONTROL!$C$27, 0.0021, 0)</f>
        <v>48.2254</v>
      </c>
      <c r="G196" s="14">
        <f>48.4947 * CHOOSE(CONTROL!$C$9, $D$9, 100%, $F$9) + CHOOSE(CONTROL!$C$27, 0.0021, 0)</f>
        <v>48.4968</v>
      </c>
      <c r="H196" s="14">
        <f>48.36 * CHOOSE(CONTROL!$C$9, $D$9, 100%, $F$9) + CHOOSE(CONTROL!$C$27, 0.0021, 0)</f>
        <v>48.362099999999998</v>
      </c>
      <c r="I196" s="14">
        <f>48.36 * CHOOSE(CONTROL!$C$9, $D$9, 100%, $F$9) + CHOOSE(CONTROL!$C$27, 0.0021, 0)</f>
        <v>48.362099999999998</v>
      </c>
      <c r="J196" s="14">
        <f>48.36 * CHOOSE(CONTROL!$C$9, $D$9, 100%, $F$9) + CHOOSE(CONTROL!$C$27, 0.0021, 0)</f>
        <v>48.362099999999998</v>
      </c>
      <c r="K196" s="14">
        <f>48.36 * CHOOSE(CONTROL!$C$9, $D$9, 100%, $F$9) + CHOOSE(CONTROL!$C$27, 0.0021, 0)</f>
        <v>48.362099999999998</v>
      </c>
      <c r="L196" s="14"/>
    </row>
    <row r="197" spans="1:12" ht="15" x14ac:dyDescent="0.2">
      <c r="A197" s="13">
        <v>46905</v>
      </c>
      <c r="B197" s="14">
        <f>49.4621 * CHOOSE(CONTROL!$C$9, $D$9, 100%, $F$9) + CHOOSE(CONTROL!$C$27, 0.0021, 0)</f>
        <v>49.464199999999998</v>
      </c>
      <c r="C197" s="14">
        <f>49.0298 * CHOOSE(CONTROL!$C$9, $D$9, 100%, $F$9) + CHOOSE(CONTROL!$C$27, 0.0021, 0)</f>
        <v>49.0319</v>
      </c>
      <c r="D197" s="14">
        <f>49.0298 * CHOOSE(CONTROL!$C$9, $D$9, 100%, $F$9) + CHOOSE(CONTROL!$C$27, 0.0021, 0)</f>
        <v>49.0319</v>
      </c>
      <c r="E197" s="14">
        <f>48.8932 * CHOOSE(CONTROL!$C$9, $D$9, 100%, $F$9) + CHOOSE(CONTROL!$C$27, 0.0021, 0)</f>
        <v>48.895299999999999</v>
      </c>
      <c r="F197" s="14">
        <f>48.8932 * CHOOSE(CONTROL!$C$9, $D$9, 100%, $F$9) + CHOOSE(CONTROL!$C$27, 0.0021, 0)</f>
        <v>48.895299999999999</v>
      </c>
      <c r="G197" s="14">
        <f>49.1646 * CHOOSE(CONTROL!$C$9, $D$9, 100%, $F$9) + CHOOSE(CONTROL!$C$27, 0.0021, 0)</f>
        <v>49.166699999999999</v>
      </c>
      <c r="H197" s="14">
        <f>49.0298 * CHOOSE(CONTROL!$C$9, $D$9, 100%, $F$9) + CHOOSE(CONTROL!$C$27, 0.0021, 0)</f>
        <v>49.0319</v>
      </c>
      <c r="I197" s="14">
        <f>49.0298 * CHOOSE(CONTROL!$C$9, $D$9, 100%, $F$9) + CHOOSE(CONTROL!$C$27, 0.0021, 0)</f>
        <v>49.0319</v>
      </c>
      <c r="J197" s="14">
        <f>49.0298 * CHOOSE(CONTROL!$C$9, $D$9, 100%, $F$9) + CHOOSE(CONTROL!$C$27, 0.0021, 0)</f>
        <v>49.0319</v>
      </c>
      <c r="K197" s="14">
        <f>49.0298 * CHOOSE(CONTROL!$C$9, $D$9, 100%, $F$9) + CHOOSE(CONTROL!$C$27, 0.0021, 0)</f>
        <v>49.0319</v>
      </c>
      <c r="L197" s="14"/>
    </row>
    <row r="198" spans="1:12" ht="15" x14ac:dyDescent="0.2">
      <c r="A198" s="13">
        <v>46935</v>
      </c>
      <c r="B198" s="14">
        <f>50.5082 * CHOOSE(CONTROL!$C$9, $D$9, 100%, $F$9) + CHOOSE(CONTROL!$C$27, 0.0021, 0)</f>
        <v>50.510300000000001</v>
      </c>
      <c r="C198" s="14">
        <f>50.0759 * CHOOSE(CONTROL!$C$9, $D$9, 100%, $F$9) + CHOOSE(CONTROL!$C$27, 0.0021, 0)</f>
        <v>50.077999999999996</v>
      </c>
      <c r="D198" s="14">
        <f>50.0759 * CHOOSE(CONTROL!$C$9, $D$9, 100%, $F$9) + CHOOSE(CONTROL!$C$27, 0.0021, 0)</f>
        <v>50.077999999999996</v>
      </c>
      <c r="E198" s="14">
        <f>49.9393 * CHOOSE(CONTROL!$C$9, $D$9, 100%, $F$9) + CHOOSE(CONTROL!$C$27, 0.0021, 0)</f>
        <v>49.941400000000002</v>
      </c>
      <c r="F198" s="14">
        <f>49.9393 * CHOOSE(CONTROL!$C$9, $D$9, 100%, $F$9) + CHOOSE(CONTROL!$C$27, 0.0021, 0)</f>
        <v>49.941400000000002</v>
      </c>
      <c r="G198" s="14">
        <f>50.2106 * CHOOSE(CONTROL!$C$9, $D$9, 100%, $F$9) + CHOOSE(CONTROL!$C$27, 0.0021, 0)</f>
        <v>50.212699999999998</v>
      </c>
      <c r="H198" s="14">
        <f>50.0759 * CHOOSE(CONTROL!$C$9, $D$9, 100%, $F$9) + CHOOSE(CONTROL!$C$27, 0.0021, 0)</f>
        <v>50.077999999999996</v>
      </c>
      <c r="I198" s="14">
        <f>50.0759 * CHOOSE(CONTROL!$C$9, $D$9, 100%, $F$9) + CHOOSE(CONTROL!$C$27, 0.0021, 0)</f>
        <v>50.077999999999996</v>
      </c>
      <c r="J198" s="14">
        <f>50.0759 * CHOOSE(CONTROL!$C$9, $D$9, 100%, $F$9) + CHOOSE(CONTROL!$C$27, 0.0021, 0)</f>
        <v>50.077999999999996</v>
      </c>
      <c r="K198" s="14">
        <f>50.0759 * CHOOSE(CONTROL!$C$9, $D$9, 100%, $F$9) + CHOOSE(CONTROL!$C$27, 0.0021, 0)</f>
        <v>50.077999999999996</v>
      </c>
      <c r="L198" s="14"/>
    </row>
    <row r="199" spans="1:12" ht="15" x14ac:dyDescent="0.2">
      <c r="A199" s="13">
        <v>46966</v>
      </c>
      <c r="B199" s="14">
        <f>50.8977 * CHOOSE(CONTROL!$C$9, $D$9, 100%, $F$9) + CHOOSE(CONTROL!$C$27, 0.0021, 0)</f>
        <v>50.899799999999999</v>
      </c>
      <c r="C199" s="14">
        <f>50.4655 * CHOOSE(CONTROL!$C$9, $D$9, 100%, $F$9) + CHOOSE(CONTROL!$C$27, 0.0021, 0)</f>
        <v>50.467599999999997</v>
      </c>
      <c r="D199" s="14">
        <f>50.4655 * CHOOSE(CONTROL!$C$9, $D$9, 100%, $F$9) + CHOOSE(CONTROL!$C$27, 0.0021, 0)</f>
        <v>50.467599999999997</v>
      </c>
      <c r="E199" s="14">
        <f>50.3288 * CHOOSE(CONTROL!$C$9, $D$9, 100%, $F$9) + CHOOSE(CONTROL!$C$27, 0.0021, 0)</f>
        <v>50.3309</v>
      </c>
      <c r="F199" s="14">
        <f>50.3288 * CHOOSE(CONTROL!$C$9, $D$9, 100%, $F$9) + CHOOSE(CONTROL!$C$27, 0.0021, 0)</f>
        <v>50.3309</v>
      </c>
      <c r="G199" s="14">
        <f>50.6002 * CHOOSE(CONTROL!$C$9, $D$9, 100%, $F$9) + CHOOSE(CONTROL!$C$27, 0.0021, 0)</f>
        <v>50.6023</v>
      </c>
      <c r="H199" s="14">
        <f>50.4655 * CHOOSE(CONTROL!$C$9, $D$9, 100%, $F$9) + CHOOSE(CONTROL!$C$27, 0.0021, 0)</f>
        <v>50.467599999999997</v>
      </c>
      <c r="I199" s="14">
        <f>50.4655 * CHOOSE(CONTROL!$C$9, $D$9, 100%, $F$9) + CHOOSE(CONTROL!$C$27, 0.0021, 0)</f>
        <v>50.467599999999997</v>
      </c>
      <c r="J199" s="14">
        <f>50.4655 * CHOOSE(CONTROL!$C$9, $D$9, 100%, $F$9) + CHOOSE(CONTROL!$C$27, 0.0021, 0)</f>
        <v>50.467599999999997</v>
      </c>
      <c r="K199" s="14">
        <f>50.4655 * CHOOSE(CONTROL!$C$9, $D$9, 100%, $F$9) + CHOOSE(CONTROL!$C$27, 0.0021, 0)</f>
        <v>50.467599999999997</v>
      </c>
      <c r="L199" s="14"/>
    </row>
    <row r="200" spans="1:12" ht="15" x14ac:dyDescent="0.2">
      <c r="A200" s="13">
        <v>46997</v>
      </c>
      <c r="B200" s="14">
        <f>51.9883 * CHOOSE(CONTROL!$C$9, $D$9, 100%, $F$9) + CHOOSE(CONTROL!$C$27, 0.0021, 0)</f>
        <v>51.990400000000001</v>
      </c>
      <c r="C200" s="14">
        <f>51.556 * CHOOSE(CONTROL!$C$9, $D$9, 100%, $F$9) + CHOOSE(CONTROL!$C$27, 0.0021, 0)</f>
        <v>51.558099999999996</v>
      </c>
      <c r="D200" s="14">
        <f>51.556 * CHOOSE(CONTROL!$C$9, $D$9, 100%, $F$9) + CHOOSE(CONTROL!$C$27, 0.0021, 0)</f>
        <v>51.558099999999996</v>
      </c>
      <c r="E200" s="14">
        <f>51.4193 * CHOOSE(CONTROL!$C$9, $D$9, 100%, $F$9) + CHOOSE(CONTROL!$C$27, 0.0021, 0)</f>
        <v>51.421399999999998</v>
      </c>
      <c r="F200" s="14">
        <f>51.4193 * CHOOSE(CONTROL!$C$9, $D$9, 100%, $F$9) + CHOOSE(CONTROL!$C$27, 0.0021, 0)</f>
        <v>51.421399999999998</v>
      </c>
      <c r="G200" s="14">
        <f>51.6907 * CHOOSE(CONTROL!$C$9, $D$9, 100%, $F$9) + CHOOSE(CONTROL!$C$27, 0.0021, 0)</f>
        <v>51.692799999999998</v>
      </c>
      <c r="H200" s="14">
        <f>51.556 * CHOOSE(CONTROL!$C$9, $D$9, 100%, $F$9) + CHOOSE(CONTROL!$C$27, 0.0021, 0)</f>
        <v>51.558099999999996</v>
      </c>
      <c r="I200" s="14">
        <f>51.556 * CHOOSE(CONTROL!$C$9, $D$9, 100%, $F$9) + CHOOSE(CONTROL!$C$27, 0.0021, 0)</f>
        <v>51.558099999999996</v>
      </c>
      <c r="J200" s="14">
        <f>51.556 * CHOOSE(CONTROL!$C$9, $D$9, 100%, $F$9) + CHOOSE(CONTROL!$C$27, 0.0021, 0)</f>
        <v>51.558099999999996</v>
      </c>
      <c r="K200" s="14">
        <f>51.556 * CHOOSE(CONTROL!$C$9, $D$9, 100%, $F$9) + CHOOSE(CONTROL!$C$27, 0.0021, 0)</f>
        <v>51.558099999999996</v>
      </c>
      <c r="L200" s="14"/>
    </row>
    <row r="201" spans="1:12" ht="15" x14ac:dyDescent="0.2">
      <c r="A201" s="13">
        <v>47027</v>
      </c>
      <c r="B201" s="14">
        <f>53.3469 * CHOOSE(CONTROL!$C$9, $D$9, 100%, $F$9) + CHOOSE(CONTROL!$C$27, 0.0021, 0)</f>
        <v>53.348999999999997</v>
      </c>
      <c r="C201" s="14">
        <f>52.9147 * CHOOSE(CONTROL!$C$9, $D$9, 100%, $F$9) + CHOOSE(CONTROL!$C$27, 0.0021, 0)</f>
        <v>52.916800000000002</v>
      </c>
      <c r="D201" s="14">
        <f>52.9147 * CHOOSE(CONTROL!$C$9, $D$9, 100%, $F$9) + CHOOSE(CONTROL!$C$27, 0.0021, 0)</f>
        <v>52.916800000000002</v>
      </c>
      <c r="E201" s="14">
        <f>52.778 * CHOOSE(CONTROL!$C$9, $D$9, 100%, $F$9) + CHOOSE(CONTROL!$C$27, 0.0021, 0)</f>
        <v>52.780099999999997</v>
      </c>
      <c r="F201" s="14">
        <f>52.778 * CHOOSE(CONTROL!$C$9, $D$9, 100%, $F$9) + CHOOSE(CONTROL!$C$27, 0.0021, 0)</f>
        <v>52.780099999999997</v>
      </c>
      <c r="G201" s="14">
        <f>53.0494 * CHOOSE(CONTROL!$C$9, $D$9, 100%, $F$9) + CHOOSE(CONTROL!$C$27, 0.0021, 0)</f>
        <v>53.051499999999997</v>
      </c>
      <c r="H201" s="14">
        <f>52.9147 * CHOOSE(CONTROL!$C$9, $D$9, 100%, $F$9) + CHOOSE(CONTROL!$C$27, 0.0021, 0)</f>
        <v>52.916800000000002</v>
      </c>
      <c r="I201" s="14">
        <f>52.9147 * CHOOSE(CONTROL!$C$9, $D$9, 100%, $F$9) + CHOOSE(CONTROL!$C$27, 0.0021, 0)</f>
        <v>52.916800000000002</v>
      </c>
      <c r="J201" s="14">
        <f>52.9147 * CHOOSE(CONTROL!$C$9, $D$9, 100%, $F$9) + CHOOSE(CONTROL!$C$27, 0.0021, 0)</f>
        <v>52.916800000000002</v>
      </c>
      <c r="K201" s="14">
        <f>52.9147 * CHOOSE(CONTROL!$C$9, $D$9, 100%, $F$9) + CHOOSE(CONTROL!$C$27, 0.0021, 0)</f>
        <v>52.916800000000002</v>
      </c>
      <c r="L201" s="14"/>
    </row>
    <row r="202" spans="1:12" ht="15" x14ac:dyDescent="0.2">
      <c r="A202" s="13">
        <v>47058</v>
      </c>
      <c r="B202" s="14">
        <f>53.5703 * CHOOSE(CONTROL!$C$9, $D$9, 100%, $F$9) + CHOOSE(CONTROL!$C$27, 0.0021, 0)</f>
        <v>53.572400000000002</v>
      </c>
      <c r="C202" s="14">
        <f>53.138 * CHOOSE(CONTROL!$C$9, $D$9, 100%, $F$9) + CHOOSE(CONTROL!$C$27, 0.0021, 0)</f>
        <v>53.140099999999997</v>
      </c>
      <c r="D202" s="14">
        <f>53.138 * CHOOSE(CONTROL!$C$9, $D$9, 100%, $F$9) + CHOOSE(CONTROL!$C$27, 0.0021, 0)</f>
        <v>53.140099999999997</v>
      </c>
      <c r="E202" s="14">
        <f>53.0013 * CHOOSE(CONTROL!$C$9, $D$9, 100%, $F$9) + CHOOSE(CONTROL!$C$27, 0.0021, 0)</f>
        <v>53.003399999999999</v>
      </c>
      <c r="F202" s="14">
        <f>53.0013 * CHOOSE(CONTROL!$C$9, $D$9, 100%, $F$9) + CHOOSE(CONTROL!$C$27, 0.0021, 0)</f>
        <v>53.003399999999999</v>
      </c>
      <c r="G202" s="14">
        <f>53.2727 * CHOOSE(CONTROL!$C$9, $D$9, 100%, $F$9) + CHOOSE(CONTROL!$C$27, 0.0021, 0)</f>
        <v>53.274799999999999</v>
      </c>
      <c r="H202" s="14">
        <f>53.138 * CHOOSE(CONTROL!$C$9, $D$9, 100%, $F$9) + CHOOSE(CONTROL!$C$27, 0.0021, 0)</f>
        <v>53.140099999999997</v>
      </c>
      <c r="I202" s="14">
        <f>53.138 * CHOOSE(CONTROL!$C$9, $D$9, 100%, $F$9) + CHOOSE(CONTROL!$C$27, 0.0021, 0)</f>
        <v>53.140099999999997</v>
      </c>
      <c r="J202" s="14">
        <f>53.138 * CHOOSE(CONTROL!$C$9, $D$9, 100%, $F$9) + CHOOSE(CONTROL!$C$27, 0.0021, 0)</f>
        <v>53.140099999999997</v>
      </c>
      <c r="K202" s="14">
        <f>53.138 * CHOOSE(CONTROL!$C$9, $D$9, 100%, $F$9) + CHOOSE(CONTROL!$C$27, 0.0021, 0)</f>
        <v>53.140099999999997</v>
      </c>
      <c r="L202" s="14"/>
    </row>
    <row r="203" spans="1:12" ht="15" x14ac:dyDescent="0.2">
      <c r="A203" s="13">
        <v>47088</v>
      </c>
      <c r="B203" s="14">
        <f>52.6684 * CHOOSE(CONTROL!$C$9, $D$9, 100%, $F$9) + CHOOSE(CONTROL!$C$27, 0.0021, 0)</f>
        <v>52.670499999999997</v>
      </c>
      <c r="C203" s="14">
        <f>52.2361 * CHOOSE(CONTROL!$C$9, $D$9, 100%, $F$9) + CHOOSE(CONTROL!$C$27, 0.0021, 0)</f>
        <v>52.238199999999999</v>
      </c>
      <c r="D203" s="14">
        <f>52.2361 * CHOOSE(CONTROL!$C$9, $D$9, 100%, $F$9) + CHOOSE(CONTROL!$C$27, 0.0021, 0)</f>
        <v>52.238199999999999</v>
      </c>
      <c r="E203" s="14">
        <f>52.0995 * CHOOSE(CONTROL!$C$9, $D$9, 100%, $F$9) + CHOOSE(CONTROL!$C$27, 0.0021, 0)</f>
        <v>52.101599999999998</v>
      </c>
      <c r="F203" s="14">
        <f>52.0995 * CHOOSE(CONTROL!$C$9, $D$9, 100%, $F$9) + CHOOSE(CONTROL!$C$27, 0.0021, 0)</f>
        <v>52.101599999999998</v>
      </c>
      <c r="G203" s="14">
        <f>52.3708 * CHOOSE(CONTROL!$C$9, $D$9, 100%, $F$9) + CHOOSE(CONTROL!$C$27, 0.0021, 0)</f>
        <v>52.372900000000001</v>
      </c>
      <c r="H203" s="14">
        <f>52.2361 * CHOOSE(CONTROL!$C$9, $D$9, 100%, $F$9) + CHOOSE(CONTROL!$C$27, 0.0021, 0)</f>
        <v>52.238199999999999</v>
      </c>
      <c r="I203" s="14">
        <f>52.2361 * CHOOSE(CONTROL!$C$9, $D$9, 100%, $F$9) + CHOOSE(CONTROL!$C$27, 0.0021, 0)</f>
        <v>52.238199999999999</v>
      </c>
      <c r="J203" s="14">
        <f>52.2361 * CHOOSE(CONTROL!$C$9, $D$9, 100%, $F$9) + CHOOSE(CONTROL!$C$27, 0.0021, 0)</f>
        <v>52.238199999999999</v>
      </c>
      <c r="K203" s="14">
        <f>52.2361 * CHOOSE(CONTROL!$C$9, $D$9, 100%, $F$9) + CHOOSE(CONTROL!$C$27, 0.0021, 0)</f>
        <v>52.238199999999999</v>
      </c>
      <c r="L203" s="14"/>
    </row>
    <row r="204" spans="1:12" ht="15" x14ac:dyDescent="0.2">
      <c r="A204" s="13">
        <v>47119</v>
      </c>
      <c r="B204" s="14">
        <f>52.1433 * CHOOSE(CONTROL!$C$9, $D$9, 100%, $F$9) + CHOOSE(CONTROL!$C$27, 0.0021, 0)</f>
        <v>52.145400000000002</v>
      </c>
      <c r="C204" s="14">
        <f>51.711 * CHOOSE(CONTROL!$C$9, $D$9, 100%, $F$9) + CHOOSE(CONTROL!$C$27, 0.0021, 0)</f>
        <v>51.713099999999997</v>
      </c>
      <c r="D204" s="14">
        <f>51.711 * CHOOSE(CONTROL!$C$9, $D$9, 100%, $F$9) + CHOOSE(CONTROL!$C$27, 0.0021, 0)</f>
        <v>51.713099999999997</v>
      </c>
      <c r="E204" s="14">
        <f>51.5744 * CHOOSE(CONTROL!$C$9, $D$9, 100%, $F$9) + CHOOSE(CONTROL!$C$27, 0.0021, 0)</f>
        <v>51.576499999999996</v>
      </c>
      <c r="F204" s="14">
        <f>51.5744 * CHOOSE(CONTROL!$C$9, $D$9, 100%, $F$9) + CHOOSE(CONTROL!$C$27, 0.0021, 0)</f>
        <v>51.576499999999996</v>
      </c>
      <c r="G204" s="14">
        <f>51.8457 * CHOOSE(CONTROL!$C$9, $D$9, 100%, $F$9) + CHOOSE(CONTROL!$C$27, 0.0021, 0)</f>
        <v>51.847799999999999</v>
      </c>
      <c r="H204" s="14">
        <f>51.711 * CHOOSE(CONTROL!$C$9, $D$9, 100%, $F$9) + CHOOSE(CONTROL!$C$27, 0.0021, 0)</f>
        <v>51.713099999999997</v>
      </c>
      <c r="I204" s="14">
        <f>51.711 * CHOOSE(CONTROL!$C$9, $D$9, 100%, $F$9) + CHOOSE(CONTROL!$C$27, 0.0021, 0)</f>
        <v>51.713099999999997</v>
      </c>
      <c r="J204" s="14">
        <f>51.711 * CHOOSE(CONTROL!$C$9, $D$9, 100%, $F$9) + CHOOSE(CONTROL!$C$27, 0.0021, 0)</f>
        <v>51.713099999999997</v>
      </c>
      <c r="K204" s="14">
        <f>51.711 * CHOOSE(CONTROL!$C$9, $D$9, 100%, $F$9) + CHOOSE(CONTROL!$C$27, 0.0021, 0)</f>
        <v>51.713099999999997</v>
      </c>
      <c r="L204" s="14"/>
    </row>
    <row r="205" spans="1:12" ht="15" x14ac:dyDescent="0.2">
      <c r="A205" s="13">
        <v>47150</v>
      </c>
      <c r="B205" s="14">
        <f>50.833 * CHOOSE(CONTROL!$C$9, $D$9, 100%, $F$9) + CHOOSE(CONTROL!$C$27, 0.0021, 0)</f>
        <v>50.835099999999997</v>
      </c>
      <c r="C205" s="14">
        <f>50.4007 * CHOOSE(CONTROL!$C$9, $D$9, 100%, $F$9) + CHOOSE(CONTROL!$C$27, 0.0021, 0)</f>
        <v>50.402799999999999</v>
      </c>
      <c r="D205" s="14">
        <f>50.4007 * CHOOSE(CONTROL!$C$9, $D$9, 100%, $F$9) + CHOOSE(CONTROL!$C$27, 0.0021, 0)</f>
        <v>50.402799999999999</v>
      </c>
      <c r="E205" s="14">
        <f>50.2641 * CHOOSE(CONTROL!$C$9, $D$9, 100%, $F$9) + CHOOSE(CONTROL!$C$27, 0.0021, 0)</f>
        <v>50.266199999999998</v>
      </c>
      <c r="F205" s="14">
        <f>50.2641 * CHOOSE(CONTROL!$C$9, $D$9, 100%, $F$9) + CHOOSE(CONTROL!$C$27, 0.0021, 0)</f>
        <v>50.266199999999998</v>
      </c>
      <c r="G205" s="14">
        <f>50.5355 * CHOOSE(CONTROL!$C$9, $D$9, 100%, $F$9) + CHOOSE(CONTROL!$C$27, 0.0021, 0)</f>
        <v>50.537599999999998</v>
      </c>
      <c r="H205" s="14">
        <f>50.4007 * CHOOSE(CONTROL!$C$9, $D$9, 100%, $F$9) + CHOOSE(CONTROL!$C$27, 0.0021, 0)</f>
        <v>50.402799999999999</v>
      </c>
      <c r="I205" s="14">
        <f>50.4007 * CHOOSE(CONTROL!$C$9, $D$9, 100%, $F$9) + CHOOSE(CONTROL!$C$27, 0.0021, 0)</f>
        <v>50.402799999999999</v>
      </c>
      <c r="J205" s="14">
        <f>50.4007 * CHOOSE(CONTROL!$C$9, $D$9, 100%, $F$9) + CHOOSE(CONTROL!$C$27, 0.0021, 0)</f>
        <v>50.402799999999999</v>
      </c>
      <c r="K205" s="14">
        <f>50.4007 * CHOOSE(CONTROL!$C$9, $D$9, 100%, $F$9) + CHOOSE(CONTROL!$C$27, 0.0021, 0)</f>
        <v>50.402799999999999</v>
      </c>
      <c r="L205" s="14"/>
    </row>
    <row r="206" spans="1:12" ht="15" x14ac:dyDescent="0.2">
      <c r="A206" s="13">
        <v>47178</v>
      </c>
      <c r="B206" s="14">
        <f>50.3485 * CHOOSE(CONTROL!$C$9, $D$9, 100%, $F$9) + CHOOSE(CONTROL!$C$27, 0.0021, 0)</f>
        <v>50.3506</v>
      </c>
      <c r="C206" s="14">
        <f>49.9163 * CHOOSE(CONTROL!$C$9, $D$9, 100%, $F$9) + CHOOSE(CONTROL!$C$27, 0.0021, 0)</f>
        <v>49.918399999999998</v>
      </c>
      <c r="D206" s="14">
        <f>49.9163 * CHOOSE(CONTROL!$C$9, $D$9, 100%, $F$9) + CHOOSE(CONTROL!$C$27, 0.0021, 0)</f>
        <v>49.918399999999998</v>
      </c>
      <c r="E206" s="14">
        <f>49.7796 * CHOOSE(CONTROL!$C$9, $D$9, 100%, $F$9) + CHOOSE(CONTROL!$C$27, 0.0021, 0)</f>
        <v>49.781700000000001</v>
      </c>
      <c r="F206" s="14">
        <f>49.7796 * CHOOSE(CONTROL!$C$9, $D$9, 100%, $F$9) + CHOOSE(CONTROL!$C$27, 0.0021, 0)</f>
        <v>49.781700000000001</v>
      </c>
      <c r="G206" s="14">
        <f>50.051 * CHOOSE(CONTROL!$C$9, $D$9, 100%, $F$9) + CHOOSE(CONTROL!$C$27, 0.0021, 0)</f>
        <v>50.053100000000001</v>
      </c>
      <c r="H206" s="14">
        <f>49.9163 * CHOOSE(CONTROL!$C$9, $D$9, 100%, $F$9) + CHOOSE(CONTROL!$C$27, 0.0021, 0)</f>
        <v>49.918399999999998</v>
      </c>
      <c r="I206" s="14">
        <f>49.9163 * CHOOSE(CONTROL!$C$9, $D$9, 100%, $F$9) + CHOOSE(CONTROL!$C$27, 0.0021, 0)</f>
        <v>49.918399999999998</v>
      </c>
      <c r="J206" s="14">
        <f>49.9163 * CHOOSE(CONTROL!$C$9, $D$9, 100%, $F$9) + CHOOSE(CONTROL!$C$27, 0.0021, 0)</f>
        <v>49.918399999999998</v>
      </c>
      <c r="K206" s="14">
        <f>49.9163 * CHOOSE(CONTROL!$C$9, $D$9, 100%, $F$9) + CHOOSE(CONTROL!$C$27, 0.0021, 0)</f>
        <v>49.918399999999998</v>
      </c>
      <c r="L206" s="14"/>
    </row>
    <row r="207" spans="1:12" ht="15" x14ac:dyDescent="0.2">
      <c r="A207" s="13">
        <v>47209</v>
      </c>
      <c r="B207" s="14">
        <f>49.7482 * CHOOSE(CONTROL!$C$9, $D$9, 100%, $F$9) + CHOOSE(CONTROL!$C$27, 0.0021, 0)</f>
        <v>49.750299999999996</v>
      </c>
      <c r="C207" s="14">
        <f>49.3159 * CHOOSE(CONTROL!$C$9, $D$9, 100%, $F$9) + CHOOSE(CONTROL!$C$27, 0.0021, 0)</f>
        <v>49.317999999999998</v>
      </c>
      <c r="D207" s="14">
        <f>49.3159 * CHOOSE(CONTROL!$C$9, $D$9, 100%, $F$9) + CHOOSE(CONTROL!$C$27, 0.0021, 0)</f>
        <v>49.317999999999998</v>
      </c>
      <c r="E207" s="14">
        <f>49.1793 * CHOOSE(CONTROL!$C$9, $D$9, 100%, $F$9) + CHOOSE(CONTROL!$C$27, 0.0021, 0)</f>
        <v>49.181399999999996</v>
      </c>
      <c r="F207" s="14">
        <f>49.1793 * CHOOSE(CONTROL!$C$9, $D$9, 100%, $F$9) + CHOOSE(CONTROL!$C$27, 0.0021, 0)</f>
        <v>49.181399999999996</v>
      </c>
      <c r="G207" s="14">
        <f>49.4507 * CHOOSE(CONTROL!$C$9, $D$9, 100%, $F$9) + CHOOSE(CONTROL!$C$27, 0.0021, 0)</f>
        <v>49.452799999999996</v>
      </c>
      <c r="H207" s="14">
        <f>49.3159 * CHOOSE(CONTROL!$C$9, $D$9, 100%, $F$9) + CHOOSE(CONTROL!$C$27, 0.0021, 0)</f>
        <v>49.317999999999998</v>
      </c>
      <c r="I207" s="14">
        <f>49.3159 * CHOOSE(CONTROL!$C$9, $D$9, 100%, $F$9) + CHOOSE(CONTROL!$C$27, 0.0021, 0)</f>
        <v>49.317999999999998</v>
      </c>
      <c r="J207" s="14">
        <f>49.3159 * CHOOSE(CONTROL!$C$9, $D$9, 100%, $F$9) + CHOOSE(CONTROL!$C$27, 0.0021, 0)</f>
        <v>49.317999999999998</v>
      </c>
      <c r="K207" s="14">
        <f>49.3159 * CHOOSE(CONTROL!$C$9, $D$9, 100%, $F$9) + CHOOSE(CONTROL!$C$27, 0.0021, 0)</f>
        <v>49.317999999999998</v>
      </c>
      <c r="L207" s="14"/>
    </row>
    <row r="208" spans="1:12" ht="15" x14ac:dyDescent="0.2">
      <c r="A208" s="13">
        <v>47239</v>
      </c>
      <c r="B208" s="14">
        <f>50.8446 * CHOOSE(CONTROL!$C$9, $D$9, 100%, $F$9) + CHOOSE(CONTROL!$C$27, 0.0021, 0)</f>
        <v>50.846699999999998</v>
      </c>
      <c r="C208" s="14">
        <f>50.4123 * CHOOSE(CONTROL!$C$9, $D$9, 100%, $F$9) + CHOOSE(CONTROL!$C$27, 0.0021, 0)</f>
        <v>50.414400000000001</v>
      </c>
      <c r="D208" s="14">
        <f>50.4123 * CHOOSE(CONTROL!$C$9, $D$9, 100%, $F$9) + CHOOSE(CONTROL!$C$27, 0.0021, 0)</f>
        <v>50.414400000000001</v>
      </c>
      <c r="E208" s="14">
        <f>50.2757 * CHOOSE(CONTROL!$C$9, $D$9, 100%, $F$9) + CHOOSE(CONTROL!$C$27, 0.0021, 0)</f>
        <v>50.277799999999999</v>
      </c>
      <c r="F208" s="14">
        <f>50.2757 * CHOOSE(CONTROL!$C$9, $D$9, 100%, $F$9) + CHOOSE(CONTROL!$C$27, 0.0021, 0)</f>
        <v>50.277799999999999</v>
      </c>
      <c r="G208" s="14">
        <f>50.5471 * CHOOSE(CONTROL!$C$9, $D$9, 100%, $F$9) + CHOOSE(CONTROL!$C$27, 0.0021, 0)</f>
        <v>50.549199999999999</v>
      </c>
      <c r="H208" s="14">
        <f>50.4123 * CHOOSE(CONTROL!$C$9, $D$9, 100%, $F$9) + CHOOSE(CONTROL!$C$27, 0.0021, 0)</f>
        <v>50.414400000000001</v>
      </c>
      <c r="I208" s="14">
        <f>50.4123 * CHOOSE(CONTROL!$C$9, $D$9, 100%, $F$9) + CHOOSE(CONTROL!$C$27, 0.0021, 0)</f>
        <v>50.414400000000001</v>
      </c>
      <c r="J208" s="14">
        <f>50.4123 * CHOOSE(CONTROL!$C$9, $D$9, 100%, $F$9) + CHOOSE(CONTROL!$C$27, 0.0021, 0)</f>
        <v>50.414400000000001</v>
      </c>
      <c r="K208" s="14">
        <f>50.4123 * CHOOSE(CONTROL!$C$9, $D$9, 100%, $F$9) + CHOOSE(CONTROL!$C$27, 0.0021, 0)</f>
        <v>50.414400000000001</v>
      </c>
      <c r="L208" s="14"/>
    </row>
    <row r="209" spans="1:12" ht="15" x14ac:dyDescent="0.2">
      <c r="A209" s="13">
        <v>47270</v>
      </c>
      <c r="B209" s="14">
        <f>51.544 * CHOOSE(CONTROL!$C$9, $D$9, 100%, $F$9) + CHOOSE(CONTROL!$C$27, 0.0021, 0)</f>
        <v>51.546099999999996</v>
      </c>
      <c r="C209" s="14">
        <f>51.1117 * CHOOSE(CONTROL!$C$9, $D$9, 100%, $F$9) + CHOOSE(CONTROL!$C$27, 0.0021, 0)</f>
        <v>51.113799999999998</v>
      </c>
      <c r="D209" s="14">
        <f>51.1117 * CHOOSE(CONTROL!$C$9, $D$9, 100%, $F$9) + CHOOSE(CONTROL!$C$27, 0.0021, 0)</f>
        <v>51.113799999999998</v>
      </c>
      <c r="E209" s="14">
        <f>50.9751 * CHOOSE(CONTROL!$C$9, $D$9, 100%, $F$9) + CHOOSE(CONTROL!$C$27, 0.0021, 0)</f>
        <v>50.977199999999996</v>
      </c>
      <c r="F209" s="14">
        <f>50.9751 * CHOOSE(CONTROL!$C$9, $D$9, 100%, $F$9) + CHOOSE(CONTROL!$C$27, 0.0021, 0)</f>
        <v>50.977199999999996</v>
      </c>
      <c r="G209" s="14">
        <f>51.2464 * CHOOSE(CONTROL!$C$9, $D$9, 100%, $F$9) + CHOOSE(CONTROL!$C$27, 0.0021, 0)</f>
        <v>51.2485</v>
      </c>
      <c r="H209" s="14">
        <f>51.1117 * CHOOSE(CONTROL!$C$9, $D$9, 100%, $F$9) + CHOOSE(CONTROL!$C$27, 0.0021, 0)</f>
        <v>51.113799999999998</v>
      </c>
      <c r="I209" s="14">
        <f>51.1117 * CHOOSE(CONTROL!$C$9, $D$9, 100%, $F$9) + CHOOSE(CONTROL!$C$27, 0.0021, 0)</f>
        <v>51.113799999999998</v>
      </c>
      <c r="J209" s="14">
        <f>51.1117 * CHOOSE(CONTROL!$C$9, $D$9, 100%, $F$9) + CHOOSE(CONTROL!$C$27, 0.0021, 0)</f>
        <v>51.113799999999998</v>
      </c>
      <c r="K209" s="14">
        <f>51.1117 * CHOOSE(CONTROL!$C$9, $D$9, 100%, $F$9) + CHOOSE(CONTROL!$C$27, 0.0021, 0)</f>
        <v>51.113799999999998</v>
      </c>
      <c r="L209" s="14"/>
    </row>
    <row r="210" spans="1:12" ht="15" x14ac:dyDescent="0.2">
      <c r="A210" s="13">
        <v>47300</v>
      </c>
      <c r="B210" s="14">
        <f>52.6362 * CHOOSE(CONTROL!$C$9, $D$9, 100%, $F$9) + CHOOSE(CONTROL!$C$27, 0.0021, 0)</f>
        <v>52.638300000000001</v>
      </c>
      <c r="C210" s="14">
        <f>52.204 * CHOOSE(CONTROL!$C$9, $D$9, 100%, $F$9) + CHOOSE(CONTROL!$C$27, 0.0021, 0)</f>
        <v>52.206099999999999</v>
      </c>
      <c r="D210" s="14">
        <f>52.204 * CHOOSE(CONTROL!$C$9, $D$9, 100%, $F$9) + CHOOSE(CONTROL!$C$27, 0.0021, 0)</f>
        <v>52.206099999999999</v>
      </c>
      <c r="E210" s="14">
        <f>52.0673 * CHOOSE(CONTROL!$C$9, $D$9, 100%, $F$9) + CHOOSE(CONTROL!$C$27, 0.0021, 0)</f>
        <v>52.069400000000002</v>
      </c>
      <c r="F210" s="14">
        <f>52.0673 * CHOOSE(CONTROL!$C$9, $D$9, 100%, $F$9) + CHOOSE(CONTROL!$C$27, 0.0021, 0)</f>
        <v>52.069400000000002</v>
      </c>
      <c r="G210" s="14">
        <f>52.3387 * CHOOSE(CONTROL!$C$9, $D$9, 100%, $F$9) + CHOOSE(CONTROL!$C$27, 0.0021, 0)</f>
        <v>52.340800000000002</v>
      </c>
      <c r="H210" s="14">
        <f>52.204 * CHOOSE(CONTROL!$C$9, $D$9, 100%, $F$9) + CHOOSE(CONTROL!$C$27, 0.0021, 0)</f>
        <v>52.206099999999999</v>
      </c>
      <c r="I210" s="14">
        <f>52.204 * CHOOSE(CONTROL!$C$9, $D$9, 100%, $F$9) + CHOOSE(CONTROL!$C$27, 0.0021, 0)</f>
        <v>52.206099999999999</v>
      </c>
      <c r="J210" s="14">
        <f>52.204 * CHOOSE(CONTROL!$C$9, $D$9, 100%, $F$9) + CHOOSE(CONTROL!$C$27, 0.0021, 0)</f>
        <v>52.206099999999999</v>
      </c>
      <c r="K210" s="14">
        <f>52.204 * CHOOSE(CONTROL!$C$9, $D$9, 100%, $F$9) + CHOOSE(CONTROL!$C$27, 0.0021, 0)</f>
        <v>52.206099999999999</v>
      </c>
      <c r="L210" s="14"/>
    </row>
    <row r="211" spans="1:12" ht="15" x14ac:dyDescent="0.2">
      <c r="A211" s="13">
        <v>47331</v>
      </c>
      <c r="B211" s="14">
        <f>53.043 * CHOOSE(CONTROL!$C$9, $D$9, 100%, $F$9) + CHOOSE(CONTROL!$C$27, 0.0021, 0)</f>
        <v>53.045099999999998</v>
      </c>
      <c r="C211" s="14">
        <f>52.6107 * CHOOSE(CONTROL!$C$9, $D$9, 100%, $F$9) + CHOOSE(CONTROL!$C$27, 0.0021, 0)</f>
        <v>52.6128</v>
      </c>
      <c r="D211" s="14">
        <f>52.6107 * CHOOSE(CONTROL!$C$9, $D$9, 100%, $F$9) + CHOOSE(CONTROL!$C$27, 0.0021, 0)</f>
        <v>52.6128</v>
      </c>
      <c r="E211" s="14">
        <f>52.4741 * CHOOSE(CONTROL!$C$9, $D$9, 100%, $F$9) + CHOOSE(CONTROL!$C$27, 0.0021, 0)</f>
        <v>52.476199999999999</v>
      </c>
      <c r="F211" s="14">
        <f>52.4741 * CHOOSE(CONTROL!$C$9, $D$9, 100%, $F$9) + CHOOSE(CONTROL!$C$27, 0.0021, 0)</f>
        <v>52.476199999999999</v>
      </c>
      <c r="G211" s="14">
        <f>52.7454 * CHOOSE(CONTROL!$C$9, $D$9, 100%, $F$9) + CHOOSE(CONTROL!$C$27, 0.0021, 0)</f>
        <v>52.747499999999995</v>
      </c>
      <c r="H211" s="14">
        <f>52.6107 * CHOOSE(CONTROL!$C$9, $D$9, 100%, $F$9) + CHOOSE(CONTROL!$C$27, 0.0021, 0)</f>
        <v>52.6128</v>
      </c>
      <c r="I211" s="14">
        <f>52.6107 * CHOOSE(CONTROL!$C$9, $D$9, 100%, $F$9) + CHOOSE(CONTROL!$C$27, 0.0021, 0)</f>
        <v>52.6128</v>
      </c>
      <c r="J211" s="14">
        <f>52.6107 * CHOOSE(CONTROL!$C$9, $D$9, 100%, $F$9) + CHOOSE(CONTROL!$C$27, 0.0021, 0)</f>
        <v>52.6128</v>
      </c>
      <c r="K211" s="14">
        <f>52.6107 * CHOOSE(CONTROL!$C$9, $D$9, 100%, $F$9) + CHOOSE(CONTROL!$C$27, 0.0021, 0)</f>
        <v>52.6128</v>
      </c>
      <c r="L211" s="14"/>
    </row>
    <row r="212" spans="1:12" ht="15" x14ac:dyDescent="0.2">
      <c r="A212" s="13">
        <v>47362</v>
      </c>
      <c r="B212" s="14">
        <f>54.1816 * CHOOSE(CONTROL!$C$9, $D$9, 100%, $F$9) + CHOOSE(CONTROL!$C$27, 0.0021, 0)</f>
        <v>54.183700000000002</v>
      </c>
      <c r="C212" s="14">
        <f>53.7494 * CHOOSE(CONTROL!$C$9, $D$9, 100%, $F$9) + CHOOSE(CONTROL!$C$27, 0.0021, 0)</f>
        <v>53.7515</v>
      </c>
      <c r="D212" s="14">
        <f>53.7494 * CHOOSE(CONTROL!$C$9, $D$9, 100%, $F$9) + CHOOSE(CONTROL!$C$27, 0.0021, 0)</f>
        <v>53.7515</v>
      </c>
      <c r="E212" s="14">
        <f>53.6127 * CHOOSE(CONTROL!$C$9, $D$9, 100%, $F$9) + CHOOSE(CONTROL!$C$27, 0.0021, 0)</f>
        <v>53.614799999999995</v>
      </c>
      <c r="F212" s="14">
        <f>53.6127 * CHOOSE(CONTROL!$C$9, $D$9, 100%, $F$9) + CHOOSE(CONTROL!$C$27, 0.0021, 0)</f>
        <v>53.614799999999995</v>
      </c>
      <c r="G212" s="14">
        <f>53.8841 * CHOOSE(CONTROL!$C$9, $D$9, 100%, $F$9) + CHOOSE(CONTROL!$C$27, 0.0021, 0)</f>
        <v>53.886199999999995</v>
      </c>
      <c r="H212" s="14">
        <f>53.7494 * CHOOSE(CONTROL!$C$9, $D$9, 100%, $F$9) + CHOOSE(CONTROL!$C$27, 0.0021, 0)</f>
        <v>53.7515</v>
      </c>
      <c r="I212" s="14">
        <f>53.7494 * CHOOSE(CONTROL!$C$9, $D$9, 100%, $F$9) + CHOOSE(CONTROL!$C$27, 0.0021, 0)</f>
        <v>53.7515</v>
      </c>
      <c r="J212" s="14">
        <f>53.7494 * CHOOSE(CONTROL!$C$9, $D$9, 100%, $F$9) + CHOOSE(CONTROL!$C$27, 0.0021, 0)</f>
        <v>53.7515</v>
      </c>
      <c r="K212" s="14">
        <f>53.7494 * CHOOSE(CONTROL!$C$9, $D$9, 100%, $F$9) + CHOOSE(CONTROL!$C$27, 0.0021, 0)</f>
        <v>53.7515</v>
      </c>
      <c r="L212" s="14"/>
    </row>
    <row r="213" spans="1:12" ht="15" x14ac:dyDescent="0.2">
      <c r="A213" s="13">
        <v>47392</v>
      </c>
      <c r="B213" s="14">
        <f>55.6003 * CHOOSE(CONTROL!$C$9, $D$9, 100%, $F$9) + CHOOSE(CONTROL!$C$27, 0.0021, 0)</f>
        <v>55.602399999999996</v>
      </c>
      <c r="C213" s="14">
        <f>55.168 * CHOOSE(CONTROL!$C$9, $D$9, 100%, $F$9) + CHOOSE(CONTROL!$C$27, 0.0021, 0)</f>
        <v>55.170099999999998</v>
      </c>
      <c r="D213" s="14">
        <f>55.168 * CHOOSE(CONTROL!$C$9, $D$9, 100%, $F$9) + CHOOSE(CONTROL!$C$27, 0.0021, 0)</f>
        <v>55.170099999999998</v>
      </c>
      <c r="E213" s="14">
        <f>55.0314 * CHOOSE(CONTROL!$C$9, $D$9, 100%, $F$9) + CHOOSE(CONTROL!$C$27, 0.0021, 0)</f>
        <v>55.033499999999997</v>
      </c>
      <c r="F213" s="14">
        <f>55.0314 * CHOOSE(CONTROL!$C$9, $D$9, 100%, $F$9) + CHOOSE(CONTROL!$C$27, 0.0021, 0)</f>
        <v>55.033499999999997</v>
      </c>
      <c r="G213" s="14">
        <f>55.3027 * CHOOSE(CONTROL!$C$9, $D$9, 100%, $F$9) + CHOOSE(CONTROL!$C$27, 0.0021, 0)</f>
        <v>55.3048</v>
      </c>
      <c r="H213" s="14">
        <f>55.168 * CHOOSE(CONTROL!$C$9, $D$9, 100%, $F$9) + CHOOSE(CONTROL!$C$27, 0.0021, 0)</f>
        <v>55.170099999999998</v>
      </c>
      <c r="I213" s="14">
        <f>55.168 * CHOOSE(CONTROL!$C$9, $D$9, 100%, $F$9) + CHOOSE(CONTROL!$C$27, 0.0021, 0)</f>
        <v>55.170099999999998</v>
      </c>
      <c r="J213" s="14">
        <f>55.168 * CHOOSE(CONTROL!$C$9, $D$9, 100%, $F$9) + CHOOSE(CONTROL!$C$27, 0.0021, 0)</f>
        <v>55.170099999999998</v>
      </c>
      <c r="K213" s="14">
        <f>55.168 * CHOOSE(CONTROL!$C$9, $D$9, 100%, $F$9) + CHOOSE(CONTROL!$C$27, 0.0021, 0)</f>
        <v>55.170099999999998</v>
      </c>
      <c r="L213" s="14"/>
    </row>
    <row r="214" spans="1:12" ht="15" x14ac:dyDescent="0.2">
      <c r="A214" s="13">
        <v>47423</v>
      </c>
      <c r="B214" s="14">
        <f>55.8335 * CHOOSE(CONTROL!$C$9, $D$9, 100%, $F$9) + CHOOSE(CONTROL!$C$27, 0.0021, 0)</f>
        <v>55.835599999999999</v>
      </c>
      <c r="C214" s="14">
        <f>55.4012 * CHOOSE(CONTROL!$C$9, $D$9, 100%, $F$9) + CHOOSE(CONTROL!$C$27, 0.0021, 0)</f>
        <v>55.403300000000002</v>
      </c>
      <c r="D214" s="14">
        <f>55.4012 * CHOOSE(CONTROL!$C$9, $D$9, 100%, $F$9) + CHOOSE(CONTROL!$C$27, 0.0021, 0)</f>
        <v>55.403300000000002</v>
      </c>
      <c r="E214" s="14">
        <f>55.2646 * CHOOSE(CONTROL!$C$9, $D$9, 100%, $F$9) + CHOOSE(CONTROL!$C$27, 0.0021, 0)</f>
        <v>55.2667</v>
      </c>
      <c r="F214" s="14">
        <f>55.2646 * CHOOSE(CONTROL!$C$9, $D$9, 100%, $F$9) + CHOOSE(CONTROL!$C$27, 0.0021, 0)</f>
        <v>55.2667</v>
      </c>
      <c r="G214" s="14">
        <f>55.5359 * CHOOSE(CONTROL!$C$9, $D$9, 100%, $F$9) + CHOOSE(CONTROL!$C$27, 0.0021, 0)</f>
        <v>55.537999999999997</v>
      </c>
      <c r="H214" s="14">
        <f>55.4012 * CHOOSE(CONTROL!$C$9, $D$9, 100%, $F$9) + CHOOSE(CONTROL!$C$27, 0.0021, 0)</f>
        <v>55.403300000000002</v>
      </c>
      <c r="I214" s="14">
        <f>55.4012 * CHOOSE(CONTROL!$C$9, $D$9, 100%, $F$9) + CHOOSE(CONTROL!$C$27, 0.0021, 0)</f>
        <v>55.403300000000002</v>
      </c>
      <c r="J214" s="14">
        <f>55.4012 * CHOOSE(CONTROL!$C$9, $D$9, 100%, $F$9) + CHOOSE(CONTROL!$C$27, 0.0021, 0)</f>
        <v>55.403300000000002</v>
      </c>
      <c r="K214" s="14">
        <f>55.4012 * CHOOSE(CONTROL!$C$9, $D$9, 100%, $F$9) + CHOOSE(CONTROL!$C$27, 0.0021, 0)</f>
        <v>55.403300000000002</v>
      </c>
      <c r="L214" s="14"/>
    </row>
    <row r="215" spans="1:12" ht="15" x14ac:dyDescent="0.2">
      <c r="A215" s="13">
        <v>47453</v>
      </c>
      <c r="B215" s="14">
        <f>54.8918 * CHOOSE(CONTROL!$C$9, $D$9, 100%, $F$9) + CHOOSE(CONTROL!$C$27, 0.0021, 0)</f>
        <v>54.893900000000002</v>
      </c>
      <c r="C215" s="14">
        <f>54.4595 * CHOOSE(CONTROL!$C$9, $D$9, 100%, $F$9) + CHOOSE(CONTROL!$C$27, 0.0021, 0)</f>
        <v>54.461599999999997</v>
      </c>
      <c r="D215" s="14">
        <f>54.4595 * CHOOSE(CONTROL!$C$9, $D$9, 100%, $F$9) + CHOOSE(CONTROL!$C$27, 0.0021, 0)</f>
        <v>54.461599999999997</v>
      </c>
      <c r="E215" s="14">
        <f>54.3229 * CHOOSE(CONTROL!$C$9, $D$9, 100%, $F$9) + CHOOSE(CONTROL!$C$27, 0.0021, 0)</f>
        <v>54.324999999999996</v>
      </c>
      <c r="F215" s="14">
        <f>54.3229 * CHOOSE(CONTROL!$C$9, $D$9, 100%, $F$9) + CHOOSE(CONTROL!$C$27, 0.0021, 0)</f>
        <v>54.324999999999996</v>
      </c>
      <c r="G215" s="14">
        <f>54.5942 * CHOOSE(CONTROL!$C$9, $D$9, 100%, $F$9) + CHOOSE(CONTROL!$C$27, 0.0021, 0)</f>
        <v>54.596299999999999</v>
      </c>
      <c r="H215" s="14">
        <f>54.4595 * CHOOSE(CONTROL!$C$9, $D$9, 100%, $F$9) + CHOOSE(CONTROL!$C$27, 0.0021, 0)</f>
        <v>54.461599999999997</v>
      </c>
      <c r="I215" s="14">
        <f>54.4595 * CHOOSE(CONTROL!$C$9, $D$9, 100%, $F$9) + CHOOSE(CONTROL!$C$27, 0.0021, 0)</f>
        <v>54.461599999999997</v>
      </c>
      <c r="J215" s="14">
        <f>54.4595 * CHOOSE(CONTROL!$C$9, $D$9, 100%, $F$9) + CHOOSE(CONTROL!$C$27, 0.0021, 0)</f>
        <v>54.461599999999997</v>
      </c>
      <c r="K215" s="14">
        <f>54.4595 * CHOOSE(CONTROL!$C$9, $D$9, 100%, $F$9) + CHOOSE(CONTROL!$C$27, 0.0021, 0)</f>
        <v>54.461599999999997</v>
      </c>
      <c r="L215" s="14"/>
    </row>
    <row r="216" spans="1:12" ht="15" x14ac:dyDescent="0.2">
      <c r="A216" s="13">
        <v>47484</v>
      </c>
      <c r="B216" s="14">
        <f>54.316 * CHOOSE(CONTROL!$C$9, $D$9, 100%, $F$9) + CHOOSE(CONTROL!$C$27, 0.0021, 0)</f>
        <v>54.318100000000001</v>
      </c>
      <c r="C216" s="14">
        <f>53.8837 * CHOOSE(CONTROL!$C$9, $D$9, 100%, $F$9) + CHOOSE(CONTROL!$C$27, 0.0021, 0)</f>
        <v>53.885799999999996</v>
      </c>
      <c r="D216" s="14">
        <f>53.8837 * CHOOSE(CONTROL!$C$9, $D$9, 100%, $F$9) + CHOOSE(CONTROL!$C$27, 0.0021, 0)</f>
        <v>53.885799999999996</v>
      </c>
      <c r="E216" s="14">
        <f>53.7471 * CHOOSE(CONTROL!$C$9, $D$9, 100%, $F$9) + CHOOSE(CONTROL!$C$27, 0.0021, 0)</f>
        <v>53.749200000000002</v>
      </c>
      <c r="F216" s="14">
        <f>53.7471 * CHOOSE(CONTROL!$C$9, $D$9, 100%, $F$9) + CHOOSE(CONTROL!$C$27, 0.0021, 0)</f>
        <v>53.749200000000002</v>
      </c>
      <c r="G216" s="14">
        <f>54.0184 * CHOOSE(CONTROL!$C$9, $D$9, 100%, $F$9) + CHOOSE(CONTROL!$C$27, 0.0021, 0)</f>
        <v>54.020499999999998</v>
      </c>
      <c r="H216" s="14">
        <f>53.8837 * CHOOSE(CONTROL!$C$9, $D$9, 100%, $F$9) + CHOOSE(CONTROL!$C$27, 0.0021, 0)</f>
        <v>53.885799999999996</v>
      </c>
      <c r="I216" s="14">
        <f>53.8837 * CHOOSE(CONTROL!$C$9, $D$9, 100%, $F$9) + CHOOSE(CONTROL!$C$27, 0.0021, 0)</f>
        <v>53.885799999999996</v>
      </c>
      <c r="J216" s="14">
        <f>53.8837 * CHOOSE(CONTROL!$C$9, $D$9, 100%, $F$9) + CHOOSE(CONTROL!$C$27, 0.0021, 0)</f>
        <v>53.885799999999996</v>
      </c>
      <c r="K216" s="14">
        <f>53.8837 * CHOOSE(CONTROL!$C$9, $D$9, 100%, $F$9) + CHOOSE(CONTROL!$C$27, 0.0021, 0)</f>
        <v>53.885799999999996</v>
      </c>
      <c r="L216" s="14"/>
    </row>
    <row r="217" spans="1:12" ht="15" x14ac:dyDescent="0.2">
      <c r="A217" s="13">
        <v>47515</v>
      </c>
      <c r="B217" s="14">
        <f>52.9486 * CHOOSE(CONTROL!$C$9, $D$9, 100%, $F$9) + CHOOSE(CONTROL!$C$27, 0.0021, 0)</f>
        <v>52.950699999999998</v>
      </c>
      <c r="C217" s="14">
        <f>52.5163 * CHOOSE(CONTROL!$C$9, $D$9, 100%, $F$9) + CHOOSE(CONTROL!$C$27, 0.0021, 0)</f>
        <v>52.5184</v>
      </c>
      <c r="D217" s="14">
        <f>52.5163 * CHOOSE(CONTROL!$C$9, $D$9, 100%, $F$9) + CHOOSE(CONTROL!$C$27, 0.0021, 0)</f>
        <v>52.5184</v>
      </c>
      <c r="E217" s="14">
        <f>52.3797 * CHOOSE(CONTROL!$C$9, $D$9, 100%, $F$9) + CHOOSE(CONTROL!$C$27, 0.0021, 0)</f>
        <v>52.381799999999998</v>
      </c>
      <c r="F217" s="14">
        <f>52.3797 * CHOOSE(CONTROL!$C$9, $D$9, 100%, $F$9) + CHOOSE(CONTROL!$C$27, 0.0021, 0)</f>
        <v>52.381799999999998</v>
      </c>
      <c r="G217" s="14">
        <f>52.6511 * CHOOSE(CONTROL!$C$9, $D$9, 100%, $F$9) + CHOOSE(CONTROL!$C$27, 0.0021, 0)</f>
        <v>52.653199999999998</v>
      </c>
      <c r="H217" s="14">
        <f>52.5163 * CHOOSE(CONTROL!$C$9, $D$9, 100%, $F$9) + CHOOSE(CONTROL!$C$27, 0.0021, 0)</f>
        <v>52.5184</v>
      </c>
      <c r="I217" s="14">
        <f>52.5163 * CHOOSE(CONTROL!$C$9, $D$9, 100%, $F$9) + CHOOSE(CONTROL!$C$27, 0.0021, 0)</f>
        <v>52.5184</v>
      </c>
      <c r="J217" s="14">
        <f>52.5163 * CHOOSE(CONTROL!$C$9, $D$9, 100%, $F$9) + CHOOSE(CONTROL!$C$27, 0.0021, 0)</f>
        <v>52.5184</v>
      </c>
      <c r="K217" s="14">
        <f>52.5163 * CHOOSE(CONTROL!$C$9, $D$9, 100%, $F$9) + CHOOSE(CONTROL!$C$27, 0.0021, 0)</f>
        <v>52.5184</v>
      </c>
      <c r="L217" s="14"/>
    </row>
    <row r="218" spans="1:12" ht="15" x14ac:dyDescent="0.2">
      <c r="A218" s="13">
        <v>47543</v>
      </c>
      <c r="B218" s="14">
        <f>52.443 * CHOOSE(CONTROL!$C$9, $D$9, 100%, $F$9) + CHOOSE(CONTROL!$C$27, 0.0021, 0)</f>
        <v>52.445099999999996</v>
      </c>
      <c r="C218" s="14">
        <f>52.0108 * CHOOSE(CONTROL!$C$9, $D$9, 100%, $F$9) + CHOOSE(CONTROL!$C$27, 0.0021, 0)</f>
        <v>52.012900000000002</v>
      </c>
      <c r="D218" s="14">
        <f>52.0108 * CHOOSE(CONTROL!$C$9, $D$9, 100%, $F$9) + CHOOSE(CONTROL!$C$27, 0.0021, 0)</f>
        <v>52.012900000000002</v>
      </c>
      <c r="E218" s="14">
        <f>51.8741 * CHOOSE(CONTROL!$C$9, $D$9, 100%, $F$9) + CHOOSE(CONTROL!$C$27, 0.0021, 0)</f>
        <v>51.876199999999997</v>
      </c>
      <c r="F218" s="14">
        <f>51.8741 * CHOOSE(CONTROL!$C$9, $D$9, 100%, $F$9) + CHOOSE(CONTROL!$C$27, 0.0021, 0)</f>
        <v>51.876199999999997</v>
      </c>
      <c r="G218" s="14">
        <f>52.1455 * CHOOSE(CONTROL!$C$9, $D$9, 100%, $F$9) + CHOOSE(CONTROL!$C$27, 0.0021, 0)</f>
        <v>52.147599999999997</v>
      </c>
      <c r="H218" s="14">
        <f>52.0108 * CHOOSE(CONTROL!$C$9, $D$9, 100%, $F$9) + CHOOSE(CONTROL!$C$27, 0.0021, 0)</f>
        <v>52.012900000000002</v>
      </c>
      <c r="I218" s="14">
        <f>52.0108 * CHOOSE(CONTROL!$C$9, $D$9, 100%, $F$9) + CHOOSE(CONTROL!$C$27, 0.0021, 0)</f>
        <v>52.012900000000002</v>
      </c>
      <c r="J218" s="14">
        <f>52.0108 * CHOOSE(CONTROL!$C$9, $D$9, 100%, $F$9) + CHOOSE(CONTROL!$C$27, 0.0021, 0)</f>
        <v>52.012900000000002</v>
      </c>
      <c r="K218" s="14">
        <f>52.0108 * CHOOSE(CONTROL!$C$9, $D$9, 100%, $F$9) + CHOOSE(CONTROL!$C$27, 0.0021, 0)</f>
        <v>52.012900000000002</v>
      </c>
      <c r="L218" s="14"/>
    </row>
    <row r="219" spans="1:12" ht="15" x14ac:dyDescent="0.2">
      <c r="A219" s="13">
        <v>47574</v>
      </c>
      <c r="B219" s="14">
        <f>51.8165 * CHOOSE(CONTROL!$C$9, $D$9, 100%, $F$9) + CHOOSE(CONTROL!$C$27, 0.0021, 0)</f>
        <v>51.818599999999996</v>
      </c>
      <c r="C219" s="14">
        <f>51.3843 * CHOOSE(CONTROL!$C$9, $D$9, 100%, $F$9) + CHOOSE(CONTROL!$C$27, 0.0021, 0)</f>
        <v>51.386400000000002</v>
      </c>
      <c r="D219" s="14">
        <f>51.3843 * CHOOSE(CONTROL!$C$9, $D$9, 100%, $F$9) + CHOOSE(CONTROL!$C$27, 0.0021, 0)</f>
        <v>51.386400000000002</v>
      </c>
      <c r="E219" s="14">
        <f>51.2476 * CHOOSE(CONTROL!$C$9, $D$9, 100%, $F$9) + CHOOSE(CONTROL!$C$27, 0.0021, 0)</f>
        <v>51.249699999999997</v>
      </c>
      <c r="F219" s="14">
        <f>51.2476 * CHOOSE(CONTROL!$C$9, $D$9, 100%, $F$9) + CHOOSE(CONTROL!$C$27, 0.0021, 0)</f>
        <v>51.249699999999997</v>
      </c>
      <c r="G219" s="14">
        <f>51.519 * CHOOSE(CONTROL!$C$9, $D$9, 100%, $F$9) + CHOOSE(CONTROL!$C$27, 0.0021, 0)</f>
        <v>51.521099999999997</v>
      </c>
      <c r="H219" s="14">
        <f>51.3843 * CHOOSE(CONTROL!$C$9, $D$9, 100%, $F$9) + CHOOSE(CONTROL!$C$27, 0.0021, 0)</f>
        <v>51.386400000000002</v>
      </c>
      <c r="I219" s="14">
        <f>51.3843 * CHOOSE(CONTROL!$C$9, $D$9, 100%, $F$9) + CHOOSE(CONTROL!$C$27, 0.0021, 0)</f>
        <v>51.386400000000002</v>
      </c>
      <c r="J219" s="14">
        <f>51.3843 * CHOOSE(CONTROL!$C$9, $D$9, 100%, $F$9) + CHOOSE(CONTROL!$C$27, 0.0021, 0)</f>
        <v>51.386400000000002</v>
      </c>
      <c r="K219" s="14">
        <f>51.3843 * CHOOSE(CONTROL!$C$9, $D$9, 100%, $F$9) + CHOOSE(CONTROL!$C$27, 0.0021, 0)</f>
        <v>51.386400000000002</v>
      </c>
      <c r="L219" s="14"/>
    </row>
    <row r="220" spans="1:12" ht="15" x14ac:dyDescent="0.2">
      <c r="A220" s="13">
        <v>47604</v>
      </c>
      <c r="B220" s="14">
        <f>52.9607 * CHOOSE(CONTROL!$C$9, $D$9, 100%, $F$9) + CHOOSE(CONTROL!$C$27, 0.0021, 0)</f>
        <v>52.962800000000001</v>
      </c>
      <c r="C220" s="14">
        <f>52.5285 * CHOOSE(CONTROL!$C$9, $D$9, 100%, $F$9) + CHOOSE(CONTROL!$C$27, 0.0021, 0)</f>
        <v>52.5306</v>
      </c>
      <c r="D220" s="14">
        <f>52.5285 * CHOOSE(CONTROL!$C$9, $D$9, 100%, $F$9) + CHOOSE(CONTROL!$C$27, 0.0021, 0)</f>
        <v>52.5306</v>
      </c>
      <c r="E220" s="14">
        <f>52.3918 * CHOOSE(CONTROL!$C$9, $D$9, 100%, $F$9) + CHOOSE(CONTROL!$C$27, 0.0021, 0)</f>
        <v>52.393900000000002</v>
      </c>
      <c r="F220" s="14">
        <f>52.3918 * CHOOSE(CONTROL!$C$9, $D$9, 100%, $F$9) + CHOOSE(CONTROL!$C$27, 0.0021, 0)</f>
        <v>52.393900000000002</v>
      </c>
      <c r="G220" s="14">
        <f>52.6632 * CHOOSE(CONTROL!$C$9, $D$9, 100%, $F$9) + CHOOSE(CONTROL!$C$27, 0.0021, 0)</f>
        <v>52.665300000000002</v>
      </c>
      <c r="H220" s="14">
        <f>52.5285 * CHOOSE(CONTROL!$C$9, $D$9, 100%, $F$9) + CHOOSE(CONTROL!$C$27, 0.0021, 0)</f>
        <v>52.5306</v>
      </c>
      <c r="I220" s="14">
        <f>52.5285 * CHOOSE(CONTROL!$C$9, $D$9, 100%, $F$9) + CHOOSE(CONTROL!$C$27, 0.0021, 0)</f>
        <v>52.5306</v>
      </c>
      <c r="J220" s="14">
        <f>52.5285 * CHOOSE(CONTROL!$C$9, $D$9, 100%, $F$9) + CHOOSE(CONTROL!$C$27, 0.0021, 0)</f>
        <v>52.5306</v>
      </c>
      <c r="K220" s="14">
        <f>52.5285 * CHOOSE(CONTROL!$C$9, $D$9, 100%, $F$9) + CHOOSE(CONTROL!$C$27, 0.0021, 0)</f>
        <v>52.5306</v>
      </c>
      <c r="L220" s="14"/>
    </row>
    <row r="221" spans="1:12" ht="15" x14ac:dyDescent="0.2">
      <c r="A221" s="13">
        <v>47635</v>
      </c>
      <c r="B221" s="14">
        <f>53.6906 * CHOOSE(CONTROL!$C$9, $D$9, 100%, $F$9) + CHOOSE(CONTROL!$C$27, 0.0021, 0)</f>
        <v>53.692700000000002</v>
      </c>
      <c r="C221" s="14">
        <f>53.2583 * CHOOSE(CONTROL!$C$9, $D$9, 100%, $F$9) + CHOOSE(CONTROL!$C$27, 0.0021, 0)</f>
        <v>53.260399999999997</v>
      </c>
      <c r="D221" s="14">
        <f>53.2583 * CHOOSE(CONTROL!$C$9, $D$9, 100%, $F$9) + CHOOSE(CONTROL!$C$27, 0.0021, 0)</f>
        <v>53.260399999999997</v>
      </c>
      <c r="E221" s="14">
        <f>53.1217 * CHOOSE(CONTROL!$C$9, $D$9, 100%, $F$9) + CHOOSE(CONTROL!$C$27, 0.0021, 0)</f>
        <v>53.123799999999996</v>
      </c>
      <c r="F221" s="14">
        <f>53.1217 * CHOOSE(CONTROL!$C$9, $D$9, 100%, $F$9) + CHOOSE(CONTROL!$C$27, 0.0021, 0)</f>
        <v>53.123799999999996</v>
      </c>
      <c r="G221" s="14">
        <f>53.393 * CHOOSE(CONTROL!$C$9, $D$9, 100%, $F$9) + CHOOSE(CONTROL!$C$27, 0.0021, 0)</f>
        <v>53.395099999999999</v>
      </c>
      <c r="H221" s="14">
        <f>53.2583 * CHOOSE(CONTROL!$C$9, $D$9, 100%, $F$9) + CHOOSE(CONTROL!$C$27, 0.0021, 0)</f>
        <v>53.260399999999997</v>
      </c>
      <c r="I221" s="14">
        <f>53.2583 * CHOOSE(CONTROL!$C$9, $D$9, 100%, $F$9) + CHOOSE(CONTROL!$C$27, 0.0021, 0)</f>
        <v>53.260399999999997</v>
      </c>
      <c r="J221" s="14">
        <f>53.2583 * CHOOSE(CONTROL!$C$9, $D$9, 100%, $F$9) + CHOOSE(CONTROL!$C$27, 0.0021, 0)</f>
        <v>53.260399999999997</v>
      </c>
      <c r="K221" s="14">
        <f>53.2583 * CHOOSE(CONTROL!$C$9, $D$9, 100%, $F$9) + CHOOSE(CONTROL!$C$27, 0.0021, 0)</f>
        <v>53.260399999999997</v>
      </c>
      <c r="L221" s="14"/>
    </row>
    <row r="222" spans="1:12" ht="15" x14ac:dyDescent="0.2">
      <c r="A222" s="13">
        <v>47665</v>
      </c>
      <c r="B222" s="14">
        <f>54.8304 * CHOOSE(CONTROL!$C$9, $D$9, 100%, $F$9) + CHOOSE(CONTROL!$C$27, 0.0021, 0)</f>
        <v>54.832499999999996</v>
      </c>
      <c r="C222" s="14">
        <f>54.3982 * CHOOSE(CONTROL!$C$9, $D$9, 100%, $F$9) + CHOOSE(CONTROL!$C$27, 0.0021, 0)</f>
        <v>54.400300000000001</v>
      </c>
      <c r="D222" s="14">
        <f>54.3982 * CHOOSE(CONTROL!$C$9, $D$9, 100%, $F$9) + CHOOSE(CONTROL!$C$27, 0.0021, 0)</f>
        <v>54.400300000000001</v>
      </c>
      <c r="E222" s="14">
        <f>54.2615 * CHOOSE(CONTROL!$C$9, $D$9, 100%, $F$9) + CHOOSE(CONTROL!$C$27, 0.0021, 0)</f>
        <v>54.263599999999997</v>
      </c>
      <c r="F222" s="14">
        <f>54.2615 * CHOOSE(CONTROL!$C$9, $D$9, 100%, $F$9) + CHOOSE(CONTROL!$C$27, 0.0021, 0)</f>
        <v>54.263599999999997</v>
      </c>
      <c r="G222" s="14">
        <f>54.5329 * CHOOSE(CONTROL!$C$9, $D$9, 100%, $F$9) + CHOOSE(CONTROL!$C$27, 0.0021, 0)</f>
        <v>54.534999999999997</v>
      </c>
      <c r="H222" s="14">
        <f>54.3982 * CHOOSE(CONTROL!$C$9, $D$9, 100%, $F$9) + CHOOSE(CONTROL!$C$27, 0.0021, 0)</f>
        <v>54.400300000000001</v>
      </c>
      <c r="I222" s="14">
        <f>54.3982 * CHOOSE(CONTROL!$C$9, $D$9, 100%, $F$9) + CHOOSE(CONTROL!$C$27, 0.0021, 0)</f>
        <v>54.400300000000001</v>
      </c>
      <c r="J222" s="14">
        <f>54.3982 * CHOOSE(CONTROL!$C$9, $D$9, 100%, $F$9) + CHOOSE(CONTROL!$C$27, 0.0021, 0)</f>
        <v>54.400300000000001</v>
      </c>
      <c r="K222" s="14">
        <f>54.3982 * CHOOSE(CONTROL!$C$9, $D$9, 100%, $F$9) + CHOOSE(CONTROL!$C$27, 0.0021, 0)</f>
        <v>54.400300000000001</v>
      </c>
      <c r="L222" s="14"/>
    </row>
    <row r="223" spans="1:12" ht="15" x14ac:dyDescent="0.2">
      <c r="A223" s="13">
        <v>47696</v>
      </c>
      <c r="B223" s="14">
        <f>55.146 * CHOOSE(CONTROL!$C$9, $D$9, 100%, $F$9) + CHOOSE(CONTROL!$C$27, 0.0021, 0)</f>
        <v>55.148099999999999</v>
      </c>
      <c r="C223" s="14">
        <f>54.7138 * CHOOSE(CONTROL!$C$9, $D$9, 100%, $F$9) + CHOOSE(CONTROL!$C$27, 0.0021, 0)</f>
        <v>54.715899999999998</v>
      </c>
      <c r="D223" s="14">
        <f>54.7138 * CHOOSE(CONTROL!$C$9, $D$9, 100%, $F$9) + CHOOSE(CONTROL!$C$27, 0.0021, 0)</f>
        <v>54.715899999999998</v>
      </c>
      <c r="E223" s="14">
        <f>54.5771 * CHOOSE(CONTROL!$C$9, $D$9, 100%, $F$9) + CHOOSE(CONTROL!$C$27, 0.0021, 0)</f>
        <v>54.5792</v>
      </c>
      <c r="F223" s="14">
        <f>54.5771 * CHOOSE(CONTROL!$C$9, $D$9, 100%, $F$9) + CHOOSE(CONTROL!$C$27, 0.0021, 0)</f>
        <v>54.5792</v>
      </c>
      <c r="G223" s="14">
        <f>54.8485 * CHOOSE(CONTROL!$C$9, $D$9, 100%, $F$9) + CHOOSE(CONTROL!$C$27, 0.0021, 0)</f>
        <v>54.8506</v>
      </c>
      <c r="H223" s="14">
        <f>54.7138 * CHOOSE(CONTROL!$C$9, $D$9, 100%, $F$9) + CHOOSE(CONTROL!$C$27, 0.0021, 0)</f>
        <v>54.715899999999998</v>
      </c>
      <c r="I223" s="14">
        <f>54.7138 * CHOOSE(CONTROL!$C$9, $D$9, 100%, $F$9) + CHOOSE(CONTROL!$C$27, 0.0021, 0)</f>
        <v>54.715899999999998</v>
      </c>
      <c r="J223" s="14">
        <f>54.7138 * CHOOSE(CONTROL!$C$9, $D$9, 100%, $F$9) + CHOOSE(CONTROL!$C$27, 0.0021, 0)</f>
        <v>54.715899999999998</v>
      </c>
      <c r="K223" s="14">
        <f>54.7138 * CHOOSE(CONTROL!$C$9, $D$9, 100%, $F$9) + CHOOSE(CONTROL!$C$27, 0.0021, 0)</f>
        <v>54.715899999999998</v>
      </c>
      <c r="L223" s="14"/>
    </row>
    <row r="224" spans="1:12" ht="15" x14ac:dyDescent="0.2">
      <c r="A224" s="13">
        <v>47727</v>
      </c>
      <c r="B224" s="14">
        <f>56.2208 * CHOOSE(CONTROL!$C$9, $D$9, 100%, $F$9) + CHOOSE(CONTROL!$C$27, 0.0021, 0)</f>
        <v>56.222899999999996</v>
      </c>
      <c r="C224" s="14">
        <f>55.7886 * CHOOSE(CONTROL!$C$9, $D$9, 100%, $F$9) + CHOOSE(CONTROL!$C$27, 0.0021, 0)</f>
        <v>55.790700000000001</v>
      </c>
      <c r="D224" s="14">
        <f>55.7886 * CHOOSE(CONTROL!$C$9, $D$9, 100%, $F$9) + CHOOSE(CONTROL!$C$27, 0.0021, 0)</f>
        <v>55.790700000000001</v>
      </c>
      <c r="E224" s="14">
        <f>55.6519 * CHOOSE(CONTROL!$C$9, $D$9, 100%, $F$9) + CHOOSE(CONTROL!$C$27, 0.0021, 0)</f>
        <v>55.653999999999996</v>
      </c>
      <c r="F224" s="14">
        <f>55.6519 * CHOOSE(CONTROL!$C$9, $D$9, 100%, $F$9) + CHOOSE(CONTROL!$C$27, 0.0021, 0)</f>
        <v>55.653999999999996</v>
      </c>
      <c r="G224" s="14">
        <f>55.9233 * CHOOSE(CONTROL!$C$9, $D$9, 100%, $F$9) + CHOOSE(CONTROL!$C$27, 0.0021, 0)</f>
        <v>55.925399999999996</v>
      </c>
      <c r="H224" s="14">
        <f>55.7886 * CHOOSE(CONTROL!$C$9, $D$9, 100%, $F$9) + CHOOSE(CONTROL!$C$27, 0.0021, 0)</f>
        <v>55.790700000000001</v>
      </c>
      <c r="I224" s="14">
        <f>55.7886 * CHOOSE(CONTROL!$C$9, $D$9, 100%, $F$9) + CHOOSE(CONTROL!$C$27, 0.0021, 0)</f>
        <v>55.790700000000001</v>
      </c>
      <c r="J224" s="14">
        <f>55.7886 * CHOOSE(CONTROL!$C$9, $D$9, 100%, $F$9) + CHOOSE(CONTROL!$C$27, 0.0021, 0)</f>
        <v>55.790700000000001</v>
      </c>
      <c r="K224" s="14">
        <f>55.7886 * CHOOSE(CONTROL!$C$9, $D$9, 100%, $F$9) + CHOOSE(CONTROL!$C$27, 0.0021, 0)</f>
        <v>55.790700000000001</v>
      </c>
      <c r="L224" s="14"/>
    </row>
    <row r="225" spans="1:12" ht="15" x14ac:dyDescent="0.2">
      <c r="A225" s="13">
        <v>47757</v>
      </c>
      <c r="B225" s="14">
        <f>57.5813 * CHOOSE(CONTROL!$C$9, $D$9, 100%, $F$9) + CHOOSE(CONTROL!$C$27, 0.0021, 0)</f>
        <v>57.583399999999997</v>
      </c>
      <c r="C225" s="14">
        <f>57.149 * CHOOSE(CONTROL!$C$9, $D$9, 100%, $F$9) + CHOOSE(CONTROL!$C$27, 0.0021, 0)</f>
        <v>57.1511</v>
      </c>
      <c r="D225" s="14">
        <f>57.149 * CHOOSE(CONTROL!$C$9, $D$9, 100%, $F$9) + CHOOSE(CONTROL!$C$27, 0.0021, 0)</f>
        <v>57.1511</v>
      </c>
      <c r="E225" s="14">
        <f>57.0124 * CHOOSE(CONTROL!$C$9, $D$9, 100%, $F$9) + CHOOSE(CONTROL!$C$27, 0.0021, 0)</f>
        <v>57.014499999999998</v>
      </c>
      <c r="F225" s="14">
        <f>57.0124 * CHOOSE(CONTROL!$C$9, $D$9, 100%, $F$9) + CHOOSE(CONTROL!$C$27, 0.0021, 0)</f>
        <v>57.014499999999998</v>
      </c>
      <c r="G225" s="14">
        <f>57.2838 * CHOOSE(CONTROL!$C$9, $D$9, 100%, $F$9) + CHOOSE(CONTROL!$C$27, 0.0021, 0)</f>
        <v>57.285899999999998</v>
      </c>
      <c r="H225" s="14">
        <f>57.149 * CHOOSE(CONTROL!$C$9, $D$9, 100%, $F$9) + CHOOSE(CONTROL!$C$27, 0.0021, 0)</f>
        <v>57.1511</v>
      </c>
      <c r="I225" s="14">
        <f>57.149 * CHOOSE(CONTROL!$C$9, $D$9, 100%, $F$9) + CHOOSE(CONTROL!$C$27, 0.0021, 0)</f>
        <v>57.1511</v>
      </c>
      <c r="J225" s="14">
        <f>57.149 * CHOOSE(CONTROL!$C$9, $D$9, 100%, $F$9) + CHOOSE(CONTROL!$C$27, 0.0021, 0)</f>
        <v>57.1511</v>
      </c>
      <c r="K225" s="14">
        <f>57.149 * CHOOSE(CONTROL!$C$9, $D$9, 100%, $F$9) + CHOOSE(CONTROL!$C$27, 0.0021, 0)</f>
        <v>57.1511</v>
      </c>
      <c r="L225" s="14"/>
    </row>
    <row r="226" spans="1:12" ht="15" x14ac:dyDescent="0.2">
      <c r="A226" s="13">
        <v>47788</v>
      </c>
      <c r="B226" s="14">
        <f>57.709 * CHOOSE(CONTROL!$C$9, $D$9, 100%, $F$9) + CHOOSE(CONTROL!$C$27, 0.0021, 0)</f>
        <v>57.711100000000002</v>
      </c>
      <c r="C226" s="14">
        <f>57.2768 * CHOOSE(CONTROL!$C$9, $D$9, 100%, $F$9) + CHOOSE(CONTROL!$C$27, 0.0021, 0)</f>
        <v>57.2789</v>
      </c>
      <c r="D226" s="14">
        <f>57.2768 * CHOOSE(CONTROL!$C$9, $D$9, 100%, $F$9) + CHOOSE(CONTROL!$C$27, 0.0021, 0)</f>
        <v>57.2789</v>
      </c>
      <c r="E226" s="14">
        <f>57.1401 * CHOOSE(CONTROL!$C$9, $D$9, 100%, $F$9) + CHOOSE(CONTROL!$C$27, 0.0021, 0)</f>
        <v>57.142199999999995</v>
      </c>
      <c r="F226" s="14">
        <f>57.1401 * CHOOSE(CONTROL!$C$9, $D$9, 100%, $F$9) + CHOOSE(CONTROL!$C$27, 0.0021, 0)</f>
        <v>57.142199999999995</v>
      </c>
      <c r="G226" s="14">
        <f>57.4115 * CHOOSE(CONTROL!$C$9, $D$9, 100%, $F$9) + CHOOSE(CONTROL!$C$27, 0.0021, 0)</f>
        <v>57.413599999999995</v>
      </c>
      <c r="H226" s="14">
        <f>57.2768 * CHOOSE(CONTROL!$C$9, $D$9, 100%, $F$9) + CHOOSE(CONTROL!$C$27, 0.0021, 0)</f>
        <v>57.2789</v>
      </c>
      <c r="I226" s="14">
        <f>57.2768 * CHOOSE(CONTROL!$C$9, $D$9, 100%, $F$9) + CHOOSE(CONTROL!$C$27, 0.0021, 0)</f>
        <v>57.2789</v>
      </c>
      <c r="J226" s="14">
        <f>57.2768 * CHOOSE(CONTROL!$C$9, $D$9, 100%, $F$9) + CHOOSE(CONTROL!$C$27, 0.0021, 0)</f>
        <v>57.2789</v>
      </c>
      <c r="K226" s="14">
        <f>57.2768 * CHOOSE(CONTROL!$C$9, $D$9, 100%, $F$9) + CHOOSE(CONTROL!$C$27, 0.0021, 0)</f>
        <v>57.2789</v>
      </c>
      <c r="L226" s="14"/>
    </row>
    <row r="227" spans="1:12" ht="15" x14ac:dyDescent="0.2">
      <c r="A227" s="13">
        <v>47818</v>
      </c>
      <c r="B227" s="14">
        <f>56.6224 * CHOOSE(CONTROL!$C$9, $D$9, 100%, $F$9) + CHOOSE(CONTROL!$C$27, 0.0021, 0)</f>
        <v>56.624499999999998</v>
      </c>
      <c r="C227" s="14">
        <f>56.1902 * CHOOSE(CONTROL!$C$9, $D$9, 100%, $F$9) + CHOOSE(CONTROL!$C$27, 0.0021, 0)</f>
        <v>56.192299999999996</v>
      </c>
      <c r="D227" s="14">
        <f>56.1902 * CHOOSE(CONTROL!$C$9, $D$9, 100%, $F$9) + CHOOSE(CONTROL!$C$27, 0.0021, 0)</f>
        <v>56.192299999999996</v>
      </c>
      <c r="E227" s="14">
        <f>56.0535 * CHOOSE(CONTROL!$C$9, $D$9, 100%, $F$9) + CHOOSE(CONTROL!$C$27, 0.0021, 0)</f>
        <v>56.055599999999998</v>
      </c>
      <c r="F227" s="14">
        <f>56.0535 * CHOOSE(CONTROL!$C$9, $D$9, 100%, $F$9) + CHOOSE(CONTROL!$C$27, 0.0021, 0)</f>
        <v>56.055599999999998</v>
      </c>
      <c r="G227" s="14">
        <f>56.3249 * CHOOSE(CONTROL!$C$9, $D$9, 100%, $F$9) + CHOOSE(CONTROL!$C$27, 0.0021, 0)</f>
        <v>56.326999999999998</v>
      </c>
      <c r="H227" s="14">
        <f>56.1902 * CHOOSE(CONTROL!$C$9, $D$9, 100%, $F$9) + CHOOSE(CONTROL!$C$27, 0.0021, 0)</f>
        <v>56.192299999999996</v>
      </c>
      <c r="I227" s="14">
        <f>56.1902 * CHOOSE(CONTROL!$C$9, $D$9, 100%, $F$9) + CHOOSE(CONTROL!$C$27, 0.0021, 0)</f>
        <v>56.192299999999996</v>
      </c>
      <c r="J227" s="14">
        <f>56.1902 * CHOOSE(CONTROL!$C$9, $D$9, 100%, $F$9) + CHOOSE(CONTROL!$C$27, 0.0021, 0)</f>
        <v>56.192299999999996</v>
      </c>
      <c r="K227" s="14">
        <f>56.1902 * CHOOSE(CONTROL!$C$9, $D$9, 100%, $F$9) + CHOOSE(CONTROL!$C$27, 0.0021, 0)</f>
        <v>56.192299999999996</v>
      </c>
      <c r="L227" s="14"/>
    </row>
    <row r="228" spans="1:12" ht="15" x14ac:dyDescent="0.2">
      <c r="A228" s="13">
        <v>47849</v>
      </c>
      <c r="B228" s="14">
        <f>55.9356 * CHOOSE(CONTROL!$C$9, $D$9, 100%, $F$9) + CHOOSE(CONTROL!$C$27, 0.0021, 0)</f>
        <v>55.9377</v>
      </c>
      <c r="C228" s="14">
        <f>55.5034 * CHOOSE(CONTROL!$C$9, $D$9, 100%, $F$9) + CHOOSE(CONTROL!$C$27, 0.0021, 0)</f>
        <v>55.505499999999998</v>
      </c>
      <c r="D228" s="14">
        <f>55.5034 * CHOOSE(CONTROL!$C$9, $D$9, 100%, $F$9) + CHOOSE(CONTROL!$C$27, 0.0021, 0)</f>
        <v>55.505499999999998</v>
      </c>
      <c r="E228" s="14">
        <f>55.3667 * CHOOSE(CONTROL!$C$9, $D$9, 100%, $F$9) + CHOOSE(CONTROL!$C$27, 0.0021, 0)</f>
        <v>55.3688</v>
      </c>
      <c r="F228" s="14">
        <f>55.3667 * CHOOSE(CONTROL!$C$9, $D$9, 100%, $F$9) + CHOOSE(CONTROL!$C$27, 0.0021, 0)</f>
        <v>55.3688</v>
      </c>
      <c r="G228" s="14">
        <f>55.6381 * CHOOSE(CONTROL!$C$9, $D$9, 100%, $F$9) + CHOOSE(CONTROL!$C$27, 0.0021, 0)</f>
        <v>55.6402</v>
      </c>
      <c r="H228" s="14">
        <f>55.5034 * CHOOSE(CONTROL!$C$9, $D$9, 100%, $F$9) + CHOOSE(CONTROL!$C$27, 0.0021, 0)</f>
        <v>55.505499999999998</v>
      </c>
      <c r="I228" s="14">
        <f>55.5034 * CHOOSE(CONTROL!$C$9, $D$9, 100%, $F$9) + CHOOSE(CONTROL!$C$27, 0.0021, 0)</f>
        <v>55.505499999999998</v>
      </c>
      <c r="J228" s="14">
        <f>55.5034 * CHOOSE(CONTROL!$C$9, $D$9, 100%, $F$9) + CHOOSE(CONTROL!$C$27, 0.0021, 0)</f>
        <v>55.505499999999998</v>
      </c>
      <c r="K228" s="14">
        <f>55.5034 * CHOOSE(CONTROL!$C$9, $D$9, 100%, $F$9) + CHOOSE(CONTROL!$C$27, 0.0021, 0)</f>
        <v>55.505499999999998</v>
      </c>
      <c r="L228" s="14"/>
    </row>
    <row r="229" spans="1:12" ht="15" x14ac:dyDescent="0.2">
      <c r="A229" s="13">
        <v>47880</v>
      </c>
      <c r="B229" s="14">
        <f>54.4183 * CHOOSE(CONTROL!$C$9, $D$9, 100%, $F$9) + CHOOSE(CONTROL!$C$27, 0.0021, 0)</f>
        <v>54.420400000000001</v>
      </c>
      <c r="C229" s="14">
        <f>53.9861 * CHOOSE(CONTROL!$C$9, $D$9, 100%, $F$9) + CHOOSE(CONTROL!$C$27, 0.0021, 0)</f>
        <v>53.988199999999999</v>
      </c>
      <c r="D229" s="14">
        <f>53.9861 * CHOOSE(CONTROL!$C$9, $D$9, 100%, $F$9) + CHOOSE(CONTROL!$C$27, 0.0021, 0)</f>
        <v>53.988199999999999</v>
      </c>
      <c r="E229" s="14">
        <f>53.8494 * CHOOSE(CONTROL!$C$9, $D$9, 100%, $F$9) + CHOOSE(CONTROL!$C$27, 0.0021, 0)</f>
        <v>53.851500000000001</v>
      </c>
      <c r="F229" s="14">
        <f>53.8494 * CHOOSE(CONTROL!$C$9, $D$9, 100%, $F$9) + CHOOSE(CONTROL!$C$27, 0.0021, 0)</f>
        <v>53.851500000000001</v>
      </c>
      <c r="G229" s="14">
        <f>54.1208 * CHOOSE(CONTROL!$C$9, $D$9, 100%, $F$9) + CHOOSE(CONTROL!$C$27, 0.0021, 0)</f>
        <v>54.122900000000001</v>
      </c>
      <c r="H229" s="14">
        <f>53.9861 * CHOOSE(CONTROL!$C$9, $D$9, 100%, $F$9) + CHOOSE(CONTROL!$C$27, 0.0021, 0)</f>
        <v>53.988199999999999</v>
      </c>
      <c r="I229" s="14">
        <f>53.9861 * CHOOSE(CONTROL!$C$9, $D$9, 100%, $F$9) + CHOOSE(CONTROL!$C$27, 0.0021, 0)</f>
        <v>53.988199999999999</v>
      </c>
      <c r="J229" s="14">
        <f>53.9861 * CHOOSE(CONTROL!$C$9, $D$9, 100%, $F$9) + CHOOSE(CONTROL!$C$27, 0.0021, 0)</f>
        <v>53.988199999999999</v>
      </c>
      <c r="K229" s="14">
        <f>53.9861 * CHOOSE(CONTROL!$C$9, $D$9, 100%, $F$9) + CHOOSE(CONTROL!$C$27, 0.0021, 0)</f>
        <v>53.988199999999999</v>
      </c>
      <c r="L229" s="14"/>
    </row>
    <row r="230" spans="1:12" ht="15" x14ac:dyDescent="0.2">
      <c r="A230" s="13">
        <v>47908</v>
      </c>
      <c r="B230" s="14">
        <f>53.792 * CHOOSE(CONTROL!$C$9, $D$9, 100%, $F$9) + CHOOSE(CONTROL!$C$27, 0.0021, 0)</f>
        <v>53.7941</v>
      </c>
      <c r="C230" s="14">
        <f>53.3597 * CHOOSE(CONTROL!$C$9, $D$9, 100%, $F$9) + CHOOSE(CONTROL!$C$27, 0.0021, 0)</f>
        <v>53.361799999999995</v>
      </c>
      <c r="D230" s="14">
        <f>53.3597 * CHOOSE(CONTROL!$C$9, $D$9, 100%, $F$9) + CHOOSE(CONTROL!$C$27, 0.0021, 0)</f>
        <v>53.361799999999995</v>
      </c>
      <c r="E230" s="14">
        <f>53.2231 * CHOOSE(CONTROL!$C$9, $D$9, 100%, $F$9) + CHOOSE(CONTROL!$C$27, 0.0021, 0)</f>
        <v>53.225200000000001</v>
      </c>
      <c r="F230" s="14">
        <f>53.2231 * CHOOSE(CONTROL!$C$9, $D$9, 100%, $F$9) + CHOOSE(CONTROL!$C$27, 0.0021, 0)</f>
        <v>53.225200000000001</v>
      </c>
      <c r="G230" s="14">
        <f>53.4944 * CHOOSE(CONTROL!$C$9, $D$9, 100%, $F$9) + CHOOSE(CONTROL!$C$27, 0.0021, 0)</f>
        <v>53.496499999999997</v>
      </c>
      <c r="H230" s="14">
        <f>53.3597 * CHOOSE(CONTROL!$C$9, $D$9, 100%, $F$9) + CHOOSE(CONTROL!$C$27, 0.0021, 0)</f>
        <v>53.361799999999995</v>
      </c>
      <c r="I230" s="14">
        <f>53.3597 * CHOOSE(CONTROL!$C$9, $D$9, 100%, $F$9) + CHOOSE(CONTROL!$C$27, 0.0021, 0)</f>
        <v>53.361799999999995</v>
      </c>
      <c r="J230" s="14">
        <f>53.3597 * CHOOSE(CONTROL!$C$9, $D$9, 100%, $F$9) + CHOOSE(CONTROL!$C$27, 0.0021, 0)</f>
        <v>53.361799999999995</v>
      </c>
      <c r="K230" s="14">
        <f>53.3597 * CHOOSE(CONTROL!$C$9, $D$9, 100%, $F$9) + CHOOSE(CONTROL!$C$27, 0.0021, 0)</f>
        <v>53.361799999999995</v>
      </c>
      <c r="L230" s="14"/>
    </row>
    <row r="231" spans="1:12" ht="15" x14ac:dyDescent="0.2">
      <c r="A231" s="13">
        <v>47939</v>
      </c>
      <c r="B231" s="14">
        <f>53.0441 * CHOOSE(CONTROL!$C$9, $D$9, 100%, $F$9) + CHOOSE(CONTROL!$C$27, 0.0021, 0)</f>
        <v>53.046199999999999</v>
      </c>
      <c r="C231" s="14">
        <f>52.6118 * CHOOSE(CONTROL!$C$9, $D$9, 100%, $F$9) + CHOOSE(CONTROL!$C$27, 0.0021, 0)</f>
        <v>52.613900000000001</v>
      </c>
      <c r="D231" s="14">
        <f>52.6118 * CHOOSE(CONTROL!$C$9, $D$9, 100%, $F$9) + CHOOSE(CONTROL!$C$27, 0.0021, 0)</f>
        <v>52.613900000000001</v>
      </c>
      <c r="E231" s="14">
        <f>52.4752 * CHOOSE(CONTROL!$C$9, $D$9, 100%, $F$9) + CHOOSE(CONTROL!$C$27, 0.0021, 0)</f>
        <v>52.4773</v>
      </c>
      <c r="F231" s="14">
        <f>52.4752 * CHOOSE(CONTROL!$C$9, $D$9, 100%, $F$9) + CHOOSE(CONTROL!$C$27, 0.0021, 0)</f>
        <v>52.4773</v>
      </c>
      <c r="G231" s="14">
        <f>52.7466 * CHOOSE(CONTROL!$C$9, $D$9, 100%, $F$9) + CHOOSE(CONTROL!$C$27, 0.0021, 0)</f>
        <v>52.748699999999999</v>
      </c>
      <c r="H231" s="14">
        <f>52.6118 * CHOOSE(CONTROL!$C$9, $D$9, 100%, $F$9) + CHOOSE(CONTROL!$C$27, 0.0021, 0)</f>
        <v>52.613900000000001</v>
      </c>
      <c r="I231" s="14">
        <f>52.6118 * CHOOSE(CONTROL!$C$9, $D$9, 100%, $F$9) + CHOOSE(CONTROL!$C$27, 0.0021, 0)</f>
        <v>52.613900000000001</v>
      </c>
      <c r="J231" s="14">
        <f>52.6118 * CHOOSE(CONTROL!$C$9, $D$9, 100%, $F$9) + CHOOSE(CONTROL!$C$27, 0.0021, 0)</f>
        <v>52.613900000000001</v>
      </c>
      <c r="K231" s="14">
        <f>52.6118 * CHOOSE(CONTROL!$C$9, $D$9, 100%, $F$9) + CHOOSE(CONTROL!$C$27, 0.0021, 0)</f>
        <v>52.613900000000001</v>
      </c>
      <c r="L231" s="14"/>
    </row>
    <row r="232" spans="1:12" ht="15" x14ac:dyDescent="0.2">
      <c r="A232" s="13">
        <v>47969</v>
      </c>
      <c r="B232" s="14">
        <f>54.1099 * CHOOSE(CONTROL!$C$9, $D$9, 100%, $F$9) + CHOOSE(CONTROL!$C$27, 0.0021, 0)</f>
        <v>54.112000000000002</v>
      </c>
      <c r="C232" s="14">
        <f>53.6777 * CHOOSE(CONTROL!$C$9, $D$9, 100%, $F$9) + CHOOSE(CONTROL!$C$27, 0.0021, 0)</f>
        <v>53.6798</v>
      </c>
      <c r="D232" s="14">
        <f>53.6777 * CHOOSE(CONTROL!$C$9, $D$9, 100%, $F$9) + CHOOSE(CONTROL!$C$27, 0.0021, 0)</f>
        <v>53.6798</v>
      </c>
      <c r="E232" s="14">
        <f>53.541 * CHOOSE(CONTROL!$C$9, $D$9, 100%, $F$9) + CHOOSE(CONTROL!$C$27, 0.0021, 0)</f>
        <v>53.543099999999995</v>
      </c>
      <c r="F232" s="14">
        <f>53.541 * CHOOSE(CONTROL!$C$9, $D$9, 100%, $F$9) + CHOOSE(CONTROL!$C$27, 0.0021, 0)</f>
        <v>53.543099999999995</v>
      </c>
      <c r="G232" s="14">
        <f>53.8124 * CHOOSE(CONTROL!$C$9, $D$9, 100%, $F$9) + CHOOSE(CONTROL!$C$27, 0.0021, 0)</f>
        <v>53.814499999999995</v>
      </c>
      <c r="H232" s="14">
        <f>53.6777 * CHOOSE(CONTROL!$C$9, $D$9, 100%, $F$9) + CHOOSE(CONTROL!$C$27, 0.0021, 0)</f>
        <v>53.6798</v>
      </c>
      <c r="I232" s="14">
        <f>53.6777 * CHOOSE(CONTROL!$C$9, $D$9, 100%, $F$9) + CHOOSE(CONTROL!$C$27, 0.0021, 0)</f>
        <v>53.6798</v>
      </c>
      <c r="J232" s="14">
        <f>53.6777 * CHOOSE(CONTROL!$C$9, $D$9, 100%, $F$9) + CHOOSE(CONTROL!$C$27, 0.0021, 0)</f>
        <v>53.6798</v>
      </c>
      <c r="K232" s="14">
        <f>53.6777 * CHOOSE(CONTROL!$C$9, $D$9, 100%, $F$9) + CHOOSE(CONTROL!$C$27, 0.0021, 0)</f>
        <v>53.6798</v>
      </c>
      <c r="L232" s="14"/>
    </row>
    <row r="233" spans="1:12" ht="15" x14ac:dyDescent="0.2">
      <c r="A233" s="13">
        <v>48000</v>
      </c>
      <c r="B233" s="14">
        <f>54.7483 * CHOOSE(CONTROL!$C$9, $D$9, 100%, $F$9) + CHOOSE(CONTROL!$C$27, 0.0021, 0)</f>
        <v>54.750399999999999</v>
      </c>
      <c r="C233" s="14">
        <f>54.316 * CHOOSE(CONTROL!$C$9, $D$9, 100%, $F$9) + CHOOSE(CONTROL!$C$27, 0.0021, 0)</f>
        <v>54.318100000000001</v>
      </c>
      <c r="D233" s="14">
        <f>54.316 * CHOOSE(CONTROL!$C$9, $D$9, 100%, $F$9) + CHOOSE(CONTROL!$C$27, 0.0021, 0)</f>
        <v>54.318100000000001</v>
      </c>
      <c r="E233" s="14">
        <f>54.1794 * CHOOSE(CONTROL!$C$9, $D$9, 100%, $F$9) + CHOOSE(CONTROL!$C$27, 0.0021, 0)</f>
        <v>54.1815</v>
      </c>
      <c r="F233" s="14">
        <f>54.1794 * CHOOSE(CONTROL!$C$9, $D$9, 100%, $F$9) + CHOOSE(CONTROL!$C$27, 0.0021, 0)</f>
        <v>54.1815</v>
      </c>
      <c r="G233" s="14">
        <f>54.4508 * CHOOSE(CONTROL!$C$9, $D$9, 100%, $F$9) + CHOOSE(CONTROL!$C$27, 0.0021, 0)</f>
        <v>54.4529</v>
      </c>
      <c r="H233" s="14">
        <f>54.316 * CHOOSE(CONTROL!$C$9, $D$9, 100%, $F$9) + CHOOSE(CONTROL!$C$27, 0.0021, 0)</f>
        <v>54.318100000000001</v>
      </c>
      <c r="I233" s="14">
        <f>54.316 * CHOOSE(CONTROL!$C$9, $D$9, 100%, $F$9) + CHOOSE(CONTROL!$C$27, 0.0021, 0)</f>
        <v>54.318100000000001</v>
      </c>
      <c r="J233" s="14">
        <f>54.316 * CHOOSE(CONTROL!$C$9, $D$9, 100%, $F$9) + CHOOSE(CONTROL!$C$27, 0.0021, 0)</f>
        <v>54.318100000000001</v>
      </c>
      <c r="K233" s="14">
        <f>54.316 * CHOOSE(CONTROL!$C$9, $D$9, 100%, $F$9) + CHOOSE(CONTROL!$C$27, 0.0021, 0)</f>
        <v>54.318100000000001</v>
      </c>
      <c r="L233" s="14"/>
    </row>
    <row r="234" spans="1:12" ht="15" x14ac:dyDescent="0.2">
      <c r="A234" s="13">
        <v>48030</v>
      </c>
      <c r="B234" s="14">
        <f>55.8014 * CHOOSE(CONTROL!$C$9, $D$9, 100%, $F$9) + CHOOSE(CONTROL!$C$27, 0.0021, 0)</f>
        <v>55.8035</v>
      </c>
      <c r="C234" s="14">
        <f>55.3691 * CHOOSE(CONTROL!$C$9, $D$9, 100%, $F$9) + CHOOSE(CONTROL!$C$27, 0.0021, 0)</f>
        <v>55.371200000000002</v>
      </c>
      <c r="D234" s="14">
        <f>55.3691 * CHOOSE(CONTROL!$C$9, $D$9, 100%, $F$9) + CHOOSE(CONTROL!$C$27, 0.0021, 0)</f>
        <v>55.371200000000002</v>
      </c>
      <c r="E234" s="14">
        <f>55.2325 * CHOOSE(CONTROL!$C$9, $D$9, 100%, $F$9) + CHOOSE(CONTROL!$C$27, 0.0021, 0)</f>
        <v>55.2346</v>
      </c>
      <c r="F234" s="14">
        <f>55.2325 * CHOOSE(CONTROL!$C$9, $D$9, 100%, $F$9) + CHOOSE(CONTROL!$C$27, 0.0021, 0)</f>
        <v>55.2346</v>
      </c>
      <c r="G234" s="14">
        <f>55.5038 * CHOOSE(CONTROL!$C$9, $D$9, 100%, $F$9) + CHOOSE(CONTROL!$C$27, 0.0021, 0)</f>
        <v>55.505899999999997</v>
      </c>
      <c r="H234" s="14">
        <f>55.3691 * CHOOSE(CONTROL!$C$9, $D$9, 100%, $F$9) + CHOOSE(CONTROL!$C$27, 0.0021, 0)</f>
        <v>55.371200000000002</v>
      </c>
      <c r="I234" s="14">
        <f>55.3691 * CHOOSE(CONTROL!$C$9, $D$9, 100%, $F$9) + CHOOSE(CONTROL!$C$27, 0.0021, 0)</f>
        <v>55.371200000000002</v>
      </c>
      <c r="J234" s="14">
        <f>55.3691 * CHOOSE(CONTROL!$C$9, $D$9, 100%, $F$9) + CHOOSE(CONTROL!$C$27, 0.0021, 0)</f>
        <v>55.371200000000002</v>
      </c>
      <c r="K234" s="14">
        <f>55.3691 * CHOOSE(CONTROL!$C$9, $D$9, 100%, $F$9) + CHOOSE(CONTROL!$C$27, 0.0021, 0)</f>
        <v>55.371200000000002</v>
      </c>
      <c r="L234" s="14"/>
    </row>
    <row r="235" spans="1:12" ht="15" x14ac:dyDescent="0.2">
      <c r="A235" s="13">
        <v>48061</v>
      </c>
      <c r="B235" s="14">
        <f>56.1228 * CHOOSE(CONTROL!$C$9, $D$9, 100%, $F$9) + CHOOSE(CONTROL!$C$27, 0.0021, 0)</f>
        <v>56.124899999999997</v>
      </c>
      <c r="C235" s="14">
        <f>55.6906 * CHOOSE(CONTROL!$C$9, $D$9, 100%, $F$9) + CHOOSE(CONTROL!$C$27, 0.0021, 0)</f>
        <v>55.692700000000002</v>
      </c>
      <c r="D235" s="14">
        <f>55.6906 * CHOOSE(CONTROL!$C$9, $D$9, 100%, $F$9) + CHOOSE(CONTROL!$C$27, 0.0021, 0)</f>
        <v>55.692700000000002</v>
      </c>
      <c r="E235" s="14">
        <f>55.5539 * CHOOSE(CONTROL!$C$9, $D$9, 100%, $F$9) + CHOOSE(CONTROL!$C$27, 0.0021, 0)</f>
        <v>55.555999999999997</v>
      </c>
      <c r="F235" s="14">
        <f>55.5539 * CHOOSE(CONTROL!$C$9, $D$9, 100%, $F$9) + CHOOSE(CONTROL!$C$27, 0.0021, 0)</f>
        <v>55.555999999999997</v>
      </c>
      <c r="G235" s="14">
        <f>55.8253 * CHOOSE(CONTROL!$C$9, $D$9, 100%, $F$9) + CHOOSE(CONTROL!$C$27, 0.0021, 0)</f>
        <v>55.827399999999997</v>
      </c>
      <c r="H235" s="14">
        <f>55.6906 * CHOOSE(CONTROL!$C$9, $D$9, 100%, $F$9) + CHOOSE(CONTROL!$C$27, 0.0021, 0)</f>
        <v>55.692700000000002</v>
      </c>
      <c r="I235" s="14">
        <f>55.6906 * CHOOSE(CONTROL!$C$9, $D$9, 100%, $F$9) + CHOOSE(CONTROL!$C$27, 0.0021, 0)</f>
        <v>55.692700000000002</v>
      </c>
      <c r="J235" s="14">
        <f>55.6906 * CHOOSE(CONTROL!$C$9, $D$9, 100%, $F$9) + CHOOSE(CONTROL!$C$27, 0.0021, 0)</f>
        <v>55.692700000000002</v>
      </c>
      <c r="K235" s="14">
        <f>55.6906 * CHOOSE(CONTROL!$C$9, $D$9, 100%, $F$9) + CHOOSE(CONTROL!$C$27, 0.0021, 0)</f>
        <v>55.692700000000002</v>
      </c>
      <c r="L235" s="14"/>
    </row>
    <row r="236" spans="1:12" ht="15" x14ac:dyDescent="0.2">
      <c r="A236" s="13">
        <v>48092</v>
      </c>
      <c r="B236" s="14">
        <f>57.2174 * CHOOSE(CONTROL!$C$9, $D$9, 100%, $F$9) + CHOOSE(CONTROL!$C$27, 0.0021, 0)</f>
        <v>57.219499999999996</v>
      </c>
      <c r="C236" s="14">
        <f>56.7852 * CHOOSE(CONTROL!$C$9, $D$9, 100%, $F$9) + CHOOSE(CONTROL!$C$27, 0.0021, 0)</f>
        <v>56.787300000000002</v>
      </c>
      <c r="D236" s="14">
        <f>56.7852 * CHOOSE(CONTROL!$C$9, $D$9, 100%, $F$9) + CHOOSE(CONTROL!$C$27, 0.0021, 0)</f>
        <v>56.787300000000002</v>
      </c>
      <c r="E236" s="14">
        <f>56.6485 * CHOOSE(CONTROL!$C$9, $D$9, 100%, $F$9) + CHOOSE(CONTROL!$C$27, 0.0021, 0)</f>
        <v>56.650599999999997</v>
      </c>
      <c r="F236" s="14">
        <f>56.6485 * CHOOSE(CONTROL!$C$9, $D$9, 100%, $F$9) + CHOOSE(CONTROL!$C$27, 0.0021, 0)</f>
        <v>56.650599999999997</v>
      </c>
      <c r="G236" s="14">
        <f>56.9199 * CHOOSE(CONTROL!$C$9, $D$9, 100%, $F$9) + CHOOSE(CONTROL!$C$27, 0.0021, 0)</f>
        <v>56.921999999999997</v>
      </c>
      <c r="H236" s="14">
        <f>56.7852 * CHOOSE(CONTROL!$C$9, $D$9, 100%, $F$9) + CHOOSE(CONTROL!$C$27, 0.0021, 0)</f>
        <v>56.787300000000002</v>
      </c>
      <c r="I236" s="14">
        <f>56.7852 * CHOOSE(CONTROL!$C$9, $D$9, 100%, $F$9) + CHOOSE(CONTROL!$C$27, 0.0021, 0)</f>
        <v>56.787300000000002</v>
      </c>
      <c r="J236" s="14">
        <f>56.7852 * CHOOSE(CONTROL!$C$9, $D$9, 100%, $F$9) + CHOOSE(CONTROL!$C$27, 0.0021, 0)</f>
        <v>56.787300000000002</v>
      </c>
      <c r="K236" s="14">
        <f>56.7852 * CHOOSE(CONTROL!$C$9, $D$9, 100%, $F$9) + CHOOSE(CONTROL!$C$27, 0.0021, 0)</f>
        <v>56.787300000000002</v>
      </c>
      <c r="L236" s="14"/>
    </row>
    <row r="237" spans="1:12" ht="15" x14ac:dyDescent="0.2">
      <c r="A237" s="13">
        <v>48122</v>
      </c>
      <c r="B237" s="14">
        <f>58.6031 * CHOOSE(CONTROL!$C$9, $D$9, 100%, $F$9) + CHOOSE(CONTROL!$C$27, 0.0021, 0)</f>
        <v>58.605199999999996</v>
      </c>
      <c r="C237" s="14">
        <f>58.1708 * CHOOSE(CONTROL!$C$9, $D$9, 100%, $F$9) + CHOOSE(CONTROL!$C$27, 0.0021, 0)</f>
        <v>58.172899999999998</v>
      </c>
      <c r="D237" s="14">
        <f>58.1708 * CHOOSE(CONTROL!$C$9, $D$9, 100%, $F$9) + CHOOSE(CONTROL!$C$27, 0.0021, 0)</f>
        <v>58.172899999999998</v>
      </c>
      <c r="E237" s="14">
        <f>58.0342 * CHOOSE(CONTROL!$C$9, $D$9, 100%, $F$9) + CHOOSE(CONTROL!$C$27, 0.0021, 0)</f>
        <v>58.036299999999997</v>
      </c>
      <c r="F237" s="14">
        <f>58.0342 * CHOOSE(CONTROL!$C$9, $D$9, 100%, $F$9) + CHOOSE(CONTROL!$C$27, 0.0021, 0)</f>
        <v>58.036299999999997</v>
      </c>
      <c r="G237" s="14">
        <f>58.3055 * CHOOSE(CONTROL!$C$9, $D$9, 100%, $F$9) + CHOOSE(CONTROL!$C$27, 0.0021, 0)</f>
        <v>58.307600000000001</v>
      </c>
      <c r="H237" s="14">
        <f>58.1708 * CHOOSE(CONTROL!$C$9, $D$9, 100%, $F$9) + CHOOSE(CONTROL!$C$27, 0.0021, 0)</f>
        <v>58.172899999999998</v>
      </c>
      <c r="I237" s="14">
        <f>58.1708 * CHOOSE(CONTROL!$C$9, $D$9, 100%, $F$9) + CHOOSE(CONTROL!$C$27, 0.0021, 0)</f>
        <v>58.172899999999998</v>
      </c>
      <c r="J237" s="14">
        <f>58.1708 * CHOOSE(CONTROL!$C$9, $D$9, 100%, $F$9) + CHOOSE(CONTROL!$C$27, 0.0021, 0)</f>
        <v>58.172899999999998</v>
      </c>
      <c r="K237" s="14">
        <f>58.1708 * CHOOSE(CONTROL!$C$9, $D$9, 100%, $F$9) + CHOOSE(CONTROL!$C$27, 0.0021, 0)</f>
        <v>58.172899999999998</v>
      </c>
      <c r="L237" s="14"/>
    </row>
    <row r="238" spans="1:12" ht="15" x14ac:dyDescent="0.2">
      <c r="A238" s="13">
        <v>48153</v>
      </c>
      <c r="B238" s="14">
        <f>58.7331 * CHOOSE(CONTROL!$C$9, $D$9, 100%, $F$9) + CHOOSE(CONTROL!$C$27, 0.0021, 0)</f>
        <v>58.735199999999999</v>
      </c>
      <c r="C238" s="14">
        <f>58.3009 * CHOOSE(CONTROL!$C$9, $D$9, 100%, $F$9) + CHOOSE(CONTROL!$C$27, 0.0021, 0)</f>
        <v>58.302999999999997</v>
      </c>
      <c r="D238" s="14">
        <f>58.3009 * CHOOSE(CONTROL!$C$9, $D$9, 100%, $F$9) + CHOOSE(CONTROL!$C$27, 0.0021, 0)</f>
        <v>58.302999999999997</v>
      </c>
      <c r="E238" s="14">
        <f>58.1642 * CHOOSE(CONTROL!$C$9, $D$9, 100%, $F$9) + CHOOSE(CONTROL!$C$27, 0.0021, 0)</f>
        <v>58.1663</v>
      </c>
      <c r="F238" s="14">
        <f>58.1642 * CHOOSE(CONTROL!$C$9, $D$9, 100%, $F$9) + CHOOSE(CONTROL!$C$27, 0.0021, 0)</f>
        <v>58.1663</v>
      </c>
      <c r="G238" s="14">
        <f>58.4356 * CHOOSE(CONTROL!$C$9, $D$9, 100%, $F$9) + CHOOSE(CONTROL!$C$27, 0.0021, 0)</f>
        <v>58.4377</v>
      </c>
      <c r="H238" s="14">
        <f>58.3009 * CHOOSE(CONTROL!$C$9, $D$9, 100%, $F$9) + CHOOSE(CONTROL!$C$27, 0.0021, 0)</f>
        <v>58.302999999999997</v>
      </c>
      <c r="I238" s="14">
        <f>58.3009 * CHOOSE(CONTROL!$C$9, $D$9, 100%, $F$9) + CHOOSE(CONTROL!$C$27, 0.0021, 0)</f>
        <v>58.302999999999997</v>
      </c>
      <c r="J238" s="14">
        <f>58.3009 * CHOOSE(CONTROL!$C$9, $D$9, 100%, $F$9) + CHOOSE(CONTROL!$C$27, 0.0021, 0)</f>
        <v>58.302999999999997</v>
      </c>
      <c r="K238" s="14">
        <f>58.3009 * CHOOSE(CONTROL!$C$9, $D$9, 100%, $F$9) + CHOOSE(CONTROL!$C$27, 0.0021, 0)</f>
        <v>58.302999999999997</v>
      </c>
      <c r="L238" s="14"/>
    </row>
    <row r="239" spans="1:12" ht="15" x14ac:dyDescent="0.2">
      <c r="A239" s="13">
        <v>48183</v>
      </c>
      <c r="B239" s="14">
        <f>57.6265 * CHOOSE(CONTROL!$C$9, $D$9, 100%, $F$9) + CHOOSE(CONTROL!$C$27, 0.0021, 0)</f>
        <v>57.628599999999999</v>
      </c>
      <c r="C239" s="14">
        <f>57.1942 * CHOOSE(CONTROL!$C$9, $D$9, 100%, $F$9) + CHOOSE(CONTROL!$C$27, 0.0021, 0)</f>
        <v>57.196300000000001</v>
      </c>
      <c r="D239" s="14">
        <f>57.1942 * CHOOSE(CONTROL!$C$9, $D$9, 100%, $F$9) + CHOOSE(CONTROL!$C$27, 0.0021, 0)</f>
        <v>57.196300000000001</v>
      </c>
      <c r="E239" s="14">
        <f>57.0576 * CHOOSE(CONTROL!$C$9, $D$9, 100%, $F$9) + CHOOSE(CONTROL!$C$27, 0.0021, 0)</f>
        <v>57.059699999999999</v>
      </c>
      <c r="F239" s="14">
        <f>57.0576 * CHOOSE(CONTROL!$C$9, $D$9, 100%, $F$9) + CHOOSE(CONTROL!$C$27, 0.0021, 0)</f>
        <v>57.059699999999999</v>
      </c>
      <c r="G239" s="14">
        <f>57.3289 * CHOOSE(CONTROL!$C$9, $D$9, 100%, $F$9) + CHOOSE(CONTROL!$C$27, 0.0021, 0)</f>
        <v>57.330999999999996</v>
      </c>
      <c r="H239" s="14">
        <f>57.1942 * CHOOSE(CONTROL!$C$9, $D$9, 100%, $F$9) + CHOOSE(CONTROL!$C$27, 0.0021, 0)</f>
        <v>57.196300000000001</v>
      </c>
      <c r="I239" s="14">
        <f>57.1942 * CHOOSE(CONTROL!$C$9, $D$9, 100%, $F$9) + CHOOSE(CONTROL!$C$27, 0.0021, 0)</f>
        <v>57.196300000000001</v>
      </c>
      <c r="J239" s="14">
        <f>57.1942 * CHOOSE(CONTROL!$C$9, $D$9, 100%, $F$9) + CHOOSE(CONTROL!$C$27, 0.0021, 0)</f>
        <v>57.196300000000001</v>
      </c>
      <c r="K239" s="14">
        <f>57.1942 * CHOOSE(CONTROL!$C$9, $D$9, 100%, $F$9) + CHOOSE(CONTROL!$C$27, 0.0021, 0)</f>
        <v>57.196300000000001</v>
      </c>
      <c r="L239" s="14"/>
    </row>
    <row r="240" spans="1:12" ht="15" x14ac:dyDescent="0.2">
      <c r="A240" s="13">
        <v>48214</v>
      </c>
      <c r="B240" s="14">
        <f>56.927 * CHOOSE(CONTROL!$C$9, $D$9, 100%, $F$9) + CHOOSE(CONTROL!$C$27, 0.0021, 0)</f>
        <v>56.929099999999998</v>
      </c>
      <c r="C240" s="14">
        <f>56.4948 * CHOOSE(CONTROL!$C$9, $D$9, 100%, $F$9) + CHOOSE(CONTROL!$C$27, 0.0021, 0)</f>
        <v>56.496899999999997</v>
      </c>
      <c r="D240" s="14">
        <f>56.4948 * CHOOSE(CONTROL!$C$9, $D$9, 100%, $F$9) + CHOOSE(CONTROL!$C$27, 0.0021, 0)</f>
        <v>56.496899999999997</v>
      </c>
      <c r="E240" s="14">
        <f>56.3581 * CHOOSE(CONTROL!$C$9, $D$9, 100%, $F$9) + CHOOSE(CONTROL!$C$27, 0.0021, 0)</f>
        <v>56.360199999999999</v>
      </c>
      <c r="F240" s="14">
        <f>56.3581 * CHOOSE(CONTROL!$C$9, $D$9, 100%, $F$9) + CHOOSE(CONTROL!$C$27, 0.0021, 0)</f>
        <v>56.360199999999999</v>
      </c>
      <c r="G240" s="14">
        <f>56.6295 * CHOOSE(CONTROL!$C$9, $D$9, 100%, $F$9) + CHOOSE(CONTROL!$C$27, 0.0021, 0)</f>
        <v>56.631599999999999</v>
      </c>
      <c r="H240" s="14">
        <f>56.4948 * CHOOSE(CONTROL!$C$9, $D$9, 100%, $F$9) + CHOOSE(CONTROL!$C$27, 0.0021, 0)</f>
        <v>56.496899999999997</v>
      </c>
      <c r="I240" s="14">
        <f>56.4948 * CHOOSE(CONTROL!$C$9, $D$9, 100%, $F$9) + CHOOSE(CONTROL!$C$27, 0.0021, 0)</f>
        <v>56.496899999999997</v>
      </c>
      <c r="J240" s="14">
        <f>56.4948 * CHOOSE(CONTROL!$C$9, $D$9, 100%, $F$9) + CHOOSE(CONTROL!$C$27, 0.0021, 0)</f>
        <v>56.496899999999997</v>
      </c>
      <c r="K240" s="14">
        <f>56.4948 * CHOOSE(CONTROL!$C$9, $D$9, 100%, $F$9) + CHOOSE(CONTROL!$C$27, 0.0021, 0)</f>
        <v>56.496899999999997</v>
      </c>
      <c r="L240" s="14"/>
    </row>
    <row r="241" spans="1:12" ht="15" x14ac:dyDescent="0.2">
      <c r="A241" s="13">
        <v>48245</v>
      </c>
      <c r="B241" s="14">
        <f>55.3816 * CHOOSE(CONTROL!$C$9, $D$9, 100%, $F$9) + CHOOSE(CONTROL!$C$27, 0.0021, 0)</f>
        <v>55.383699999999997</v>
      </c>
      <c r="C241" s="14">
        <f>54.9494 * CHOOSE(CONTROL!$C$9, $D$9, 100%, $F$9) + CHOOSE(CONTROL!$C$27, 0.0021, 0)</f>
        <v>54.951499999999996</v>
      </c>
      <c r="D241" s="14">
        <f>54.9494 * CHOOSE(CONTROL!$C$9, $D$9, 100%, $F$9) + CHOOSE(CONTROL!$C$27, 0.0021, 0)</f>
        <v>54.951499999999996</v>
      </c>
      <c r="E241" s="14">
        <f>54.8127 * CHOOSE(CONTROL!$C$9, $D$9, 100%, $F$9) + CHOOSE(CONTROL!$C$27, 0.0021, 0)</f>
        <v>54.814799999999998</v>
      </c>
      <c r="F241" s="14">
        <f>54.8127 * CHOOSE(CONTROL!$C$9, $D$9, 100%, $F$9) + CHOOSE(CONTROL!$C$27, 0.0021, 0)</f>
        <v>54.814799999999998</v>
      </c>
      <c r="G241" s="14">
        <f>55.0841 * CHOOSE(CONTROL!$C$9, $D$9, 100%, $F$9) + CHOOSE(CONTROL!$C$27, 0.0021, 0)</f>
        <v>55.086199999999998</v>
      </c>
      <c r="H241" s="14">
        <f>54.9494 * CHOOSE(CONTROL!$C$9, $D$9, 100%, $F$9) + CHOOSE(CONTROL!$C$27, 0.0021, 0)</f>
        <v>54.951499999999996</v>
      </c>
      <c r="I241" s="14">
        <f>54.9494 * CHOOSE(CONTROL!$C$9, $D$9, 100%, $F$9) + CHOOSE(CONTROL!$C$27, 0.0021, 0)</f>
        <v>54.951499999999996</v>
      </c>
      <c r="J241" s="14">
        <f>54.9494 * CHOOSE(CONTROL!$C$9, $D$9, 100%, $F$9) + CHOOSE(CONTROL!$C$27, 0.0021, 0)</f>
        <v>54.951499999999996</v>
      </c>
      <c r="K241" s="14">
        <f>54.9494 * CHOOSE(CONTROL!$C$9, $D$9, 100%, $F$9) + CHOOSE(CONTROL!$C$27, 0.0021, 0)</f>
        <v>54.951499999999996</v>
      </c>
      <c r="L241" s="14"/>
    </row>
    <row r="242" spans="1:12" ht="15" x14ac:dyDescent="0.2">
      <c r="A242" s="13">
        <v>48274</v>
      </c>
      <c r="B242" s="14">
        <f>54.7437 * CHOOSE(CONTROL!$C$9, $D$9, 100%, $F$9) + CHOOSE(CONTROL!$C$27, 0.0021, 0)</f>
        <v>54.745799999999996</v>
      </c>
      <c r="C242" s="14">
        <f>54.3115 * CHOOSE(CONTROL!$C$9, $D$9, 100%, $F$9) + CHOOSE(CONTROL!$C$27, 0.0021, 0)</f>
        <v>54.313600000000001</v>
      </c>
      <c r="D242" s="14">
        <f>54.3115 * CHOOSE(CONTROL!$C$9, $D$9, 100%, $F$9) + CHOOSE(CONTROL!$C$27, 0.0021, 0)</f>
        <v>54.313600000000001</v>
      </c>
      <c r="E242" s="14">
        <f>54.1748 * CHOOSE(CONTROL!$C$9, $D$9, 100%, $F$9) + CHOOSE(CONTROL!$C$27, 0.0021, 0)</f>
        <v>54.176899999999996</v>
      </c>
      <c r="F242" s="14">
        <f>54.1748 * CHOOSE(CONTROL!$C$9, $D$9, 100%, $F$9) + CHOOSE(CONTROL!$C$27, 0.0021, 0)</f>
        <v>54.176899999999996</v>
      </c>
      <c r="G242" s="14">
        <f>54.4462 * CHOOSE(CONTROL!$C$9, $D$9, 100%, $F$9) + CHOOSE(CONTROL!$C$27, 0.0021, 0)</f>
        <v>54.448299999999996</v>
      </c>
      <c r="H242" s="14">
        <f>54.3115 * CHOOSE(CONTROL!$C$9, $D$9, 100%, $F$9) + CHOOSE(CONTROL!$C$27, 0.0021, 0)</f>
        <v>54.313600000000001</v>
      </c>
      <c r="I242" s="14">
        <f>54.3115 * CHOOSE(CONTROL!$C$9, $D$9, 100%, $F$9) + CHOOSE(CONTROL!$C$27, 0.0021, 0)</f>
        <v>54.313600000000001</v>
      </c>
      <c r="J242" s="14">
        <f>54.3115 * CHOOSE(CONTROL!$C$9, $D$9, 100%, $F$9) + CHOOSE(CONTROL!$C$27, 0.0021, 0)</f>
        <v>54.313600000000001</v>
      </c>
      <c r="K242" s="14">
        <f>54.3115 * CHOOSE(CONTROL!$C$9, $D$9, 100%, $F$9) + CHOOSE(CONTROL!$C$27, 0.0021, 0)</f>
        <v>54.313600000000001</v>
      </c>
      <c r="L242" s="14"/>
    </row>
    <row r="243" spans="1:12" ht="15" x14ac:dyDescent="0.2">
      <c r="A243" s="13">
        <v>48305</v>
      </c>
      <c r="B243" s="14">
        <f>53.982 * CHOOSE(CONTROL!$C$9, $D$9, 100%, $F$9) + CHOOSE(CONTROL!$C$27, 0.0021, 0)</f>
        <v>53.984099999999998</v>
      </c>
      <c r="C243" s="14">
        <f>53.5498 * CHOOSE(CONTROL!$C$9, $D$9, 100%, $F$9) + CHOOSE(CONTROL!$C$27, 0.0021, 0)</f>
        <v>53.551899999999996</v>
      </c>
      <c r="D243" s="14">
        <f>53.5498 * CHOOSE(CONTROL!$C$9, $D$9, 100%, $F$9) + CHOOSE(CONTROL!$C$27, 0.0021, 0)</f>
        <v>53.551899999999996</v>
      </c>
      <c r="E243" s="14">
        <f>53.4131 * CHOOSE(CONTROL!$C$9, $D$9, 100%, $F$9) + CHOOSE(CONTROL!$C$27, 0.0021, 0)</f>
        <v>53.415199999999999</v>
      </c>
      <c r="F243" s="14">
        <f>53.4131 * CHOOSE(CONTROL!$C$9, $D$9, 100%, $F$9) + CHOOSE(CONTROL!$C$27, 0.0021, 0)</f>
        <v>53.415199999999999</v>
      </c>
      <c r="G243" s="14">
        <f>53.6845 * CHOOSE(CONTROL!$C$9, $D$9, 100%, $F$9) + CHOOSE(CONTROL!$C$27, 0.0021, 0)</f>
        <v>53.686599999999999</v>
      </c>
      <c r="H243" s="14">
        <f>53.5498 * CHOOSE(CONTROL!$C$9, $D$9, 100%, $F$9) + CHOOSE(CONTROL!$C$27, 0.0021, 0)</f>
        <v>53.551899999999996</v>
      </c>
      <c r="I243" s="14">
        <f>53.5498 * CHOOSE(CONTROL!$C$9, $D$9, 100%, $F$9) + CHOOSE(CONTROL!$C$27, 0.0021, 0)</f>
        <v>53.551899999999996</v>
      </c>
      <c r="J243" s="14">
        <f>53.5498 * CHOOSE(CONTROL!$C$9, $D$9, 100%, $F$9) + CHOOSE(CONTROL!$C$27, 0.0021, 0)</f>
        <v>53.551899999999996</v>
      </c>
      <c r="K243" s="14">
        <f>53.5498 * CHOOSE(CONTROL!$C$9, $D$9, 100%, $F$9) + CHOOSE(CONTROL!$C$27, 0.0021, 0)</f>
        <v>53.551899999999996</v>
      </c>
      <c r="L243" s="14"/>
    </row>
    <row r="244" spans="1:12" ht="15" x14ac:dyDescent="0.2">
      <c r="A244" s="13">
        <v>48335</v>
      </c>
      <c r="B244" s="14">
        <f>55.0675 * CHOOSE(CONTROL!$C$9, $D$9, 100%, $F$9) + CHOOSE(CONTROL!$C$27, 0.0021, 0)</f>
        <v>55.069600000000001</v>
      </c>
      <c r="C244" s="14">
        <f>54.6353 * CHOOSE(CONTROL!$C$9, $D$9, 100%, $F$9) + CHOOSE(CONTROL!$C$27, 0.0021, 0)</f>
        <v>54.6374</v>
      </c>
      <c r="D244" s="14">
        <f>54.6353 * CHOOSE(CONTROL!$C$9, $D$9, 100%, $F$9) + CHOOSE(CONTROL!$C$27, 0.0021, 0)</f>
        <v>54.6374</v>
      </c>
      <c r="E244" s="14">
        <f>54.4986 * CHOOSE(CONTROL!$C$9, $D$9, 100%, $F$9) + CHOOSE(CONTROL!$C$27, 0.0021, 0)</f>
        <v>54.500700000000002</v>
      </c>
      <c r="F244" s="14">
        <f>54.4986 * CHOOSE(CONTROL!$C$9, $D$9, 100%, $F$9) + CHOOSE(CONTROL!$C$27, 0.0021, 0)</f>
        <v>54.500700000000002</v>
      </c>
      <c r="G244" s="14">
        <f>54.77 * CHOOSE(CONTROL!$C$9, $D$9, 100%, $F$9) + CHOOSE(CONTROL!$C$27, 0.0021, 0)</f>
        <v>54.772100000000002</v>
      </c>
      <c r="H244" s="14">
        <f>54.6353 * CHOOSE(CONTROL!$C$9, $D$9, 100%, $F$9) + CHOOSE(CONTROL!$C$27, 0.0021, 0)</f>
        <v>54.6374</v>
      </c>
      <c r="I244" s="14">
        <f>54.6353 * CHOOSE(CONTROL!$C$9, $D$9, 100%, $F$9) + CHOOSE(CONTROL!$C$27, 0.0021, 0)</f>
        <v>54.6374</v>
      </c>
      <c r="J244" s="14">
        <f>54.6353 * CHOOSE(CONTROL!$C$9, $D$9, 100%, $F$9) + CHOOSE(CONTROL!$C$27, 0.0021, 0)</f>
        <v>54.6374</v>
      </c>
      <c r="K244" s="14">
        <f>54.6353 * CHOOSE(CONTROL!$C$9, $D$9, 100%, $F$9) + CHOOSE(CONTROL!$C$27, 0.0021, 0)</f>
        <v>54.6374</v>
      </c>
      <c r="L244" s="14"/>
    </row>
    <row r="245" spans="1:12" ht="15" x14ac:dyDescent="0.2">
      <c r="A245" s="13">
        <v>48366</v>
      </c>
      <c r="B245" s="14">
        <f>55.7177 * CHOOSE(CONTROL!$C$9, $D$9, 100%, $F$9) + CHOOSE(CONTROL!$C$27, 0.0021, 0)</f>
        <v>55.719799999999999</v>
      </c>
      <c r="C245" s="14">
        <f>55.2855 * CHOOSE(CONTROL!$C$9, $D$9, 100%, $F$9) + CHOOSE(CONTROL!$C$27, 0.0021, 0)</f>
        <v>55.287599999999998</v>
      </c>
      <c r="D245" s="14">
        <f>55.2855 * CHOOSE(CONTROL!$C$9, $D$9, 100%, $F$9) + CHOOSE(CONTROL!$C$27, 0.0021, 0)</f>
        <v>55.287599999999998</v>
      </c>
      <c r="E245" s="14">
        <f>55.1488 * CHOOSE(CONTROL!$C$9, $D$9, 100%, $F$9) + CHOOSE(CONTROL!$C$27, 0.0021, 0)</f>
        <v>55.1509</v>
      </c>
      <c r="F245" s="14">
        <f>55.1488 * CHOOSE(CONTROL!$C$9, $D$9, 100%, $F$9) + CHOOSE(CONTROL!$C$27, 0.0021, 0)</f>
        <v>55.1509</v>
      </c>
      <c r="G245" s="14">
        <f>55.4202 * CHOOSE(CONTROL!$C$9, $D$9, 100%, $F$9) + CHOOSE(CONTROL!$C$27, 0.0021, 0)</f>
        <v>55.4223</v>
      </c>
      <c r="H245" s="14">
        <f>55.2855 * CHOOSE(CONTROL!$C$9, $D$9, 100%, $F$9) + CHOOSE(CONTROL!$C$27, 0.0021, 0)</f>
        <v>55.287599999999998</v>
      </c>
      <c r="I245" s="14">
        <f>55.2855 * CHOOSE(CONTROL!$C$9, $D$9, 100%, $F$9) + CHOOSE(CONTROL!$C$27, 0.0021, 0)</f>
        <v>55.287599999999998</v>
      </c>
      <c r="J245" s="14">
        <f>55.2855 * CHOOSE(CONTROL!$C$9, $D$9, 100%, $F$9) + CHOOSE(CONTROL!$C$27, 0.0021, 0)</f>
        <v>55.287599999999998</v>
      </c>
      <c r="K245" s="14">
        <f>55.2855 * CHOOSE(CONTROL!$C$9, $D$9, 100%, $F$9) + CHOOSE(CONTROL!$C$27, 0.0021, 0)</f>
        <v>55.287599999999998</v>
      </c>
      <c r="L245" s="14"/>
    </row>
    <row r="246" spans="1:12" ht="15" x14ac:dyDescent="0.2">
      <c r="A246" s="13">
        <v>48396</v>
      </c>
      <c r="B246" s="14">
        <f>56.7903 * CHOOSE(CONTROL!$C$9, $D$9, 100%, $F$9) + CHOOSE(CONTROL!$C$27, 0.0021, 0)</f>
        <v>56.792400000000001</v>
      </c>
      <c r="C246" s="14">
        <f>56.358 * CHOOSE(CONTROL!$C$9, $D$9, 100%, $F$9) + CHOOSE(CONTROL!$C$27, 0.0021, 0)</f>
        <v>56.360099999999996</v>
      </c>
      <c r="D246" s="14">
        <f>56.358 * CHOOSE(CONTROL!$C$9, $D$9, 100%, $F$9) + CHOOSE(CONTROL!$C$27, 0.0021, 0)</f>
        <v>56.360099999999996</v>
      </c>
      <c r="E246" s="14">
        <f>56.2213 * CHOOSE(CONTROL!$C$9, $D$9, 100%, $F$9) + CHOOSE(CONTROL!$C$27, 0.0021, 0)</f>
        <v>56.223399999999998</v>
      </c>
      <c r="F246" s="14">
        <f>56.2213 * CHOOSE(CONTROL!$C$9, $D$9, 100%, $F$9) + CHOOSE(CONTROL!$C$27, 0.0021, 0)</f>
        <v>56.223399999999998</v>
      </c>
      <c r="G246" s="14">
        <f>56.4927 * CHOOSE(CONTROL!$C$9, $D$9, 100%, $F$9) + CHOOSE(CONTROL!$C$27, 0.0021, 0)</f>
        <v>56.494799999999998</v>
      </c>
      <c r="H246" s="14">
        <f>56.358 * CHOOSE(CONTROL!$C$9, $D$9, 100%, $F$9) + CHOOSE(CONTROL!$C$27, 0.0021, 0)</f>
        <v>56.360099999999996</v>
      </c>
      <c r="I246" s="14">
        <f>56.358 * CHOOSE(CONTROL!$C$9, $D$9, 100%, $F$9) + CHOOSE(CONTROL!$C$27, 0.0021, 0)</f>
        <v>56.360099999999996</v>
      </c>
      <c r="J246" s="14">
        <f>56.358 * CHOOSE(CONTROL!$C$9, $D$9, 100%, $F$9) + CHOOSE(CONTROL!$C$27, 0.0021, 0)</f>
        <v>56.360099999999996</v>
      </c>
      <c r="K246" s="14">
        <f>56.358 * CHOOSE(CONTROL!$C$9, $D$9, 100%, $F$9) + CHOOSE(CONTROL!$C$27, 0.0021, 0)</f>
        <v>56.360099999999996</v>
      </c>
      <c r="L246" s="14"/>
    </row>
    <row r="247" spans="1:12" ht="15" x14ac:dyDescent="0.2">
      <c r="A247" s="13">
        <v>48427</v>
      </c>
      <c r="B247" s="14">
        <f>57.1176 * CHOOSE(CONTROL!$C$9, $D$9, 100%, $F$9) + CHOOSE(CONTROL!$C$27, 0.0021, 0)</f>
        <v>57.119700000000002</v>
      </c>
      <c r="C247" s="14">
        <f>56.6854 * CHOOSE(CONTROL!$C$9, $D$9, 100%, $F$9) + CHOOSE(CONTROL!$C$27, 0.0021, 0)</f>
        <v>56.6875</v>
      </c>
      <c r="D247" s="14">
        <f>56.6854 * CHOOSE(CONTROL!$C$9, $D$9, 100%, $F$9) + CHOOSE(CONTROL!$C$27, 0.0021, 0)</f>
        <v>56.6875</v>
      </c>
      <c r="E247" s="14">
        <f>56.5487 * CHOOSE(CONTROL!$C$9, $D$9, 100%, $F$9) + CHOOSE(CONTROL!$C$27, 0.0021, 0)</f>
        <v>56.550799999999995</v>
      </c>
      <c r="F247" s="14">
        <f>56.5487 * CHOOSE(CONTROL!$C$9, $D$9, 100%, $F$9) + CHOOSE(CONTROL!$C$27, 0.0021, 0)</f>
        <v>56.550799999999995</v>
      </c>
      <c r="G247" s="14">
        <f>56.8201 * CHOOSE(CONTROL!$C$9, $D$9, 100%, $F$9) + CHOOSE(CONTROL!$C$27, 0.0021, 0)</f>
        <v>56.822199999999995</v>
      </c>
      <c r="H247" s="14">
        <f>56.6854 * CHOOSE(CONTROL!$C$9, $D$9, 100%, $F$9) + CHOOSE(CONTROL!$C$27, 0.0021, 0)</f>
        <v>56.6875</v>
      </c>
      <c r="I247" s="14">
        <f>56.6854 * CHOOSE(CONTROL!$C$9, $D$9, 100%, $F$9) + CHOOSE(CONTROL!$C$27, 0.0021, 0)</f>
        <v>56.6875</v>
      </c>
      <c r="J247" s="14">
        <f>56.6854 * CHOOSE(CONTROL!$C$9, $D$9, 100%, $F$9) + CHOOSE(CONTROL!$C$27, 0.0021, 0)</f>
        <v>56.6875</v>
      </c>
      <c r="K247" s="14">
        <f>56.6854 * CHOOSE(CONTROL!$C$9, $D$9, 100%, $F$9) + CHOOSE(CONTROL!$C$27, 0.0021, 0)</f>
        <v>56.6875</v>
      </c>
      <c r="L247" s="14"/>
    </row>
    <row r="248" spans="1:12" ht="15" x14ac:dyDescent="0.2">
      <c r="A248" s="13">
        <v>48458</v>
      </c>
      <c r="B248" s="14">
        <f>58.2325 * CHOOSE(CONTROL!$C$9, $D$9, 100%, $F$9) + CHOOSE(CONTROL!$C$27, 0.0021, 0)</f>
        <v>58.2346</v>
      </c>
      <c r="C248" s="14">
        <f>57.8003 * CHOOSE(CONTROL!$C$9, $D$9, 100%, $F$9) + CHOOSE(CONTROL!$C$27, 0.0021, 0)</f>
        <v>57.802399999999999</v>
      </c>
      <c r="D248" s="14">
        <f>57.8003 * CHOOSE(CONTROL!$C$9, $D$9, 100%, $F$9) + CHOOSE(CONTROL!$C$27, 0.0021, 0)</f>
        <v>57.802399999999999</v>
      </c>
      <c r="E248" s="14">
        <f>57.6636 * CHOOSE(CONTROL!$C$9, $D$9, 100%, $F$9) + CHOOSE(CONTROL!$C$27, 0.0021, 0)</f>
        <v>57.665700000000001</v>
      </c>
      <c r="F248" s="14">
        <f>57.6636 * CHOOSE(CONTROL!$C$9, $D$9, 100%, $F$9) + CHOOSE(CONTROL!$C$27, 0.0021, 0)</f>
        <v>57.665700000000001</v>
      </c>
      <c r="G248" s="14">
        <f>57.935 * CHOOSE(CONTROL!$C$9, $D$9, 100%, $F$9) + CHOOSE(CONTROL!$C$27, 0.0021, 0)</f>
        <v>57.937100000000001</v>
      </c>
      <c r="H248" s="14">
        <f>57.8003 * CHOOSE(CONTROL!$C$9, $D$9, 100%, $F$9) + CHOOSE(CONTROL!$C$27, 0.0021, 0)</f>
        <v>57.802399999999999</v>
      </c>
      <c r="I248" s="14">
        <f>57.8003 * CHOOSE(CONTROL!$C$9, $D$9, 100%, $F$9) + CHOOSE(CONTROL!$C$27, 0.0021, 0)</f>
        <v>57.802399999999999</v>
      </c>
      <c r="J248" s="14">
        <f>57.8003 * CHOOSE(CONTROL!$C$9, $D$9, 100%, $F$9) + CHOOSE(CONTROL!$C$27, 0.0021, 0)</f>
        <v>57.802399999999999</v>
      </c>
      <c r="K248" s="14">
        <f>57.8003 * CHOOSE(CONTROL!$C$9, $D$9, 100%, $F$9) + CHOOSE(CONTROL!$C$27, 0.0021, 0)</f>
        <v>57.802399999999999</v>
      </c>
      <c r="L248" s="14"/>
    </row>
    <row r="249" spans="1:12" ht="15" x14ac:dyDescent="0.2">
      <c r="A249" s="13">
        <v>48488</v>
      </c>
      <c r="B249" s="14">
        <f>59.6437 * CHOOSE(CONTROL!$C$9, $D$9, 100%, $F$9) + CHOOSE(CONTROL!$C$27, 0.0021, 0)</f>
        <v>59.645800000000001</v>
      </c>
      <c r="C249" s="14">
        <f>59.2115 * CHOOSE(CONTROL!$C$9, $D$9, 100%, $F$9) + CHOOSE(CONTROL!$C$27, 0.0021, 0)</f>
        <v>59.2136</v>
      </c>
      <c r="D249" s="14">
        <f>59.2115 * CHOOSE(CONTROL!$C$9, $D$9, 100%, $F$9) + CHOOSE(CONTROL!$C$27, 0.0021, 0)</f>
        <v>59.2136</v>
      </c>
      <c r="E249" s="14">
        <f>59.0748 * CHOOSE(CONTROL!$C$9, $D$9, 100%, $F$9) + CHOOSE(CONTROL!$C$27, 0.0021, 0)</f>
        <v>59.076900000000002</v>
      </c>
      <c r="F249" s="14">
        <f>59.0748 * CHOOSE(CONTROL!$C$9, $D$9, 100%, $F$9) + CHOOSE(CONTROL!$C$27, 0.0021, 0)</f>
        <v>59.076900000000002</v>
      </c>
      <c r="G249" s="14">
        <f>59.3462 * CHOOSE(CONTROL!$C$9, $D$9, 100%, $F$9) + CHOOSE(CONTROL!$C$27, 0.0021, 0)</f>
        <v>59.348300000000002</v>
      </c>
      <c r="H249" s="14">
        <f>59.2115 * CHOOSE(CONTROL!$C$9, $D$9, 100%, $F$9) + CHOOSE(CONTROL!$C$27, 0.0021, 0)</f>
        <v>59.2136</v>
      </c>
      <c r="I249" s="14">
        <f>59.2115 * CHOOSE(CONTROL!$C$9, $D$9, 100%, $F$9) + CHOOSE(CONTROL!$C$27, 0.0021, 0)</f>
        <v>59.2136</v>
      </c>
      <c r="J249" s="14">
        <f>59.2115 * CHOOSE(CONTROL!$C$9, $D$9, 100%, $F$9) + CHOOSE(CONTROL!$C$27, 0.0021, 0)</f>
        <v>59.2136</v>
      </c>
      <c r="K249" s="14">
        <f>59.2115 * CHOOSE(CONTROL!$C$9, $D$9, 100%, $F$9) + CHOOSE(CONTROL!$C$27, 0.0021, 0)</f>
        <v>59.2136</v>
      </c>
      <c r="L249" s="14"/>
    </row>
    <row r="250" spans="1:12" ht="15" x14ac:dyDescent="0.2">
      <c r="A250" s="13">
        <v>48519</v>
      </c>
      <c r="B250" s="14">
        <f>59.7762 * CHOOSE(CONTROL!$C$9, $D$9, 100%, $F$9) + CHOOSE(CONTROL!$C$27, 0.0021, 0)</f>
        <v>59.778300000000002</v>
      </c>
      <c r="C250" s="14">
        <f>59.344 * CHOOSE(CONTROL!$C$9, $D$9, 100%, $F$9) + CHOOSE(CONTROL!$C$27, 0.0021, 0)</f>
        <v>59.3461</v>
      </c>
      <c r="D250" s="14">
        <f>59.344 * CHOOSE(CONTROL!$C$9, $D$9, 100%, $F$9) + CHOOSE(CONTROL!$C$27, 0.0021, 0)</f>
        <v>59.3461</v>
      </c>
      <c r="E250" s="14">
        <f>59.2073 * CHOOSE(CONTROL!$C$9, $D$9, 100%, $F$9) + CHOOSE(CONTROL!$C$27, 0.0021, 0)</f>
        <v>59.209399999999995</v>
      </c>
      <c r="F250" s="14">
        <f>59.2073 * CHOOSE(CONTROL!$C$9, $D$9, 100%, $F$9) + CHOOSE(CONTROL!$C$27, 0.0021, 0)</f>
        <v>59.209399999999995</v>
      </c>
      <c r="G250" s="14">
        <f>59.4787 * CHOOSE(CONTROL!$C$9, $D$9, 100%, $F$9) + CHOOSE(CONTROL!$C$27, 0.0021, 0)</f>
        <v>59.480800000000002</v>
      </c>
      <c r="H250" s="14">
        <f>59.344 * CHOOSE(CONTROL!$C$9, $D$9, 100%, $F$9) + CHOOSE(CONTROL!$C$27, 0.0021, 0)</f>
        <v>59.3461</v>
      </c>
      <c r="I250" s="14">
        <f>59.344 * CHOOSE(CONTROL!$C$9, $D$9, 100%, $F$9) + CHOOSE(CONTROL!$C$27, 0.0021, 0)</f>
        <v>59.3461</v>
      </c>
      <c r="J250" s="14">
        <f>59.344 * CHOOSE(CONTROL!$C$9, $D$9, 100%, $F$9) + CHOOSE(CONTROL!$C$27, 0.0021, 0)</f>
        <v>59.3461</v>
      </c>
      <c r="K250" s="14">
        <f>59.344 * CHOOSE(CONTROL!$C$9, $D$9, 100%, $F$9) + CHOOSE(CONTROL!$C$27, 0.0021, 0)</f>
        <v>59.3461</v>
      </c>
      <c r="L250" s="14"/>
    </row>
    <row r="251" spans="1:12" ht="15" x14ac:dyDescent="0.2">
      <c r="A251" s="13">
        <v>48549</v>
      </c>
      <c r="B251" s="14">
        <f>58.6491 * CHOOSE(CONTROL!$C$9, $D$9, 100%, $F$9) + CHOOSE(CONTROL!$C$27, 0.0021, 0)</f>
        <v>58.651199999999996</v>
      </c>
      <c r="C251" s="14">
        <f>58.2168 * CHOOSE(CONTROL!$C$9, $D$9, 100%, $F$9) + CHOOSE(CONTROL!$C$27, 0.0021, 0)</f>
        <v>58.218899999999998</v>
      </c>
      <c r="D251" s="14">
        <f>58.2168 * CHOOSE(CONTROL!$C$9, $D$9, 100%, $F$9) + CHOOSE(CONTROL!$C$27, 0.0021, 0)</f>
        <v>58.218899999999998</v>
      </c>
      <c r="E251" s="14">
        <f>58.0802 * CHOOSE(CONTROL!$C$9, $D$9, 100%, $F$9) + CHOOSE(CONTROL!$C$27, 0.0021, 0)</f>
        <v>58.082299999999996</v>
      </c>
      <c r="F251" s="14">
        <f>58.0802 * CHOOSE(CONTROL!$C$9, $D$9, 100%, $F$9) + CHOOSE(CONTROL!$C$27, 0.0021, 0)</f>
        <v>58.082299999999996</v>
      </c>
      <c r="G251" s="14">
        <f>58.3516 * CHOOSE(CONTROL!$C$9, $D$9, 100%, $F$9) + CHOOSE(CONTROL!$C$27, 0.0021, 0)</f>
        <v>58.353699999999996</v>
      </c>
      <c r="H251" s="14">
        <f>58.2168 * CHOOSE(CONTROL!$C$9, $D$9, 100%, $F$9) + CHOOSE(CONTROL!$C$27, 0.0021, 0)</f>
        <v>58.218899999999998</v>
      </c>
      <c r="I251" s="14">
        <f>58.2168 * CHOOSE(CONTROL!$C$9, $D$9, 100%, $F$9) + CHOOSE(CONTROL!$C$27, 0.0021, 0)</f>
        <v>58.218899999999998</v>
      </c>
      <c r="J251" s="14">
        <f>58.2168 * CHOOSE(CONTROL!$C$9, $D$9, 100%, $F$9) + CHOOSE(CONTROL!$C$27, 0.0021, 0)</f>
        <v>58.218899999999998</v>
      </c>
      <c r="K251" s="14">
        <f>58.2168 * CHOOSE(CONTROL!$C$9, $D$9, 100%, $F$9) + CHOOSE(CONTROL!$C$27, 0.0021, 0)</f>
        <v>58.218899999999998</v>
      </c>
      <c r="L251" s="14"/>
    </row>
    <row r="252" spans="1:12" ht="15" x14ac:dyDescent="0.2">
      <c r="A252" s="13">
        <v>48580</v>
      </c>
      <c r="B252" s="14">
        <f>57.9367 * CHOOSE(CONTROL!$C$9, $D$9, 100%, $F$9) + CHOOSE(CONTROL!$C$27, 0.0021, 0)</f>
        <v>57.938800000000001</v>
      </c>
      <c r="C252" s="14">
        <f>57.5044 * CHOOSE(CONTROL!$C$9, $D$9, 100%, $F$9) + CHOOSE(CONTROL!$C$27, 0.0021, 0)</f>
        <v>57.506499999999996</v>
      </c>
      <c r="D252" s="14">
        <f>57.5044 * CHOOSE(CONTROL!$C$9, $D$9, 100%, $F$9) + CHOOSE(CONTROL!$C$27, 0.0021, 0)</f>
        <v>57.506499999999996</v>
      </c>
      <c r="E252" s="14">
        <f>57.3678 * CHOOSE(CONTROL!$C$9, $D$9, 100%, $F$9) + CHOOSE(CONTROL!$C$27, 0.0021, 0)</f>
        <v>57.369900000000001</v>
      </c>
      <c r="F252" s="14">
        <f>57.3678 * CHOOSE(CONTROL!$C$9, $D$9, 100%, $F$9) + CHOOSE(CONTROL!$C$27, 0.0021, 0)</f>
        <v>57.369900000000001</v>
      </c>
      <c r="G252" s="14">
        <f>57.6392 * CHOOSE(CONTROL!$C$9, $D$9, 100%, $F$9) + CHOOSE(CONTROL!$C$27, 0.0021, 0)</f>
        <v>57.641300000000001</v>
      </c>
      <c r="H252" s="14">
        <f>57.5044 * CHOOSE(CONTROL!$C$9, $D$9, 100%, $F$9) + CHOOSE(CONTROL!$C$27, 0.0021, 0)</f>
        <v>57.506499999999996</v>
      </c>
      <c r="I252" s="14">
        <f>57.5044 * CHOOSE(CONTROL!$C$9, $D$9, 100%, $F$9) + CHOOSE(CONTROL!$C$27, 0.0021, 0)</f>
        <v>57.506499999999996</v>
      </c>
      <c r="J252" s="14">
        <f>57.5044 * CHOOSE(CONTROL!$C$9, $D$9, 100%, $F$9) + CHOOSE(CONTROL!$C$27, 0.0021, 0)</f>
        <v>57.506499999999996</v>
      </c>
      <c r="K252" s="14">
        <f>57.5044 * CHOOSE(CONTROL!$C$9, $D$9, 100%, $F$9) + CHOOSE(CONTROL!$C$27, 0.0021, 0)</f>
        <v>57.506499999999996</v>
      </c>
      <c r="L252" s="14"/>
    </row>
    <row r="253" spans="1:12" ht="15" x14ac:dyDescent="0.2">
      <c r="A253" s="13">
        <v>48611</v>
      </c>
      <c r="B253" s="14">
        <f>56.3628 * CHOOSE(CONTROL!$C$9, $D$9, 100%, $F$9) + CHOOSE(CONTROL!$C$27, 0.0021, 0)</f>
        <v>56.364899999999999</v>
      </c>
      <c r="C253" s="14">
        <f>55.9305 * CHOOSE(CONTROL!$C$9, $D$9, 100%, $F$9) + CHOOSE(CONTROL!$C$27, 0.0021, 0)</f>
        <v>55.932600000000001</v>
      </c>
      <c r="D253" s="14">
        <f>55.9305 * CHOOSE(CONTROL!$C$9, $D$9, 100%, $F$9) + CHOOSE(CONTROL!$C$27, 0.0021, 0)</f>
        <v>55.932600000000001</v>
      </c>
      <c r="E253" s="14">
        <f>55.7939 * CHOOSE(CONTROL!$C$9, $D$9, 100%, $F$9) + CHOOSE(CONTROL!$C$27, 0.0021, 0)</f>
        <v>55.795999999999999</v>
      </c>
      <c r="F253" s="14">
        <f>55.7939 * CHOOSE(CONTROL!$C$9, $D$9, 100%, $F$9) + CHOOSE(CONTROL!$C$27, 0.0021, 0)</f>
        <v>55.795999999999999</v>
      </c>
      <c r="G253" s="14">
        <f>56.0652 * CHOOSE(CONTROL!$C$9, $D$9, 100%, $F$9) + CHOOSE(CONTROL!$C$27, 0.0021, 0)</f>
        <v>56.067299999999996</v>
      </c>
      <c r="H253" s="14">
        <f>55.9305 * CHOOSE(CONTROL!$C$9, $D$9, 100%, $F$9) + CHOOSE(CONTROL!$C$27, 0.0021, 0)</f>
        <v>55.932600000000001</v>
      </c>
      <c r="I253" s="14">
        <f>55.9305 * CHOOSE(CONTROL!$C$9, $D$9, 100%, $F$9) + CHOOSE(CONTROL!$C$27, 0.0021, 0)</f>
        <v>55.932600000000001</v>
      </c>
      <c r="J253" s="14">
        <f>55.9305 * CHOOSE(CONTROL!$C$9, $D$9, 100%, $F$9) + CHOOSE(CONTROL!$C$27, 0.0021, 0)</f>
        <v>55.932600000000001</v>
      </c>
      <c r="K253" s="14">
        <f>55.9305 * CHOOSE(CONTROL!$C$9, $D$9, 100%, $F$9) + CHOOSE(CONTROL!$C$27, 0.0021, 0)</f>
        <v>55.932600000000001</v>
      </c>
      <c r="L253" s="14"/>
    </row>
    <row r="254" spans="1:12" ht="15" x14ac:dyDescent="0.2">
      <c r="A254" s="13">
        <v>48639</v>
      </c>
      <c r="B254" s="14">
        <f>55.7131 * CHOOSE(CONTROL!$C$9, $D$9, 100%, $F$9) + CHOOSE(CONTROL!$C$27, 0.0021, 0)</f>
        <v>55.715199999999996</v>
      </c>
      <c r="C254" s="14">
        <f>55.2808 * CHOOSE(CONTROL!$C$9, $D$9, 100%, $F$9) + CHOOSE(CONTROL!$C$27, 0.0021, 0)</f>
        <v>55.282899999999998</v>
      </c>
      <c r="D254" s="14">
        <f>55.2808 * CHOOSE(CONTROL!$C$9, $D$9, 100%, $F$9) + CHOOSE(CONTROL!$C$27, 0.0021, 0)</f>
        <v>55.282899999999998</v>
      </c>
      <c r="E254" s="14">
        <f>55.1442 * CHOOSE(CONTROL!$C$9, $D$9, 100%, $F$9) + CHOOSE(CONTROL!$C$27, 0.0021, 0)</f>
        <v>55.146299999999997</v>
      </c>
      <c r="F254" s="14">
        <f>55.1442 * CHOOSE(CONTROL!$C$9, $D$9, 100%, $F$9) + CHOOSE(CONTROL!$C$27, 0.0021, 0)</f>
        <v>55.146299999999997</v>
      </c>
      <c r="G254" s="14">
        <f>55.4155 * CHOOSE(CONTROL!$C$9, $D$9, 100%, $F$9) + CHOOSE(CONTROL!$C$27, 0.0021, 0)</f>
        <v>55.4176</v>
      </c>
      <c r="H254" s="14">
        <f>55.2808 * CHOOSE(CONTROL!$C$9, $D$9, 100%, $F$9) + CHOOSE(CONTROL!$C$27, 0.0021, 0)</f>
        <v>55.282899999999998</v>
      </c>
      <c r="I254" s="14">
        <f>55.2808 * CHOOSE(CONTROL!$C$9, $D$9, 100%, $F$9) + CHOOSE(CONTROL!$C$27, 0.0021, 0)</f>
        <v>55.282899999999998</v>
      </c>
      <c r="J254" s="14">
        <f>55.2808 * CHOOSE(CONTROL!$C$9, $D$9, 100%, $F$9) + CHOOSE(CONTROL!$C$27, 0.0021, 0)</f>
        <v>55.282899999999998</v>
      </c>
      <c r="K254" s="14">
        <f>55.2808 * CHOOSE(CONTROL!$C$9, $D$9, 100%, $F$9) + CHOOSE(CONTROL!$C$27, 0.0021, 0)</f>
        <v>55.282899999999998</v>
      </c>
      <c r="L254" s="14"/>
    </row>
    <row r="255" spans="1:12" ht="15" x14ac:dyDescent="0.2">
      <c r="A255" s="13">
        <v>48670</v>
      </c>
      <c r="B255" s="14">
        <f>54.9373 * CHOOSE(CONTROL!$C$9, $D$9, 100%, $F$9) + CHOOSE(CONTROL!$C$27, 0.0021, 0)</f>
        <v>54.939399999999999</v>
      </c>
      <c r="C255" s="14">
        <f>54.505 * CHOOSE(CONTROL!$C$9, $D$9, 100%, $F$9) + CHOOSE(CONTROL!$C$27, 0.0021, 0)</f>
        <v>54.507100000000001</v>
      </c>
      <c r="D255" s="14">
        <f>54.505 * CHOOSE(CONTROL!$C$9, $D$9, 100%, $F$9) + CHOOSE(CONTROL!$C$27, 0.0021, 0)</f>
        <v>54.507100000000001</v>
      </c>
      <c r="E255" s="14">
        <f>54.3684 * CHOOSE(CONTROL!$C$9, $D$9, 100%, $F$9) + CHOOSE(CONTROL!$C$27, 0.0021, 0)</f>
        <v>54.3705</v>
      </c>
      <c r="F255" s="14">
        <f>54.3684 * CHOOSE(CONTROL!$C$9, $D$9, 100%, $F$9) + CHOOSE(CONTROL!$C$27, 0.0021, 0)</f>
        <v>54.3705</v>
      </c>
      <c r="G255" s="14">
        <f>54.6398 * CHOOSE(CONTROL!$C$9, $D$9, 100%, $F$9) + CHOOSE(CONTROL!$C$27, 0.0021, 0)</f>
        <v>54.6419</v>
      </c>
      <c r="H255" s="14">
        <f>54.505 * CHOOSE(CONTROL!$C$9, $D$9, 100%, $F$9) + CHOOSE(CONTROL!$C$27, 0.0021, 0)</f>
        <v>54.507100000000001</v>
      </c>
      <c r="I255" s="14">
        <f>54.505 * CHOOSE(CONTROL!$C$9, $D$9, 100%, $F$9) + CHOOSE(CONTROL!$C$27, 0.0021, 0)</f>
        <v>54.507100000000001</v>
      </c>
      <c r="J255" s="14">
        <f>54.505 * CHOOSE(CONTROL!$C$9, $D$9, 100%, $F$9) + CHOOSE(CONTROL!$C$27, 0.0021, 0)</f>
        <v>54.507100000000001</v>
      </c>
      <c r="K255" s="14">
        <f>54.505 * CHOOSE(CONTROL!$C$9, $D$9, 100%, $F$9) + CHOOSE(CONTROL!$C$27, 0.0021, 0)</f>
        <v>54.507100000000001</v>
      </c>
      <c r="L255" s="14"/>
    </row>
    <row r="256" spans="1:12" ht="15" x14ac:dyDescent="0.2">
      <c r="A256" s="13">
        <v>48700</v>
      </c>
      <c r="B256" s="14">
        <f>56.0429 * CHOOSE(CONTROL!$C$9, $D$9, 100%, $F$9) + CHOOSE(CONTROL!$C$27, 0.0021, 0)</f>
        <v>56.045000000000002</v>
      </c>
      <c r="C256" s="14">
        <f>55.6106 * CHOOSE(CONTROL!$C$9, $D$9, 100%, $F$9) + CHOOSE(CONTROL!$C$27, 0.0021, 0)</f>
        <v>55.612699999999997</v>
      </c>
      <c r="D256" s="14">
        <f>55.6106 * CHOOSE(CONTROL!$C$9, $D$9, 100%, $F$9) + CHOOSE(CONTROL!$C$27, 0.0021, 0)</f>
        <v>55.612699999999997</v>
      </c>
      <c r="E256" s="14">
        <f>55.4739 * CHOOSE(CONTROL!$C$9, $D$9, 100%, $F$9) + CHOOSE(CONTROL!$C$27, 0.0021, 0)</f>
        <v>55.475999999999999</v>
      </c>
      <c r="F256" s="14">
        <f>55.4739 * CHOOSE(CONTROL!$C$9, $D$9, 100%, $F$9) + CHOOSE(CONTROL!$C$27, 0.0021, 0)</f>
        <v>55.475999999999999</v>
      </c>
      <c r="G256" s="14">
        <f>55.7453 * CHOOSE(CONTROL!$C$9, $D$9, 100%, $F$9) + CHOOSE(CONTROL!$C$27, 0.0021, 0)</f>
        <v>55.747399999999999</v>
      </c>
      <c r="H256" s="14">
        <f>55.6106 * CHOOSE(CONTROL!$C$9, $D$9, 100%, $F$9) + CHOOSE(CONTROL!$C$27, 0.0021, 0)</f>
        <v>55.612699999999997</v>
      </c>
      <c r="I256" s="14">
        <f>55.6106 * CHOOSE(CONTROL!$C$9, $D$9, 100%, $F$9) + CHOOSE(CONTROL!$C$27, 0.0021, 0)</f>
        <v>55.612699999999997</v>
      </c>
      <c r="J256" s="14">
        <f>55.6106 * CHOOSE(CONTROL!$C$9, $D$9, 100%, $F$9) + CHOOSE(CONTROL!$C$27, 0.0021, 0)</f>
        <v>55.612699999999997</v>
      </c>
      <c r="K256" s="14">
        <f>55.6106 * CHOOSE(CONTROL!$C$9, $D$9, 100%, $F$9) + CHOOSE(CONTROL!$C$27, 0.0021, 0)</f>
        <v>55.612699999999997</v>
      </c>
      <c r="L256" s="14"/>
    </row>
    <row r="257" spans="1:12" ht="15" x14ac:dyDescent="0.2">
      <c r="A257" s="13">
        <v>48731</v>
      </c>
      <c r="B257" s="14">
        <f>56.705 * CHOOSE(CONTROL!$C$9, $D$9, 100%, $F$9) + CHOOSE(CONTROL!$C$27, 0.0021, 0)</f>
        <v>56.707099999999997</v>
      </c>
      <c r="C257" s="14">
        <f>56.2728 * CHOOSE(CONTROL!$C$9, $D$9, 100%, $F$9) + CHOOSE(CONTROL!$C$27, 0.0021, 0)</f>
        <v>56.274899999999995</v>
      </c>
      <c r="D257" s="14">
        <f>56.2728 * CHOOSE(CONTROL!$C$9, $D$9, 100%, $F$9) + CHOOSE(CONTROL!$C$27, 0.0021, 0)</f>
        <v>56.274899999999995</v>
      </c>
      <c r="E257" s="14">
        <f>56.1361 * CHOOSE(CONTROL!$C$9, $D$9, 100%, $F$9) + CHOOSE(CONTROL!$C$27, 0.0021, 0)</f>
        <v>56.138199999999998</v>
      </c>
      <c r="F257" s="14">
        <f>56.1361 * CHOOSE(CONTROL!$C$9, $D$9, 100%, $F$9) + CHOOSE(CONTROL!$C$27, 0.0021, 0)</f>
        <v>56.138199999999998</v>
      </c>
      <c r="G257" s="14">
        <f>56.4075 * CHOOSE(CONTROL!$C$9, $D$9, 100%, $F$9) + CHOOSE(CONTROL!$C$27, 0.0021, 0)</f>
        <v>56.409599999999998</v>
      </c>
      <c r="H257" s="14">
        <f>56.2728 * CHOOSE(CONTROL!$C$9, $D$9, 100%, $F$9) + CHOOSE(CONTROL!$C$27, 0.0021, 0)</f>
        <v>56.274899999999995</v>
      </c>
      <c r="I257" s="14">
        <f>56.2728 * CHOOSE(CONTROL!$C$9, $D$9, 100%, $F$9) + CHOOSE(CONTROL!$C$27, 0.0021, 0)</f>
        <v>56.274899999999995</v>
      </c>
      <c r="J257" s="14">
        <f>56.2728 * CHOOSE(CONTROL!$C$9, $D$9, 100%, $F$9) + CHOOSE(CONTROL!$C$27, 0.0021, 0)</f>
        <v>56.274899999999995</v>
      </c>
      <c r="K257" s="14">
        <f>56.2728 * CHOOSE(CONTROL!$C$9, $D$9, 100%, $F$9) + CHOOSE(CONTROL!$C$27, 0.0021, 0)</f>
        <v>56.274899999999995</v>
      </c>
      <c r="L257" s="14"/>
    </row>
    <row r="258" spans="1:12" ht="15" x14ac:dyDescent="0.2">
      <c r="A258" s="13">
        <v>48761</v>
      </c>
      <c r="B258" s="14">
        <f>57.7974 * CHOOSE(CONTROL!$C$9, $D$9, 100%, $F$9) + CHOOSE(CONTROL!$C$27, 0.0021, 0)</f>
        <v>57.799500000000002</v>
      </c>
      <c r="C258" s="14">
        <f>57.3652 * CHOOSE(CONTROL!$C$9, $D$9, 100%, $F$9) + CHOOSE(CONTROL!$C$27, 0.0021, 0)</f>
        <v>57.3673</v>
      </c>
      <c r="D258" s="14">
        <f>57.3652 * CHOOSE(CONTROL!$C$9, $D$9, 100%, $F$9) + CHOOSE(CONTROL!$C$27, 0.0021, 0)</f>
        <v>57.3673</v>
      </c>
      <c r="E258" s="14">
        <f>57.2285 * CHOOSE(CONTROL!$C$9, $D$9, 100%, $F$9) + CHOOSE(CONTROL!$C$27, 0.0021, 0)</f>
        <v>57.230599999999995</v>
      </c>
      <c r="F258" s="14">
        <f>57.2285 * CHOOSE(CONTROL!$C$9, $D$9, 100%, $F$9) + CHOOSE(CONTROL!$C$27, 0.0021, 0)</f>
        <v>57.230599999999995</v>
      </c>
      <c r="G258" s="14">
        <f>57.4999 * CHOOSE(CONTROL!$C$9, $D$9, 100%, $F$9) + CHOOSE(CONTROL!$C$27, 0.0021, 0)</f>
        <v>57.501999999999995</v>
      </c>
      <c r="H258" s="14">
        <f>57.3652 * CHOOSE(CONTROL!$C$9, $D$9, 100%, $F$9) + CHOOSE(CONTROL!$C$27, 0.0021, 0)</f>
        <v>57.3673</v>
      </c>
      <c r="I258" s="14">
        <f>57.3652 * CHOOSE(CONTROL!$C$9, $D$9, 100%, $F$9) + CHOOSE(CONTROL!$C$27, 0.0021, 0)</f>
        <v>57.3673</v>
      </c>
      <c r="J258" s="14">
        <f>57.3652 * CHOOSE(CONTROL!$C$9, $D$9, 100%, $F$9) + CHOOSE(CONTROL!$C$27, 0.0021, 0)</f>
        <v>57.3673</v>
      </c>
      <c r="K258" s="14">
        <f>57.3652 * CHOOSE(CONTROL!$C$9, $D$9, 100%, $F$9) + CHOOSE(CONTROL!$C$27, 0.0021, 0)</f>
        <v>57.3673</v>
      </c>
      <c r="L258" s="14"/>
    </row>
    <row r="259" spans="1:12" ht="15" x14ac:dyDescent="0.2">
      <c r="A259" s="13">
        <v>48792</v>
      </c>
      <c r="B259" s="14">
        <f>58.1308 * CHOOSE(CONTROL!$C$9, $D$9, 100%, $F$9) + CHOOSE(CONTROL!$C$27, 0.0021, 0)</f>
        <v>58.132899999999999</v>
      </c>
      <c r="C259" s="14">
        <f>57.6986 * CHOOSE(CONTROL!$C$9, $D$9, 100%, $F$9) + CHOOSE(CONTROL!$C$27, 0.0021, 0)</f>
        <v>57.700699999999998</v>
      </c>
      <c r="D259" s="14">
        <f>57.6986 * CHOOSE(CONTROL!$C$9, $D$9, 100%, $F$9) + CHOOSE(CONTROL!$C$27, 0.0021, 0)</f>
        <v>57.700699999999998</v>
      </c>
      <c r="E259" s="14">
        <f>57.5619 * CHOOSE(CONTROL!$C$9, $D$9, 100%, $F$9) + CHOOSE(CONTROL!$C$27, 0.0021, 0)</f>
        <v>57.564</v>
      </c>
      <c r="F259" s="14">
        <f>57.5619 * CHOOSE(CONTROL!$C$9, $D$9, 100%, $F$9) + CHOOSE(CONTROL!$C$27, 0.0021, 0)</f>
        <v>57.564</v>
      </c>
      <c r="G259" s="14">
        <f>57.8333 * CHOOSE(CONTROL!$C$9, $D$9, 100%, $F$9) + CHOOSE(CONTROL!$C$27, 0.0021, 0)</f>
        <v>57.8354</v>
      </c>
      <c r="H259" s="14">
        <f>57.6986 * CHOOSE(CONTROL!$C$9, $D$9, 100%, $F$9) + CHOOSE(CONTROL!$C$27, 0.0021, 0)</f>
        <v>57.700699999999998</v>
      </c>
      <c r="I259" s="14">
        <f>57.6986 * CHOOSE(CONTROL!$C$9, $D$9, 100%, $F$9) + CHOOSE(CONTROL!$C$27, 0.0021, 0)</f>
        <v>57.700699999999998</v>
      </c>
      <c r="J259" s="14">
        <f>57.6986 * CHOOSE(CONTROL!$C$9, $D$9, 100%, $F$9) + CHOOSE(CONTROL!$C$27, 0.0021, 0)</f>
        <v>57.700699999999998</v>
      </c>
      <c r="K259" s="14">
        <f>57.6986 * CHOOSE(CONTROL!$C$9, $D$9, 100%, $F$9) + CHOOSE(CONTROL!$C$27, 0.0021, 0)</f>
        <v>57.700699999999998</v>
      </c>
      <c r="L259" s="14"/>
    </row>
    <row r="260" spans="1:12" ht="15" x14ac:dyDescent="0.2">
      <c r="A260" s="13">
        <v>48823</v>
      </c>
      <c r="B260" s="14">
        <f>59.2663 * CHOOSE(CONTROL!$C$9, $D$9, 100%, $F$9) + CHOOSE(CONTROL!$C$27, 0.0021, 0)</f>
        <v>59.2684</v>
      </c>
      <c r="C260" s="14">
        <f>58.8341 * CHOOSE(CONTROL!$C$9, $D$9, 100%, $F$9) + CHOOSE(CONTROL!$C$27, 0.0021, 0)</f>
        <v>58.836199999999998</v>
      </c>
      <c r="D260" s="14">
        <f>58.8341 * CHOOSE(CONTROL!$C$9, $D$9, 100%, $F$9) + CHOOSE(CONTROL!$C$27, 0.0021, 0)</f>
        <v>58.836199999999998</v>
      </c>
      <c r="E260" s="14">
        <f>58.6974 * CHOOSE(CONTROL!$C$9, $D$9, 100%, $F$9) + CHOOSE(CONTROL!$C$27, 0.0021, 0)</f>
        <v>58.6995</v>
      </c>
      <c r="F260" s="14">
        <f>58.6974 * CHOOSE(CONTROL!$C$9, $D$9, 100%, $F$9) + CHOOSE(CONTROL!$C$27, 0.0021, 0)</f>
        <v>58.6995</v>
      </c>
      <c r="G260" s="14">
        <f>58.9688 * CHOOSE(CONTROL!$C$9, $D$9, 100%, $F$9) + CHOOSE(CONTROL!$C$27, 0.0021, 0)</f>
        <v>58.9709</v>
      </c>
      <c r="H260" s="14">
        <f>58.8341 * CHOOSE(CONTROL!$C$9, $D$9, 100%, $F$9) + CHOOSE(CONTROL!$C$27, 0.0021, 0)</f>
        <v>58.836199999999998</v>
      </c>
      <c r="I260" s="14">
        <f>58.8341 * CHOOSE(CONTROL!$C$9, $D$9, 100%, $F$9) + CHOOSE(CONTROL!$C$27, 0.0021, 0)</f>
        <v>58.836199999999998</v>
      </c>
      <c r="J260" s="14">
        <f>58.8341 * CHOOSE(CONTROL!$C$9, $D$9, 100%, $F$9) + CHOOSE(CONTROL!$C$27, 0.0021, 0)</f>
        <v>58.836199999999998</v>
      </c>
      <c r="K260" s="14">
        <f>58.8341 * CHOOSE(CONTROL!$C$9, $D$9, 100%, $F$9) + CHOOSE(CONTROL!$C$27, 0.0021, 0)</f>
        <v>58.836199999999998</v>
      </c>
      <c r="L260" s="14"/>
    </row>
    <row r="261" spans="1:12" ht="15" x14ac:dyDescent="0.2">
      <c r="A261" s="13">
        <v>48853</v>
      </c>
      <c r="B261" s="14">
        <f>60.7036 * CHOOSE(CONTROL!$C$9, $D$9, 100%, $F$9) + CHOOSE(CONTROL!$C$27, 0.0021, 0)</f>
        <v>60.7057</v>
      </c>
      <c r="C261" s="14">
        <f>60.2714 * CHOOSE(CONTROL!$C$9, $D$9, 100%, $F$9) + CHOOSE(CONTROL!$C$27, 0.0021, 0)</f>
        <v>60.273499999999999</v>
      </c>
      <c r="D261" s="14">
        <f>60.2714 * CHOOSE(CONTROL!$C$9, $D$9, 100%, $F$9) + CHOOSE(CONTROL!$C$27, 0.0021, 0)</f>
        <v>60.273499999999999</v>
      </c>
      <c r="E261" s="14">
        <f>60.1347 * CHOOSE(CONTROL!$C$9, $D$9, 100%, $F$9) + CHOOSE(CONTROL!$C$27, 0.0021, 0)</f>
        <v>60.136800000000001</v>
      </c>
      <c r="F261" s="14">
        <f>60.1347 * CHOOSE(CONTROL!$C$9, $D$9, 100%, $F$9) + CHOOSE(CONTROL!$C$27, 0.0021, 0)</f>
        <v>60.136800000000001</v>
      </c>
      <c r="G261" s="14">
        <f>60.4061 * CHOOSE(CONTROL!$C$9, $D$9, 100%, $F$9) + CHOOSE(CONTROL!$C$27, 0.0021, 0)</f>
        <v>60.408200000000001</v>
      </c>
      <c r="H261" s="14">
        <f>60.2714 * CHOOSE(CONTROL!$C$9, $D$9, 100%, $F$9) + CHOOSE(CONTROL!$C$27, 0.0021, 0)</f>
        <v>60.273499999999999</v>
      </c>
      <c r="I261" s="14">
        <f>60.2714 * CHOOSE(CONTROL!$C$9, $D$9, 100%, $F$9) + CHOOSE(CONTROL!$C$27, 0.0021, 0)</f>
        <v>60.273499999999999</v>
      </c>
      <c r="J261" s="14">
        <f>60.2714 * CHOOSE(CONTROL!$C$9, $D$9, 100%, $F$9) + CHOOSE(CONTROL!$C$27, 0.0021, 0)</f>
        <v>60.273499999999999</v>
      </c>
      <c r="K261" s="14">
        <f>60.2714 * CHOOSE(CONTROL!$C$9, $D$9, 100%, $F$9) + CHOOSE(CONTROL!$C$27, 0.0021, 0)</f>
        <v>60.273499999999999</v>
      </c>
      <c r="L261" s="14"/>
    </row>
    <row r="262" spans="1:12" ht="15" x14ac:dyDescent="0.2">
      <c r="A262" s="13">
        <v>48884</v>
      </c>
      <c r="B262" s="14">
        <f>60.8386 * CHOOSE(CONTROL!$C$9, $D$9, 100%, $F$9) + CHOOSE(CONTROL!$C$27, 0.0021, 0)</f>
        <v>60.840699999999998</v>
      </c>
      <c r="C262" s="14">
        <f>60.4063 * CHOOSE(CONTROL!$C$9, $D$9, 100%, $F$9) + CHOOSE(CONTROL!$C$27, 0.0021, 0)</f>
        <v>60.4084</v>
      </c>
      <c r="D262" s="14">
        <f>60.4063 * CHOOSE(CONTROL!$C$9, $D$9, 100%, $F$9) + CHOOSE(CONTROL!$C$27, 0.0021, 0)</f>
        <v>60.4084</v>
      </c>
      <c r="E262" s="14">
        <f>60.2697 * CHOOSE(CONTROL!$C$9, $D$9, 100%, $F$9) + CHOOSE(CONTROL!$C$27, 0.0021, 0)</f>
        <v>60.271799999999999</v>
      </c>
      <c r="F262" s="14">
        <f>60.2697 * CHOOSE(CONTROL!$C$9, $D$9, 100%, $F$9) + CHOOSE(CONTROL!$C$27, 0.0021, 0)</f>
        <v>60.271799999999999</v>
      </c>
      <c r="G262" s="14">
        <f>60.541 * CHOOSE(CONTROL!$C$9, $D$9, 100%, $F$9) + CHOOSE(CONTROL!$C$27, 0.0021, 0)</f>
        <v>60.543099999999995</v>
      </c>
      <c r="H262" s="14">
        <f>60.4063 * CHOOSE(CONTROL!$C$9, $D$9, 100%, $F$9) + CHOOSE(CONTROL!$C$27, 0.0021, 0)</f>
        <v>60.4084</v>
      </c>
      <c r="I262" s="14">
        <f>60.4063 * CHOOSE(CONTROL!$C$9, $D$9, 100%, $F$9) + CHOOSE(CONTROL!$C$27, 0.0021, 0)</f>
        <v>60.4084</v>
      </c>
      <c r="J262" s="14">
        <f>60.4063 * CHOOSE(CONTROL!$C$9, $D$9, 100%, $F$9) + CHOOSE(CONTROL!$C$27, 0.0021, 0)</f>
        <v>60.4084</v>
      </c>
      <c r="K262" s="14">
        <f>60.4063 * CHOOSE(CONTROL!$C$9, $D$9, 100%, $F$9) + CHOOSE(CONTROL!$C$27, 0.0021, 0)</f>
        <v>60.4084</v>
      </c>
      <c r="L262" s="14"/>
    </row>
    <row r="263" spans="1:12" ht="15" x14ac:dyDescent="0.2">
      <c r="A263" s="13">
        <v>48914</v>
      </c>
      <c r="B263" s="14">
        <f>59.6906 * CHOOSE(CONTROL!$C$9, $D$9, 100%, $F$9) + CHOOSE(CONTROL!$C$27, 0.0021, 0)</f>
        <v>59.692700000000002</v>
      </c>
      <c r="C263" s="14">
        <f>59.2584 * CHOOSE(CONTROL!$C$9, $D$9, 100%, $F$9) + CHOOSE(CONTROL!$C$27, 0.0021, 0)</f>
        <v>59.2605</v>
      </c>
      <c r="D263" s="14">
        <f>59.2584 * CHOOSE(CONTROL!$C$9, $D$9, 100%, $F$9) + CHOOSE(CONTROL!$C$27, 0.0021, 0)</f>
        <v>59.2605</v>
      </c>
      <c r="E263" s="14">
        <f>59.1217 * CHOOSE(CONTROL!$C$9, $D$9, 100%, $F$9) + CHOOSE(CONTROL!$C$27, 0.0021, 0)</f>
        <v>59.123799999999996</v>
      </c>
      <c r="F263" s="14">
        <f>59.1217 * CHOOSE(CONTROL!$C$9, $D$9, 100%, $F$9) + CHOOSE(CONTROL!$C$27, 0.0021, 0)</f>
        <v>59.123799999999996</v>
      </c>
      <c r="G263" s="14">
        <f>59.3931 * CHOOSE(CONTROL!$C$9, $D$9, 100%, $F$9) + CHOOSE(CONTROL!$C$27, 0.0021, 0)</f>
        <v>59.395199999999996</v>
      </c>
      <c r="H263" s="14">
        <f>59.2584 * CHOOSE(CONTROL!$C$9, $D$9, 100%, $F$9) + CHOOSE(CONTROL!$C$27, 0.0021, 0)</f>
        <v>59.2605</v>
      </c>
      <c r="I263" s="14">
        <f>59.2584 * CHOOSE(CONTROL!$C$9, $D$9, 100%, $F$9) + CHOOSE(CONTROL!$C$27, 0.0021, 0)</f>
        <v>59.2605</v>
      </c>
      <c r="J263" s="14">
        <f>59.2584 * CHOOSE(CONTROL!$C$9, $D$9, 100%, $F$9) + CHOOSE(CONTROL!$C$27, 0.0021, 0)</f>
        <v>59.2605</v>
      </c>
      <c r="K263" s="14">
        <f>59.2584 * CHOOSE(CONTROL!$C$9, $D$9, 100%, $F$9) + CHOOSE(CONTROL!$C$27, 0.0021, 0)</f>
        <v>59.2605</v>
      </c>
      <c r="L263" s="14"/>
    </row>
    <row r="264" spans="1:12" ht="15" x14ac:dyDescent="0.2">
      <c r="A264" s="13">
        <v>48945</v>
      </c>
      <c r="B264" s="14">
        <f>58.965 * CHOOSE(CONTROL!$C$9, $D$9, 100%, $F$9) + CHOOSE(CONTROL!$C$27, 0.0021, 0)</f>
        <v>58.967100000000002</v>
      </c>
      <c r="C264" s="14">
        <f>58.5328 * CHOOSE(CONTROL!$C$9, $D$9, 100%, $F$9) + CHOOSE(CONTROL!$C$27, 0.0021, 0)</f>
        <v>58.5349</v>
      </c>
      <c r="D264" s="14">
        <f>58.5328 * CHOOSE(CONTROL!$C$9, $D$9, 100%, $F$9) + CHOOSE(CONTROL!$C$27, 0.0021, 0)</f>
        <v>58.5349</v>
      </c>
      <c r="E264" s="14">
        <f>58.3961 * CHOOSE(CONTROL!$C$9, $D$9, 100%, $F$9) + CHOOSE(CONTROL!$C$27, 0.0021, 0)</f>
        <v>58.398199999999996</v>
      </c>
      <c r="F264" s="14">
        <f>58.3961 * CHOOSE(CONTROL!$C$9, $D$9, 100%, $F$9) + CHOOSE(CONTROL!$C$27, 0.0021, 0)</f>
        <v>58.398199999999996</v>
      </c>
      <c r="G264" s="14">
        <f>58.6675 * CHOOSE(CONTROL!$C$9, $D$9, 100%, $F$9) + CHOOSE(CONTROL!$C$27, 0.0021, 0)</f>
        <v>58.669599999999996</v>
      </c>
      <c r="H264" s="14">
        <f>58.5328 * CHOOSE(CONTROL!$C$9, $D$9, 100%, $F$9) + CHOOSE(CONTROL!$C$27, 0.0021, 0)</f>
        <v>58.5349</v>
      </c>
      <c r="I264" s="14">
        <f>58.5328 * CHOOSE(CONTROL!$C$9, $D$9, 100%, $F$9) + CHOOSE(CONTROL!$C$27, 0.0021, 0)</f>
        <v>58.5349</v>
      </c>
      <c r="J264" s="14">
        <f>58.5328 * CHOOSE(CONTROL!$C$9, $D$9, 100%, $F$9) + CHOOSE(CONTROL!$C$27, 0.0021, 0)</f>
        <v>58.5349</v>
      </c>
      <c r="K264" s="14">
        <f>58.5328 * CHOOSE(CONTROL!$C$9, $D$9, 100%, $F$9) + CHOOSE(CONTROL!$C$27, 0.0021, 0)</f>
        <v>58.5349</v>
      </c>
      <c r="L264" s="14"/>
    </row>
    <row r="265" spans="1:12" ht="15" x14ac:dyDescent="0.2">
      <c r="A265" s="13">
        <v>48976</v>
      </c>
      <c r="B265" s="14">
        <f>57.362 * CHOOSE(CONTROL!$C$9, $D$9, 100%, $F$9) + CHOOSE(CONTROL!$C$27, 0.0021, 0)</f>
        <v>57.364100000000001</v>
      </c>
      <c r="C265" s="14">
        <f>56.9298 * CHOOSE(CONTROL!$C$9, $D$9, 100%, $F$9) + CHOOSE(CONTROL!$C$27, 0.0021, 0)</f>
        <v>56.931899999999999</v>
      </c>
      <c r="D265" s="14">
        <f>56.9298 * CHOOSE(CONTROL!$C$9, $D$9, 100%, $F$9) + CHOOSE(CONTROL!$C$27, 0.0021, 0)</f>
        <v>56.931899999999999</v>
      </c>
      <c r="E265" s="14">
        <f>56.7931 * CHOOSE(CONTROL!$C$9, $D$9, 100%, $F$9) + CHOOSE(CONTROL!$C$27, 0.0021, 0)</f>
        <v>56.795200000000001</v>
      </c>
      <c r="F265" s="14">
        <f>56.7931 * CHOOSE(CONTROL!$C$9, $D$9, 100%, $F$9) + CHOOSE(CONTROL!$C$27, 0.0021, 0)</f>
        <v>56.795200000000001</v>
      </c>
      <c r="G265" s="14">
        <f>57.0645 * CHOOSE(CONTROL!$C$9, $D$9, 100%, $F$9) + CHOOSE(CONTROL!$C$27, 0.0021, 0)</f>
        <v>57.066600000000001</v>
      </c>
      <c r="H265" s="14">
        <f>56.9298 * CHOOSE(CONTROL!$C$9, $D$9, 100%, $F$9) + CHOOSE(CONTROL!$C$27, 0.0021, 0)</f>
        <v>56.931899999999999</v>
      </c>
      <c r="I265" s="14">
        <f>56.9298 * CHOOSE(CONTROL!$C$9, $D$9, 100%, $F$9) + CHOOSE(CONTROL!$C$27, 0.0021, 0)</f>
        <v>56.931899999999999</v>
      </c>
      <c r="J265" s="14">
        <f>56.9298 * CHOOSE(CONTROL!$C$9, $D$9, 100%, $F$9) + CHOOSE(CONTROL!$C$27, 0.0021, 0)</f>
        <v>56.931899999999999</v>
      </c>
      <c r="K265" s="14">
        <f>56.9298 * CHOOSE(CONTROL!$C$9, $D$9, 100%, $F$9) + CHOOSE(CONTROL!$C$27, 0.0021, 0)</f>
        <v>56.931899999999999</v>
      </c>
      <c r="L265" s="14"/>
    </row>
    <row r="266" spans="1:12" ht="15" x14ac:dyDescent="0.2">
      <c r="A266" s="13">
        <v>49004</v>
      </c>
      <c r="B266" s="14">
        <f>56.7003 * CHOOSE(CONTROL!$C$9, $D$9, 100%, $F$9) + CHOOSE(CONTROL!$C$27, 0.0021, 0)</f>
        <v>56.702399999999997</v>
      </c>
      <c r="C266" s="14">
        <f>56.2681 * CHOOSE(CONTROL!$C$9, $D$9, 100%, $F$9) + CHOOSE(CONTROL!$C$27, 0.0021, 0)</f>
        <v>56.270199999999996</v>
      </c>
      <c r="D266" s="14">
        <f>56.2681 * CHOOSE(CONTROL!$C$9, $D$9, 100%, $F$9) + CHOOSE(CONTROL!$C$27, 0.0021, 0)</f>
        <v>56.270199999999996</v>
      </c>
      <c r="E266" s="14">
        <f>56.1314 * CHOOSE(CONTROL!$C$9, $D$9, 100%, $F$9) + CHOOSE(CONTROL!$C$27, 0.0021, 0)</f>
        <v>56.133499999999998</v>
      </c>
      <c r="F266" s="14">
        <f>56.1314 * CHOOSE(CONTROL!$C$9, $D$9, 100%, $F$9) + CHOOSE(CONTROL!$C$27, 0.0021, 0)</f>
        <v>56.133499999999998</v>
      </c>
      <c r="G266" s="14">
        <f>56.4028 * CHOOSE(CONTROL!$C$9, $D$9, 100%, $F$9) + CHOOSE(CONTROL!$C$27, 0.0021, 0)</f>
        <v>56.404899999999998</v>
      </c>
      <c r="H266" s="14">
        <f>56.2681 * CHOOSE(CONTROL!$C$9, $D$9, 100%, $F$9) + CHOOSE(CONTROL!$C$27, 0.0021, 0)</f>
        <v>56.270199999999996</v>
      </c>
      <c r="I266" s="14">
        <f>56.2681 * CHOOSE(CONTROL!$C$9, $D$9, 100%, $F$9) + CHOOSE(CONTROL!$C$27, 0.0021, 0)</f>
        <v>56.270199999999996</v>
      </c>
      <c r="J266" s="14">
        <f>56.2681 * CHOOSE(CONTROL!$C$9, $D$9, 100%, $F$9) + CHOOSE(CONTROL!$C$27, 0.0021, 0)</f>
        <v>56.270199999999996</v>
      </c>
      <c r="K266" s="14">
        <f>56.2681 * CHOOSE(CONTROL!$C$9, $D$9, 100%, $F$9) + CHOOSE(CONTROL!$C$27, 0.0021, 0)</f>
        <v>56.270199999999996</v>
      </c>
      <c r="L266" s="14"/>
    </row>
    <row r="267" spans="1:12" ht="15" x14ac:dyDescent="0.2">
      <c r="A267" s="13">
        <v>49035</v>
      </c>
      <c r="B267" s="14">
        <f>55.9102 * CHOOSE(CONTROL!$C$9, $D$9, 100%, $F$9) + CHOOSE(CONTROL!$C$27, 0.0021, 0)</f>
        <v>55.912300000000002</v>
      </c>
      <c r="C267" s="14">
        <f>55.478 * CHOOSE(CONTROL!$C$9, $D$9, 100%, $F$9) + CHOOSE(CONTROL!$C$27, 0.0021, 0)</f>
        <v>55.4801</v>
      </c>
      <c r="D267" s="14">
        <f>55.478 * CHOOSE(CONTROL!$C$9, $D$9, 100%, $F$9) + CHOOSE(CONTROL!$C$27, 0.0021, 0)</f>
        <v>55.4801</v>
      </c>
      <c r="E267" s="14">
        <f>55.3413 * CHOOSE(CONTROL!$C$9, $D$9, 100%, $F$9) + CHOOSE(CONTROL!$C$27, 0.0021, 0)</f>
        <v>55.343399999999995</v>
      </c>
      <c r="F267" s="14">
        <f>55.3413 * CHOOSE(CONTROL!$C$9, $D$9, 100%, $F$9) + CHOOSE(CONTROL!$C$27, 0.0021, 0)</f>
        <v>55.343399999999995</v>
      </c>
      <c r="G267" s="14">
        <f>55.6127 * CHOOSE(CONTROL!$C$9, $D$9, 100%, $F$9) + CHOOSE(CONTROL!$C$27, 0.0021, 0)</f>
        <v>55.614799999999995</v>
      </c>
      <c r="H267" s="14">
        <f>55.478 * CHOOSE(CONTROL!$C$9, $D$9, 100%, $F$9) + CHOOSE(CONTROL!$C$27, 0.0021, 0)</f>
        <v>55.4801</v>
      </c>
      <c r="I267" s="14">
        <f>55.478 * CHOOSE(CONTROL!$C$9, $D$9, 100%, $F$9) + CHOOSE(CONTROL!$C$27, 0.0021, 0)</f>
        <v>55.4801</v>
      </c>
      <c r="J267" s="14">
        <f>55.478 * CHOOSE(CONTROL!$C$9, $D$9, 100%, $F$9) + CHOOSE(CONTROL!$C$27, 0.0021, 0)</f>
        <v>55.4801</v>
      </c>
      <c r="K267" s="14">
        <f>55.478 * CHOOSE(CONTROL!$C$9, $D$9, 100%, $F$9) + CHOOSE(CONTROL!$C$27, 0.0021, 0)</f>
        <v>55.4801</v>
      </c>
      <c r="L267" s="14"/>
    </row>
    <row r="268" spans="1:12" ht="15" x14ac:dyDescent="0.2">
      <c r="A268" s="13">
        <v>49065</v>
      </c>
      <c r="B268" s="14">
        <f>57.0362 * CHOOSE(CONTROL!$C$9, $D$9, 100%, $F$9) + CHOOSE(CONTROL!$C$27, 0.0021, 0)</f>
        <v>57.0383</v>
      </c>
      <c r="C268" s="14">
        <f>56.604 * CHOOSE(CONTROL!$C$9, $D$9, 100%, $F$9) + CHOOSE(CONTROL!$C$27, 0.0021, 0)</f>
        <v>56.606099999999998</v>
      </c>
      <c r="D268" s="14">
        <f>56.604 * CHOOSE(CONTROL!$C$9, $D$9, 100%, $F$9) + CHOOSE(CONTROL!$C$27, 0.0021, 0)</f>
        <v>56.606099999999998</v>
      </c>
      <c r="E268" s="14">
        <f>56.4673 * CHOOSE(CONTROL!$C$9, $D$9, 100%, $F$9) + CHOOSE(CONTROL!$C$27, 0.0021, 0)</f>
        <v>56.4694</v>
      </c>
      <c r="F268" s="14">
        <f>56.4673 * CHOOSE(CONTROL!$C$9, $D$9, 100%, $F$9) + CHOOSE(CONTROL!$C$27, 0.0021, 0)</f>
        <v>56.4694</v>
      </c>
      <c r="G268" s="14">
        <f>56.7387 * CHOOSE(CONTROL!$C$9, $D$9, 100%, $F$9) + CHOOSE(CONTROL!$C$27, 0.0021, 0)</f>
        <v>56.7408</v>
      </c>
      <c r="H268" s="14">
        <f>56.604 * CHOOSE(CONTROL!$C$9, $D$9, 100%, $F$9) + CHOOSE(CONTROL!$C$27, 0.0021, 0)</f>
        <v>56.606099999999998</v>
      </c>
      <c r="I268" s="14">
        <f>56.604 * CHOOSE(CONTROL!$C$9, $D$9, 100%, $F$9) + CHOOSE(CONTROL!$C$27, 0.0021, 0)</f>
        <v>56.606099999999998</v>
      </c>
      <c r="J268" s="14">
        <f>56.604 * CHOOSE(CONTROL!$C$9, $D$9, 100%, $F$9) + CHOOSE(CONTROL!$C$27, 0.0021, 0)</f>
        <v>56.606099999999998</v>
      </c>
      <c r="K268" s="14">
        <f>56.604 * CHOOSE(CONTROL!$C$9, $D$9, 100%, $F$9) + CHOOSE(CONTROL!$C$27, 0.0021, 0)</f>
        <v>56.606099999999998</v>
      </c>
      <c r="L268" s="14"/>
    </row>
    <row r="269" spans="1:12" ht="15" x14ac:dyDescent="0.2">
      <c r="A269" s="13">
        <v>49096</v>
      </c>
      <c r="B269" s="14">
        <f>57.7106 * CHOOSE(CONTROL!$C$9, $D$9, 100%, $F$9) + CHOOSE(CONTROL!$C$27, 0.0021, 0)</f>
        <v>57.712699999999998</v>
      </c>
      <c r="C269" s="14">
        <f>57.2784 * CHOOSE(CONTROL!$C$9, $D$9, 100%, $F$9) + CHOOSE(CONTROL!$C$27, 0.0021, 0)</f>
        <v>57.280499999999996</v>
      </c>
      <c r="D269" s="14">
        <f>57.2784 * CHOOSE(CONTROL!$C$9, $D$9, 100%, $F$9) + CHOOSE(CONTROL!$C$27, 0.0021, 0)</f>
        <v>57.280499999999996</v>
      </c>
      <c r="E269" s="14">
        <f>57.1417 * CHOOSE(CONTROL!$C$9, $D$9, 100%, $F$9) + CHOOSE(CONTROL!$C$27, 0.0021, 0)</f>
        <v>57.143799999999999</v>
      </c>
      <c r="F269" s="14">
        <f>57.1417 * CHOOSE(CONTROL!$C$9, $D$9, 100%, $F$9) + CHOOSE(CONTROL!$C$27, 0.0021, 0)</f>
        <v>57.143799999999999</v>
      </c>
      <c r="G269" s="14">
        <f>57.4131 * CHOOSE(CONTROL!$C$9, $D$9, 100%, $F$9) + CHOOSE(CONTROL!$C$27, 0.0021, 0)</f>
        <v>57.415199999999999</v>
      </c>
      <c r="H269" s="14">
        <f>57.2784 * CHOOSE(CONTROL!$C$9, $D$9, 100%, $F$9) + CHOOSE(CONTROL!$C$27, 0.0021, 0)</f>
        <v>57.280499999999996</v>
      </c>
      <c r="I269" s="14">
        <f>57.2784 * CHOOSE(CONTROL!$C$9, $D$9, 100%, $F$9) + CHOOSE(CONTROL!$C$27, 0.0021, 0)</f>
        <v>57.280499999999996</v>
      </c>
      <c r="J269" s="14">
        <f>57.2784 * CHOOSE(CONTROL!$C$9, $D$9, 100%, $F$9) + CHOOSE(CONTROL!$C$27, 0.0021, 0)</f>
        <v>57.280499999999996</v>
      </c>
      <c r="K269" s="14">
        <f>57.2784 * CHOOSE(CONTROL!$C$9, $D$9, 100%, $F$9) + CHOOSE(CONTROL!$C$27, 0.0021, 0)</f>
        <v>57.280499999999996</v>
      </c>
      <c r="L269" s="14"/>
    </row>
    <row r="270" spans="1:12" ht="15" x14ac:dyDescent="0.2">
      <c r="A270" s="13">
        <v>49126</v>
      </c>
      <c r="B270" s="14">
        <f>58.8232 * CHOOSE(CONTROL!$C$9, $D$9, 100%, $F$9) + CHOOSE(CONTROL!$C$27, 0.0021, 0)</f>
        <v>58.825299999999999</v>
      </c>
      <c r="C270" s="14">
        <f>58.3909 * CHOOSE(CONTROL!$C$9, $D$9, 100%, $F$9) + CHOOSE(CONTROL!$C$27, 0.0021, 0)</f>
        <v>58.393000000000001</v>
      </c>
      <c r="D270" s="14">
        <f>58.3909 * CHOOSE(CONTROL!$C$9, $D$9, 100%, $F$9) + CHOOSE(CONTROL!$C$27, 0.0021, 0)</f>
        <v>58.393000000000001</v>
      </c>
      <c r="E270" s="14">
        <f>58.2543 * CHOOSE(CONTROL!$C$9, $D$9, 100%, $F$9) + CHOOSE(CONTROL!$C$27, 0.0021, 0)</f>
        <v>58.256399999999999</v>
      </c>
      <c r="F270" s="14">
        <f>58.2543 * CHOOSE(CONTROL!$C$9, $D$9, 100%, $F$9) + CHOOSE(CONTROL!$C$27, 0.0021, 0)</f>
        <v>58.256399999999999</v>
      </c>
      <c r="G270" s="14">
        <f>58.5257 * CHOOSE(CONTROL!$C$9, $D$9, 100%, $F$9) + CHOOSE(CONTROL!$C$27, 0.0021, 0)</f>
        <v>58.527799999999999</v>
      </c>
      <c r="H270" s="14">
        <f>58.3909 * CHOOSE(CONTROL!$C$9, $D$9, 100%, $F$9) + CHOOSE(CONTROL!$C$27, 0.0021, 0)</f>
        <v>58.393000000000001</v>
      </c>
      <c r="I270" s="14">
        <f>58.3909 * CHOOSE(CONTROL!$C$9, $D$9, 100%, $F$9) + CHOOSE(CONTROL!$C$27, 0.0021, 0)</f>
        <v>58.393000000000001</v>
      </c>
      <c r="J270" s="14">
        <f>58.3909 * CHOOSE(CONTROL!$C$9, $D$9, 100%, $F$9) + CHOOSE(CONTROL!$C$27, 0.0021, 0)</f>
        <v>58.393000000000001</v>
      </c>
      <c r="K270" s="14">
        <f>58.3909 * CHOOSE(CONTROL!$C$9, $D$9, 100%, $F$9) + CHOOSE(CONTROL!$C$27, 0.0021, 0)</f>
        <v>58.393000000000001</v>
      </c>
      <c r="L270" s="14"/>
    </row>
    <row r="271" spans="1:12" ht="15" x14ac:dyDescent="0.2">
      <c r="A271" s="13">
        <v>49157</v>
      </c>
      <c r="B271" s="14">
        <f>59.1628 * CHOOSE(CONTROL!$C$9, $D$9, 100%, $F$9) + CHOOSE(CONTROL!$C$27, 0.0021, 0)</f>
        <v>59.164899999999996</v>
      </c>
      <c r="C271" s="14">
        <f>58.7305 * CHOOSE(CONTROL!$C$9, $D$9, 100%, $F$9) + CHOOSE(CONTROL!$C$27, 0.0021, 0)</f>
        <v>58.732599999999998</v>
      </c>
      <c r="D271" s="14">
        <f>58.7305 * CHOOSE(CONTROL!$C$9, $D$9, 100%, $F$9) + CHOOSE(CONTROL!$C$27, 0.0021, 0)</f>
        <v>58.732599999999998</v>
      </c>
      <c r="E271" s="14">
        <f>58.5939 * CHOOSE(CONTROL!$C$9, $D$9, 100%, $F$9) + CHOOSE(CONTROL!$C$27, 0.0021, 0)</f>
        <v>58.595999999999997</v>
      </c>
      <c r="F271" s="14">
        <f>58.5939 * CHOOSE(CONTROL!$C$9, $D$9, 100%, $F$9) + CHOOSE(CONTROL!$C$27, 0.0021, 0)</f>
        <v>58.595999999999997</v>
      </c>
      <c r="G271" s="14">
        <f>58.8652 * CHOOSE(CONTROL!$C$9, $D$9, 100%, $F$9) + CHOOSE(CONTROL!$C$27, 0.0021, 0)</f>
        <v>58.8673</v>
      </c>
      <c r="H271" s="14">
        <f>58.7305 * CHOOSE(CONTROL!$C$9, $D$9, 100%, $F$9) + CHOOSE(CONTROL!$C$27, 0.0021, 0)</f>
        <v>58.732599999999998</v>
      </c>
      <c r="I271" s="14">
        <f>58.7305 * CHOOSE(CONTROL!$C$9, $D$9, 100%, $F$9) + CHOOSE(CONTROL!$C$27, 0.0021, 0)</f>
        <v>58.732599999999998</v>
      </c>
      <c r="J271" s="14">
        <f>58.7305 * CHOOSE(CONTROL!$C$9, $D$9, 100%, $F$9) + CHOOSE(CONTROL!$C$27, 0.0021, 0)</f>
        <v>58.732599999999998</v>
      </c>
      <c r="K271" s="14">
        <f>58.7305 * CHOOSE(CONTROL!$C$9, $D$9, 100%, $F$9) + CHOOSE(CONTROL!$C$27, 0.0021, 0)</f>
        <v>58.732599999999998</v>
      </c>
      <c r="L271" s="14"/>
    </row>
    <row r="272" spans="1:12" ht="15" x14ac:dyDescent="0.2">
      <c r="A272" s="13">
        <v>49188</v>
      </c>
      <c r="B272" s="14">
        <f>60.3192 * CHOOSE(CONTROL!$C$9, $D$9, 100%, $F$9) + CHOOSE(CONTROL!$C$27, 0.0021, 0)</f>
        <v>60.321300000000001</v>
      </c>
      <c r="C272" s="14">
        <f>59.887 * CHOOSE(CONTROL!$C$9, $D$9, 100%, $F$9) + CHOOSE(CONTROL!$C$27, 0.0021, 0)</f>
        <v>59.889099999999999</v>
      </c>
      <c r="D272" s="14">
        <f>59.887 * CHOOSE(CONTROL!$C$9, $D$9, 100%, $F$9) + CHOOSE(CONTROL!$C$27, 0.0021, 0)</f>
        <v>59.889099999999999</v>
      </c>
      <c r="E272" s="14">
        <f>59.7503 * CHOOSE(CONTROL!$C$9, $D$9, 100%, $F$9) + CHOOSE(CONTROL!$C$27, 0.0021, 0)</f>
        <v>59.752400000000002</v>
      </c>
      <c r="F272" s="14">
        <f>59.7503 * CHOOSE(CONTROL!$C$9, $D$9, 100%, $F$9) + CHOOSE(CONTROL!$C$27, 0.0021, 0)</f>
        <v>59.752400000000002</v>
      </c>
      <c r="G272" s="14">
        <f>60.0217 * CHOOSE(CONTROL!$C$9, $D$9, 100%, $F$9) + CHOOSE(CONTROL!$C$27, 0.0021, 0)</f>
        <v>60.023800000000001</v>
      </c>
      <c r="H272" s="14">
        <f>59.887 * CHOOSE(CONTROL!$C$9, $D$9, 100%, $F$9) + CHOOSE(CONTROL!$C$27, 0.0021, 0)</f>
        <v>59.889099999999999</v>
      </c>
      <c r="I272" s="14">
        <f>59.887 * CHOOSE(CONTROL!$C$9, $D$9, 100%, $F$9) + CHOOSE(CONTROL!$C$27, 0.0021, 0)</f>
        <v>59.889099999999999</v>
      </c>
      <c r="J272" s="14">
        <f>59.887 * CHOOSE(CONTROL!$C$9, $D$9, 100%, $F$9) + CHOOSE(CONTROL!$C$27, 0.0021, 0)</f>
        <v>59.889099999999999</v>
      </c>
      <c r="K272" s="14">
        <f>59.887 * CHOOSE(CONTROL!$C$9, $D$9, 100%, $F$9) + CHOOSE(CONTROL!$C$27, 0.0021, 0)</f>
        <v>59.889099999999999</v>
      </c>
      <c r="L272" s="14"/>
    </row>
    <row r="273" spans="1:12" ht="15" x14ac:dyDescent="0.2">
      <c r="A273" s="13">
        <v>49218</v>
      </c>
      <c r="B273" s="14">
        <f>61.7831 * CHOOSE(CONTROL!$C$9, $D$9, 100%, $F$9) + CHOOSE(CONTROL!$C$27, 0.0021, 0)</f>
        <v>61.785199999999996</v>
      </c>
      <c r="C273" s="14">
        <f>61.3509 * CHOOSE(CONTROL!$C$9, $D$9, 100%, $F$9) + CHOOSE(CONTROL!$C$27, 0.0021, 0)</f>
        <v>61.353000000000002</v>
      </c>
      <c r="D273" s="14">
        <f>61.3509 * CHOOSE(CONTROL!$C$9, $D$9, 100%, $F$9) + CHOOSE(CONTROL!$C$27, 0.0021, 0)</f>
        <v>61.353000000000002</v>
      </c>
      <c r="E273" s="14">
        <f>61.2142 * CHOOSE(CONTROL!$C$9, $D$9, 100%, $F$9) + CHOOSE(CONTROL!$C$27, 0.0021, 0)</f>
        <v>61.216299999999997</v>
      </c>
      <c r="F273" s="14">
        <f>61.2142 * CHOOSE(CONTROL!$C$9, $D$9, 100%, $F$9) + CHOOSE(CONTROL!$C$27, 0.0021, 0)</f>
        <v>61.216299999999997</v>
      </c>
      <c r="G273" s="14">
        <f>61.4856 * CHOOSE(CONTROL!$C$9, $D$9, 100%, $F$9) + CHOOSE(CONTROL!$C$27, 0.0021, 0)</f>
        <v>61.487699999999997</v>
      </c>
      <c r="H273" s="14">
        <f>61.3509 * CHOOSE(CONTROL!$C$9, $D$9, 100%, $F$9) + CHOOSE(CONTROL!$C$27, 0.0021, 0)</f>
        <v>61.353000000000002</v>
      </c>
      <c r="I273" s="14">
        <f>61.3509 * CHOOSE(CONTROL!$C$9, $D$9, 100%, $F$9) + CHOOSE(CONTROL!$C$27, 0.0021, 0)</f>
        <v>61.353000000000002</v>
      </c>
      <c r="J273" s="14">
        <f>61.3509 * CHOOSE(CONTROL!$C$9, $D$9, 100%, $F$9) + CHOOSE(CONTROL!$C$27, 0.0021, 0)</f>
        <v>61.353000000000002</v>
      </c>
      <c r="K273" s="14">
        <f>61.3509 * CHOOSE(CONTROL!$C$9, $D$9, 100%, $F$9) + CHOOSE(CONTROL!$C$27, 0.0021, 0)</f>
        <v>61.353000000000002</v>
      </c>
      <c r="L273" s="14"/>
    </row>
    <row r="274" spans="1:12" ht="15" x14ac:dyDescent="0.2">
      <c r="A274" s="13">
        <v>49249</v>
      </c>
      <c r="B274" s="14">
        <f>61.9205 * CHOOSE(CONTROL!$C$9, $D$9, 100%, $F$9) + CHOOSE(CONTROL!$C$27, 0.0021, 0)</f>
        <v>61.922599999999996</v>
      </c>
      <c r="C274" s="14">
        <f>61.4883 * CHOOSE(CONTROL!$C$9, $D$9, 100%, $F$9) + CHOOSE(CONTROL!$C$27, 0.0021, 0)</f>
        <v>61.490400000000001</v>
      </c>
      <c r="D274" s="14">
        <f>61.4883 * CHOOSE(CONTROL!$C$9, $D$9, 100%, $F$9) + CHOOSE(CONTROL!$C$27, 0.0021, 0)</f>
        <v>61.490400000000001</v>
      </c>
      <c r="E274" s="14">
        <f>61.3516 * CHOOSE(CONTROL!$C$9, $D$9, 100%, $F$9) + CHOOSE(CONTROL!$C$27, 0.0021, 0)</f>
        <v>61.353699999999996</v>
      </c>
      <c r="F274" s="14">
        <f>61.3516 * CHOOSE(CONTROL!$C$9, $D$9, 100%, $F$9) + CHOOSE(CONTROL!$C$27, 0.0021, 0)</f>
        <v>61.353699999999996</v>
      </c>
      <c r="G274" s="14">
        <f>61.623 * CHOOSE(CONTROL!$C$9, $D$9, 100%, $F$9) + CHOOSE(CONTROL!$C$27, 0.0021, 0)</f>
        <v>61.625099999999996</v>
      </c>
      <c r="H274" s="14">
        <f>61.4883 * CHOOSE(CONTROL!$C$9, $D$9, 100%, $F$9) + CHOOSE(CONTROL!$C$27, 0.0021, 0)</f>
        <v>61.490400000000001</v>
      </c>
      <c r="I274" s="14">
        <f>61.4883 * CHOOSE(CONTROL!$C$9, $D$9, 100%, $F$9) + CHOOSE(CONTROL!$C$27, 0.0021, 0)</f>
        <v>61.490400000000001</v>
      </c>
      <c r="J274" s="14">
        <f>61.4883 * CHOOSE(CONTROL!$C$9, $D$9, 100%, $F$9) + CHOOSE(CONTROL!$C$27, 0.0021, 0)</f>
        <v>61.490400000000001</v>
      </c>
      <c r="K274" s="14">
        <f>61.4883 * CHOOSE(CONTROL!$C$9, $D$9, 100%, $F$9) + CHOOSE(CONTROL!$C$27, 0.0021, 0)</f>
        <v>61.490400000000001</v>
      </c>
      <c r="L274" s="14"/>
    </row>
    <row r="275" spans="1:12" ht="15" x14ac:dyDescent="0.2">
      <c r="A275" s="13">
        <v>49279</v>
      </c>
      <c r="B275" s="14">
        <f>60.7514 * CHOOSE(CONTROL!$C$9, $D$9, 100%, $F$9) + CHOOSE(CONTROL!$C$27, 0.0021, 0)</f>
        <v>60.753499999999995</v>
      </c>
      <c r="C275" s="14">
        <f>60.3191 * CHOOSE(CONTROL!$C$9, $D$9, 100%, $F$9) + CHOOSE(CONTROL!$C$27, 0.0021, 0)</f>
        <v>60.321199999999997</v>
      </c>
      <c r="D275" s="14">
        <f>60.3191 * CHOOSE(CONTROL!$C$9, $D$9, 100%, $F$9) + CHOOSE(CONTROL!$C$27, 0.0021, 0)</f>
        <v>60.321199999999997</v>
      </c>
      <c r="E275" s="14">
        <f>60.1825 * CHOOSE(CONTROL!$C$9, $D$9, 100%, $F$9) + CHOOSE(CONTROL!$C$27, 0.0021, 0)</f>
        <v>60.184599999999996</v>
      </c>
      <c r="F275" s="14">
        <f>60.1825 * CHOOSE(CONTROL!$C$9, $D$9, 100%, $F$9) + CHOOSE(CONTROL!$C$27, 0.0021, 0)</f>
        <v>60.184599999999996</v>
      </c>
      <c r="G275" s="14">
        <f>60.4538 * CHOOSE(CONTROL!$C$9, $D$9, 100%, $F$9) + CHOOSE(CONTROL!$C$27, 0.0021, 0)</f>
        <v>60.4559</v>
      </c>
      <c r="H275" s="14">
        <f>60.3191 * CHOOSE(CONTROL!$C$9, $D$9, 100%, $F$9) + CHOOSE(CONTROL!$C$27, 0.0021, 0)</f>
        <v>60.321199999999997</v>
      </c>
      <c r="I275" s="14">
        <f>60.3191 * CHOOSE(CONTROL!$C$9, $D$9, 100%, $F$9) + CHOOSE(CONTROL!$C$27, 0.0021, 0)</f>
        <v>60.321199999999997</v>
      </c>
      <c r="J275" s="14">
        <f>60.3191 * CHOOSE(CONTROL!$C$9, $D$9, 100%, $F$9) + CHOOSE(CONTROL!$C$27, 0.0021, 0)</f>
        <v>60.321199999999997</v>
      </c>
      <c r="K275" s="14">
        <f>60.3191 * CHOOSE(CONTROL!$C$9, $D$9, 100%, $F$9) + CHOOSE(CONTROL!$C$27, 0.0021, 0)</f>
        <v>60.321199999999997</v>
      </c>
      <c r="L275" s="14"/>
    </row>
    <row r="276" spans="1:12" ht="15" x14ac:dyDescent="0.2">
      <c r="A276" s="13">
        <v>49310</v>
      </c>
      <c r="B276" s="14">
        <f>60.0124 * CHOOSE(CONTROL!$C$9, $D$9, 100%, $F$9) + CHOOSE(CONTROL!$C$27, 0.0021, 0)</f>
        <v>60.014499999999998</v>
      </c>
      <c r="C276" s="14">
        <f>59.5802 * CHOOSE(CONTROL!$C$9, $D$9, 100%, $F$9) + CHOOSE(CONTROL!$C$27, 0.0021, 0)</f>
        <v>59.582299999999996</v>
      </c>
      <c r="D276" s="14">
        <f>59.5802 * CHOOSE(CONTROL!$C$9, $D$9, 100%, $F$9) + CHOOSE(CONTROL!$C$27, 0.0021, 0)</f>
        <v>59.582299999999996</v>
      </c>
      <c r="E276" s="14">
        <f>59.4435 * CHOOSE(CONTROL!$C$9, $D$9, 100%, $F$9) + CHOOSE(CONTROL!$C$27, 0.0021, 0)</f>
        <v>59.445599999999999</v>
      </c>
      <c r="F276" s="14">
        <f>59.4435 * CHOOSE(CONTROL!$C$9, $D$9, 100%, $F$9) + CHOOSE(CONTROL!$C$27, 0.0021, 0)</f>
        <v>59.445599999999999</v>
      </c>
      <c r="G276" s="14">
        <f>59.7149 * CHOOSE(CONTROL!$C$9, $D$9, 100%, $F$9) + CHOOSE(CONTROL!$C$27, 0.0021, 0)</f>
        <v>59.716999999999999</v>
      </c>
      <c r="H276" s="14">
        <f>59.5802 * CHOOSE(CONTROL!$C$9, $D$9, 100%, $F$9) + CHOOSE(CONTROL!$C$27, 0.0021, 0)</f>
        <v>59.582299999999996</v>
      </c>
      <c r="I276" s="14">
        <f>59.5802 * CHOOSE(CONTROL!$C$9, $D$9, 100%, $F$9) + CHOOSE(CONTROL!$C$27, 0.0021, 0)</f>
        <v>59.582299999999996</v>
      </c>
      <c r="J276" s="14">
        <f>59.5802 * CHOOSE(CONTROL!$C$9, $D$9, 100%, $F$9) + CHOOSE(CONTROL!$C$27, 0.0021, 0)</f>
        <v>59.582299999999996</v>
      </c>
      <c r="K276" s="14">
        <f>59.5802 * CHOOSE(CONTROL!$C$9, $D$9, 100%, $F$9) + CHOOSE(CONTROL!$C$27, 0.0021, 0)</f>
        <v>59.582299999999996</v>
      </c>
      <c r="L276" s="14"/>
    </row>
    <row r="277" spans="1:12" ht="15" x14ac:dyDescent="0.2">
      <c r="A277" s="13">
        <v>49341</v>
      </c>
      <c r="B277" s="14">
        <f>58.3798 * CHOOSE(CONTROL!$C$9, $D$9, 100%, $F$9) + CHOOSE(CONTROL!$C$27, 0.0021, 0)</f>
        <v>58.381900000000002</v>
      </c>
      <c r="C277" s="14">
        <f>57.9475 * CHOOSE(CONTROL!$C$9, $D$9, 100%, $F$9) + CHOOSE(CONTROL!$C$27, 0.0021, 0)</f>
        <v>57.949599999999997</v>
      </c>
      <c r="D277" s="14">
        <f>57.9475 * CHOOSE(CONTROL!$C$9, $D$9, 100%, $F$9) + CHOOSE(CONTROL!$C$27, 0.0021, 0)</f>
        <v>57.949599999999997</v>
      </c>
      <c r="E277" s="14">
        <f>57.8109 * CHOOSE(CONTROL!$C$9, $D$9, 100%, $F$9) + CHOOSE(CONTROL!$C$27, 0.0021, 0)</f>
        <v>57.812999999999995</v>
      </c>
      <c r="F277" s="14">
        <f>57.8109 * CHOOSE(CONTROL!$C$9, $D$9, 100%, $F$9) + CHOOSE(CONTROL!$C$27, 0.0021, 0)</f>
        <v>57.812999999999995</v>
      </c>
      <c r="G277" s="14">
        <f>58.0822 * CHOOSE(CONTROL!$C$9, $D$9, 100%, $F$9) + CHOOSE(CONTROL!$C$27, 0.0021, 0)</f>
        <v>58.084299999999999</v>
      </c>
      <c r="H277" s="14">
        <f>57.9475 * CHOOSE(CONTROL!$C$9, $D$9, 100%, $F$9) + CHOOSE(CONTROL!$C$27, 0.0021, 0)</f>
        <v>57.949599999999997</v>
      </c>
      <c r="I277" s="14">
        <f>57.9475 * CHOOSE(CONTROL!$C$9, $D$9, 100%, $F$9) + CHOOSE(CONTROL!$C$27, 0.0021, 0)</f>
        <v>57.949599999999997</v>
      </c>
      <c r="J277" s="14">
        <f>57.9475 * CHOOSE(CONTROL!$C$9, $D$9, 100%, $F$9) + CHOOSE(CONTROL!$C$27, 0.0021, 0)</f>
        <v>57.949599999999997</v>
      </c>
      <c r="K277" s="14">
        <f>57.9475 * CHOOSE(CONTROL!$C$9, $D$9, 100%, $F$9) + CHOOSE(CONTROL!$C$27, 0.0021, 0)</f>
        <v>57.949599999999997</v>
      </c>
      <c r="L277" s="14"/>
    </row>
    <row r="278" spans="1:12" ht="15" x14ac:dyDescent="0.2">
      <c r="A278" s="13">
        <v>49369</v>
      </c>
      <c r="B278" s="14">
        <f>57.7058 * CHOOSE(CONTROL!$C$9, $D$9, 100%, $F$9) + CHOOSE(CONTROL!$C$27, 0.0021, 0)</f>
        <v>57.707900000000002</v>
      </c>
      <c r="C278" s="14">
        <f>57.2736 * CHOOSE(CONTROL!$C$9, $D$9, 100%, $F$9) + CHOOSE(CONTROL!$C$27, 0.0021, 0)</f>
        <v>57.275700000000001</v>
      </c>
      <c r="D278" s="14">
        <f>57.2736 * CHOOSE(CONTROL!$C$9, $D$9, 100%, $F$9) + CHOOSE(CONTROL!$C$27, 0.0021, 0)</f>
        <v>57.275700000000001</v>
      </c>
      <c r="E278" s="14">
        <f>57.1369 * CHOOSE(CONTROL!$C$9, $D$9, 100%, $F$9) + CHOOSE(CONTROL!$C$27, 0.0021, 0)</f>
        <v>57.138999999999996</v>
      </c>
      <c r="F278" s="14">
        <f>57.1369 * CHOOSE(CONTROL!$C$9, $D$9, 100%, $F$9) + CHOOSE(CONTROL!$C$27, 0.0021, 0)</f>
        <v>57.138999999999996</v>
      </c>
      <c r="G278" s="14">
        <f>57.4083 * CHOOSE(CONTROL!$C$9, $D$9, 100%, $F$9) + CHOOSE(CONTROL!$C$27, 0.0021, 0)</f>
        <v>57.410399999999996</v>
      </c>
      <c r="H278" s="14">
        <f>57.2736 * CHOOSE(CONTROL!$C$9, $D$9, 100%, $F$9) + CHOOSE(CONTROL!$C$27, 0.0021, 0)</f>
        <v>57.275700000000001</v>
      </c>
      <c r="I278" s="14">
        <f>57.2736 * CHOOSE(CONTROL!$C$9, $D$9, 100%, $F$9) + CHOOSE(CONTROL!$C$27, 0.0021, 0)</f>
        <v>57.275700000000001</v>
      </c>
      <c r="J278" s="14">
        <f>57.2736 * CHOOSE(CONTROL!$C$9, $D$9, 100%, $F$9) + CHOOSE(CONTROL!$C$27, 0.0021, 0)</f>
        <v>57.275700000000001</v>
      </c>
      <c r="K278" s="14">
        <f>57.2736 * CHOOSE(CONTROL!$C$9, $D$9, 100%, $F$9) + CHOOSE(CONTROL!$C$27, 0.0021, 0)</f>
        <v>57.275700000000001</v>
      </c>
      <c r="L278" s="14"/>
    </row>
    <row r="279" spans="1:12" ht="15" x14ac:dyDescent="0.2">
      <c r="A279" s="13">
        <v>49400</v>
      </c>
      <c r="B279" s="14">
        <f>56.9011 * CHOOSE(CONTROL!$C$9, $D$9, 100%, $F$9) + CHOOSE(CONTROL!$C$27, 0.0021, 0)</f>
        <v>56.903199999999998</v>
      </c>
      <c r="C279" s="14">
        <f>56.4689 * CHOOSE(CONTROL!$C$9, $D$9, 100%, $F$9) + CHOOSE(CONTROL!$C$27, 0.0021, 0)</f>
        <v>56.470999999999997</v>
      </c>
      <c r="D279" s="14">
        <f>56.4689 * CHOOSE(CONTROL!$C$9, $D$9, 100%, $F$9) + CHOOSE(CONTROL!$C$27, 0.0021, 0)</f>
        <v>56.470999999999997</v>
      </c>
      <c r="E279" s="14">
        <f>56.3322 * CHOOSE(CONTROL!$C$9, $D$9, 100%, $F$9) + CHOOSE(CONTROL!$C$27, 0.0021, 0)</f>
        <v>56.334299999999999</v>
      </c>
      <c r="F279" s="14">
        <f>56.3322 * CHOOSE(CONTROL!$C$9, $D$9, 100%, $F$9) + CHOOSE(CONTROL!$C$27, 0.0021, 0)</f>
        <v>56.334299999999999</v>
      </c>
      <c r="G279" s="14">
        <f>56.6036 * CHOOSE(CONTROL!$C$9, $D$9, 100%, $F$9) + CHOOSE(CONTROL!$C$27, 0.0021, 0)</f>
        <v>56.605699999999999</v>
      </c>
      <c r="H279" s="14">
        <f>56.4689 * CHOOSE(CONTROL!$C$9, $D$9, 100%, $F$9) + CHOOSE(CONTROL!$C$27, 0.0021, 0)</f>
        <v>56.470999999999997</v>
      </c>
      <c r="I279" s="14">
        <f>56.4689 * CHOOSE(CONTROL!$C$9, $D$9, 100%, $F$9) + CHOOSE(CONTROL!$C$27, 0.0021, 0)</f>
        <v>56.470999999999997</v>
      </c>
      <c r="J279" s="14">
        <f>56.4689 * CHOOSE(CONTROL!$C$9, $D$9, 100%, $F$9) + CHOOSE(CONTROL!$C$27, 0.0021, 0)</f>
        <v>56.470999999999997</v>
      </c>
      <c r="K279" s="14">
        <f>56.4689 * CHOOSE(CONTROL!$C$9, $D$9, 100%, $F$9) + CHOOSE(CONTROL!$C$27, 0.0021, 0)</f>
        <v>56.470999999999997</v>
      </c>
      <c r="L279" s="14"/>
    </row>
    <row r="280" spans="1:12" ht="15" x14ac:dyDescent="0.2">
      <c r="A280" s="13">
        <v>49430</v>
      </c>
      <c r="B280" s="14">
        <f>58.0479 * CHOOSE(CONTROL!$C$9, $D$9, 100%, $F$9) + CHOOSE(CONTROL!$C$27, 0.0021, 0)</f>
        <v>58.05</v>
      </c>
      <c r="C280" s="14">
        <f>57.6157 * CHOOSE(CONTROL!$C$9, $D$9, 100%, $F$9) + CHOOSE(CONTROL!$C$27, 0.0021, 0)</f>
        <v>57.617799999999995</v>
      </c>
      <c r="D280" s="14">
        <f>57.6157 * CHOOSE(CONTROL!$C$9, $D$9, 100%, $F$9) + CHOOSE(CONTROL!$C$27, 0.0021, 0)</f>
        <v>57.617799999999995</v>
      </c>
      <c r="E280" s="14">
        <f>57.479 * CHOOSE(CONTROL!$C$9, $D$9, 100%, $F$9) + CHOOSE(CONTROL!$C$27, 0.0021, 0)</f>
        <v>57.481099999999998</v>
      </c>
      <c r="F280" s="14">
        <f>57.479 * CHOOSE(CONTROL!$C$9, $D$9, 100%, $F$9) + CHOOSE(CONTROL!$C$27, 0.0021, 0)</f>
        <v>57.481099999999998</v>
      </c>
      <c r="G280" s="14">
        <f>57.7504 * CHOOSE(CONTROL!$C$9, $D$9, 100%, $F$9) + CHOOSE(CONTROL!$C$27, 0.0021, 0)</f>
        <v>57.752499999999998</v>
      </c>
      <c r="H280" s="14">
        <f>57.6157 * CHOOSE(CONTROL!$C$9, $D$9, 100%, $F$9) + CHOOSE(CONTROL!$C$27, 0.0021, 0)</f>
        <v>57.617799999999995</v>
      </c>
      <c r="I280" s="14">
        <f>57.6157 * CHOOSE(CONTROL!$C$9, $D$9, 100%, $F$9) + CHOOSE(CONTROL!$C$27, 0.0021, 0)</f>
        <v>57.617799999999995</v>
      </c>
      <c r="J280" s="14">
        <f>57.6157 * CHOOSE(CONTROL!$C$9, $D$9, 100%, $F$9) + CHOOSE(CONTROL!$C$27, 0.0021, 0)</f>
        <v>57.617799999999995</v>
      </c>
      <c r="K280" s="14">
        <f>57.6157 * CHOOSE(CONTROL!$C$9, $D$9, 100%, $F$9) + CHOOSE(CONTROL!$C$27, 0.0021, 0)</f>
        <v>57.617799999999995</v>
      </c>
      <c r="L280" s="14"/>
    </row>
    <row r="281" spans="1:12" ht="15" x14ac:dyDescent="0.2">
      <c r="A281" s="34">
        <v>49461</v>
      </c>
      <c r="B281" s="14">
        <f>58.7348 * CHOOSE(CONTROL!$C$9, $D$9, 100%, $F$9) + CHOOSE(CONTROL!$C$27, 0.0021, 0)</f>
        <v>58.736899999999999</v>
      </c>
      <c r="C281" s="14">
        <f>58.3026 * CHOOSE(CONTROL!$C$9, $D$9, 100%, $F$9) + CHOOSE(CONTROL!$C$27, 0.0021, 0)</f>
        <v>58.304699999999997</v>
      </c>
      <c r="D281" s="14">
        <f>58.3026 * CHOOSE(CONTROL!$C$9, $D$9, 100%, $F$9) + CHOOSE(CONTROL!$C$27, 0.0021, 0)</f>
        <v>58.304699999999997</v>
      </c>
      <c r="E281" s="14">
        <f>58.1659 * CHOOSE(CONTROL!$C$9, $D$9, 100%, $F$9) + CHOOSE(CONTROL!$C$27, 0.0021, 0)</f>
        <v>58.167999999999999</v>
      </c>
      <c r="F281" s="14">
        <f>58.1659 * CHOOSE(CONTROL!$C$9, $D$9, 100%, $F$9) + CHOOSE(CONTROL!$C$27, 0.0021, 0)</f>
        <v>58.167999999999999</v>
      </c>
      <c r="G281" s="14">
        <f>58.4373 * CHOOSE(CONTROL!$C$9, $D$9, 100%, $F$9) + CHOOSE(CONTROL!$C$27, 0.0021, 0)</f>
        <v>58.439399999999999</v>
      </c>
      <c r="H281" s="14">
        <f>58.3026 * CHOOSE(CONTROL!$C$9, $D$9, 100%, $F$9) + CHOOSE(CONTROL!$C$27, 0.0021, 0)</f>
        <v>58.304699999999997</v>
      </c>
      <c r="I281" s="14">
        <f>58.3026 * CHOOSE(CONTROL!$C$9, $D$9, 100%, $F$9) + CHOOSE(CONTROL!$C$27, 0.0021, 0)</f>
        <v>58.304699999999997</v>
      </c>
      <c r="J281" s="14">
        <f>58.3026 * CHOOSE(CONTROL!$C$9, $D$9, 100%, $F$9) + CHOOSE(CONTROL!$C$27, 0.0021, 0)</f>
        <v>58.304699999999997</v>
      </c>
      <c r="K281" s="14">
        <f>58.3026 * CHOOSE(CONTROL!$C$9, $D$9, 100%, $F$9) + CHOOSE(CONTROL!$C$27, 0.0021, 0)</f>
        <v>58.304699999999997</v>
      </c>
      <c r="L281" s="14"/>
    </row>
    <row r="282" spans="1:12" ht="15" x14ac:dyDescent="0.2">
      <c r="A282" s="34">
        <v>49491</v>
      </c>
      <c r="B282" s="14">
        <f>59.8679 * CHOOSE(CONTROL!$C$9, $D$9, 100%, $F$9) + CHOOSE(CONTROL!$C$27, 0.0021, 0)</f>
        <v>59.87</v>
      </c>
      <c r="C282" s="14">
        <f>59.4357 * CHOOSE(CONTROL!$C$9, $D$9, 100%, $F$9) + CHOOSE(CONTROL!$C$27, 0.0021, 0)</f>
        <v>59.437799999999996</v>
      </c>
      <c r="D282" s="14">
        <f>59.4357 * CHOOSE(CONTROL!$C$9, $D$9, 100%, $F$9) + CHOOSE(CONTROL!$C$27, 0.0021, 0)</f>
        <v>59.437799999999996</v>
      </c>
      <c r="E282" s="14">
        <f>59.299 * CHOOSE(CONTROL!$C$9, $D$9, 100%, $F$9) + CHOOSE(CONTROL!$C$27, 0.0021, 0)</f>
        <v>59.301099999999998</v>
      </c>
      <c r="F282" s="14">
        <f>59.299 * CHOOSE(CONTROL!$C$9, $D$9, 100%, $F$9) + CHOOSE(CONTROL!$C$27, 0.0021, 0)</f>
        <v>59.301099999999998</v>
      </c>
      <c r="G282" s="14">
        <f>59.5704 * CHOOSE(CONTROL!$C$9, $D$9, 100%, $F$9) + CHOOSE(CONTROL!$C$27, 0.0021, 0)</f>
        <v>59.572499999999998</v>
      </c>
      <c r="H282" s="14">
        <f>59.4357 * CHOOSE(CONTROL!$C$9, $D$9, 100%, $F$9) + CHOOSE(CONTROL!$C$27, 0.0021, 0)</f>
        <v>59.437799999999996</v>
      </c>
      <c r="I282" s="14">
        <f>59.4357 * CHOOSE(CONTROL!$C$9, $D$9, 100%, $F$9) + CHOOSE(CONTROL!$C$27, 0.0021, 0)</f>
        <v>59.437799999999996</v>
      </c>
      <c r="J282" s="14">
        <f>59.4357 * CHOOSE(CONTROL!$C$9, $D$9, 100%, $F$9) + CHOOSE(CONTROL!$C$27, 0.0021, 0)</f>
        <v>59.437799999999996</v>
      </c>
      <c r="K282" s="14">
        <f>59.4357 * CHOOSE(CONTROL!$C$9, $D$9, 100%, $F$9) + CHOOSE(CONTROL!$C$27, 0.0021, 0)</f>
        <v>59.437799999999996</v>
      </c>
      <c r="L282" s="14"/>
    </row>
    <row r="283" spans="1:12" ht="15" x14ac:dyDescent="0.2">
      <c r="A283" s="34">
        <v>49522</v>
      </c>
      <c r="B283" s="14">
        <f>60.2138 * CHOOSE(CONTROL!$C$9, $D$9, 100%, $F$9) + CHOOSE(CONTROL!$C$27, 0.0021, 0)</f>
        <v>60.215899999999998</v>
      </c>
      <c r="C283" s="14">
        <f>59.7815 * CHOOSE(CONTROL!$C$9, $D$9, 100%, $F$9) + CHOOSE(CONTROL!$C$27, 0.0021, 0)</f>
        <v>59.7836</v>
      </c>
      <c r="D283" s="14">
        <f>59.7815 * CHOOSE(CONTROL!$C$9, $D$9, 100%, $F$9) + CHOOSE(CONTROL!$C$27, 0.0021, 0)</f>
        <v>59.7836</v>
      </c>
      <c r="E283" s="14">
        <f>59.6449 * CHOOSE(CONTROL!$C$9, $D$9, 100%, $F$9) + CHOOSE(CONTROL!$C$27, 0.0021, 0)</f>
        <v>59.646999999999998</v>
      </c>
      <c r="F283" s="14">
        <f>59.6449 * CHOOSE(CONTROL!$C$9, $D$9, 100%, $F$9) + CHOOSE(CONTROL!$C$27, 0.0021, 0)</f>
        <v>59.646999999999998</v>
      </c>
      <c r="G283" s="14">
        <f>59.9163 * CHOOSE(CONTROL!$C$9, $D$9, 100%, $F$9) + CHOOSE(CONTROL!$C$27, 0.0021, 0)</f>
        <v>59.918399999999998</v>
      </c>
      <c r="H283" s="14">
        <f>59.7815 * CHOOSE(CONTROL!$C$9, $D$9, 100%, $F$9) + CHOOSE(CONTROL!$C$27, 0.0021, 0)</f>
        <v>59.7836</v>
      </c>
      <c r="I283" s="14">
        <f>59.7815 * CHOOSE(CONTROL!$C$9, $D$9, 100%, $F$9) + CHOOSE(CONTROL!$C$27, 0.0021, 0)</f>
        <v>59.7836</v>
      </c>
      <c r="J283" s="14">
        <f>59.7815 * CHOOSE(CONTROL!$C$9, $D$9, 100%, $F$9) + CHOOSE(CONTROL!$C$27, 0.0021, 0)</f>
        <v>59.7836</v>
      </c>
      <c r="K283" s="14">
        <f>59.7815 * CHOOSE(CONTROL!$C$9, $D$9, 100%, $F$9) + CHOOSE(CONTROL!$C$27, 0.0021, 0)</f>
        <v>59.7836</v>
      </c>
      <c r="L283" s="14"/>
    </row>
    <row r="284" spans="1:12" ht="15" x14ac:dyDescent="0.2">
      <c r="A284" s="34">
        <v>49553</v>
      </c>
      <c r="B284" s="14">
        <f>61.3916 * CHOOSE(CONTROL!$C$9, $D$9, 100%, $F$9) + CHOOSE(CONTROL!$C$27, 0.0021, 0)</f>
        <v>61.393699999999995</v>
      </c>
      <c r="C284" s="14">
        <f>60.9594 * CHOOSE(CONTROL!$C$9, $D$9, 100%, $F$9) + CHOOSE(CONTROL!$C$27, 0.0021, 0)</f>
        <v>60.961500000000001</v>
      </c>
      <c r="D284" s="14">
        <f>60.9594 * CHOOSE(CONTROL!$C$9, $D$9, 100%, $F$9) + CHOOSE(CONTROL!$C$27, 0.0021, 0)</f>
        <v>60.961500000000001</v>
      </c>
      <c r="E284" s="14">
        <f>60.8227 * CHOOSE(CONTROL!$C$9, $D$9, 100%, $F$9) + CHOOSE(CONTROL!$C$27, 0.0021, 0)</f>
        <v>60.824799999999996</v>
      </c>
      <c r="F284" s="14">
        <f>60.8227 * CHOOSE(CONTROL!$C$9, $D$9, 100%, $F$9) + CHOOSE(CONTROL!$C$27, 0.0021, 0)</f>
        <v>60.824799999999996</v>
      </c>
      <c r="G284" s="14">
        <f>61.0941 * CHOOSE(CONTROL!$C$9, $D$9, 100%, $F$9) + CHOOSE(CONTROL!$C$27, 0.0021, 0)</f>
        <v>61.096199999999996</v>
      </c>
      <c r="H284" s="14">
        <f>60.9594 * CHOOSE(CONTROL!$C$9, $D$9, 100%, $F$9) + CHOOSE(CONTROL!$C$27, 0.0021, 0)</f>
        <v>60.961500000000001</v>
      </c>
      <c r="I284" s="14">
        <f>60.9594 * CHOOSE(CONTROL!$C$9, $D$9, 100%, $F$9) + CHOOSE(CONTROL!$C$27, 0.0021, 0)</f>
        <v>60.961500000000001</v>
      </c>
      <c r="J284" s="14">
        <f>60.9594 * CHOOSE(CONTROL!$C$9, $D$9, 100%, $F$9) + CHOOSE(CONTROL!$C$27, 0.0021, 0)</f>
        <v>60.961500000000001</v>
      </c>
      <c r="K284" s="14">
        <f>60.9594 * CHOOSE(CONTROL!$C$9, $D$9, 100%, $F$9) + CHOOSE(CONTROL!$C$27, 0.0021, 0)</f>
        <v>60.961500000000001</v>
      </c>
      <c r="L284" s="14"/>
    </row>
    <row r="285" spans="1:12" ht="15" x14ac:dyDescent="0.2">
      <c r="A285" s="34">
        <v>49583</v>
      </c>
      <c r="B285" s="14">
        <f>62.8825 * CHOOSE(CONTROL!$C$9, $D$9, 100%, $F$9) + CHOOSE(CONTROL!$C$27, 0.0021, 0)</f>
        <v>62.884599999999999</v>
      </c>
      <c r="C285" s="14">
        <f>62.4503 * CHOOSE(CONTROL!$C$9, $D$9, 100%, $F$9) + CHOOSE(CONTROL!$C$27, 0.0021, 0)</f>
        <v>62.452399999999997</v>
      </c>
      <c r="D285" s="14">
        <f>62.4503 * CHOOSE(CONTROL!$C$9, $D$9, 100%, $F$9) + CHOOSE(CONTROL!$C$27, 0.0021, 0)</f>
        <v>62.452399999999997</v>
      </c>
      <c r="E285" s="14">
        <f>62.3136 * CHOOSE(CONTROL!$C$9, $D$9, 100%, $F$9) + CHOOSE(CONTROL!$C$27, 0.0021, 0)</f>
        <v>62.3157</v>
      </c>
      <c r="F285" s="14">
        <f>62.3136 * CHOOSE(CONTROL!$C$9, $D$9, 100%, $F$9) + CHOOSE(CONTROL!$C$27, 0.0021, 0)</f>
        <v>62.3157</v>
      </c>
      <c r="G285" s="14">
        <f>62.585 * CHOOSE(CONTROL!$C$9, $D$9, 100%, $F$9) + CHOOSE(CONTROL!$C$27, 0.0021, 0)</f>
        <v>62.5871</v>
      </c>
      <c r="H285" s="14">
        <f>62.4503 * CHOOSE(CONTROL!$C$9, $D$9, 100%, $F$9) + CHOOSE(CONTROL!$C$27, 0.0021, 0)</f>
        <v>62.452399999999997</v>
      </c>
      <c r="I285" s="14">
        <f>62.4503 * CHOOSE(CONTROL!$C$9, $D$9, 100%, $F$9) + CHOOSE(CONTROL!$C$27, 0.0021, 0)</f>
        <v>62.452399999999997</v>
      </c>
      <c r="J285" s="14">
        <f>62.4503 * CHOOSE(CONTROL!$C$9, $D$9, 100%, $F$9) + CHOOSE(CONTROL!$C$27, 0.0021, 0)</f>
        <v>62.452399999999997</v>
      </c>
      <c r="K285" s="14">
        <f>62.4503 * CHOOSE(CONTROL!$C$9, $D$9, 100%, $F$9) + CHOOSE(CONTROL!$C$27, 0.0021, 0)</f>
        <v>62.452399999999997</v>
      </c>
      <c r="L285" s="14"/>
    </row>
    <row r="286" spans="1:12" ht="15" x14ac:dyDescent="0.2">
      <c r="A286" s="34">
        <v>49614</v>
      </c>
      <c r="B286" s="14">
        <f>63.0225 * CHOOSE(CONTROL!$C$9, $D$9, 100%, $F$9) + CHOOSE(CONTROL!$C$27, 0.0021, 0)</f>
        <v>63.0246</v>
      </c>
      <c r="C286" s="14">
        <f>62.5903 * CHOOSE(CONTROL!$C$9, $D$9, 100%, $F$9) + CHOOSE(CONTROL!$C$27, 0.0021, 0)</f>
        <v>62.592399999999998</v>
      </c>
      <c r="D286" s="14">
        <f>62.5903 * CHOOSE(CONTROL!$C$9, $D$9, 100%, $F$9) + CHOOSE(CONTROL!$C$27, 0.0021, 0)</f>
        <v>62.592399999999998</v>
      </c>
      <c r="E286" s="14">
        <f>62.4536 * CHOOSE(CONTROL!$C$9, $D$9, 100%, $F$9) + CHOOSE(CONTROL!$C$27, 0.0021, 0)</f>
        <v>62.4557</v>
      </c>
      <c r="F286" s="14">
        <f>62.4536 * CHOOSE(CONTROL!$C$9, $D$9, 100%, $F$9) + CHOOSE(CONTROL!$C$27, 0.0021, 0)</f>
        <v>62.4557</v>
      </c>
      <c r="G286" s="14">
        <f>62.725 * CHOOSE(CONTROL!$C$9, $D$9, 100%, $F$9) + CHOOSE(CONTROL!$C$27, 0.0021, 0)</f>
        <v>62.7271</v>
      </c>
      <c r="H286" s="14">
        <f>62.5903 * CHOOSE(CONTROL!$C$9, $D$9, 100%, $F$9) + CHOOSE(CONTROL!$C$27, 0.0021, 0)</f>
        <v>62.592399999999998</v>
      </c>
      <c r="I286" s="14">
        <f>62.5903 * CHOOSE(CONTROL!$C$9, $D$9, 100%, $F$9) + CHOOSE(CONTROL!$C$27, 0.0021, 0)</f>
        <v>62.592399999999998</v>
      </c>
      <c r="J286" s="14">
        <f>62.5903 * CHOOSE(CONTROL!$C$9, $D$9, 100%, $F$9) + CHOOSE(CONTROL!$C$27, 0.0021, 0)</f>
        <v>62.592399999999998</v>
      </c>
      <c r="K286" s="14">
        <f>62.5903 * CHOOSE(CONTROL!$C$9, $D$9, 100%, $F$9) + CHOOSE(CONTROL!$C$27, 0.0021, 0)</f>
        <v>62.592399999999998</v>
      </c>
      <c r="L286" s="14"/>
    </row>
    <row r="287" spans="1:12" ht="15" x14ac:dyDescent="0.2">
      <c r="A287" s="34">
        <v>49644</v>
      </c>
      <c r="B287" s="14">
        <f>61.8317 * CHOOSE(CONTROL!$C$9, $D$9, 100%, $F$9) + CHOOSE(CONTROL!$C$27, 0.0021, 0)</f>
        <v>61.833799999999997</v>
      </c>
      <c r="C287" s="14">
        <f>61.3995 * CHOOSE(CONTROL!$C$9, $D$9, 100%, $F$9) + CHOOSE(CONTROL!$C$27, 0.0021, 0)</f>
        <v>61.401600000000002</v>
      </c>
      <c r="D287" s="14">
        <f>61.3995 * CHOOSE(CONTROL!$C$9, $D$9, 100%, $F$9) + CHOOSE(CONTROL!$C$27, 0.0021, 0)</f>
        <v>61.401600000000002</v>
      </c>
      <c r="E287" s="14">
        <f>61.2628 * CHOOSE(CONTROL!$C$9, $D$9, 100%, $F$9) + CHOOSE(CONTROL!$C$27, 0.0021, 0)</f>
        <v>61.264899999999997</v>
      </c>
      <c r="F287" s="14">
        <f>61.2628 * CHOOSE(CONTROL!$C$9, $D$9, 100%, $F$9) + CHOOSE(CONTROL!$C$27, 0.0021, 0)</f>
        <v>61.264899999999997</v>
      </c>
      <c r="G287" s="14">
        <f>61.5342 * CHOOSE(CONTROL!$C$9, $D$9, 100%, $F$9) + CHOOSE(CONTROL!$C$27, 0.0021, 0)</f>
        <v>61.536299999999997</v>
      </c>
      <c r="H287" s="14">
        <f>61.3995 * CHOOSE(CONTROL!$C$9, $D$9, 100%, $F$9) + CHOOSE(CONTROL!$C$27, 0.0021, 0)</f>
        <v>61.401600000000002</v>
      </c>
      <c r="I287" s="14">
        <f>61.3995 * CHOOSE(CONTROL!$C$9, $D$9, 100%, $F$9) + CHOOSE(CONTROL!$C$27, 0.0021, 0)</f>
        <v>61.401600000000002</v>
      </c>
      <c r="J287" s="14">
        <f>61.3995 * CHOOSE(CONTROL!$C$9, $D$9, 100%, $F$9) + CHOOSE(CONTROL!$C$27, 0.0021, 0)</f>
        <v>61.401600000000002</v>
      </c>
      <c r="K287" s="14">
        <f>61.3995 * CHOOSE(CONTROL!$C$9, $D$9, 100%, $F$9) + CHOOSE(CONTROL!$C$27, 0.0021, 0)</f>
        <v>61.401600000000002</v>
      </c>
      <c r="L287" s="14"/>
    </row>
    <row r="288" spans="1:12" ht="15" x14ac:dyDescent="0.2">
      <c r="A288" s="34">
        <v>49675</v>
      </c>
      <c r="B288" s="14">
        <f>61.0791 * CHOOSE(CONTROL!$C$9, $D$9, 100%, $F$9) + CHOOSE(CONTROL!$C$27, 0.0021, 0)</f>
        <v>61.081199999999995</v>
      </c>
      <c r="C288" s="14">
        <f>60.6469 * CHOOSE(CONTROL!$C$9, $D$9, 100%, $F$9) + CHOOSE(CONTROL!$C$27, 0.0021, 0)</f>
        <v>60.649000000000001</v>
      </c>
      <c r="D288" s="14">
        <f>60.6469 * CHOOSE(CONTROL!$C$9, $D$9, 100%, $F$9) + CHOOSE(CONTROL!$C$27, 0.0021, 0)</f>
        <v>60.649000000000001</v>
      </c>
      <c r="E288" s="14">
        <f>60.5102 * CHOOSE(CONTROL!$C$9, $D$9, 100%, $F$9) + CHOOSE(CONTROL!$C$27, 0.0021, 0)</f>
        <v>60.512299999999996</v>
      </c>
      <c r="F288" s="14">
        <f>60.5102 * CHOOSE(CONTROL!$C$9, $D$9, 100%, $F$9) + CHOOSE(CONTROL!$C$27, 0.0021, 0)</f>
        <v>60.512299999999996</v>
      </c>
      <c r="G288" s="14">
        <f>60.7816 * CHOOSE(CONTROL!$C$9, $D$9, 100%, $F$9) + CHOOSE(CONTROL!$C$27, 0.0021, 0)</f>
        <v>60.783699999999996</v>
      </c>
      <c r="H288" s="14">
        <f>60.6469 * CHOOSE(CONTROL!$C$9, $D$9, 100%, $F$9) + CHOOSE(CONTROL!$C$27, 0.0021, 0)</f>
        <v>60.649000000000001</v>
      </c>
      <c r="I288" s="14">
        <f>60.6469 * CHOOSE(CONTROL!$C$9, $D$9, 100%, $F$9) + CHOOSE(CONTROL!$C$27, 0.0021, 0)</f>
        <v>60.649000000000001</v>
      </c>
      <c r="J288" s="14">
        <f>60.6469 * CHOOSE(CONTROL!$C$9, $D$9, 100%, $F$9) + CHOOSE(CONTROL!$C$27, 0.0021, 0)</f>
        <v>60.649000000000001</v>
      </c>
      <c r="K288" s="14">
        <f>60.6469 * CHOOSE(CONTROL!$C$9, $D$9, 100%, $F$9) + CHOOSE(CONTROL!$C$27, 0.0021, 0)</f>
        <v>60.649000000000001</v>
      </c>
      <c r="L288" s="14"/>
    </row>
    <row r="289" spans="1:12" ht="15" x14ac:dyDescent="0.2">
      <c r="A289" s="34">
        <v>49706</v>
      </c>
      <c r="B289" s="14">
        <f>59.4163 * CHOOSE(CONTROL!$C$9, $D$9, 100%, $F$9) + CHOOSE(CONTROL!$C$27, 0.0021, 0)</f>
        <v>59.418399999999998</v>
      </c>
      <c r="C289" s="14">
        <f>58.9841 * CHOOSE(CONTROL!$C$9, $D$9, 100%, $F$9) + CHOOSE(CONTROL!$C$27, 0.0021, 0)</f>
        <v>58.986199999999997</v>
      </c>
      <c r="D289" s="14">
        <f>58.9841 * CHOOSE(CONTROL!$C$9, $D$9, 100%, $F$9) + CHOOSE(CONTROL!$C$27, 0.0021, 0)</f>
        <v>58.986199999999997</v>
      </c>
      <c r="E289" s="14">
        <f>58.8474 * CHOOSE(CONTROL!$C$9, $D$9, 100%, $F$9) + CHOOSE(CONTROL!$C$27, 0.0021, 0)</f>
        <v>58.849499999999999</v>
      </c>
      <c r="F289" s="14">
        <f>58.8474 * CHOOSE(CONTROL!$C$9, $D$9, 100%, $F$9) + CHOOSE(CONTROL!$C$27, 0.0021, 0)</f>
        <v>58.849499999999999</v>
      </c>
      <c r="G289" s="14">
        <f>59.1188 * CHOOSE(CONTROL!$C$9, $D$9, 100%, $F$9) + CHOOSE(CONTROL!$C$27, 0.0021, 0)</f>
        <v>59.120899999999999</v>
      </c>
      <c r="H289" s="14">
        <f>58.9841 * CHOOSE(CONTROL!$C$9, $D$9, 100%, $F$9) + CHOOSE(CONTROL!$C$27, 0.0021, 0)</f>
        <v>58.986199999999997</v>
      </c>
      <c r="I289" s="14">
        <f>58.9841 * CHOOSE(CONTROL!$C$9, $D$9, 100%, $F$9) + CHOOSE(CONTROL!$C$27, 0.0021, 0)</f>
        <v>58.986199999999997</v>
      </c>
      <c r="J289" s="14">
        <f>58.9841 * CHOOSE(CONTROL!$C$9, $D$9, 100%, $F$9) + CHOOSE(CONTROL!$C$27, 0.0021, 0)</f>
        <v>58.986199999999997</v>
      </c>
      <c r="K289" s="14">
        <f>58.9841 * CHOOSE(CONTROL!$C$9, $D$9, 100%, $F$9) + CHOOSE(CONTROL!$C$27, 0.0021, 0)</f>
        <v>58.986199999999997</v>
      </c>
      <c r="L289" s="14"/>
    </row>
    <row r="290" spans="1:12" ht="15" x14ac:dyDescent="0.2">
      <c r="A290" s="34">
        <v>49735</v>
      </c>
      <c r="B290" s="14">
        <f>58.7299 * CHOOSE(CONTROL!$C$9, $D$9, 100%, $F$9) + CHOOSE(CONTROL!$C$27, 0.0021, 0)</f>
        <v>58.731999999999999</v>
      </c>
      <c r="C290" s="14">
        <f>58.2976 * CHOOSE(CONTROL!$C$9, $D$9, 100%, $F$9) + CHOOSE(CONTROL!$C$27, 0.0021, 0)</f>
        <v>58.299700000000001</v>
      </c>
      <c r="D290" s="14">
        <f>58.2976 * CHOOSE(CONTROL!$C$9, $D$9, 100%, $F$9) + CHOOSE(CONTROL!$C$27, 0.0021, 0)</f>
        <v>58.299700000000001</v>
      </c>
      <c r="E290" s="14">
        <f>58.161 * CHOOSE(CONTROL!$C$9, $D$9, 100%, $F$9) + CHOOSE(CONTROL!$C$27, 0.0021, 0)</f>
        <v>58.1631</v>
      </c>
      <c r="F290" s="14">
        <f>58.161 * CHOOSE(CONTROL!$C$9, $D$9, 100%, $F$9) + CHOOSE(CONTROL!$C$27, 0.0021, 0)</f>
        <v>58.1631</v>
      </c>
      <c r="G290" s="14">
        <f>58.4324 * CHOOSE(CONTROL!$C$9, $D$9, 100%, $F$9) + CHOOSE(CONTROL!$C$27, 0.0021, 0)</f>
        <v>58.4345</v>
      </c>
      <c r="H290" s="14">
        <f>58.2976 * CHOOSE(CONTROL!$C$9, $D$9, 100%, $F$9) + CHOOSE(CONTROL!$C$27, 0.0021, 0)</f>
        <v>58.299700000000001</v>
      </c>
      <c r="I290" s="14">
        <f>58.2976 * CHOOSE(CONTROL!$C$9, $D$9, 100%, $F$9) + CHOOSE(CONTROL!$C$27, 0.0021, 0)</f>
        <v>58.299700000000001</v>
      </c>
      <c r="J290" s="14">
        <f>58.2976 * CHOOSE(CONTROL!$C$9, $D$9, 100%, $F$9) + CHOOSE(CONTROL!$C$27, 0.0021, 0)</f>
        <v>58.299700000000001</v>
      </c>
      <c r="K290" s="14">
        <f>58.2976 * CHOOSE(CONTROL!$C$9, $D$9, 100%, $F$9) + CHOOSE(CONTROL!$C$27, 0.0021, 0)</f>
        <v>58.299700000000001</v>
      </c>
      <c r="L290" s="14"/>
    </row>
    <row r="291" spans="1:12" ht="15" x14ac:dyDescent="0.2">
      <c r="A291" s="34">
        <v>49766</v>
      </c>
      <c r="B291" s="14">
        <f>57.9103 * CHOOSE(CONTROL!$C$9, $D$9, 100%, $F$9) + CHOOSE(CONTROL!$C$27, 0.0021, 0)</f>
        <v>57.912399999999998</v>
      </c>
      <c r="C291" s="14">
        <f>57.4781 * CHOOSE(CONTROL!$C$9, $D$9, 100%, $F$9) + CHOOSE(CONTROL!$C$27, 0.0021, 0)</f>
        <v>57.480199999999996</v>
      </c>
      <c r="D291" s="14">
        <f>57.4781 * CHOOSE(CONTROL!$C$9, $D$9, 100%, $F$9) + CHOOSE(CONTROL!$C$27, 0.0021, 0)</f>
        <v>57.480199999999996</v>
      </c>
      <c r="E291" s="14">
        <f>57.3414 * CHOOSE(CONTROL!$C$9, $D$9, 100%, $F$9) + CHOOSE(CONTROL!$C$27, 0.0021, 0)</f>
        <v>57.343499999999999</v>
      </c>
      <c r="F291" s="14">
        <f>57.3414 * CHOOSE(CONTROL!$C$9, $D$9, 100%, $F$9) + CHOOSE(CONTROL!$C$27, 0.0021, 0)</f>
        <v>57.343499999999999</v>
      </c>
      <c r="G291" s="14">
        <f>57.6128 * CHOOSE(CONTROL!$C$9, $D$9, 100%, $F$9) + CHOOSE(CONTROL!$C$27, 0.0021, 0)</f>
        <v>57.614899999999999</v>
      </c>
      <c r="H291" s="14">
        <f>57.4781 * CHOOSE(CONTROL!$C$9, $D$9, 100%, $F$9) + CHOOSE(CONTROL!$C$27, 0.0021, 0)</f>
        <v>57.480199999999996</v>
      </c>
      <c r="I291" s="14">
        <f>57.4781 * CHOOSE(CONTROL!$C$9, $D$9, 100%, $F$9) + CHOOSE(CONTROL!$C$27, 0.0021, 0)</f>
        <v>57.480199999999996</v>
      </c>
      <c r="J291" s="14">
        <f>57.4781 * CHOOSE(CONTROL!$C$9, $D$9, 100%, $F$9) + CHOOSE(CONTROL!$C$27, 0.0021, 0)</f>
        <v>57.480199999999996</v>
      </c>
      <c r="K291" s="14">
        <f>57.4781 * CHOOSE(CONTROL!$C$9, $D$9, 100%, $F$9) + CHOOSE(CONTROL!$C$27, 0.0021, 0)</f>
        <v>57.480199999999996</v>
      </c>
      <c r="L291" s="14"/>
    </row>
    <row r="292" spans="1:12" ht="15" x14ac:dyDescent="0.2">
      <c r="A292" s="34">
        <v>49796</v>
      </c>
      <c r="B292" s="14">
        <f>59.0783 * CHOOSE(CONTROL!$C$9, $D$9, 100%, $F$9) + CHOOSE(CONTROL!$C$27, 0.0021, 0)</f>
        <v>59.080399999999997</v>
      </c>
      <c r="C292" s="14">
        <f>58.6461 * CHOOSE(CONTROL!$C$9, $D$9, 100%, $F$9) + CHOOSE(CONTROL!$C$27, 0.0021, 0)</f>
        <v>58.648199999999996</v>
      </c>
      <c r="D292" s="14">
        <f>58.6461 * CHOOSE(CONTROL!$C$9, $D$9, 100%, $F$9) + CHOOSE(CONTROL!$C$27, 0.0021, 0)</f>
        <v>58.648199999999996</v>
      </c>
      <c r="E292" s="14">
        <f>58.5094 * CHOOSE(CONTROL!$C$9, $D$9, 100%, $F$9) + CHOOSE(CONTROL!$C$27, 0.0021, 0)</f>
        <v>58.511499999999998</v>
      </c>
      <c r="F292" s="14">
        <f>58.5094 * CHOOSE(CONTROL!$C$9, $D$9, 100%, $F$9) + CHOOSE(CONTROL!$C$27, 0.0021, 0)</f>
        <v>58.511499999999998</v>
      </c>
      <c r="G292" s="14">
        <f>58.7808 * CHOOSE(CONTROL!$C$9, $D$9, 100%, $F$9) + CHOOSE(CONTROL!$C$27, 0.0021, 0)</f>
        <v>58.782899999999998</v>
      </c>
      <c r="H292" s="14">
        <f>58.6461 * CHOOSE(CONTROL!$C$9, $D$9, 100%, $F$9) + CHOOSE(CONTROL!$C$27, 0.0021, 0)</f>
        <v>58.648199999999996</v>
      </c>
      <c r="I292" s="14">
        <f>58.6461 * CHOOSE(CONTROL!$C$9, $D$9, 100%, $F$9) + CHOOSE(CONTROL!$C$27, 0.0021, 0)</f>
        <v>58.648199999999996</v>
      </c>
      <c r="J292" s="14">
        <f>58.6461 * CHOOSE(CONTROL!$C$9, $D$9, 100%, $F$9) + CHOOSE(CONTROL!$C$27, 0.0021, 0)</f>
        <v>58.648199999999996</v>
      </c>
      <c r="K292" s="14">
        <f>58.6461 * CHOOSE(CONTROL!$C$9, $D$9, 100%, $F$9) + CHOOSE(CONTROL!$C$27, 0.0021, 0)</f>
        <v>58.648199999999996</v>
      </c>
      <c r="L292" s="14"/>
    </row>
    <row r="293" spans="1:12" ht="15" x14ac:dyDescent="0.2">
      <c r="A293" s="34">
        <v>49827</v>
      </c>
      <c r="B293" s="14">
        <f>59.7779 * CHOOSE(CONTROL!$C$9, $D$9, 100%, $F$9) + CHOOSE(CONTROL!$C$27, 0.0021, 0)</f>
        <v>59.78</v>
      </c>
      <c r="C293" s="14">
        <f>59.3457 * CHOOSE(CONTROL!$C$9, $D$9, 100%, $F$9) + CHOOSE(CONTROL!$C$27, 0.0021, 0)</f>
        <v>59.347799999999999</v>
      </c>
      <c r="D293" s="14">
        <f>59.3457 * CHOOSE(CONTROL!$C$9, $D$9, 100%, $F$9) + CHOOSE(CONTROL!$C$27, 0.0021, 0)</f>
        <v>59.347799999999999</v>
      </c>
      <c r="E293" s="14">
        <f>59.209 * CHOOSE(CONTROL!$C$9, $D$9, 100%, $F$9) + CHOOSE(CONTROL!$C$27, 0.0021, 0)</f>
        <v>59.211100000000002</v>
      </c>
      <c r="F293" s="14">
        <f>59.209 * CHOOSE(CONTROL!$C$9, $D$9, 100%, $F$9) + CHOOSE(CONTROL!$C$27, 0.0021, 0)</f>
        <v>59.211100000000002</v>
      </c>
      <c r="G293" s="14">
        <f>59.4804 * CHOOSE(CONTROL!$C$9, $D$9, 100%, $F$9) + CHOOSE(CONTROL!$C$27, 0.0021, 0)</f>
        <v>59.482500000000002</v>
      </c>
      <c r="H293" s="14">
        <f>59.3457 * CHOOSE(CONTROL!$C$9, $D$9, 100%, $F$9) + CHOOSE(CONTROL!$C$27, 0.0021, 0)</f>
        <v>59.347799999999999</v>
      </c>
      <c r="I293" s="14">
        <f>59.3457 * CHOOSE(CONTROL!$C$9, $D$9, 100%, $F$9) + CHOOSE(CONTROL!$C$27, 0.0021, 0)</f>
        <v>59.347799999999999</v>
      </c>
      <c r="J293" s="14">
        <f>59.3457 * CHOOSE(CONTROL!$C$9, $D$9, 100%, $F$9) + CHOOSE(CONTROL!$C$27, 0.0021, 0)</f>
        <v>59.347799999999999</v>
      </c>
      <c r="K293" s="14">
        <f>59.3457 * CHOOSE(CONTROL!$C$9, $D$9, 100%, $F$9) + CHOOSE(CONTROL!$C$27, 0.0021, 0)</f>
        <v>59.347799999999999</v>
      </c>
      <c r="L293" s="14"/>
    </row>
    <row r="294" spans="1:12" ht="15" x14ac:dyDescent="0.2">
      <c r="A294" s="34">
        <v>49857</v>
      </c>
      <c r="B294" s="14">
        <f>60.932 * CHOOSE(CONTROL!$C$9, $D$9, 100%, $F$9) + CHOOSE(CONTROL!$C$27, 0.0021, 0)</f>
        <v>60.934100000000001</v>
      </c>
      <c r="C294" s="14">
        <f>60.4997 * CHOOSE(CONTROL!$C$9, $D$9, 100%, $F$9) + CHOOSE(CONTROL!$C$27, 0.0021, 0)</f>
        <v>60.501799999999996</v>
      </c>
      <c r="D294" s="14">
        <f>60.4997 * CHOOSE(CONTROL!$C$9, $D$9, 100%, $F$9) + CHOOSE(CONTROL!$C$27, 0.0021, 0)</f>
        <v>60.501799999999996</v>
      </c>
      <c r="E294" s="14">
        <f>60.3631 * CHOOSE(CONTROL!$C$9, $D$9, 100%, $F$9) + CHOOSE(CONTROL!$C$27, 0.0021, 0)</f>
        <v>60.365200000000002</v>
      </c>
      <c r="F294" s="14">
        <f>60.3631 * CHOOSE(CONTROL!$C$9, $D$9, 100%, $F$9) + CHOOSE(CONTROL!$C$27, 0.0021, 0)</f>
        <v>60.365200000000002</v>
      </c>
      <c r="G294" s="14">
        <f>60.6344 * CHOOSE(CONTROL!$C$9, $D$9, 100%, $F$9) + CHOOSE(CONTROL!$C$27, 0.0021, 0)</f>
        <v>60.636499999999998</v>
      </c>
      <c r="H294" s="14">
        <f>60.4997 * CHOOSE(CONTROL!$C$9, $D$9, 100%, $F$9) + CHOOSE(CONTROL!$C$27, 0.0021, 0)</f>
        <v>60.501799999999996</v>
      </c>
      <c r="I294" s="14">
        <f>60.4997 * CHOOSE(CONTROL!$C$9, $D$9, 100%, $F$9) + CHOOSE(CONTROL!$C$27, 0.0021, 0)</f>
        <v>60.501799999999996</v>
      </c>
      <c r="J294" s="14">
        <f>60.4997 * CHOOSE(CONTROL!$C$9, $D$9, 100%, $F$9) + CHOOSE(CONTROL!$C$27, 0.0021, 0)</f>
        <v>60.501799999999996</v>
      </c>
      <c r="K294" s="14">
        <f>60.4997 * CHOOSE(CONTROL!$C$9, $D$9, 100%, $F$9) + CHOOSE(CONTROL!$C$27, 0.0021, 0)</f>
        <v>60.501799999999996</v>
      </c>
      <c r="L294" s="14"/>
    </row>
    <row r="295" spans="1:12" ht="15" x14ac:dyDescent="0.2">
      <c r="A295" s="34">
        <v>49888</v>
      </c>
      <c r="B295" s="14">
        <f>61.2842 * CHOOSE(CONTROL!$C$9, $D$9, 100%, $F$9) + CHOOSE(CONTROL!$C$27, 0.0021, 0)</f>
        <v>61.286299999999997</v>
      </c>
      <c r="C295" s="14">
        <f>60.852 * CHOOSE(CONTROL!$C$9, $D$9, 100%, $F$9) + CHOOSE(CONTROL!$C$27, 0.0021, 0)</f>
        <v>60.854099999999995</v>
      </c>
      <c r="D295" s="14">
        <f>60.852 * CHOOSE(CONTROL!$C$9, $D$9, 100%, $F$9) + CHOOSE(CONTROL!$C$27, 0.0021, 0)</f>
        <v>60.854099999999995</v>
      </c>
      <c r="E295" s="14">
        <f>60.7153 * CHOOSE(CONTROL!$C$9, $D$9, 100%, $F$9) + CHOOSE(CONTROL!$C$27, 0.0021, 0)</f>
        <v>60.717399999999998</v>
      </c>
      <c r="F295" s="14">
        <f>60.7153 * CHOOSE(CONTROL!$C$9, $D$9, 100%, $F$9) + CHOOSE(CONTROL!$C$27, 0.0021, 0)</f>
        <v>60.717399999999998</v>
      </c>
      <c r="G295" s="14">
        <f>60.9867 * CHOOSE(CONTROL!$C$9, $D$9, 100%, $F$9) + CHOOSE(CONTROL!$C$27, 0.0021, 0)</f>
        <v>60.988799999999998</v>
      </c>
      <c r="H295" s="14">
        <f>60.852 * CHOOSE(CONTROL!$C$9, $D$9, 100%, $F$9) + CHOOSE(CONTROL!$C$27, 0.0021, 0)</f>
        <v>60.854099999999995</v>
      </c>
      <c r="I295" s="14">
        <f>60.852 * CHOOSE(CONTROL!$C$9, $D$9, 100%, $F$9) + CHOOSE(CONTROL!$C$27, 0.0021, 0)</f>
        <v>60.854099999999995</v>
      </c>
      <c r="J295" s="14">
        <f>60.852 * CHOOSE(CONTROL!$C$9, $D$9, 100%, $F$9) + CHOOSE(CONTROL!$C$27, 0.0021, 0)</f>
        <v>60.854099999999995</v>
      </c>
      <c r="K295" s="14">
        <f>60.852 * CHOOSE(CONTROL!$C$9, $D$9, 100%, $F$9) + CHOOSE(CONTROL!$C$27, 0.0021, 0)</f>
        <v>60.854099999999995</v>
      </c>
      <c r="L295" s="14"/>
    </row>
    <row r="296" spans="1:12" ht="15" x14ac:dyDescent="0.2">
      <c r="A296" s="34">
        <v>49919</v>
      </c>
      <c r="B296" s="14">
        <f>62.4838 * CHOOSE(CONTROL!$C$9, $D$9, 100%, $F$9) + CHOOSE(CONTROL!$C$27, 0.0021, 0)</f>
        <v>62.485900000000001</v>
      </c>
      <c r="C296" s="14">
        <f>62.0516 * CHOOSE(CONTROL!$C$9, $D$9, 100%, $F$9) + CHOOSE(CONTROL!$C$27, 0.0021, 0)</f>
        <v>62.053699999999999</v>
      </c>
      <c r="D296" s="14">
        <f>62.0516 * CHOOSE(CONTROL!$C$9, $D$9, 100%, $F$9) + CHOOSE(CONTROL!$C$27, 0.0021, 0)</f>
        <v>62.053699999999999</v>
      </c>
      <c r="E296" s="14">
        <f>61.9149 * CHOOSE(CONTROL!$C$9, $D$9, 100%, $F$9) + CHOOSE(CONTROL!$C$27, 0.0021, 0)</f>
        <v>61.917000000000002</v>
      </c>
      <c r="F296" s="14">
        <f>61.9149 * CHOOSE(CONTROL!$C$9, $D$9, 100%, $F$9) + CHOOSE(CONTROL!$C$27, 0.0021, 0)</f>
        <v>61.917000000000002</v>
      </c>
      <c r="G296" s="14">
        <f>62.1863 * CHOOSE(CONTROL!$C$9, $D$9, 100%, $F$9) + CHOOSE(CONTROL!$C$27, 0.0021, 0)</f>
        <v>62.188400000000001</v>
      </c>
      <c r="H296" s="14">
        <f>62.0516 * CHOOSE(CONTROL!$C$9, $D$9, 100%, $F$9) + CHOOSE(CONTROL!$C$27, 0.0021, 0)</f>
        <v>62.053699999999999</v>
      </c>
      <c r="I296" s="14">
        <f>62.0516 * CHOOSE(CONTROL!$C$9, $D$9, 100%, $F$9) + CHOOSE(CONTROL!$C$27, 0.0021, 0)</f>
        <v>62.053699999999999</v>
      </c>
      <c r="J296" s="14">
        <f>62.0516 * CHOOSE(CONTROL!$C$9, $D$9, 100%, $F$9) + CHOOSE(CONTROL!$C$27, 0.0021, 0)</f>
        <v>62.053699999999999</v>
      </c>
      <c r="K296" s="14">
        <f>62.0516 * CHOOSE(CONTROL!$C$9, $D$9, 100%, $F$9) + CHOOSE(CONTROL!$C$27, 0.0021, 0)</f>
        <v>62.053699999999999</v>
      </c>
      <c r="L296" s="14"/>
    </row>
    <row r="297" spans="1:12" ht="15" x14ac:dyDescent="0.2">
      <c r="A297" s="34">
        <v>49949</v>
      </c>
      <c r="B297" s="14">
        <f>64.0023 * CHOOSE(CONTROL!$C$9, $D$9, 100%, $F$9) + CHOOSE(CONTROL!$C$27, 0.0021, 0)</f>
        <v>64.004400000000004</v>
      </c>
      <c r="C297" s="14">
        <f>63.5701 * CHOOSE(CONTROL!$C$9, $D$9, 100%, $F$9) + CHOOSE(CONTROL!$C$27, 0.0021, 0)</f>
        <v>63.572199999999995</v>
      </c>
      <c r="D297" s="14">
        <f>63.5701 * CHOOSE(CONTROL!$C$9, $D$9, 100%, $F$9) + CHOOSE(CONTROL!$C$27, 0.0021, 0)</f>
        <v>63.572199999999995</v>
      </c>
      <c r="E297" s="14">
        <f>63.4334 * CHOOSE(CONTROL!$C$9, $D$9, 100%, $F$9) + CHOOSE(CONTROL!$C$27, 0.0021, 0)</f>
        <v>63.435499999999998</v>
      </c>
      <c r="F297" s="14">
        <f>63.4334 * CHOOSE(CONTROL!$C$9, $D$9, 100%, $F$9) + CHOOSE(CONTROL!$C$27, 0.0021, 0)</f>
        <v>63.435499999999998</v>
      </c>
      <c r="G297" s="14">
        <f>63.7048 * CHOOSE(CONTROL!$C$9, $D$9, 100%, $F$9) + CHOOSE(CONTROL!$C$27, 0.0021, 0)</f>
        <v>63.706899999999997</v>
      </c>
      <c r="H297" s="14">
        <f>63.5701 * CHOOSE(CONTROL!$C$9, $D$9, 100%, $F$9) + CHOOSE(CONTROL!$C$27, 0.0021, 0)</f>
        <v>63.572199999999995</v>
      </c>
      <c r="I297" s="14">
        <f>63.5701 * CHOOSE(CONTROL!$C$9, $D$9, 100%, $F$9) + CHOOSE(CONTROL!$C$27, 0.0021, 0)</f>
        <v>63.572199999999995</v>
      </c>
      <c r="J297" s="14">
        <f>63.5701 * CHOOSE(CONTROL!$C$9, $D$9, 100%, $F$9) + CHOOSE(CONTROL!$C$27, 0.0021, 0)</f>
        <v>63.572199999999995</v>
      </c>
      <c r="K297" s="14">
        <f>63.5701 * CHOOSE(CONTROL!$C$9, $D$9, 100%, $F$9) + CHOOSE(CONTROL!$C$27, 0.0021, 0)</f>
        <v>63.572199999999995</v>
      </c>
      <c r="L297" s="14"/>
    </row>
    <row r="298" spans="1:12" ht="15" x14ac:dyDescent="0.2">
      <c r="A298" s="34">
        <v>49980</v>
      </c>
      <c r="B298" s="14">
        <f>64.1449 * CHOOSE(CONTROL!$C$9, $D$9, 100%, $F$9) + CHOOSE(CONTROL!$C$27, 0.0021, 0)</f>
        <v>64.147000000000006</v>
      </c>
      <c r="C298" s="14">
        <f>63.7126 * CHOOSE(CONTROL!$C$9, $D$9, 100%, $F$9) + CHOOSE(CONTROL!$C$27, 0.0021, 0)</f>
        <v>63.714700000000001</v>
      </c>
      <c r="D298" s="14">
        <f>63.7126 * CHOOSE(CONTROL!$C$9, $D$9, 100%, $F$9) + CHOOSE(CONTROL!$C$27, 0.0021, 0)</f>
        <v>63.714700000000001</v>
      </c>
      <c r="E298" s="14">
        <f>63.5759 * CHOOSE(CONTROL!$C$9, $D$9, 100%, $F$9) + CHOOSE(CONTROL!$C$27, 0.0021, 0)</f>
        <v>63.577999999999996</v>
      </c>
      <c r="F298" s="14">
        <f>63.5759 * CHOOSE(CONTROL!$C$9, $D$9, 100%, $F$9) + CHOOSE(CONTROL!$C$27, 0.0021, 0)</f>
        <v>63.577999999999996</v>
      </c>
      <c r="G298" s="14">
        <f>63.8473 * CHOOSE(CONTROL!$C$9, $D$9, 100%, $F$9) + CHOOSE(CONTROL!$C$27, 0.0021, 0)</f>
        <v>63.849399999999996</v>
      </c>
      <c r="H298" s="14">
        <f>63.7126 * CHOOSE(CONTROL!$C$9, $D$9, 100%, $F$9) + CHOOSE(CONTROL!$C$27, 0.0021, 0)</f>
        <v>63.714700000000001</v>
      </c>
      <c r="I298" s="14">
        <f>63.7126 * CHOOSE(CONTROL!$C$9, $D$9, 100%, $F$9) + CHOOSE(CONTROL!$C$27, 0.0021, 0)</f>
        <v>63.714700000000001</v>
      </c>
      <c r="J298" s="14">
        <f>63.7126 * CHOOSE(CONTROL!$C$9, $D$9, 100%, $F$9) + CHOOSE(CONTROL!$C$27, 0.0021, 0)</f>
        <v>63.714700000000001</v>
      </c>
      <c r="K298" s="14">
        <f>63.7126 * CHOOSE(CONTROL!$C$9, $D$9, 100%, $F$9) + CHOOSE(CONTROL!$C$27, 0.0021, 0)</f>
        <v>63.714700000000001</v>
      </c>
      <c r="L298" s="14"/>
    </row>
    <row r="299" spans="1:12" ht="15" x14ac:dyDescent="0.2">
      <c r="A299" s="34">
        <v>50010</v>
      </c>
      <c r="B299" s="14">
        <f>62.9321 * CHOOSE(CONTROL!$C$9, $D$9, 100%, $F$9) + CHOOSE(CONTROL!$C$27, 0.0021, 0)</f>
        <v>62.934199999999997</v>
      </c>
      <c r="C299" s="14">
        <f>62.4998 * CHOOSE(CONTROL!$C$9, $D$9, 100%, $F$9) + CHOOSE(CONTROL!$C$27, 0.0021, 0)</f>
        <v>62.501899999999999</v>
      </c>
      <c r="D299" s="14">
        <f>62.4998 * CHOOSE(CONTROL!$C$9, $D$9, 100%, $F$9) + CHOOSE(CONTROL!$C$27, 0.0021, 0)</f>
        <v>62.501899999999999</v>
      </c>
      <c r="E299" s="14">
        <f>62.3632 * CHOOSE(CONTROL!$C$9, $D$9, 100%, $F$9) + CHOOSE(CONTROL!$C$27, 0.0021, 0)</f>
        <v>62.365299999999998</v>
      </c>
      <c r="F299" s="14">
        <f>62.3632 * CHOOSE(CONTROL!$C$9, $D$9, 100%, $F$9) + CHOOSE(CONTROL!$C$27, 0.0021, 0)</f>
        <v>62.365299999999998</v>
      </c>
      <c r="G299" s="14">
        <f>62.6345 * CHOOSE(CONTROL!$C$9, $D$9, 100%, $F$9) + CHOOSE(CONTROL!$C$27, 0.0021, 0)</f>
        <v>62.636600000000001</v>
      </c>
      <c r="H299" s="14">
        <f>62.4998 * CHOOSE(CONTROL!$C$9, $D$9, 100%, $F$9) + CHOOSE(CONTROL!$C$27, 0.0021, 0)</f>
        <v>62.501899999999999</v>
      </c>
      <c r="I299" s="14">
        <f>62.4998 * CHOOSE(CONTROL!$C$9, $D$9, 100%, $F$9) + CHOOSE(CONTROL!$C$27, 0.0021, 0)</f>
        <v>62.501899999999999</v>
      </c>
      <c r="J299" s="14">
        <f>62.4998 * CHOOSE(CONTROL!$C$9, $D$9, 100%, $F$9) + CHOOSE(CONTROL!$C$27, 0.0021, 0)</f>
        <v>62.501899999999999</v>
      </c>
      <c r="K299" s="14">
        <f>62.4998 * CHOOSE(CONTROL!$C$9, $D$9, 100%, $F$9) + CHOOSE(CONTROL!$C$27, 0.0021, 0)</f>
        <v>62.501899999999999</v>
      </c>
      <c r="L299" s="14"/>
    </row>
    <row r="300" spans="1:12" ht="15" x14ac:dyDescent="0.2">
      <c r="A300" s="34">
        <v>50041</v>
      </c>
      <c r="B300" s="14">
        <f>62.1655 * CHOOSE(CONTROL!$C$9, $D$9, 100%, $F$9) + CHOOSE(CONTROL!$C$27, 0.0021, 0)</f>
        <v>62.1676</v>
      </c>
      <c r="C300" s="14">
        <f>61.7333 * CHOOSE(CONTROL!$C$9, $D$9, 100%, $F$9) + CHOOSE(CONTROL!$C$27, 0.0021, 0)</f>
        <v>61.735399999999998</v>
      </c>
      <c r="D300" s="14">
        <f>61.7333 * CHOOSE(CONTROL!$C$9, $D$9, 100%, $F$9) + CHOOSE(CONTROL!$C$27, 0.0021, 0)</f>
        <v>61.735399999999998</v>
      </c>
      <c r="E300" s="14">
        <f>61.5966 * CHOOSE(CONTROL!$C$9, $D$9, 100%, $F$9) + CHOOSE(CONTROL!$C$27, 0.0021, 0)</f>
        <v>61.598700000000001</v>
      </c>
      <c r="F300" s="14">
        <f>61.5966 * CHOOSE(CONTROL!$C$9, $D$9, 100%, $F$9) + CHOOSE(CONTROL!$C$27, 0.0021, 0)</f>
        <v>61.598700000000001</v>
      </c>
      <c r="G300" s="14">
        <f>61.868 * CHOOSE(CONTROL!$C$9, $D$9, 100%, $F$9) + CHOOSE(CONTROL!$C$27, 0.0021, 0)</f>
        <v>61.870100000000001</v>
      </c>
      <c r="H300" s="14">
        <f>61.7333 * CHOOSE(CONTROL!$C$9, $D$9, 100%, $F$9) + CHOOSE(CONTROL!$C$27, 0.0021, 0)</f>
        <v>61.735399999999998</v>
      </c>
      <c r="I300" s="14">
        <f>61.7333 * CHOOSE(CONTROL!$C$9, $D$9, 100%, $F$9) + CHOOSE(CONTROL!$C$27, 0.0021, 0)</f>
        <v>61.735399999999998</v>
      </c>
      <c r="J300" s="14">
        <f>61.7333 * CHOOSE(CONTROL!$C$9, $D$9, 100%, $F$9) + CHOOSE(CONTROL!$C$27, 0.0021, 0)</f>
        <v>61.735399999999998</v>
      </c>
      <c r="K300" s="14">
        <f>61.7333 * CHOOSE(CONTROL!$C$9, $D$9, 100%, $F$9) + CHOOSE(CONTROL!$C$27, 0.0021, 0)</f>
        <v>61.735399999999998</v>
      </c>
      <c r="L300" s="14"/>
    </row>
    <row r="301" spans="1:12" ht="15" x14ac:dyDescent="0.2">
      <c r="A301" s="34">
        <v>50072</v>
      </c>
      <c r="B301" s="14">
        <f>60.472 * CHOOSE(CONTROL!$C$9, $D$9, 100%, $F$9) + CHOOSE(CONTROL!$C$27, 0.0021, 0)</f>
        <v>60.4741</v>
      </c>
      <c r="C301" s="14">
        <f>60.0397 * CHOOSE(CONTROL!$C$9, $D$9, 100%, $F$9) + CHOOSE(CONTROL!$C$27, 0.0021, 0)</f>
        <v>60.041800000000002</v>
      </c>
      <c r="D301" s="14">
        <f>60.0397 * CHOOSE(CONTROL!$C$9, $D$9, 100%, $F$9) + CHOOSE(CONTROL!$C$27, 0.0021, 0)</f>
        <v>60.041800000000002</v>
      </c>
      <c r="E301" s="14">
        <f>59.9031 * CHOOSE(CONTROL!$C$9, $D$9, 100%, $F$9) + CHOOSE(CONTROL!$C$27, 0.0021, 0)</f>
        <v>59.905200000000001</v>
      </c>
      <c r="F301" s="14">
        <f>59.9031 * CHOOSE(CONTROL!$C$9, $D$9, 100%, $F$9) + CHOOSE(CONTROL!$C$27, 0.0021, 0)</f>
        <v>59.905200000000001</v>
      </c>
      <c r="G301" s="14">
        <f>60.1745 * CHOOSE(CONTROL!$C$9, $D$9, 100%, $F$9) + CHOOSE(CONTROL!$C$27, 0.0021, 0)</f>
        <v>60.176600000000001</v>
      </c>
      <c r="H301" s="14">
        <f>60.0397 * CHOOSE(CONTROL!$C$9, $D$9, 100%, $F$9) + CHOOSE(CONTROL!$C$27, 0.0021, 0)</f>
        <v>60.041800000000002</v>
      </c>
      <c r="I301" s="14">
        <f>60.0397 * CHOOSE(CONTROL!$C$9, $D$9, 100%, $F$9) + CHOOSE(CONTROL!$C$27, 0.0021, 0)</f>
        <v>60.041800000000002</v>
      </c>
      <c r="J301" s="14">
        <f>60.0397 * CHOOSE(CONTROL!$C$9, $D$9, 100%, $F$9) + CHOOSE(CONTROL!$C$27, 0.0021, 0)</f>
        <v>60.041800000000002</v>
      </c>
      <c r="K301" s="14">
        <f>60.0397 * CHOOSE(CONTROL!$C$9, $D$9, 100%, $F$9) + CHOOSE(CONTROL!$C$27, 0.0021, 0)</f>
        <v>60.041800000000002</v>
      </c>
      <c r="L301" s="14"/>
    </row>
    <row r="302" spans="1:12" ht="15" x14ac:dyDescent="0.2">
      <c r="A302" s="34">
        <v>50100</v>
      </c>
      <c r="B302" s="14">
        <f>59.7729 * CHOOSE(CONTROL!$C$9, $D$9, 100%, $F$9) + CHOOSE(CONTROL!$C$27, 0.0021, 0)</f>
        <v>59.774999999999999</v>
      </c>
      <c r="C302" s="14">
        <f>59.3407 * CHOOSE(CONTROL!$C$9, $D$9, 100%, $F$9) + CHOOSE(CONTROL!$C$27, 0.0021, 0)</f>
        <v>59.342799999999997</v>
      </c>
      <c r="D302" s="14">
        <f>59.3407 * CHOOSE(CONTROL!$C$9, $D$9, 100%, $F$9) + CHOOSE(CONTROL!$C$27, 0.0021, 0)</f>
        <v>59.342799999999997</v>
      </c>
      <c r="E302" s="14">
        <f>59.204 * CHOOSE(CONTROL!$C$9, $D$9, 100%, $F$9) + CHOOSE(CONTROL!$C$27, 0.0021, 0)</f>
        <v>59.206099999999999</v>
      </c>
      <c r="F302" s="14">
        <f>59.204 * CHOOSE(CONTROL!$C$9, $D$9, 100%, $F$9) + CHOOSE(CONTROL!$C$27, 0.0021, 0)</f>
        <v>59.206099999999999</v>
      </c>
      <c r="G302" s="14">
        <f>59.4754 * CHOOSE(CONTROL!$C$9, $D$9, 100%, $F$9) + CHOOSE(CONTROL!$C$27, 0.0021, 0)</f>
        <v>59.477499999999999</v>
      </c>
      <c r="H302" s="14">
        <f>59.3407 * CHOOSE(CONTROL!$C$9, $D$9, 100%, $F$9) + CHOOSE(CONTROL!$C$27, 0.0021, 0)</f>
        <v>59.342799999999997</v>
      </c>
      <c r="I302" s="14">
        <f>59.3407 * CHOOSE(CONTROL!$C$9, $D$9, 100%, $F$9) + CHOOSE(CONTROL!$C$27, 0.0021, 0)</f>
        <v>59.342799999999997</v>
      </c>
      <c r="J302" s="14">
        <f>59.3407 * CHOOSE(CONTROL!$C$9, $D$9, 100%, $F$9) + CHOOSE(CONTROL!$C$27, 0.0021, 0)</f>
        <v>59.342799999999997</v>
      </c>
      <c r="K302" s="14">
        <f>59.3407 * CHOOSE(CONTROL!$C$9, $D$9, 100%, $F$9) + CHOOSE(CONTROL!$C$27, 0.0021, 0)</f>
        <v>59.342799999999997</v>
      </c>
      <c r="L302" s="14"/>
    </row>
    <row r="303" spans="1:12" ht="15" x14ac:dyDescent="0.2">
      <c r="A303" s="34">
        <v>50131</v>
      </c>
      <c r="B303" s="14">
        <f>58.9382 * CHOOSE(CONTROL!$C$9, $D$9, 100%, $F$9) + CHOOSE(CONTROL!$C$27, 0.0021, 0)</f>
        <v>58.940300000000001</v>
      </c>
      <c r="C303" s="14">
        <f>58.5059 * CHOOSE(CONTROL!$C$9, $D$9, 100%, $F$9) + CHOOSE(CONTROL!$C$27, 0.0021, 0)</f>
        <v>58.507999999999996</v>
      </c>
      <c r="D303" s="14">
        <f>58.5059 * CHOOSE(CONTROL!$C$9, $D$9, 100%, $F$9) + CHOOSE(CONTROL!$C$27, 0.0021, 0)</f>
        <v>58.507999999999996</v>
      </c>
      <c r="E303" s="14">
        <f>58.3693 * CHOOSE(CONTROL!$C$9, $D$9, 100%, $F$9) + CHOOSE(CONTROL!$C$27, 0.0021, 0)</f>
        <v>58.371400000000001</v>
      </c>
      <c r="F303" s="14">
        <f>58.3693 * CHOOSE(CONTROL!$C$9, $D$9, 100%, $F$9) + CHOOSE(CONTROL!$C$27, 0.0021, 0)</f>
        <v>58.371400000000001</v>
      </c>
      <c r="G303" s="14">
        <f>58.6406 * CHOOSE(CONTROL!$C$9, $D$9, 100%, $F$9) + CHOOSE(CONTROL!$C$27, 0.0021, 0)</f>
        <v>58.642699999999998</v>
      </c>
      <c r="H303" s="14">
        <f>58.5059 * CHOOSE(CONTROL!$C$9, $D$9, 100%, $F$9) + CHOOSE(CONTROL!$C$27, 0.0021, 0)</f>
        <v>58.507999999999996</v>
      </c>
      <c r="I303" s="14">
        <f>58.5059 * CHOOSE(CONTROL!$C$9, $D$9, 100%, $F$9) + CHOOSE(CONTROL!$C$27, 0.0021, 0)</f>
        <v>58.507999999999996</v>
      </c>
      <c r="J303" s="14">
        <f>58.5059 * CHOOSE(CONTROL!$C$9, $D$9, 100%, $F$9) + CHOOSE(CONTROL!$C$27, 0.0021, 0)</f>
        <v>58.507999999999996</v>
      </c>
      <c r="K303" s="14">
        <f>58.5059 * CHOOSE(CONTROL!$C$9, $D$9, 100%, $F$9) + CHOOSE(CONTROL!$C$27, 0.0021, 0)</f>
        <v>58.507999999999996</v>
      </c>
      <c r="L303" s="14"/>
    </row>
    <row r="304" spans="1:12" ht="15" x14ac:dyDescent="0.2">
      <c r="A304" s="34">
        <v>50161</v>
      </c>
      <c r="B304" s="14">
        <f>60.1278 * CHOOSE(CONTROL!$C$9, $D$9, 100%, $F$9) + CHOOSE(CONTROL!$C$27, 0.0021, 0)</f>
        <v>60.129899999999999</v>
      </c>
      <c r="C304" s="14">
        <f>59.6955 * CHOOSE(CONTROL!$C$9, $D$9, 100%, $F$9) + CHOOSE(CONTROL!$C$27, 0.0021, 0)</f>
        <v>59.697600000000001</v>
      </c>
      <c r="D304" s="14">
        <f>59.6955 * CHOOSE(CONTROL!$C$9, $D$9, 100%, $F$9) + CHOOSE(CONTROL!$C$27, 0.0021, 0)</f>
        <v>59.697600000000001</v>
      </c>
      <c r="E304" s="14">
        <f>59.5589 * CHOOSE(CONTROL!$C$9, $D$9, 100%, $F$9) + CHOOSE(CONTROL!$C$27, 0.0021, 0)</f>
        <v>59.561</v>
      </c>
      <c r="F304" s="14">
        <f>59.5589 * CHOOSE(CONTROL!$C$9, $D$9, 100%, $F$9) + CHOOSE(CONTROL!$C$27, 0.0021, 0)</f>
        <v>59.561</v>
      </c>
      <c r="G304" s="14">
        <f>59.8302 * CHOOSE(CONTROL!$C$9, $D$9, 100%, $F$9) + CHOOSE(CONTROL!$C$27, 0.0021, 0)</f>
        <v>59.832299999999996</v>
      </c>
      <c r="H304" s="14">
        <f>59.6955 * CHOOSE(CONTROL!$C$9, $D$9, 100%, $F$9) + CHOOSE(CONTROL!$C$27, 0.0021, 0)</f>
        <v>59.697600000000001</v>
      </c>
      <c r="I304" s="14">
        <f>59.6955 * CHOOSE(CONTROL!$C$9, $D$9, 100%, $F$9) + CHOOSE(CONTROL!$C$27, 0.0021, 0)</f>
        <v>59.697600000000001</v>
      </c>
      <c r="J304" s="14">
        <f>59.6955 * CHOOSE(CONTROL!$C$9, $D$9, 100%, $F$9) + CHOOSE(CONTROL!$C$27, 0.0021, 0)</f>
        <v>59.697600000000001</v>
      </c>
      <c r="K304" s="14">
        <f>59.6955 * CHOOSE(CONTROL!$C$9, $D$9, 100%, $F$9) + CHOOSE(CONTROL!$C$27, 0.0021, 0)</f>
        <v>59.697600000000001</v>
      </c>
      <c r="L304" s="14"/>
    </row>
    <row r="305" spans="1:12" ht="15" x14ac:dyDescent="0.2">
      <c r="A305" s="34">
        <v>50192</v>
      </c>
      <c r="B305" s="14">
        <f>60.8403 * CHOOSE(CONTROL!$C$9, $D$9, 100%, $F$9) + CHOOSE(CONTROL!$C$27, 0.0021, 0)</f>
        <v>60.842399999999998</v>
      </c>
      <c r="C305" s="14">
        <f>60.408 * CHOOSE(CONTROL!$C$9, $D$9, 100%, $F$9) + CHOOSE(CONTROL!$C$27, 0.0021, 0)</f>
        <v>60.4101</v>
      </c>
      <c r="D305" s="14">
        <f>60.408 * CHOOSE(CONTROL!$C$9, $D$9, 100%, $F$9) + CHOOSE(CONTROL!$C$27, 0.0021, 0)</f>
        <v>60.4101</v>
      </c>
      <c r="E305" s="14">
        <f>60.2714 * CHOOSE(CONTROL!$C$9, $D$9, 100%, $F$9) + CHOOSE(CONTROL!$C$27, 0.0021, 0)</f>
        <v>60.273499999999999</v>
      </c>
      <c r="F305" s="14">
        <f>60.2714 * CHOOSE(CONTROL!$C$9, $D$9, 100%, $F$9) + CHOOSE(CONTROL!$C$27, 0.0021, 0)</f>
        <v>60.273499999999999</v>
      </c>
      <c r="G305" s="14">
        <f>60.5427 * CHOOSE(CONTROL!$C$9, $D$9, 100%, $F$9) + CHOOSE(CONTROL!$C$27, 0.0021, 0)</f>
        <v>60.544800000000002</v>
      </c>
      <c r="H305" s="14">
        <f>60.408 * CHOOSE(CONTROL!$C$9, $D$9, 100%, $F$9) + CHOOSE(CONTROL!$C$27, 0.0021, 0)</f>
        <v>60.4101</v>
      </c>
      <c r="I305" s="14">
        <f>60.408 * CHOOSE(CONTROL!$C$9, $D$9, 100%, $F$9) + CHOOSE(CONTROL!$C$27, 0.0021, 0)</f>
        <v>60.4101</v>
      </c>
      <c r="J305" s="14">
        <f>60.408 * CHOOSE(CONTROL!$C$9, $D$9, 100%, $F$9) + CHOOSE(CONTROL!$C$27, 0.0021, 0)</f>
        <v>60.4101</v>
      </c>
      <c r="K305" s="14">
        <f>60.408 * CHOOSE(CONTROL!$C$9, $D$9, 100%, $F$9) + CHOOSE(CONTROL!$C$27, 0.0021, 0)</f>
        <v>60.4101</v>
      </c>
      <c r="L305" s="14"/>
    </row>
    <row r="306" spans="1:12" ht="15" x14ac:dyDescent="0.2">
      <c r="A306" s="34">
        <v>50222</v>
      </c>
      <c r="B306" s="14">
        <f>62.0157 * CHOOSE(CONTROL!$C$9, $D$9, 100%, $F$9) + CHOOSE(CONTROL!$C$27, 0.0021, 0)</f>
        <v>62.017800000000001</v>
      </c>
      <c r="C306" s="14">
        <f>61.5834 * CHOOSE(CONTROL!$C$9, $D$9, 100%, $F$9) + CHOOSE(CONTROL!$C$27, 0.0021, 0)</f>
        <v>61.585499999999996</v>
      </c>
      <c r="D306" s="14">
        <f>61.5834 * CHOOSE(CONTROL!$C$9, $D$9, 100%, $F$9) + CHOOSE(CONTROL!$C$27, 0.0021, 0)</f>
        <v>61.585499999999996</v>
      </c>
      <c r="E306" s="14">
        <f>61.4468 * CHOOSE(CONTROL!$C$9, $D$9, 100%, $F$9) + CHOOSE(CONTROL!$C$27, 0.0021, 0)</f>
        <v>61.448900000000002</v>
      </c>
      <c r="F306" s="14">
        <f>61.4468 * CHOOSE(CONTROL!$C$9, $D$9, 100%, $F$9) + CHOOSE(CONTROL!$C$27, 0.0021, 0)</f>
        <v>61.448900000000002</v>
      </c>
      <c r="G306" s="14">
        <f>61.7181 * CHOOSE(CONTROL!$C$9, $D$9, 100%, $F$9) + CHOOSE(CONTROL!$C$27, 0.0021, 0)</f>
        <v>61.720199999999998</v>
      </c>
      <c r="H306" s="14">
        <f>61.5834 * CHOOSE(CONTROL!$C$9, $D$9, 100%, $F$9) + CHOOSE(CONTROL!$C$27, 0.0021, 0)</f>
        <v>61.585499999999996</v>
      </c>
      <c r="I306" s="14">
        <f>61.5834 * CHOOSE(CONTROL!$C$9, $D$9, 100%, $F$9) + CHOOSE(CONTROL!$C$27, 0.0021, 0)</f>
        <v>61.585499999999996</v>
      </c>
      <c r="J306" s="14">
        <f>61.5834 * CHOOSE(CONTROL!$C$9, $D$9, 100%, $F$9) + CHOOSE(CONTROL!$C$27, 0.0021, 0)</f>
        <v>61.585499999999996</v>
      </c>
      <c r="K306" s="14">
        <f>61.5834 * CHOOSE(CONTROL!$C$9, $D$9, 100%, $F$9) + CHOOSE(CONTROL!$C$27, 0.0021, 0)</f>
        <v>61.585499999999996</v>
      </c>
      <c r="L306" s="14"/>
    </row>
    <row r="307" spans="1:12" ht="15" x14ac:dyDescent="0.2">
      <c r="A307" s="34">
        <v>50253</v>
      </c>
      <c r="B307" s="14">
        <f>62.3744 * CHOOSE(CONTROL!$C$9, $D$9, 100%, $F$9) + CHOOSE(CONTROL!$C$27, 0.0021, 0)</f>
        <v>62.3765</v>
      </c>
      <c r="C307" s="14">
        <f>61.9422 * CHOOSE(CONTROL!$C$9, $D$9, 100%, $F$9) + CHOOSE(CONTROL!$C$27, 0.0021, 0)</f>
        <v>61.944299999999998</v>
      </c>
      <c r="D307" s="14">
        <f>61.9422 * CHOOSE(CONTROL!$C$9, $D$9, 100%, $F$9) + CHOOSE(CONTROL!$C$27, 0.0021, 0)</f>
        <v>61.944299999999998</v>
      </c>
      <c r="E307" s="14">
        <f>61.8055 * CHOOSE(CONTROL!$C$9, $D$9, 100%, $F$9) + CHOOSE(CONTROL!$C$27, 0.0021, 0)</f>
        <v>61.807600000000001</v>
      </c>
      <c r="F307" s="14">
        <f>61.8055 * CHOOSE(CONTROL!$C$9, $D$9, 100%, $F$9) + CHOOSE(CONTROL!$C$27, 0.0021, 0)</f>
        <v>61.807600000000001</v>
      </c>
      <c r="G307" s="14">
        <f>62.0769 * CHOOSE(CONTROL!$C$9, $D$9, 100%, $F$9) + CHOOSE(CONTROL!$C$27, 0.0021, 0)</f>
        <v>62.079000000000001</v>
      </c>
      <c r="H307" s="14">
        <f>61.9422 * CHOOSE(CONTROL!$C$9, $D$9, 100%, $F$9) + CHOOSE(CONTROL!$C$27, 0.0021, 0)</f>
        <v>61.944299999999998</v>
      </c>
      <c r="I307" s="14">
        <f>61.9422 * CHOOSE(CONTROL!$C$9, $D$9, 100%, $F$9) + CHOOSE(CONTROL!$C$27, 0.0021, 0)</f>
        <v>61.944299999999998</v>
      </c>
      <c r="J307" s="14">
        <f>61.9422 * CHOOSE(CONTROL!$C$9, $D$9, 100%, $F$9) + CHOOSE(CONTROL!$C$27, 0.0021, 0)</f>
        <v>61.944299999999998</v>
      </c>
      <c r="K307" s="14">
        <f>61.9422 * CHOOSE(CONTROL!$C$9, $D$9, 100%, $F$9) + CHOOSE(CONTROL!$C$27, 0.0021, 0)</f>
        <v>61.944299999999998</v>
      </c>
      <c r="L307" s="14"/>
    </row>
    <row r="308" spans="1:12" ht="15" x14ac:dyDescent="0.2">
      <c r="A308" s="34">
        <v>50284</v>
      </c>
      <c r="B308" s="14">
        <f>63.5962 * CHOOSE(CONTROL!$C$9, $D$9, 100%, $F$9) + CHOOSE(CONTROL!$C$27, 0.0021, 0)</f>
        <v>63.598300000000002</v>
      </c>
      <c r="C308" s="14">
        <f>63.164 * CHOOSE(CONTROL!$C$9, $D$9, 100%, $F$9) + CHOOSE(CONTROL!$C$27, 0.0021, 0)</f>
        <v>63.1661</v>
      </c>
      <c r="D308" s="14">
        <f>63.164 * CHOOSE(CONTROL!$C$9, $D$9, 100%, $F$9) + CHOOSE(CONTROL!$C$27, 0.0021, 0)</f>
        <v>63.1661</v>
      </c>
      <c r="E308" s="14">
        <f>63.0273 * CHOOSE(CONTROL!$C$9, $D$9, 100%, $F$9) + CHOOSE(CONTROL!$C$27, 0.0021, 0)</f>
        <v>63.029399999999995</v>
      </c>
      <c r="F308" s="14">
        <f>63.0273 * CHOOSE(CONTROL!$C$9, $D$9, 100%, $F$9) + CHOOSE(CONTROL!$C$27, 0.0021, 0)</f>
        <v>63.029399999999995</v>
      </c>
      <c r="G308" s="14">
        <f>63.2987 * CHOOSE(CONTROL!$C$9, $D$9, 100%, $F$9) + CHOOSE(CONTROL!$C$27, 0.0021, 0)</f>
        <v>63.300799999999995</v>
      </c>
      <c r="H308" s="14">
        <f>63.164 * CHOOSE(CONTROL!$C$9, $D$9, 100%, $F$9) + CHOOSE(CONTROL!$C$27, 0.0021, 0)</f>
        <v>63.1661</v>
      </c>
      <c r="I308" s="14">
        <f>63.164 * CHOOSE(CONTROL!$C$9, $D$9, 100%, $F$9) + CHOOSE(CONTROL!$C$27, 0.0021, 0)</f>
        <v>63.1661</v>
      </c>
      <c r="J308" s="14">
        <f>63.164 * CHOOSE(CONTROL!$C$9, $D$9, 100%, $F$9) + CHOOSE(CONTROL!$C$27, 0.0021, 0)</f>
        <v>63.1661</v>
      </c>
      <c r="K308" s="14">
        <f>63.164 * CHOOSE(CONTROL!$C$9, $D$9, 100%, $F$9) + CHOOSE(CONTROL!$C$27, 0.0021, 0)</f>
        <v>63.1661</v>
      </c>
      <c r="L308" s="14"/>
    </row>
    <row r="309" spans="1:12" ht="15" x14ac:dyDescent="0.2">
      <c r="A309" s="34">
        <v>50314</v>
      </c>
      <c r="B309" s="14">
        <f>65.1427 * CHOOSE(CONTROL!$C$9, $D$9, 100%, $F$9) + CHOOSE(CONTROL!$C$27, 0.0021, 0)</f>
        <v>65.144800000000004</v>
      </c>
      <c r="C309" s="14">
        <f>64.7105 * CHOOSE(CONTROL!$C$9, $D$9, 100%, $F$9) + CHOOSE(CONTROL!$C$27, 0.0021, 0)</f>
        <v>64.712599999999995</v>
      </c>
      <c r="D309" s="14">
        <f>64.7105 * CHOOSE(CONTROL!$C$9, $D$9, 100%, $F$9) + CHOOSE(CONTROL!$C$27, 0.0021, 0)</f>
        <v>64.712599999999995</v>
      </c>
      <c r="E309" s="14">
        <f>64.5738 * CHOOSE(CONTROL!$C$9, $D$9, 100%, $F$9) + CHOOSE(CONTROL!$C$27, 0.0021, 0)</f>
        <v>64.575900000000004</v>
      </c>
      <c r="F309" s="14">
        <f>64.5738 * CHOOSE(CONTROL!$C$9, $D$9, 100%, $F$9) + CHOOSE(CONTROL!$C$27, 0.0021, 0)</f>
        <v>64.575900000000004</v>
      </c>
      <c r="G309" s="14">
        <f>64.8452 * CHOOSE(CONTROL!$C$9, $D$9, 100%, $F$9) + CHOOSE(CONTROL!$C$27, 0.0021, 0)</f>
        <v>64.847300000000004</v>
      </c>
      <c r="H309" s="14">
        <f>64.7105 * CHOOSE(CONTROL!$C$9, $D$9, 100%, $F$9) + CHOOSE(CONTROL!$C$27, 0.0021, 0)</f>
        <v>64.712599999999995</v>
      </c>
      <c r="I309" s="14">
        <f>64.7105 * CHOOSE(CONTROL!$C$9, $D$9, 100%, $F$9) + CHOOSE(CONTROL!$C$27, 0.0021, 0)</f>
        <v>64.712599999999995</v>
      </c>
      <c r="J309" s="14">
        <f>64.7105 * CHOOSE(CONTROL!$C$9, $D$9, 100%, $F$9) + CHOOSE(CONTROL!$C$27, 0.0021, 0)</f>
        <v>64.712599999999995</v>
      </c>
      <c r="K309" s="14">
        <f>64.7105 * CHOOSE(CONTROL!$C$9, $D$9, 100%, $F$9) + CHOOSE(CONTROL!$C$27, 0.0021, 0)</f>
        <v>64.712599999999995</v>
      </c>
      <c r="L309" s="14"/>
    </row>
    <row r="310" spans="1:12" ht="15" x14ac:dyDescent="0.2">
      <c r="A310" s="34">
        <v>50345</v>
      </c>
      <c r="B310" s="14">
        <f>65.2879 * CHOOSE(CONTROL!$C$9, $D$9, 100%, $F$9) + CHOOSE(CONTROL!$C$27, 0.0021, 0)</f>
        <v>65.289999999999992</v>
      </c>
      <c r="C310" s="14">
        <f>64.8557 * CHOOSE(CONTROL!$C$9, $D$9, 100%, $F$9) + CHOOSE(CONTROL!$C$27, 0.0021, 0)</f>
        <v>64.857799999999997</v>
      </c>
      <c r="D310" s="14">
        <f>64.8557 * CHOOSE(CONTROL!$C$9, $D$9, 100%, $F$9) + CHOOSE(CONTROL!$C$27, 0.0021, 0)</f>
        <v>64.857799999999997</v>
      </c>
      <c r="E310" s="14">
        <f>64.719 * CHOOSE(CONTROL!$C$9, $D$9, 100%, $F$9) + CHOOSE(CONTROL!$C$27, 0.0021, 0)</f>
        <v>64.721099999999993</v>
      </c>
      <c r="F310" s="14">
        <f>64.719 * CHOOSE(CONTROL!$C$9, $D$9, 100%, $F$9) + CHOOSE(CONTROL!$C$27, 0.0021, 0)</f>
        <v>64.721099999999993</v>
      </c>
      <c r="G310" s="14">
        <f>64.9904 * CHOOSE(CONTROL!$C$9, $D$9, 100%, $F$9) + CHOOSE(CONTROL!$C$27, 0.0021, 0)</f>
        <v>64.992499999999993</v>
      </c>
      <c r="H310" s="14">
        <f>64.8557 * CHOOSE(CONTROL!$C$9, $D$9, 100%, $F$9) + CHOOSE(CONTROL!$C$27, 0.0021, 0)</f>
        <v>64.857799999999997</v>
      </c>
      <c r="I310" s="14">
        <f>64.8557 * CHOOSE(CONTROL!$C$9, $D$9, 100%, $F$9) + CHOOSE(CONTROL!$C$27, 0.0021, 0)</f>
        <v>64.857799999999997</v>
      </c>
      <c r="J310" s="14">
        <f>64.8557 * CHOOSE(CONTROL!$C$9, $D$9, 100%, $F$9) + CHOOSE(CONTROL!$C$27, 0.0021, 0)</f>
        <v>64.857799999999997</v>
      </c>
      <c r="K310" s="14">
        <f>64.8557 * CHOOSE(CONTROL!$C$9, $D$9, 100%, $F$9) + CHOOSE(CONTROL!$C$27, 0.0021, 0)</f>
        <v>64.857799999999997</v>
      </c>
      <c r="L310" s="14"/>
    </row>
    <row r="311" spans="1:12" ht="15" x14ac:dyDescent="0.2">
      <c r="A311" s="34">
        <v>50375</v>
      </c>
      <c r="B311" s="14">
        <f>64.0527 * CHOOSE(CONTROL!$C$9, $D$9, 100%, $F$9) + CHOOSE(CONTROL!$C$27, 0.0021, 0)</f>
        <v>64.0548</v>
      </c>
      <c r="C311" s="14">
        <f>63.6205 * CHOOSE(CONTROL!$C$9, $D$9, 100%, $F$9) + CHOOSE(CONTROL!$C$27, 0.0021, 0)</f>
        <v>63.622599999999998</v>
      </c>
      <c r="D311" s="14">
        <f>63.6205 * CHOOSE(CONTROL!$C$9, $D$9, 100%, $F$9) + CHOOSE(CONTROL!$C$27, 0.0021, 0)</f>
        <v>63.622599999999998</v>
      </c>
      <c r="E311" s="14">
        <f>63.4838 * CHOOSE(CONTROL!$C$9, $D$9, 100%, $F$9) + CHOOSE(CONTROL!$C$27, 0.0021, 0)</f>
        <v>63.485900000000001</v>
      </c>
      <c r="F311" s="14">
        <f>63.4838 * CHOOSE(CONTROL!$C$9, $D$9, 100%, $F$9) + CHOOSE(CONTROL!$C$27, 0.0021, 0)</f>
        <v>63.485900000000001</v>
      </c>
      <c r="G311" s="14">
        <f>63.7552 * CHOOSE(CONTROL!$C$9, $D$9, 100%, $F$9) + CHOOSE(CONTROL!$C$27, 0.0021, 0)</f>
        <v>63.757300000000001</v>
      </c>
      <c r="H311" s="14">
        <f>63.6205 * CHOOSE(CONTROL!$C$9, $D$9, 100%, $F$9) + CHOOSE(CONTROL!$C$27, 0.0021, 0)</f>
        <v>63.622599999999998</v>
      </c>
      <c r="I311" s="14">
        <f>63.6205 * CHOOSE(CONTROL!$C$9, $D$9, 100%, $F$9) + CHOOSE(CONTROL!$C$27, 0.0021, 0)</f>
        <v>63.622599999999998</v>
      </c>
      <c r="J311" s="14">
        <f>63.6205 * CHOOSE(CONTROL!$C$9, $D$9, 100%, $F$9) + CHOOSE(CONTROL!$C$27, 0.0021, 0)</f>
        <v>63.622599999999998</v>
      </c>
      <c r="K311" s="14">
        <f>63.6205 * CHOOSE(CONTROL!$C$9, $D$9, 100%, $F$9) + CHOOSE(CONTROL!$C$27, 0.0021, 0)</f>
        <v>63.622599999999998</v>
      </c>
      <c r="L311" s="14"/>
    </row>
    <row r="312" spans="1:12" ht="15.75" x14ac:dyDescent="0.25">
      <c r="A312" s="33">
        <v>50436</v>
      </c>
      <c r="B312" s="14">
        <f>63.272 * CHOOSE(CONTROL!$C$9, $D$9, 100%, $F$9) + CHOOSE(CONTROL!$C$27, 0.0021, 0)</f>
        <v>63.274099999999997</v>
      </c>
      <c r="C312" s="14">
        <f>62.8398 * CHOOSE(CONTROL!$C$9, $D$9, 100%, $F$9) + CHOOSE(CONTROL!$C$27, 0.0021, 0)</f>
        <v>62.841899999999995</v>
      </c>
      <c r="D312" s="14">
        <f>62.8398 * CHOOSE(CONTROL!$C$9, $D$9, 100%, $F$9) + CHOOSE(CONTROL!$C$27, 0.0021, 0)</f>
        <v>62.841899999999995</v>
      </c>
      <c r="E312" s="14">
        <f>62.7031 * CHOOSE(CONTROL!$C$9, $D$9, 100%, $F$9) + CHOOSE(CONTROL!$C$27, 0.0021, 0)</f>
        <v>62.705199999999998</v>
      </c>
      <c r="F312" s="14">
        <f>62.7031 * CHOOSE(CONTROL!$C$9, $D$9, 100%, $F$9) + CHOOSE(CONTROL!$C$27, 0.0021, 0)</f>
        <v>62.705199999999998</v>
      </c>
      <c r="G312" s="14">
        <f>62.9745 * CHOOSE(CONTROL!$C$9, $D$9, 100%, $F$9) + CHOOSE(CONTROL!$C$27, 0.0021, 0)</f>
        <v>62.976599999999998</v>
      </c>
      <c r="H312" s="14">
        <f>62.8398 * CHOOSE(CONTROL!$C$9, $D$9, 100%, $F$9) + CHOOSE(CONTROL!$C$27, 0.0021, 0)</f>
        <v>62.841899999999995</v>
      </c>
      <c r="I312" s="14">
        <f>62.8398 * CHOOSE(CONTROL!$C$9, $D$9, 100%, $F$9) + CHOOSE(CONTROL!$C$27, 0.0021, 0)</f>
        <v>62.841899999999995</v>
      </c>
      <c r="J312" s="14">
        <f>62.8398 * CHOOSE(CONTROL!$C$9, $D$9, 100%, $F$9) + CHOOSE(CONTROL!$C$27, 0.0021, 0)</f>
        <v>62.841899999999995</v>
      </c>
      <c r="K312" s="14">
        <f>62.8398 * CHOOSE(CONTROL!$C$9, $D$9, 100%, $F$9) + CHOOSE(CONTROL!$C$27, 0.0021, 0)</f>
        <v>62.841899999999995</v>
      </c>
      <c r="L312" s="14"/>
    </row>
    <row r="313" spans="1:12" ht="15.75" x14ac:dyDescent="0.25">
      <c r="A313" s="33">
        <v>50464</v>
      </c>
      <c r="B313" s="14">
        <f>61.5472 * CHOOSE(CONTROL!$C$9, $D$9, 100%, $F$9) + CHOOSE(CONTROL!$C$27, 0.0021, 0)</f>
        <v>61.549299999999995</v>
      </c>
      <c r="C313" s="14">
        <f>61.1149 * CHOOSE(CONTROL!$C$9, $D$9, 100%, $F$9) + CHOOSE(CONTROL!$C$27, 0.0021, 0)</f>
        <v>61.116999999999997</v>
      </c>
      <c r="D313" s="14">
        <f>61.1149 * CHOOSE(CONTROL!$C$9, $D$9, 100%, $F$9) + CHOOSE(CONTROL!$C$27, 0.0021, 0)</f>
        <v>61.116999999999997</v>
      </c>
      <c r="E313" s="14">
        <f>60.9783 * CHOOSE(CONTROL!$C$9, $D$9, 100%, $F$9) + CHOOSE(CONTROL!$C$27, 0.0021, 0)</f>
        <v>60.980399999999996</v>
      </c>
      <c r="F313" s="14">
        <f>60.9783 * CHOOSE(CONTROL!$C$9, $D$9, 100%, $F$9) + CHOOSE(CONTROL!$C$27, 0.0021, 0)</f>
        <v>60.980399999999996</v>
      </c>
      <c r="G313" s="14">
        <f>61.2497 * CHOOSE(CONTROL!$C$9, $D$9, 100%, $F$9) + CHOOSE(CONTROL!$C$27, 0.0021, 0)</f>
        <v>61.251799999999996</v>
      </c>
      <c r="H313" s="14">
        <f>61.1149 * CHOOSE(CONTROL!$C$9, $D$9, 100%, $F$9) + CHOOSE(CONTROL!$C$27, 0.0021, 0)</f>
        <v>61.116999999999997</v>
      </c>
      <c r="I313" s="14">
        <f>61.1149 * CHOOSE(CONTROL!$C$9, $D$9, 100%, $F$9) + CHOOSE(CONTROL!$C$27, 0.0021, 0)</f>
        <v>61.116999999999997</v>
      </c>
      <c r="J313" s="14">
        <f>61.1149 * CHOOSE(CONTROL!$C$9, $D$9, 100%, $F$9) + CHOOSE(CONTROL!$C$27, 0.0021, 0)</f>
        <v>61.116999999999997</v>
      </c>
      <c r="K313" s="14">
        <f>61.1149 * CHOOSE(CONTROL!$C$9, $D$9, 100%, $F$9) + CHOOSE(CONTROL!$C$27, 0.0021, 0)</f>
        <v>61.116999999999997</v>
      </c>
      <c r="L313" s="14"/>
    </row>
    <row r="314" spans="1:12" ht="15.75" x14ac:dyDescent="0.25">
      <c r="A314" s="33">
        <v>50495</v>
      </c>
      <c r="B314" s="14">
        <f>60.8352 * CHOOSE(CONTROL!$C$9, $D$9, 100%, $F$9) + CHOOSE(CONTROL!$C$27, 0.0021, 0)</f>
        <v>60.837299999999999</v>
      </c>
      <c r="C314" s="14">
        <f>60.4029 * CHOOSE(CONTROL!$C$9, $D$9, 100%, $F$9) + CHOOSE(CONTROL!$C$27, 0.0021, 0)</f>
        <v>60.405000000000001</v>
      </c>
      <c r="D314" s="14">
        <f>60.4029 * CHOOSE(CONTROL!$C$9, $D$9, 100%, $F$9) + CHOOSE(CONTROL!$C$27, 0.0021, 0)</f>
        <v>60.405000000000001</v>
      </c>
      <c r="E314" s="14">
        <f>60.2663 * CHOOSE(CONTROL!$C$9, $D$9, 100%, $F$9) + CHOOSE(CONTROL!$C$27, 0.0021, 0)</f>
        <v>60.2684</v>
      </c>
      <c r="F314" s="14">
        <f>60.2663 * CHOOSE(CONTROL!$C$9, $D$9, 100%, $F$9) + CHOOSE(CONTROL!$C$27, 0.0021, 0)</f>
        <v>60.2684</v>
      </c>
      <c r="G314" s="14">
        <f>60.5377 * CHOOSE(CONTROL!$C$9, $D$9, 100%, $F$9) + CHOOSE(CONTROL!$C$27, 0.0021, 0)</f>
        <v>60.5398</v>
      </c>
      <c r="H314" s="14">
        <f>60.4029 * CHOOSE(CONTROL!$C$9, $D$9, 100%, $F$9) + CHOOSE(CONTROL!$C$27, 0.0021, 0)</f>
        <v>60.405000000000001</v>
      </c>
      <c r="I314" s="14">
        <f>60.4029 * CHOOSE(CONTROL!$C$9, $D$9, 100%, $F$9) + CHOOSE(CONTROL!$C$27, 0.0021, 0)</f>
        <v>60.405000000000001</v>
      </c>
      <c r="J314" s="14">
        <f>60.4029 * CHOOSE(CONTROL!$C$9, $D$9, 100%, $F$9) + CHOOSE(CONTROL!$C$27, 0.0021, 0)</f>
        <v>60.405000000000001</v>
      </c>
      <c r="K314" s="14">
        <f>60.4029 * CHOOSE(CONTROL!$C$9, $D$9, 100%, $F$9) + CHOOSE(CONTROL!$C$27, 0.0021, 0)</f>
        <v>60.405000000000001</v>
      </c>
      <c r="L314" s="14"/>
    </row>
    <row r="315" spans="1:12" ht="15.75" x14ac:dyDescent="0.25">
      <c r="A315" s="33">
        <v>50525</v>
      </c>
      <c r="B315" s="14">
        <f>59.985 * CHOOSE(CONTROL!$C$9, $D$9, 100%, $F$9) + CHOOSE(CONTROL!$C$27, 0.0021, 0)</f>
        <v>59.987099999999998</v>
      </c>
      <c r="C315" s="14">
        <f>59.5528 * CHOOSE(CONTROL!$C$9, $D$9, 100%, $F$9) + CHOOSE(CONTROL!$C$27, 0.0021, 0)</f>
        <v>59.554899999999996</v>
      </c>
      <c r="D315" s="14">
        <f>59.5528 * CHOOSE(CONTROL!$C$9, $D$9, 100%, $F$9) + CHOOSE(CONTROL!$C$27, 0.0021, 0)</f>
        <v>59.554899999999996</v>
      </c>
      <c r="E315" s="14">
        <f>59.4161 * CHOOSE(CONTROL!$C$9, $D$9, 100%, $F$9) + CHOOSE(CONTROL!$C$27, 0.0021, 0)</f>
        <v>59.418199999999999</v>
      </c>
      <c r="F315" s="14">
        <f>59.4161 * CHOOSE(CONTROL!$C$9, $D$9, 100%, $F$9) + CHOOSE(CONTROL!$C$27, 0.0021, 0)</f>
        <v>59.418199999999999</v>
      </c>
      <c r="G315" s="14">
        <f>59.6875 * CHOOSE(CONTROL!$C$9, $D$9, 100%, $F$9) + CHOOSE(CONTROL!$C$27, 0.0021, 0)</f>
        <v>59.689599999999999</v>
      </c>
      <c r="H315" s="14">
        <f>59.5528 * CHOOSE(CONTROL!$C$9, $D$9, 100%, $F$9) + CHOOSE(CONTROL!$C$27, 0.0021, 0)</f>
        <v>59.554899999999996</v>
      </c>
      <c r="I315" s="14">
        <f>59.5528 * CHOOSE(CONTROL!$C$9, $D$9, 100%, $F$9) + CHOOSE(CONTROL!$C$27, 0.0021, 0)</f>
        <v>59.554899999999996</v>
      </c>
      <c r="J315" s="14">
        <f>59.5528 * CHOOSE(CONTROL!$C$9, $D$9, 100%, $F$9) + CHOOSE(CONTROL!$C$27, 0.0021, 0)</f>
        <v>59.554899999999996</v>
      </c>
      <c r="K315" s="14">
        <f>59.5528 * CHOOSE(CONTROL!$C$9, $D$9, 100%, $F$9) + CHOOSE(CONTROL!$C$27, 0.0021, 0)</f>
        <v>59.554899999999996</v>
      </c>
      <c r="L315" s="14"/>
    </row>
    <row r="316" spans="1:12" ht="15.75" x14ac:dyDescent="0.25">
      <c r="A316" s="33">
        <v>50556</v>
      </c>
      <c r="B316" s="14">
        <f>61.1966 * CHOOSE(CONTROL!$C$9, $D$9, 100%, $F$9) + CHOOSE(CONTROL!$C$27, 0.0021, 0)</f>
        <v>61.198699999999995</v>
      </c>
      <c r="C316" s="14">
        <f>60.7644 * CHOOSE(CONTROL!$C$9, $D$9, 100%, $F$9) + CHOOSE(CONTROL!$C$27, 0.0021, 0)</f>
        <v>60.766500000000001</v>
      </c>
      <c r="D316" s="14">
        <f>60.7644 * CHOOSE(CONTROL!$C$9, $D$9, 100%, $F$9) + CHOOSE(CONTROL!$C$27, 0.0021, 0)</f>
        <v>60.766500000000001</v>
      </c>
      <c r="E316" s="14">
        <f>60.6277 * CHOOSE(CONTROL!$C$9, $D$9, 100%, $F$9) + CHOOSE(CONTROL!$C$27, 0.0021, 0)</f>
        <v>60.629799999999996</v>
      </c>
      <c r="F316" s="14">
        <f>60.6277 * CHOOSE(CONTROL!$C$9, $D$9, 100%, $F$9) + CHOOSE(CONTROL!$C$27, 0.0021, 0)</f>
        <v>60.629799999999996</v>
      </c>
      <c r="G316" s="14">
        <f>60.8991 * CHOOSE(CONTROL!$C$9, $D$9, 100%, $F$9) + CHOOSE(CONTROL!$C$27, 0.0021, 0)</f>
        <v>60.901199999999996</v>
      </c>
      <c r="H316" s="14">
        <f>60.7644 * CHOOSE(CONTROL!$C$9, $D$9, 100%, $F$9) + CHOOSE(CONTROL!$C$27, 0.0021, 0)</f>
        <v>60.766500000000001</v>
      </c>
      <c r="I316" s="14">
        <f>60.7644 * CHOOSE(CONTROL!$C$9, $D$9, 100%, $F$9) + CHOOSE(CONTROL!$C$27, 0.0021, 0)</f>
        <v>60.766500000000001</v>
      </c>
      <c r="J316" s="14">
        <f>60.7644 * CHOOSE(CONTROL!$C$9, $D$9, 100%, $F$9) + CHOOSE(CONTROL!$C$27, 0.0021, 0)</f>
        <v>60.766500000000001</v>
      </c>
      <c r="K316" s="14">
        <f>60.7644 * CHOOSE(CONTROL!$C$9, $D$9, 100%, $F$9) + CHOOSE(CONTROL!$C$27, 0.0021, 0)</f>
        <v>60.766500000000001</v>
      </c>
      <c r="L316" s="14"/>
    </row>
    <row r="317" spans="1:12" ht="15.75" x14ac:dyDescent="0.25">
      <c r="A317" s="33">
        <v>50586</v>
      </c>
      <c r="B317" s="14">
        <f>61.9223 * CHOOSE(CONTROL!$C$9, $D$9, 100%, $F$9) + CHOOSE(CONTROL!$C$27, 0.0021, 0)</f>
        <v>61.924399999999999</v>
      </c>
      <c r="C317" s="14">
        <f>61.49 * CHOOSE(CONTROL!$C$9, $D$9, 100%, $F$9) + CHOOSE(CONTROL!$C$27, 0.0021, 0)</f>
        <v>61.492100000000001</v>
      </c>
      <c r="D317" s="14">
        <f>61.49 * CHOOSE(CONTROL!$C$9, $D$9, 100%, $F$9) + CHOOSE(CONTROL!$C$27, 0.0021, 0)</f>
        <v>61.492100000000001</v>
      </c>
      <c r="E317" s="14">
        <f>61.3534 * CHOOSE(CONTROL!$C$9, $D$9, 100%, $F$9) + CHOOSE(CONTROL!$C$27, 0.0021, 0)</f>
        <v>61.355499999999999</v>
      </c>
      <c r="F317" s="14">
        <f>61.3534 * CHOOSE(CONTROL!$C$9, $D$9, 100%, $F$9) + CHOOSE(CONTROL!$C$27, 0.0021, 0)</f>
        <v>61.355499999999999</v>
      </c>
      <c r="G317" s="14">
        <f>61.6248 * CHOOSE(CONTROL!$C$9, $D$9, 100%, $F$9) + CHOOSE(CONTROL!$C$27, 0.0021, 0)</f>
        <v>61.626899999999999</v>
      </c>
      <c r="H317" s="14">
        <f>61.49 * CHOOSE(CONTROL!$C$9, $D$9, 100%, $F$9) + CHOOSE(CONTROL!$C$27, 0.0021, 0)</f>
        <v>61.492100000000001</v>
      </c>
      <c r="I317" s="14">
        <f>61.49 * CHOOSE(CONTROL!$C$9, $D$9, 100%, $F$9) + CHOOSE(CONTROL!$C$27, 0.0021, 0)</f>
        <v>61.492100000000001</v>
      </c>
      <c r="J317" s="14">
        <f>61.49 * CHOOSE(CONTROL!$C$9, $D$9, 100%, $F$9) + CHOOSE(CONTROL!$C$27, 0.0021, 0)</f>
        <v>61.492100000000001</v>
      </c>
      <c r="K317" s="14">
        <f>61.49 * CHOOSE(CONTROL!$C$9, $D$9, 100%, $F$9) + CHOOSE(CONTROL!$C$27, 0.0021, 0)</f>
        <v>61.492100000000001</v>
      </c>
      <c r="L317" s="14"/>
    </row>
    <row r="318" spans="1:12" ht="15.75" x14ac:dyDescent="0.25">
      <c r="A318" s="33">
        <v>50617</v>
      </c>
      <c r="B318" s="14">
        <f>63.1194 * CHOOSE(CONTROL!$C$9, $D$9, 100%, $F$9) + CHOOSE(CONTROL!$C$27, 0.0021, 0)</f>
        <v>63.121499999999997</v>
      </c>
      <c r="C318" s="14">
        <f>62.6872 * CHOOSE(CONTROL!$C$9, $D$9, 100%, $F$9) + CHOOSE(CONTROL!$C$27, 0.0021, 0)</f>
        <v>62.689299999999996</v>
      </c>
      <c r="D318" s="14">
        <f>62.6872 * CHOOSE(CONTROL!$C$9, $D$9, 100%, $F$9) + CHOOSE(CONTROL!$C$27, 0.0021, 0)</f>
        <v>62.689299999999996</v>
      </c>
      <c r="E318" s="14">
        <f>62.5505 * CHOOSE(CONTROL!$C$9, $D$9, 100%, $F$9) + CHOOSE(CONTROL!$C$27, 0.0021, 0)</f>
        <v>62.552599999999998</v>
      </c>
      <c r="F318" s="14">
        <f>62.5505 * CHOOSE(CONTROL!$C$9, $D$9, 100%, $F$9) + CHOOSE(CONTROL!$C$27, 0.0021, 0)</f>
        <v>62.552599999999998</v>
      </c>
      <c r="G318" s="14">
        <f>62.8219 * CHOOSE(CONTROL!$C$9, $D$9, 100%, $F$9) + CHOOSE(CONTROL!$C$27, 0.0021, 0)</f>
        <v>62.823999999999998</v>
      </c>
      <c r="H318" s="14">
        <f>62.6872 * CHOOSE(CONTROL!$C$9, $D$9, 100%, $F$9) + CHOOSE(CONTROL!$C$27, 0.0021, 0)</f>
        <v>62.689299999999996</v>
      </c>
      <c r="I318" s="14">
        <f>62.6872 * CHOOSE(CONTROL!$C$9, $D$9, 100%, $F$9) + CHOOSE(CONTROL!$C$27, 0.0021, 0)</f>
        <v>62.689299999999996</v>
      </c>
      <c r="J318" s="14">
        <f>62.6872 * CHOOSE(CONTROL!$C$9, $D$9, 100%, $F$9) + CHOOSE(CONTROL!$C$27, 0.0021, 0)</f>
        <v>62.689299999999996</v>
      </c>
      <c r="K318" s="14">
        <f>62.6872 * CHOOSE(CONTROL!$C$9, $D$9, 100%, $F$9) + CHOOSE(CONTROL!$C$27, 0.0021, 0)</f>
        <v>62.689299999999996</v>
      </c>
      <c r="L318" s="14"/>
    </row>
    <row r="319" spans="1:12" ht="15.75" x14ac:dyDescent="0.25">
      <c r="A319" s="33">
        <v>50648</v>
      </c>
      <c r="B319" s="14">
        <f>63.4848 * CHOOSE(CONTROL!$C$9, $D$9, 100%, $F$9) + CHOOSE(CONTROL!$C$27, 0.0021, 0)</f>
        <v>63.486899999999999</v>
      </c>
      <c r="C319" s="14">
        <f>63.0525 * CHOOSE(CONTROL!$C$9, $D$9, 100%, $F$9) + CHOOSE(CONTROL!$C$27, 0.0021, 0)</f>
        <v>63.054600000000001</v>
      </c>
      <c r="D319" s="14">
        <f>63.0525 * CHOOSE(CONTROL!$C$9, $D$9, 100%, $F$9) + CHOOSE(CONTROL!$C$27, 0.0021, 0)</f>
        <v>63.054600000000001</v>
      </c>
      <c r="E319" s="14">
        <f>62.9159 * CHOOSE(CONTROL!$C$9, $D$9, 100%, $F$9) + CHOOSE(CONTROL!$C$27, 0.0021, 0)</f>
        <v>62.917999999999999</v>
      </c>
      <c r="F319" s="14">
        <f>62.9159 * CHOOSE(CONTROL!$C$9, $D$9, 100%, $F$9) + CHOOSE(CONTROL!$C$27, 0.0021, 0)</f>
        <v>62.917999999999999</v>
      </c>
      <c r="G319" s="14">
        <f>63.1873 * CHOOSE(CONTROL!$C$9, $D$9, 100%, $F$9) + CHOOSE(CONTROL!$C$27, 0.0021, 0)</f>
        <v>63.189399999999999</v>
      </c>
      <c r="H319" s="14">
        <f>63.0525 * CHOOSE(CONTROL!$C$9, $D$9, 100%, $F$9) + CHOOSE(CONTROL!$C$27, 0.0021, 0)</f>
        <v>63.054600000000001</v>
      </c>
      <c r="I319" s="14">
        <f>63.0525 * CHOOSE(CONTROL!$C$9, $D$9, 100%, $F$9) + CHOOSE(CONTROL!$C$27, 0.0021, 0)</f>
        <v>63.054600000000001</v>
      </c>
      <c r="J319" s="14">
        <f>63.0525 * CHOOSE(CONTROL!$C$9, $D$9, 100%, $F$9) + CHOOSE(CONTROL!$C$27, 0.0021, 0)</f>
        <v>63.054600000000001</v>
      </c>
      <c r="K319" s="14">
        <f>63.0525 * CHOOSE(CONTROL!$C$9, $D$9, 100%, $F$9) + CHOOSE(CONTROL!$C$27, 0.0021, 0)</f>
        <v>63.054600000000001</v>
      </c>
      <c r="L319" s="14"/>
    </row>
    <row r="320" spans="1:12" ht="15.75" x14ac:dyDescent="0.25">
      <c r="A320" s="33">
        <v>50678</v>
      </c>
      <c r="B320" s="14">
        <f>64.7291 * CHOOSE(CONTROL!$C$9, $D$9, 100%, $F$9) + CHOOSE(CONTROL!$C$27, 0.0021, 0)</f>
        <v>64.731200000000001</v>
      </c>
      <c r="C320" s="14">
        <f>64.2969 * CHOOSE(CONTROL!$C$9, $D$9, 100%, $F$9) + CHOOSE(CONTROL!$C$27, 0.0021, 0)</f>
        <v>64.298999999999992</v>
      </c>
      <c r="D320" s="14">
        <f>64.2969 * CHOOSE(CONTROL!$C$9, $D$9, 100%, $F$9) + CHOOSE(CONTROL!$C$27, 0.0021, 0)</f>
        <v>64.298999999999992</v>
      </c>
      <c r="E320" s="14">
        <f>64.1602 * CHOOSE(CONTROL!$C$9, $D$9, 100%, $F$9) + CHOOSE(CONTROL!$C$27, 0.0021, 0)</f>
        <v>64.162300000000002</v>
      </c>
      <c r="F320" s="14">
        <f>64.1602 * CHOOSE(CONTROL!$C$9, $D$9, 100%, $F$9) + CHOOSE(CONTROL!$C$27, 0.0021, 0)</f>
        <v>64.162300000000002</v>
      </c>
      <c r="G320" s="14">
        <f>64.4316 * CHOOSE(CONTROL!$C$9, $D$9, 100%, $F$9) + CHOOSE(CONTROL!$C$27, 0.0021, 0)</f>
        <v>64.433700000000002</v>
      </c>
      <c r="H320" s="14">
        <f>64.2969 * CHOOSE(CONTROL!$C$9, $D$9, 100%, $F$9) + CHOOSE(CONTROL!$C$27, 0.0021, 0)</f>
        <v>64.298999999999992</v>
      </c>
      <c r="I320" s="14">
        <f>64.2969 * CHOOSE(CONTROL!$C$9, $D$9, 100%, $F$9) + CHOOSE(CONTROL!$C$27, 0.0021, 0)</f>
        <v>64.298999999999992</v>
      </c>
      <c r="J320" s="14">
        <f>64.2969 * CHOOSE(CONTROL!$C$9, $D$9, 100%, $F$9) + CHOOSE(CONTROL!$C$27, 0.0021, 0)</f>
        <v>64.298999999999992</v>
      </c>
      <c r="K320" s="14">
        <f>64.2969 * CHOOSE(CONTROL!$C$9, $D$9, 100%, $F$9) + CHOOSE(CONTROL!$C$27, 0.0021, 0)</f>
        <v>64.298999999999992</v>
      </c>
      <c r="L320" s="14"/>
    </row>
    <row r="321" spans="1:12" ht="15.75" x14ac:dyDescent="0.25">
      <c r="A321" s="33">
        <v>50709</v>
      </c>
      <c r="B321" s="14">
        <f>66.3043 * CHOOSE(CONTROL!$C$9, $D$9, 100%, $F$9) + CHOOSE(CONTROL!$C$27, 0.0021, 0)</f>
        <v>66.306399999999996</v>
      </c>
      <c r="C321" s="14">
        <f>65.872 * CHOOSE(CONTROL!$C$9, $D$9, 100%, $F$9) + CHOOSE(CONTROL!$C$27, 0.0021, 0)</f>
        <v>65.874099999999999</v>
      </c>
      <c r="D321" s="14">
        <f>65.872 * CHOOSE(CONTROL!$C$9, $D$9, 100%, $F$9) + CHOOSE(CONTROL!$C$27, 0.0021, 0)</f>
        <v>65.874099999999999</v>
      </c>
      <c r="E321" s="14">
        <f>65.7354 * CHOOSE(CONTROL!$C$9, $D$9, 100%, $F$9) + CHOOSE(CONTROL!$C$27, 0.0021, 0)</f>
        <v>65.737499999999997</v>
      </c>
      <c r="F321" s="14">
        <f>65.7354 * CHOOSE(CONTROL!$C$9, $D$9, 100%, $F$9) + CHOOSE(CONTROL!$C$27, 0.0021, 0)</f>
        <v>65.737499999999997</v>
      </c>
      <c r="G321" s="14">
        <f>66.0067 * CHOOSE(CONTROL!$C$9, $D$9, 100%, $F$9) + CHOOSE(CONTROL!$C$27, 0.0021, 0)</f>
        <v>66.008799999999994</v>
      </c>
      <c r="H321" s="14">
        <f>65.872 * CHOOSE(CONTROL!$C$9, $D$9, 100%, $F$9) + CHOOSE(CONTROL!$C$27, 0.0021, 0)</f>
        <v>65.874099999999999</v>
      </c>
      <c r="I321" s="14">
        <f>65.872 * CHOOSE(CONTROL!$C$9, $D$9, 100%, $F$9) + CHOOSE(CONTROL!$C$27, 0.0021, 0)</f>
        <v>65.874099999999999</v>
      </c>
      <c r="J321" s="14">
        <f>65.872 * CHOOSE(CONTROL!$C$9, $D$9, 100%, $F$9) + CHOOSE(CONTROL!$C$27, 0.0021, 0)</f>
        <v>65.874099999999999</v>
      </c>
      <c r="K321" s="14">
        <f>65.872 * CHOOSE(CONTROL!$C$9, $D$9, 100%, $F$9) + CHOOSE(CONTROL!$C$27, 0.0021, 0)</f>
        <v>65.874099999999999</v>
      </c>
      <c r="L321" s="14"/>
    </row>
    <row r="322" spans="1:12" ht="15.75" x14ac:dyDescent="0.25">
      <c r="A322" s="33">
        <v>50739</v>
      </c>
      <c r="B322" s="14">
        <f>66.4521 * CHOOSE(CONTROL!$C$9, $D$9, 100%, $F$9) + CHOOSE(CONTROL!$C$27, 0.0021, 0)</f>
        <v>66.4542</v>
      </c>
      <c r="C322" s="14">
        <f>66.0199 * CHOOSE(CONTROL!$C$9, $D$9, 100%, $F$9) + CHOOSE(CONTROL!$C$27, 0.0021, 0)</f>
        <v>66.022000000000006</v>
      </c>
      <c r="D322" s="14">
        <f>66.0199 * CHOOSE(CONTROL!$C$9, $D$9, 100%, $F$9) + CHOOSE(CONTROL!$C$27, 0.0021, 0)</f>
        <v>66.022000000000006</v>
      </c>
      <c r="E322" s="14">
        <f>65.8832 * CHOOSE(CONTROL!$C$9, $D$9, 100%, $F$9) + CHOOSE(CONTROL!$C$27, 0.0021, 0)</f>
        <v>65.885300000000001</v>
      </c>
      <c r="F322" s="14">
        <f>65.8832 * CHOOSE(CONTROL!$C$9, $D$9, 100%, $F$9) + CHOOSE(CONTROL!$C$27, 0.0021, 0)</f>
        <v>65.885300000000001</v>
      </c>
      <c r="G322" s="14">
        <f>66.1546 * CHOOSE(CONTROL!$C$9, $D$9, 100%, $F$9) + CHOOSE(CONTROL!$C$27, 0.0021, 0)</f>
        <v>66.156700000000001</v>
      </c>
      <c r="H322" s="14">
        <f>66.0199 * CHOOSE(CONTROL!$C$9, $D$9, 100%, $F$9) + CHOOSE(CONTROL!$C$27, 0.0021, 0)</f>
        <v>66.022000000000006</v>
      </c>
      <c r="I322" s="14">
        <f>66.0199 * CHOOSE(CONTROL!$C$9, $D$9, 100%, $F$9) + CHOOSE(CONTROL!$C$27, 0.0021, 0)</f>
        <v>66.022000000000006</v>
      </c>
      <c r="J322" s="14">
        <f>66.0199 * CHOOSE(CONTROL!$C$9, $D$9, 100%, $F$9) + CHOOSE(CONTROL!$C$27, 0.0021, 0)</f>
        <v>66.022000000000006</v>
      </c>
      <c r="K322" s="14">
        <f>66.0199 * CHOOSE(CONTROL!$C$9, $D$9, 100%, $F$9) + CHOOSE(CONTROL!$C$27, 0.0021, 0)</f>
        <v>66.022000000000006</v>
      </c>
      <c r="L322" s="14"/>
    </row>
    <row r="323" spans="1:12" ht="15.75" x14ac:dyDescent="0.25">
      <c r="A323" s="33">
        <v>50770</v>
      </c>
      <c r="B323" s="14">
        <f>65.1941 * CHOOSE(CONTROL!$C$9, $D$9, 100%, $F$9) + CHOOSE(CONTROL!$C$27, 0.0021, 0)</f>
        <v>65.196200000000005</v>
      </c>
      <c r="C323" s="14">
        <f>64.7619 * CHOOSE(CONTROL!$C$9, $D$9, 100%, $F$9) + CHOOSE(CONTROL!$C$27, 0.0021, 0)</f>
        <v>64.763999999999996</v>
      </c>
      <c r="D323" s="14">
        <f>64.7619 * CHOOSE(CONTROL!$C$9, $D$9, 100%, $F$9) + CHOOSE(CONTROL!$C$27, 0.0021, 0)</f>
        <v>64.763999999999996</v>
      </c>
      <c r="E323" s="14">
        <f>64.6252 * CHOOSE(CONTROL!$C$9, $D$9, 100%, $F$9) + CHOOSE(CONTROL!$C$27, 0.0021, 0)</f>
        <v>64.627300000000005</v>
      </c>
      <c r="F323" s="14">
        <f>64.6252 * CHOOSE(CONTROL!$C$9, $D$9, 100%, $F$9) + CHOOSE(CONTROL!$C$27, 0.0021, 0)</f>
        <v>64.627300000000005</v>
      </c>
      <c r="G323" s="14">
        <f>64.8966 * CHOOSE(CONTROL!$C$9, $D$9, 100%, $F$9) + CHOOSE(CONTROL!$C$27, 0.0021, 0)</f>
        <v>64.898700000000005</v>
      </c>
      <c r="H323" s="14">
        <f>64.7619 * CHOOSE(CONTROL!$C$9, $D$9, 100%, $F$9) + CHOOSE(CONTROL!$C$27, 0.0021, 0)</f>
        <v>64.763999999999996</v>
      </c>
      <c r="I323" s="14">
        <f>64.7619 * CHOOSE(CONTROL!$C$9, $D$9, 100%, $F$9) + CHOOSE(CONTROL!$C$27, 0.0021, 0)</f>
        <v>64.763999999999996</v>
      </c>
      <c r="J323" s="14">
        <f>64.7619 * CHOOSE(CONTROL!$C$9, $D$9, 100%, $F$9) + CHOOSE(CONTROL!$C$27, 0.0021, 0)</f>
        <v>64.763999999999996</v>
      </c>
      <c r="K323" s="14">
        <f>64.7619 * CHOOSE(CONTROL!$C$9, $D$9, 100%, $F$9) + CHOOSE(CONTROL!$C$27, 0.0021, 0)</f>
        <v>64.763999999999996</v>
      </c>
      <c r="L323" s="14"/>
    </row>
    <row r="324" spans="1:12" ht="15.75" x14ac:dyDescent="0.25">
      <c r="A324" s="33">
        <v>50801</v>
      </c>
      <c r="B324" s="14">
        <f>64.399 * CHOOSE(CONTROL!$C$9, $D$9, 100%, $F$9) + CHOOSE(CONTROL!$C$27, 0.0021, 0)</f>
        <v>64.4011</v>
      </c>
      <c r="C324" s="14">
        <f>63.9667 * CHOOSE(CONTROL!$C$9, $D$9, 100%, $F$9) + CHOOSE(CONTROL!$C$27, 0.0021, 0)</f>
        <v>63.968800000000002</v>
      </c>
      <c r="D324" s="14">
        <f>63.9667 * CHOOSE(CONTROL!$C$9, $D$9, 100%, $F$9) + CHOOSE(CONTROL!$C$27, 0.0021, 0)</f>
        <v>63.968800000000002</v>
      </c>
      <c r="E324" s="14">
        <f>63.8301 * CHOOSE(CONTROL!$C$9, $D$9, 100%, $F$9) + CHOOSE(CONTROL!$C$27, 0.0021, 0)</f>
        <v>63.8322</v>
      </c>
      <c r="F324" s="14">
        <f>63.8301 * CHOOSE(CONTROL!$C$9, $D$9, 100%, $F$9) + CHOOSE(CONTROL!$C$27, 0.0021, 0)</f>
        <v>63.8322</v>
      </c>
      <c r="G324" s="14">
        <f>64.1015 * CHOOSE(CONTROL!$C$9, $D$9, 100%, $F$9) + CHOOSE(CONTROL!$C$27, 0.0021, 0)</f>
        <v>64.1036</v>
      </c>
      <c r="H324" s="14">
        <f>63.9667 * CHOOSE(CONTROL!$C$9, $D$9, 100%, $F$9) + CHOOSE(CONTROL!$C$27, 0.0021, 0)</f>
        <v>63.968800000000002</v>
      </c>
      <c r="I324" s="14">
        <f>63.9667 * CHOOSE(CONTROL!$C$9, $D$9, 100%, $F$9) + CHOOSE(CONTROL!$C$27, 0.0021, 0)</f>
        <v>63.968800000000002</v>
      </c>
      <c r="J324" s="14">
        <f>63.9667 * CHOOSE(CONTROL!$C$9, $D$9, 100%, $F$9) + CHOOSE(CONTROL!$C$27, 0.0021, 0)</f>
        <v>63.968800000000002</v>
      </c>
      <c r="K324" s="14">
        <f>63.9667 * CHOOSE(CONTROL!$C$9, $D$9, 100%, $F$9) + CHOOSE(CONTROL!$C$27, 0.0021, 0)</f>
        <v>63.968800000000002</v>
      </c>
      <c r="L324" s="14"/>
    </row>
    <row r="325" spans="1:12" ht="15.75" x14ac:dyDescent="0.25">
      <c r="A325" s="33">
        <v>50829</v>
      </c>
      <c r="B325" s="14">
        <f>62.6423 * CHOOSE(CONTROL!$C$9, $D$9, 100%, $F$9) + CHOOSE(CONTROL!$C$27, 0.0021, 0)</f>
        <v>62.644399999999997</v>
      </c>
      <c r="C325" s="14">
        <f>62.21 * CHOOSE(CONTROL!$C$9, $D$9, 100%, $F$9) + CHOOSE(CONTROL!$C$27, 0.0021, 0)</f>
        <v>62.2121</v>
      </c>
      <c r="D325" s="14">
        <f>62.21 * CHOOSE(CONTROL!$C$9, $D$9, 100%, $F$9) + CHOOSE(CONTROL!$C$27, 0.0021, 0)</f>
        <v>62.2121</v>
      </c>
      <c r="E325" s="14">
        <f>62.0734 * CHOOSE(CONTROL!$C$9, $D$9, 100%, $F$9) + CHOOSE(CONTROL!$C$27, 0.0021, 0)</f>
        <v>62.075499999999998</v>
      </c>
      <c r="F325" s="14">
        <f>62.0734 * CHOOSE(CONTROL!$C$9, $D$9, 100%, $F$9) + CHOOSE(CONTROL!$C$27, 0.0021, 0)</f>
        <v>62.075499999999998</v>
      </c>
      <c r="G325" s="14">
        <f>62.3447 * CHOOSE(CONTROL!$C$9, $D$9, 100%, $F$9) + CHOOSE(CONTROL!$C$27, 0.0021, 0)</f>
        <v>62.346800000000002</v>
      </c>
      <c r="H325" s="14">
        <f>62.21 * CHOOSE(CONTROL!$C$9, $D$9, 100%, $F$9) + CHOOSE(CONTROL!$C$27, 0.0021, 0)</f>
        <v>62.2121</v>
      </c>
      <c r="I325" s="14">
        <f>62.21 * CHOOSE(CONTROL!$C$9, $D$9, 100%, $F$9) + CHOOSE(CONTROL!$C$27, 0.0021, 0)</f>
        <v>62.2121</v>
      </c>
      <c r="J325" s="14">
        <f>62.21 * CHOOSE(CONTROL!$C$9, $D$9, 100%, $F$9) + CHOOSE(CONTROL!$C$27, 0.0021, 0)</f>
        <v>62.2121</v>
      </c>
      <c r="K325" s="14">
        <f>62.21 * CHOOSE(CONTROL!$C$9, $D$9, 100%, $F$9) + CHOOSE(CONTROL!$C$27, 0.0021, 0)</f>
        <v>62.2121</v>
      </c>
      <c r="L325" s="14"/>
    </row>
    <row r="326" spans="1:12" ht="15.75" x14ac:dyDescent="0.25">
      <c r="A326" s="33">
        <v>50860</v>
      </c>
      <c r="B326" s="14">
        <f>61.9171 * CHOOSE(CONTROL!$C$9, $D$9, 100%, $F$9) + CHOOSE(CONTROL!$C$27, 0.0021, 0)</f>
        <v>61.919199999999996</v>
      </c>
      <c r="C326" s="14">
        <f>61.4849 * CHOOSE(CONTROL!$C$9, $D$9, 100%, $F$9) + CHOOSE(CONTROL!$C$27, 0.0021, 0)</f>
        <v>61.487000000000002</v>
      </c>
      <c r="D326" s="14">
        <f>61.4849 * CHOOSE(CONTROL!$C$9, $D$9, 100%, $F$9) + CHOOSE(CONTROL!$C$27, 0.0021, 0)</f>
        <v>61.487000000000002</v>
      </c>
      <c r="E326" s="14">
        <f>61.3482 * CHOOSE(CONTROL!$C$9, $D$9, 100%, $F$9) + CHOOSE(CONTROL!$C$27, 0.0021, 0)</f>
        <v>61.350299999999997</v>
      </c>
      <c r="F326" s="14">
        <f>61.3482 * CHOOSE(CONTROL!$C$9, $D$9, 100%, $F$9) + CHOOSE(CONTROL!$C$27, 0.0021, 0)</f>
        <v>61.350299999999997</v>
      </c>
      <c r="G326" s="14">
        <f>61.6196 * CHOOSE(CONTROL!$C$9, $D$9, 100%, $F$9) + CHOOSE(CONTROL!$C$27, 0.0021, 0)</f>
        <v>61.621699999999997</v>
      </c>
      <c r="H326" s="14">
        <f>61.4849 * CHOOSE(CONTROL!$C$9, $D$9, 100%, $F$9) + CHOOSE(CONTROL!$C$27, 0.0021, 0)</f>
        <v>61.487000000000002</v>
      </c>
      <c r="I326" s="14">
        <f>61.4849 * CHOOSE(CONTROL!$C$9, $D$9, 100%, $F$9) + CHOOSE(CONTROL!$C$27, 0.0021, 0)</f>
        <v>61.487000000000002</v>
      </c>
      <c r="J326" s="14">
        <f>61.4849 * CHOOSE(CONTROL!$C$9, $D$9, 100%, $F$9) + CHOOSE(CONTROL!$C$27, 0.0021, 0)</f>
        <v>61.487000000000002</v>
      </c>
      <c r="K326" s="14">
        <f>61.4849 * CHOOSE(CONTROL!$C$9, $D$9, 100%, $F$9) + CHOOSE(CONTROL!$C$27, 0.0021, 0)</f>
        <v>61.487000000000002</v>
      </c>
      <c r="L326" s="14"/>
    </row>
    <row r="327" spans="1:12" ht="15.75" x14ac:dyDescent="0.25">
      <c r="A327" s="33">
        <v>50890</v>
      </c>
      <c r="B327" s="14">
        <f>61.0512 * CHOOSE(CONTROL!$C$9, $D$9, 100%, $F$9) + CHOOSE(CONTROL!$C$27, 0.0021, 0)</f>
        <v>61.0533</v>
      </c>
      <c r="C327" s="14">
        <f>60.619 * CHOOSE(CONTROL!$C$9, $D$9, 100%, $F$9) + CHOOSE(CONTROL!$C$27, 0.0021, 0)</f>
        <v>60.621099999999998</v>
      </c>
      <c r="D327" s="14">
        <f>60.619 * CHOOSE(CONTROL!$C$9, $D$9, 100%, $F$9) + CHOOSE(CONTROL!$C$27, 0.0021, 0)</f>
        <v>60.621099999999998</v>
      </c>
      <c r="E327" s="14">
        <f>60.4823 * CHOOSE(CONTROL!$C$9, $D$9, 100%, $F$9) + CHOOSE(CONTROL!$C$27, 0.0021, 0)</f>
        <v>60.484400000000001</v>
      </c>
      <c r="F327" s="14">
        <f>60.4823 * CHOOSE(CONTROL!$C$9, $D$9, 100%, $F$9) + CHOOSE(CONTROL!$C$27, 0.0021, 0)</f>
        <v>60.484400000000001</v>
      </c>
      <c r="G327" s="14">
        <f>60.7537 * CHOOSE(CONTROL!$C$9, $D$9, 100%, $F$9) + CHOOSE(CONTROL!$C$27, 0.0021, 0)</f>
        <v>60.755800000000001</v>
      </c>
      <c r="H327" s="14">
        <f>60.619 * CHOOSE(CONTROL!$C$9, $D$9, 100%, $F$9) + CHOOSE(CONTROL!$C$27, 0.0021, 0)</f>
        <v>60.621099999999998</v>
      </c>
      <c r="I327" s="14">
        <f>60.619 * CHOOSE(CONTROL!$C$9, $D$9, 100%, $F$9) + CHOOSE(CONTROL!$C$27, 0.0021, 0)</f>
        <v>60.621099999999998</v>
      </c>
      <c r="J327" s="14">
        <f>60.619 * CHOOSE(CONTROL!$C$9, $D$9, 100%, $F$9) + CHOOSE(CONTROL!$C$27, 0.0021, 0)</f>
        <v>60.621099999999998</v>
      </c>
      <c r="K327" s="14">
        <f>60.619 * CHOOSE(CONTROL!$C$9, $D$9, 100%, $F$9) + CHOOSE(CONTROL!$C$27, 0.0021, 0)</f>
        <v>60.621099999999998</v>
      </c>
      <c r="L327" s="14"/>
    </row>
    <row r="328" spans="1:12" ht="15.75" x14ac:dyDescent="0.25">
      <c r="A328" s="33">
        <v>50921</v>
      </c>
      <c r="B328" s="14">
        <f>62.2852 * CHOOSE(CONTROL!$C$9, $D$9, 100%, $F$9) + CHOOSE(CONTROL!$C$27, 0.0021, 0)</f>
        <v>62.287300000000002</v>
      </c>
      <c r="C328" s="14">
        <f>61.853 * CHOOSE(CONTROL!$C$9, $D$9, 100%, $F$9) + CHOOSE(CONTROL!$C$27, 0.0021, 0)</f>
        <v>61.8551</v>
      </c>
      <c r="D328" s="14">
        <f>61.853 * CHOOSE(CONTROL!$C$9, $D$9, 100%, $F$9) + CHOOSE(CONTROL!$C$27, 0.0021, 0)</f>
        <v>61.8551</v>
      </c>
      <c r="E328" s="14">
        <f>61.7163 * CHOOSE(CONTROL!$C$9, $D$9, 100%, $F$9) + CHOOSE(CONTROL!$C$27, 0.0021, 0)</f>
        <v>61.718399999999995</v>
      </c>
      <c r="F328" s="14">
        <f>61.7163 * CHOOSE(CONTROL!$C$9, $D$9, 100%, $F$9) + CHOOSE(CONTROL!$C$27, 0.0021, 0)</f>
        <v>61.718399999999995</v>
      </c>
      <c r="G328" s="14">
        <f>61.9877 * CHOOSE(CONTROL!$C$9, $D$9, 100%, $F$9) + CHOOSE(CONTROL!$C$27, 0.0021, 0)</f>
        <v>61.989799999999995</v>
      </c>
      <c r="H328" s="14">
        <f>61.853 * CHOOSE(CONTROL!$C$9, $D$9, 100%, $F$9) + CHOOSE(CONTROL!$C$27, 0.0021, 0)</f>
        <v>61.8551</v>
      </c>
      <c r="I328" s="14">
        <f>61.853 * CHOOSE(CONTROL!$C$9, $D$9, 100%, $F$9) + CHOOSE(CONTROL!$C$27, 0.0021, 0)</f>
        <v>61.8551</v>
      </c>
      <c r="J328" s="14">
        <f>61.853 * CHOOSE(CONTROL!$C$9, $D$9, 100%, $F$9) + CHOOSE(CONTROL!$C$27, 0.0021, 0)</f>
        <v>61.8551</v>
      </c>
      <c r="K328" s="14">
        <f>61.853 * CHOOSE(CONTROL!$C$9, $D$9, 100%, $F$9) + CHOOSE(CONTROL!$C$27, 0.0021, 0)</f>
        <v>61.8551</v>
      </c>
      <c r="L328" s="14"/>
    </row>
    <row r="329" spans="1:12" ht="15.75" x14ac:dyDescent="0.25">
      <c r="A329" s="33">
        <v>50951</v>
      </c>
      <c r="B329" s="14">
        <f>63.0243 * CHOOSE(CONTROL!$C$9, $D$9, 100%, $F$9) + CHOOSE(CONTROL!$C$27, 0.0021, 0)</f>
        <v>63.026399999999995</v>
      </c>
      <c r="C329" s="14">
        <f>62.592 * CHOOSE(CONTROL!$C$9, $D$9, 100%, $F$9) + CHOOSE(CONTROL!$C$27, 0.0021, 0)</f>
        <v>62.594099999999997</v>
      </c>
      <c r="D329" s="14">
        <f>62.592 * CHOOSE(CONTROL!$C$9, $D$9, 100%, $F$9) + CHOOSE(CONTROL!$C$27, 0.0021, 0)</f>
        <v>62.594099999999997</v>
      </c>
      <c r="E329" s="14">
        <f>62.4554 * CHOOSE(CONTROL!$C$9, $D$9, 100%, $F$9) + CHOOSE(CONTROL!$C$27, 0.0021, 0)</f>
        <v>62.457499999999996</v>
      </c>
      <c r="F329" s="14">
        <f>62.4554 * CHOOSE(CONTROL!$C$9, $D$9, 100%, $F$9) + CHOOSE(CONTROL!$C$27, 0.0021, 0)</f>
        <v>62.457499999999996</v>
      </c>
      <c r="G329" s="14">
        <f>62.7268 * CHOOSE(CONTROL!$C$9, $D$9, 100%, $F$9) + CHOOSE(CONTROL!$C$27, 0.0021, 0)</f>
        <v>62.728899999999996</v>
      </c>
      <c r="H329" s="14">
        <f>62.592 * CHOOSE(CONTROL!$C$9, $D$9, 100%, $F$9) + CHOOSE(CONTROL!$C$27, 0.0021, 0)</f>
        <v>62.594099999999997</v>
      </c>
      <c r="I329" s="14">
        <f>62.592 * CHOOSE(CONTROL!$C$9, $D$9, 100%, $F$9) + CHOOSE(CONTROL!$C$27, 0.0021, 0)</f>
        <v>62.594099999999997</v>
      </c>
      <c r="J329" s="14">
        <f>62.592 * CHOOSE(CONTROL!$C$9, $D$9, 100%, $F$9) + CHOOSE(CONTROL!$C$27, 0.0021, 0)</f>
        <v>62.594099999999997</v>
      </c>
      <c r="K329" s="14">
        <f>62.592 * CHOOSE(CONTROL!$C$9, $D$9, 100%, $F$9) + CHOOSE(CONTROL!$C$27, 0.0021, 0)</f>
        <v>62.594099999999997</v>
      </c>
      <c r="L329" s="14"/>
    </row>
    <row r="330" spans="1:12" ht="15.75" x14ac:dyDescent="0.25">
      <c r="A330" s="33">
        <v>50982</v>
      </c>
      <c r="B330" s="14">
        <f>64.2435 * CHOOSE(CONTROL!$C$9, $D$9, 100%, $F$9) + CHOOSE(CONTROL!$C$27, 0.0021, 0)</f>
        <v>64.245599999999996</v>
      </c>
      <c r="C330" s="14">
        <f>63.8113 * CHOOSE(CONTROL!$C$9, $D$9, 100%, $F$9) + CHOOSE(CONTROL!$C$27, 0.0021, 0)</f>
        <v>63.813400000000001</v>
      </c>
      <c r="D330" s="14">
        <f>63.8113 * CHOOSE(CONTROL!$C$9, $D$9, 100%, $F$9) + CHOOSE(CONTROL!$C$27, 0.0021, 0)</f>
        <v>63.813400000000001</v>
      </c>
      <c r="E330" s="14">
        <f>63.6746 * CHOOSE(CONTROL!$C$9, $D$9, 100%, $F$9) + CHOOSE(CONTROL!$C$27, 0.0021, 0)</f>
        <v>63.676699999999997</v>
      </c>
      <c r="F330" s="14">
        <f>63.6746 * CHOOSE(CONTROL!$C$9, $D$9, 100%, $F$9) + CHOOSE(CONTROL!$C$27, 0.0021, 0)</f>
        <v>63.676699999999997</v>
      </c>
      <c r="G330" s="14">
        <f>63.946 * CHOOSE(CONTROL!$C$9, $D$9, 100%, $F$9) + CHOOSE(CONTROL!$C$27, 0.0021, 0)</f>
        <v>63.948099999999997</v>
      </c>
      <c r="H330" s="14">
        <f>63.8113 * CHOOSE(CONTROL!$C$9, $D$9, 100%, $F$9) + CHOOSE(CONTROL!$C$27, 0.0021, 0)</f>
        <v>63.813400000000001</v>
      </c>
      <c r="I330" s="14">
        <f>63.8113 * CHOOSE(CONTROL!$C$9, $D$9, 100%, $F$9) + CHOOSE(CONTROL!$C$27, 0.0021, 0)</f>
        <v>63.813400000000001</v>
      </c>
      <c r="J330" s="14">
        <f>63.8113 * CHOOSE(CONTROL!$C$9, $D$9, 100%, $F$9) + CHOOSE(CONTROL!$C$27, 0.0021, 0)</f>
        <v>63.813400000000001</v>
      </c>
      <c r="K330" s="14">
        <f>63.8113 * CHOOSE(CONTROL!$C$9, $D$9, 100%, $F$9) + CHOOSE(CONTROL!$C$27, 0.0021, 0)</f>
        <v>63.813400000000001</v>
      </c>
      <c r="L330" s="14"/>
    </row>
    <row r="331" spans="1:12" ht="15.75" x14ac:dyDescent="0.25">
      <c r="A331" s="33">
        <v>51013</v>
      </c>
      <c r="B331" s="14">
        <f>64.6157 * CHOOSE(CONTROL!$C$9, $D$9, 100%, $F$9) + CHOOSE(CONTROL!$C$27, 0.0021, 0)</f>
        <v>64.617800000000003</v>
      </c>
      <c r="C331" s="14">
        <f>64.1834 * CHOOSE(CONTROL!$C$9, $D$9, 100%, $F$9) + CHOOSE(CONTROL!$C$27, 0.0021, 0)</f>
        <v>64.185500000000005</v>
      </c>
      <c r="D331" s="14">
        <f>64.1834 * CHOOSE(CONTROL!$C$9, $D$9, 100%, $F$9) + CHOOSE(CONTROL!$C$27, 0.0021, 0)</f>
        <v>64.185500000000005</v>
      </c>
      <c r="E331" s="14">
        <f>64.0468 * CHOOSE(CONTROL!$C$9, $D$9, 100%, $F$9) + CHOOSE(CONTROL!$C$27, 0.0021, 0)</f>
        <v>64.048900000000003</v>
      </c>
      <c r="F331" s="14">
        <f>64.0468 * CHOOSE(CONTROL!$C$9, $D$9, 100%, $F$9) + CHOOSE(CONTROL!$C$27, 0.0021, 0)</f>
        <v>64.048900000000003</v>
      </c>
      <c r="G331" s="14">
        <f>64.3181 * CHOOSE(CONTROL!$C$9, $D$9, 100%, $F$9) + CHOOSE(CONTROL!$C$27, 0.0021, 0)</f>
        <v>64.3202</v>
      </c>
      <c r="H331" s="14">
        <f>64.1834 * CHOOSE(CONTROL!$C$9, $D$9, 100%, $F$9) + CHOOSE(CONTROL!$C$27, 0.0021, 0)</f>
        <v>64.185500000000005</v>
      </c>
      <c r="I331" s="14">
        <f>64.1834 * CHOOSE(CONTROL!$C$9, $D$9, 100%, $F$9) + CHOOSE(CONTROL!$C$27, 0.0021, 0)</f>
        <v>64.185500000000005</v>
      </c>
      <c r="J331" s="14">
        <f>64.1834 * CHOOSE(CONTROL!$C$9, $D$9, 100%, $F$9) + CHOOSE(CONTROL!$C$27, 0.0021, 0)</f>
        <v>64.185500000000005</v>
      </c>
      <c r="K331" s="14">
        <f>64.1834 * CHOOSE(CONTROL!$C$9, $D$9, 100%, $F$9) + CHOOSE(CONTROL!$C$27, 0.0021, 0)</f>
        <v>64.185500000000005</v>
      </c>
      <c r="L331" s="14"/>
    </row>
    <row r="332" spans="1:12" ht="15.75" x14ac:dyDescent="0.25">
      <c r="A332" s="33">
        <v>51043</v>
      </c>
      <c r="B332" s="14">
        <f>65.883 * CHOOSE(CONTROL!$C$9, $D$9, 100%, $F$9) + CHOOSE(CONTROL!$C$27, 0.0021, 0)</f>
        <v>65.885099999999994</v>
      </c>
      <c r="C332" s="14">
        <f>65.4508 * CHOOSE(CONTROL!$C$9, $D$9, 100%, $F$9) + CHOOSE(CONTROL!$C$27, 0.0021, 0)</f>
        <v>65.4529</v>
      </c>
      <c r="D332" s="14">
        <f>65.4508 * CHOOSE(CONTROL!$C$9, $D$9, 100%, $F$9) + CHOOSE(CONTROL!$C$27, 0.0021, 0)</f>
        <v>65.4529</v>
      </c>
      <c r="E332" s="14">
        <f>65.3141 * CHOOSE(CONTROL!$C$9, $D$9, 100%, $F$9) + CHOOSE(CONTROL!$C$27, 0.0021, 0)</f>
        <v>65.316199999999995</v>
      </c>
      <c r="F332" s="14">
        <f>65.3141 * CHOOSE(CONTROL!$C$9, $D$9, 100%, $F$9) + CHOOSE(CONTROL!$C$27, 0.0021, 0)</f>
        <v>65.316199999999995</v>
      </c>
      <c r="G332" s="14">
        <f>65.5855 * CHOOSE(CONTROL!$C$9, $D$9, 100%, $F$9) + CHOOSE(CONTROL!$C$27, 0.0021, 0)</f>
        <v>65.587599999999995</v>
      </c>
      <c r="H332" s="14">
        <f>65.4508 * CHOOSE(CONTROL!$C$9, $D$9, 100%, $F$9) + CHOOSE(CONTROL!$C$27, 0.0021, 0)</f>
        <v>65.4529</v>
      </c>
      <c r="I332" s="14">
        <f>65.4508 * CHOOSE(CONTROL!$C$9, $D$9, 100%, $F$9) + CHOOSE(CONTROL!$C$27, 0.0021, 0)</f>
        <v>65.4529</v>
      </c>
      <c r="J332" s="14">
        <f>65.4508 * CHOOSE(CONTROL!$C$9, $D$9, 100%, $F$9) + CHOOSE(CONTROL!$C$27, 0.0021, 0)</f>
        <v>65.4529</v>
      </c>
      <c r="K332" s="14">
        <f>65.4508 * CHOOSE(CONTROL!$C$9, $D$9, 100%, $F$9) + CHOOSE(CONTROL!$C$27, 0.0021, 0)</f>
        <v>65.4529</v>
      </c>
      <c r="L332" s="14"/>
    </row>
    <row r="333" spans="1:12" ht="15.75" x14ac:dyDescent="0.25">
      <c r="A333" s="33">
        <v>51074</v>
      </c>
      <c r="B333" s="14">
        <f>67.4873 * CHOOSE(CONTROL!$C$9, $D$9, 100%, $F$9) + CHOOSE(CONTROL!$C$27, 0.0021, 0)</f>
        <v>67.489400000000003</v>
      </c>
      <c r="C333" s="14">
        <f>67.055 * CHOOSE(CONTROL!$C$9, $D$9, 100%, $F$9) + CHOOSE(CONTROL!$C$27, 0.0021, 0)</f>
        <v>67.057100000000005</v>
      </c>
      <c r="D333" s="14">
        <f>67.055 * CHOOSE(CONTROL!$C$9, $D$9, 100%, $F$9) + CHOOSE(CONTROL!$C$27, 0.0021, 0)</f>
        <v>67.057100000000005</v>
      </c>
      <c r="E333" s="14">
        <f>66.9184 * CHOOSE(CONTROL!$C$9, $D$9, 100%, $F$9) + CHOOSE(CONTROL!$C$27, 0.0021, 0)</f>
        <v>66.920500000000004</v>
      </c>
      <c r="F333" s="14">
        <f>66.9184 * CHOOSE(CONTROL!$C$9, $D$9, 100%, $F$9) + CHOOSE(CONTROL!$C$27, 0.0021, 0)</f>
        <v>66.920500000000004</v>
      </c>
      <c r="G333" s="14">
        <f>67.1897 * CHOOSE(CONTROL!$C$9, $D$9, 100%, $F$9) + CHOOSE(CONTROL!$C$27, 0.0021, 0)</f>
        <v>67.191800000000001</v>
      </c>
      <c r="H333" s="14">
        <f>67.055 * CHOOSE(CONTROL!$C$9, $D$9, 100%, $F$9) + CHOOSE(CONTROL!$C$27, 0.0021, 0)</f>
        <v>67.057100000000005</v>
      </c>
      <c r="I333" s="14">
        <f>67.055 * CHOOSE(CONTROL!$C$9, $D$9, 100%, $F$9) + CHOOSE(CONTROL!$C$27, 0.0021, 0)</f>
        <v>67.057100000000005</v>
      </c>
      <c r="J333" s="14">
        <f>67.055 * CHOOSE(CONTROL!$C$9, $D$9, 100%, $F$9) + CHOOSE(CONTROL!$C$27, 0.0021, 0)</f>
        <v>67.057100000000005</v>
      </c>
      <c r="K333" s="14">
        <f>67.055 * CHOOSE(CONTROL!$C$9, $D$9, 100%, $F$9) + CHOOSE(CONTROL!$C$27, 0.0021, 0)</f>
        <v>67.057100000000005</v>
      </c>
      <c r="L333" s="14"/>
    </row>
    <row r="334" spans="1:12" ht="15.75" x14ac:dyDescent="0.25">
      <c r="A334" s="33">
        <v>51104</v>
      </c>
      <c r="B334" s="14">
        <f>67.6379 * CHOOSE(CONTROL!$C$9, $D$9, 100%, $F$9) + CHOOSE(CONTROL!$C$27, 0.0021, 0)</f>
        <v>67.64</v>
      </c>
      <c r="C334" s="14">
        <f>67.2056 * CHOOSE(CONTROL!$C$9, $D$9, 100%, $F$9) + CHOOSE(CONTROL!$C$27, 0.0021, 0)</f>
        <v>67.207700000000003</v>
      </c>
      <c r="D334" s="14">
        <f>67.2056 * CHOOSE(CONTROL!$C$9, $D$9, 100%, $F$9) + CHOOSE(CONTROL!$C$27, 0.0021, 0)</f>
        <v>67.207700000000003</v>
      </c>
      <c r="E334" s="14">
        <f>67.069 * CHOOSE(CONTROL!$C$9, $D$9, 100%, $F$9) + CHOOSE(CONTROL!$C$27, 0.0021, 0)</f>
        <v>67.071100000000001</v>
      </c>
      <c r="F334" s="14">
        <f>67.069 * CHOOSE(CONTROL!$C$9, $D$9, 100%, $F$9) + CHOOSE(CONTROL!$C$27, 0.0021, 0)</f>
        <v>67.071100000000001</v>
      </c>
      <c r="G334" s="14">
        <f>67.3403 * CHOOSE(CONTROL!$C$9, $D$9, 100%, $F$9) + CHOOSE(CONTROL!$C$27, 0.0021, 0)</f>
        <v>67.342399999999998</v>
      </c>
      <c r="H334" s="14">
        <f>67.2056 * CHOOSE(CONTROL!$C$9, $D$9, 100%, $F$9) + CHOOSE(CONTROL!$C$27, 0.0021, 0)</f>
        <v>67.207700000000003</v>
      </c>
      <c r="I334" s="14">
        <f>67.2056 * CHOOSE(CONTROL!$C$9, $D$9, 100%, $F$9) + CHOOSE(CONTROL!$C$27, 0.0021, 0)</f>
        <v>67.207700000000003</v>
      </c>
      <c r="J334" s="14">
        <f>67.2056 * CHOOSE(CONTROL!$C$9, $D$9, 100%, $F$9) + CHOOSE(CONTROL!$C$27, 0.0021, 0)</f>
        <v>67.207700000000003</v>
      </c>
      <c r="K334" s="14">
        <f>67.2056 * CHOOSE(CONTROL!$C$9, $D$9, 100%, $F$9) + CHOOSE(CONTROL!$C$27, 0.0021, 0)</f>
        <v>67.207700000000003</v>
      </c>
      <c r="L334" s="14"/>
    </row>
    <row r="335" spans="1:12" ht="15.75" x14ac:dyDescent="0.25">
      <c r="A335" s="33">
        <v>51135</v>
      </c>
      <c r="B335" s="14">
        <f>66.3566 * CHOOSE(CONTROL!$C$9, $D$9, 100%, $F$9) + CHOOSE(CONTROL!$C$27, 0.0021, 0)</f>
        <v>66.358699999999999</v>
      </c>
      <c r="C335" s="14">
        <f>65.9243 * CHOOSE(CONTROL!$C$9, $D$9, 100%, $F$9) + CHOOSE(CONTROL!$C$27, 0.0021, 0)</f>
        <v>65.926400000000001</v>
      </c>
      <c r="D335" s="14">
        <f>65.9243 * CHOOSE(CONTROL!$C$9, $D$9, 100%, $F$9) + CHOOSE(CONTROL!$C$27, 0.0021, 0)</f>
        <v>65.926400000000001</v>
      </c>
      <c r="E335" s="14">
        <f>65.7877 * CHOOSE(CONTROL!$C$9, $D$9, 100%, $F$9) + CHOOSE(CONTROL!$C$27, 0.0021, 0)</f>
        <v>65.7898</v>
      </c>
      <c r="F335" s="14">
        <f>65.7877 * CHOOSE(CONTROL!$C$9, $D$9, 100%, $F$9) + CHOOSE(CONTROL!$C$27, 0.0021, 0)</f>
        <v>65.7898</v>
      </c>
      <c r="G335" s="14">
        <f>66.0591 * CHOOSE(CONTROL!$C$9, $D$9, 100%, $F$9) + CHOOSE(CONTROL!$C$27, 0.0021, 0)</f>
        <v>66.061199999999999</v>
      </c>
      <c r="H335" s="14">
        <f>65.9243 * CHOOSE(CONTROL!$C$9, $D$9, 100%, $F$9) + CHOOSE(CONTROL!$C$27, 0.0021, 0)</f>
        <v>65.926400000000001</v>
      </c>
      <c r="I335" s="14">
        <f>65.9243 * CHOOSE(CONTROL!$C$9, $D$9, 100%, $F$9) + CHOOSE(CONTROL!$C$27, 0.0021, 0)</f>
        <v>65.926400000000001</v>
      </c>
      <c r="J335" s="14">
        <f>65.9243 * CHOOSE(CONTROL!$C$9, $D$9, 100%, $F$9) + CHOOSE(CONTROL!$C$27, 0.0021, 0)</f>
        <v>65.926400000000001</v>
      </c>
      <c r="K335" s="14">
        <f>65.9243 * CHOOSE(CONTROL!$C$9, $D$9, 100%, $F$9) + CHOOSE(CONTROL!$C$27, 0.0021, 0)</f>
        <v>65.926400000000001</v>
      </c>
      <c r="L335" s="14"/>
    </row>
    <row r="336" spans="1:12" ht="15.75" x14ac:dyDescent="0.25">
      <c r="A336" s="33">
        <v>51166</v>
      </c>
      <c r="B336" s="14">
        <f>65.5468 * CHOOSE(CONTROL!$C$9, $D$9, 100%, $F$9) + CHOOSE(CONTROL!$C$27, 0.0021, 0)</f>
        <v>65.548900000000003</v>
      </c>
      <c r="C336" s="14">
        <f>65.1145 * CHOOSE(CONTROL!$C$9, $D$9, 100%, $F$9) + CHOOSE(CONTROL!$C$27, 0.0021, 0)</f>
        <v>65.116600000000005</v>
      </c>
      <c r="D336" s="14">
        <f>65.1145 * CHOOSE(CONTROL!$C$9, $D$9, 100%, $F$9) + CHOOSE(CONTROL!$C$27, 0.0021, 0)</f>
        <v>65.116600000000005</v>
      </c>
      <c r="E336" s="14">
        <f>64.9779 * CHOOSE(CONTROL!$C$9, $D$9, 100%, $F$9) + CHOOSE(CONTROL!$C$27, 0.0021, 0)</f>
        <v>64.98</v>
      </c>
      <c r="F336" s="14">
        <f>64.9779 * CHOOSE(CONTROL!$C$9, $D$9, 100%, $F$9) + CHOOSE(CONTROL!$C$27, 0.0021, 0)</f>
        <v>64.98</v>
      </c>
      <c r="G336" s="14">
        <f>65.2492 * CHOOSE(CONTROL!$C$9, $D$9, 100%, $F$9) + CHOOSE(CONTROL!$C$27, 0.0021, 0)</f>
        <v>65.251300000000001</v>
      </c>
      <c r="H336" s="14">
        <f>65.1145 * CHOOSE(CONTROL!$C$9, $D$9, 100%, $F$9) + CHOOSE(CONTROL!$C$27, 0.0021, 0)</f>
        <v>65.116600000000005</v>
      </c>
      <c r="I336" s="14">
        <f>65.1145 * CHOOSE(CONTROL!$C$9, $D$9, 100%, $F$9) + CHOOSE(CONTROL!$C$27, 0.0021, 0)</f>
        <v>65.116600000000005</v>
      </c>
      <c r="J336" s="14">
        <f>65.1145 * CHOOSE(CONTROL!$C$9, $D$9, 100%, $F$9) + CHOOSE(CONTROL!$C$27, 0.0021, 0)</f>
        <v>65.116600000000005</v>
      </c>
      <c r="K336" s="14">
        <f>65.1145 * CHOOSE(CONTROL!$C$9, $D$9, 100%, $F$9) + CHOOSE(CONTROL!$C$27, 0.0021, 0)</f>
        <v>65.116600000000005</v>
      </c>
      <c r="L336" s="14"/>
    </row>
    <row r="337" spans="1:12" ht="15.75" x14ac:dyDescent="0.25">
      <c r="A337" s="33">
        <v>51194</v>
      </c>
      <c r="B337" s="14">
        <f>63.7576 * CHOOSE(CONTROL!$C$9, $D$9, 100%, $F$9) + CHOOSE(CONTROL!$C$27, 0.0021, 0)</f>
        <v>63.759699999999995</v>
      </c>
      <c r="C337" s="14">
        <f>63.3253 * CHOOSE(CONTROL!$C$9, $D$9, 100%, $F$9) + CHOOSE(CONTROL!$C$27, 0.0021, 0)</f>
        <v>63.327399999999997</v>
      </c>
      <c r="D337" s="14">
        <f>63.3253 * CHOOSE(CONTROL!$C$9, $D$9, 100%, $F$9) + CHOOSE(CONTROL!$C$27, 0.0021, 0)</f>
        <v>63.327399999999997</v>
      </c>
      <c r="E337" s="14">
        <f>63.1887 * CHOOSE(CONTROL!$C$9, $D$9, 100%, $F$9) + CHOOSE(CONTROL!$C$27, 0.0021, 0)</f>
        <v>63.190799999999996</v>
      </c>
      <c r="F337" s="14">
        <f>63.1887 * CHOOSE(CONTROL!$C$9, $D$9, 100%, $F$9) + CHOOSE(CONTROL!$C$27, 0.0021, 0)</f>
        <v>63.190799999999996</v>
      </c>
      <c r="G337" s="14">
        <f>63.4601 * CHOOSE(CONTROL!$C$9, $D$9, 100%, $F$9) + CHOOSE(CONTROL!$C$27, 0.0021, 0)</f>
        <v>63.462199999999996</v>
      </c>
      <c r="H337" s="14">
        <f>63.3253 * CHOOSE(CONTROL!$C$9, $D$9, 100%, $F$9) + CHOOSE(CONTROL!$C$27, 0.0021, 0)</f>
        <v>63.327399999999997</v>
      </c>
      <c r="I337" s="14">
        <f>63.3253 * CHOOSE(CONTROL!$C$9, $D$9, 100%, $F$9) + CHOOSE(CONTROL!$C$27, 0.0021, 0)</f>
        <v>63.327399999999997</v>
      </c>
      <c r="J337" s="14">
        <f>63.3253 * CHOOSE(CONTROL!$C$9, $D$9, 100%, $F$9) + CHOOSE(CONTROL!$C$27, 0.0021, 0)</f>
        <v>63.327399999999997</v>
      </c>
      <c r="K337" s="14">
        <f>63.3253 * CHOOSE(CONTROL!$C$9, $D$9, 100%, $F$9) + CHOOSE(CONTROL!$C$27, 0.0021, 0)</f>
        <v>63.327399999999997</v>
      </c>
      <c r="L337" s="14"/>
    </row>
    <row r="338" spans="1:12" ht="15.75" x14ac:dyDescent="0.25">
      <c r="A338" s="33">
        <v>51226</v>
      </c>
      <c r="B338" s="14">
        <f>63.019 * CHOOSE(CONTROL!$C$9, $D$9, 100%, $F$9) + CHOOSE(CONTROL!$C$27, 0.0021, 0)</f>
        <v>63.021099999999997</v>
      </c>
      <c r="C338" s="14">
        <f>62.5868 * CHOOSE(CONTROL!$C$9, $D$9, 100%, $F$9) + CHOOSE(CONTROL!$C$27, 0.0021, 0)</f>
        <v>62.588899999999995</v>
      </c>
      <c r="D338" s="14">
        <f>62.5868 * CHOOSE(CONTROL!$C$9, $D$9, 100%, $F$9) + CHOOSE(CONTROL!$C$27, 0.0021, 0)</f>
        <v>62.588899999999995</v>
      </c>
      <c r="E338" s="14">
        <f>62.4501 * CHOOSE(CONTROL!$C$9, $D$9, 100%, $F$9) + CHOOSE(CONTROL!$C$27, 0.0021, 0)</f>
        <v>62.452199999999998</v>
      </c>
      <c r="F338" s="14">
        <f>62.4501 * CHOOSE(CONTROL!$C$9, $D$9, 100%, $F$9) + CHOOSE(CONTROL!$C$27, 0.0021, 0)</f>
        <v>62.452199999999998</v>
      </c>
      <c r="G338" s="14">
        <f>62.7215 * CHOOSE(CONTROL!$C$9, $D$9, 100%, $F$9) + CHOOSE(CONTROL!$C$27, 0.0021, 0)</f>
        <v>62.723599999999998</v>
      </c>
      <c r="H338" s="14">
        <f>62.5868 * CHOOSE(CONTROL!$C$9, $D$9, 100%, $F$9) + CHOOSE(CONTROL!$C$27, 0.0021, 0)</f>
        <v>62.588899999999995</v>
      </c>
      <c r="I338" s="14">
        <f>62.5868 * CHOOSE(CONTROL!$C$9, $D$9, 100%, $F$9) + CHOOSE(CONTROL!$C$27, 0.0021, 0)</f>
        <v>62.588899999999995</v>
      </c>
      <c r="J338" s="14">
        <f>62.5868 * CHOOSE(CONTROL!$C$9, $D$9, 100%, $F$9) + CHOOSE(CONTROL!$C$27, 0.0021, 0)</f>
        <v>62.588899999999995</v>
      </c>
      <c r="K338" s="14">
        <f>62.5868 * CHOOSE(CONTROL!$C$9, $D$9, 100%, $F$9) + CHOOSE(CONTROL!$C$27, 0.0021, 0)</f>
        <v>62.588899999999995</v>
      </c>
      <c r="L338" s="14"/>
    </row>
    <row r="339" spans="1:12" ht="15.75" x14ac:dyDescent="0.25">
      <c r="A339" s="33">
        <v>51256</v>
      </c>
      <c r="B339" s="14">
        <f>62.1371 * CHOOSE(CONTROL!$C$9, $D$9, 100%, $F$9) + CHOOSE(CONTROL!$C$27, 0.0021, 0)</f>
        <v>62.139199999999995</v>
      </c>
      <c r="C339" s="14">
        <f>61.7049 * CHOOSE(CONTROL!$C$9, $D$9, 100%, $F$9) + CHOOSE(CONTROL!$C$27, 0.0021, 0)</f>
        <v>61.707000000000001</v>
      </c>
      <c r="D339" s="14">
        <f>61.7049 * CHOOSE(CONTROL!$C$9, $D$9, 100%, $F$9) + CHOOSE(CONTROL!$C$27, 0.0021, 0)</f>
        <v>61.707000000000001</v>
      </c>
      <c r="E339" s="14">
        <f>61.5682 * CHOOSE(CONTROL!$C$9, $D$9, 100%, $F$9) + CHOOSE(CONTROL!$C$27, 0.0021, 0)</f>
        <v>61.570299999999996</v>
      </c>
      <c r="F339" s="14">
        <f>61.5682 * CHOOSE(CONTROL!$C$9, $D$9, 100%, $F$9) + CHOOSE(CONTROL!$C$27, 0.0021, 0)</f>
        <v>61.570299999999996</v>
      </c>
      <c r="G339" s="14">
        <f>61.8396 * CHOOSE(CONTROL!$C$9, $D$9, 100%, $F$9) + CHOOSE(CONTROL!$C$27, 0.0021, 0)</f>
        <v>61.841699999999996</v>
      </c>
      <c r="H339" s="14">
        <f>61.7049 * CHOOSE(CONTROL!$C$9, $D$9, 100%, $F$9) + CHOOSE(CONTROL!$C$27, 0.0021, 0)</f>
        <v>61.707000000000001</v>
      </c>
      <c r="I339" s="14">
        <f>61.7049 * CHOOSE(CONTROL!$C$9, $D$9, 100%, $F$9) + CHOOSE(CONTROL!$C$27, 0.0021, 0)</f>
        <v>61.707000000000001</v>
      </c>
      <c r="J339" s="14">
        <f>61.7049 * CHOOSE(CONTROL!$C$9, $D$9, 100%, $F$9) + CHOOSE(CONTROL!$C$27, 0.0021, 0)</f>
        <v>61.707000000000001</v>
      </c>
      <c r="K339" s="14">
        <f>61.7049 * CHOOSE(CONTROL!$C$9, $D$9, 100%, $F$9) + CHOOSE(CONTROL!$C$27, 0.0021, 0)</f>
        <v>61.707000000000001</v>
      </c>
      <c r="L339" s="14"/>
    </row>
    <row r="340" spans="1:12" ht="15.75" x14ac:dyDescent="0.25">
      <c r="A340" s="33">
        <v>51287</v>
      </c>
      <c r="B340" s="14">
        <f>63.3939 * CHOOSE(CONTROL!$C$9, $D$9, 100%, $F$9) + CHOOSE(CONTROL!$C$27, 0.0021, 0)</f>
        <v>63.396000000000001</v>
      </c>
      <c r="C340" s="14">
        <f>62.9617 * CHOOSE(CONTROL!$C$9, $D$9, 100%, $F$9) + CHOOSE(CONTROL!$C$27, 0.0021, 0)</f>
        <v>62.963799999999999</v>
      </c>
      <c r="D340" s="14">
        <f>62.9617 * CHOOSE(CONTROL!$C$9, $D$9, 100%, $F$9) + CHOOSE(CONTROL!$C$27, 0.0021, 0)</f>
        <v>62.963799999999999</v>
      </c>
      <c r="E340" s="14">
        <f>62.825 * CHOOSE(CONTROL!$C$9, $D$9, 100%, $F$9) + CHOOSE(CONTROL!$C$27, 0.0021, 0)</f>
        <v>62.827100000000002</v>
      </c>
      <c r="F340" s="14">
        <f>62.825 * CHOOSE(CONTROL!$C$9, $D$9, 100%, $F$9) + CHOOSE(CONTROL!$C$27, 0.0021, 0)</f>
        <v>62.827100000000002</v>
      </c>
      <c r="G340" s="14">
        <f>63.0964 * CHOOSE(CONTROL!$C$9, $D$9, 100%, $F$9) + CHOOSE(CONTROL!$C$27, 0.0021, 0)</f>
        <v>63.098500000000001</v>
      </c>
      <c r="H340" s="14">
        <f>62.9617 * CHOOSE(CONTROL!$C$9, $D$9, 100%, $F$9) + CHOOSE(CONTROL!$C$27, 0.0021, 0)</f>
        <v>62.963799999999999</v>
      </c>
      <c r="I340" s="14">
        <f>62.9617 * CHOOSE(CONTROL!$C$9, $D$9, 100%, $F$9) + CHOOSE(CONTROL!$C$27, 0.0021, 0)</f>
        <v>62.963799999999999</v>
      </c>
      <c r="J340" s="14">
        <f>62.9617 * CHOOSE(CONTROL!$C$9, $D$9, 100%, $F$9) + CHOOSE(CONTROL!$C$27, 0.0021, 0)</f>
        <v>62.963799999999999</v>
      </c>
      <c r="K340" s="14">
        <f>62.9617 * CHOOSE(CONTROL!$C$9, $D$9, 100%, $F$9) + CHOOSE(CONTROL!$C$27, 0.0021, 0)</f>
        <v>62.963799999999999</v>
      </c>
      <c r="L340" s="14"/>
    </row>
    <row r="341" spans="1:12" ht="15.75" x14ac:dyDescent="0.25">
      <c r="A341" s="33">
        <v>51317</v>
      </c>
      <c r="B341" s="14">
        <f>64.1467 * CHOOSE(CONTROL!$C$9, $D$9, 100%, $F$9) + CHOOSE(CONTROL!$C$27, 0.0021, 0)</f>
        <v>64.148799999999994</v>
      </c>
      <c r="C341" s="14">
        <f>63.7144 * CHOOSE(CONTROL!$C$9, $D$9, 100%, $F$9) + CHOOSE(CONTROL!$C$27, 0.0021, 0)</f>
        <v>63.716499999999996</v>
      </c>
      <c r="D341" s="14">
        <f>63.7144 * CHOOSE(CONTROL!$C$9, $D$9, 100%, $F$9) + CHOOSE(CONTROL!$C$27, 0.0021, 0)</f>
        <v>63.716499999999996</v>
      </c>
      <c r="E341" s="14">
        <f>63.5778 * CHOOSE(CONTROL!$C$9, $D$9, 100%, $F$9) + CHOOSE(CONTROL!$C$27, 0.0021, 0)</f>
        <v>63.579900000000002</v>
      </c>
      <c r="F341" s="14">
        <f>63.5778 * CHOOSE(CONTROL!$C$9, $D$9, 100%, $F$9) + CHOOSE(CONTROL!$C$27, 0.0021, 0)</f>
        <v>63.579900000000002</v>
      </c>
      <c r="G341" s="14">
        <f>63.8491 * CHOOSE(CONTROL!$C$9, $D$9, 100%, $F$9) + CHOOSE(CONTROL!$C$27, 0.0021, 0)</f>
        <v>63.851199999999999</v>
      </c>
      <c r="H341" s="14">
        <f>63.7144 * CHOOSE(CONTROL!$C$9, $D$9, 100%, $F$9) + CHOOSE(CONTROL!$C$27, 0.0021, 0)</f>
        <v>63.716499999999996</v>
      </c>
      <c r="I341" s="14">
        <f>63.7144 * CHOOSE(CONTROL!$C$9, $D$9, 100%, $F$9) + CHOOSE(CONTROL!$C$27, 0.0021, 0)</f>
        <v>63.716499999999996</v>
      </c>
      <c r="J341" s="14">
        <f>63.7144 * CHOOSE(CONTROL!$C$9, $D$9, 100%, $F$9) + CHOOSE(CONTROL!$C$27, 0.0021, 0)</f>
        <v>63.716499999999996</v>
      </c>
      <c r="K341" s="14">
        <f>63.7144 * CHOOSE(CONTROL!$C$9, $D$9, 100%, $F$9) + CHOOSE(CONTROL!$C$27, 0.0021, 0)</f>
        <v>63.716499999999996</v>
      </c>
      <c r="L341" s="14"/>
    </row>
    <row r="342" spans="1:12" ht="15.75" x14ac:dyDescent="0.25">
      <c r="A342" s="33">
        <v>51348</v>
      </c>
      <c r="B342" s="14">
        <f>65.3884 * CHOOSE(CONTROL!$C$9, $D$9, 100%, $F$9) + CHOOSE(CONTROL!$C$27, 0.0021, 0)</f>
        <v>65.390500000000003</v>
      </c>
      <c r="C342" s="14">
        <f>64.9562 * CHOOSE(CONTROL!$C$9, $D$9, 100%, $F$9) + CHOOSE(CONTROL!$C$27, 0.0021, 0)</f>
        <v>64.958299999999994</v>
      </c>
      <c r="D342" s="14">
        <f>64.9562 * CHOOSE(CONTROL!$C$9, $D$9, 100%, $F$9) + CHOOSE(CONTROL!$C$27, 0.0021, 0)</f>
        <v>64.958299999999994</v>
      </c>
      <c r="E342" s="14">
        <f>64.8195 * CHOOSE(CONTROL!$C$9, $D$9, 100%, $F$9) + CHOOSE(CONTROL!$C$27, 0.0021, 0)</f>
        <v>64.821600000000004</v>
      </c>
      <c r="F342" s="14">
        <f>64.8195 * CHOOSE(CONTROL!$C$9, $D$9, 100%, $F$9) + CHOOSE(CONTROL!$C$27, 0.0021, 0)</f>
        <v>64.821600000000004</v>
      </c>
      <c r="G342" s="14">
        <f>65.0909 * CHOOSE(CONTROL!$C$9, $D$9, 100%, $F$9) + CHOOSE(CONTROL!$C$27, 0.0021, 0)</f>
        <v>65.093000000000004</v>
      </c>
      <c r="H342" s="14">
        <f>64.9562 * CHOOSE(CONTROL!$C$9, $D$9, 100%, $F$9) + CHOOSE(CONTROL!$C$27, 0.0021, 0)</f>
        <v>64.958299999999994</v>
      </c>
      <c r="I342" s="14">
        <f>64.9562 * CHOOSE(CONTROL!$C$9, $D$9, 100%, $F$9) + CHOOSE(CONTROL!$C$27, 0.0021, 0)</f>
        <v>64.958299999999994</v>
      </c>
      <c r="J342" s="14">
        <f>64.9562 * CHOOSE(CONTROL!$C$9, $D$9, 100%, $F$9) + CHOOSE(CONTROL!$C$27, 0.0021, 0)</f>
        <v>64.958299999999994</v>
      </c>
      <c r="K342" s="14">
        <f>64.9562 * CHOOSE(CONTROL!$C$9, $D$9, 100%, $F$9) + CHOOSE(CONTROL!$C$27, 0.0021, 0)</f>
        <v>64.958299999999994</v>
      </c>
      <c r="L342" s="14"/>
    </row>
    <row r="343" spans="1:12" ht="15.75" x14ac:dyDescent="0.25">
      <c r="A343" s="33">
        <v>51379</v>
      </c>
      <c r="B343" s="14">
        <f>65.7675 * CHOOSE(CONTROL!$C$9, $D$9, 100%, $F$9) + CHOOSE(CONTROL!$C$27, 0.0021, 0)</f>
        <v>65.769599999999997</v>
      </c>
      <c r="C343" s="14">
        <f>65.3352 * CHOOSE(CONTROL!$C$9, $D$9, 100%, $F$9) + CHOOSE(CONTROL!$C$27, 0.0021, 0)</f>
        <v>65.337299999999999</v>
      </c>
      <c r="D343" s="14">
        <f>65.3352 * CHOOSE(CONTROL!$C$9, $D$9, 100%, $F$9) + CHOOSE(CONTROL!$C$27, 0.0021, 0)</f>
        <v>65.337299999999999</v>
      </c>
      <c r="E343" s="14">
        <f>65.1986 * CHOOSE(CONTROL!$C$9, $D$9, 100%, $F$9) + CHOOSE(CONTROL!$C$27, 0.0021, 0)</f>
        <v>65.200699999999998</v>
      </c>
      <c r="F343" s="14">
        <f>65.1986 * CHOOSE(CONTROL!$C$9, $D$9, 100%, $F$9) + CHOOSE(CONTROL!$C$27, 0.0021, 0)</f>
        <v>65.200699999999998</v>
      </c>
      <c r="G343" s="14">
        <f>65.4699 * CHOOSE(CONTROL!$C$9, $D$9, 100%, $F$9) + CHOOSE(CONTROL!$C$27, 0.0021, 0)</f>
        <v>65.471999999999994</v>
      </c>
      <c r="H343" s="14">
        <f>65.3352 * CHOOSE(CONTROL!$C$9, $D$9, 100%, $F$9) + CHOOSE(CONTROL!$C$27, 0.0021, 0)</f>
        <v>65.337299999999999</v>
      </c>
      <c r="I343" s="14">
        <f>65.3352 * CHOOSE(CONTROL!$C$9, $D$9, 100%, $F$9) + CHOOSE(CONTROL!$C$27, 0.0021, 0)</f>
        <v>65.337299999999999</v>
      </c>
      <c r="J343" s="14">
        <f>65.3352 * CHOOSE(CONTROL!$C$9, $D$9, 100%, $F$9) + CHOOSE(CONTROL!$C$27, 0.0021, 0)</f>
        <v>65.337299999999999</v>
      </c>
      <c r="K343" s="14">
        <f>65.3352 * CHOOSE(CONTROL!$C$9, $D$9, 100%, $F$9) + CHOOSE(CONTROL!$C$27, 0.0021, 0)</f>
        <v>65.337299999999999</v>
      </c>
      <c r="L343" s="14"/>
    </row>
    <row r="344" spans="1:12" ht="15.75" x14ac:dyDescent="0.25">
      <c r="A344" s="33">
        <v>51409</v>
      </c>
      <c r="B344" s="14">
        <f>67.0582 * CHOOSE(CONTROL!$C$9, $D$9, 100%, $F$9) + CHOOSE(CONTROL!$C$27, 0.0021, 0)</f>
        <v>67.060299999999998</v>
      </c>
      <c r="C344" s="14">
        <f>66.626 * CHOOSE(CONTROL!$C$9, $D$9, 100%, $F$9) + CHOOSE(CONTROL!$C$27, 0.0021, 0)</f>
        <v>66.628100000000003</v>
      </c>
      <c r="D344" s="14">
        <f>66.626 * CHOOSE(CONTROL!$C$9, $D$9, 100%, $F$9) + CHOOSE(CONTROL!$C$27, 0.0021, 0)</f>
        <v>66.628100000000003</v>
      </c>
      <c r="E344" s="14">
        <f>66.4893 * CHOOSE(CONTROL!$C$9, $D$9, 100%, $F$9) + CHOOSE(CONTROL!$C$27, 0.0021, 0)</f>
        <v>66.491399999999999</v>
      </c>
      <c r="F344" s="14">
        <f>66.4893 * CHOOSE(CONTROL!$C$9, $D$9, 100%, $F$9) + CHOOSE(CONTROL!$C$27, 0.0021, 0)</f>
        <v>66.491399999999999</v>
      </c>
      <c r="G344" s="14">
        <f>66.7607 * CHOOSE(CONTROL!$C$9, $D$9, 100%, $F$9) + CHOOSE(CONTROL!$C$27, 0.0021, 0)</f>
        <v>66.762799999999999</v>
      </c>
      <c r="H344" s="14">
        <f>66.626 * CHOOSE(CONTROL!$C$9, $D$9, 100%, $F$9) + CHOOSE(CONTROL!$C$27, 0.0021, 0)</f>
        <v>66.628100000000003</v>
      </c>
      <c r="I344" s="14">
        <f>66.626 * CHOOSE(CONTROL!$C$9, $D$9, 100%, $F$9) + CHOOSE(CONTROL!$C$27, 0.0021, 0)</f>
        <v>66.628100000000003</v>
      </c>
      <c r="J344" s="14">
        <f>66.626 * CHOOSE(CONTROL!$C$9, $D$9, 100%, $F$9) + CHOOSE(CONTROL!$C$27, 0.0021, 0)</f>
        <v>66.628100000000003</v>
      </c>
      <c r="K344" s="14">
        <f>66.626 * CHOOSE(CONTROL!$C$9, $D$9, 100%, $F$9) + CHOOSE(CONTROL!$C$27, 0.0021, 0)</f>
        <v>66.628100000000003</v>
      </c>
      <c r="L344" s="14"/>
    </row>
    <row r="345" spans="1:12" ht="15.75" x14ac:dyDescent="0.25">
      <c r="A345" s="33">
        <v>51440</v>
      </c>
      <c r="B345" s="14">
        <f>68.6921 * CHOOSE(CONTROL!$C$9, $D$9, 100%, $F$9) + CHOOSE(CONTROL!$C$27, 0.0021, 0)</f>
        <v>68.694199999999995</v>
      </c>
      <c r="C345" s="14">
        <f>68.2599 * CHOOSE(CONTROL!$C$9, $D$9, 100%, $F$9) + CHOOSE(CONTROL!$C$27, 0.0021, 0)</f>
        <v>68.262</v>
      </c>
      <c r="D345" s="14">
        <f>68.2599 * CHOOSE(CONTROL!$C$9, $D$9, 100%, $F$9) + CHOOSE(CONTROL!$C$27, 0.0021, 0)</f>
        <v>68.262</v>
      </c>
      <c r="E345" s="14">
        <f>68.1232 * CHOOSE(CONTROL!$C$9, $D$9, 100%, $F$9) + CHOOSE(CONTROL!$C$27, 0.0021, 0)</f>
        <v>68.125299999999996</v>
      </c>
      <c r="F345" s="14">
        <f>68.1232 * CHOOSE(CONTROL!$C$9, $D$9, 100%, $F$9) + CHOOSE(CONTROL!$C$27, 0.0021, 0)</f>
        <v>68.125299999999996</v>
      </c>
      <c r="G345" s="14">
        <f>68.3946 * CHOOSE(CONTROL!$C$9, $D$9, 100%, $F$9) + CHOOSE(CONTROL!$C$27, 0.0021, 0)</f>
        <v>68.396699999999996</v>
      </c>
      <c r="H345" s="14">
        <f>68.2599 * CHOOSE(CONTROL!$C$9, $D$9, 100%, $F$9) + CHOOSE(CONTROL!$C$27, 0.0021, 0)</f>
        <v>68.262</v>
      </c>
      <c r="I345" s="14">
        <f>68.2599 * CHOOSE(CONTROL!$C$9, $D$9, 100%, $F$9) + CHOOSE(CONTROL!$C$27, 0.0021, 0)</f>
        <v>68.262</v>
      </c>
      <c r="J345" s="14">
        <f>68.2599 * CHOOSE(CONTROL!$C$9, $D$9, 100%, $F$9) + CHOOSE(CONTROL!$C$27, 0.0021, 0)</f>
        <v>68.262</v>
      </c>
      <c r="K345" s="14">
        <f>68.2599 * CHOOSE(CONTROL!$C$9, $D$9, 100%, $F$9) + CHOOSE(CONTROL!$C$27, 0.0021, 0)</f>
        <v>68.262</v>
      </c>
      <c r="L345" s="14"/>
    </row>
    <row r="346" spans="1:12" ht="15.75" x14ac:dyDescent="0.25">
      <c r="A346" s="33">
        <v>51470</v>
      </c>
      <c r="B346" s="14">
        <f>68.8455 * CHOOSE(CONTROL!$C$9, $D$9, 100%, $F$9) + CHOOSE(CONTROL!$C$27, 0.0021, 0)</f>
        <v>68.8476</v>
      </c>
      <c r="C346" s="14">
        <f>68.4132 * CHOOSE(CONTROL!$C$9, $D$9, 100%, $F$9) + CHOOSE(CONTROL!$C$27, 0.0021, 0)</f>
        <v>68.415300000000002</v>
      </c>
      <c r="D346" s="14">
        <f>68.4132 * CHOOSE(CONTROL!$C$9, $D$9, 100%, $F$9) + CHOOSE(CONTROL!$C$27, 0.0021, 0)</f>
        <v>68.415300000000002</v>
      </c>
      <c r="E346" s="14">
        <f>68.2766 * CHOOSE(CONTROL!$C$9, $D$9, 100%, $F$9) + CHOOSE(CONTROL!$C$27, 0.0021, 0)</f>
        <v>68.278700000000001</v>
      </c>
      <c r="F346" s="14">
        <f>68.2766 * CHOOSE(CONTROL!$C$9, $D$9, 100%, $F$9) + CHOOSE(CONTROL!$C$27, 0.0021, 0)</f>
        <v>68.278700000000001</v>
      </c>
      <c r="G346" s="14">
        <f>68.548 * CHOOSE(CONTROL!$C$9, $D$9, 100%, $F$9) + CHOOSE(CONTROL!$C$27, 0.0021, 0)</f>
        <v>68.5501</v>
      </c>
      <c r="H346" s="14">
        <f>68.4132 * CHOOSE(CONTROL!$C$9, $D$9, 100%, $F$9) + CHOOSE(CONTROL!$C$27, 0.0021, 0)</f>
        <v>68.415300000000002</v>
      </c>
      <c r="I346" s="14">
        <f>68.4132 * CHOOSE(CONTROL!$C$9, $D$9, 100%, $F$9) + CHOOSE(CONTROL!$C$27, 0.0021, 0)</f>
        <v>68.415300000000002</v>
      </c>
      <c r="J346" s="14">
        <f>68.4132 * CHOOSE(CONTROL!$C$9, $D$9, 100%, $F$9) + CHOOSE(CONTROL!$C$27, 0.0021, 0)</f>
        <v>68.415300000000002</v>
      </c>
      <c r="K346" s="14">
        <f>68.4132 * CHOOSE(CONTROL!$C$9, $D$9, 100%, $F$9) + CHOOSE(CONTROL!$C$27, 0.0021, 0)</f>
        <v>68.415300000000002</v>
      </c>
      <c r="L346" s="14"/>
    </row>
    <row r="347" spans="1:12" ht="15.75" x14ac:dyDescent="0.25">
      <c r="A347" s="33">
        <v>51501</v>
      </c>
      <c r="B347" s="14">
        <f>67.5405 * CHOOSE(CONTROL!$C$9, $D$9, 100%, $F$9) + CHOOSE(CONTROL!$C$27, 0.0021, 0)</f>
        <v>67.542599999999993</v>
      </c>
      <c r="C347" s="14">
        <f>67.1083 * CHOOSE(CONTROL!$C$9, $D$9, 100%, $F$9) + CHOOSE(CONTROL!$C$27, 0.0021, 0)</f>
        <v>67.110399999999998</v>
      </c>
      <c r="D347" s="14">
        <f>67.1083 * CHOOSE(CONTROL!$C$9, $D$9, 100%, $F$9) + CHOOSE(CONTROL!$C$27, 0.0021, 0)</f>
        <v>67.110399999999998</v>
      </c>
      <c r="E347" s="14">
        <f>66.9716 * CHOOSE(CONTROL!$C$9, $D$9, 100%, $F$9) + CHOOSE(CONTROL!$C$27, 0.0021, 0)</f>
        <v>66.973699999999994</v>
      </c>
      <c r="F347" s="14">
        <f>66.9716 * CHOOSE(CONTROL!$C$9, $D$9, 100%, $F$9) + CHOOSE(CONTROL!$C$27, 0.0021, 0)</f>
        <v>66.973699999999994</v>
      </c>
      <c r="G347" s="14">
        <f>67.243 * CHOOSE(CONTROL!$C$9, $D$9, 100%, $F$9) + CHOOSE(CONTROL!$C$27, 0.0021, 0)</f>
        <v>67.245099999999994</v>
      </c>
      <c r="H347" s="14">
        <f>67.1083 * CHOOSE(CONTROL!$C$9, $D$9, 100%, $F$9) + CHOOSE(CONTROL!$C$27, 0.0021, 0)</f>
        <v>67.110399999999998</v>
      </c>
      <c r="I347" s="14">
        <f>67.1083 * CHOOSE(CONTROL!$C$9, $D$9, 100%, $F$9) + CHOOSE(CONTROL!$C$27, 0.0021, 0)</f>
        <v>67.110399999999998</v>
      </c>
      <c r="J347" s="14">
        <f>67.1083 * CHOOSE(CONTROL!$C$9, $D$9, 100%, $F$9) + CHOOSE(CONTROL!$C$27, 0.0021, 0)</f>
        <v>67.110399999999998</v>
      </c>
      <c r="K347" s="14">
        <f>67.1083 * CHOOSE(CONTROL!$C$9, $D$9, 100%, $F$9) + CHOOSE(CONTROL!$C$27, 0.0021, 0)</f>
        <v>67.110399999999998</v>
      </c>
      <c r="L347" s="14"/>
    </row>
    <row r="348" spans="1:12" ht="15.75" x14ac:dyDescent="0.25">
      <c r="A348" s="33">
        <v>51532</v>
      </c>
      <c r="B348" s="14">
        <f>66.7157 * CHOOSE(CONTROL!$C$9, $D$9, 100%, $F$9) + CHOOSE(CONTROL!$C$27, 0.0021, 0)</f>
        <v>66.717799999999997</v>
      </c>
      <c r="C348" s="14">
        <f>66.2835 * CHOOSE(CONTROL!$C$9, $D$9, 100%, $F$9) + CHOOSE(CONTROL!$C$27, 0.0021, 0)</f>
        <v>66.285600000000002</v>
      </c>
      <c r="D348" s="14">
        <f>66.2835 * CHOOSE(CONTROL!$C$9, $D$9, 100%, $F$9) + CHOOSE(CONTROL!$C$27, 0.0021, 0)</f>
        <v>66.285600000000002</v>
      </c>
      <c r="E348" s="14">
        <f>66.1468 * CHOOSE(CONTROL!$C$9, $D$9, 100%, $F$9) + CHOOSE(CONTROL!$C$27, 0.0021, 0)</f>
        <v>66.148899999999998</v>
      </c>
      <c r="F348" s="14">
        <f>66.1468 * CHOOSE(CONTROL!$C$9, $D$9, 100%, $F$9) + CHOOSE(CONTROL!$C$27, 0.0021, 0)</f>
        <v>66.148899999999998</v>
      </c>
      <c r="G348" s="14">
        <f>66.4182 * CHOOSE(CONTROL!$C$9, $D$9, 100%, $F$9) + CHOOSE(CONTROL!$C$27, 0.0021, 0)</f>
        <v>66.420299999999997</v>
      </c>
      <c r="H348" s="14">
        <f>66.2835 * CHOOSE(CONTROL!$C$9, $D$9, 100%, $F$9) + CHOOSE(CONTROL!$C$27, 0.0021, 0)</f>
        <v>66.285600000000002</v>
      </c>
      <c r="I348" s="14">
        <f>66.2835 * CHOOSE(CONTROL!$C$9, $D$9, 100%, $F$9) + CHOOSE(CONTROL!$C$27, 0.0021, 0)</f>
        <v>66.285600000000002</v>
      </c>
      <c r="J348" s="14">
        <f>66.2835 * CHOOSE(CONTROL!$C$9, $D$9, 100%, $F$9) + CHOOSE(CONTROL!$C$27, 0.0021, 0)</f>
        <v>66.285600000000002</v>
      </c>
      <c r="K348" s="14">
        <f>66.2835 * CHOOSE(CONTROL!$C$9, $D$9, 100%, $F$9) + CHOOSE(CONTROL!$C$27, 0.0021, 0)</f>
        <v>66.285600000000002</v>
      </c>
      <c r="L348" s="14"/>
    </row>
    <row r="349" spans="1:12" ht="15.75" x14ac:dyDescent="0.25">
      <c r="A349" s="33">
        <v>51560</v>
      </c>
      <c r="B349" s="14">
        <f>64.8935 * CHOOSE(CONTROL!$C$9, $D$9, 100%, $F$9) + CHOOSE(CONTROL!$C$27, 0.0021, 0)</f>
        <v>64.895600000000002</v>
      </c>
      <c r="C349" s="14">
        <f>64.4613 * CHOOSE(CONTROL!$C$9, $D$9, 100%, $F$9) + CHOOSE(CONTROL!$C$27, 0.0021, 0)</f>
        <v>64.463399999999993</v>
      </c>
      <c r="D349" s="14">
        <f>64.4613 * CHOOSE(CONTROL!$C$9, $D$9, 100%, $F$9) + CHOOSE(CONTROL!$C$27, 0.0021, 0)</f>
        <v>64.463399999999993</v>
      </c>
      <c r="E349" s="14">
        <f>64.3246 * CHOOSE(CONTROL!$C$9, $D$9, 100%, $F$9) + CHOOSE(CONTROL!$C$27, 0.0021, 0)</f>
        <v>64.326700000000002</v>
      </c>
      <c r="F349" s="14">
        <f>64.3246 * CHOOSE(CONTROL!$C$9, $D$9, 100%, $F$9) + CHOOSE(CONTROL!$C$27, 0.0021, 0)</f>
        <v>64.326700000000002</v>
      </c>
      <c r="G349" s="14">
        <f>64.596 * CHOOSE(CONTROL!$C$9, $D$9, 100%, $F$9) + CHOOSE(CONTROL!$C$27, 0.0021, 0)</f>
        <v>64.598100000000002</v>
      </c>
      <c r="H349" s="14">
        <f>64.4613 * CHOOSE(CONTROL!$C$9, $D$9, 100%, $F$9) + CHOOSE(CONTROL!$C$27, 0.0021, 0)</f>
        <v>64.463399999999993</v>
      </c>
      <c r="I349" s="14">
        <f>64.4613 * CHOOSE(CONTROL!$C$9, $D$9, 100%, $F$9) + CHOOSE(CONTROL!$C$27, 0.0021, 0)</f>
        <v>64.463399999999993</v>
      </c>
      <c r="J349" s="14">
        <f>64.4613 * CHOOSE(CONTROL!$C$9, $D$9, 100%, $F$9) + CHOOSE(CONTROL!$C$27, 0.0021, 0)</f>
        <v>64.463399999999993</v>
      </c>
      <c r="K349" s="14">
        <f>64.4613 * CHOOSE(CONTROL!$C$9, $D$9, 100%, $F$9) + CHOOSE(CONTROL!$C$27, 0.0021, 0)</f>
        <v>64.463399999999993</v>
      </c>
      <c r="L349" s="14"/>
    </row>
    <row r="350" spans="1:12" ht="15.75" x14ac:dyDescent="0.25">
      <c r="A350" s="33">
        <v>51591</v>
      </c>
      <c r="B350" s="14">
        <f>64.1413 * CHOOSE(CONTROL!$C$9, $D$9, 100%, $F$9) + CHOOSE(CONTROL!$C$27, 0.0021, 0)</f>
        <v>64.1434</v>
      </c>
      <c r="C350" s="14">
        <f>63.709 * CHOOSE(CONTROL!$C$9, $D$9, 100%, $F$9) + CHOOSE(CONTROL!$C$27, 0.0021, 0)</f>
        <v>63.711100000000002</v>
      </c>
      <c r="D350" s="14">
        <f>63.709 * CHOOSE(CONTROL!$C$9, $D$9, 100%, $F$9) + CHOOSE(CONTROL!$C$27, 0.0021, 0)</f>
        <v>63.711100000000002</v>
      </c>
      <c r="E350" s="14">
        <f>63.5724 * CHOOSE(CONTROL!$C$9, $D$9, 100%, $F$9) + CHOOSE(CONTROL!$C$27, 0.0021, 0)</f>
        <v>63.5745</v>
      </c>
      <c r="F350" s="14">
        <f>63.5724 * CHOOSE(CONTROL!$C$9, $D$9, 100%, $F$9) + CHOOSE(CONTROL!$C$27, 0.0021, 0)</f>
        <v>63.5745</v>
      </c>
      <c r="G350" s="14">
        <f>63.8438 * CHOOSE(CONTROL!$C$9, $D$9, 100%, $F$9) + CHOOSE(CONTROL!$C$27, 0.0021, 0)</f>
        <v>63.8459</v>
      </c>
      <c r="H350" s="14">
        <f>63.709 * CHOOSE(CONTROL!$C$9, $D$9, 100%, $F$9) + CHOOSE(CONTROL!$C$27, 0.0021, 0)</f>
        <v>63.711100000000002</v>
      </c>
      <c r="I350" s="14">
        <f>63.709 * CHOOSE(CONTROL!$C$9, $D$9, 100%, $F$9) + CHOOSE(CONTROL!$C$27, 0.0021, 0)</f>
        <v>63.711100000000002</v>
      </c>
      <c r="J350" s="14">
        <f>63.709 * CHOOSE(CONTROL!$C$9, $D$9, 100%, $F$9) + CHOOSE(CONTROL!$C$27, 0.0021, 0)</f>
        <v>63.711100000000002</v>
      </c>
      <c r="K350" s="14">
        <f>63.709 * CHOOSE(CONTROL!$C$9, $D$9, 100%, $F$9) + CHOOSE(CONTROL!$C$27, 0.0021, 0)</f>
        <v>63.711100000000002</v>
      </c>
      <c r="L350" s="14"/>
    </row>
    <row r="351" spans="1:12" ht="15.75" x14ac:dyDescent="0.25">
      <c r="A351" s="33">
        <v>51621</v>
      </c>
      <c r="B351" s="14">
        <f>63.2431 * CHOOSE(CONTROL!$C$9, $D$9, 100%, $F$9) + CHOOSE(CONTROL!$C$27, 0.0021, 0)</f>
        <v>63.245199999999997</v>
      </c>
      <c r="C351" s="14">
        <f>62.8109 * CHOOSE(CONTROL!$C$9, $D$9, 100%, $F$9) + CHOOSE(CONTROL!$C$27, 0.0021, 0)</f>
        <v>62.812999999999995</v>
      </c>
      <c r="D351" s="14">
        <f>62.8109 * CHOOSE(CONTROL!$C$9, $D$9, 100%, $F$9) + CHOOSE(CONTROL!$C$27, 0.0021, 0)</f>
        <v>62.812999999999995</v>
      </c>
      <c r="E351" s="14">
        <f>62.6742 * CHOOSE(CONTROL!$C$9, $D$9, 100%, $F$9) + CHOOSE(CONTROL!$C$27, 0.0021, 0)</f>
        <v>62.676299999999998</v>
      </c>
      <c r="F351" s="14">
        <f>62.6742 * CHOOSE(CONTROL!$C$9, $D$9, 100%, $F$9) + CHOOSE(CONTROL!$C$27, 0.0021, 0)</f>
        <v>62.676299999999998</v>
      </c>
      <c r="G351" s="14">
        <f>62.9456 * CHOOSE(CONTROL!$C$9, $D$9, 100%, $F$9) + CHOOSE(CONTROL!$C$27, 0.0021, 0)</f>
        <v>62.947699999999998</v>
      </c>
      <c r="H351" s="14">
        <f>62.8109 * CHOOSE(CONTROL!$C$9, $D$9, 100%, $F$9) + CHOOSE(CONTROL!$C$27, 0.0021, 0)</f>
        <v>62.812999999999995</v>
      </c>
      <c r="I351" s="14">
        <f>62.8109 * CHOOSE(CONTROL!$C$9, $D$9, 100%, $F$9) + CHOOSE(CONTROL!$C$27, 0.0021, 0)</f>
        <v>62.812999999999995</v>
      </c>
      <c r="J351" s="14">
        <f>62.8109 * CHOOSE(CONTROL!$C$9, $D$9, 100%, $F$9) + CHOOSE(CONTROL!$C$27, 0.0021, 0)</f>
        <v>62.812999999999995</v>
      </c>
      <c r="K351" s="14">
        <f>62.8109 * CHOOSE(CONTROL!$C$9, $D$9, 100%, $F$9) + CHOOSE(CONTROL!$C$27, 0.0021, 0)</f>
        <v>62.812999999999995</v>
      </c>
      <c r="L351" s="14"/>
    </row>
    <row r="352" spans="1:12" ht="15.75" x14ac:dyDescent="0.25">
      <c r="A352" s="33">
        <v>51652</v>
      </c>
      <c r="B352" s="14">
        <f>64.5231 * CHOOSE(CONTROL!$C$9, $D$9, 100%, $F$9) + CHOOSE(CONTROL!$C$27, 0.0021, 0)</f>
        <v>64.525199999999998</v>
      </c>
      <c r="C352" s="14">
        <f>64.0909 * CHOOSE(CONTROL!$C$9, $D$9, 100%, $F$9) + CHOOSE(CONTROL!$C$27, 0.0021, 0)</f>
        <v>64.093000000000004</v>
      </c>
      <c r="D352" s="14">
        <f>64.0909 * CHOOSE(CONTROL!$C$9, $D$9, 100%, $F$9) + CHOOSE(CONTROL!$C$27, 0.0021, 0)</f>
        <v>64.093000000000004</v>
      </c>
      <c r="E352" s="14">
        <f>63.9542 * CHOOSE(CONTROL!$C$9, $D$9, 100%, $F$9) + CHOOSE(CONTROL!$C$27, 0.0021, 0)</f>
        <v>63.956299999999999</v>
      </c>
      <c r="F352" s="14">
        <f>63.9542 * CHOOSE(CONTROL!$C$9, $D$9, 100%, $F$9) + CHOOSE(CONTROL!$C$27, 0.0021, 0)</f>
        <v>63.956299999999999</v>
      </c>
      <c r="G352" s="14">
        <f>64.2256 * CHOOSE(CONTROL!$C$9, $D$9, 100%, $F$9) + CHOOSE(CONTROL!$C$27, 0.0021, 0)</f>
        <v>64.227699999999999</v>
      </c>
      <c r="H352" s="14">
        <f>64.0909 * CHOOSE(CONTROL!$C$9, $D$9, 100%, $F$9) + CHOOSE(CONTROL!$C$27, 0.0021, 0)</f>
        <v>64.093000000000004</v>
      </c>
      <c r="I352" s="14">
        <f>64.0909 * CHOOSE(CONTROL!$C$9, $D$9, 100%, $F$9) + CHOOSE(CONTROL!$C$27, 0.0021, 0)</f>
        <v>64.093000000000004</v>
      </c>
      <c r="J352" s="14">
        <f>64.0909 * CHOOSE(CONTROL!$C$9, $D$9, 100%, $F$9) + CHOOSE(CONTROL!$C$27, 0.0021, 0)</f>
        <v>64.093000000000004</v>
      </c>
      <c r="K352" s="14">
        <f>64.0909 * CHOOSE(CONTROL!$C$9, $D$9, 100%, $F$9) + CHOOSE(CONTROL!$C$27, 0.0021, 0)</f>
        <v>64.093000000000004</v>
      </c>
      <c r="L352" s="14"/>
    </row>
    <row r="353" spans="1:12" ht="15.75" x14ac:dyDescent="0.25">
      <c r="A353" s="33">
        <v>51682</v>
      </c>
      <c r="B353" s="14">
        <f>65.2898 * CHOOSE(CONTROL!$C$9, $D$9, 100%, $F$9) + CHOOSE(CONTROL!$C$27, 0.0021, 0)</f>
        <v>65.291899999999998</v>
      </c>
      <c r="C353" s="14">
        <f>64.8575 * CHOOSE(CONTROL!$C$9, $D$9, 100%, $F$9) + CHOOSE(CONTROL!$C$27, 0.0021, 0)</f>
        <v>64.8596</v>
      </c>
      <c r="D353" s="14">
        <f>64.8575 * CHOOSE(CONTROL!$C$9, $D$9, 100%, $F$9) + CHOOSE(CONTROL!$C$27, 0.0021, 0)</f>
        <v>64.8596</v>
      </c>
      <c r="E353" s="14">
        <f>64.7209 * CHOOSE(CONTROL!$C$9, $D$9, 100%, $F$9) + CHOOSE(CONTROL!$C$27, 0.0021, 0)</f>
        <v>64.722999999999999</v>
      </c>
      <c r="F353" s="14">
        <f>64.7209 * CHOOSE(CONTROL!$C$9, $D$9, 100%, $F$9) + CHOOSE(CONTROL!$C$27, 0.0021, 0)</f>
        <v>64.722999999999999</v>
      </c>
      <c r="G353" s="14">
        <f>64.9923 * CHOOSE(CONTROL!$C$9, $D$9, 100%, $F$9) + CHOOSE(CONTROL!$C$27, 0.0021, 0)</f>
        <v>64.994399999999999</v>
      </c>
      <c r="H353" s="14">
        <f>64.8575 * CHOOSE(CONTROL!$C$9, $D$9, 100%, $F$9) + CHOOSE(CONTROL!$C$27, 0.0021, 0)</f>
        <v>64.8596</v>
      </c>
      <c r="I353" s="14">
        <f>64.8575 * CHOOSE(CONTROL!$C$9, $D$9, 100%, $F$9) + CHOOSE(CONTROL!$C$27, 0.0021, 0)</f>
        <v>64.8596</v>
      </c>
      <c r="J353" s="14">
        <f>64.8575 * CHOOSE(CONTROL!$C$9, $D$9, 100%, $F$9) + CHOOSE(CONTROL!$C$27, 0.0021, 0)</f>
        <v>64.8596</v>
      </c>
      <c r="K353" s="14">
        <f>64.8575 * CHOOSE(CONTROL!$C$9, $D$9, 100%, $F$9) + CHOOSE(CONTROL!$C$27, 0.0021, 0)</f>
        <v>64.8596</v>
      </c>
      <c r="L353" s="14"/>
    </row>
    <row r="354" spans="1:12" ht="15.75" x14ac:dyDescent="0.25">
      <c r="A354" s="33">
        <v>51713</v>
      </c>
      <c r="B354" s="14">
        <f>66.5545 * CHOOSE(CONTROL!$C$9, $D$9, 100%, $F$9) + CHOOSE(CONTROL!$C$27, 0.0021, 0)</f>
        <v>66.556600000000003</v>
      </c>
      <c r="C354" s="14">
        <f>66.1222 * CHOOSE(CONTROL!$C$9, $D$9, 100%, $F$9) + CHOOSE(CONTROL!$C$27, 0.0021, 0)</f>
        <v>66.124300000000005</v>
      </c>
      <c r="D354" s="14">
        <f>66.1222 * CHOOSE(CONTROL!$C$9, $D$9, 100%, $F$9) + CHOOSE(CONTROL!$C$27, 0.0021, 0)</f>
        <v>66.124300000000005</v>
      </c>
      <c r="E354" s="14">
        <f>65.9856 * CHOOSE(CONTROL!$C$9, $D$9, 100%, $F$9) + CHOOSE(CONTROL!$C$27, 0.0021, 0)</f>
        <v>65.987700000000004</v>
      </c>
      <c r="F354" s="14">
        <f>65.9856 * CHOOSE(CONTROL!$C$9, $D$9, 100%, $F$9) + CHOOSE(CONTROL!$C$27, 0.0021, 0)</f>
        <v>65.987700000000004</v>
      </c>
      <c r="G354" s="14">
        <f>66.257 * CHOOSE(CONTROL!$C$9, $D$9, 100%, $F$9) + CHOOSE(CONTROL!$C$27, 0.0021, 0)</f>
        <v>66.259100000000004</v>
      </c>
      <c r="H354" s="14">
        <f>66.1222 * CHOOSE(CONTROL!$C$9, $D$9, 100%, $F$9) + CHOOSE(CONTROL!$C$27, 0.0021, 0)</f>
        <v>66.124300000000005</v>
      </c>
      <c r="I354" s="14">
        <f>66.1222 * CHOOSE(CONTROL!$C$9, $D$9, 100%, $F$9) + CHOOSE(CONTROL!$C$27, 0.0021, 0)</f>
        <v>66.124300000000005</v>
      </c>
      <c r="J354" s="14">
        <f>66.1222 * CHOOSE(CONTROL!$C$9, $D$9, 100%, $F$9) + CHOOSE(CONTROL!$C$27, 0.0021, 0)</f>
        <v>66.124300000000005</v>
      </c>
      <c r="K354" s="14">
        <f>66.1222 * CHOOSE(CONTROL!$C$9, $D$9, 100%, $F$9) + CHOOSE(CONTROL!$C$27, 0.0021, 0)</f>
        <v>66.124300000000005</v>
      </c>
      <c r="L354" s="14"/>
    </row>
    <row r="355" spans="1:12" ht="15.75" x14ac:dyDescent="0.25">
      <c r="A355" s="33">
        <v>51744</v>
      </c>
      <c r="B355" s="14">
        <f>66.9405 * CHOOSE(CONTROL!$C$9, $D$9, 100%, $F$9) + CHOOSE(CONTROL!$C$27, 0.0021, 0)</f>
        <v>66.942599999999999</v>
      </c>
      <c r="C355" s="14">
        <f>66.5083 * CHOOSE(CONTROL!$C$9, $D$9, 100%, $F$9) + CHOOSE(CONTROL!$C$27, 0.0021, 0)</f>
        <v>66.510400000000004</v>
      </c>
      <c r="D355" s="14">
        <f>66.5083 * CHOOSE(CONTROL!$C$9, $D$9, 100%, $F$9) + CHOOSE(CONTROL!$C$27, 0.0021, 0)</f>
        <v>66.510400000000004</v>
      </c>
      <c r="E355" s="14">
        <f>66.3716 * CHOOSE(CONTROL!$C$9, $D$9, 100%, $F$9) + CHOOSE(CONTROL!$C$27, 0.0021, 0)</f>
        <v>66.373699999999999</v>
      </c>
      <c r="F355" s="14">
        <f>66.3716 * CHOOSE(CONTROL!$C$9, $D$9, 100%, $F$9) + CHOOSE(CONTROL!$C$27, 0.0021, 0)</f>
        <v>66.373699999999999</v>
      </c>
      <c r="G355" s="14">
        <f>66.643 * CHOOSE(CONTROL!$C$9, $D$9, 100%, $F$9) + CHOOSE(CONTROL!$C$27, 0.0021, 0)</f>
        <v>66.645099999999999</v>
      </c>
      <c r="H355" s="14">
        <f>66.5083 * CHOOSE(CONTROL!$C$9, $D$9, 100%, $F$9) + CHOOSE(CONTROL!$C$27, 0.0021, 0)</f>
        <v>66.510400000000004</v>
      </c>
      <c r="I355" s="14">
        <f>66.5083 * CHOOSE(CONTROL!$C$9, $D$9, 100%, $F$9) + CHOOSE(CONTROL!$C$27, 0.0021, 0)</f>
        <v>66.510400000000004</v>
      </c>
      <c r="J355" s="14">
        <f>66.5083 * CHOOSE(CONTROL!$C$9, $D$9, 100%, $F$9) + CHOOSE(CONTROL!$C$27, 0.0021, 0)</f>
        <v>66.510400000000004</v>
      </c>
      <c r="K355" s="14">
        <f>66.5083 * CHOOSE(CONTROL!$C$9, $D$9, 100%, $F$9) + CHOOSE(CONTROL!$C$27, 0.0021, 0)</f>
        <v>66.510400000000004</v>
      </c>
      <c r="L355" s="14"/>
    </row>
    <row r="356" spans="1:12" ht="15.75" x14ac:dyDescent="0.25">
      <c r="A356" s="33">
        <v>51774</v>
      </c>
      <c r="B356" s="14">
        <f>68.2551 * CHOOSE(CONTROL!$C$9, $D$9, 100%, $F$9) + CHOOSE(CONTROL!$C$27, 0.0021, 0)</f>
        <v>68.257199999999997</v>
      </c>
      <c r="C356" s="14">
        <f>67.8229 * CHOOSE(CONTROL!$C$9, $D$9, 100%, $F$9) + CHOOSE(CONTROL!$C$27, 0.0021, 0)</f>
        <v>67.825000000000003</v>
      </c>
      <c r="D356" s="14">
        <f>67.8229 * CHOOSE(CONTROL!$C$9, $D$9, 100%, $F$9) + CHOOSE(CONTROL!$C$27, 0.0021, 0)</f>
        <v>67.825000000000003</v>
      </c>
      <c r="E356" s="14">
        <f>67.6862 * CHOOSE(CONTROL!$C$9, $D$9, 100%, $F$9) + CHOOSE(CONTROL!$C$27, 0.0021, 0)</f>
        <v>67.688299999999998</v>
      </c>
      <c r="F356" s="14">
        <f>67.6862 * CHOOSE(CONTROL!$C$9, $D$9, 100%, $F$9) + CHOOSE(CONTROL!$C$27, 0.0021, 0)</f>
        <v>67.688299999999998</v>
      </c>
      <c r="G356" s="14">
        <f>67.9576 * CHOOSE(CONTROL!$C$9, $D$9, 100%, $F$9) + CHOOSE(CONTROL!$C$27, 0.0021, 0)</f>
        <v>67.959699999999998</v>
      </c>
      <c r="H356" s="14">
        <f>67.8229 * CHOOSE(CONTROL!$C$9, $D$9, 100%, $F$9) + CHOOSE(CONTROL!$C$27, 0.0021, 0)</f>
        <v>67.825000000000003</v>
      </c>
      <c r="I356" s="14">
        <f>67.8229 * CHOOSE(CONTROL!$C$9, $D$9, 100%, $F$9) + CHOOSE(CONTROL!$C$27, 0.0021, 0)</f>
        <v>67.825000000000003</v>
      </c>
      <c r="J356" s="14">
        <f>67.8229 * CHOOSE(CONTROL!$C$9, $D$9, 100%, $F$9) + CHOOSE(CONTROL!$C$27, 0.0021, 0)</f>
        <v>67.825000000000003</v>
      </c>
      <c r="K356" s="14">
        <f>67.8229 * CHOOSE(CONTROL!$C$9, $D$9, 100%, $F$9) + CHOOSE(CONTROL!$C$27, 0.0021, 0)</f>
        <v>67.825000000000003</v>
      </c>
      <c r="L356" s="14"/>
    </row>
    <row r="357" spans="1:12" ht="15.75" x14ac:dyDescent="0.25">
      <c r="A357" s="33">
        <v>51805</v>
      </c>
      <c r="B357" s="14">
        <f>69.9192 * CHOOSE(CONTROL!$C$9, $D$9, 100%, $F$9) + CHOOSE(CONTROL!$C$27, 0.0021, 0)</f>
        <v>69.921300000000002</v>
      </c>
      <c r="C357" s="14">
        <f>69.487 * CHOOSE(CONTROL!$C$9, $D$9, 100%, $F$9) + CHOOSE(CONTROL!$C$27, 0.0021, 0)</f>
        <v>69.489099999999993</v>
      </c>
      <c r="D357" s="14">
        <f>69.487 * CHOOSE(CONTROL!$C$9, $D$9, 100%, $F$9) + CHOOSE(CONTROL!$C$27, 0.0021, 0)</f>
        <v>69.489099999999993</v>
      </c>
      <c r="E357" s="14">
        <f>69.3503 * CHOOSE(CONTROL!$C$9, $D$9, 100%, $F$9) + CHOOSE(CONTROL!$C$27, 0.0021, 0)</f>
        <v>69.352400000000003</v>
      </c>
      <c r="F357" s="14">
        <f>69.3503 * CHOOSE(CONTROL!$C$9, $D$9, 100%, $F$9) + CHOOSE(CONTROL!$C$27, 0.0021, 0)</f>
        <v>69.352400000000003</v>
      </c>
      <c r="G357" s="14">
        <f>69.6217 * CHOOSE(CONTROL!$C$9, $D$9, 100%, $F$9) + CHOOSE(CONTROL!$C$27, 0.0021, 0)</f>
        <v>69.623800000000003</v>
      </c>
      <c r="H357" s="14">
        <f>69.487 * CHOOSE(CONTROL!$C$9, $D$9, 100%, $F$9) + CHOOSE(CONTROL!$C$27, 0.0021, 0)</f>
        <v>69.489099999999993</v>
      </c>
      <c r="I357" s="14">
        <f>69.487 * CHOOSE(CONTROL!$C$9, $D$9, 100%, $F$9) + CHOOSE(CONTROL!$C$27, 0.0021, 0)</f>
        <v>69.489099999999993</v>
      </c>
      <c r="J357" s="14">
        <f>69.487 * CHOOSE(CONTROL!$C$9, $D$9, 100%, $F$9) + CHOOSE(CONTROL!$C$27, 0.0021, 0)</f>
        <v>69.489099999999993</v>
      </c>
      <c r="K357" s="14">
        <f>69.487 * CHOOSE(CONTROL!$C$9, $D$9, 100%, $F$9) + CHOOSE(CONTROL!$C$27, 0.0021, 0)</f>
        <v>69.489099999999993</v>
      </c>
      <c r="L357" s="14"/>
    </row>
    <row r="358" spans="1:12" ht="15.75" x14ac:dyDescent="0.25">
      <c r="A358" s="33">
        <v>51835</v>
      </c>
      <c r="B358" s="14">
        <f>70.0754 * CHOOSE(CONTROL!$C$9, $D$9, 100%, $F$9) + CHOOSE(CONTROL!$C$27, 0.0021, 0)</f>
        <v>70.077500000000001</v>
      </c>
      <c r="C358" s="14">
        <f>69.6432 * CHOOSE(CONTROL!$C$9, $D$9, 100%, $F$9) + CHOOSE(CONTROL!$C$27, 0.0021, 0)</f>
        <v>69.645299999999992</v>
      </c>
      <c r="D358" s="14">
        <f>69.6432 * CHOOSE(CONTROL!$C$9, $D$9, 100%, $F$9) + CHOOSE(CONTROL!$C$27, 0.0021, 0)</f>
        <v>69.645299999999992</v>
      </c>
      <c r="E358" s="14">
        <f>69.5065 * CHOOSE(CONTROL!$C$9, $D$9, 100%, $F$9) + CHOOSE(CONTROL!$C$27, 0.0021, 0)</f>
        <v>69.508600000000001</v>
      </c>
      <c r="F358" s="14">
        <f>69.5065 * CHOOSE(CONTROL!$C$9, $D$9, 100%, $F$9) + CHOOSE(CONTROL!$C$27, 0.0021, 0)</f>
        <v>69.508600000000001</v>
      </c>
      <c r="G358" s="14">
        <f>69.7779 * CHOOSE(CONTROL!$C$9, $D$9, 100%, $F$9) + CHOOSE(CONTROL!$C$27, 0.0021, 0)</f>
        <v>69.78</v>
      </c>
      <c r="H358" s="14">
        <f>69.6432 * CHOOSE(CONTROL!$C$9, $D$9, 100%, $F$9) + CHOOSE(CONTROL!$C$27, 0.0021, 0)</f>
        <v>69.645299999999992</v>
      </c>
      <c r="I358" s="14">
        <f>69.6432 * CHOOSE(CONTROL!$C$9, $D$9, 100%, $F$9) + CHOOSE(CONTROL!$C$27, 0.0021, 0)</f>
        <v>69.645299999999992</v>
      </c>
      <c r="J358" s="14">
        <f>69.6432 * CHOOSE(CONTROL!$C$9, $D$9, 100%, $F$9) + CHOOSE(CONTROL!$C$27, 0.0021, 0)</f>
        <v>69.645299999999992</v>
      </c>
      <c r="K358" s="14">
        <f>69.6432 * CHOOSE(CONTROL!$C$9, $D$9, 100%, $F$9) + CHOOSE(CONTROL!$C$27, 0.0021, 0)</f>
        <v>69.645299999999992</v>
      </c>
      <c r="L358" s="14"/>
    </row>
    <row r="359" spans="1:12" ht="15.75" x14ac:dyDescent="0.25">
      <c r="A359" s="33">
        <v>51866</v>
      </c>
      <c r="B359" s="14">
        <f>68.7464 * CHOOSE(CONTROL!$C$9, $D$9, 100%, $F$9) + CHOOSE(CONTROL!$C$27, 0.0021, 0)</f>
        <v>68.748499999999993</v>
      </c>
      <c r="C359" s="14">
        <f>68.3141 * CHOOSE(CONTROL!$C$9, $D$9, 100%, $F$9) + CHOOSE(CONTROL!$C$27, 0.0021, 0)</f>
        <v>68.316199999999995</v>
      </c>
      <c r="D359" s="14">
        <f>68.3141 * CHOOSE(CONTROL!$C$9, $D$9, 100%, $F$9) + CHOOSE(CONTROL!$C$27, 0.0021, 0)</f>
        <v>68.316199999999995</v>
      </c>
      <c r="E359" s="14">
        <f>68.1775 * CHOOSE(CONTROL!$C$9, $D$9, 100%, $F$9) + CHOOSE(CONTROL!$C$27, 0.0021, 0)</f>
        <v>68.179599999999994</v>
      </c>
      <c r="F359" s="14">
        <f>68.1775 * CHOOSE(CONTROL!$C$9, $D$9, 100%, $F$9) + CHOOSE(CONTROL!$C$27, 0.0021, 0)</f>
        <v>68.179599999999994</v>
      </c>
      <c r="G359" s="14">
        <f>68.4488 * CHOOSE(CONTROL!$C$9, $D$9, 100%, $F$9) + CHOOSE(CONTROL!$C$27, 0.0021, 0)</f>
        <v>68.450900000000004</v>
      </c>
      <c r="H359" s="14">
        <f>68.3141 * CHOOSE(CONTROL!$C$9, $D$9, 100%, $F$9) + CHOOSE(CONTROL!$C$27, 0.0021, 0)</f>
        <v>68.316199999999995</v>
      </c>
      <c r="I359" s="14">
        <f>68.3141 * CHOOSE(CONTROL!$C$9, $D$9, 100%, $F$9) + CHOOSE(CONTROL!$C$27, 0.0021, 0)</f>
        <v>68.316199999999995</v>
      </c>
      <c r="J359" s="14">
        <f>68.3141 * CHOOSE(CONTROL!$C$9, $D$9, 100%, $F$9) + CHOOSE(CONTROL!$C$27, 0.0021, 0)</f>
        <v>68.316199999999995</v>
      </c>
      <c r="K359" s="14">
        <f>68.3141 * CHOOSE(CONTROL!$C$9, $D$9, 100%, $F$9) + CHOOSE(CONTROL!$C$27, 0.0021, 0)</f>
        <v>68.316199999999995</v>
      </c>
      <c r="L359" s="14"/>
    </row>
    <row r="360" spans="1:12" ht="15.75" x14ac:dyDescent="0.25">
      <c r="A360" s="33">
        <v>51897</v>
      </c>
      <c r="B360" s="14">
        <f>67.9063 * CHOOSE(CONTROL!$C$9, $D$9, 100%, $F$9) + CHOOSE(CONTROL!$C$27, 0.0021, 0)</f>
        <v>67.9084</v>
      </c>
      <c r="C360" s="14">
        <f>67.4741 * CHOOSE(CONTROL!$C$9, $D$9, 100%, $F$9) + CHOOSE(CONTROL!$C$27, 0.0021, 0)</f>
        <v>67.476200000000006</v>
      </c>
      <c r="D360" s="14">
        <f>67.4741 * CHOOSE(CONTROL!$C$9, $D$9, 100%, $F$9) + CHOOSE(CONTROL!$C$27, 0.0021, 0)</f>
        <v>67.476200000000006</v>
      </c>
      <c r="E360" s="14">
        <f>67.3374 * CHOOSE(CONTROL!$C$9, $D$9, 100%, $F$9) + CHOOSE(CONTROL!$C$27, 0.0021, 0)</f>
        <v>67.339500000000001</v>
      </c>
      <c r="F360" s="14">
        <f>67.3374 * CHOOSE(CONTROL!$C$9, $D$9, 100%, $F$9) + CHOOSE(CONTROL!$C$27, 0.0021, 0)</f>
        <v>67.339500000000001</v>
      </c>
      <c r="G360" s="14">
        <f>67.6088 * CHOOSE(CONTROL!$C$9, $D$9, 100%, $F$9) + CHOOSE(CONTROL!$C$27, 0.0021, 0)</f>
        <v>67.610900000000001</v>
      </c>
      <c r="H360" s="14">
        <f>67.4741 * CHOOSE(CONTROL!$C$9, $D$9, 100%, $F$9) + CHOOSE(CONTROL!$C$27, 0.0021, 0)</f>
        <v>67.476200000000006</v>
      </c>
      <c r="I360" s="14">
        <f>67.4741 * CHOOSE(CONTROL!$C$9, $D$9, 100%, $F$9) + CHOOSE(CONTROL!$C$27, 0.0021, 0)</f>
        <v>67.476200000000006</v>
      </c>
      <c r="J360" s="14">
        <f>67.4741 * CHOOSE(CONTROL!$C$9, $D$9, 100%, $F$9) + CHOOSE(CONTROL!$C$27, 0.0021, 0)</f>
        <v>67.476200000000006</v>
      </c>
      <c r="K360" s="14">
        <f>67.4741 * CHOOSE(CONTROL!$C$9, $D$9, 100%, $F$9) + CHOOSE(CONTROL!$C$27, 0.0021, 0)</f>
        <v>67.476200000000006</v>
      </c>
      <c r="L360" s="14"/>
    </row>
    <row r="361" spans="1:12" ht="15.75" x14ac:dyDescent="0.25">
      <c r="A361" s="33">
        <v>51925</v>
      </c>
      <c r="B361" s="14">
        <f>66.0504 * CHOOSE(CONTROL!$C$9, $D$9, 100%, $F$9) + CHOOSE(CONTROL!$C$27, 0.0021, 0)</f>
        <v>66.052499999999995</v>
      </c>
      <c r="C361" s="14">
        <f>65.6182 * CHOOSE(CONTROL!$C$9, $D$9, 100%, $F$9) + CHOOSE(CONTROL!$C$27, 0.0021, 0)</f>
        <v>65.6203</v>
      </c>
      <c r="D361" s="14">
        <f>65.6182 * CHOOSE(CONTROL!$C$9, $D$9, 100%, $F$9) + CHOOSE(CONTROL!$C$27, 0.0021, 0)</f>
        <v>65.6203</v>
      </c>
      <c r="E361" s="14">
        <f>65.4815 * CHOOSE(CONTROL!$C$9, $D$9, 100%, $F$9) + CHOOSE(CONTROL!$C$27, 0.0021, 0)</f>
        <v>65.483599999999996</v>
      </c>
      <c r="F361" s="14">
        <f>65.4815 * CHOOSE(CONTROL!$C$9, $D$9, 100%, $F$9) + CHOOSE(CONTROL!$C$27, 0.0021, 0)</f>
        <v>65.483599999999996</v>
      </c>
      <c r="G361" s="14">
        <f>65.7529 * CHOOSE(CONTROL!$C$9, $D$9, 100%, $F$9) + CHOOSE(CONTROL!$C$27, 0.0021, 0)</f>
        <v>65.754999999999995</v>
      </c>
      <c r="H361" s="14">
        <f>65.6182 * CHOOSE(CONTROL!$C$9, $D$9, 100%, $F$9) + CHOOSE(CONTROL!$C$27, 0.0021, 0)</f>
        <v>65.6203</v>
      </c>
      <c r="I361" s="14">
        <f>65.6182 * CHOOSE(CONTROL!$C$9, $D$9, 100%, $F$9) + CHOOSE(CONTROL!$C$27, 0.0021, 0)</f>
        <v>65.6203</v>
      </c>
      <c r="J361" s="14">
        <f>65.6182 * CHOOSE(CONTROL!$C$9, $D$9, 100%, $F$9) + CHOOSE(CONTROL!$C$27, 0.0021, 0)</f>
        <v>65.6203</v>
      </c>
      <c r="K361" s="14">
        <f>65.6182 * CHOOSE(CONTROL!$C$9, $D$9, 100%, $F$9) + CHOOSE(CONTROL!$C$27, 0.0021, 0)</f>
        <v>65.6203</v>
      </c>
      <c r="L361" s="14"/>
    </row>
    <row r="362" spans="1:12" ht="15.75" x14ac:dyDescent="0.25">
      <c r="A362" s="33">
        <v>51956</v>
      </c>
      <c r="B362" s="14">
        <f>65.2843 * CHOOSE(CONTROL!$C$9, $D$9, 100%, $F$9) + CHOOSE(CONTROL!$C$27, 0.0021, 0)</f>
        <v>65.2864</v>
      </c>
      <c r="C362" s="14">
        <f>64.8521 * CHOOSE(CONTROL!$C$9, $D$9, 100%, $F$9) + CHOOSE(CONTROL!$C$27, 0.0021, 0)</f>
        <v>64.854199999999992</v>
      </c>
      <c r="D362" s="14">
        <f>64.8521 * CHOOSE(CONTROL!$C$9, $D$9, 100%, $F$9) + CHOOSE(CONTROL!$C$27, 0.0021, 0)</f>
        <v>64.854199999999992</v>
      </c>
      <c r="E362" s="14">
        <f>64.7154 * CHOOSE(CONTROL!$C$9, $D$9, 100%, $F$9) + CHOOSE(CONTROL!$C$27, 0.0021, 0)</f>
        <v>64.717500000000001</v>
      </c>
      <c r="F362" s="14">
        <f>64.7154 * CHOOSE(CONTROL!$C$9, $D$9, 100%, $F$9) + CHOOSE(CONTROL!$C$27, 0.0021, 0)</f>
        <v>64.717500000000001</v>
      </c>
      <c r="G362" s="14">
        <f>64.9868 * CHOOSE(CONTROL!$C$9, $D$9, 100%, $F$9) + CHOOSE(CONTROL!$C$27, 0.0021, 0)</f>
        <v>64.988900000000001</v>
      </c>
      <c r="H362" s="14">
        <f>64.8521 * CHOOSE(CONTROL!$C$9, $D$9, 100%, $F$9) + CHOOSE(CONTROL!$C$27, 0.0021, 0)</f>
        <v>64.854199999999992</v>
      </c>
      <c r="I362" s="14">
        <f>64.8521 * CHOOSE(CONTROL!$C$9, $D$9, 100%, $F$9) + CHOOSE(CONTROL!$C$27, 0.0021, 0)</f>
        <v>64.854199999999992</v>
      </c>
      <c r="J362" s="14">
        <f>64.8521 * CHOOSE(CONTROL!$C$9, $D$9, 100%, $F$9) + CHOOSE(CONTROL!$C$27, 0.0021, 0)</f>
        <v>64.854199999999992</v>
      </c>
      <c r="K362" s="14">
        <f>64.8521 * CHOOSE(CONTROL!$C$9, $D$9, 100%, $F$9) + CHOOSE(CONTROL!$C$27, 0.0021, 0)</f>
        <v>64.854199999999992</v>
      </c>
      <c r="L362" s="14"/>
    </row>
    <row r="363" spans="1:12" ht="15.75" x14ac:dyDescent="0.25">
      <c r="A363" s="33">
        <v>51986</v>
      </c>
      <c r="B363" s="14">
        <f>64.3695 * CHOOSE(CONTROL!$C$9, $D$9, 100%, $F$9) + CHOOSE(CONTROL!$C$27, 0.0021, 0)</f>
        <v>64.371600000000001</v>
      </c>
      <c r="C363" s="14">
        <f>63.9373 * CHOOSE(CONTROL!$C$9, $D$9, 100%, $F$9) + CHOOSE(CONTROL!$C$27, 0.0021, 0)</f>
        <v>63.939399999999999</v>
      </c>
      <c r="D363" s="14">
        <f>63.9373 * CHOOSE(CONTROL!$C$9, $D$9, 100%, $F$9) + CHOOSE(CONTROL!$C$27, 0.0021, 0)</f>
        <v>63.939399999999999</v>
      </c>
      <c r="E363" s="14">
        <f>63.8006 * CHOOSE(CONTROL!$C$9, $D$9, 100%, $F$9) + CHOOSE(CONTROL!$C$27, 0.0021, 0)</f>
        <v>63.802700000000002</v>
      </c>
      <c r="F363" s="14">
        <f>63.8006 * CHOOSE(CONTROL!$C$9, $D$9, 100%, $F$9) + CHOOSE(CONTROL!$C$27, 0.0021, 0)</f>
        <v>63.802700000000002</v>
      </c>
      <c r="G363" s="14">
        <f>64.072 * CHOOSE(CONTROL!$C$9, $D$9, 100%, $F$9) + CHOOSE(CONTROL!$C$27, 0.0021, 0)</f>
        <v>64.074100000000001</v>
      </c>
      <c r="H363" s="14">
        <f>63.9373 * CHOOSE(CONTROL!$C$9, $D$9, 100%, $F$9) + CHOOSE(CONTROL!$C$27, 0.0021, 0)</f>
        <v>63.939399999999999</v>
      </c>
      <c r="I363" s="14">
        <f>63.9373 * CHOOSE(CONTROL!$C$9, $D$9, 100%, $F$9) + CHOOSE(CONTROL!$C$27, 0.0021, 0)</f>
        <v>63.939399999999999</v>
      </c>
      <c r="J363" s="14">
        <f>63.9373 * CHOOSE(CONTROL!$C$9, $D$9, 100%, $F$9) + CHOOSE(CONTROL!$C$27, 0.0021, 0)</f>
        <v>63.939399999999999</v>
      </c>
      <c r="K363" s="14">
        <f>63.9373 * CHOOSE(CONTROL!$C$9, $D$9, 100%, $F$9) + CHOOSE(CONTROL!$C$27, 0.0021, 0)</f>
        <v>63.939399999999999</v>
      </c>
      <c r="L363" s="14"/>
    </row>
    <row r="364" spans="1:12" ht="15.75" x14ac:dyDescent="0.25">
      <c r="A364" s="33">
        <v>52017</v>
      </c>
      <c r="B364" s="14">
        <f>65.6732 * CHOOSE(CONTROL!$C$9, $D$9, 100%, $F$9) + CHOOSE(CONTROL!$C$27, 0.0021, 0)</f>
        <v>65.675299999999993</v>
      </c>
      <c r="C364" s="14">
        <f>65.2409 * CHOOSE(CONTROL!$C$9, $D$9, 100%, $F$9) + CHOOSE(CONTROL!$C$27, 0.0021, 0)</f>
        <v>65.242999999999995</v>
      </c>
      <c r="D364" s="14">
        <f>65.2409 * CHOOSE(CONTROL!$C$9, $D$9, 100%, $F$9) + CHOOSE(CONTROL!$C$27, 0.0021, 0)</f>
        <v>65.242999999999995</v>
      </c>
      <c r="E364" s="14">
        <f>65.1043 * CHOOSE(CONTROL!$C$9, $D$9, 100%, $F$9) + CHOOSE(CONTROL!$C$27, 0.0021, 0)</f>
        <v>65.106399999999994</v>
      </c>
      <c r="F364" s="14">
        <f>65.1043 * CHOOSE(CONTROL!$C$9, $D$9, 100%, $F$9) + CHOOSE(CONTROL!$C$27, 0.0021, 0)</f>
        <v>65.106399999999994</v>
      </c>
      <c r="G364" s="14">
        <f>65.3757 * CHOOSE(CONTROL!$C$9, $D$9, 100%, $F$9) + CHOOSE(CONTROL!$C$27, 0.0021, 0)</f>
        <v>65.377799999999993</v>
      </c>
      <c r="H364" s="14">
        <f>65.2409 * CHOOSE(CONTROL!$C$9, $D$9, 100%, $F$9) + CHOOSE(CONTROL!$C$27, 0.0021, 0)</f>
        <v>65.242999999999995</v>
      </c>
      <c r="I364" s="14">
        <f>65.2409 * CHOOSE(CONTROL!$C$9, $D$9, 100%, $F$9) + CHOOSE(CONTROL!$C$27, 0.0021, 0)</f>
        <v>65.242999999999995</v>
      </c>
      <c r="J364" s="14">
        <f>65.2409 * CHOOSE(CONTROL!$C$9, $D$9, 100%, $F$9) + CHOOSE(CONTROL!$C$27, 0.0021, 0)</f>
        <v>65.242999999999995</v>
      </c>
      <c r="K364" s="14">
        <f>65.2409 * CHOOSE(CONTROL!$C$9, $D$9, 100%, $F$9) + CHOOSE(CONTROL!$C$27, 0.0021, 0)</f>
        <v>65.242999999999995</v>
      </c>
      <c r="L364" s="14"/>
    </row>
    <row r="365" spans="1:12" ht="15.75" x14ac:dyDescent="0.25">
      <c r="A365" s="33">
        <v>52047</v>
      </c>
      <c r="B365" s="14">
        <f>66.454 * CHOOSE(CONTROL!$C$9, $D$9, 100%, $F$9) + CHOOSE(CONTROL!$C$27, 0.0021, 0)</f>
        <v>66.456099999999992</v>
      </c>
      <c r="C365" s="14">
        <f>66.0218 * CHOOSE(CONTROL!$C$9, $D$9, 100%, $F$9) + CHOOSE(CONTROL!$C$27, 0.0021, 0)</f>
        <v>66.023899999999998</v>
      </c>
      <c r="D365" s="14">
        <f>66.0218 * CHOOSE(CONTROL!$C$9, $D$9, 100%, $F$9) + CHOOSE(CONTROL!$C$27, 0.0021, 0)</f>
        <v>66.023899999999998</v>
      </c>
      <c r="E365" s="14">
        <f>65.8851 * CHOOSE(CONTROL!$C$9, $D$9, 100%, $F$9) + CHOOSE(CONTROL!$C$27, 0.0021, 0)</f>
        <v>65.887199999999993</v>
      </c>
      <c r="F365" s="14">
        <f>65.8851 * CHOOSE(CONTROL!$C$9, $D$9, 100%, $F$9) + CHOOSE(CONTROL!$C$27, 0.0021, 0)</f>
        <v>65.887199999999993</v>
      </c>
      <c r="G365" s="14">
        <f>66.1565 * CHOOSE(CONTROL!$C$9, $D$9, 100%, $F$9) + CHOOSE(CONTROL!$C$27, 0.0021, 0)</f>
        <v>66.158599999999993</v>
      </c>
      <c r="H365" s="14">
        <f>66.0218 * CHOOSE(CONTROL!$C$9, $D$9, 100%, $F$9) + CHOOSE(CONTROL!$C$27, 0.0021, 0)</f>
        <v>66.023899999999998</v>
      </c>
      <c r="I365" s="14">
        <f>66.0218 * CHOOSE(CONTROL!$C$9, $D$9, 100%, $F$9) + CHOOSE(CONTROL!$C$27, 0.0021, 0)</f>
        <v>66.023899999999998</v>
      </c>
      <c r="J365" s="14">
        <f>66.0218 * CHOOSE(CONTROL!$C$9, $D$9, 100%, $F$9) + CHOOSE(CONTROL!$C$27, 0.0021, 0)</f>
        <v>66.023899999999998</v>
      </c>
      <c r="K365" s="14">
        <f>66.0218 * CHOOSE(CONTROL!$C$9, $D$9, 100%, $F$9) + CHOOSE(CONTROL!$C$27, 0.0021, 0)</f>
        <v>66.023899999999998</v>
      </c>
      <c r="L365" s="14"/>
    </row>
    <row r="366" spans="1:12" ht="15.75" x14ac:dyDescent="0.25">
      <c r="A366" s="33">
        <v>52078</v>
      </c>
      <c r="B366" s="14">
        <f>67.7421 * CHOOSE(CONTROL!$C$9, $D$9, 100%, $F$9) + CHOOSE(CONTROL!$C$27, 0.0021, 0)</f>
        <v>67.744199999999992</v>
      </c>
      <c r="C366" s="14">
        <f>67.3099 * CHOOSE(CONTROL!$C$9, $D$9, 100%, $F$9) + CHOOSE(CONTROL!$C$27, 0.0021, 0)</f>
        <v>67.311999999999998</v>
      </c>
      <c r="D366" s="14">
        <f>67.3099 * CHOOSE(CONTROL!$C$9, $D$9, 100%, $F$9) + CHOOSE(CONTROL!$C$27, 0.0021, 0)</f>
        <v>67.311999999999998</v>
      </c>
      <c r="E366" s="14">
        <f>67.1732 * CHOOSE(CONTROL!$C$9, $D$9, 100%, $F$9) + CHOOSE(CONTROL!$C$27, 0.0021, 0)</f>
        <v>67.175299999999993</v>
      </c>
      <c r="F366" s="14">
        <f>67.1732 * CHOOSE(CONTROL!$C$9, $D$9, 100%, $F$9) + CHOOSE(CONTROL!$C$27, 0.0021, 0)</f>
        <v>67.175299999999993</v>
      </c>
      <c r="G366" s="14">
        <f>67.4446 * CHOOSE(CONTROL!$C$9, $D$9, 100%, $F$9) + CHOOSE(CONTROL!$C$27, 0.0021, 0)</f>
        <v>67.446699999999993</v>
      </c>
      <c r="H366" s="14">
        <f>67.3099 * CHOOSE(CONTROL!$C$9, $D$9, 100%, $F$9) + CHOOSE(CONTROL!$C$27, 0.0021, 0)</f>
        <v>67.311999999999998</v>
      </c>
      <c r="I366" s="14">
        <f>67.3099 * CHOOSE(CONTROL!$C$9, $D$9, 100%, $F$9) + CHOOSE(CONTROL!$C$27, 0.0021, 0)</f>
        <v>67.311999999999998</v>
      </c>
      <c r="J366" s="14">
        <f>67.3099 * CHOOSE(CONTROL!$C$9, $D$9, 100%, $F$9) + CHOOSE(CONTROL!$C$27, 0.0021, 0)</f>
        <v>67.311999999999998</v>
      </c>
      <c r="K366" s="14">
        <f>67.3099 * CHOOSE(CONTROL!$C$9, $D$9, 100%, $F$9) + CHOOSE(CONTROL!$C$27, 0.0021, 0)</f>
        <v>67.311999999999998</v>
      </c>
      <c r="L366" s="14"/>
    </row>
    <row r="367" spans="1:12" ht="15.75" x14ac:dyDescent="0.25">
      <c r="A367" s="33">
        <v>52109</v>
      </c>
      <c r="B367" s="14">
        <f>68.1353 * CHOOSE(CONTROL!$C$9, $D$9, 100%, $F$9) + CHOOSE(CONTROL!$C$27, 0.0021, 0)</f>
        <v>68.1374</v>
      </c>
      <c r="C367" s="14">
        <f>67.703 * CHOOSE(CONTROL!$C$9, $D$9, 100%, $F$9) + CHOOSE(CONTROL!$C$27, 0.0021, 0)</f>
        <v>67.705100000000002</v>
      </c>
      <c r="D367" s="14">
        <f>67.703 * CHOOSE(CONTROL!$C$9, $D$9, 100%, $F$9) + CHOOSE(CONTROL!$C$27, 0.0021, 0)</f>
        <v>67.705100000000002</v>
      </c>
      <c r="E367" s="14">
        <f>67.5664 * CHOOSE(CONTROL!$C$9, $D$9, 100%, $F$9) + CHOOSE(CONTROL!$C$27, 0.0021, 0)</f>
        <v>67.5685</v>
      </c>
      <c r="F367" s="14">
        <f>67.5664 * CHOOSE(CONTROL!$C$9, $D$9, 100%, $F$9) + CHOOSE(CONTROL!$C$27, 0.0021, 0)</f>
        <v>67.5685</v>
      </c>
      <c r="G367" s="14">
        <f>67.8377 * CHOOSE(CONTROL!$C$9, $D$9, 100%, $F$9) + CHOOSE(CONTROL!$C$27, 0.0021, 0)</f>
        <v>67.839799999999997</v>
      </c>
      <c r="H367" s="14">
        <f>67.703 * CHOOSE(CONTROL!$C$9, $D$9, 100%, $F$9) + CHOOSE(CONTROL!$C$27, 0.0021, 0)</f>
        <v>67.705100000000002</v>
      </c>
      <c r="I367" s="14">
        <f>67.703 * CHOOSE(CONTROL!$C$9, $D$9, 100%, $F$9) + CHOOSE(CONTROL!$C$27, 0.0021, 0)</f>
        <v>67.705100000000002</v>
      </c>
      <c r="J367" s="14">
        <f>67.703 * CHOOSE(CONTROL!$C$9, $D$9, 100%, $F$9) + CHOOSE(CONTROL!$C$27, 0.0021, 0)</f>
        <v>67.705100000000002</v>
      </c>
      <c r="K367" s="14">
        <f>67.703 * CHOOSE(CONTROL!$C$9, $D$9, 100%, $F$9) + CHOOSE(CONTROL!$C$27, 0.0021, 0)</f>
        <v>67.705100000000002</v>
      </c>
      <c r="L367" s="14"/>
    </row>
    <row r="368" spans="1:12" ht="15.75" x14ac:dyDescent="0.25">
      <c r="A368" s="33">
        <v>52139</v>
      </c>
      <c r="B368" s="14">
        <f>69.4742 * CHOOSE(CONTROL!$C$9, $D$9, 100%, $F$9) + CHOOSE(CONTROL!$C$27, 0.0021, 0)</f>
        <v>69.476299999999995</v>
      </c>
      <c r="C368" s="14">
        <f>69.0419 * CHOOSE(CONTROL!$C$9, $D$9, 100%, $F$9) + CHOOSE(CONTROL!$C$27, 0.0021, 0)</f>
        <v>69.043999999999997</v>
      </c>
      <c r="D368" s="14">
        <f>69.0419 * CHOOSE(CONTROL!$C$9, $D$9, 100%, $F$9) + CHOOSE(CONTROL!$C$27, 0.0021, 0)</f>
        <v>69.043999999999997</v>
      </c>
      <c r="E368" s="14">
        <f>68.9053 * CHOOSE(CONTROL!$C$9, $D$9, 100%, $F$9) + CHOOSE(CONTROL!$C$27, 0.0021, 0)</f>
        <v>68.907399999999996</v>
      </c>
      <c r="F368" s="14">
        <f>68.9053 * CHOOSE(CONTROL!$C$9, $D$9, 100%, $F$9) + CHOOSE(CONTROL!$C$27, 0.0021, 0)</f>
        <v>68.907399999999996</v>
      </c>
      <c r="G368" s="14">
        <f>69.1767 * CHOOSE(CONTROL!$C$9, $D$9, 100%, $F$9) + CHOOSE(CONTROL!$C$27, 0.0021, 0)</f>
        <v>69.178799999999995</v>
      </c>
      <c r="H368" s="14">
        <f>69.0419 * CHOOSE(CONTROL!$C$9, $D$9, 100%, $F$9) + CHOOSE(CONTROL!$C$27, 0.0021, 0)</f>
        <v>69.043999999999997</v>
      </c>
      <c r="I368" s="14">
        <f>69.0419 * CHOOSE(CONTROL!$C$9, $D$9, 100%, $F$9) + CHOOSE(CONTROL!$C$27, 0.0021, 0)</f>
        <v>69.043999999999997</v>
      </c>
      <c r="J368" s="14">
        <f>69.0419 * CHOOSE(CONTROL!$C$9, $D$9, 100%, $F$9) + CHOOSE(CONTROL!$C$27, 0.0021, 0)</f>
        <v>69.043999999999997</v>
      </c>
      <c r="K368" s="14">
        <f>69.0419 * CHOOSE(CONTROL!$C$9, $D$9, 100%, $F$9) + CHOOSE(CONTROL!$C$27, 0.0021, 0)</f>
        <v>69.043999999999997</v>
      </c>
      <c r="L368" s="14"/>
    </row>
    <row r="369" spans="1:12" ht="15.75" x14ac:dyDescent="0.25">
      <c r="A369" s="33">
        <v>52170</v>
      </c>
      <c r="B369" s="14">
        <f>71.169 * CHOOSE(CONTROL!$C$9, $D$9, 100%, $F$9) + CHOOSE(CONTROL!$C$27, 0.0021, 0)</f>
        <v>71.171099999999996</v>
      </c>
      <c r="C369" s="14">
        <f>70.7368 * CHOOSE(CONTROL!$C$9, $D$9, 100%, $F$9) + CHOOSE(CONTROL!$C$27, 0.0021, 0)</f>
        <v>70.738900000000001</v>
      </c>
      <c r="D369" s="14">
        <f>70.7368 * CHOOSE(CONTROL!$C$9, $D$9, 100%, $F$9) + CHOOSE(CONTROL!$C$27, 0.0021, 0)</f>
        <v>70.738900000000001</v>
      </c>
      <c r="E369" s="14">
        <f>70.6001 * CHOOSE(CONTROL!$C$9, $D$9, 100%, $F$9) + CHOOSE(CONTROL!$C$27, 0.0021, 0)</f>
        <v>70.602199999999996</v>
      </c>
      <c r="F369" s="14">
        <f>70.6001 * CHOOSE(CONTROL!$C$9, $D$9, 100%, $F$9) + CHOOSE(CONTROL!$C$27, 0.0021, 0)</f>
        <v>70.602199999999996</v>
      </c>
      <c r="G369" s="14">
        <f>70.8715 * CHOOSE(CONTROL!$C$9, $D$9, 100%, $F$9) + CHOOSE(CONTROL!$C$27, 0.0021, 0)</f>
        <v>70.873599999999996</v>
      </c>
      <c r="H369" s="14">
        <f>70.7368 * CHOOSE(CONTROL!$C$9, $D$9, 100%, $F$9) + CHOOSE(CONTROL!$C$27, 0.0021, 0)</f>
        <v>70.738900000000001</v>
      </c>
      <c r="I369" s="14">
        <f>70.7368 * CHOOSE(CONTROL!$C$9, $D$9, 100%, $F$9) + CHOOSE(CONTROL!$C$27, 0.0021, 0)</f>
        <v>70.738900000000001</v>
      </c>
      <c r="J369" s="14">
        <f>70.7368 * CHOOSE(CONTROL!$C$9, $D$9, 100%, $F$9) + CHOOSE(CONTROL!$C$27, 0.0021, 0)</f>
        <v>70.738900000000001</v>
      </c>
      <c r="K369" s="14">
        <f>70.7368 * CHOOSE(CONTROL!$C$9, $D$9, 100%, $F$9) + CHOOSE(CONTROL!$C$27, 0.0021, 0)</f>
        <v>70.738900000000001</v>
      </c>
      <c r="L369" s="14"/>
    </row>
    <row r="370" spans="1:12" ht="15.75" x14ac:dyDescent="0.25">
      <c r="A370" s="33">
        <v>52200</v>
      </c>
      <c r="B370" s="14">
        <f>71.3281 * CHOOSE(CONTROL!$C$9, $D$9, 100%, $F$9) + CHOOSE(CONTROL!$C$27, 0.0021, 0)</f>
        <v>71.330200000000005</v>
      </c>
      <c r="C370" s="14">
        <f>70.8959 * CHOOSE(CONTROL!$C$9, $D$9, 100%, $F$9) + CHOOSE(CONTROL!$C$27, 0.0021, 0)</f>
        <v>70.897999999999996</v>
      </c>
      <c r="D370" s="14">
        <f>70.8959 * CHOOSE(CONTROL!$C$9, $D$9, 100%, $F$9) + CHOOSE(CONTROL!$C$27, 0.0021, 0)</f>
        <v>70.897999999999996</v>
      </c>
      <c r="E370" s="14">
        <f>70.7592 * CHOOSE(CONTROL!$C$9, $D$9, 100%, $F$9) + CHOOSE(CONTROL!$C$27, 0.0021, 0)</f>
        <v>70.761300000000006</v>
      </c>
      <c r="F370" s="14">
        <f>70.7592 * CHOOSE(CONTROL!$C$9, $D$9, 100%, $F$9) + CHOOSE(CONTROL!$C$27, 0.0021, 0)</f>
        <v>70.761300000000006</v>
      </c>
      <c r="G370" s="14">
        <f>71.0306 * CHOOSE(CONTROL!$C$9, $D$9, 100%, $F$9) + CHOOSE(CONTROL!$C$27, 0.0021, 0)</f>
        <v>71.032700000000006</v>
      </c>
      <c r="H370" s="14">
        <f>70.8959 * CHOOSE(CONTROL!$C$9, $D$9, 100%, $F$9) + CHOOSE(CONTROL!$C$27, 0.0021, 0)</f>
        <v>70.897999999999996</v>
      </c>
      <c r="I370" s="14">
        <f>70.8959 * CHOOSE(CONTROL!$C$9, $D$9, 100%, $F$9) + CHOOSE(CONTROL!$C$27, 0.0021, 0)</f>
        <v>70.897999999999996</v>
      </c>
      <c r="J370" s="14">
        <f>70.8959 * CHOOSE(CONTROL!$C$9, $D$9, 100%, $F$9) + CHOOSE(CONTROL!$C$27, 0.0021, 0)</f>
        <v>70.897999999999996</v>
      </c>
      <c r="K370" s="14">
        <f>70.8959 * CHOOSE(CONTROL!$C$9, $D$9, 100%, $F$9) + CHOOSE(CONTROL!$C$27, 0.0021, 0)</f>
        <v>70.897999999999996</v>
      </c>
      <c r="L370" s="14"/>
    </row>
    <row r="371" spans="1:12" ht="15.75" x14ac:dyDescent="0.25">
      <c r="A371" s="33">
        <v>52231</v>
      </c>
      <c r="B371" s="14">
        <f>69.9745 * CHOOSE(CONTROL!$C$9, $D$9, 100%, $F$9) + CHOOSE(CONTROL!$C$27, 0.0021, 0)</f>
        <v>69.976600000000005</v>
      </c>
      <c r="C371" s="14">
        <f>69.5423 * CHOOSE(CONTROL!$C$9, $D$9, 100%, $F$9) + CHOOSE(CONTROL!$C$27, 0.0021, 0)</f>
        <v>69.544399999999996</v>
      </c>
      <c r="D371" s="14">
        <f>69.5423 * CHOOSE(CONTROL!$C$9, $D$9, 100%, $F$9) + CHOOSE(CONTROL!$C$27, 0.0021, 0)</f>
        <v>69.544399999999996</v>
      </c>
      <c r="E371" s="14">
        <f>69.4056 * CHOOSE(CONTROL!$C$9, $D$9, 100%, $F$9) + CHOOSE(CONTROL!$C$27, 0.0021, 0)</f>
        <v>69.407700000000006</v>
      </c>
      <c r="F371" s="14">
        <f>69.4056 * CHOOSE(CONTROL!$C$9, $D$9, 100%, $F$9) + CHOOSE(CONTROL!$C$27, 0.0021, 0)</f>
        <v>69.407700000000006</v>
      </c>
      <c r="G371" s="14">
        <f>69.677 * CHOOSE(CONTROL!$C$9, $D$9, 100%, $F$9) + CHOOSE(CONTROL!$C$27, 0.0021, 0)</f>
        <v>69.679100000000005</v>
      </c>
      <c r="H371" s="14">
        <f>69.5423 * CHOOSE(CONTROL!$C$9, $D$9, 100%, $F$9) + CHOOSE(CONTROL!$C$27, 0.0021, 0)</f>
        <v>69.544399999999996</v>
      </c>
      <c r="I371" s="14">
        <f>69.5423 * CHOOSE(CONTROL!$C$9, $D$9, 100%, $F$9) + CHOOSE(CONTROL!$C$27, 0.0021, 0)</f>
        <v>69.544399999999996</v>
      </c>
      <c r="J371" s="14">
        <f>69.5423 * CHOOSE(CONTROL!$C$9, $D$9, 100%, $F$9) + CHOOSE(CONTROL!$C$27, 0.0021, 0)</f>
        <v>69.544399999999996</v>
      </c>
      <c r="K371" s="14">
        <f>69.5423 * CHOOSE(CONTROL!$C$9, $D$9, 100%, $F$9) + CHOOSE(CONTROL!$C$27, 0.0021, 0)</f>
        <v>69.544399999999996</v>
      </c>
      <c r="L371" s="14"/>
    </row>
    <row r="372" spans="1:12" ht="15.75" x14ac:dyDescent="0.25">
      <c r="A372" s="33">
        <v>52262</v>
      </c>
      <c r="B372" s="14">
        <f>69.1189 * CHOOSE(CONTROL!$C$9, $D$9, 100%, $F$9) + CHOOSE(CONTROL!$C$27, 0.0021, 0)</f>
        <v>69.120999999999995</v>
      </c>
      <c r="C372" s="14">
        <f>68.6867 * CHOOSE(CONTROL!$C$9, $D$9, 100%, $F$9) + CHOOSE(CONTROL!$C$27, 0.0021, 0)</f>
        <v>68.688800000000001</v>
      </c>
      <c r="D372" s="14">
        <f>68.6867 * CHOOSE(CONTROL!$C$9, $D$9, 100%, $F$9) + CHOOSE(CONTROL!$C$27, 0.0021, 0)</f>
        <v>68.688800000000001</v>
      </c>
      <c r="E372" s="14">
        <f>68.55 * CHOOSE(CONTROL!$C$9, $D$9, 100%, $F$9) + CHOOSE(CONTROL!$C$27, 0.0021, 0)</f>
        <v>68.552099999999996</v>
      </c>
      <c r="F372" s="14">
        <f>68.55 * CHOOSE(CONTROL!$C$9, $D$9, 100%, $F$9) + CHOOSE(CONTROL!$C$27, 0.0021, 0)</f>
        <v>68.552099999999996</v>
      </c>
      <c r="G372" s="14">
        <f>68.8214 * CHOOSE(CONTROL!$C$9, $D$9, 100%, $F$9) + CHOOSE(CONTROL!$C$27, 0.0021, 0)</f>
        <v>68.823499999999996</v>
      </c>
      <c r="H372" s="14">
        <f>68.6867 * CHOOSE(CONTROL!$C$9, $D$9, 100%, $F$9) + CHOOSE(CONTROL!$C$27, 0.0021, 0)</f>
        <v>68.688800000000001</v>
      </c>
      <c r="I372" s="14">
        <f>68.6867 * CHOOSE(CONTROL!$C$9, $D$9, 100%, $F$9) + CHOOSE(CONTROL!$C$27, 0.0021, 0)</f>
        <v>68.688800000000001</v>
      </c>
      <c r="J372" s="14">
        <f>68.6867 * CHOOSE(CONTROL!$C$9, $D$9, 100%, $F$9) + CHOOSE(CONTROL!$C$27, 0.0021, 0)</f>
        <v>68.688800000000001</v>
      </c>
      <c r="K372" s="14">
        <f>68.6867 * CHOOSE(CONTROL!$C$9, $D$9, 100%, $F$9) + CHOOSE(CONTROL!$C$27, 0.0021, 0)</f>
        <v>68.688800000000001</v>
      </c>
      <c r="L372" s="14"/>
    </row>
    <row r="373" spans="1:12" ht="15.75" x14ac:dyDescent="0.25">
      <c r="A373" s="33">
        <v>52290</v>
      </c>
      <c r="B373" s="14">
        <f>67.2287 * CHOOSE(CONTROL!$C$9, $D$9, 100%, $F$9) + CHOOSE(CONTROL!$C$27, 0.0021, 0)</f>
        <v>67.230800000000002</v>
      </c>
      <c r="C373" s="14">
        <f>66.7965 * CHOOSE(CONTROL!$C$9, $D$9, 100%, $F$9) + CHOOSE(CONTROL!$C$27, 0.0021, 0)</f>
        <v>66.798599999999993</v>
      </c>
      <c r="D373" s="14">
        <f>66.7965 * CHOOSE(CONTROL!$C$9, $D$9, 100%, $F$9) + CHOOSE(CONTROL!$C$27, 0.0021, 0)</f>
        <v>66.798599999999993</v>
      </c>
      <c r="E373" s="14">
        <f>66.6598 * CHOOSE(CONTROL!$C$9, $D$9, 100%, $F$9) + CHOOSE(CONTROL!$C$27, 0.0021, 0)</f>
        <v>66.661900000000003</v>
      </c>
      <c r="F373" s="14">
        <f>66.6598 * CHOOSE(CONTROL!$C$9, $D$9, 100%, $F$9) + CHOOSE(CONTROL!$C$27, 0.0021, 0)</f>
        <v>66.661900000000003</v>
      </c>
      <c r="G373" s="14">
        <f>66.9312 * CHOOSE(CONTROL!$C$9, $D$9, 100%, $F$9) + CHOOSE(CONTROL!$C$27, 0.0021, 0)</f>
        <v>66.933300000000003</v>
      </c>
      <c r="H373" s="14">
        <f>66.7965 * CHOOSE(CONTROL!$C$9, $D$9, 100%, $F$9) + CHOOSE(CONTROL!$C$27, 0.0021, 0)</f>
        <v>66.798599999999993</v>
      </c>
      <c r="I373" s="14">
        <f>66.7965 * CHOOSE(CONTROL!$C$9, $D$9, 100%, $F$9) + CHOOSE(CONTROL!$C$27, 0.0021, 0)</f>
        <v>66.798599999999993</v>
      </c>
      <c r="J373" s="14">
        <f>66.7965 * CHOOSE(CONTROL!$C$9, $D$9, 100%, $F$9) + CHOOSE(CONTROL!$C$27, 0.0021, 0)</f>
        <v>66.798599999999993</v>
      </c>
      <c r="K373" s="14">
        <f>66.7965 * CHOOSE(CONTROL!$C$9, $D$9, 100%, $F$9) + CHOOSE(CONTROL!$C$27, 0.0021, 0)</f>
        <v>66.798599999999993</v>
      </c>
      <c r="L373" s="14"/>
    </row>
    <row r="374" spans="1:12" ht="15.75" x14ac:dyDescent="0.25">
      <c r="A374" s="33">
        <v>52321</v>
      </c>
      <c r="B374" s="14">
        <f>66.4484 * CHOOSE(CONTROL!$C$9, $D$9, 100%, $F$9) + CHOOSE(CONTROL!$C$27, 0.0021, 0)</f>
        <v>66.450500000000005</v>
      </c>
      <c r="C374" s="14">
        <f>66.0162 * CHOOSE(CONTROL!$C$9, $D$9, 100%, $F$9) + CHOOSE(CONTROL!$C$27, 0.0021, 0)</f>
        <v>66.018299999999996</v>
      </c>
      <c r="D374" s="14">
        <f>66.0162 * CHOOSE(CONTROL!$C$9, $D$9, 100%, $F$9) + CHOOSE(CONTROL!$C$27, 0.0021, 0)</f>
        <v>66.018299999999996</v>
      </c>
      <c r="E374" s="14">
        <f>65.8795 * CHOOSE(CONTROL!$C$9, $D$9, 100%, $F$9) + CHOOSE(CONTROL!$C$27, 0.0021, 0)</f>
        <v>65.881599999999992</v>
      </c>
      <c r="F374" s="14">
        <f>65.8795 * CHOOSE(CONTROL!$C$9, $D$9, 100%, $F$9) + CHOOSE(CONTROL!$C$27, 0.0021, 0)</f>
        <v>65.881599999999992</v>
      </c>
      <c r="G374" s="14">
        <f>66.1509 * CHOOSE(CONTROL!$C$9, $D$9, 100%, $F$9) + CHOOSE(CONTROL!$C$27, 0.0021, 0)</f>
        <v>66.152999999999992</v>
      </c>
      <c r="H374" s="14">
        <f>66.0162 * CHOOSE(CONTROL!$C$9, $D$9, 100%, $F$9) + CHOOSE(CONTROL!$C$27, 0.0021, 0)</f>
        <v>66.018299999999996</v>
      </c>
      <c r="I374" s="14">
        <f>66.0162 * CHOOSE(CONTROL!$C$9, $D$9, 100%, $F$9) + CHOOSE(CONTROL!$C$27, 0.0021, 0)</f>
        <v>66.018299999999996</v>
      </c>
      <c r="J374" s="14">
        <f>66.0162 * CHOOSE(CONTROL!$C$9, $D$9, 100%, $F$9) + CHOOSE(CONTROL!$C$27, 0.0021, 0)</f>
        <v>66.018299999999996</v>
      </c>
      <c r="K374" s="14">
        <f>66.0162 * CHOOSE(CONTROL!$C$9, $D$9, 100%, $F$9) + CHOOSE(CONTROL!$C$27, 0.0021, 0)</f>
        <v>66.018299999999996</v>
      </c>
      <c r="L374" s="14"/>
    </row>
    <row r="375" spans="1:12" ht="15.75" x14ac:dyDescent="0.25">
      <c r="A375" s="33">
        <v>52351</v>
      </c>
      <c r="B375" s="14">
        <f>65.5168 * CHOOSE(CONTROL!$C$9, $D$9, 100%, $F$9) + CHOOSE(CONTROL!$C$27, 0.0021, 0)</f>
        <v>65.518900000000002</v>
      </c>
      <c r="C375" s="14">
        <f>65.0845 * CHOOSE(CONTROL!$C$9, $D$9, 100%, $F$9) + CHOOSE(CONTROL!$C$27, 0.0021, 0)</f>
        <v>65.086600000000004</v>
      </c>
      <c r="D375" s="14">
        <f>65.0845 * CHOOSE(CONTROL!$C$9, $D$9, 100%, $F$9) + CHOOSE(CONTROL!$C$27, 0.0021, 0)</f>
        <v>65.086600000000004</v>
      </c>
      <c r="E375" s="14">
        <f>64.9479 * CHOOSE(CONTROL!$C$9, $D$9, 100%, $F$9) + CHOOSE(CONTROL!$C$27, 0.0021, 0)</f>
        <v>64.95</v>
      </c>
      <c r="F375" s="14">
        <f>64.9479 * CHOOSE(CONTROL!$C$9, $D$9, 100%, $F$9) + CHOOSE(CONTROL!$C$27, 0.0021, 0)</f>
        <v>64.95</v>
      </c>
      <c r="G375" s="14">
        <f>65.2192 * CHOOSE(CONTROL!$C$9, $D$9, 100%, $F$9) + CHOOSE(CONTROL!$C$27, 0.0021, 0)</f>
        <v>65.221299999999999</v>
      </c>
      <c r="H375" s="14">
        <f>65.0845 * CHOOSE(CONTROL!$C$9, $D$9, 100%, $F$9) + CHOOSE(CONTROL!$C$27, 0.0021, 0)</f>
        <v>65.086600000000004</v>
      </c>
      <c r="I375" s="14">
        <f>65.0845 * CHOOSE(CONTROL!$C$9, $D$9, 100%, $F$9) + CHOOSE(CONTROL!$C$27, 0.0021, 0)</f>
        <v>65.086600000000004</v>
      </c>
      <c r="J375" s="14">
        <f>65.0845 * CHOOSE(CONTROL!$C$9, $D$9, 100%, $F$9) + CHOOSE(CONTROL!$C$27, 0.0021, 0)</f>
        <v>65.086600000000004</v>
      </c>
      <c r="K375" s="14">
        <f>65.0845 * CHOOSE(CONTROL!$C$9, $D$9, 100%, $F$9) + CHOOSE(CONTROL!$C$27, 0.0021, 0)</f>
        <v>65.086600000000004</v>
      </c>
      <c r="L375" s="14"/>
    </row>
    <row r="376" spans="1:12" ht="15.75" x14ac:dyDescent="0.25">
      <c r="A376" s="33">
        <v>52382</v>
      </c>
      <c r="B376" s="14">
        <f>66.8445 * CHOOSE(CONTROL!$C$9, $D$9, 100%, $F$9) + CHOOSE(CONTROL!$C$27, 0.0021, 0)</f>
        <v>66.846599999999995</v>
      </c>
      <c r="C376" s="14">
        <f>66.4123 * CHOOSE(CONTROL!$C$9, $D$9, 100%, $F$9) + CHOOSE(CONTROL!$C$27, 0.0021, 0)</f>
        <v>66.414400000000001</v>
      </c>
      <c r="D376" s="14">
        <f>66.4123 * CHOOSE(CONTROL!$C$9, $D$9, 100%, $F$9) + CHOOSE(CONTROL!$C$27, 0.0021, 0)</f>
        <v>66.414400000000001</v>
      </c>
      <c r="E376" s="14">
        <f>66.2756 * CHOOSE(CONTROL!$C$9, $D$9, 100%, $F$9) + CHOOSE(CONTROL!$C$27, 0.0021, 0)</f>
        <v>66.277699999999996</v>
      </c>
      <c r="F376" s="14">
        <f>66.2756 * CHOOSE(CONTROL!$C$9, $D$9, 100%, $F$9) + CHOOSE(CONTROL!$C$27, 0.0021, 0)</f>
        <v>66.277699999999996</v>
      </c>
      <c r="G376" s="14">
        <f>66.547 * CHOOSE(CONTROL!$C$9, $D$9, 100%, $F$9) + CHOOSE(CONTROL!$C$27, 0.0021, 0)</f>
        <v>66.549099999999996</v>
      </c>
      <c r="H376" s="14">
        <f>66.4123 * CHOOSE(CONTROL!$C$9, $D$9, 100%, $F$9) + CHOOSE(CONTROL!$C$27, 0.0021, 0)</f>
        <v>66.414400000000001</v>
      </c>
      <c r="I376" s="14">
        <f>66.4123 * CHOOSE(CONTROL!$C$9, $D$9, 100%, $F$9) + CHOOSE(CONTROL!$C$27, 0.0021, 0)</f>
        <v>66.414400000000001</v>
      </c>
      <c r="J376" s="14">
        <f>66.4123 * CHOOSE(CONTROL!$C$9, $D$9, 100%, $F$9) + CHOOSE(CONTROL!$C$27, 0.0021, 0)</f>
        <v>66.414400000000001</v>
      </c>
      <c r="K376" s="14">
        <f>66.4123 * CHOOSE(CONTROL!$C$9, $D$9, 100%, $F$9) + CHOOSE(CONTROL!$C$27, 0.0021, 0)</f>
        <v>66.414400000000001</v>
      </c>
      <c r="L376" s="14"/>
    </row>
    <row r="377" spans="1:12" ht="15.75" x14ac:dyDescent="0.25">
      <c r="A377" s="33">
        <v>52412</v>
      </c>
      <c r="B377" s="14">
        <f>67.6398 * CHOOSE(CONTROL!$C$9, $D$9, 100%, $F$9) + CHOOSE(CONTROL!$C$27, 0.0021, 0)</f>
        <v>67.641899999999993</v>
      </c>
      <c r="C377" s="14">
        <f>67.2075 * CHOOSE(CONTROL!$C$9, $D$9, 100%, $F$9) + CHOOSE(CONTROL!$C$27, 0.0021, 0)</f>
        <v>67.209599999999995</v>
      </c>
      <c r="D377" s="14">
        <f>67.2075 * CHOOSE(CONTROL!$C$9, $D$9, 100%, $F$9) + CHOOSE(CONTROL!$C$27, 0.0021, 0)</f>
        <v>67.209599999999995</v>
      </c>
      <c r="E377" s="14">
        <f>67.0709 * CHOOSE(CONTROL!$C$9, $D$9, 100%, $F$9) + CHOOSE(CONTROL!$C$27, 0.0021, 0)</f>
        <v>67.072999999999993</v>
      </c>
      <c r="F377" s="14">
        <f>67.0709 * CHOOSE(CONTROL!$C$9, $D$9, 100%, $F$9) + CHOOSE(CONTROL!$C$27, 0.0021, 0)</f>
        <v>67.072999999999993</v>
      </c>
      <c r="G377" s="14">
        <f>67.3422 * CHOOSE(CONTROL!$C$9, $D$9, 100%, $F$9) + CHOOSE(CONTROL!$C$27, 0.0021, 0)</f>
        <v>67.344300000000004</v>
      </c>
      <c r="H377" s="14">
        <f>67.2075 * CHOOSE(CONTROL!$C$9, $D$9, 100%, $F$9) + CHOOSE(CONTROL!$C$27, 0.0021, 0)</f>
        <v>67.209599999999995</v>
      </c>
      <c r="I377" s="14">
        <f>67.2075 * CHOOSE(CONTROL!$C$9, $D$9, 100%, $F$9) + CHOOSE(CONTROL!$C$27, 0.0021, 0)</f>
        <v>67.209599999999995</v>
      </c>
      <c r="J377" s="14">
        <f>67.2075 * CHOOSE(CONTROL!$C$9, $D$9, 100%, $F$9) + CHOOSE(CONTROL!$C$27, 0.0021, 0)</f>
        <v>67.209599999999995</v>
      </c>
      <c r="K377" s="14">
        <f>67.2075 * CHOOSE(CONTROL!$C$9, $D$9, 100%, $F$9) + CHOOSE(CONTROL!$C$27, 0.0021, 0)</f>
        <v>67.209599999999995</v>
      </c>
      <c r="L377" s="14"/>
    </row>
    <row r="378" spans="1:12" ht="15.75" x14ac:dyDescent="0.25">
      <c r="A378" s="33">
        <v>52443</v>
      </c>
      <c r="B378" s="14">
        <f>68.9517 * CHOOSE(CONTROL!$C$9, $D$9, 100%, $F$9) + CHOOSE(CONTROL!$C$27, 0.0021, 0)</f>
        <v>68.953800000000001</v>
      </c>
      <c r="C378" s="14">
        <f>68.5194 * CHOOSE(CONTROL!$C$9, $D$9, 100%, $F$9) + CHOOSE(CONTROL!$C$27, 0.0021, 0)</f>
        <v>68.521500000000003</v>
      </c>
      <c r="D378" s="14">
        <f>68.5194 * CHOOSE(CONTROL!$C$9, $D$9, 100%, $F$9) + CHOOSE(CONTROL!$C$27, 0.0021, 0)</f>
        <v>68.521500000000003</v>
      </c>
      <c r="E378" s="14">
        <f>68.3828 * CHOOSE(CONTROL!$C$9, $D$9, 100%, $F$9) + CHOOSE(CONTROL!$C$27, 0.0021, 0)</f>
        <v>68.384900000000002</v>
      </c>
      <c r="F378" s="14">
        <f>68.3828 * CHOOSE(CONTROL!$C$9, $D$9, 100%, $F$9) + CHOOSE(CONTROL!$C$27, 0.0021, 0)</f>
        <v>68.384900000000002</v>
      </c>
      <c r="G378" s="14">
        <f>68.6541 * CHOOSE(CONTROL!$C$9, $D$9, 100%, $F$9) + CHOOSE(CONTROL!$C$27, 0.0021, 0)</f>
        <v>68.656199999999998</v>
      </c>
      <c r="H378" s="14">
        <f>68.5194 * CHOOSE(CONTROL!$C$9, $D$9, 100%, $F$9) + CHOOSE(CONTROL!$C$27, 0.0021, 0)</f>
        <v>68.521500000000003</v>
      </c>
      <c r="I378" s="14">
        <f>68.5194 * CHOOSE(CONTROL!$C$9, $D$9, 100%, $F$9) + CHOOSE(CONTROL!$C$27, 0.0021, 0)</f>
        <v>68.521500000000003</v>
      </c>
      <c r="J378" s="14">
        <f>68.5194 * CHOOSE(CONTROL!$C$9, $D$9, 100%, $F$9) + CHOOSE(CONTROL!$C$27, 0.0021, 0)</f>
        <v>68.521500000000003</v>
      </c>
      <c r="K378" s="14">
        <f>68.5194 * CHOOSE(CONTROL!$C$9, $D$9, 100%, $F$9) + CHOOSE(CONTROL!$C$27, 0.0021, 0)</f>
        <v>68.521500000000003</v>
      </c>
      <c r="L378" s="14"/>
    </row>
    <row r="379" spans="1:12" ht="15.75" x14ac:dyDescent="0.25">
      <c r="A379" s="33">
        <v>52474</v>
      </c>
      <c r="B379" s="14">
        <f>69.3521 * CHOOSE(CONTROL!$C$9, $D$9, 100%, $F$9) + CHOOSE(CONTROL!$C$27, 0.0021, 0)</f>
        <v>69.354199999999992</v>
      </c>
      <c r="C379" s="14">
        <f>68.9199 * CHOOSE(CONTROL!$C$9, $D$9, 100%, $F$9) + CHOOSE(CONTROL!$C$27, 0.0021, 0)</f>
        <v>68.921999999999997</v>
      </c>
      <c r="D379" s="14">
        <f>68.9199 * CHOOSE(CONTROL!$C$9, $D$9, 100%, $F$9) + CHOOSE(CONTROL!$C$27, 0.0021, 0)</f>
        <v>68.921999999999997</v>
      </c>
      <c r="E379" s="14">
        <f>68.7832 * CHOOSE(CONTROL!$C$9, $D$9, 100%, $F$9) + CHOOSE(CONTROL!$C$27, 0.0021, 0)</f>
        <v>68.785299999999992</v>
      </c>
      <c r="F379" s="14">
        <f>68.7832 * CHOOSE(CONTROL!$C$9, $D$9, 100%, $F$9) + CHOOSE(CONTROL!$C$27, 0.0021, 0)</f>
        <v>68.785299999999992</v>
      </c>
      <c r="G379" s="14">
        <f>69.0546 * CHOOSE(CONTROL!$C$9, $D$9, 100%, $F$9) + CHOOSE(CONTROL!$C$27, 0.0021, 0)</f>
        <v>69.056699999999992</v>
      </c>
      <c r="H379" s="14">
        <f>68.9199 * CHOOSE(CONTROL!$C$9, $D$9, 100%, $F$9) + CHOOSE(CONTROL!$C$27, 0.0021, 0)</f>
        <v>68.921999999999997</v>
      </c>
      <c r="I379" s="14">
        <f>68.9199 * CHOOSE(CONTROL!$C$9, $D$9, 100%, $F$9) + CHOOSE(CONTROL!$C$27, 0.0021, 0)</f>
        <v>68.921999999999997</v>
      </c>
      <c r="J379" s="14">
        <f>68.9199 * CHOOSE(CONTROL!$C$9, $D$9, 100%, $F$9) + CHOOSE(CONTROL!$C$27, 0.0021, 0)</f>
        <v>68.921999999999997</v>
      </c>
      <c r="K379" s="14">
        <f>68.9199 * CHOOSE(CONTROL!$C$9, $D$9, 100%, $F$9) + CHOOSE(CONTROL!$C$27, 0.0021, 0)</f>
        <v>68.921999999999997</v>
      </c>
      <c r="L379" s="14"/>
    </row>
    <row r="380" spans="1:12" ht="15.75" x14ac:dyDescent="0.25">
      <c r="A380" s="33">
        <v>52504</v>
      </c>
      <c r="B380" s="14">
        <f>70.7158 * CHOOSE(CONTROL!$C$9, $D$9, 100%, $F$9) + CHOOSE(CONTROL!$C$27, 0.0021, 0)</f>
        <v>70.7179</v>
      </c>
      <c r="C380" s="14">
        <f>70.2835 * CHOOSE(CONTROL!$C$9, $D$9, 100%, $F$9) + CHOOSE(CONTROL!$C$27, 0.0021, 0)</f>
        <v>70.285600000000002</v>
      </c>
      <c r="D380" s="14">
        <f>70.2835 * CHOOSE(CONTROL!$C$9, $D$9, 100%, $F$9) + CHOOSE(CONTROL!$C$27, 0.0021, 0)</f>
        <v>70.285600000000002</v>
      </c>
      <c r="E380" s="14">
        <f>70.1469 * CHOOSE(CONTROL!$C$9, $D$9, 100%, $F$9) + CHOOSE(CONTROL!$C$27, 0.0021, 0)</f>
        <v>70.149000000000001</v>
      </c>
      <c r="F380" s="14">
        <f>70.1469 * CHOOSE(CONTROL!$C$9, $D$9, 100%, $F$9) + CHOOSE(CONTROL!$C$27, 0.0021, 0)</f>
        <v>70.149000000000001</v>
      </c>
      <c r="G380" s="14">
        <f>70.4182 * CHOOSE(CONTROL!$C$9, $D$9, 100%, $F$9) + CHOOSE(CONTROL!$C$27, 0.0021, 0)</f>
        <v>70.420299999999997</v>
      </c>
      <c r="H380" s="14">
        <f>70.2835 * CHOOSE(CONTROL!$C$9, $D$9, 100%, $F$9) + CHOOSE(CONTROL!$C$27, 0.0021, 0)</f>
        <v>70.285600000000002</v>
      </c>
      <c r="I380" s="14">
        <f>70.2835 * CHOOSE(CONTROL!$C$9, $D$9, 100%, $F$9) + CHOOSE(CONTROL!$C$27, 0.0021, 0)</f>
        <v>70.285600000000002</v>
      </c>
      <c r="J380" s="14">
        <f>70.2835 * CHOOSE(CONTROL!$C$9, $D$9, 100%, $F$9) + CHOOSE(CONTROL!$C$27, 0.0021, 0)</f>
        <v>70.285600000000002</v>
      </c>
      <c r="K380" s="14">
        <f>70.2835 * CHOOSE(CONTROL!$C$9, $D$9, 100%, $F$9) + CHOOSE(CONTROL!$C$27, 0.0021, 0)</f>
        <v>70.285600000000002</v>
      </c>
      <c r="L380" s="14"/>
    </row>
    <row r="381" spans="1:12" ht="15.75" x14ac:dyDescent="0.25">
      <c r="A381" s="33">
        <v>52535</v>
      </c>
      <c r="B381" s="14">
        <f>72.4419 * CHOOSE(CONTROL!$C$9, $D$9, 100%, $F$9) + CHOOSE(CONTROL!$C$27, 0.0021, 0)</f>
        <v>72.444000000000003</v>
      </c>
      <c r="C381" s="14">
        <f>72.0097 * CHOOSE(CONTROL!$C$9, $D$9, 100%, $F$9) + CHOOSE(CONTROL!$C$27, 0.0021, 0)</f>
        <v>72.011799999999994</v>
      </c>
      <c r="D381" s="14">
        <f>72.0097 * CHOOSE(CONTROL!$C$9, $D$9, 100%, $F$9) + CHOOSE(CONTROL!$C$27, 0.0021, 0)</f>
        <v>72.011799999999994</v>
      </c>
      <c r="E381" s="14">
        <f>71.873 * CHOOSE(CONTROL!$C$9, $D$9, 100%, $F$9) + CHOOSE(CONTROL!$C$27, 0.0021, 0)</f>
        <v>71.875100000000003</v>
      </c>
      <c r="F381" s="14">
        <f>71.873 * CHOOSE(CONTROL!$C$9, $D$9, 100%, $F$9) + CHOOSE(CONTROL!$C$27, 0.0021, 0)</f>
        <v>71.875100000000003</v>
      </c>
      <c r="G381" s="14">
        <f>72.1444 * CHOOSE(CONTROL!$C$9, $D$9, 100%, $F$9) + CHOOSE(CONTROL!$C$27, 0.0021, 0)</f>
        <v>72.146500000000003</v>
      </c>
      <c r="H381" s="14">
        <f>72.0097 * CHOOSE(CONTROL!$C$9, $D$9, 100%, $F$9) + CHOOSE(CONTROL!$C$27, 0.0021, 0)</f>
        <v>72.011799999999994</v>
      </c>
      <c r="I381" s="14">
        <f>72.0097 * CHOOSE(CONTROL!$C$9, $D$9, 100%, $F$9) + CHOOSE(CONTROL!$C$27, 0.0021, 0)</f>
        <v>72.011799999999994</v>
      </c>
      <c r="J381" s="14">
        <f>72.0097 * CHOOSE(CONTROL!$C$9, $D$9, 100%, $F$9) + CHOOSE(CONTROL!$C$27, 0.0021, 0)</f>
        <v>72.011799999999994</v>
      </c>
      <c r="K381" s="14">
        <f>72.0097 * CHOOSE(CONTROL!$C$9, $D$9, 100%, $F$9) + CHOOSE(CONTROL!$C$27, 0.0021, 0)</f>
        <v>72.011799999999994</v>
      </c>
      <c r="L381" s="14"/>
    </row>
    <row r="382" spans="1:12" ht="15.75" x14ac:dyDescent="0.25">
      <c r="A382" s="33">
        <v>52565</v>
      </c>
      <c r="B382" s="14">
        <f>72.604 * CHOOSE(CONTROL!$C$9, $D$9, 100%, $F$9) + CHOOSE(CONTROL!$C$27, 0.0021, 0)</f>
        <v>72.606099999999998</v>
      </c>
      <c r="C382" s="14">
        <f>72.1717 * CHOOSE(CONTROL!$C$9, $D$9, 100%, $F$9) + CHOOSE(CONTROL!$C$27, 0.0021, 0)</f>
        <v>72.1738</v>
      </c>
      <c r="D382" s="14">
        <f>72.1717 * CHOOSE(CONTROL!$C$9, $D$9, 100%, $F$9) + CHOOSE(CONTROL!$C$27, 0.0021, 0)</f>
        <v>72.1738</v>
      </c>
      <c r="E382" s="14">
        <f>72.0351 * CHOOSE(CONTROL!$C$9, $D$9, 100%, $F$9) + CHOOSE(CONTROL!$C$27, 0.0021, 0)</f>
        <v>72.037199999999999</v>
      </c>
      <c r="F382" s="14">
        <f>72.0351 * CHOOSE(CONTROL!$C$9, $D$9, 100%, $F$9) + CHOOSE(CONTROL!$C$27, 0.0021, 0)</f>
        <v>72.037199999999999</v>
      </c>
      <c r="G382" s="14">
        <f>72.3064 * CHOOSE(CONTROL!$C$9, $D$9, 100%, $F$9) + CHOOSE(CONTROL!$C$27, 0.0021, 0)</f>
        <v>72.308499999999995</v>
      </c>
      <c r="H382" s="14">
        <f>72.1717 * CHOOSE(CONTROL!$C$9, $D$9, 100%, $F$9) + CHOOSE(CONTROL!$C$27, 0.0021, 0)</f>
        <v>72.1738</v>
      </c>
      <c r="I382" s="14">
        <f>72.1717 * CHOOSE(CONTROL!$C$9, $D$9, 100%, $F$9) + CHOOSE(CONTROL!$C$27, 0.0021, 0)</f>
        <v>72.1738</v>
      </c>
      <c r="J382" s="14">
        <f>72.1717 * CHOOSE(CONTROL!$C$9, $D$9, 100%, $F$9) + CHOOSE(CONTROL!$C$27, 0.0021, 0)</f>
        <v>72.1738</v>
      </c>
      <c r="K382" s="14">
        <f>72.1717 * CHOOSE(CONTROL!$C$9, $D$9, 100%, $F$9) + CHOOSE(CONTROL!$C$27, 0.0021, 0)</f>
        <v>72.1738</v>
      </c>
      <c r="L382" s="14"/>
    </row>
    <row r="383" spans="1:12" ht="15.75" x14ac:dyDescent="0.25">
      <c r="A383" s="33">
        <v>52596</v>
      </c>
      <c r="B383" s="14">
        <f>71.2253 * CHOOSE(CONTROL!$C$9, $D$9, 100%, $F$9) + CHOOSE(CONTROL!$C$27, 0.0021, 0)</f>
        <v>71.227400000000003</v>
      </c>
      <c r="C383" s="14">
        <f>70.7931 * CHOOSE(CONTROL!$C$9, $D$9, 100%, $F$9) + CHOOSE(CONTROL!$C$27, 0.0021, 0)</f>
        <v>70.795199999999994</v>
      </c>
      <c r="D383" s="14">
        <f>70.7931 * CHOOSE(CONTROL!$C$9, $D$9, 100%, $F$9) + CHOOSE(CONTROL!$C$27, 0.0021, 0)</f>
        <v>70.795199999999994</v>
      </c>
      <c r="E383" s="14">
        <f>70.6564 * CHOOSE(CONTROL!$C$9, $D$9, 100%, $F$9) + CHOOSE(CONTROL!$C$27, 0.0021, 0)</f>
        <v>70.658500000000004</v>
      </c>
      <c r="F383" s="14">
        <f>70.6564 * CHOOSE(CONTROL!$C$9, $D$9, 100%, $F$9) + CHOOSE(CONTROL!$C$27, 0.0021, 0)</f>
        <v>70.658500000000004</v>
      </c>
      <c r="G383" s="14">
        <f>70.9278 * CHOOSE(CONTROL!$C$9, $D$9, 100%, $F$9) + CHOOSE(CONTROL!$C$27, 0.0021, 0)</f>
        <v>70.929900000000004</v>
      </c>
      <c r="H383" s="14">
        <f>70.7931 * CHOOSE(CONTROL!$C$9, $D$9, 100%, $F$9) + CHOOSE(CONTROL!$C$27, 0.0021, 0)</f>
        <v>70.795199999999994</v>
      </c>
      <c r="I383" s="14">
        <f>70.7931 * CHOOSE(CONTROL!$C$9, $D$9, 100%, $F$9) + CHOOSE(CONTROL!$C$27, 0.0021, 0)</f>
        <v>70.795199999999994</v>
      </c>
      <c r="J383" s="14">
        <f>70.7931 * CHOOSE(CONTROL!$C$9, $D$9, 100%, $F$9) + CHOOSE(CONTROL!$C$27, 0.0021, 0)</f>
        <v>70.795199999999994</v>
      </c>
      <c r="K383" s="14">
        <f>70.7931 * CHOOSE(CONTROL!$C$9, $D$9, 100%, $F$9) + CHOOSE(CONTROL!$C$27, 0.0021, 0)</f>
        <v>70.795199999999994</v>
      </c>
      <c r="L383" s="14"/>
    </row>
    <row r="384" spans="1:12" ht="15.75" x14ac:dyDescent="0.25">
      <c r="A384" s="33">
        <v>52627</v>
      </c>
      <c r="B384" s="14">
        <f>70.3539 * CHOOSE(CONTROL!$C$9, $D$9, 100%, $F$9) + CHOOSE(CONTROL!$C$27, 0.0021, 0)</f>
        <v>70.355999999999995</v>
      </c>
      <c r="C384" s="14">
        <f>69.9217 * CHOOSE(CONTROL!$C$9, $D$9, 100%, $F$9) + CHOOSE(CONTROL!$C$27, 0.0021, 0)</f>
        <v>69.9238</v>
      </c>
      <c r="D384" s="14">
        <f>69.9217 * CHOOSE(CONTROL!$C$9, $D$9, 100%, $F$9) + CHOOSE(CONTROL!$C$27, 0.0021, 0)</f>
        <v>69.9238</v>
      </c>
      <c r="E384" s="14">
        <f>69.785 * CHOOSE(CONTROL!$C$9, $D$9, 100%, $F$9) + CHOOSE(CONTROL!$C$27, 0.0021, 0)</f>
        <v>69.787099999999995</v>
      </c>
      <c r="F384" s="14">
        <f>69.785 * CHOOSE(CONTROL!$C$9, $D$9, 100%, $F$9) + CHOOSE(CONTROL!$C$27, 0.0021, 0)</f>
        <v>69.787099999999995</v>
      </c>
      <c r="G384" s="14">
        <f>70.0564 * CHOOSE(CONTROL!$C$9, $D$9, 100%, $F$9) + CHOOSE(CONTROL!$C$27, 0.0021, 0)</f>
        <v>70.058499999999995</v>
      </c>
      <c r="H384" s="14">
        <f>69.9217 * CHOOSE(CONTROL!$C$9, $D$9, 100%, $F$9) + CHOOSE(CONTROL!$C$27, 0.0021, 0)</f>
        <v>69.9238</v>
      </c>
      <c r="I384" s="14">
        <f>69.9217 * CHOOSE(CONTROL!$C$9, $D$9, 100%, $F$9) + CHOOSE(CONTROL!$C$27, 0.0021, 0)</f>
        <v>69.9238</v>
      </c>
      <c r="J384" s="14">
        <f>69.9217 * CHOOSE(CONTROL!$C$9, $D$9, 100%, $F$9) + CHOOSE(CONTROL!$C$27, 0.0021, 0)</f>
        <v>69.9238</v>
      </c>
      <c r="K384" s="14">
        <f>69.9217 * CHOOSE(CONTROL!$C$9, $D$9, 100%, $F$9) + CHOOSE(CONTROL!$C$27, 0.0021, 0)</f>
        <v>69.9238</v>
      </c>
      <c r="L384" s="14"/>
    </row>
    <row r="385" spans="1:12" ht="15.75" x14ac:dyDescent="0.25">
      <c r="A385" s="33">
        <v>52655</v>
      </c>
      <c r="B385" s="14">
        <f>68.4288 * CHOOSE(CONTROL!$C$9, $D$9, 100%, $F$9) + CHOOSE(CONTROL!$C$27, 0.0021, 0)</f>
        <v>68.430899999999994</v>
      </c>
      <c r="C385" s="14">
        <f>67.9965 * CHOOSE(CONTROL!$C$9, $D$9, 100%, $F$9) + CHOOSE(CONTROL!$C$27, 0.0021, 0)</f>
        <v>67.998599999999996</v>
      </c>
      <c r="D385" s="14">
        <f>67.9965 * CHOOSE(CONTROL!$C$9, $D$9, 100%, $F$9) + CHOOSE(CONTROL!$C$27, 0.0021, 0)</f>
        <v>67.998599999999996</v>
      </c>
      <c r="E385" s="14">
        <f>67.8599 * CHOOSE(CONTROL!$C$9, $D$9, 100%, $F$9) + CHOOSE(CONTROL!$C$27, 0.0021, 0)</f>
        <v>67.861999999999995</v>
      </c>
      <c r="F385" s="14">
        <f>67.8599 * CHOOSE(CONTROL!$C$9, $D$9, 100%, $F$9) + CHOOSE(CONTROL!$C$27, 0.0021, 0)</f>
        <v>67.861999999999995</v>
      </c>
      <c r="G385" s="14">
        <f>68.1313 * CHOOSE(CONTROL!$C$9, $D$9, 100%, $F$9) + CHOOSE(CONTROL!$C$27, 0.0021, 0)</f>
        <v>68.133399999999995</v>
      </c>
      <c r="H385" s="14">
        <f>67.9965 * CHOOSE(CONTROL!$C$9, $D$9, 100%, $F$9) + CHOOSE(CONTROL!$C$27, 0.0021, 0)</f>
        <v>67.998599999999996</v>
      </c>
      <c r="I385" s="14">
        <f>67.9965 * CHOOSE(CONTROL!$C$9, $D$9, 100%, $F$9) + CHOOSE(CONTROL!$C$27, 0.0021, 0)</f>
        <v>67.998599999999996</v>
      </c>
      <c r="J385" s="14">
        <f>67.9965 * CHOOSE(CONTROL!$C$9, $D$9, 100%, $F$9) + CHOOSE(CONTROL!$C$27, 0.0021, 0)</f>
        <v>67.998599999999996</v>
      </c>
      <c r="K385" s="14">
        <f>67.9965 * CHOOSE(CONTROL!$C$9, $D$9, 100%, $F$9) + CHOOSE(CONTROL!$C$27, 0.0021, 0)</f>
        <v>67.998599999999996</v>
      </c>
      <c r="L385" s="14"/>
    </row>
    <row r="386" spans="1:12" ht="15.75" x14ac:dyDescent="0.25">
      <c r="A386" s="33">
        <v>52687</v>
      </c>
      <c r="B386" s="14">
        <f>67.6341 * CHOOSE(CONTROL!$C$9, $D$9, 100%, $F$9) + CHOOSE(CONTROL!$C$27, 0.0021, 0)</f>
        <v>67.636200000000002</v>
      </c>
      <c r="C386" s="14">
        <f>67.2018 * CHOOSE(CONTROL!$C$9, $D$9, 100%, $F$9) + CHOOSE(CONTROL!$C$27, 0.0021, 0)</f>
        <v>67.203900000000004</v>
      </c>
      <c r="D386" s="14">
        <f>67.2018 * CHOOSE(CONTROL!$C$9, $D$9, 100%, $F$9) + CHOOSE(CONTROL!$C$27, 0.0021, 0)</f>
        <v>67.203900000000004</v>
      </c>
      <c r="E386" s="14">
        <f>67.0652 * CHOOSE(CONTROL!$C$9, $D$9, 100%, $F$9) + CHOOSE(CONTROL!$C$27, 0.0021, 0)</f>
        <v>67.067300000000003</v>
      </c>
      <c r="F386" s="14">
        <f>67.0652 * CHOOSE(CONTROL!$C$9, $D$9, 100%, $F$9) + CHOOSE(CONTROL!$C$27, 0.0021, 0)</f>
        <v>67.067300000000003</v>
      </c>
      <c r="G386" s="14">
        <f>67.3366 * CHOOSE(CONTROL!$C$9, $D$9, 100%, $F$9) + CHOOSE(CONTROL!$C$27, 0.0021, 0)</f>
        <v>67.338700000000003</v>
      </c>
      <c r="H386" s="14">
        <f>67.2018 * CHOOSE(CONTROL!$C$9, $D$9, 100%, $F$9) + CHOOSE(CONTROL!$C$27, 0.0021, 0)</f>
        <v>67.203900000000004</v>
      </c>
      <c r="I386" s="14">
        <f>67.2018 * CHOOSE(CONTROL!$C$9, $D$9, 100%, $F$9) + CHOOSE(CONTROL!$C$27, 0.0021, 0)</f>
        <v>67.203900000000004</v>
      </c>
      <c r="J386" s="14">
        <f>67.2018 * CHOOSE(CONTROL!$C$9, $D$9, 100%, $F$9) + CHOOSE(CONTROL!$C$27, 0.0021, 0)</f>
        <v>67.203900000000004</v>
      </c>
      <c r="K386" s="14">
        <f>67.2018 * CHOOSE(CONTROL!$C$9, $D$9, 100%, $F$9) + CHOOSE(CONTROL!$C$27, 0.0021, 0)</f>
        <v>67.203900000000004</v>
      </c>
      <c r="L386" s="14"/>
    </row>
    <row r="387" spans="1:12" ht="15.75" x14ac:dyDescent="0.25">
      <c r="A387" s="33">
        <v>52717</v>
      </c>
      <c r="B387" s="14">
        <f>66.6852 * CHOOSE(CONTROL!$C$9, $D$9, 100%, $F$9) + CHOOSE(CONTROL!$C$27, 0.0021, 0)</f>
        <v>66.687299999999993</v>
      </c>
      <c r="C387" s="14">
        <f>66.253 * CHOOSE(CONTROL!$C$9, $D$9, 100%, $F$9) + CHOOSE(CONTROL!$C$27, 0.0021, 0)</f>
        <v>66.255099999999999</v>
      </c>
      <c r="D387" s="14">
        <f>66.253 * CHOOSE(CONTROL!$C$9, $D$9, 100%, $F$9) + CHOOSE(CONTROL!$C$27, 0.0021, 0)</f>
        <v>66.255099999999999</v>
      </c>
      <c r="E387" s="14">
        <f>66.1163 * CHOOSE(CONTROL!$C$9, $D$9, 100%, $F$9) + CHOOSE(CONTROL!$C$27, 0.0021, 0)</f>
        <v>66.118399999999994</v>
      </c>
      <c r="F387" s="14">
        <f>66.1163 * CHOOSE(CONTROL!$C$9, $D$9, 100%, $F$9) + CHOOSE(CONTROL!$C$27, 0.0021, 0)</f>
        <v>66.118399999999994</v>
      </c>
      <c r="G387" s="14">
        <f>66.3877 * CHOOSE(CONTROL!$C$9, $D$9, 100%, $F$9) + CHOOSE(CONTROL!$C$27, 0.0021, 0)</f>
        <v>66.389799999999994</v>
      </c>
      <c r="H387" s="14">
        <f>66.253 * CHOOSE(CONTROL!$C$9, $D$9, 100%, $F$9) + CHOOSE(CONTROL!$C$27, 0.0021, 0)</f>
        <v>66.255099999999999</v>
      </c>
      <c r="I387" s="14">
        <f>66.253 * CHOOSE(CONTROL!$C$9, $D$9, 100%, $F$9) + CHOOSE(CONTROL!$C$27, 0.0021, 0)</f>
        <v>66.255099999999999</v>
      </c>
      <c r="J387" s="14">
        <f>66.253 * CHOOSE(CONTROL!$C$9, $D$9, 100%, $F$9) + CHOOSE(CONTROL!$C$27, 0.0021, 0)</f>
        <v>66.255099999999999</v>
      </c>
      <c r="K387" s="14">
        <f>66.253 * CHOOSE(CONTROL!$C$9, $D$9, 100%, $F$9) + CHOOSE(CONTROL!$C$27, 0.0021, 0)</f>
        <v>66.255099999999999</v>
      </c>
      <c r="L387" s="14"/>
    </row>
    <row r="388" spans="1:12" ht="15.75" x14ac:dyDescent="0.25">
      <c r="A388" s="33">
        <v>52748</v>
      </c>
      <c r="B388" s="14">
        <f>68.0375 * CHOOSE(CONTROL!$C$9, $D$9, 100%, $F$9) + CHOOSE(CONTROL!$C$27, 0.0021, 0)</f>
        <v>68.039599999999993</v>
      </c>
      <c r="C388" s="14">
        <f>67.6052 * CHOOSE(CONTROL!$C$9, $D$9, 100%, $F$9) + CHOOSE(CONTROL!$C$27, 0.0021, 0)</f>
        <v>67.607299999999995</v>
      </c>
      <c r="D388" s="14">
        <f>67.6052 * CHOOSE(CONTROL!$C$9, $D$9, 100%, $F$9) + CHOOSE(CONTROL!$C$27, 0.0021, 0)</f>
        <v>67.607299999999995</v>
      </c>
      <c r="E388" s="14">
        <f>67.4686 * CHOOSE(CONTROL!$C$9, $D$9, 100%, $F$9) + CHOOSE(CONTROL!$C$27, 0.0021, 0)</f>
        <v>67.470699999999994</v>
      </c>
      <c r="F388" s="14">
        <f>67.4686 * CHOOSE(CONTROL!$C$9, $D$9, 100%, $F$9) + CHOOSE(CONTROL!$C$27, 0.0021, 0)</f>
        <v>67.470699999999994</v>
      </c>
      <c r="G388" s="14">
        <f>67.74 * CHOOSE(CONTROL!$C$9, $D$9, 100%, $F$9) + CHOOSE(CONTROL!$C$27, 0.0021, 0)</f>
        <v>67.742099999999994</v>
      </c>
      <c r="H388" s="14">
        <f>67.6052 * CHOOSE(CONTROL!$C$9, $D$9, 100%, $F$9) + CHOOSE(CONTROL!$C$27, 0.0021, 0)</f>
        <v>67.607299999999995</v>
      </c>
      <c r="I388" s="14">
        <f>67.6052 * CHOOSE(CONTROL!$C$9, $D$9, 100%, $F$9) + CHOOSE(CONTROL!$C$27, 0.0021, 0)</f>
        <v>67.607299999999995</v>
      </c>
      <c r="J388" s="14">
        <f>67.6052 * CHOOSE(CONTROL!$C$9, $D$9, 100%, $F$9) + CHOOSE(CONTROL!$C$27, 0.0021, 0)</f>
        <v>67.607299999999995</v>
      </c>
      <c r="K388" s="14">
        <f>67.6052 * CHOOSE(CONTROL!$C$9, $D$9, 100%, $F$9) + CHOOSE(CONTROL!$C$27, 0.0021, 0)</f>
        <v>67.607299999999995</v>
      </c>
      <c r="L388" s="14"/>
    </row>
    <row r="389" spans="1:12" ht="15.75" x14ac:dyDescent="0.25">
      <c r="A389" s="33">
        <v>52778</v>
      </c>
      <c r="B389" s="14">
        <f>68.8474 * CHOOSE(CONTROL!$C$9, $D$9, 100%, $F$9) + CHOOSE(CONTROL!$C$27, 0.0021, 0)</f>
        <v>68.849499999999992</v>
      </c>
      <c r="C389" s="14">
        <f>68.4152 * CHOOSE(CONTROL!$C$9, $D$9, 100%, $F$9) + CHOOSE(CONTROL!$C$27, 0.0021, 0)</f>
        <v>68.417299999999997</v>
      </c>
      <c r="D389" s="14">
        <f>68.4152 * CHOOSE(CONTROL!$C$9, $D$9, 100%, $F$9) + CHOOSE(CONTROL!$C$27, 0.0021, 0)</f>
        <v>68.417299999999997</v>
      </c>
      <c r="E389" s="14">
        <f>68.2785 * CHOOSE(CONTROL!$C$9, $D$9, 100%, $F$9) + CHOOSE(CONTROL!$C$27, 0.0021, 0)</f>
        <v>68.280599999999993</v>
      </c>
      <c r="F389" s="14">
        <f>68.2785 * CHOOSE(CONTROL!$C$9, $D$9, 100%, $F$9) + CHOOSE(CONTROL!$C$27, 0.0021, 0)</f>
        <v>68.280599999999993</v>
      </c>
      <c r="G389" s="14">
        <f>68.5499 * CHOOSE(CONTROL!$C$9, $D$9, 100%, $F$9) + CHOOSE(CONTROL!$C$27, 0.0021, 0)</f>
        <v>68.551999999999992</v>
      </c>
      <c r="H389" s="14">
        <f>68.4152 * CHOOSE(CONTROL!$C$9, $D$9, 100%, $F$9) + CHOOSE(CONTROL!$C$27, 0.0021, 0)</f>
        <v>68.417299999999997</v>
      </c>
      <c r="I389" s="14">
        <f>68.4152 * CHOOSE(CONTROL!$C$9, $D$9, 100%, $F$9) + CHOOSE(CONTROL!$C$27, 0.0021, 0)</f>
        <v>68.417299999999997</v>
      </c>
      <c r="J389" s="14">
        <f>68.4152 * CHOOSE(CONTROL!$C$9, $D$9, 100%, $F$9) + CHOOSE(CONTROL!$C$27, 0.0021, 0)</f>
        <v>68.417299999999997</v>
      </c>
      <c r="K389" s="14">
        <f>68.4152 * CHOOSE(CONTROL!$C$9, $D$9, 100%, $F$9) + CHOOSE(CONTROL!$C$27, 0.0021, 0)</f>
        <v>68.417299999999997</v>
      </c>
      <c r="L389" s="14"/>
    </row>
    <row r="390" spans="1:12" ht="15.75" x14ac:dyDescent="0.25">
      <c r="A390" s="33">
        <v>52809</v>
      </c>
      <c r="B390" s="14">
        <f>70.1836 * CHOOSE(CONTROL!$C$9, $D$9, 100%, $F$9) + CHOOSE(CONTROL!$C$27, 0.0021, 0)</f>
        <v>70.185699999999997</v>
      </c>
      <c r="C390" s="14">
        <f>69.7513 * CHOOSE(CONTROL!$C$9, $D$9, 100%, $F$9) + CHOOSE(CONTROL!$C$27, 0.0021, 0)</f>
        <v>69.753399999999999</v>
      </c>
      <c r="D390" s="14">
        <f>69.7513 * CHOOSE(CONTROL!$C$9, $D$9, 100%, $F$9) + CHOOSE(CONTROL!$C$27, 0.0021, 0)</f>
        <v>69.753399999999999</v>
      </c>
      <c r="E390" s="14">
        <f>69.6147 * CHOOSE(CONTROL!$C$9, $D$9, 100%, $F$9) + CHOOSE(CONTROL!$C$27, 0.0021, 0)</f>
        <v>69.616799999999998</v>
      </c>
      <c r="F390" s="14">
        <f>69.6147 * CHOOSE(CONTROL!$C$9, $D$9, 100%, $F$9) + CHOOSE(CONTROL!$C$27, 0.0021, 0)</f>
        <v>69.616799999999998</v>
      </c>
      <c r="G390" s="14">
        <f>69.8861 * CHOOSE(CONTROL!$C$9, $D$9, 100%, $F$9) + CHOOSE(CONTROL!$C$27, 0.0021, 0)</f>
        <v>69.888199999999998</v>
      </c>
      <c r="H390" s="14">
        <f>69.7513 * CHOOSE(CONTROL!$C$9, $D$9, 100%, $F$9) + CHOOSE(CONTROL!$C$27, 0.0021, 0)</f>
        <v>69.753399999999999</v>
      </c>
      <c r="I390" s="14">
        <f>69.7513 * CHOOSE(CONTROL!$C$9, $D$9, 100%, $F$9) + CHOOSE(CONTROL!$C$27, 0.0021, 0)</f>
        <v>69.753399999999999</v>
      </c>
      <c r="J390" s="14">
        <f>69.7513 * CHOOSE(CONTROL!$C$9, $D$9, 100%, $F$9) + CHOOSE(CONTROL!$C$27, 0.0021, 0)</f>
        <v>69.753399999999999</v>
      </c>
      <c r="K390" s="14">
        <f>69.7513 * CHOOSE(CONTROL!$C$9, $D$9, 100%, $F$9) + CHOOSE(CONTROL!$C$27, 0.0021, 0)</f>
        <v>69.753399999999999</v>
      </c>
      <c r="L390" s="14"/>
    </row>
    <row r="391" spans="1:12" ht="15.75" x14ac:dyDescent="0.25">
      <c r="A391" s="33">
        <v>52840</v>
      </c>
      <c r="B391" s="14">
        <f>70.5914 * CHOOSE(CONTROL!$C$9, $D$9, 100%, $F$9) + CHOOSE(CONTROL!$C$27, 0.0021, 0)</f>
        <v>70.593499999999992</v>
      </c>
      <c r="C391" s="14">
        <f>70.1592 * CHOOSE(CONTROL!$C$9, $D$9, 100%, $F$9) + CHOOSE(CONTROL!$C$27, 0.0021, 0)</f>
        <v>70.161299999999997</v>
      </c>
      <c r="D391" s="14">
        <f>70.1592 * CHOOSE(CONTROL!$C$9, $D$9, 100%, $F$9) + CHOOSE(CONTROL!$C$27, 0.0021, 0)</f>
        <v>70.161299999999997</v>
      </c>
      <c r="E391" s="14">
        <f>70.0225 * CHOOSE(CONTROL!$C$9, $D$9, 100%, $F$9) + CHOOSE(CONTROL!$C$27, 0.0021, 0)</f>
        <v>70.024599999999992</v>
      </c>
      <c r="F391" s="14">
        <f>70.0225 * CHOOSE(CONTROL!$C$9, $D$9, 100%, $F$9) + CHOOSE(CONTROL!$C$27, 0.0021, 0)</f>
        <v>70.024599999999992</v>
      </c>
      <c r="G391" s="14">
        <f>70.2939 * CHOOSE(CONTROL!$C$9, $D$9, 100%, $F$9) + CHOOSE(CONTROL!$C$27, 0.0021, 0)</f>
        <v>70.295999999999992</v>
      </c>
      <c r="H391" s="14">
        <f>70.1592 * CHOOSE(CONTROL!$C$9, $D$9, 100%, $F$9) + CHOOSE(CONTROL!$C$27, 0.0021, 0)</f>
        <v>70.161299999999997</v>
      </c>
      <c r="I391" s="14">
        <f>70.1592 * CHOOSE(CONTROL!$C$9, $D$9, 100%, $F$9) + CHOOSE(CONTROL!$C$27, 0.0021, 0)</f>
        <v>70.161299999999997</v>
      </c>
      <c r="J391" s="14">
        <f>70.1592 * CHOOSE(CONTROL!$C$9, $D$9, 100%, $F$9) + CHOOSE(CONTROL!$C$27, 0.0021, 0)</f>
        <v>70.161299999999997</v>
      </c>
      <c r="K391" s="14">
        <f>70.1592 * CHOOSE(CONTROL!$C$9, $D$9, 100%, $F$9) + CHOOSE(CONTROL!$C$27, 0.0021, 0)</f>
        <v>70.161299999999997</v>
      </c>
      <c r="L391" s="14"/>
    </row>
    <row r="392" spans="1:12" ht="15.75" x14ac:dyDescent="0.25">
      <c r="A392" s="33">
        <v>52870</v>
      </c>
      <c r="B392" s="14">
        <f>71.9803 * CHOOSE(CONTROL!$C$9, $D$9, 100%, $F$9) + CHOOSE(CONTROL!$C$27, 0.0021, 0)</f>
        <v>71.982399999999998</v>
      </c>
      <c r="C392" s="14">
        <f>71.548 * CHOOSE(CONTROL!$C$9, $D$9, 100%, $F$9) + CHOOSE(CONTROL!$C$27, 0.0021, 0)</f>
        <v>71.5501</v>
      </c>
      <c r="D392" s="14">
        <f>71.548 * CHOOSE(CONTROL!$C$9, $D$9, 100%, $F$9) + CHOOSE(CONTROL!$C$27, 0.0021, 0)</f>
        <v>71.5501</v>
      </c>
      <c r="E392" s="14">
        <f>71.4114 * CHOOSE(CONTROL!$C$9, $D$9, 100%, $F$9) + CHOOSE(CONTROL!$C$27, 0.0021, 0)</f>
        <v>71.413499999999999</v>
      </c>
      <c r="F392" s="14">
        <f>71.4114 * CHOOSE(CONTROL!$C$9, $D$9, 100%, $F$9) + CHOOSE(CONTROL!$C$27, 0.0021, 0)</f>
        <v>71.413499999999999</v>
      </c>
      <c r="G392" s="14">
        <f>71.6827 * CHOOSE(CONTROL!$C$9, $D$9, 100%, $F$9) + CHOOSE(CONTROL!$C$27, 0.0021, 0)</f>
        <v>71.684799999999996</v>
      </c>
      <c r="H392" s="14">
        <f>71.548 * CHOOSE(CONTROL!$C$9, $D$9, 100%, $F$9) + CHOOSE(CONTROL!$C$27, 0.0021, 0)</f>
        <v>71.5501</v>
      </c>
      <c r="I392" s="14">
        <f>71.548 * CHOOSE(CONTROL!$C$9, $D$9, 100%, $F$9) + CHOOSE(CONTROL!$C$27, 0.0021, 0)</f>
        <v>71.5501</v>
      </c>
      <c r="J392" s="14">
        <f>71.548 * CHOOSE(CONTROL!$C$9, $D$9, 100%, $F$9) + CHOOSE(CONTROL!$C$27, 0.0021, 0)</f>
        <v>71.5501</v>
      </c>
      <c r="K392" s="14">
        <f>71.548 * CHOOSE(CONTROL!$C$9, $D$9, 100%, $F$9) + CHOOSE(CONTROL!$C$27, 0.0021, 0)</f>
        <v>71.5501</v>
      </c>
      <c r="L392" s="14"/>
    </row>
    <row r="393" spans="1:12" ht="15.75" x14ac:dyDescent="0.25">
      <c r="A393" s="33">
        <v>52901</v>
      </c>
      <c r="B393" s="14">
        <f>73.7383 * CHOOSE(CONTROL!$C$9, $D$9, 100%, $F$9) + CHOOSE(CONTROL!$C$27, 0.0021, 0)</f>
        <v>73.740399999999994</v>
      </c>
      <c r="C393" s="14">
        <f>73.3061 * CHOOSE(CONTROL!$C$9, $D$9, 100%, $F$9) + CHOOSE(CONTROL!$C$27, 0.0021, 0)</f>
        <v>73.308199999999999</v>
      </c>
      <c r="D393" s="14">
        <f>73.3061 * CHOOSE(CONTROL!$C$9, $D$9, 100%, $F$9) + CHOOSE(CONTROL!$C$27, 0.0021, 0)</f>
        <v>73.308199999999999</v>
      </c>
      <c r="E393" s="14">
        <f>73.1694 * CHOOSE(CONTROL!$C$9, $D$9, 100%, $F$9) + CHOOSE(CONTROL!$C$27, 0.0021, 0)</f>
        <v>73.171499999999995</v>
      </c>
      <c r="F393" s="14">
        <f>73.1694 * CHOOSE(CONTROL!$C$9, $D$9, 100%, $F$9) + CHOOSE(CONTROL!$C$27, 0.0021, 0)</f>
        <v>73.171499999999995</v>
      </c>
      <c r="G393" s="14">
        <f>73.4408 * CHOOSE(CONTROL!$C$9, $D$9, 100%, $F$9) + CHOOSE(CONTROL!$C$27, 0.0021, 0)</f>
        <v>73.442899999999995</v>
      </c>
      <c r="H393" s="14">
        <f>73.3061 * CHOOSE(CONTROL!$C$9, $D$9, 100%, $F$9) + CHOOSE(CONTROL!$C$27, 0.0021, 0)</f>
        <v>73.308199999999999</v>
      </c>
      <c r="I393" s="14">
        <f>73.3061 * CHOOSE(CONTROL!$C$9, $D$9, 100%, $F$9) + CHOOSE(CONTROL!$C$27, 0.0021, 0)</f>
        <v>73.308199999999999</v>
      </c>
      <c r="J393" s="14">
        <f>73.3061 * CHOOSE(CONTROL!$C$9, $D$9, 100%, $F$9) + CHOOSE(CONTROL!$C$27, 0.0021, 0)</f>
        <v>73.308199999999999</v>
      </c>
      <c r="K393" s="14">
        <f>73.3061 * CHOOSE(CONTROL!$C$9, $D$9, 100%, $F$9) + CHOOSE(CONTROL!$C$27, 0.0021, 0)</f>
        <v>73.308199999999999</v>
      </c>
      <c r="L393" s="14"/>
    </row>
    <row r="394" spans="1:12" ht="15.75" x14ac:dyDescent="0.25">
      <c r="A394" s="33">
        <v>52931</v>
      </c>
      <c r="B394" s="14">
        <f>73.9034 * CHOOSE(CONTROL!$C$9, $D$9, 100%, $F$9) + CHOOSE(CONTROL!$C$27, 0.0021, 0)</f>
        <v>73.905500000000004</v>
      </c>
      <c r="C394" s="14">
        <f>73.4711 * CHOOSE(CONTROL!$C$9, $D$9, 100%, $F$9) + CHOOSE(CONTROL!$C$27, 0.0021, 0)</f>
        <v>73.473200000000006</v>
      </c>
      <c r="D394" s="14">
        <f>73.4711 * CHOOSE(CONTROL!$C$9, $D$9, 100%, $F$9) + CHOOSE(CONTROL!$C$27, 0.0021, 0)</f>
        <v>73.473200000000006</v>
      </c>
      <c r="E394" s="14">
        <f>73.3345 * CHOOSE(CONTROL!$C$9, $D$9, 100%, $F$9) + CHOOSE(CONTROL!$C$27, 0.0021, 0)</f>
        <v>73.336600000000004</v>
      </c>
      <c r="F394" s="14">
        <f>73.3345 * CHOOSE(CONTROL!$C$9, $D$9, 100%, $F$9) + CHOOSE(CONTROL!$C$27, 0.0021, 0)</f>
        <v>73.336600000000004</v>
      </c>
      <c r="G394" s="14">
        <f>73.6058 * CHOOSE(CONTROL!$C$9, $D$9, 100%, $F$9) + CHOOSE(CONTROL!$C$27, 0.0021, 0)</f>
        <v>73.607900000000001</v>
      </c>
      <c r="H394" s="14">
        <f>73.4711 * CHOOSE(CONTROL!$C$9, $D$9, 100%, $F$9) + CHOOSE(CONTROL!$C$27, 0.0021, 0)</f>
        <v>73.473200000000006</v>
      </c>
      <c r="I394" s="14">
        <f>73.4711 * CHOOSE(CONTROL!$C$9, $D$9, 100%, $F$9) + CHOOSE(CONTROL!$C$27, 0.0021, 0)</f>
        <v>73.473200000000006</v>
      </c>
      <c r="J394" s="14">
        <f>73.4711 * CHOOSE(CONTROL!$C$9, $D$9, 100%, $F$9) + CHOOSE(CONTROL!$C$27, 0.0021, 0)</f>
        <v>73.473200000000006</v>
      </c>
      <c r="K394" s="14">
        <f>73.4711 * CHOOSE(CONTROL!$C$9, $D$9, 100%, $F$9) + CHOOSE(CONTROL!$C$27, 0.0021, 0)</f>
        <v>73.473200000000006</v>
      </c>
      <c r="L394" s="14"/>
    </row>
    <row r="395" spans="1:12" ht="15.75" x14ac:dyDescent="0.25">
      <c r="A395" s="33">
        <v>52962</v>
      </c>
      <c r="B395" s="14">
        <f>72.4992 * CHOOSE(CONTROL!$C$9, $D$9, 100%, $F$9) + CHOOSE(CONTROL!$C$27, 0.0021, 0)</f>
        <v>72.501300000000001</v>
      </c>
      <c r="C395" s="14">
        <f>72.067 * CHOOSE(CONTROL!$C$9, $D$9, 100%, $F$9) + CHOOSE(CONTROL!$C$27, 0.0021, 0)</f>
        <v>72.069099999999992</v>
      </c>
      <c r="D395" s="14">
        <f>72.067 * CHOOSE(CONTROL!$C$9, $D$9, 100%, $F$9) + CHOOSE(CONTROL!$C$27, 0.0021, 0)</f>
        <v>72.069099999999992</v>
      </c>
      <c r="E395" s="14">
        <f>71.9303 * CHOOSE(CONTROL!$C$9, $D$9, 100%, $F$9) + CHOOSE(CONTROL!$C$27, 0.0021, 0)</f>
        <v>71.932400000000001</v>
      </c>
      <c r="F395" s="14">
        <f>71.9303 * CHOOSE(CONTROL!$C$9, $D$9, 100%, $F$9) + CHOOSE(CONTROL!$C$27, 0.0021, 0)</f>
        <v>71.932400000000001</v>
      </c>
      <c r="G395" s="14">
        <f>72.2017 * CHOOSE(CONTROL!$C$9, $D$9, 100%, $F$9) + CHOOSE(CONTROL!$C$27, 0.0021, 0)</f>
        <v>72.203800000000001</v>
      </c>
      <c r="H395" s="14">
        <f>72.067 * CHOOSE(CONTROL!$C$9, $D$9, 100%, $F$9) + CHOOSE(CONTROL!$C$27, 0.0021, 0)</f>
        <v>72.069099999999992</v>
      </c>
      <c r="I395" s="14">
        <f>72.067 * CHOOSE(CONTROL!$C$9, $D$9, 100%, $F$9) + CHOOSE(CONTROL!$C$27, 0.0021, 0)</f>
        <v>72.069099999999992</v>
      </c>
      <c r="J395" s="14">
        <f>72.067 * CHOOSE(CONTROL!$C$9, $D$9, 100%, $F$9) + CHOOSE(CONTROL!$C$27, 0.0021, 0)</f>
        <v>72.069099999999992</v>
      </c>
      <c r="K395" s="14">
        <f>72.067 * CHOOSE(CONTROL!$C$9, $D$9, 100%, $F$9) + CHOOSE(CONTROL!$C$27, 0.0021, 0)</f>
        <v>72.069099999999992</v>
      </c>
      <c r="L395" s="14"/>
    </row>
    <row r="396" spans="1:12" ht="15.75" x14ac:dyDescent="0.25">
      <c r="A396" s="33">
        <v>52993</v>
      </c>
      <c r="B396" s="14">
        <f>71.6118 * CHOOSE(CONTROL!$C$9, $D$9, 100%, $F$9) + CHOOSE(CONTROL!$C$27, 0.0021, 0)</f>
        <v>71.613900000000001</v>
      </c>
      <c r="C396" s="14">
        <f>71.1795 * CHOOSE(CONTROL!$C$9, $D$9, 100%, $F$9) + CHOOSE(CONTROL!$C$27, 0.0021, 0)</f>
        <v>71.181600000000003</v>
      </c>
      <c r="D396" s="14">
        <f>71.1795 * CHOOSE(CONTROL!$C$9, $D$9, 100%, $F$9) + CHOOSE(CONTROL!$C$27, 0.0021, 0)</f>
        <v>71.181600000000003</v>
      </c>
      <c r="E396" s="14">
        <f>71.0429 * CHOOSE(CONTROL!$C$9, $D$9, 100%, $F$9) + CHOOSE(CONTROL!$C$27, 0.0021, 0)</f>
        <v>71.045000000000002</v>
      </c>
      <c r="F396" s="14">
        <f>71.0429 * CHOOSE(CONTROL!$C$9, $D$9, 100%, $F$9) + CHOOSE(CONTROL!$C$27, 0.0021, 0)</f>
        <v>71.045000000000002</v>
      </c>
      <c r="G396" s="14">
        <f>71.3142 * CHOOSE(CONTROL!$C$9, $D$9, 100%, $F$9) + CHOOSE(CONTROL!$C$27, 0.0021, 0)</f>
        <v>71.316299999999998</v>
      </c>
      <c r="H396" s="14">
        <f>71.1795 * CHOOSE(CONTROL!$C$9, $D$9, 100%, $F$9) + CHOOSE(CONTROL!$C$27, 0.0021, 0)</f>
        <v>71.181600000000003</v>
      </c>
      <c r="I396" s="14">
        <f>71.1795 * CHOOSE(CONTROL!$C$9, $D$9, 100%, $F$9) + CHOOSE(CONTROL!$C$27, 0.0021, 0)</f>
        <v>71.181600000000003</v>
      </c>
      <c r="J396" s="14">
        <f>71.1795 * CHOOSE(CONTROL!$C$9, $D$9, 100%, $F$9) + CHOOSE(CONTROL!$C$27, 0.0021, 0)</f>
        <v>71.181600000000003</v>
      </c>
      <c r="K396" s="14">
        <f>71.1795 * CHOOSE(CONTROL!$C$9, $D$9, 100%, $F$9) + CHOOSE(CONTROL!$C$27, 0.0021, 0)</f>
        <v>71.181600000000003</v>
      </c>
      <c r="L396" s="14"/>
    </row>
    <row r="397" spans="1:12" ht="15.75" x14ac:dyDescent="0.25">
      <c r="A397" s="33">
        <v>53021</v>
      </c>
      <c r="B397" s="14">
        <f>69.651 * CHOOSE(CONTROL!$C$9, $D$9, 100%, $F$9) + CHOOSE(CONTROL!$C$27, 0.0021, 0)</f>
        <v>69.653099999999995</v>
      </c>
      <c r="C397" s="14">
        <f>69.2188 * CHOOSE(CONTROL!$C$9, $D$9, 100%, $F$9) + CHOOSE(CONTROL!$C$27, 0.0021, 0)</f>
        <v>69.2209</v>
      </c>
      <c r="D397" s="14">
        <f>69.2188 * CHOOSE(CONTROL!$C$9, $D$9, 100%, $F$9) + CHOOSE(CONTROL!$C$27, 0.0021, 0)</f>
        <v>69.2209</v>
      </c>
      <c r="E397" s="14">
        <f>69.0821 * CHOOSE(CONTROL!$C$9, $D$9, 100%, $F$9) + CHOOSE(CONTROL!$C$27, 0.0021, 0)</f>
        <v>69.084199999999996</v>
      </c>
      <c r="F397" s="14">
        <f>69.0821 * CHOOSE(CONTROL!$C$9, $D$9, 100%, $F$9) + CHOOSE(CONTROL!$C$27, 0.0021, 0)</f>
        <v>69.084199999999996</v>
      </c>
      <c r="G397" s="14">
        <f>69.3535 * CHOOSE(CONTROL!$C$9, $D$9, 100%, $F$9) + CHOOSE(CONTROL!$C$27, 0.0021, 0)</f>
        <v>69.355599999999995</v>
      </c>
      <c r="H397" s="14">
        <f>69.2188 * CHOOSE(CONTROL!$C$9, $D$9, 100%, $F$9) + CHOOSE(CONTROL!$C$27, 0.0021, 0)</f>
        <v>69.2209</v>
      </c>
      <c r="I397" s="14">
        <f>69.2188 * CHOOSE(CONTROL!$C$9, $D$9, 100%, $F$9) + CHOOSE(CONTROL!$C$27, 0.0021, 0)</f>
        <v>69.2209</v>
      </c>
      <c r="J397" s="14">
        <f>69.2188 * CHOOSE(CONTROL!$C$9, $D$9, 100%, $F$9) + CHOOSE(CONTROL!$C$27, 0.0021, 0)</f>
        <v>69.2209</v>
      </c>
      <c r="K397" s="14">
        <f>69.2188 * CHOOSE(CONTROL!$C$9, $D$9, 100%, $F$9) + CHOOSE(CONTROL!$C$27, 0.0021, 0)</f>
        <v>69.2209</v>
      </c>
      <c r="L397" s="14"/>
    </row>
    <row r="398" spans="1:12" ht="15.75" x14ac:dyDescent="0.25">
      <c r="A398" s="33">
        <v>53052</v>
      </c>
      <c r="B398" s="14">
        <f>68.8417 * CHOOSE(CONTROL!$C$9, $D$9, 100%, $F$9) + CHOOSE(CONTROL!$C$27, 0.0021, 0)</f>
        <v>68.843800000000002</v>
      </c>
      <c r="C398" s="14">
        <f>68.4094 * CHOOSE(CONTROL!$C$9, $D$9, 100%, $F$9) + CHOOSE(CONTROL!$C$27, 0.0021, 0)</f>
        <v>68.411500000000004</v>
      </c>
      <c r="D398" s="14">
        <f>68.4094 * CHOOSE(CONTROL!$C$9, $D$9, 100%, $F$9) + CHOOSE(CONTROL!$C$27, 0.0021, 0)</f>
        <v>68.411500000000004</v>
      </c>
      <c r="E398" s="14">
        <f>68.2728 * CHOOSE(CONTROL!$C$9, $D$9, 100%, $F$9) + CHOOSE(CONTROL!$C$27, 0.0021, 0)</f>
        <v>68.274900000000002</v>
      </c>
      <c r="F398" s="14">
        <f>68.2728 * CHOOSE(CONTROL!$C$9, $D$9, 100%, $F$9) + CHOOSE(CONTROL!$C$27, 0.0021, 0)</f>
        <v>68.274900000000002</v>
      </c>
      <c r="G398" s="14">
        <f>68.5441 * CHOOSE(CONTROL!$C$9, $D$9, 100%, $F$9) + CHOOSE(CONTROL!$C$27, 0.0021, 0)</f>
        <v>68.546199999999999</v>
      </c>
      <c r="H398" s="14">
        <f>68.4094 * CHOOSE(CONTROL!$C$9, $D$9, 100%, $F$9) + CHOOSE(CONTROL!$C$27, 0.0021, 0)</f>
        <v>68.411500000000004</v>
      </c>
      <c r="I398" s="14">
        <f>68.4094 * CHOOSE(CONTROL!$C$9, $D$9, 100%, $F$9) + CHOOSE(CONTROL!$C$27, 0.0021, 0)</f>
        <v>68.411500000000004</v>
      </c>
      <c r="J398" s="14">
        <f>68.4094 * CHOOSE(CONTROL!$C$9, $D$9, 100%, $F$9) + CHOOSE(CONTROL!$C$27, 0.0021, 0)</f>
        <v>68.411500000000004</v>
      </c>
      <c r="K398" s="14">
        <f>68.4094 * CHOOSE(CONTROL!$C$9, $D$9, 100%, $F$9) + CHOOSE(CONTROL!$C$27, 0.0021, 0)</f>
        <v>68.411500000000004</v>
      </c>
      <c r="L398" s="14"/>
    </row>
    <row r="399" spans="1:12" ht="15.75" x14ac:dyDescent="0.25">
      <c r="A399" s="33">
        <v>53082</v>
      </c>
      <c r="B399" s="14">
        <f>67.8752 * CHOOSE(CONTROL!$C$9, $D$9, 100%, $F$9) + CHOOSE(CONTROL!$C$27, 0.0021, 0)</f>
        <v>67.877300000000005</v>
      </c>
      <c r="C399" s="14">
        <f>67.443 * CHOOSE(CONTROL!$C$9, $D$9, 100%, $F$9) + CHOOSE(CONTROL!$C$27, 0.0021, 0)</f>
        <v>67.445099999999996</v>
      </c>
      <c r="D399" s="14">
        <f>67.443 * CHOOSE(CONTROL!$C$9, $D$9, 100%, $F$9) + CHOOSE(CONTROL!$C$27, 0.0021, 0)</f>
        <v>67.445099999999996</v>
      </c>
      <c r="E399" s="14">
        <f>67.3063 * CHOOSE(CONTROL!$C$9, $D$9, 100%, $F$9) + CHOOSE(CONTROL!$C$27, 0.0021, 0)</f>
        <v>67.308399999999992</v>
      </c>
      <c r="F399" s="14">
        <f>67.3063 * CHOOSE(CONTROL!$C$9, $D$9, 100%, $F$9) + CHOOSE(CONTROL!$C$27, 0.0021, 0)</f>
        <v>67.308399999999992</v>
      </c>
      <c r="G399" s="14">
        <f>67.5777 * CHOOSE(CONTROL!$C$9, $D$9, 100%, $F$9) + CHOOSE(CONTROL!$C$27, 0.0021, 0)</f>
        <v>67.579799999999992</v>
      </c>
      <c r="H399" s="14">
        <f>67.443 * CHOOSE(CONTROL!$C$9, $D$9, 100%, $F$9) + CHOOSE(CONTROL!$C$27, 0.0021, 0)</f>
        <v>67.445099999999996</v>
      </c>
      <c r="I399" s="14">
        <f>67.443 * CHOOSE(CONTROL!$C$9, $D$9, 100%, $F$9) + CHOOSE(CONTROL!$C$27, 0.0021, 0)</f>
        <v>67.445099999999996</v>
      </c>
      <c r="J399" s="14">
        <f>67.443 * CHOOSE(CONTROL!$C$9, $D$9, 100%, $F$9) + CHOOSE(CONTROL!$C$27, 0.0021, 0)</f>
        <v>67.445099999999996</v>
      </c>
      <c r="K399" s="14">
        <f>67.443 * CHOOSE(CONTROL!$C$9, $D$9, 100%, $F$9) + CHOOSE(CONTROL!$C$27, 0.0021, 0)</f>
        <v>67.445099999999996</v>
      </c>
      <c r="L399" s="14"/>
    </row>
    <row r="400" spans="1:12" ht="15.75" x14ac:dyDescent="0.25">
      <c r="A400" s="33">
        <v>53113</v>
      </c>
      <c r="B400" s="14">
        <f>69.2525 * CHOOSE(CONTROL!$C$9, $D$9, 100%, $F$9) + CHOOSE(CONTROL!$C$27, 0.0021, 0)</f>
        <v>69.254599999999996</v>
      </c>
      <c r="C400" s="14">
        <f>68.8203 * CHOOSE(CONTROL!$C$9, $D$9, 100%, $F$9) + CHOOSE(CONTROL!$C$27, 0.0021, 0)</f>
        <v>68.822400000000002</v>
      </c>
      <c r="D400" s="14">
        <f>68.8203 * CHOOSE(CONTROL!$C$9, $D$9, 100%, $F$9) + CHOOSE(CONTROL!$C$27, 0.0021, 0)</f>
        <v>68.822400000000002</v>
      </c>
      <c r="E400" s="14">
        <f>68.6836 * CHOOSE(CONTROL!$C$9, $D$9, 100%, $F$9) + CHOOSE(CONTROL!$C$27, 0.0021, 0)</f>
        <v>68.685699999999997</v>
      </c>
      <c r="F400" s="14">
        <f>68.6836 * CHOOSE(CONTROL!$C$9, $D$9, 100%, $F$9) + CHOOSE(CONTROL!$C$27, 0.0021, 0)</f>
        <v>68.685699999999997</v>
      </c>
      <c r="G400" s="14">
        <f>68.955 * CHOOSE(CONTROL!$C$9, $D$9, 100%, $F$9) + CHOOSE(CONTROL!$C$27, 0.0021, 0)</f>
        <v>68.957099999999997</v>
      </c>
      <c r="H400" s="14">
        <f>68.8203 * CHOOSE(CONTROL!$C$9, $D$9, 100%, $F$9) + CHOOSE(CONTROL!$C$27, 0.0021, 0)</f>
        <v>68.822400000000002</v>
      </c>
      <c r="I400" s="14">
        <f>68.8203 * CHOOSE(CONTROL!$C$9, $D$9, 100%, $F$9) + CHOOSE(CONTROL!$C$27, 0.0021, 0)</f>
        <v>68.822400000000002</v>
      </c>
      <c r="J400" s="14">
        <f>68.8203 * CHOOSE(CONTROL!$C$9, $D$9, 100%, $F$9) + CHOOSE(CONTROL!$C$27, 0.0021, 0)</f>
        <v>68.822400000000002</v>
      </c>
      <c r="K400" s="14">
        <f>68.8203 * CHOOSE(CONTROL!$C$9, $D$9, 100%, $F$9) + CHOOSE(CONTROL!$C$27, 0.0021, 0)</f>
        <v>68.822400000000002</v>
      </c>
      <c r="L400" s="14"/>
    </row>
    <row r="401" spans="1:12" ht="15.75" x14ac:dyDescent="0.25">
      <c r="A401" s="33">
        <v>53143</v>
      </c>
      <c r="B401" s="14">
        <f>70.0774 * CHOOSE(CONTROL!$C$9, $D$9, 100%, $F$9) + CHOOSE(CONTROL!$C$27, 0.0021, 0)</f>
        <v>70.079499999999996</v>
      </c>
      <c r="C401" s="14">
        <f>69.6452 * CHOOSE(CONTROL!$C$9, $D$9, 100%, $F$9) + CHOOSE(CONTROL!$C$27, 0.0021, 0)</f>
        <v>69.647300000000001</v>
      </c>
      <c r="D401" s="14">
        <f>69.6452 * CHOOSE(CONTROL!$C$9, $D$9, 100%, $F$9) + CHOOSE(CONTROL!$C$27, 0.0021, 0)</f>
        <v>69.647300000000001</v>
      </c>
      <c r="E401" s="14">
        <f>69.5085 * CHOOSE(CONTROL!$C$9, $D$9, 100%, $F$9) + CHOOSE(CONTROL!$C$27, 0.0021, 0)</f>
        <v>69.510599999999997</v>
      </c>
      <c r="F401" s="14">
        <f>69.5085 * CHOOSE(CONTROL!$C$9, $D$9, 100%, $F$9) + CHOOSE(CONTROL!$C$27, 0.0021, 0)</f>
        <v>69.510599999999997</v>
      </c>
      <c r="G401" s="14">
        <f>69.7799 * CHOOSE(CONTROL!$C$9, $D$9, 100%, $F$9) + CHOOSE(CONTROL!$C$27, 0.0021, 0)</f>
        <v>69.781999999999996</v>
      </c>
      <c r="H401" s="14">
        <f>69.6452 * CHOOSE(CONTROL!$C$9, $D$9, 100%, $F$9) + CHOOSE(CONTROL!$C$27, 0.0021, 0)</f>
        <v>69.647300000000001</v>
      </c>
      <c r="I401" s="14">
        <f>69.6452 * CHOOSE(CONTROL!$C$9, $D$9, 100%, $F$9) + CHOOSE(CONTROL!$C$27, 0.0021, 0)</f>
        <v>69.647300000000001</v>
      </c>
      <c r="J401" s="14">
        <f>69.6452 * CHOOSE(CONTROL!$C$9, $D$9, 100%, $F$9) + CHOOSE(CONTROL!$C$27, 0.0021, 0)</f>
        <v>69.647300000000001</v>
      </c>
      <c r="K401" s="14">
        <f>69.6452 * CHOOSE(CONTROL!$C$9, $D$9, 100%, $F$9) + CHOOSE(CONTROL!$C$27, 0.0021, 0)</f>
        <v>69.647300000000001</v>
      </c>
      <c r="L401" s="14"/>
    </row>
    <row r="402" spans="1:12" ht="15.75" x14ac:dyDescent="0.25">
      <c r="A402" s="33">
        <v>53174</v>
      </c>
      <c r="B402" s="14">
        <f>71.4383 * CHOOSE(CONTROL!$C$9, $D$9, 100%, $F$9) + CHOOSE(CONTROL!$C$27, 0.0021, 0)</f>
        <v>71.440399999999997</v>
      </c>
      <c r="C402" s="14">
        <f>71.006 * CHOOSE(CONTROL!$C$9, $D$9, 100%, $F$9) + CHOOSE(CONTROL!$C$27, 0.0021, 0)</f>
        <v>71.008099999999999</v>
      </c>
      <c r="D402" s="14">
        <f>71.006 * CHOOSE(CONTROL!$C$9, $D$9, 100%, $F$9) + CHOOSE(CONTROL!$C$27, 0.0021, 0)</f>
        <v>71.008099999999999</v>
      </c>
      <c r="E402" s="14">
        <f>70.8694 * CHOOSE(CONTROL!$C$9, $D$9, 100%, $F$9) + CHOOSE(CONTROL!$C$27, 0.0021, 0)</f>
        <v>70.871499999999997</v>
      </c>
      <c r="F402" s="14">
        <f>70.8694 * CHOOSE(CONTROL!$C$9, $D$9, 100%, $F$9) + CHOOSE(CONTROL!$C$27, 0.0021, 0)</f>
        <v>70.871499999999997</v>
      </c>
      <c r="G402" s="14">
        <f>71.1407 * CHOOSE(CONTROL!$C$9, $D$9, 100%, $F$9) + CHOOSE(CONTROL!$C$27, 0.0021, 0)</f>
        <v>71.142799999999994</v>
      </c>
      <c r="H402" s="14">
        <f>71.006 * CHOOSE(CONTROL!$C$9, $D$9, 100%, $F$9) + CHOOSE(CONTROL!$C$27, 0.0021, 0)</f>
        <v>71.008099999999999</v>
      </c>
      <c r="I402" s="14">
        <f>71.006 * CHOOSE(CONTROL!$C$9, $D$9, 100%, $F$9) + CHOOSE(CONTROL!$C$27, 0.0021, 0)</f>
        <v>71.008099999999999</v>
      </c>
      <c r="J402" s="14">
        <f>71.006 * CHOOSE(CONTROL!$C$9, $D$9, 100%, $F$9) + CHOOSE(CONTROL!$C$27, 0.0021, 0)</f>
        <v>71.008099999999999</v>
      </c>
      <c r="K402" s="14">
        <f>71.006 * CHOOSE(CONTROL!$C$9, $D$9, 100%, $F$9) + CHOOSE(CONTROL!$C$27, 0.0021, 0)</f>
        <v>71.008099999999999</v>
      </c>
      <c r="L402" s="14"/>
    </row>
    <row r="403" spans="1:12" ht="15.75" x14ac:dyDescent="0.25">
      <c r="A403" s="33">
        <v>53205</v>
      </c>
      <c r="B403" s="14">
        <f>71.8536 * CHOOSE(CONTROL!$C$9, $D$9, 100%, $F$9) + CHOOSE(CONTROL!$C$27, 0.0021, 0)</f>
        <v>71.855699999999999</v>
      </c>
      <c r="C403" s="14">
        <f>71.4214 * CHOOSE(CONTROL!$C$9, $D$9, 100%, $F$9) + CHOOSE(CONTROL!$C$27, 0.0021, 0)</f>
        <v>71.423500000000004</v>
      </c>
      <c r="D403" s="14">
        <f>71.4214 * CHOOSE(CONTROL!$C$9, $D$9, 100%, $F$9) + CHOOSE(CONTROL!$C$27, 0.0021, 0)</f>
        <v>71.423500000000004</v>
      </c>
      <c r="E403" s="14">
        <f>71.2847 * CHOOSE(CONTROL!$C$9, $D$9, 100%, $F$9) + CHOOSE(CONTROL!$C$27, 0.0021, 0)</f>
        <v>71.286799999999999</v>
      </c>
      <c r="F403" s="14">
        <f>71.2847 * CHOOSE(CONTROL!$C$9, $D$9, 100%, $F$9) + CHOOSE(CONTROL!$C$27, 0.0021, 0)</f>
        <v>71.286799999999999</v>
      </c>
      <c r="G403" s="14">
        <f>71.5561 * CHOOSE(CONTROL!$C$9, $D$9, 100%, $F$9) + CHOOSE(CONTROL!$C$27, 0.0021, 0)</f>
        <v>71.558199999999999</v>
      </c>
      <c r="H403" s="14">
        <f>71.4214 * CHOOSE(CONTROL!$C$9, $D$9, 100%, $F$9) + CHOOSE(CONTROL!$C$27, 0.0021, 0)</f>
        <v>71.423500000000004</v>
      </c>
      <c r="I403" s="14">
        <f>71.4214 * CHOOSE(CONTROL!$C$9, $D$9, 100%, $F$9) + CHOOSE(CONTROL!$C$27, 0.0021, 0)</f>
        <v>71.423500000000004</v>
      </c>
      <c r="J403" s="14">
        <f>71.4214 * CHOOSE(CONTROL!$C$9, $D$9, 100%, $F$9) + CHOOSE(CONTROL!$C$27, 0.0021, 0)</f>
        <v>71.423500000000004</v>
      </c>
      <c r="K403" s="14">
        <f>71.4214 * CHOOSE(CONTROL!$C$9, $D$9, 100%, $F$9) + CHOOSE(CONTROL!$C$27, 0.0021, 0)</f>
        <v>71.423500000000004</v>
      </c>
      <c r="L403" s="14"/>
    </row>
    <row r="404" spans="1:12" ht="15.75" x14ac:dyDescent="0.25">
      <c r="A404" s="33">
        <v>53235</v>
      </c>
      <c r="B404" s="14">
        <f>73.2682 * CHOOSE(CONTROL!$C$9, $D$9, 100%, $F$9) + CHOOSE(CONTROL!$C$27, 0.0021, 0)</f>
        <v>73.270299999999992</v>
      </c>
      <c r="C404" s="14">
        <f>72.8359 * CHOOSE(CONTROL!$C$9, $D$9, 100%, $F$9) + CHOOSE(CONTROL!$C$27, 0.0021, 0)</f>
        <v>72.837999999999994</v>
      </c>
      <c r="D404" s="14">
        <f>72.8359 * CHOOSE(CONTROL!$C$9, $D$9, 100%, $F$9) + CHOOSE(CONTROL!$C$27, 0.0021, 0)</f>
        <v>72.837999999999994</v>
      </c>
      <c r="E404" s="14">
        <f>72.6993 * CHOOSE(CONTROL!$C$9, $D$9, 100%, $F$9) + CHOOSE(CONTROL!$C$27, 0.0021, 0)</f>
        <v>72.701399999999992</v>
      </c>
      <c r="F404" s="14">
        <f>72.6993 * CHOOSE(CONTROL!$C$9, $D$9, 100%, $F$9) + CHOOSE(CONTROL!$C$27, 0.0021, 0)</f>
        <v>72.701399999999992</v>
      </c>
      <c r="G404" s="14">
        <f>72.9706 * CHOOSE(CONTROL!$C$9, $D$9, 100%, $F$9) + CHOOSE(CONTROL!$C$27, 0.0021, 0)</f>
        <v>72.972700000000003</v>
      </c>
      <c r="H404" s="14">
        <f>72.8359 * CHOOSE(CONTROL!$C$9, $D$9, 100%, $F$9) + CHOOSE(CONTROL!$C$27, 0.0021, 0)</f>
        <v>72.837999999999994</v>
      </c>
      <c r="I404" s="14">
        <f>72.8359 * CHOOSE(CONTROL!$C$9, $D$9, 100%, $F$9) + CHOOSE(CONTROL!$C$27, 0.0021, 0)</f>
        <v>72.837999999999994</v>
      </c>
      <c r="J404" s="14">
        <f>72.8359 * CHOOSE(CONTROL!$C$9, $D$9, 100%, $F$9) + CHOOSE(CONTROL!$C$27, 0.0021, 0)</f>
        <v>72.837999999999994</v>
      </c>
      <c r="K404" s="14">
        <f>72.8359 * CHOOSE(CONTROL!$C$9, $D$9, 100%, $F$9) + CHOOSE(CONTROL!$C$27, 0.0021, 0)</f>
        <v>72.837999999999994</v>
      </c>
      <c r="L404" s="14"/>
    </row>
    <row r="405" spans="1:12" ht="15.75" x14ac:dyDescent="0.25">
      <c r="A405" s="33">
        <v>53266</v>
      </c>
      <c r="B405" s="14">
        <f>75.0587 * CHOOSE(CONTROL!$C$9, $D$9, 100%, $F$9) + CHOOSE(CONTROL!$C$27, 0.0021, 0)</f>
        <v>75.0608</v>
      </c>
      <c r="C405" s="14">
        <f>74.6265 * CHOOSE(CONTROL!$C$9, $D$9, 100%, $F$9) + CHOOSE(CONTROL!$C$27, 0.0021, 0)</f>
        <v>74.628599999999992</v>
      </c>
      <c r="D405" s="14">
        <f>74.6265 * CHOOSE(CONTROL!$C$9, $D$9, 100%, $F$9) + CHOOSE(CONTROL!$C$27, 0.0021, 0)</f>
        <v>74.628599999999992</v>
      </c>
      <c r="E405" s="14">
        <f>74.4898 * CHOOSE(CONTROL!$C$9, $D$9, 100%, $F$9) + CHOOSE(CONTROL!$C$27, 0.0021, 0)</f>
        <v>74.491900000000001</v>
      </c>
      <c r="F405" s="14">
        <f>74.4898 * CHOOSE(CONTROL!$C$9, $D$9, 100%, $F$9) + CHOOSE(CONTROL!$C$27, 0.0021, 0)</f>
        <v>74.491900000000001</v>
      </c>
      <c r="G405" s="14">
        <f>74.7612 * CHOOSE(CONTROL!$C$9, $D$9, 100%, $F$9) + CHOOSE(CONTROL!$C$27, 0.0021, 0)</f>
        <v>74.763300000000001</v>
      </c>
      <c r="H405" s="14">
        <f>74.6265 * CHOOSE(CONTROL!$C$9, $D$9, 100%, $F$9) + CHOOSE(CONTROL!$C$27, 0.0021, 0)</f>
        <v>74.628599999999992</v>
      </c>
      <c r="I405" s="14">
        <f>74.6265 * CHOOSE(CONTROL!$C$9, $D$9, 100%, $F$9) + CHOOSE(CONTROL!$C$27, 0.0021, 0)</f>
        <v>74.628599999999992</v>
      </c>
      <c r="J405" s="14">
        <f>74.6265 * CHOOSE(CONTROL!$C$9, $D$9, 100%, $F$9) + CHOOSE(CONTROL!$C$27, 0.0021, 0)</f>
        <v>74.628599999999992</v>
      </c>
      <c r="K405" s="14">
        <f>74.6265 * CHOOSE(CONTROL!$C$9, $D$9, 100%, $F$9) + CHOOSE(CONTROL!$C$27, 0.0021, 0)</f>
        <v>74.628599999999992</v>
      </c>
      <c r="L405" s="14"/>
    </row>
    <row r="406" spans="1:12" ht="15.75" x14ac:dyDescent="0.25">
      <c r="A406" s="33">
        <v>53296</v>
      </c>
      <c r="B406" s="14">
        <f>75.2268 * CHOOSE(CONTROL!$C$9, $D$9, 100%, $F$9) + CHOOSE(CONTROL!$C$27, 0.0021, 0)</f>
        <v>75.228899999999996</v>
      </c>
      <c r="C406" s="14">
        <f>74.7946 * CHOOSE(CONTROL!$C$9, $D$9, 100%, $F$9) + CHOOSE(CONTROL!$C$27, 0.0021, 0)</f>
        <v>74.796700000000001</v>
      </c>
      <c r="D406" s="14">
        <f>74.7946 * CHOOSE(CONTROL!$C$9, $D$9, 100%, $F$9) + CHOOSE(CONTROL!$C$27, 0.0021, 0)</f>
        <v>74.796700000000001</v>
      </c>
      <c r="E406" s="14">
        <f>74.6579 * CHOOSE(CONTROL!$C$9, $D$9, 100%, $F$9) + CHOOSE(CONTROL!$C$27, 0.0021, 0)</f>
        <v>74.66</v>
      </c>
      <c r="F406" s="14">
        <f>74.6579 * CHOOSE(CONTROL!$C$9, $D$9, 100%, $F$9) + CHOOSE(CONTROL!$C$27, 0.0021, 0)</f>
        <v>74.66</v>
      </c>
      <c r="G406" s="14">
        <f>74.9293 * CHOOSE(CONTROL!$C$9, $D$9, 100%, $F$9) + CHOOSE(CONTROL!$C$27, 0.0021, 0)</f>
        <v>74.931399999999996</v>
      </c>
      <c r="H406" s="14">
        <f>74.7946 * CHOOSE(CONTROL!$C$9, $D$9, 100%, $F$9) + CHOOSE(CONTROL!$C$27, 0.0021, 0)</f>
        <v>74.796700000000001</v>
      </c>
      <c r="I406" s="14">
        <f>74.7946 * CHOOSE(CONTROL!$C$9, $D$9, 100%, $F$9) + CHOOSE(CONTROL!$C$27, 0.0021, 0)</f>
        <v>74.796700000000001</v>
      </c>
      <c r="J406" s="14">
        <f>74.7946 * CHOOSE(CONTROL!$C$9, $D$9, 100%, $F$9) + CHOOSE(CONTROL!$C$27, 0.0021, 0)</f>
        <v>74.796700000000001</v>
      </c>
      <c r="K406" s="14">
        <f>74.7946 * CHOOSE(CONTROL!$C$9, $D$9, 100%, $F$9) + CHOOSE(CONTROL!$C$27, 0.0021, 0)</f>
        <v>74.796700000000001</v>
      </c>
      <c r="L406" s="14"/>
    </row>
    <row r="407" spans="1:12" ht="15.75" x14ac:dyDescent="0.25">
      <c r="A407" s="33">
        <v>53327</v>
      </c>
      <c r="B407" s="14">
        <f>73.7967 * CHOOSE(CONTROL!$C$9, $D$9, 100%, $F$9) + CHOOSE(CONTROL!$C$27, 0.0021, 0)</f>
        <v>73.7988</v>
      </c>
      <c r="C407" s="14">
        <f>73.3645 * CHOOSE(CONTROL!$C$9, $D$9, 100%, $F$9) + CHOOSE(CONTROL!$C$27, 0.0021, 0)</f>
        <v>73.366600000000005</v>
      </c>
      <c r="D407" s="14">
        <f>73.3645 * CHOOSE(CONTROL!$C$9, $D$9, 100%, $F$9) + CHOOSE(CONTROL!$C$27, 0.0021, 0)</f>
        <v>73.366600000000005</v>
      </c>
      <c r="E407" s="14">
        <f>73.2278 * CHOOSE(CONTROL!$C$9, $D$9, 100%, $F$9) + CHOOSE(CONTROL!$C$27, 0.0021, 0)</f>
        <v>73.229900000000001</v>
      </c>
      <c r="F407" s="14">
        <f>73.2278 * CHOOSE(CONTROL!$C$9, $D$9, 100%, $F$9) + CHOOSE(CONTROL!$C$27, 0.0021, 0)</f>
        <v>73.229900000000001</v>
      </c>
      <c r="G407" s="14">
        <f>73.4992 * CHOOSE(CONTROL!$C$9, $D$9, 100%, $F$9) + CHOOSE(CONTROL!$C$27, 0.0021, 0)</f>
        <v>73.501300000000001</v>
      </c>
      <c r="H407" s="14">
        <f>73.3645 * CHOOSE(CONTROL!$C$9, $D$9, 100%, $F$9) + CHOOSE(CONTROL!$C$27, 0.0021, 0)</f>
        <v>73.366600000000005</v>
      </c>
      <c r="I407" s="14">
        <f>73.3645 * CHOOSE(CONTROL!$C$9, $D$9, 100%, $F$9) + CHOOSE(CONTROL!$C$27, 0.0021, 0)</f>
        <v>73.366600000000005</v>
      </c>
      <c r="J407" s="14">
        <f>73.3645 * CHOOSE(CONTROL!$C$9, $D$9, 100%, $F$9) + CHOOSE(CONTROL!$C$27, 0.0021, 0)</f>
        <v>73.366600000000005</v>
      </c>
      <c r="K407" s="14">
        <f>73.3645 * CHOOSE(CONTROL!$C$9, $D$9, 100%, $F$9) + CHOOSE(CONTROL!$C$27, 0.0021, 0)</f>
        <v>73.366600000000005</v>
      </c>
      <c r="L407" s="14"/>
    </row>
    <row r="408" spans="1:12" ht="15.75" x14ac:dyDescent="0.25">
      <c r="A408" s="33">
        <v>53358</v>
      </c>
      <c r="B408" s="14">
        <f>72.8928 * CHOOSE(CONTROL!$C$9, $D$9, 100%, $F$9) + CHOOSE(CONTROL!$C$27, 0.0021, 0)</f>
        <v>72.894899999999993</v>
      </c>
      <c r="C408" s="14">
        <f>72.4606 * CHOOSE(CONTROL!$C$9, $D$9, 100%, $F$9) + CHOOSE(CONTROL!$C$27, 0.0021, 0)</f>
        <v>72.462699999999998</v>
      </c>
      <c r="D408" s="14">
        <f>72.4606 * CHOOSE(CONTROL!$C$9, $D$9, 100%, $F$9) + CHOOSE(CONTROL!$C$27, 0.0021, 0)</f>
        <v>72.462699999999998</v>
      </c>
      <c r="E408" s="14">
        <f>72.3239 * CHOOSE(CONTROL!$C$9, $D$9, 100%, $F$9) + CHOOSE(CONTROL!$C$27, 0.0021, 0)</f>
        <v>72.325999999999993</v>
      </c>
      <c r="F408" s="14">
        <f>72.3239 * CHOOSE(CONTROL!$C$9, $D$9, 100%, $F$9) + CHOOSE(CONTROL!$C$27, 0.0021, 0)</f>
        <v>72.325999999999993</v>
      </c>
      <c r="G408" s="14">
        <f>72.5953 * CHOOSE(CONTROL!$C$9, $D$9, 100%, $F$9) + CHOOSE(CONTROL!$C$27, 0.0021, 0)</f>
        <v>72.597399999999993</v>
      </c>
      <c r="H408" s="14">
        <f>72.4606 * CHOOSE(CONTROL!$C$9, $D$9, 100%, $F$9) + CHOOSE(CONTROL!$C$27, 0.0021, 0)</f>
        <v>72.462699999999998</v>
      </c>
      <c r="I408" s="14">
        <f>72.4606 * CHOOSE(CONTROL!$C$9, $D$9, 100%, $F$9) + CHOOSE(CONTROL!$C$27, 0.0021, 0)</f>
        <v>72.462699999999998</v>
      </c>
      <c r="J408" s="14">
        <f>72.4606 * CHOOSE(CONTROL!$C$9, $D$9, 100%, $F$9) + CHOOSE(CONTROL!$C$27, 0.0021, 0)</f>
        <v>72.462699999999998</v>
      </c>
      <c r="K408" s="14">
        <f>72.4606 * CHOOSE(CONTROL!$C$9, $D$9, 100%, $F$9) + CHOOSE(CONTROL!$C$27, 0.0021, 0)</f>
        <v>72.462699999999998</v>
      </c>
      <c r="L408" s="14"/>
    </row>
    <row r="409" spans="1:12" ht="15.75" x14ac:dyDescent="0.25">
      <c r="A409" s="33">
        <v>53386</v>
      </c>
      <c r="B409" s="14">
        <f>70.8959 * CHOOSE(CONTROL!$C$9, $D$9, 100%, $F$9) + CHOOSE(CONTROL!$C$27, 0.0021, 0)</f>
        <v>70.897999999999996</v>
      </c>
      <c r="C409" s="14">
        <f>70.4636 * CHOOSE(CONTROL!$C$9, $D$9, 100%, $F$9) + CHOOSE(CONTROL!$C$27, 0.0021, 0)</f>
        <v>70.465699999999998</v>
      </c>
      <c r="D409" s="14">
        <f>70.4636 * CHOOSE(CONTROL!$C$9, $D$9, 100%, $F$9) + CHOOSE(CONTROL!$C$27, 0.0021, 0)</f>
        <v>70.465699999999998</v>
      </c>
      <c r="E409" s="14">
        <f>70.327 * CHOOSE(CONTROL!$C$9, $D$9, 100%, $F$9) + CHOOSE(CONTROL!$C$27, 0.0021, 0)</f>
        <v>70.329099999999997</v>
      </c>
      <c r="F409" s="14">
        <f>70.327 * CHOOSE(CONTROL!$C$9, $D$9, 100%, $F$9) + CHOOSE(CONTROL!$C$27, 0.0021, 0)</f>
        <v>70.329099999999997</v>
      </c>
      <c r="G409" s="14">
        <f>70.5984 * CHOOSE(CONTROL!$C$9, $D$9, 100%, $F$9) + CHOOSE(CONTROL!$C$27, 0.0021, 0)</f>
        <v>70.600499999999997</v>
      </c>
      <c r="H409" s="14">
        <f>70.4636 * CHOOSE(CONTROL!$C$9, $D$9, 100%, $F$9) + CHOOSE(CONTROL!$C$27, 0.0021, 0)</f>
        <v>70.465699999999998</v>
      </c>
      <c r="I409" s="14">
        <f>70.4636 * CHOOSE(CONTROL!$C$9, $D$9, 100%, $F$9) + CHOOSE(CONTROL!$C$27, 0.0021, 0)</f>
        <v>70.465699999999998</v>
      </c>
      <c r="J409" s="14">
        <f>70.4636 * CHOOSE(CONTROL!$C$9, $D$9, 100%, $F$9) + CHOOSE(CONTROL!$C$27, 0.0021, 0)</f>
        <v>70.465699999999998</v>
      </c>
      <c r="K409" s="14">
        <f>70.4636 * CHOOSE(CONTROL!$C$9, $D$9, 100%, $F$9) + CHOOSE(CONTROL!$C$27, 0.0021, 0)</f>
        <v>70.465699999999998</v>
      </c>
      <c r="L409" s="14"/>
    </row>
    <row r="410" spans="1:12" ht="15.75" x14ac:dyDescent="0.25">
      <c r="A410" s="33">
        <v>53417</v>
      </c>
      <c r="B410" s="14">
        <f>70.0715 * CHOOSE(CONTROL!$C$9, $D$9, 100%, $F$9) + CHOOSE(CONTROL!$C$27, 0.0021, 0)</f>
        <v>70.073599999999999</v>
      </c>
      <c r="C410" s="14">
        <f>69.6393 * CHOOSE(CONTROL!$C$9, $D$9, 100%, $F$9) + CHOOSE(CONTROL!$C$27, 0.0021, 0)</f>
        <v>69.641400000000004</v>
      </c>
      <c r="D410" s="14">
        <f>69.6393 * CHOOSE(CONTROL!$C$9, $D$9, 100%, $F$9) + CHOOSE(CONTROL!$C$27, 0.0021, 0)</f>
        <v>69.641400000000004</v>
      </c>
      <c r="E410" s="14">
        <f>69.5026 * CHOOSE(CONTROL!$C$9, $D$9, 100%, $F$9) + CHOOSE(CONTROL!$C$27, 0.0021, 0)</f>
        <v>69.5047</v>
      </c>
      <c r="F410" s="14">
        <f>69.5026 * CHOOSE(CONTROL!$C$9, $D$9, 100%, $F$9) + CHOOSE(CONTROL!$C$27, 0.0021, 0)</f>
        <v>69.5047</v>
      </c>
      <c r="G410" s="14">
        <f>69.774 * CHOOSE(CONTROL!$C$9, $D$9, 100%, $F$9) + CHOOSE(CONTROL!$C$27, 0.0021, 0)</f>
        <v>69.7761</v>
      </c>
      <c r="H410" s="14">
        <f>69.6393 * CHOOSE(CONTROL!$C$9, $D$9, 100%, $F$9) + CHOOSE(CONTROL!$C$27, 0.0021, 0)</f>
        <v>69.641400000000004</v>
      </c>
      <c r="I410" s="14">
        <f>69.6393 * CHOOSE(CONTROL!$C$9, $D$9, 100%, $F$9) + CHOOSE(CONTROL!$C$27, 0.0021, 0)</f>
        <v>69.641400000000004</v>
      </c>
      <c r="J410" s="14">
        <f>69.6393 * CHOOSE(CONTROL!$C$9, $D$9, 100%, $F$9) + CHOOSE(CONTROL!$C$27, 0.0021, 0)</f>
        <v>69.641400000000004</v>
      </c>
      <c r="K410" s="14">
        <f>69.6393 * CHOOSE(CONTROL!$C$9, $D$9, 100%, $F$9) + CHOOSE(CONTROL!$C$27, 0.0021, 0)</f>
        <v>69.641400000000004</v>
      </c>
      <c r="L410" s="14"/>
    </row>
    <row r="411" spans="1:12" ht="15.75" x14ac:dyDescent="0.25">
      <c r="A411" s="33">
        <v>53447</v>
      </c>
      <c r="B411" s="14">
        <f>69.0873 * CHOOSE(CONTROL!$C$9, $D$9, 100%, $F$9) + CHOOSE(CONTROL!$C$27, 0.0021, 0)</f>
        <v>69.089399999999998</v>
      </c>
      <c r="C411" s="14">
        <f>68.655 * CHOOSE(CONTROL!$C$9, $D$9, 100%, $F$9) + CHOOSE(CONTROL!$C$27, 0.0021, 0)</f>
        <v>68.6571</v>
      </c>
      <c r="D411" s="14">
        <f>68.655 * CHOOSE(CONTROL!$C$9, $D$9, 100%, $F$9) + CHOOSE(CONTROL!$C$27, 0.0021, 0)</f>
        <v>68.6571</v>
      </c>
      <c r="E411" s="14">
        <f>68.5184 * CHOOSE(CONTROL!$C$9, $D$9, 100%, $F$9) + CHOOSE(CONTROL!$C$27, 0.0021, 0)</f>
        <v>68.520499999999998</v>
      </c>
      <c r="F411" s="14">
        <f>68.5184 * CHOOSE(CONTROL!$C$9, $D$9, 100%, $F$9) + CHOOSE(CONTROL!$C$27, 0.0021, 0)</f>
        <v>68.520499999999998</v>
      </c>
      <c r="G411" s="14">
        <f>68.7897 * CHOOSE(CONTROL!$C$9, $D$9, 100%, $F$9) + CHOOSE(CONTROL!$C$27, 0.0021, 0)</f>
        <v>68.791799999999995</v>
      </c>
      <c r="H411" s="14">
        <f>68.655 * CHOOSE(CONTROL!$C$9, $D$9, 100%, $F$9) + CHOOSE(CONTROL!$C$27, 0.0021, 0)</f>
        <v>68.6571</v>
      </c>
      <c r="I411" s="14">
        <f>68.655 * CHOOSE(CONTROL!$C$9, $D$9, 100%, $F$9) + CHOOSE(CONTROL!$C$27, 0.0021, 0)</f>
        <v>68.6571</v>
      </c>
      <c r="J411" s="14">
        <f>68.655 * CHOOSE(CONTROL!$C$9, $D$9, 100%, $F$9) + CHOOSE(CONTROL!$C$27, 0.0021, 0)</f>
        <v>68.6571</v>
      </c>
      <c r="K411" s="14">
        <f>68.655 * CHOOSE(CONTROL!$C$9, $D$9, 100%, $F$9) + CHOOSE(CONTROL!$C$27, 0.0021, 0)</f>
        <v>68.6571</v>
      </c>
      <c r="L411" s="14"/>
    </row>
    <row r="412" spans="1:12" ht="15.75" x14ac:dyDescent="0.25">
      <c r="A412" s="33">
        <v>53478</v>
      </c>
      <c r="B412" s="14">
        <f>70.49 * CHOOSE(CONTROL!$C$9, $D$9, 100%, $F$9) + CHOOSE(CONTROL!$C$27, 0.0021, 0)</f>
        <v>70.492099999999994</v>
      </c>
      <c r="C412" s="14">
        <f>70.0577 * CHOOSE(CONTROL!$C$9, $D$9, 100%, $F$9) + CHOOSE(CONTROL!$C$27, 0.0021, 0)</f>
        <v>70.059799999999996</v>
      </c>
      <c r="D412" s="14">
        <f>70.0577 * CHOOSE(CONTROL!$C$9, $D$9, 100%, $F$9) + CHOOSE(CONTROL!$C$27, 0.0021, 0)</f>
        <v>70.059799999999996</v>
      </c>
      <c r="E412" s="14">
        <f>69.9211 * CHOOSE(CONTROL!$C$9, $D$9, 100%, $F$9) + CHOOSE(CONTROL!$C$27, 0.0021, 0)</f>
        <v>69.923199999999994</v>
      </c>
      <c r="F412" s="14">
        <f>69.9211 * CHOOSE(CONTROL!$C$9, $D$9, 100%, $F$9) + CHOOSE(CONTROL!$C$27, 0.0021, 0)</f>
        <v>69.923199999999994</v>
      </c>
      <c r="G412" s="14">
        <f>70.1924 * CHOOSE(CONTROL!$C$9, $D$9, 100%, $F$9) + CHOOSE(CONTROL!$C$27, 0.0021, 0)</f>
        <v>70.194500000000005</v>
      </c>
      <c r="H412" s="14">
        <f>70.0577 * CHOOSE(CONTROL!$C$9, $D$9, 100%, $F$9) + CHOOSE(CONTROL!$C$27, 0.0021, 0)</f>
        <v>70.059799999999996</v>
      </c>
      <c r="I412" s="14">
        <f>70.0577 * CHOOSE(CONTROL!$C$9, $D$9, 100%, $F$9) + CHOOSE(CONTROL!$C$27, 0.0021, 0)</f>
        <v>70.059799999999996</v>
      </c>
      <c r="J412" s="14">
        <f>70.0577 * CHOOSE(CONTROL!$C$9, $D$9, 100%, $F$9) + CHOOSE(CONTROL!$C$27, 0.0021, 0)</f>
        <v>70.059799999999996</v>
      </c>
      <c r="K412" s="14">
        <f>70.0577 * CHOOSE(CONTROL!$C$9, $D$9, 100%, $F$9) + CHOOSE(CONTROL!$C$27, 0.0021, 0)</f>
        <v>70.059799999999996</v>
      </c>
      <c r="L412" s="14"/>
    </row>
    <row r="413" spans="1:12" ht="15.75" x14ac:dyDescent="0.25">
      <c r="A413" s="33">
        <v>53508</v>
      </c>
      <c r="B413" s="14">
        <f>71.3302 * CHOOSE(CONTROL!$C$9, $D$9, 100%, $F$9) + CHOOSE(CONTROL!$C$27, 0.0021, 0)</f>
        <v>71.332300000000004</v>
      </c>
      <c r="C413" s="14">
        <f>70.8979 * CHOOSE(CONTROL!$C$9, $D$9, 100%, $F$9) + CHOOSE(CONTROL!$C$27, 0.0021, 0)</f>
        <v>70.900000000000006</v>
      </c>
      <c r="D413" s="14">
        <f>70.8979 * CHOOSE(CONTROL!$C$9, $D$9, 100%, $F$9) + CHOOSE(CONTROL!$C$27, 0.0021, 0)</f>
        <v>70.900000000000006</v>
      </c>
      <c r="E413" s="14">
        <f>70.7612 * CHOOSE(CONTROL!$C$9, $D$9, 100%, $F$9) + CHOOSE(CONTROL!$C$27, 0.0021, 0)</f>
        <v>70.763300000000001</v>
      </c>
      <c r="F413" s="14">
        <f>70.7612 * CHOOSE(CONTROL!$C$9, $D$9, 100%, $F$9) + CHOOSE(CONTROL!$C$27, 0.0021, 0)</f>
        <v>70.763300000000001</v>
      </c>
      <c r="G413" s="14">
        <f>71.0326 * CHOOSE(CONTROL!$C$9, $D$9, 100%, $F$9) + CHOOSE(CONTROL!$C$27, 0.0021, 0)</f>
        <v>71.034700000000001</v>
      </c>
      <c r="H413" s="14">
        <f>70.8979 * CHOOSE(CONTROL!$C$9, $D$9, 100%, $F$9) + CHOOSE(CONTROL!$C$27, 0.0021, 0)</f>
        <v>70.900000000000006</v>
      </c>
      <c r="I413" s="14">
        <f>70.8979 * CHOOSE(CONTROL!$C$9, $D$9, 100%, $F$9) + CHOOSE(CONTROL!$C$27, 0.0021, 0)</f>
        <v>70.900000000000006</v>
      </c>
      <c r="J413" s="14">
        <f>70.8979 * CHOOSE(CONTROL!$C$9, $D$9, 100%, $F$9) + CHOOSE(CONTROL!$C$27, 0.0021, 0)</f>
        <v>70.900000000000006</v>
      </c>
      <c r="K413" s="14">
        <f>70.8979 * CHOOSE(CONTROL!$C$9, $D$9, 100%, $F$9) + CHOOSE(CONTROL!$C$27, 0.0021, 0)</f>
        <v>70.900000000000006</v>
      </c>
      <c r="L413" s="14"/>
    </row>
    <row r="414" spans="1:12" ht="15.75" x14ac:dyDescent="0.25">
      <c r="A414" s="33">
        <v>53539</v>
      </c>
      <c r="B414" s="14">
        <f>72.7161 * CHOOSE(CONTROL!$C$9, $D$9, 100%, $F$9) + CHOOSE(CONTROL!$C$27, 0.0021, 0)</f>
        <v>72.718199999999996</v>
      </c>
      <c r="C414" s="14">
        <f>72.2839 * CHOOSE(CONTROL!$C$9, $D$9, 100%, $F$9) + CHOOSE(CONTROL!$C$27, 0.0021, 0)</f>
        <v>72.286000000000001</v>
      </c>
      <c r="D414" s="14">
        <f>72.2839 * CHOOSE(CONTROL!$C$9, $D$9, 100%, $F$9) + CHOOSE(CONTROL!$C$27, 0.0021, 0)</f>
        <v>72.286000000000001</v>
      </c>
      <c r="E414" s="14">
        <f>72.1472 * CHOOSE(CONTROL!$C$9, $D$9, 100%, $F$9) + CHOOSE(CONTROL!$C$27, 0.0021, 0)</f>
        <v>72.149299999999997</v>
      </c>
      <c r="F414" s="14">
        <f>72.1472 * CHOOSE(CONTROL!$C$9, $D$9, 100%, $F$9) + CHOOSE(CONTROL!$C$27, 0.0021, 0)</f>
        <v>72.149299999999997</v>
      </c>
      <c r="G414" s="14">
        <f>72.4186 * CHOOSE(CONTROL!$C$9, $D$9, 100%, $F$9) + CHOOSE(CONTROL!$C$27, 0.0021, 0)</f>
        <v>72.420699999999997</v>
      </c>
      <c r="H414" s="14">
        <f>72.2839 * CHOOSE(CONTROL!$C$9, $D$9, 100%, $F$9) + CHOOSE(CONTROL!$C$27, 0.0021, 0)</f>
        <v>72.286000000000001</v>
      </c>
      <c r="I414" s="14">
        <f>72.2839 * CHOOSE(CONTROL!$C$9, $D$9, 100%, $F$9) + CHOOSE(CONTROL!$C$27, 0.0021, 0)</f>
        <v>72.286000000000001</v>
      </c>
      <c r="J414" s="14">
        <f>72.2839 * CHOOSE(CONTROL!$C$9, $D$9, 100%, $F$9) + CHOOSE(CONTROL!$C$27, 0.0021, 0)</f>
        <v>72.286000000000001</v>
      </c>
      <c r="K414" s="14">
        <f>72.2839 * CHOOSE(CONTROL!$C$9, $D$9, 100%, $F$9) + CHOOSE(CONTROL!$C$27, 0.0021, 0)</f>
        <v>72.286000000000001</v>
      </c>
      <c r="L414" s="14"/>
    </row>
    <row r="415" spans="1:12" ht="15.75" x14ac:dyDescent="0.25">
      <c r="A415" s="33">
        <v>53570</v>
      </c>
      <c r="B415" s="14">
        <f>73.1392 * CHOOSE(CONTROL!$C$9, $D$9, 100%, $F$9) + CHOOSE(CONTROL!$C$27, 0.0021, 0)</f>
        <v>73.141300000000001</v>
      </c>
      <c r="C415" s="14">
        <f>72.7069 * CHOOSE(CONTROL!$C$9, $D$9, 100%, $F$9) + CHOOSE(CONTROL!$C$27, 0.0021, 0)</f>
        <v>72.709000000000003</v>
      </c>
      <c r="D415" s="14">
        <f>72.7069 * CHOOSE(CONTROL!$C$9, $D$9, 100%, $F$9) + CHOOSE(CONTROL!$C$27, 0.0021, 0)</f>
        <v>72.709000000000003</v>
      </c>
      <c r="E415" s="14">
        <f>72.5703 * CHOOSE(CONTROL!$C$9, $D$9, 100%, $F$9) + CHOOSE(CONTROL!$C$27, 0.0021, 0)</f>
        <v>72.572400000000002</v>
      </c>
      <c r="F415" s="14">
        <f>72.5703 * CHOOSE(CONTROL!$C$9, $D$9, 100%, $F$9) + CHOOSE(CONTROL!$C$27, 0.0021, 0)</f>
        <v>72.572400000000002</v>
      </c>
      <c r="G415" s="14">
        <f>72.8416 * CHOOSE(CONTROL!$C$9, $D$9, 100%, $F$9) + CHOOSE(CONTROL!$C$27, 0.0021, 0)</f>
        <v>72.843699999999998</v>
      </c>
      <c r="H415" s="14">
        <f>72.7069 * CHOOSE(CONTROL!$C$9, $D$9, 100%, $F$9) + CHOOSE(CONTROL!$C$27, 0.0021, 0)</f>
        <v>72.709000000000003</v>
      </c>
      <c r="I415" s="14">
        <f>72.7069 * CHOOSE(CONTROL!$C$9, $D$9, 100%, $F$9) + CHOOSE(CONTROL!$C$27, 0.0021, 0)</f>
        <v>72.709000000000003</v>
      </c>
      <c r="J415" s="14">
        <f>72.7069 * CHOOSE(CONTROL!$C$9, $D$9, 100%, $F$9) + CHOOSE(CONTROL!$C$27, 0.0021, 0)</f>
        <v>72.709000000000003</v>
      </c>
      <c r="K415" s="14">
        <f>72.7069 * CHOOSE(CONTROL!$C$9, $D$9, 100%, $F$9) + CHOOSE(CONTROL!$C$27, 0.0021, 0)</f>
        <v>72.709000000000003</v>
      </c>
      <c r="L415" s="14"/>
    </row>
    <row r="416" spans="1:12" ht="15.75" x14ac:dyDescent="0.25">
      <c r="A416" s="33">
        <v>53600</v>
      </c>
      <c r="B416" s="14">
        <f>74.5798 * CHOOSE(CONTROL!$C$9, $D$9, 100%, $F$9) + CHOOSE(CONTROL!$C$27, 0.0021, 0)</f>
        <v>74.581900000000005</v>
      </c>
      <c r="C416" s="14">
        <f>74.1476 * CHOOSE(CONTROL!$C$9, $D$9, 100%, $F$9) + CHOOSE(CONTROL!$C$27, 0.0021, 0)</f>
        <v>74.149699999999996</v>
      </c>
      <c r="D416" s="14">
        <f>74.1476 * CHOOSE(CONTROL!$C$9, $D$9, 100%, $F$9) + CHOOSE(CONTROL!$C$27, 0.0021, 0)</f>
        <v>74.149699999999996</v>
      </c>
      <c r="E416" s="14">
        <f>74.0109 * CHOOSE(CONTROL!$C$9, $D$9, 100%, $F$9) + CHOOSE(CONTROL!$C$27, 0.0021, 0)</f>
        <v>74.013000000000005</v>
      </c>
      <c r="F416" s="14">
        <f>74.0109 * CHOOSE(CONTROL!$C$9, $D$9, 100%, $F$9) + CHOOSE(CONTROL!$C$27, 0.0021, 0)</f>
        <v>74.013000000000005</v>
      </c>
      <c r="G416" s="14">
        <f>74.2823 * CHOOSE(CONTROL!$C$9, $D$9, 100%, $F$9) + CHOOSE(CONTROL!$C$27, 0.0021, 0)</f>
        <v>74.284400000000005</v>
      </c>
      <c r="H416" s="14">
        <f>74.1476 * CHOOSE(CONTROL!$C$9, $D$9, 100%, $F$9) + CHOOSE(CONTROL!$C$27, 0.0021, 0)</f>
        <v>74.149699999999996</v>
      </c>
      <c r="I416" s="14">
        <f>74.1476 * CHOOSE(CONTROL!$C$9, $D$9, 100%, $F$9) + CHOOSE(CONTROL!$C$27, 0.0021, 0)</f>
        <v>74.149699999999996</v>
      </c>
      <c r="J416" s="14">
        <f>74.1476 * CHOOSE(CONTROL!$C$9, $D$9, 100%, $F$9) + CHOOSE(CONTROL!$C$27, 0.0021, 0)</f>
        <v>74.149699999999996</v>
      </c>
      <c r="K416" s="14">
        <f>74.1476 * CHOOSE(CONTROL!$C$9, $D$9, 100%, $F$9) + CHOOSE(CONTROL!$C$27, 0.0021, 0)</f>
        <v>74.149699999999996</v>
      </c>
      <c r="L416" s="14"/>
    </row>
    <row r="417" spans="1:12" ht="15.75" x14ac:dyDescent="0.25">
      <c r="A417" s="33">
        <v>53631</v>
      </c>
      <c r="B417" s="14">
        <f>76.4035 * CHOOSE(CONTROL!$C$9, $D$9, 100%, $F$9) + CHOOSE(CONTROL!$C$27, 0.0021, 0)</f>
        <v>76.405599999999993</v>
      </c>
      <c r="C417" s="14">
        <f>75.9712 * CHOOSE(CONTROL!$C$9, $D$9, 100%, $F$9) + CHOOSE(CONTROL!$C$27, 0.0021, 0)</f>
        <v>75.973299999999995</v>
      </c>
      <c r="D417" s="14">
        <f>75.9712 * CHOOSE(CONTROL!$C$9, $D$9, 100%, $F$9) + CHOOSE(CONTROL!$C$27, 0.0021, 0)</f>
        <v>75.973299999999995</v>
      </c>
      <c r="E417" s="14">
        <f>75.8346 * CHOOSE(CONTROL!$C$9, $D$9, 100%, $F$9) + CHOOSE(CONTROL!$C$27, 0.0021, 0)</f>
        <v>75.836699999999993</v>
      </c>
      <c r="F417" s="14">
        <f>75.8346 * CHOOSE(CONTROL!$C$9, $D$9, 100%, $F$9) + CHOOSE(CONTROL!$C$27, 0.0021, 0)</f>
        <v>75.836699999999993</v>
      </c>
      <c r="G417" s="14">
        <f>76.106 * CHOOSE(CONTROL!$C$9, $D$9, 100%, $F$9) + CHOOSE(CONTROL!$C$27, 0.0021, 0)</f>
        <v>76.108099999999993</v>
      </c>
      <c r="H417" s="14">
        <f>75.9712 * CHOOSE(CONTROL!$C$9, $D$9, 100%, $F$9) + CHOOSE(CONTROL!$C$27, 0.0021, 0)</f>
        <v>75.973299999999995</v>
      </c>
      <c r="I417" s="14">
        <f>75.9712 * CHOOSE(CONTROL!$C$9, $D$9, 100%, $F$9) + CHOOSE(CONTROL!$C$27, 0.0021, 0)</f>
        <v>75.973299999999995</v>
      </c>
      <c r="J417" s="14">
        <f>75.9712 * CHOOSE(CONTROL!$C$9, $D$9, 100%, $F$9) + CHOOSE(CONTROL!$C$27, 0.0021, 0)</f>
        <v>75.973299999999995</v>
      </c>
      <c r="K417" s="14">
        <f>75.9712 * CHOOSE(CONTROL!$C$9, $D$9, 100%, $F$9) + CHOOSE(CONTROL!$C$27, 0.0021, 0)</f>
        <v>75.973299999999995</v>
      </c>
      <c r="L417" s="14"/>
    </row>
    <row r="418" spans="1:12" ht="15.75" x14ac:dyDescent="0.25">
      <c r="A418" s="33">
        <v>53661</v>
      </c>
      <c r="B418" s="14">
        <f>76.5747 * CHOOSE(CONTROL!$C$9, $D$9, 100%, $F$9) + CHOOSE(CONTROL!$C$27, 0.0021, 0)</f>
        <v>76.576800000000006</v>
      </c>
      <c r="C418" s="14">
        <f>76.1424 * CHOOSE(CONTROL!$C$9, $D$9, 100%, $F$9) + CHOOSE(CONTROL!$C$27, 0.0021, 0)</f>
        <v>76.144499999999994</v>
      </c>
      <c r="D418" s="14">
        <f>76.1424 * CHOOSE(CONTROL!$C$9, $D$9, 100%, $F$9) + CHOOSE(CONTROL!$C$27, 0.0021, 0)</f>
        <v>76.144499999999994</v>
      </c>
      <c r="E418" s="14">
        <f>76.0058 * CHOOSE(CONTROL!$C$9, $D$9, 100%, $F$9) + CHOOSE(CONTROL!$C$27, 0.0021, 0)</f>
        <v>76.007899999999992</v>
      </c>
      <c r="F418" s="14">
        <f>76.0058 * CHOOSE(CONTROL!$C$9, $D$9, 100%, $F$9) + CHOOSE(CONTROL!$C$27, 0.0021, 0)</f>
        <v>76.007899999999992</v>
      </c>
      <c r="G418" s="14">
        <f>76.2772 * CHOOSE(CONTROL!$C$9, $D$9, 100%, $F$9) + CHOOSE(CONTROL!$C$27, 0.0021, 0)</f>
        <v>76.279299999999992</v>
      </c>
      <c r="H418" s="14">
        <f>76.1424 * CHOOSE(CONTROL!$C$9, $D$9, 100%, $F$9) + CHOOSE(CONTROL!$C$27, 0.0021, 0)</f>
        <v>76.144499999999994</v>
      </c>
      <c r="I418" s="14">
        <f>76.1424 * CHOOSE(CONTROL!$C$9, $D$9, 100%, $F$9) + CHOOSE(CONTROL!$C$27, 0.0021, 0)</f>
        <v>76.144499999999994</v>
      </c>
      <c r="J418" s="14">
        <f>76.1424 * CHOOSE(CONTROL!$C$9, $D$9, 100%, $F$9) + CHOOSE(CONTROL!$C$27, 0.0021, 0)</f>
        <v>76.144499999999994</v>
      </c>
      <c r="K418" s="14">
        <f>76.1424 * CHOOSE(CONTROL!$C$9, $D$9, 100%, $F$9) + CHOOSE(CONTROL!$C$27, 0.0021, 0)</f>
        <v>76.144499999999994</v>
      </c>
      <c r="L418" s="14"/>
    </row>
    <row r="419" spans="1:12" ht="15.75" x14ac:dyDescent="0.25">
      <c r="A419" s="33">
        <v>53692</v>
      </c>
      <c r="B419" s="14">
        <f>75.1182 * CHOOSE(CONTROL!$C$9, $D$9, 100%, $F$9) + CHOOSE(CONTROL!$C$27, 0.0021, 0)</f>
        <v>75.1203</v>
      </c>
      <c r="C419" s="14">
        <f>74.6859 * CHOOSE(CONTROL!$C$9, $D$9, 100%, $F$9) + CHOOSE(CONTROL!$C$27, 0.0021, 0)</f>
        <v>74.688000000000002</v>
      </c>
      <c r="D419" s="14">
        <f>74.6859 * CHOOSE(CONTROL!$C$9, $D$9, 100%, $F$9) + CHOOSE(CONTROL!$C$27, 0.0021, 0)</f>
        <v>74.688000000000002</v>
      </c>
      <c r="E419" s="14">
        <f>74.5493 * CHOOSE(CONTROL!$C$9, $D$9, 100%, $F$9) + CHOOSE(CONTROL!$C$27, 0.0021, 0)</f>
        <v>74.551400000000001</v>
      </c>
      <c r="F419" s="14">
        <f>74.5493 * CHOOSE(CONTROL!$C$9, $D$9, 100%, $F$9) + CHOOSE(CONTROL!$C$27, 0.0021, 0)</f>
        <v>74.551400000000001</v>
      </c>
      <c r="G419" s="14">
        <f>74.8206 * CHOOSE(CONTROL!$C$9, $D$9, 100%, $F$9) + CHOOSE(CONTROL!$C$27, 0.0021, 0)</f>
        <v>74.822699999999998</v>
      </c>
      <c r="H419" s="14">
        <f>74.6859 * CHOOSE(CONTROL!$C$9, $D$9, 100%, $F$9) + CHOOSE(CONTROL!$C$27, 0.0021, 0)</f>
        <v>74.688000000000002</v>
      </c>
      <c r="I419" s="14">
        <f>74.6859 * CHOOSE(CONTROL!$C$9, $D$9, 100%, $F$9) + CHOOSE(CONTROL!$C$27, 0.0021, 0)</f>
        <v>74.688000000000002</v>
      </c>
      <c r="J419" s="14">
        <f>74.6859 * CHOOSE(CONTROL!$C$9, $D$9, 100%, $F$9) + CHOOSE(CONTROL!$C$27, 0.0021, 0)</f>
        <v>74.688000000000002</v>
      </c>
      <c r="K419" s="14">
        <f>74.6859 * CHOOSE(CONTROL!$C$9, $D$9, 100%, $F$9) + CHOOSE(CONTROL!$C$27, 0.0021, 0)</f>
        <v>74.688000000000002</v>
      </c>
      <c r="L419" s="14"/>
    </row>
    <row r="420" spans="1:12" ht="15.75" x14ac:dyDescent="0.25">
      <c r="A420" s="33">
        <v>53723</v>
      </c>
      <c r="B420" s="14">
        <f>74.1976 * CHOOSE(CONTROL!$C$9, $D$9, 100%, $F$9) + CHOOSE(CONTROL!$C$27, 0.0021, 0)</f>
        <v>74.199699999999993</v>
      </c>
      <c r="C420" s="14">
        <f>73.7654 * CHOOSE(CONTROL!$C$9, $D$9, 100%, $F$9) + CHOOSE(CONTROL!$C$27, 0.0021, 0)</f>
        <v>73.767499999999998</v>
      </c>
      <c r="D420" s="14">
        <f>73.7654 * CHOOSE(CONTROL!$C$9, $D$9, 100%, $F$9) + CHOOSE(CONTROL!$C$27, 0.0021, 0)</f>
        <v>73.767499999999998</v>
      </c>
      <c r="E420" s="14">
        <f>73.6287 * CHOOSE(CONTROL!$C$9, $D$9, 100%, $F$9) + CHOOSE(CONTROL!$C$27, 0.0021, 0)</f>
        <v>73.630799999999994</v>
      </c>
      <c r="F420" s="14">
        <f>73.6287 * CHOOSE(CONTROL!$C$9, $D$9, 100%, $F$9) + CHOOSE(CONTROL!$C$27, 0.0021, 0)</f>
        <v>73.630799999999994</v>
      </c>
      <c r="G420" s="14">
        <f>73.9001 * CHOOSE(CONTROL!$C$9, $D$9, 100%, $F$9) + CHOOSE(CONTROL!$C$27, 0.0021, 0)</f>
        <v>73.902199999999993</v>
      </c>
      <c r="H420" s="14">
        <f>73.7654 * CHOOSE(CONTROL!$C$9, $D$9, 100%, $F$9) + CHOOSE(CONTROL!$C$27, 0.0021, 0)</f>
        <v>73.767499999999998</v>
      </c>
      <c r="I420" s="14">
        <f>73.7654 * CHOOSE(CONTROL!$C$9, $D$9, 100%, $F$9) + CHOOSE(CONTROL!$C$27, 0.0021, 0)</f>
        <v>73.767499999999998</v>
      </c>
      <c r="J420" s="14">
        <f>73.7654 * CHOOSE(CONTROL!$C$9, $D$9, 100%, $F$9) + CHOOSE(CONTROL!$C$27, 0.0021, 0)</f>
        <v>73.767499999999998</v>
      </c>
      <c r="K420" s="14">
        <f>73.7654 * CHOOSE(CONTROL!$C$9, $D$9, 100%, $F$9) + CHOOSE(CONTROL!$C$27, 0.0021, 0)</f>
        <v>73.767499999999998</v>
      </c>
      <c r="L420" s="14"/>
    </row>
    <row r="421" spans="1:12" ht="15.75" x14ac:dyDescent="0.25">
      <c r="A421" s="33">
        <v>53751</v>
      </c>
      <c r="B421" s="14">
        <f>72.1637 * CHOOSE(CONTROL!$C$9, $D$9, 100%, $F$9) + CHOOSE(CONTROL!$C$27, 0.0021, 0)</f>
        <v>72.165800000000004</v>
      </c>
      <c r="C421" s="14">
        <f>71.7315 * CHOOSE(CONTROL!$C$9, $D$9, 100%, $F$9) + CHOOSE(CONTROL!$C$27, 0.0021, 0)</f>
        <v>71.733599999999996</v>
      </c>
      <c r="D421" s="14">
        <f>71.7315 * CHOOSE(CONTROL!$C$9, $D$9, 100%, $F$9) + CHOOSE(CONTROL!$C$27, 0.0021, 0)</f>
        <v>71.733599999999996</v>
      </c>
      <c r="E421" s="14">
        <f>71.5948 * CHOOSE(CONTROL!$C$9, $D$9, 100%, $F$9) + CHOOSE(CONTROL!$C$27, 0.0021, 0)</f>
        <v>71.596900000000005</v>
      </c>
      <c r="F421" s="14">
        <f>71.5948 * CHOOSE(CONTROL!$C$9, $D$9, 100%, $F$9) + CHOOSE(CONTROL!$C$27, 0.0021, 0)</f>
        <v>71.596900000000005</v>
      </c>
      <c r="G421" s="14">
        <f>71.8662 * CHOOSE(CONTROL!$C$9, $D$9, 100%, $F$9) + CHOOSE(CONTROL!$C$27, 0.0021, 0)</f>
        <v>71.868300000000005</v>
      </c>
      <c r="H421" s="14">
        <f>71.7315 * CHOOSE(CONTROL!$C$9, $D$9, 100%, $F$9) + CHOOSE(CONTROL!$C$27, 0.0021, 0)</f>
        <v>71.733599999999996</v>
      </c>
      <c r="I421" s="14">
        <f>71.7315 * CHOOSE(CONTROL!$C$9, $D$9, 100%, $F$9) + CHOOSE(CONTROL!$C$27, 0.0021, 0)</f>
        <v>71.733599999999996</v>
      </c>
      <c r="J421" s="14">
        <f>71.7315 * CHOOSE(CONTROL!$C$9, $D$9, 100%, $F$9) + CHOOSE(CONTROL!$C$27, 0.0021, 0)</f>
        <v>71.733599999999996</v>
      </c>
      <c r="K421" s="14">
        <f>71.7315 * CHOOSE(CONTROL!$C$9, $D$9, 100%, $F$9) + CHOOSE(CONTROL!$C$27, 0.0021, 0)</f>
        <v>71.733599999999996</v>
      </c>
      <c r="L421" s="14"/>
    </row>
    <row r="422" spans="1:12" ht="15.75" x14ac:dyDescent="0.25">
      <c r="A422" s="33">
        <v>53782</v>
      </c>
      <c r="B422" s="14">
        <f>71.3242 * CHOOSE(CONTROL!$C$9, $D$9, 100%, $F$9) + CHOOSE(CONTROL!$C$27, 0.0021, 0)</f>
        <v>71.326300000000003</v>
      </c>
      <c r="C422" s="14">
        <f>70.8919 * CHOOSE(CONTROL!$C$9, $D$9, 100%, $F$9) + CHOOSE(CONTROL!$C$27, 0.0021, 0)</f>
        <v>70.894000000000005</v>
      </c>
      <c r="D422" s="14">
        <f>70.8919 * CHOOSE(CONTROL!$C$9, $D$9, 100%, $F$9) + CHOOSE(CONTROL!$C$27, 0.0021, 0)</f>
        <v>70.894000000000005</v>
      </c>
      <c r="E422" s="14">
        <f>70.7552 * CHOOSE(CONTROL!$C$9, $D$9, 100%, $F$9) + CHOOSE(CONTROL!$C$27, 0.0021, 0)</f>
        <v>70.757300000000001</v>
      </c>
      <c r="F422" s="14">
        <f>70.7552 * CHOOSE(CONTROL!$C$9, $D$9, 100%, $F$9) + CHOOSE(CONTROL!$C$27, 0.0021, 0)</f>
        <v>70.757300000000001</v>
      </c>
      <c r="G422" s="14">
        <f>71.0266 * CHOOSE(CONTROL!$C$9, $D$9, 100%, $F$9) + CHOOSE(CONTROL!$C$27, 0.0021, 0)</f>
        <v>71.028700000000001</v>
      </c>
      <c r="H422" s="14">
        <f>70.8919 * CHOOSE(CONTROL!$C$9, $D$9, 100%, $F$9) + CHOOSE(CONTROL!$C$27, 0.0021, 0)</f>
        <v>70.894000000000005</v>
      </c>
      <c r="I422" s="14">
        <f>70.8919 * CHOOSE(CONTROL!$C$9, $D$9, 100%, $F$9) + CHOOSE(CONTROL!$C$27, 0.0021, 0)</f>
        <v>70.894000000000005</v>
      </c>
      <c r="J422" s="14">
        <f>70.8919 * CHOOSE(CONTROL!$C$9, $D$9, 100%, $F$9) + CHOOSE(CONTROL!$C$27, 0.0021, 0)</f>
        <v>70.894000000000005</v>
      </c>
      <c r="K422" s="14">
        <f>70.8919 * CHOOSE(CONTROL!$C$9, $D$9, 100%, $F$9) + CHOOSE(CONTROL!$C$27, 0.0021, 0)</f>
        <v>70.894000000000005</v>
      </c>
      <c r="L422" s="14"/>
    </row>
    <row r="423" spans="1:12" ht="15.75" x14ac:dyDescent="0.25">
      <c r="A423" s="33">
        <v>53812</v>
      </c>
      <c r="B423" s="14">
        <f>70.3217 * CHOOSE(CONTROL!$C$9, $D$9, 100%, $F$9) + CHOOSE(CONTROL!$C$27, 0.0021, 0)</f>
        <v>70.323800000000006</v>
      </c>
      <c r="C423" s="14">
        <f>69.8894 * CHOOSE(CONTROL!$C$9, $D$9, 100%, $F$9) + CHOOSE(CONTROL!$C$27, 0.0021, 0)</f>
        <v>69.891499999999994</v>
      </c>
      <c r="D423" s="14">
        <f>69.8894 * CHOOSE(CONTROL!$C$9, $D$9, 100%, $F$9) + CHOOSE(CONTROL!$C$27, 0.0021, 0)</f>
        <v>69.891499999999994</v>
      </c>
      <c r="E423" s="14">
        <f>69.7528 * CHOOSE(CONTROL!$C$9, $D$9, 100%, $F$9) + CHOOSE(CONTROL!$C$27, 0.0021, 0)</f>
        <v>69.754899999999992</v>
      </c>
      <c r="F423" s="14">
        <f>69.7528 * CHOOSE(CONTROL!$C$9, $D$9, 100%, $F$9) + CHOOSE(CONTROL!$C$27, 0.0021, 0)</f>
        <v>69.754899999999992</v>
      </c>
      <c r="G423" s="14">
        <f>70.0241 * CHOOSE(CONTROL!$C$9, $D$9, 100%, $F$9) + CHOOSE(CONTROL!$C$27, 0.0021, 0)</f>
        <v>70.026200000000003</v>
      </c>
      <c r="H423" s="14">
        <f>69.8894 * CHOOSE(CONTROL!$C$9, $D$9, 100%, $F$9) + CHOOSE(CONTROL!$C$27, 0.0021, 0)</f>
        <v>69.891499999999994</v>
      </c>
      <c r="I423" s="14">
        <f>69.8894 * CHOOSE(CONTROL!$C$9, $D$9, 100%, $F$9) + CHOOSE(CONTROL!$C$27, 0.0021, 0)</f>
        <v>69.891499999999994</v>
      </c>
      <c r="J423" s="14">
        <f>69.8894 * CHOOSE(CONTROL!$C$9, $D$9, 100%, $F$9) + CHOOSE(CONTROL!$C$27, 0.0021, 0)</f>
        <v>69.891499999999994</v>
      </c>
      <c r="K423" s="14">
        <f>69.8894 * CHOOSE(CONTROL!$C$9, $D$9, 100%, $F$9) + CHOOSE(CONTROL!$C$27, 0.0021, 0)</f>
        <v>69.891499999999994</v>
      </c>
      <c r="L423" s="14"/>
    </row>
    <row r="424" spans="1:12" ht="15.75" x14ac:dyDescent="0.25">
      <c r="A424" s="33">
        <v>53843</v>
      </c>
      <c r="B424" s="14">
        <f>71.7503 * CHOOSE(CONTROL!$C$9, $D$9, 100%, $F$9) + CHOOSE(CONTROL!$C$27, 0.0021, 0)</f>
        <v>71.752399999999994</v>
      </c>
      <c r="C424" s="14">
        <f>71.3181 * CHOOSE(CONTROL!$C$9, $D$9, 100%, $F$9) + CHOOSE(CONTROL!$C$27, 0.0021, 0)</f>
        <v>71.3202</v>
      </c>
      <c r="D424" s="14">
        <f>71.3181 * CHOOSE(CONTROL!$C$9, $D$9, 100%, $F$9) + CHOOSE(CONTROL!$C$27, 0.0021, 0)</f>
        <v>71.3202</v>
      </c>
      <c r="E424" s="14">
        <f>71.1814 * CHOOSE(CONTROL!$C$9, $D$9, 100%, $F$9) + CHOOSE(CONTROL!$C$27, 0.0021, 0)</f>
        <v>71.183499999999995</v>
      </c>
      <c r="F424" s="14">
        <f>71.1814 * CHOOSE(CONTROL!$C$9, $D$9, 100%, $F$9) + CHOOSE(CONTROL!$C$27, 0.0021, 0)</f>
        <v>71.183499999999995</v>
      </c>
      <c r="G424" s="14">
        <f>71.4528 * CHOOSE(CONTROL!$C$9, $D$9, 100%, $F$9) + CHOOSE(CONTROL!$C$27, 0.0021, 0)</f>
        <v>71.454899999999995</v>
      </c>
      <c r="H424" s="14">
        <f>71.3181 * CHOOSE(CONTROL!$C$9, $D$9, 100%, $F$9) + CHOOSE(CONTROL!$C$27, 0.0021, 0)</f>
        <v>71.3202</v>
      </c>
      <c r="I424" s="14">
        <f>71.3181 * CHOOSE(CONTROL!$C$9, $D$9, 100%, $F$9) + CHOOSE(CONTROL!$C$27, 0.0021, 0)</f>
        <v>71.3202</v>
      </c>
      <c r="J424" s="14">
        <f>71.3181 * CHOOSE(CONTROL!$C$9, $D$9, 100%, $F$9) + CHOOSE(CONTROL!$C$27, 0.0021, 0)</f>
        <v>71.3202</v>
      </c>
      <c r="K424" s="14">
        <f>71.3181 * CHOOSE(CONTROL!$C$9, $D$9, 100%, $F$9) + CHOOSE(CONTROL!$C$27, 0.0021, 0)</f>
        <v>71.3202</v>
      </c>
      <c r="L424" s="14"/>
    </row>
    <row r="425" spans="1:12" ht="15.75" x14ac:dyDescent="0.25">
      <c r="A425" s="33">
        <v>53873</v>
      </c>
      <c r="B425" s="14">
        <f>72.606 * CHOOSE(CONTROL!$C$9, $D$9, 100%, $F$9) + CHOOSE(CONTROL!$C$27, 0.0021, 0)</f>
        <v>72.608099999999993</v>
      </c>
      <c r="C425" s="14">
        <f>72.1738 * CHOOSE(CONTROL!$C$9, $D$9, 100%, $F$9) + CHOOSE(CONTROL!$C$27, 0.0021, 0)</f>
        <v>72.175899999999999</v>
      </c>
      <c r="D425" s="14">
        <f>72.1738 * CHOOSE(CONTROL!$C$9, $D$9, 100%, $F$9) + CHOOSE(CONTROL!$C$27, 0.0021, 0)</f>
        <v>72.175899999999999</v>
      </c>
      <c r="E425" s="14">
        <f>72.0371 * CHOOSE(CONTROL!$C$9, $D$9, 100%, $F$9) + CHOOSE(CONTROL!$C$27, 0.0021, 0)</f>
        <v>72.039199999999994</v>
      </c>
      <c r="F425" s="14">
        <f>72.0371 * CHOOSE(CONTROL!$C$9, $D$9, 100%, $F$9) + CHOOSE(CONTROL!$C$27, 0.0021, 0)</f>
        <v>72.039199999999994</v>
      </c>
      <c r="G425" s="14">
        <f>72.3085 * CHOOSE(CONTROL!$C$9, $D$9, 100%, $F$9) + CHOOSE(CONTROL!$C$27, 0.0021, 0)</f>
        <v>72.310599999999994</v>
      </c>
      <c r="H425" s="14">
        <f>72.1738 * CHOOSE(CONTROL!$C$9, $D$9, 100%, $F$9) + CHOOSE(CONTROL!$C$27, 0.0021, 0)</f>
        <v>72.175899999999999</v>
      </c>
      <c r="I425" s="14">
        <f>72.1738 * CHOOSE(CONTROL!$C$9, $D$9, 100%, $F$9) + CHOOSE(CONTROL!$C$27, 0.0021, 0)</f>
        <v>72.175899999999999</v>
      </c>
      <c r="J425" s="14">
        <f>72.1738 * CHOOSE(CONTROL!$C$9, $D$9, 100%, $F$9) + CHOOSE(CONTROL!$C$27, 0.0021, 0)</f>
        <v>72.175899999999999</v>
      </c>
      <c r="K425" s="14">
        <f>72.1738 * CHOOSE(CONTROL!$C$9, $D$9, 100%, $F$9) + CHOOSE(CONTROL!$C$27, 0.0021, 0)</f>
        <v>72.175899999999999</v>
      </c>
      <c r="L425" s="14"/>
    </row>
    <row r="426" spans="1:12" ht="15.75" x14ac:dyDescent="0.25">
      <c r="A426" s="33">
        <v>53904</v>
      </c>
      <c r="B426" s="14">
        <f>74.0176 * CHOOSE(CONTROL!$C$9, $D$9, 100%, $F$9) + CHOOSE(CONTROL!$C$27, 0.0021, 0)</f>
        <v>74.0197</v>
      </c>
      <c r="C426" s="14">
        <f>73.5854 * CHOOSE(CONTROL!$C$9, $D$9, 100%, $F$9) + CHOOSE(CONTROL!$C$27, 0.0021, 0)</f>
        <v>73.587500000000006</v>
      </c>
      <c r="D426" s="14">
        <f>73.5854 * CHOOSE(CONTROL!$C$9, $D$9, 100%, $F$9) + CHOOSE(CONTROL!$C$27, 0.0021, 0)</f>
        <v>73.587500000000006</v>
      </c>
      <c r="E426" s="14">
        <f>73.4487 * CHOOSE(CONTROL!$C$9, $D$9, 100%, $F$9) + CHOOSE(CONTROL!$C$27, 0.0021, 0)</f>
        <v>73.450800000000001</v>
      </c>
      <c r="F426" s="14">
        <f>73.4487 * CHOOSE(CONTROL!$C$9, $D$9, 100%, $F$9) + CHOOSE(CONTROL!$C$27, 0.0021, 0)</f>
        <v>73.450800000000001</v>
      </c>
      <c r="G426" s="14">
        <f>73.7201 * CHOOSE(CONTROL!$C$9, $D$9, 100%, $F$9) + CHOOSE(CONTROL!$C$27, 0.0021, 0)</f>
        <v>73.722200000000001</v>
      </c>
      <c r="H426" s="14">
        <f>73.5854 * CHOOSE(CONTROL!$C$9, $D$9, 100%, $F$9) + CHOOSE(CONTROL!$C$27, 0.0021, 0)</f>
        <v>73.587500000000006</v>
      </c>
      <c r="I426" s="14">
        <f>73.5854 * CHOOSE(CONTROL!$C$9, $D$9, 100%, $F$9) + CHOOSE(CONTROL!$C$27, 0.0021, 0)</f>
        <v>73.587500000000006</v>
      </c>
      <c r="J426" s="14">
        <f>73.5854 * CHOOSE(CONTROL!$C$9, $D$9, 100%, $F$9) + CHOOSE(CONTROL!$C$27, 0.0021, 0)</f>
        <v>73.587500000000006</v>
      </c>
      <c r="K426" s="14">
        <f>73.5854 * CHOOSE(CONTROL!$C$9, $D$9, 100%, $F$9) + CHOOSE(CONTROL!$C$27, 0.0021, 0)</f>
        <v>73.587500000000006</v>
      </c>
      <c r="L426" s="14"/>
    </row>
    <row r="427" spans="1:12" ht="15.75" x14ac:dyDescent="0.25">
      <c r="A427" s="33">
        <v>53935</v>
      </c>
      <c r="B427" s="14">
        <f>74.4485 * CHOOSE(CONTROL!$C$9, $D$9, 100%, $F$9) + CHOOSE(CONTROL!$C$27, 0.0021, 0)</f>
        <v>74.450599999999994</v>
      </c>
      <c r="C427" s="14">
        <f>74.0162 * CHOOSE(CONTROL!$C$9, $D$9, 100%, $F$9) + CHOOSE(CONTROL!$C$27, 0.0021, 0)</f>
        <v>74.018299999999996</v>
      </c>
      <c r="D427" s="14">
        <f>74.0162 * CHOOSE(CONTROL!$C$9, $D$9, 100%, $F$9) + CHOOSE(CONTROL!$C$27, 0.0021, 0)</f>
        <v>74.018299999999996</v>
      </c>
      <c r="E427" s="14">
        <f>73.8796 * CHOOSE(CONTROL!$C$9, $D$9, 100%, $F$9) + CHOOSE(CONTROL!$C$27, 0.0021, 0)</f>
        <v>73.881699999999995</v>
      </c>
      <c r="F427" s="14">
        <f>73.8796 * CHOOSE(CONTROL!$C$9, $D$9, 100%, $F$9) + CHOOSE(CONTROL!$C$27, 0.0021, 0)</f>
        <v>73.881699999999995</v>
      </c>
      <c r="G427" s="14">
        <f>74.1509 * CHOOSE(CONTROL!$C$9, $D$9, 100%, $F$9) + CHOOSE(CONTROL!$C$27, 0.0021, 0)</f>
        <v>74.152999999999992</v>
      </c>
      <c r="H427" s="14">
        <f>74.0162 * CHOOSE(CONTROL!$C$9, $D$9, 100%, $F$9) + CHOOSE(CONTROL!$C$27, 0.0021, 0)</f>
        <v>74.018299999999996</v>
      </c>
      <c r="I427" s="14">
        <f>74.0162 * CHOOSE(CONTROL!$C$9, $D$9, 100%, $F$9) + CHOOSE(CONTROL!$C$27, 0.0021, 0)</f>
        <v>74.018299999999996</v>
      </c>
      <c r="J427" s="14">
        <f>74.0162 * CHOOSE(CONTROL!$C$9, $D$9, 100%, $F$9) + CHOOSE(CONTROL!$C$27, 0.0021, 0)</f>
        <v>74.018299999999996</v>
      </c>
      <c r="K427" s="14">
        <f>74.0162 * CHOOSE(CONTROL!$C$9, $D$9, 100%, $F$9) + CHOOSE(CONTROL!$C$27, 0.0021, 0)</f>
        <v>74.018299999999996</v>
      </c>
      <c r="L427" s="14"/>
    </row>
    <row r="428" spans="1:12" ht="15.75" x14ac:dyDescent="0.25">
      <c r="A428" s="33">
        <v>53965</v>
      </c>
      <c r="B428" s="14">
        <f>75.9158 * CHOOSE(CONTROL!$C$9, $D$9, 100%, $F$9) + CHOOSE(CONTROL!$C$27, 0.0021, 0)</f>
        <v>75.917900000000003</v>
      </c>
      <c r="C428" s="14">
        <f>75.4835 * CHOOSE(CONTROL!$C$9, $D$9, 100%, $F$9) + CHOOSE(CONTROL!$C$27, 0.0021, 0)</f>
        <v>75.485600000000005</v>
      </c>
      <c r="D428" s="14">
        <f>75.4835 * CHOOSE(CONTROL!$C$9, $D$9, 100%, $F$9) + CHOOSE(CONTROL!$C$27, 0.0021, 0)</f>
        <v>75.485600000000005</v>
      </c>
      <c r="E428" s="14">
        <f>75.3469 * CHOOSE(CONTROL!$C$9, $D$9, 100%, $F$9) + CHOOSE(CONTROL!$C$27, 0.0021, 0)</f>
        <v>75.349000000000004</v>
      </c>
      <c r="F428" s="14">
        <f>75.3469 * CHOOSE(CONTROL!$C$9, $D$9, 100%, $F$9) + CHOOSE(CONTROL!$C$27, 0.0021, 0)</f>
        <v>75.349000000000004</v>
      </c>
      <c r="G428" s="14">
        <f>75.6182 * CHOOSE(CONTROL!$C$9, $D$9, 100%, $F$9) + CHOOSE(CONTROL!$C$27, 0.0021, 0)</f>
        <v>75.6203</v>
      </c>
      <c r="H428" s="14">
        <f>75.4835 * CHOOSE(CONTROL!$C$9, $D$9, 100%, $F$9) + CHOOSE(CONTROL!$C$27, 0.0021, 0)</f>
        <v>75.485600000000005</v>
      </c>
      <c r="I428" s="14">
        <f>75.4835 * CHOOSE(CONTROL!$C$9, $D$9, 100%, $F$9) + CHOOSE(CONTROL!$C$27, 0.0021, 0)</f>
        <v>75.485600000000005</v>
      </c>
      <c r="J428" s="14">
        <f>75.4835 * CHOOSE(CONTROL!$C$9, $D$9, 100%, $F$9) + CHOOSE(CONTROL!$C$27, 0.0021, 0)</f>
        <v>75.485600000000005</v>
      </c>
      <c r="K428" s="14">
        <f>75.4835 * CHOOSE(CONTROL!$C$9, $D$9, 100%, $F$9) + CHOOSE(CONTROL!$C$27, 0.0021, 0)</f>
        <v>75.485600000000005</v>
      </c>
      <c r="L428" s="14"/>
    </row>
    <row r="429" spans="1:12" ht="15.75" x14ac:dyDescent="0.25">
      <c r="A429" s="33">
        <v>53996</v>
      </c>
      <c r="B429" s="14">
        <f>77.7731 * CHOOSE(CONTROL!$C$9, $D$9, 100%, $F$9) + CHOOSE(CONTROL!$C$27, 0.0021, 0)</f>
        <v>77.775199999999998</v>
      </c>
      <c r="C429" s="14">
        <f>77.3409 * CHOOSE(CONTROL!$C$9, $D$9, 100%, $F$9) + CHOOSE(CONTROL!$C$27, 0.0021, 0)</f>
        <v>77.343000000000004</v>
      </c>
      <c r="D429" s="14">
        <f>77.3409 * CHOOSE(CONTROL!$C$9, $D$9, 100%, $F$9) + CHOOSE(CONTROL!$C$27, 0.0021, 0)</f>
        <v>77.343000000000004</v>
      </c>
      <c r="E429" s="14">
        <f>77.2042 * CHOOSE(CONTROL!$C$9, $D$9, 100%, $F$9) + CHOOSE(CONTROL!$C$27, 0.0021, 0)</f>
        <v>77.206299999999999</v>
      </c>
      <c r="F429" s="14">
        <f>77.2042 * CHOOSE(CONTROL!$C$9, $D$9, 100%, $F$9) + CHOOSE(CONTROL!$C$27, 0.0021, 0)</f>
        <v>77.206299999999999</v>
      </c>
      <c r="G429" s="14">
        <f>77.4756 * CHOOSE(CONTROL!$C$9, $D$9, 100%, $F$9) + CHOOSE(CONTROL!$C$27, 0.0021, 0)</f>
        <v>77.477699999999999</v>
      </c>
      <c r="H429" s="14">
        <f>77.3409 * CHOOSE(CONTROL!$C$9, $D$9, 100%, $F$9) + CHOOSE(CONTROL!$C$27, 0.0021, 0)</f>
        <v>77.343000000000004</v>
      </c>
      <c r="I429" s="14">
        <f>77.3409 * CHOOSE(CONTROL!$C$9, $D$9, 100%, $F$9) + CHOOSE(CONTROL!$C$27, 0.0021, 0)</f>
        <v>77.343000000000004</v>
      </c>
      <c r="J429" s="14">
        <f>77.3409 * CHOOSE(CONTROL!$C$9, $D$9, 100%, $F$9) + CHOOSE(CONTROL!$C$27, 0.0021, 0)</f>
        <v>77.343000000000004</v>
      </c>
      <c r="K429" s="14">
        <f>77.3409 * CHOOSE(CONTROL!$C$9, $D$9, 100%, $F$9) + CHOOSE(CONTROL!$C$27, 0.0021, 0)</f>
        <v>77.343000000000004</v>
      </c>
      <c r="L429" s="14"/>
    </row>
    <row r="430" spans="1:12" ht="15.75" x14ac:dyDescent="0.25">
      <c r="A430" s="33">
        <v>54026</v>
      </c>
      <c r="B430" s="14">
        <f>77.9475 * CHOOSE(CONTROL!$C$9, $D$9, 100%, $F$9) + CHOOSE(CONTROL!$C$27, 0.0021, 0)</f>
        <v>77.949600000000004</v>
      </c>
      <c r="C430" s="14">
        <f>77.5152 * CHOOSE(CONTROL!$C$9, $D$9, 100%, $F$9) + CHOOSE(CONTROL!$C$27, 0.0021, 0)</f>
        <v>77.517299999999992</v>
      </c>
      <c r="D430" s="14">
        <f>77.5152 * CHOOSE(CONTROL!$C$9, $D$9, 100%, $F$9) + CHOOSE(CONTROL!$C$27, 0.0021, 0)</f>
        <v>77.517299999999992</v>
      </c>
      <c r="E430" s="14">
        <f>77.3786 * CHOOSE(CONTROL!$C$9, $D$9, 100%, $F$9) + CHOOSE(CONTROL!$C$27, 0.0021, 0)</f>
        <v>77.380700000000004</v>
      </c>
      <c r="F430" s="14">
        <f>77.3786 * CHOOSE(CONTROL!$C$9, $D$9, 100%, $F$9) + CHOOSE(CONTROL!$C$27, 0.0021, 0)</f>
        <v>77.380700000000004</v>
      </c>
      <c r="G430" s="14">
        <f>77.6499 * CHOOSE(CONTROL!$C$9, $D$9, 100%, $F$9) + CHOOSE(CONTROL!$C$27, 0.0021, 0)</f>
        <v>77.652000000000001</v>
      </c>
      <c r="H430" s="14">
        <f>77.5152 * CHOOSE(CONTROL!$C$9, $D$9, 100%, $F$9) + CHOOSE(CONTROL!$C$27, 0.0021, 0)</f>
        <v>77.517299999999992</v>
      </c>
      <c r="I430" s="14">
        <f>77.5152 * CHOOSE(CONTROL!$C$9, $D$9, 100%, $F$9) + CHOOSE(CONTROL!$C$27, 0.0021, 0)</f>
        <v>77.517299999999992</v>
      </c>
      <c r="J430" s="14">
        <f>77.5152 * CHOOSE(CONTROL!$C$9, $D$9, 100%, $F$9) + CHOOSE(CONTROL!$C$27, 0.0021, 0)</f>
        <v>77.517299999999992</v>
      </c>
      <c r="K430" s="14">
        <f>77.5152 * CHOOSE(CONTROL!$C$9, $D$9, 100%, $F$9) + CHOOSE(CONTROL!$C$27, 0.0021, 0)</f>
        <v>77.517299999999992</v>
      </c>
      <c r="L430" s="14"/>
    </row>
    <row r="431" spans="1:12" ht="15.75" x14ac:dyDescent="0.25">
      <c r="A431" s="33">
        <v>54057</v>
      </c>
      <c r="B431" s="14">
        <f>76.4641 * CHOOSE(CONTROL!$C$9, $D$9, 100%, $F$9) + CHOOSE(CONTROL!$C$27, 0.0021, 0)</f>
        <v>76.466200000000001</v>
      </c>
      <c r="C431" s="14">
        <f>76.0318 * CHOOSE(CONTROL!$C$9, $D$9, 100%, $F$9) + CHOOSE(CONTROL!$C$27, 0.0021, 0)</f>
        <v>76.033900000000003</v>
      </c>
      <c r="D431" s="14">
        <f>76.0318 * CHOOSE(CONTROL!$C$9, $D$9, 100%, $F$9) + CHOOSE(CONTROL!$C$27, 0.0021, 0)</f>
        <v>76.033900000000003</v>
      </c>
      <c r="E431" s="14">
        <f>75.8951 * CHOOSE(CONTROL!$C$9, $D$9, 100%, $F$9) + CHOOSE(CONTROL!$C$27, 0.0021, 0)</f>
        <v>75.897199999999998</v>
      </c>
      <c r="F431" s="14">
        <f>75.8951 * CHOOSE(CONTROL!$C$9, $D$9, 100%, $F$9) + CHOOSE(CONTROL!$C$27, 0.0021, 0)</f>
        <v>75.897199999999998</v>
      </c>
      <c r="G431" s="14">
        <f>76.1665 * CHOOSE(CONTROL!$C$9, $D$9, 100%, $F$9) + CHOOSE(CONTROL!$C$27, 0.0021, 0)</f>
        <v>76.168599999999998</v>
      </c>
      <c r="H431" s="14">
        <f>76.0318 * CHOOSE(CONTROL!$C$9, $D$9, 100%, $F$9) + CHOOSE(CONTROL!$C$27, 0.0021, 0)</f>
        <v>76.033900000000003</v>
      </c>
      <c r="I431" s="14">
        <f>76.0318 * CHOOSE(CONTROL!$C$9, $D$9, 100%, $F$9) + CHOOSE(CONTROL!$C$27, 0.0021, 0)</f>
        <v>76.033900000000003</v>
      </c>
      <c r="J431" s="14">
        <f>76.0318 * CHOOSE(CONTROL!$C$9, $D$9, 100%, $F$9) + CHOOSE(CONTROL!$C$27, 0.0021, 0)</f>
        <v>76.033900000000003</v>
      </c>
      <c r="K431" s="14">
        <f>76.0318 * CHOOSE(CONTROL!$C$9, $D$9, 100%, $F$9) + CHOOSE(CONTROL!$C$27, 0.0021, 0)</f>
        <v>76.033900000000003</v>
      </c>
      <c r="L431" s="14"/>
    </row>
    <row r="432" spans="1:12" ht="15.75" x14ac:dyDescent="0.25">
      <c r="A432" s="33">
        <v>54088</v>
      </c>
      <c r="B432" s="14">
        <f>75.5265 * CHOOSE(CONTROL!$C$9, $D$9, 100%, $F$9) + CHOOSE(CONTROL!$C$27, 0.0021, 0)</f>
        <v>75.528599999999997</v>
      </c>
      <c r="C432" s="14">
        <f>75.0942 * CHOOSE(CONTROL!$C$9, $D$9, 100%, $F$9) + CHOOSE(CONTROL!$C$27, 0.0021, 0)</f>
        <v>75.096299999999999</v>
      </c>
      <c r="D432" s="14">
        <f>75.0942 * CHOOSE(CONTROL!$C$9, $D$9, 100%, $F$9) + CHOOSE(CONTROL!$C$27, 0.0021, 0)</f>
        <v>75.096299999999999</v>
      </c>
      <c r="E432" s="14">
        <f>74.9576 * CHOOSE(CONTROL!$C$9, $D$9, 100%, $F$9) + CHOOSE(CONTROL!$C$27, 0.0021, 0)</f>
        <v>74.959699999999998</v>
      </c>
      <c r="F432" s="14">
        <f>74.9576 * CHOOSE(CONTROL!$C$9, $D$9, 100%, $F$9) + CHOOSE(CONTROL!$C$27, 0.0021, 0)</f>
        <v>74.959699999999998</v>
      </c>
      <c r="G432" s="14">
        <f>75.2289 * CHOOSE(CONTROL!$C$9, $D$9, 100%, $F$9) + CHOOSE(CONTROL!$C$27, 0.0021, 0)</f>
        <v>75.230999999999995</v>
      </c>
      <c r="H432" s="14">
        <f>75.0942 * CHOOSE(CONTROL!$C$9, $D$9, 100%, $F$9) + CHOOSE(CONTROL!$C$27, 0.0021, 0)</f>
        <v>75.096299999999999</v>
      </c>
      <c r="I432" s="14">
        <f>75.0942 * CHOOSE(CONTROL!$C$9, $D$9, 100%, $F$9) + CHOOSE(CONTROL!$C$27, 0.0021, 0)</f>
        <v>75.096299999999999</v>
      </c>
      <c r="J432" s="14">
        <f>75.0942 * CHOOSE(CONTROL!$C$9, $D$9, 100%, $F$9) + CHOOSE(CONTROL!$C$27, 0.0021, 0)</f>
        <v>75.096299999999999</v>
      </c>
      <c r="K432" s="14">
        <f>75.0942 * CHOOSE(CONTROL!$C$9, $D$9, 100%, $F$9) + CHOOSE(CONTROL!$C$27, 0.0021, 0)</f>
        <v>75.096299999999999</v>
      </c>
      <c r="L432" s="14"/>
    </row>
    <row r="433" spans="1:12" ht="15.75" x14ac:dyDescent="0.25">
      <c r="A433" s="33">
        <v>54116</v>
      </c>
      <c r="B433" s="14">
        <f>73.455 * CHOOSE(CONTROL!$C$9, $D$9, 100%, $F$9) + CHOOSE(CONTROL!$C$27, 0.0021, 0)</f>
        <v>73.457099999999997</v>
      </c>
      <c r="C433" s="14">
        <f>73.0228 * CHOOSE(CONTROL!$C$9, $D$9, 100%, $F$9) + CHOOSE(CONTROL!$C$27, 0.0021, 0)</f>
        <v>73.024900000000002</v>
      </c>
      <c r="D433" s="14">
        <f>73.0228 * CHOOSE(CONTROL!$C$9, $D$9, 100%, $F$9) + CHOOSE(CONTROL!$C$27, 0.0021, 0)</f>
        <v>73.024900000000002</v>
      </c>
      <c r="E433" s="14">
        <f>72.8861 * CHOOSE(CONTROL!$C$9, $D$9, 100%, $F$9) + CHOOSE(CONTROL!$C$27, 0.0021, 0)</f>
        <v>72.888199999999998</v>
      </c>
      <c r="F433" s="14">
        <f>72.8861 * CHOOSE(CONTROL!$C$9, $D$9, 100%, $F$9) + CHOOSE(CONTROL!$C$27, 0.0021, 0)</f>
        <v>72.888199999999998</v>
      </c>
      <c r="G433" s="14">
        <f>73.1575 * CHOOSE(CONTROL!$C$9, $D$9, 100%, $F$9) + CHOOSE(CONTROL!$C$27, 0.0021, 0)</f>
        <v>73.159599999999998</v>
      </c>
      <c r="H433" s="14">
        <f>73.0228 * CHOOSE(CONTROL!$C$9, $D$9, 100%, $F$9) + CHOOSE(CONTROL!$C$27, 0.0021, 0)</f>
        <v>73.024900000000002</v>
      </c>
      <c r="I433" s="14">
        <f>73.0228 * CHOOSE(CONTROL!$C$9, $D$9, 100%, $F$9) + CHOOSE(CONTROL!$C$27, 0.0021, 0)</f>
        <v>73.024900000000002</v>
      </c>
      <c r="J433" s="14">
        <f>73.0228 * CHOOSE(CONTROL!$C$9, $D$9, 100%, $F$9) + CHOOSE(CONTROL!$C$27, 0.0021, 0)</f>
        <v>73.024900000000002</v>
      </c>
      <c r="K433" s="14">
        <f>73.0228 * CHOOSE(CONTROL!$C$9, $D$9, 100%, $F$9) + CHOOSE(CONTROL!$C$27, 0.0021, 0)</f>
        <v>73.024900000000002</v>
      </c>
      <c r="L433" s="14"/>
    </row>
    <row r="434" spans="1:12" ht="15.75" x14ac:dyDescent="0.25">
      <c r="A434" s="33">
        <v>54148</v>
      </c>
      <c r="B434" s="14">
        <f>72.5999 * CHOOSE(CONTROL!$C$9, $D$9, 100%, $F$9) + CHOOSE(CONTROL!$C$27, 0.0021, 0)</f>
        <v>72.602000000000004</v>
      </c>
      <c r="C434" s="14">
        <f>72.1677 * CHOOSE(CONTROL!$C$9, $D$9, 100%, $F$9) + CHOOSE(CONTROL!$C$27, 0.0021, 0)</f>
        <v>72.169799999999995</v>
      </c>
      <c r="D434" s="14">
        <f>72.1677 * CHOOSE(CONTROL!$C$9, $D$9, 100%, $F$9) + CHOOSE(CONTROL!$C$27, 0.0021, 0)</f>
        <v>72.169799999999995</v>
      </c>
      <c r="E434" s="14">
        <f>72.031 * CHOOSE(CONTROL!$C$9, $D$9, 100%, $F$9) + CHOOSE(CONTROL!$C$27, 0.0021, 0)</f>
        <v>72.033100000000005</v>
      </c>
      <c r="F434" s="14">
        <f>72.031 * CHOOSE(CONTROL!$C$9, $D$9, 100%, $F$9) + CHOOSE(CONTROL!$C$27, 0.0021, 0)</f>
        <v>72.033100000000005</v>
      </c>
      <c r="G434" s="14">
        <f>72.3024 * CHOOSE(CONTROL!$C$9, $D$9, 100%, $F$9) + CHOOSE(CONTROL!$C$27, 0.0021, 0)</f>
        <v>72.304500000000004</v>
      </c>
      <c r="H434" s="14">
        <f>72.1677 * CHOOSE(CONTROL!$C$9, $D$9, 100%, $F$9) + CHOOSE(CONTROL!$C$27, 0.0021, 0)</f>
        <v>72.169799999999995</v>
      </c>
      <c r="I434" s="14">
        <f>72.1677 * CHOOSE(CONTROL!$C$9, $D$9, 100%, $F$9) + CHOOSE(CONTROL!$C$27, 0.0021, 0)</f>
        <v>72.169799999999995</v>
      </c>
      <c r="J434" s="14">
        <f>72.1677 * CHOOSE(CONTROL!$C$9, $D$9, 100%, $F$9) + CHOOSE(CONTROL!$C$27, 0.0021, 0)</f>
        <v>72.169799999999995</v>
      </c>
      <c r="K434" s="14">
        <f>72.1677 * CHOOSE(CONTROL!$C$9, $D$9, 100%, $F$9) + CHOOSE(CONTROL!$C$27, 0.0021, 0)</f>
        <v>72.169799999999995</v>
      </c>
      <c r="L434" s="14"/>
    </row>
    <row r="435" spans="1:12" ht="15.75" x14ac:dyDescent="0.25">
      <c r="A435" s="33">
        <v>54178</v>
      </c>
      <c r="B435" s="14">
        <f>71.5789 * CHOOSE(CONTROL!$C$9, $D$9, 100%, $F$9) + CHOOSE(CONTROL!$C$27, 0.0021, 0)</f>
        <v>71.581000000000003</v>
      </c>
      <c r="C435" s="14">
        <f>71.1467 * CHOOSE(CONTROL!$C$9, $D$9, 100%, $F$9) + CHOOSE(CONTROL!$C$27, 0.0021, 0)</f>
        <v>71.148799999999994</v>
      </c>
      <c r="D435" s="14">
        <f>71.1467 * CHOOSE(CONTROL!$C$9, $D$9, 100%, $F$9) + CHOOSE(CONTROL!$C$27, 0.0021, 0)</f>
        <v>71.148799999999994</v>
      </c>
      <c r="E435" s="14">
        <f>71.01 * CHOOSE(CONTROL!$C$9, $D$9, 100%, $F$9) + CHOOSE(CONTROL!$C$27, 0.0021, 0)</f>
        <v>71.012100000000004</v>
      </c>
      <c r="F435" s="14">
        <f>71.01 * CHOOSE(CONTROL!$C$9, $D$9, 100%, $F$9) + CHOOSE(CONTROL!$C$27, 0.0021, 0)</f>
        <v>71.012100000000004</v>
      </c>
      <c r="G435" s="14">
        <f>71.2814 * CHOOSE(CONTROL!$C$9, $D$9, 100%, $F$9) + CHOOSE(CONTROL!$C$27, 0.0021, 0)</f>
        <v>71.283500000000004</v>
      </c>
      <c r="H435" s="14">
        <f>71.1467 * CHOOSE(CONTROL!$C$9, $D$9, 100%, $F$9) + CHOOSE(CONTROL!$C$27, 0.0021, 0)</f>
        <v>71.148799999999994</v>
      </c>
      <c r="I435" s="14">
        <f>71.1467 * CHOOSE(CONTROL!$C$9, $D$9, 100%, $F$9) + CHOOSE(CONTROL!$C$27, 0.0021, 0)</f>
        <v>71.148799999999994</v>
      </c>
      <c r="J435" s="14">
        <f>71.1467 * CHOOSE(CONTROL!$C$9, $D$9, 100%, $F$9) + CHOOSE(CONTROL!$C$27, 0.0021, 0)</f>
        <v>71.148799999999994</v>
      </c>
      <c r="K435" s="14">
        <f>71.1467 * CHOOSE(CONTROL!$C$9, $D$9, 100%, $F$9) + CHOOSE(CONTROL!$C$27, 0.0021, 0)</f>
        <v>71.148799999999994</v>
      </c>
      <c r="L435" s="14"/>
    </row>
    <row r="436" spans="1:12" ht="15.75" x14ac:dyDescent="0.25">
      <c r="A436" s="33">
        <v>54209</v>
      </c>
      <c r="B436" s="14">
        <f>73.034 * CHOOSE(CONTROL!$C$9, $D$9, 100%, $F$9) + CHOOSE(CONTROL!$C$27, 0.0021, 0)</f>
        <v>73.036100000000005</v>
      </c>
      <c r="C436" s="14">
        <f>72.6017 * CHOOSE(CONTROL!$C$9, $D$9, 100%, $F$9) + CHOOSE(CONTROL!$C$27, 0.0021, 0)</f>
        <v>72.603799999999993</v>
      </c>
      <c r="D436" s="14">
        <f>72.6017 * CHOOSE(CONTROL!$C$9, $D$9, 100%, $F$9) + CHOOSE(CONTROL!$C$27, 0.0021, 0)</f>
        <v>72.603799999999993</v>
      </c>
      <c r="E436" s="14">
        <f>72.4651 * CHOOSE(CONTROL!$C$9, $D$9, 100%, $F$9) + CHOOSE(CONTROL!$C$27, 0.0021, 0)</f>
        <v>72.467200000000005</v>
      </c>
      <c r="F436" s="14">
        <f>72.4651 * CHOOSE(CONTROL!$C$9, $D$9, 100%, $F$9) + CHOOSE(CONTROL!$C$27, 0.0021, 0)</f>
        <v>72.467200000000005</v>
      </c>
      <c r="G436" s="14">
        <f>72.7364 * CHOOSE(CONTROL!$C$9, $D$9, 100%, $F$9) + CHOOSE(CONTROL!$C$27, 0.0021, 0)</f>
        <v>72.738500000000002</v>
      </c>
      <c r="H436" s="14">
        <f>72.6017 * CHOOSE(CONTROL!$C$9, $D$9, 100%, $F$9) + CHOOSE(CONTROL!$C$27, 0.0021, 0)</f>
        <v>72.603799999999993</v>
      </c>
      <c r="I436" s="14">
        <f>72.6017 * CHOOSE(CONTROL!$C$9, $D$9, 100%, $F$9) + CHOOSE(CONTROL!$C$27, 0.0021, 0)</f>
        <v>72.603799999999993</v>
      </c>
      <c r="J436" s="14">
        <f>72.6017 * CHOOSE(CONTROL!$C$9, $D$9, 100%, $F$9) + CHOOSE(CONTROL!$C$27, 0.0021, 0)</f>
        <v>72.603799999999993</v>
      </c>
      <c r="K436" s="14">
        <f>72.6017 * CHOOSE(CONTROL!$C$9, $D$9, 100%, $F$9) + CHOOSE(CONTROL!$C$27, 0.0021, 0)</f>
        <v>72.603799999999993</v>
      </c>
      <c r="L436" s="14"/>
    </row>
    <row r="437" spans="1:12" ht="15.75" x14ac:dyDescent="0.25">
      <c r="A437" s="33">
        <v>54239</v>
      </c>
      <c r="B437" s="14">
        <f>73.9055 * CHOOSE(CONTROL!$C$9, $D$9, 100%, $F$9) + CHOOSE(CONTROL!$C$27, 0.0021, 0)</f>
        <v>73.907600000000002</v>
      </c>
      <c r="C437" s="14">
        <f>73.4732 * CHOOSE(CONTROL!$C$9, $D$9, 100%, $F$9) + CHOOSE(CONTROL!$C$27, 0.0021, 0)</f>
        <v>73.475300000000004</v>
      </c>
      <c r="D437" s="14">
        <f>73.4732 * CHOOSE(CONTROL!$C$9, $D$9, 100%, $F$9) + CHOOSE(CONTROL!$C$27, 0.0021, 0)</f>
        <v>73.475300000000004</v>
      </c>
      <c r="E437" s="14">
        <f>73.3366 * CHOOSE(CONTROL!$C$9, $D$9, 100%, $F$9) + CHOOSE(CONTROL!$C$27, 0.0021, 0)</f>
        <v>73.338700000000003</v>
      </c>
      <c r="F437" s="14">
        <f>73.3366 * CHOOSE(CONTROL!$C$9, $D$9, 100%, $F$9) + CHOOSE(CONTROL!$C$27, 0.0021, 0)</f>
        <v>73.338700000000003</v>
      </c>
      <c r="G437" s="14">
        <f>73.6079 * CHOOSE(CONTROL!$C$9, $D$9, 100%, $F$9) + CHOOSE(CONTROL!$C$27, 0.0021, 0)</f>
        <v>73.61</v>
      </c>
      <c r="H437" s="14">
        <f>73.4732 * CHOOSE(CONTROL!$C$9, $D$9, 100%, $F$9) + CHOOSE(CONTROL!$C$27, 0.0021, 0)</f>
        <v>73.475300000000004</v>
      </c>
      <c r="I437" s="14">
        <f>73.4732 * CHOOSE(CONTROL!$C$9, $D$9, 100%, $F$9) + CHOOSE(CONTROL!$C$27, 0.0021, 0)</f>
        <v>73.475300000000004</v>
      </c>
      <c r="J437" s="14">
        <f>73.4732 * CHOOSE(CONTROL!$C$9, $D$9, 100%, $F$9) + CHOOSE(CONTROL!$C$27, 0.0021, 0)</f>
        <v>73.475300000000004</v>
      </c>
      <c r="K437" s="14">
        <f>73.4732 * CHOOSE(CONTROL!$C$9, $D$9, 100%, $F$9) + CHOOSE(CONTROL!$C$27, 0.0021, 0)</f>
        <v>73.475300000000004</v>
      </c>
      <c r="L437" s="14"/>
    </row>
    <row r="438" spans="1:12" ht="15.75" x14ac:dyDescent="0.25">
      <c r="A438" s="33">
        <v>54270</v>
      </c>
      <c r="B438" s="14">
        <f>75.3432 * CHOOSE(CONTROL!$C$9, $D$9, 100%, $F$9) + CHOOSE(CONTROL!$C$27, 0.0021, 0)</f>
        <v>75.345299999999995</v>
      </c>
      <c r="C438" s="14">
        <f>74.9109 * CHOOSE(CONTROL!$C$9, $D$9, 100%, $F$9) + CHOOSE(CONTROL!$C$27, 0.0021, 0)</f>
        <v>74.912999999999997</v>
      </c>
      <c r="D438" s="14">
        <f>74.9109 * CHOOSE(CONTROL!$C$9, $D$9, 100%, $F$9) + CHOOSE(CONTROL!$C$27, 0.0021, 0)</f>
        <v>74.912999999999997</v>
      </c>
      <c r="E438" s="14">
        <f>74.7742 * CHOOSE(CONTROL!$C$9, $D$9, 100%, $F$9) + CHOOSE(CONTROL!$C$27, 0.0021, 0)</f>
        <v>74.776299999999992</v>
      </c>
      <c r="F438" s="14">
        <f>74.7742 * CHOOSE(CONTROL!$C$9, $D$9, 100%, $F$9) + CHOOSE(CONTROL!$C$27, 0.0021, 0)</f>
        <v>74.776299999999992</v>
      </c>
      <c r="G438" s="14">
        <f>75.0456 * CHOOSE(CONTROL!$C$9, $D$9, 100%, $F$9) + CHOOSE(CONTROL!$C$27, 0.0021, 0)</f>
        <v>75.047699999999992</v>
      </c>
      <c r="H438" s="14">
        <f>74.9109 * CHOOSE(CONTROL!$C$9, $D$9, 100%, $F$9) + CHOOSE(CONTROL!$C$27, 0.0021, 0)</f>
        <v>74.912999999999997</v>
      </c>
      <c r="I438" s="14">
        <f>74.9109 * CHOOSE(CONTROL!$C$9, $D$9, 100%, $F$9) + CHOOSE(CONTROL!$C$27, 0.0021, 0)</f>
        <v>74.912999999999997</v>
      </c>
      <c r="J438" s="14">
        <f>74.9109 * CHOOSE(CONTROL!$C$9, $D$9, 100%, $F$9) + CHOOSE(CONTROL!$C$27, 0.0021, 0)</f>
        <v>74.912999999999997</v>
      </c>
      <c r="K438" s="14">
        <f>74.9109 * CHOOSE(CONTROL!$C$9, $D$9, 100%, $F$9) + CHOOSE(CONTROL!$C$27, 0.0021, 0)</f>
        <v>74.912999999999997</v>
      </c>
      <c r="L438" s="14"/>
    </row>
    <row r="439" spans="1:12" ht="15.75" x14ac:dyDescent="0.25">
      <c r="A439" s="33">
        <v>54301</v>
      </c>
      <c r="B439" s="14">
        <f>75.782 * CHOOSE(CONTROL!$C$9, $D$9, 100%, $F$9) + CHOOSE(CONTROL!$C$27, 0.0021, 0)</f>
        <v>75.784099999999995</v>
      </c>
      <c r="C439" s="14">
        <f>75.3497 * CHOOSE(CONTROL!$C$9, $D$9, 100%, $F$9) + CHOOSE(CONTROL!$C$27, 0.0021, 0)</f>
        <v>75.351799999999997</v>
      </c>
      <c r="D439" s="14">
        <f>75.3497 * CHOOSE(CONTROL!$C$9, $D$9, 100%, $F$9) + CHOOSE(CONTROL!$C$27, 0.0021, 0)</f>
        <v>75.351799999999997</v>
      </c>
      <c r="E439" s="14">
        <f>75.2131 * CHOOSE(CONTROL!$C$9, $D$9, 100%, $F$9) + CHOOSE(CONTROL!$C$27, 0.0021, 0)</f>
        <v>75.215199999999996</v>
      </c>
      <c r="F439" s="14">
        <f>75.2131 * CHOOSE(CONTROL!$C$9, $D$9, 100%, $F$9) + CHOOSE(CONTROL!$C$27, 0.0021, 0)</f>
        <v>75.215199999999996</v>
      </c>
      <c r="G439" s="14">
        <f>75.4844 * CHOOSE(CONTROL!$C$9, $D$9, 100%, $F$9) + CHOOSE(CONTROL!$C$27, 0.0021, 0)</f>
        <v>75.486499999999992</v>
      </c>
      <c r="H439" s="14">
        <f>75.3497 * CHOOSE(CONTROL!$C$9, $D$9, 100%, $F$9) + CHOOSE(CONTROL!$C$27, 0.0021, 0)</f>
        <v>75.351799999999997</v>
      </c>
      <c r="I439" s="14">
        <f>75.3497 * CHOOSE(CONTROL!$C$9, $D$9, 100%, $F$9) + CHOOSE(CONTROL!$C$27, 0.0021, 0)</f>
        <v>75.351799999999997</v>
      </c>
      <c r="J439" s="14">
        <f>75.3497 * CHOOSE(CONTROL!$C$9, $D$9, 100%, $F$9) + CHOOSE(CONTROL!$C$27, 0.0021, 0)</f>
        <v>75.351799999999997</v>
      </c>
      <c r="K439" s="14">
        <f>75.3497 * CHOOSE(CONTROL!$C$9, $D$9, 100%, $F$9) + CHOOSE(CONTROL!$C$27, 0.0021, 0)</f>
        <v>75.351799999999997</v>
      </c>
      <c r="L439" s="14"/>
    </row>
    <row r="440" spans="1:12" ht="15.75" x14ac:dyDescent="0.25">
      <c r="A440" s="33">
        <v>54331</v>
      </c>
      <c r="B440" s="14">
        <f>77.2764 * CHOOSE(CONTROL!$C$9, $D$9, 100%, $F$9) + CHOOSE(CONTROL!$C$27, 0.0021, 0)</f>
        <v>77.278499999999994</v>
      </c>
      <c r="C440" s="14">
        <f>76.8441 * CHOOSE(CONTROL!$C$9, $D$9, 100%, $F$9) + CHOOSE(CONTROL!$C$27, 0.0021, 0)</f>
        <v>76.846199999999996</v>
      </c>
      <c r="D440" s="14">
        <f>76.8441 * CHOOSE(CONTROL!$C$9, $D$9, 100%, $F$9) + CHOOSE(CONTROL!$C$27, 0.0021, 0)</f>
        <v>76.846199999999996</v>
      </c>
      <c r="E440" s="14">
        <f>76.7075 * CHOOSE(CONTROL!$C$9, $D$9, 100%, $F$9) + CHOOSE(CONTROL!$C$27, 0.0021, 0)</f>
        <v>76.709599999999995</v>
      </c>
      <c r="F440" s="14">
        <f>76.7075 * CHOOSE(CONTROL!$C$9, $D$9, 100%, $F$9) + CHOOSE(CONTROL!$C$27, 0.0021, 0)</f>
        <v>76.709599999999995</v>
      </c>
      <c r="G440" s="14">
        <f>76.9789 * CHOOSE(CONTROL!$C$9, $D$9, 100%, $F$9) + CHOOSE(CONTROL!$C$27, 0.0021, 0)</f>
        <v>76.980999999999995</v>
      </c>
      <c r="H440" s="14">
        <f>76.8441 * CHOOSE(CONTROL!$C$9, $D$9, 100%, $F$9) + CHOOSE(CONTROL!$C$27, 0.0021, 0)</f>
        <v>76.846199999999996</v>
      </c>
      <c r="I440" s="14">
        <f>76.8441 * CHOOSE(CONTROL!$C$9, $D$9, 100%, $F$9) + CHOOSE(CONTROL!$C$27, 0.0021, 0)</f>
        <v>76.846199999999996</v>
      </c>
      <c r="J440" s="14">
        <f>76.8441 * CHOOSE(CONTROL!$C$9, $D$9, 100%, $F$9) + CHOOSE(CONTROL!$C$27, 0.0021, 0)</f>
        <v>76.846199999999996</v>
      </c>
      <c r="K440" s="14">
        <f>76.8441 * CHOOSE(CONTROL!$C$9, $D$9, 100%, $F$9) + CHOOSE(CONTROL!$C$27, 0.0021, 0)</f>
        <v>76.846199999999996</v>
      </c>
      <c r="L440" s="14"/>
    </row>
    <row r="441" spans="1:12" ht="15.75" x14ac:dyDescent="0.25">
      <c r="A441" s="33">
        <v>54362</v>
      </c>
      <c r="B441" s="14">
        <f>79.1681 * CHOOSE(CONTROL!$C$9, $D$9, 100%, $F$9) + CHOOSE(CONTROL!$C$27, 0.0021, 0)</f>
        <v>79.170199999999994</v>
      </c>
      <c r="C441" s="14">
        <f>78.7358 * CHOOSE(CONTROL!$C$9, $D$9, 100%, $F$9) + CHOOSE(CONTROL!$C$27, 0.0021, 0)</f>
        <v>78.737899999999996</v>
      </c>
      <c r="D441" s="14">
        <f>78.7358 * CHOOSE(CONTROL!$C$9, $D$9, 100%, $F$9) + CHOOSE(CONTROL!$C$27, 0.0021, 0)</f>
        <v>78.737899999999996</v>
      </c>
      <c r="E441" s="14">
        <f>78.5991 * CHOOSE(CONTROL!$C$9, $D$9, 100%, $F$9) + CHOOSE(CONTROL!$C$27, 0.0021, 0)</f>
        <v>78.601200000000006</v>
      </c>
      <c r="F441" s="14">
        <f>78.5991 * CHOOSE(CONTROL!$C$9, $D$9, 100%, $F$9) + CHOOSE(CONTROL!$C$27, 0.0021, 0)</f>
        <v>78.601200000000006</v>
      </c>
      <c r="G441" s="14">
        <f>78.8705 * CHOOSE(CONTROL!$C$9, $D$9, 100%, $F$9) + CHOOSE(CONTROL!$C$27, 0.0021, 0)</f>
        <v>78.872600000000006</v>
      </c>
      <c r="H441" s="14">
        <f>78.7358 * CHOOSE(CONTROL!$C$9, $D$9, 100%, $F$9) + CHOOSE(CONTROL!$C$27, 0.0021, 0)</f>
        <v>78.737899999999996</v>
      </c>
      <c r="I441" s="14">
        <f>78.7358 * CHOOSE(CONTROL!$C$9, $D$9, 100%, $F$9) + CHOOSE(CONTROL!$C$27, 0.0021, 0)</f>
        <v>78.737899999999996</v>
      </c>
      <c r="J441" s="14">
        <f>78.7358 * CHOOSE(CONTROL!$C$9, $D$9, 100%, $F$9) + CHOOSE(CONTROL!$C$27, 0.0021, 0)</f>
        <v>78.737899999999996</v>
      </c>
      <c r="K441" s="14">
        <f>78.7358 * CHOOSE(CONTROL!$C$9, $D$9, 100%, $F$9) + CHOOSE(CONTROL!$C$27, 0.0021, 0)</f>
        <v>78.737899999999996</v>
      </c>
      <c r="L441" s="14"/>
    </row>
    <row r="442" spans="1:12" ht="15.75" x14ac:dyDescent="0.25">
      <c r="A442" s="33">
        <v>54392</v>
      </c>
      <c r="B442" s="14">
        <f>79.3456 * CHOOSE(CONTROL!$C$9, $D$9, 100%, $F$9) + CHOOSE(CONTROL!$C$27, 0.0021, 0)</f>
        <v>79.347700000000003</v>
      </c>
      <c r="C442" s="14">
        <f>78.9134 * CHOOSE(CONTROL!$C$9, $D$9, 100%, $F$9) + CHOOSE(CONTROL!$C$27, 0.0021, 0)</f>
        <v>78.915499999999994</v>
      </c>
      <c r="D442" s="14">
        <f>78.9134 * CHOOSE(CONTROL!$C$9, $D$9, 100%, $F$9) + CHOOSE(CONTROL!$C$27, 0.0021, 0)</f>
        <v>78.915499999999994</v>
      </c>
      <c r="E442" s="14">
        <f>78.7767 * CHOOSE(CONTROL!$C$9, $D$9, 100%, $F$9) + CHOOSE(CONTROL!$C$27, 0.0021, 0)</f>
        <v>78.778800000000004</v>
      </c>
      <c r="F442" s="14">
        <f>78.7767 * CHOOSE(CONTROL!$C$9, $D$9, 100%, $F$9) + CHOOSE(CONTROL!$C$27, 0.0021, 0)</f>
        <v>78.778800000000004</v>
      </c>
      <c r="G442" s="14">
        <f>79.0481 * CHOOSE(CONTROL!$C$9, $D$9, 100%, $F$9) + CHOOSE(CONTROL!$C$27, 0.0021, 0)</f>
        <v>79.050200000000004</v>
      </c>
      <c r="H442" s="14">
        <f>78.9134 * CHOOSE(CONTROL!$C$9, $D$9, 100%, $F$9) + CHOOSE(CONTROL!$C$27, 0.0021, 0)</f>
        <v>78.915499999999994</v>
      </c>
      <c r="I442" s="14">
        <f>78.9134 * CHOOSE(CONTROL!$C$9, $D$9, 100%, $F$9) + CHOOSE(CONTROL!$C$27, 0.0021, 0)</f>
        <v>78.915499999999994</v>
      </c>
      <c r="J442" s="14">
        <f>78.9134 * CHOOSE(CONTROL!$C$9, $D$9, 100%, $F$9) + CHOOSE(CONTROL!$C$27, 0.0021, 0)</f>
        <v>78.915499999999994</v>
      </c>
      <c r="K442" s="14">
        <f>78.9134 * CHOOSE(CONTROL!$C$9, $D$9, 100%, $F$9) + CHOOSE(CONTROL!$C$27, 0.0021, 0)</f>
        <v>78.915499999999994</v>
      </c>
      <c r="L442" s="14"/>
    </row>
    <row r="443" spans="1:12" ht="15.75" x14ac:dyDescent="0.25">
      <c r="A443" s="33">
        <v>54423</v>
      </c>
      <c r="B443" s="14">
        <f>77.8348 * CHOOSE(CONTROL!$C$9, $D$9, 100%, $F$9) + CHOOSE(CONTROL!$C$27, 0.0021, 0)</f>
        <v>77.8369</v>
      </c>
      <c r="C443" s="14">
        <f>77.4026 * CHOOSE(CONTROL!$C$9, $D$9, 100%, $F$9) + CHOOSE(CONTROL!$C$27, 0.0021, 0)</f>
        <v>77.404700000000005</v>
      </c>
      <c r="D443" s="14">
        <f>77.4026 * CHOOSE(CONTROL!$C$9, $D$9, 100%, $F$9) + CHOOSE(CONTROL!$C$27, 0.0021, 0)</f>
        <v>77.404700000000005</v>
      </c>
      <c r="E443" s="14">
        <f>77.2659 * CHOOSE(CONTROL!$C$9, $D$9, 100%, $F$9) + CHOOSE(CONTROL!$C$27, 0.0021, 0)</f>
        <v>77.268000000000001</v>
      </c>
      <c r="F443" s="14">
        <f>77.2659 * CHOOSE(CONTROL!$C$9, $D$9, 100%, $F$9) + CHOOSE(CONTROL!$C$27, 0.0021, 0)</f>
        <v>77.268000000000001</v>
      </c>
      <c r="G443" s="14">
        <f>77.5373 * CHOOSE(CONTROL!$C$9, $D$9, 100%, $F$9) + CHOOSE(CONTROL!$C$27, 0.0021, 0)</f>
        <v>77.539400000000001</v>
      </c>
      <c r="H443" s="14">
        <f>77.4026 * CHOOSE(CONTROL!$C$9, $D$9, 100%, $F$9) + CHOOSE(CONTROL!$C$27, 0.0021, 0)</f>
        <v>77.404700000000005</v>
      </c>
      <c r="I443" s="14">
        <f>77.4026 * CHOOSE(CONTROL!$C$9, $D$9, 100%, $F$9) + CHOOSE(CONTROL!$C$27, 0.0021, 0)</f>
        <v>77.404700000000005</v>
      </c>
      <c r="J443" s="14">
        <f>77.4026 * CHOOSE(CONTROL!$C$9, $D$9, 100%, $F$9) + CHOOSE(CONTROL!$C$27, 0.0021, 0)</f>
        <v>77.404700000000005</v>
      </c>
      <c r="K443" s="14">
        <f>77.4026 * CHOOSE(CONTROL!$C$9, $D$9, 100%, $F$9) + CHOOSE(CONTROL!$C$27, 0.0021, 0)</f>
        <v>77.404700000000005</v>
      </c>
      <c r="L443" s="14"/>
    </row>
    <row r="444" spans="1:12" ht="15.75" x14ac:dyDescent="0.25">
      <c r="A444" s="33">
        <v>54454</v>
      </c>
      <c r="B444" s="14">
        <f>76.8799 * CHOOSE(CONTROL!$C$9, $D$9, 100%, $F$9) + CHOOSE(CONTROL!$C$27, 0.0021, 0)</f>
        <v>76.882000000000005</v>
      </c>
      <c r="C444" s="14">
        <f>76.4476 * CHOOSE(CONTROL!$C$9, $D$9, 100%, $F$9) + CHOOSE(CONTROL!$C$27, 0.0021, 0)</f>
        <v>76.449699999999993</v>
      </c>
      <c r="D444" s="14">
        <f>76.4476 * CHOOSE(CONTROL!$C$9, $D$9, 100%, $F$9) + CHOOSE(CONTROL!$C$27, 0.0021, 0)</f>
        <v>76.449699999999993</v>
      </c>
      <c r="E444" s="14">
        <f>76.311 * CHOOSE(CONTROL!$C$9, $D$9, 100%, $F$9) + CHOOSE(CONTROL!$C$27, 0.0021, 0)</f>
        <v>76.313100000000006</v>
      </c>
      <c r="F444" s="14">
        <f>76.311 * CHOOSE(CONTROL!$C$9, $D$9, 100%, $F$9) + CHOOSE(CONTROL!$C$27, 0.0021, 0)</f>
        <v>76.313100000000006</v>
      </c>
      <c r="G444" s="14">
        <f>76.5824 * CHOOSE(CONTROL!$C$9, $D$9, 100%, $F$9) + CHOOSE(CONTROL!$C$27, 0.0021, 0)</f>
        <v>76.584500000000006</v>
      </c>
      <c r="H444" s="14">
        <f>76.4476 * CHOOSE(CONTROL!$C$9, $D$9, 100%, $F$9) + CHOOSE(CONTROL!$C$27, 0.0021, 0)</f>
        <v>76.449699999999993</v>
      </c>
      <c r="I444" s="14">
        <f>76.4476 * CHOOSE(CONTROL!$C$9, $D$9, 100%, $F$9) + CHOOSE(CONTROL!$C$27, 0.0021, 0)</f>
        <v>76.449699999999993</v>
      </c>
      <c r="J444" s="14">
        <f>76.4476 * CHOOSE(CONTROL!$C$9, $D$9, 100%, $F$9) + CHOOSE(CONTROL!$C$27, 0.0021, 0)</f>
        <v>76.449699999999993</v>
      </c>
      <c r="K444" s="14">
        <f>76.4476 * CHOOSE(CONTROL!$C$9, $D$9, 100%, $F$9) + CHOOSE(CONTROL!$C$27, 0.0021, 0)</f>
        <v>76.449699999999993</v>
      </c>
      <c r="L444" s="14"/>
    </row>
    <row r="445" spans="1:12" ht="15.75" x14ac:dyDescent="0.25">
      <c r="A445" s="33">
        <v>54482</v>
      </c>
      <c r="B445" s="14">
        <f>74.7701 * CHOOSE(CONTROL!$C$9, $D$9, 100%, $F$9) + CHOOSE(CONTROL!$C$27, 0.0021, 0)</f>
        <v>74.772199999999998</v>
      </c>
      <c r="C445" s="14">
        <f>74.3379 * CHOOSE(CONTROL!$C$9, $D$9, 100%, $F$9) + CHOOSE(CONTROL!$C$27, 0.0021, 0)</f>
        <v>74.34</v>
      </c>
      <c r="D445" s="14">
        <f>74.3379 * CHOOSE(CONTROL!$C$9, $D$9, 100%, $F$9) + CHOOSE(CONTROL!$C$27, 0.0021, 0)</f>
        <v>74.34</v>
      </c>
      <c r="E445" s="14">
        <f>74.2012 * CHOOSE(CONTROL!$C$9, $D$9, 100%, $F$9) + CHOOSE(CONTROL!$C$27, 0.0021, 0)</f>
        <v>74.203299999999999</v>
      </c>
      <c r="F445" s="14">
        <f>74.2012 * CHOOSE(CONTROL!$C$9, $D$9, 100%, $F$9) + CHOOSE(CONTROL!$C$27, 0.0021, 0)</f>
        <v>74.203299999999999</v>
      </c>
      <c r="G445" s="14">
        <f>74.4726 * CHOOSE(CONTROL!$C$9, $D$9, 100%, $F$9) + CHOOSE(CONTROL!$C$27, 0.0021, 0)</f>
        <v>74.474699999999999</v>
      </c>
      <c r="H445" s="14">
        <f>74.3379 * CHOOSE(CONTROL!$C$9, $D$9, 100%, $F$9) + CHOOSE(CONTROL!$C$27, 0.0021, 0)</f>
        <v>74.34</v>
      </c>
      <c r="I445" s="14">
        <f>74.3379 * CHOOSE(CONTROL!$C$9, $D$9, 100%, $F$9) + CHOOSE(CONTROL!$C$27, 0.0021, 0)</f>
        <v>74.34</v>
      </c>
      <c r="J445" s="14">
        <f>74.3379 * CHOOSE(CONTROL!$C$9, $D$9, 100%, $F$9) + CHOOSE(CONTROL!$C$27, 0.0021, 0)</f>
        <v>74.34</v>
      </c>
      <c r="K445" s="14">
        <f>74.3379 * CHOOSE(CONTROL!$C$9, $D$9, 100%, $F$9) + CHOOSE(CONTROL!$C$27, 0.0021, 0)</f>
        <v>74.34</v>
      </c>
      <c r="L445" s="14"/>
    </row>
    <row r="446" spans="1:12" ht="15.75" x14ac:dyDescent="0.25">
      <c r="A446" s="33">
        <v>54513</v>
      </c>
      <c r="B446" s="14">
        <f>73.8992 * CHOOSE(CONTROL!$C$9, $D$9, 100%, $F$9) + CHOOSE(CONTROL!$C$27, 0.0021, 0)</f>
        <v>73.901299999999992</v>
      </c>
      <c r="C446" s="14">
        <f>73.467 * CHOOSE(CONTROL!$C$9, $D$9, 100%, $F$9) + CHOOSE(CONTROL!$C$27, 0.0021, 0)</f>
        <v>73.469099999999997</v>
      </c>
      <c r="D446" s="14">
        <f>73.467 * CHOOSE(CONTROL!$C$9, $D$9, 100%, $F$9) + CHOOSE(CONTROL!$C$27, 0.0021, 0)</f>
        <v>73.469099999999997</v>
      </c>
      <c r="E446" s="14">
        <f>73.3303 * CHOOSE(CONTROL!$C$9, $D$9, 100%, $F$9) + CHOOSE(CONTROL!$C$27, 0.0021, 0)</f>
        <v>73.332399999999993</v>
      </c>
      <c r="F446" s="14">
        <f>73.3303 * CHOOSE(CONTROL!$C$9, $D$9, 100%, $F$9) + CHOOSE(CONTROL!$C$27, 0.0021, 0)</f>
        <v>73.332399999999993</v>
      </c>
      <c r="G446" s="14">
        <f>73.6017 * CHOOSE(CONTROL!$C$9, $D$9, 100%, $F$9) + CHOOSE(CONTROL!$C$27, 0.0021, 0)</f>
        <v>73.603799999999993</v>
      </c>
      <c r="H446" s="14">
        <f>73.467 * CHOOSE(CONTROL!$C$9, $D$9, 100%, $F$9) + CHOOSE(CONTROL!$C$27, 0.0021, 0)</f>
        <v>73.469099999999997</v>
      </c>
      <c r="I446" s="14">
        <f>73.467 * CHOOSE(CONTROL!$C$9, $D$9, 100%, $F$9) + CHOOSE(CONTROL!$C$27, 0.0021, 0)</f>
        <v>73.469099999999997</v>
      </c>
      <c r="J446" s="14">
        <f>73.467 * CHOOSE(CONTROL!$C$9, $D$9, 100%, $F$9) + CHOOSE(CONTROL!$C$27, 0.0021, 0)</f>
        <v>73.469099999999997</v>
      </c>
      <c r="K446" s="14">
        <f>73.467 * CHOOSE(CONTROL!$C$9, $D$9, 100%, $F$9) + CHOOSE(CONTROL!$C$27, 0.0021, 0)</f>
        <v>73.469099999999997</v>
      </c>
      <c r="L446" s="14"/>
    </row>
    <row r="447" spans="1:12" ht="15.75" x14ac:dyDescent="0.25">
      <c r="A447" s="33">
        <v>54543</v>
      </c>
      <c r="B447" s="14">
        <f>72.8594 * CHOOSE(CONTROL!$C$9, $D$9, 100%, $F$9) + CHOOSE(CONTROL!$C$27, 0.0021, 0)</f>
        <v>72.861499999999992</v>
      </c>
      <c r="C447" s="14">
        <f>72.4271 * CHOOSE(CONTROL!$C$9, $D$9, 100%, $F$9) + CHOOSE(CONTROL!$C$27, 0.0021, 0)</f>
        <v>72.429199999999994</v>
      </c>
      <c r="D447" s="14">
        <f>72.4271 * CHOOSE(CONTROL!$C$9, $D$9, 100%, $F$9) + CHOOSE(CONTROL!$C$27, 0.0021, 0)</f>
        <v>72.429199999999994</v>
      </c>
      <c r="E447" s="14">
        <f>72.2905 * CHOOSE(CONTROL!$C$9, $D$9, 100%, $F$9) + CHOOSE(CONTROL!$C$27, 0.0021, 0)</f>
        <v>72.292599999999993</v>
      </c>
      <c r="F447" s="14">
        <f>72.2905 * CHOOSE(CONTROL!$C$9, $D$9, 100%, $F$9) + CHOOSE(CONTROL!$C$27, 0.0021, 0)</f>
        <v>72.292599999999993</v>
      </c>
      <c r="G447" s="14">
        <f>72.5618 * CHOOSE(CONTROL!$C$9, $D$9, 100%, $F$9) + CHOOSE(CONTROL!$C$27, 0.0021, 0)</f>
        <v>72.563900000000004</v>
      </c>
      <c r="H447" s="14">
        <f>72.4271 * CHOOSE(CONTROL!$C$9, $D$9, 100%, $F$9) + CHOOSE(CONTROL!$C$27, 0.0021, 0)</f>
        <v>72.429199999999994</v>
      </c>
      <c r="I447" s="14">
        <f>72.4271 * CHOOSE(CONTROL!$C$9, $D$9, 100%, $F$9) + CHOOSE(CONTROL!$C$27, 0.0021, 0)</f>
        <v>72.429199999999994</v>
      </c>
      <c r="J447" s="14">
        <f>72.4271 * CHOOSE(CONTROL!$C$9, $D$9, 100%, $F$9) + CHOOSE(CONTROL!$C$27, 0.0021, 0)</f>
        <v>72.429199999999994</v>
      </c>
      <c r="K447" s="14">
        <f>72.4271 * CHOOSE(CONTROL!$C$9, $D$9, 100%, $F$9) + CHOOSE(CONTROL!$C$27, 0.0021, 0)</f>
        <v>72.429199999999994</v>
      </c>
      <c r="L447" s="14"/>
    </row>
    <row r="448" spans="1:12" ht="15.75" x14ac:dyDescent="0.25">
      <c r="A448" s="33">
        <v>54574</v>
      </c>
      <c r="B448" s="14">
        <f>74.3413 * CHOOSE(CONTROL!$C$9, $D$9, 100%, $F$9) + CHOOSE(CONTROL!$C$27, 0.0021, 0)</f>
        <v>74.343400000000003</v>
      </c>
      <c r="C448" s="14">
        <f>73.9091 * CHOOSE(CONTROL!$C$9, $D$9, 100%, $F$9) + CHOOSE(CONTROL!$C$27, 0.0021, 0)</f>
        <v>73.911199999999994</v>
      </c>
      <c r="D448" s="14">
        <f>73.9091 * CHOOSE(CONTROL!$C$9, $D$9, 100%, $F$9) + CHOOSE(CONTROL!$C$27, 0.0021, 0)</f>
        <v>73.911199999999994</v>
      </c>
      <c r="E448" s="14">
        <f>73.7724 * CHOOSE(CONTROL!$C$9, $D$9, 100%, $F$9) + CHOOSE(CONTROL!$C$27, 0.0021, 0)</f>
        <v>73.774500000000003</v>
      </c>
      <c r="F448" s="14">
        <f>73.7724 * CHOOSE(CONTROL!$C$9, $D$9, 100%, $F$9) + CHOOSE(CONTROL!$C$27, 0.0021, 0)</f>
        <v>73.774500000000003</v>
      </c>
      <c r="G448" s="14">
        <f>74.0438 * CHOOSE(CONTROL!$C$9, $D$9, 100%, $F$9) + CHOOSE(CONTROL!$C$27, 0.0021, 0)</f>
        <v>74.045900000000003</v>
      </c>
      <c r="H448" s="14">
        <f>73.9091 * CHOOSE(CONTROL!$C$9, $D$9, 100%, $F$9) + CHOOSE(CONTROL!$C$27, 0.0021, 0)</f>
        <v>73.911199999999994</v>
      </c>
      <c r="I448" s="14">
        <f>73.9091 * CHOOSE(CONTROL!$C$9, $D$9, 100%, $F$9) + CHOOSE(CONTROL!$C$27, 0.0021, 0)</f>
        <v>73.911199999999994</v>
      </c>
      <c r="J448" s="14">
        <f>73.9091 * CHOOSE(CONTROL!$C$9, $D$9, 100%, $F$9) + CHOOSE(CONTROL!$C$27, 0.0021, 0)</f>
        <v>73.911199999999994</v>
      </c>
      <c r="K448" s="14">
        <f>73.9091 * CHOOSE(CONTROL!$C$9, $D$9, 100%, $F$9) + CHOOSE(CONTROL!$C$27, 0.0021, 0)</f>
        <v>73.911199999999994</v>
      </c>
      <c r="L448" s="14"/>
    </row>
    <row r="449" spans="1:12" ht="15.75" x14ac:dyDescent="0.25">
      <c r="A449" s="33">
        <v>54604</v>
      </c>
      <c r="B449" s="14">
        <f>75.2289 * CHOOSE(CONTROL!$C$9, $D$9, 100%, $F$9) + CHOOSE(CONTROL!$C$27, 0.0021, 0)</f>
        <v>75.230999999999995</v>
      </c>
      <c r="C449" s="14">
        <f>74.7967 * CHOOSE(CONTROL!$C$9, $D$9, 100%, $F$9) + CHOOSE(CONTROL!$C$27, 0.0021, 0)</f>
        <v>74.7988</v>
      </c>
      <c r="D449" s="14">
        <f>74.7967 * CHOOSE(CONTROL!$C$9, $D$9, 100%, $F$9) + CHOOSE(CONTROL!$C$27, 0.0021, 0)</f>
        <v>74.7988</v>
      </c>
      <c r="E449" s="14">
        <f>74.66 * CHOOSE(CONTROL!$C$9, $D$9, 100%, $F$9) + CHOOSE(CONTROL!$C$27, 0.0021, 0)</f>
        <v>74.662099999999995</v>
      </c>
      <c r="F449" s="14">
        <f>74.66 * CHOOSE(CONTROL!$C$9, $D$9, 100%, $F$9) + CHOOSE(CONTROL!$C$27, 0.0021, 0)</f>
        <v>74.662099999999995</v>
      </c>
      <c r="G449" s="14">
        <f>74.9314 * CHOOSE(CONTROL!$C$9, $D$9, 100%, $F$9) + CHOOSE(CONTROL!$C$27, 0.0021, 0)</f>
        <v>74.933499999999995</v>
      </c>
      <c r="H449" s="14">
        <f>74.7967 * CHOOSE(CONTROL!$C$9, $D$9, 100%, $F$9) + CHOOSE(CONTROL!$C$27, 0.0021, 0)</f>
        <v>74.7988</v>
      </c>
      <c r="I449" s="14">
        <f>74.7967 * CHOOSE(CONTROL!$C$9, $D$9, 100%, $F$9) + CHOOSE(CONTROL!$C$27, 0.0021, 0)</f>
        <v>74.7988</v>
      </c>
      <c r="J449" s="14">
        <f>74.7967 * CHOOSE(CONTROL!$C$9, $D$9, 100%, $F$9) + CHOOSE(CONTROL!$C$27, 0.0021, 0)</f>
        <v>74.7988</v>
      </c>
      <c r="K449" s="14">
        <f>74.7967 * CHOOSE(CONTROL!$C$9, $D$9, 100%, $F$9) + CHOOSE(CONTROL!$C$27, 0.0021, 0)</f>
        <v>74.7988</v>
      </c>
      <c r="L449" s="14"/>
    </row>
    <row r="450" spans="1:12" ht="15.75" x14ac:dyDescent="0.25">
      <c r="A450" s="33">
        <v>54635</v>
      </c>
      <c r="B450" s="14">
        <f>76.6932 * CHOOSE(CONTROL!$C$9, $D$9, 100%, $F$9) + CHOOSE(CONTROL!$C$27, 0.0021, 0)</f>
        <v>76.695300000000003</v>
      </c>
      <c r="C450" s="14">
        <f>76.2609 * CHOOSE(CONTROL!$C$9, $D$9, 100%, $F$9) + CHOOSE(CONTROL!$C$27, 0.0021, 0)</f>
        <v>76.263000000000005</v>
      </c>
      <c r="D450" s="14">
        <f>76.2609 * CHOOSE(CONTROL!$C$9, $D$9, 100%, $F$9) + CHOOSE(CONTROL!$C$27, 0.0021, 0)</f>
        <v>76.263000000000005</v>
      </c>
      <c r="E450" s="14">
        <f>76.1243 * CHOOSE(CONTROL!$C$9, $D$9, 100%, $F$9) + CHOOSE(CONTROL!$C$27, 0.0021, 0)</f>
        <v>76.126400000000004</v>
      </c>
      <c r="F450" s="14">
        <f>76.1243 * CHOOSE(CONTROL!$C$9, $D$9, 100%, $F$9) + CHOOSE(CONTROL!$C$27, 0.0021, 0)</f>
        <v>76.126400000000004</v>
      </c>
      <c r="G450" s="14">
        <f>76.3957 * CHOOSE(CONTROL!$C$9, $D$9, 100%, $F$9) + CHOOSE(CONTROL!$C$27, 0.0021, 0)</f>
        <v>76.397800000000004</v>
      </c>
      <c r="H450" s="14">
        <f>76.2609 * CHOOSE(CONTROL!$C$9, $D$9, 100%, $F$9) + CHOOSE(CONTROL!$C$27, 0.0021, 0)</f>
        <v>76.263000000000005</v>
      </c>
      <c r="I450" s="14">
        <f>76.2609 * CHOOSE(CONTROL!$C$9, $D$9, 100%, $F$9) + CHOOSE(CONTROL!$C$27, 0.0021, 0)</f>
        <v>76.263000000000005</v>
      </c>
      <c r="J450" s="14">
        <f>76.2609 * CHOOSE(CONTROL!$C$9, $D$9, 100%, $F$9) + CHOOSE(CONTROL!$C$27, 0.0021, 0)</f>
        <v>76.263000000000005</v>
      </c>
      <c r="K450" s="14">
        <f>76.2609 * CHOOSE(CONTROL!$C$9, $D$9, 100%, $F$9) + CHOOSE(CONTROL!$C$27, 0.0021, 0)</f>
        <v>76.263000000000005</v>
      </c>
      <c r="L450" s="14"/>
    </row>
    <row r="451" spans="1:12" ht="15.75" x14ac:dyDescent="0.25">
      <c r="A451" s="33">
        <v>54666</v>
      </c>
      <c r="B451" s="14">
        <f>77.1401 * CHOOSE(CONTROL!$C$9, $D$9, 100%, $F$9) + CHOOSE(CONTROL!$C$27, 0.0021, 0)</f>
        <v>77.142200000000003</v>
      </c>
      <c r="C451" s="14">
        <f>76.7079 * CHOOSE(CONTROL!$C$9, $D$9, 100%, $F$9) + CHOOSE(CONTROL!$C$27, 0.0021, 0)</f>
        <v>76.709999999999994</v>
      </c>
      <c r="D451" s="14">
        <f>76.7079 * CHOOSE(CONTROL!$C$9, $D$9, 100%, $F$9) + CHOOSE(CONTROL!$C$27, 0.0021, 0)</f>
        <v>76.709999999999994</v>
      </c>
      <c r="E451" s="14">
        <f>76.5712 * CHOOSE(CONTROL!$C$9, $D$9, 100%, $F$9) + CHOOSE(CONTROL!$C$27, 0.0021, 0)</f>
        <v>76.573300000000003</v>
      </c>
      <c r="F451" s="14">
        <f>76.5712 * CHOOSE(CONTROL!$C$9, $D$9, 100%, $F$9) + CHOOSE(CONTROL!$C$27, 0.0021, 0)</f>
        <v>76.573300000000003</v>
      </c>
      <c r="G451" s="14">
        <f>76.8426 * CHOOSE(CONTROL!$C$9, $D$9, 100%, $F$9) + CHOOSE(CONTROL!$C$27, 0.0021, 0)</f>
        <v>76.844700000000003</v>
      </c>
      <c r="H451" s="14">
        <f>76.7079 * CHOOSE(CONTROL!$C$9, $D$9, 100%, $F$9) + CHOOSE(CONTROL!$C$27, 0.0021, 0)</f>
        <v>76.709999999999994</v>
      </c>
      <c r="I451" s="14">
        <f>76.7079 * CHOOSE(CONTROL!$C$9, $D$9, 100%, $F$9) + CHOOSE(CONTROL!$C$27, 0.0021, 0)</f>
        <v>76.709999999999994</v>
      </c>
      <c r="J451" s="14">
        <f>76.7079 * CHOOSE(CONTROL!$C$9, $D$9, 100%, $F$9) + CHOOSE(CONTROL!$C$27, 0.0021, 0)</f>
        <v>76.709999999999994</v>
      </c>
      <c r="K451" s="14">
        <f>76.7079 * CHOOSE(CONTROL!$C$9, $D$9, 100%, $F$9) + CHOOSE(CONTROL!$C$27, 0.0021, 0)</f>
        <v>76.709999999999994</v>
      </c>
      <c r="L451" s="14"/>
    </row>
    <row r="452" spans="1:12" ht="15.75" x14ac:dyDescent="0.25">
      <c r="A452" s="33">
        <v>54696</v>
      </c>
      <c r="B452" s="14">
        <f>78.6622 * CHOOSE(CONTROL!$C$9, $D$9, 100%, $F$9) + CHOOSE(CONTROL!$C$27, 0.0021, 0)</f>
        <v>78.664299999999997</v>
      </c>
      <c r="C452" s="14">
        <f>78.2299 * CHOOSE(CONTROL!$C$9, $D$9, 100%, $F$9) + CHOOSE(CONTROL!$C$27, 0.0021, 0)</f>
        <v>78.231999999999999</v>
      </c>
      <c r="D452" s="14">
        <f>78.2299 * CHOOSE(CONTROL!$C$9, $D$9, 100%, $F$9) + CHOOSE(CONTROL!$C$27, 0.0021, 0)</f>
        <v>78.231999999999999</v>
      </c>
      <c r="E452" s="14">
        <f>78.0932 * CHOOSE(CONTROL!$C$9, $D$9, 100%, $F$9) + CHOOSE(CONTROL!$C$27, 0.0021, 0)</f>
        <v>78.095299999999995</v>
      </c>
      <c r="F452" s="14">
        <f>78.0932 * CHOOSE(CONTROL!$C$9, $D$9, 100%, $F$9) + CHOOSE(CONTROL!$C$27, 0.0021, 0)</f>
        <v>78.095299999999995</v>
      </c>
      <c r="G452" s="14">
        <f>78.3646 * CHOOSE(CONTROL!$C$9, $D$9, 100%, $F$9) + CHOOSE(CONTROL!$C$27, 0.0021, 0)</f>
        <v>78.366699999999994</v>
      </c>
      <c r="H452" s="14">
        <f>78.2299 * CHOOSE(CONTROL!$C$9, $D$9, 100%, $F$9) + CHOOSE(CONTROL!$C$27, 0.0021, 0)</f>
        <v>78.231999999999999</v>
      </c>
      <c r="I452" s="14">
        <f>78.2299 * CHOOSE(CONTROL!$C$9, $D$9, 100%, $F$9) + CHOOSE(CONTROL!$C$27, 0.0021, 0)</f>
        <v>78.231999999999999</v>
      </c>
      <c r="J452" s="14">
        <f>78.2299 * CHOOSE(CONTROL!$C$9, $D$9, 100%, $F$9) + CHOOSE(CONTROL!$C$27, 0.0021, 0)</f>
        <v>78.231999999999999</v>
      </c>
      <c r="K452" s="14">
        <f>78.2299 * CHOOSE(CONTROL!$C$9, $D$9, 100%, $F$9) + CHOOSE(CONTROL!$C$27, 0.0021, 0)</f>
        <v>78.231999999999999</v>
      </c>
      <c r="L452" s="14"/>
    </row>
    <row r="453" spans="1:12" ht="15.75" x14ac:dyDescent="0.25">
      <c r="A453" s="33">
        <v>54727</v>
      </c>
      <c r="B453" s="14">
        <f>80.5888 * CHOOSE(CONTROL!$C$9, $D$9, 100%, $F$9) + CHOOSE(CONTROL!$C$27, 0.0021, 0)</f>
        <v>80.590900000000005</v>
      </c>
      <c r="C453" s="14">
        <f>80.1565 * CHOOSE(CONTROL!$C$9, $D$9, 100%, $F$9) + CHOOSE(CONTROL!$C$27, 0.0021, 0)</f>
        <v>80.158599999999993</v>
      </c>
      <c r="D453" s="14">
        <f>80.1565 * CHOOSE(CONTROL!$C$9, $D$9, 100%, $F$9) + CHOOSE(CONTROL!$C$27, 0.0021, 0)</f>
        <v>80.158599999999993</v>
      </c>
      <c r="E453" s="14">
        <f>80.0199 * CHOOSE(CONTROL!$C$9, $D$9, 100%, $F$9) + CHOOSE(CONTROL!$C$27, 0.0021, 0)</f>
        <v>80.022000000000006</v>
      </c>
      <c r="F453" s="14">
        <f>80.0199 * CHOOSE(CONTROL!$C$9, $D$9, 100%, $F$9) + CHOOSE(CONTROL!$C$27, 0.0021, 0)</f>
        <v>80.022000000000006</v>
      </c>
      <c r="G453" s="14">
        <f>80.2912 * CHOOSE(CONTROL!$C$9, $D$9, 100%, $F$9) + CHOOSE(CONTROL!$C$27, 0.0021, 0)</f>
        <v>80.293300000000002</v>
      </c>
      <c r="H453" s="14">
        <f>80.1565 * CHOOSE(CONTROL!$C$9, $D$9, 100%, $F$9) + CHOOSE(CONTROL!$C$27, 0.0021, 0)</f>
        <v>80.158599999999993</v>
      </c>
      <c r="I453" s="14">
        <f>80.1565 * CHOOSE(CONTROL!$C$9, $D$9, 100%, $F$9) + CHOOSE(CONTROL!$C$27, 0.0021, 0)</f>
        <v>80.158599999999993</v>
      </c>
      <c r="J453" s="14">
        <f>80.1565 * CHOOSE(CONTROL!$C$9, $D$9, 100%, $F$9) + CHOOSE(CONTROL!$C$27, 0.0021, 0)</f>
        <v>80.158599999999993</v>
      </c>
      <c r="K453" s="14">
        <f>80.1565 * CHOOSE(CONTROL!$C$9, $D$9, 100%, $F$9) + CHOOSE(CONTROL!$C$27, 0.0021, 0)</f>
        <v>80.158599999999993</v>
      </c>
      <c r="L453" s="14"/>
    </row>
    <row r="454" spans="1:12" ht="15.75" x14ac:dyDescent="0.25">
      <c r="A454" s="33">
        <v>54757</v>
      </c>
      <c r="B454" s="14">
        <f>80.7696 * CHOOSE(CONTROL!$C$9, $D$9, 100%, $F$9) + CHOOSE(CONTROL!$C$27, 0.0021, 0)</f>
        <v>80.771699999999996</v>
      </c>
      <c r="C454" s="14">
        <f>80.3374 * CHOOSE(CONTROL!$C$9, $D$9, 100%, $F$9) + CHOOSE(CONTROL!$C$27, 0.0021, 0)</f>
        <v>80.339500000000001</v>
      </c>
      <c r="D454" s="14">
        <f>80.3374 * CHOOSE(CONTROL!$C$9, $D$9, 100%, $F$9) + CHOOSE(CONTROL!$C$27, 0.0021, 0)</f>
        <v>80.339500000000001</v>
      </c>
      <c r="E454" s="14">
        <f>80.2007 * CHOOSE(CONTROL!$C$9, $D$9, 100%, $F$9) + CHOOSE(CONTROL!$C$27, 0.0021, 0)</f>
        <v>80.202799999999996</v>
      </c>
      <c r="F454" s="14">
        <f>80.2007 * CHOOSE(CONTROL!$C$9, $D$9, 100%, $F$9) + CHOOSE(CONTROL!$C$27, 0.0021, 0)</f>
        <v>80.202799999999996</v>
      </c>
      <c r="G454" s="14">
        <f>80.4721 * CHOOSE(CONTROL!$C$9, $D$9, 100%, $F$9) + CHOOSE(CONTROL!$C$27, 0.0021, 0)</f>
        <v>80.474199999999996</v>
      </c>
      <c r="H454" s="14">
        <f>80.3374 * CHOOSE(CONTROL!$C$9, $D$9, 100%, $F$9) + CHOOSE(CONTROL!$C$27, 0.0021, 0)</f>
        <v>80.339500000000001</v>
      </c>
      <c r="I454" s="14">
        <f>80.3374 * CHOOSE(CONTROL!$C$9, $D$9, 100%, $F$9) + CHOOSE(CONTROL!$C$27, 0.0021, 0)</f>
        <v>80.339500000000001</v>
      </c>
      <c r="J454" s="14">
        <f>80.3374 * CHOOSE(CONTROL!$C$9, $D$9, 100%, $F$9) + CHOOSE(CONTROL!$C$27, 0.0021, 0)</f>
        <v>80.339500000000001</v>
      </c>
      <c r="K454" s="14">
        <f>80.3374 * CHOOSE(CONTROL!$C$9, $D$9, 100%, $F$9) + CHOOSE(CONTROL!$C$27, 0.0021, 0)</f>
        <v>80.339500000000001</v>
      </c>
      <c r="L454" s="14"/>
    </row>
    <row r="455" spans="1:12" ht="15.75" x14ac:dyDescent="0.25">
      <c r="A455" s="33">
        <v>54788</v>
      </c>
      <c r="B455" s="14">
        <f>79.2309 * CHOOSE(CONTROL!$C$9, $D$9, 100%, $F$9) + CHOOSE(CONTROL!$C$27, 0.0021, 0)</f>
        <v>79.233000000000004</v>
      </c>
      <c r="C455" s="14">
        <f>78.7986 * CHOOSE(CONTROL!$C$9, $D$9, 100%, $F$9) + CHOOSE(CONTROL!$C$27, 0.0021, 0)</f>
        <v>78.800699999999992</v>
      </c>
      <c r="D455" s="14">
        <f>78.7986 * CHOOSE(CONTROL!$C$9, $D$9, 100%, $F$9) + CHOOSE(CONTROL!$C$27, 0.0021, 0)</f>
        <v>78.800699999999992</v>
      </c>
      <c r="E455" s="14">
        <f>78.662 * CHOOSE(CONTROL!$C$9, $D$9, 100%, $F$9) + CHOOSE(CONTROL!$C$27, 0.0021, 0)</f>
        <v>78.664100000000005</v>
      </c>
      <c r="F455" s="14">
        <f>78.662 * CHOOSE(CONTROL!$C$9, $D$9, 100%, $F$9) + CHOOSE(CONTROL!$C$27, 0.0021, 0)</f>
        <v>78.664100000000005</v>
      </c>
      <c r="G455" s="14">
        <f>78.9334 * CHOOSE(CONTROL!$C$9, $D$9, 100%, $F$9) + CHOOSE(CONTROL!$C$27, 0.0021, 0)</f>
        <v>78.935500000000005</v>
      </c>
      <c r="H455" s="14">
        <f>78.7986 * CHOOSE(CONTROL!$C$9, $D$9, 100%, $F$9) + CHOOSE(CONTROL!$C$27, 0.0021, 0)</f>
        <v>78.800699999999992</v>
      </c>
      <c r="I455" s="14">
        <f>78.7986 * CHOOSE(CONTROL!$C$9, $D$9, 100%, $F$9) + CHOOSE(CONTROL!$C$27, 0.0021, 0)</f>
        <v>78.800699999999992</v>
      </c>
      <c r="J455" s="14">
        <f>78.7986 * CHOOSE(CONTROL!$C$9, $D$9, 100%, $F$9) + CHOOSE(CONTROL!$C$27, 0.0021, 0)</f>
        <v>78.800699999999992</v>
      </c>
      <c r="K455" s="14">
        <f>78.7986 * CHOOSE(CONTROL!$C$9, $D$9, 100%, $F$9) + CHOOSE(CONTROL!$C$27, 0.0021, 0)</f>
        <v>78.800699999999992</v>
      </c>
      <c r="L455" s="14"/>
    </row>
    <row r="456" spans="1:12" ht="15.75" x14ac:dyDescent="0.25">
      <c r="A456" s="33">
        <v>54819</v>
      </c>
      <c r="B456" s="14">
        <f>78.2583 * CHOOSE(CONTROL!$C$9, $D$9, 100%, $F$9) + CHOOSE(CONTROL!$C$27, 0.0021, 0)</f>
        <v>78.260400000000004</v>
      </c>
      <c r="C456" s="14">
        <f>77.8261 * CHOOSE(CONTROL!$C$9, $D$9, 100%, $F$9) + CHOOSE(CONTROL!$C$27, 0.0021, 0)</f>
        <v>77.828199999999995</v>
      </c>
      <c r="D456" s="14">
        <f>77.8261 * CHOOSE(CONTROL!$C$9, $D$9, 100%, $F$9) + CHOOSE(CONTROL!$C$27, 0.0021, 0)</f>
        <v>77.828199999999995</v>
      </c>
      <c r="E456" s="14">
        <f>77.6894 * CHOOSE(CONTROL!$C$9, $D$9, 100%, $F$9) + CHOOSE(CONTROL!$C$27, 0.0021, 0)</f>
        <v>77.691500000000005</v>
      </c>
      <c r="F456" s="14">
        <f>77.6894 * CHOOSE(CONTROL!$C$9, $D$9, 100%, $F$9) + CHOOSE(CONTROL!$C$27, 0.0021, 0)</f>
        <v>77.691500000000005</v>
      </c>
      <c r="G456" s="14">
        <f>77.9608 * CHOOSE(CONTROL!$C$9, $D$9, 100%, $F$9) + CHOOSE(CONTROL!$C$27, 0.0021, 0)</f>
        <v>77.962900000000005</v>
      </c>
      <c r="H456" s="14">
        <f>77.8261 * CHOOSE(CONTROL!$C$9, $D$9, 100%, $F$9) + CHOOSE(CONTROL!$C$27, 0.0021, 0)</f>
        <v>77.828199999999995</v>
      </c>
      <c r="I456" s="14">
        <f>77.8261 * CHOOSE(CONTROL!$C$9, $D$9, 100%, $F$9) + CHOOSE(CONTROL!$C$27, 0.0021, 0)</f>
        <v>77.828199999999995</v>
      </c>
      <c r="J456" s="14">
        <f>77.8261 * CHOOSE(CONTROL!$C$9, $D$9, 100%, $F$9) + CHOOSE(CONTROL!$C$27, 0.0021, 0)</f>
        <v>77.828199999999995</v>
      </c>
      <c r="K456" s="14">
        <f>77.8261 * CHOOSE(CONTROL!$C$9, $D$9, 100%, $F$9) + CHOOSE(CONTROL!$C$27, 0.0021, 0)</f>
        <v>77.828199999999995</v>
      </c>
      <c r="L456" s="14"/>
    </row>
    <row r="457" spans="1:12" ht="15.75" x14ac:dyDescent="0.25">
      <c r="A457" s="33">
        <v>54847</v>
      </c>
      <c r="B457" s="14">
        <f>76.1096 * CHOOSE(CONTROL!$C$9, $D$9, 100%, $F$9) + CHOOSE(CONTROL!$C$27, 0.0021, 0)</f>
        <v>76.111699999999999</v>
      </c>
      <c r="C457" s="14">
        <f>75.6773 * CHOOSE(CONTROL!$C$9, $D$9, 100%, $F$9) + CHOOSE(CONTROL!$C$27, 0.0021, 0)</f>
        <v>75.679400000000001</v>
      </c>
      <c r="D457" s="14">
        <f>75.6773 * CHOOSE(CONTROL!$C$9, $D$9, 100%, $F$9) + CHOOSE(CONTROL!$C$27, 0.0021, 0)</f>
        <v>75.679400000000001</v>
      </c>
      <c r="E457" s="14">
        <f>75.5407 * CHOOSE(CONTROL!$C$9, $D$9, 100%, $F$9) + CHOOSE(CONTROL!$C$27, 0.0021, 0)</f>
        <v>75.5428</v>
      </c>
      <c r="F457" s="14">
        <f>75.5407 * CHOOSE(CONTROL!$C$9, $D$9, 100%, $F$9) + CHOOSE(CONTROL!$C$27, 0.0021, 0)</f>
        <v>75.5428</v>
      </c>
      <c r="G457" s="14">
        <f>75.8121 * CHOOSE(CONTROL!$C$9, $D$9, 100%, $F$9) + CHOOSE(CONTROL!$C$27, 0.0021, 0)</f>
        <v>75.8142</v>
      </c>
      <c r="H457" s="14">
        <f>75.6773 * CHOOSE(CONTROL!$C$9, $D$9, 100%, $F$9) + CHOOSE(CONTROL!$C$27, 0.0021, 0)</f>
        <v>75.679400000000001</v>
      </c>
      <c r="I457" s="14">
        <f>75.6773 * CHOOSE(CONTROL!$C$9, $D$9, 100%, $F$9) + CHOOSE(CONTROL!$C$27, 0.0021, 0)</f>
        <v>75.679400000000001</v>
      </c>
      <c r="J457" s="14">
        <f>75.6773 * CHOOSE(CONTROL!$C$9, $D$9, 100%, $F$9) + CHOOSE(CONTROL!$C$27, 0.0021, 0)</f>
        <v>75.679400000000001</v>
      </c>
      <c r="K457" s="14">
        <f>75.6773 * CHOOSE(CONTROL!$C$9, $D$9, 100%, $F$9) + CHOOSE(CONTROL!$C$27, 0.0021, 0)</f>
        <v>75.679400000000001</v>
      </c>
      <c r="L457" s="14"/>
    </row>
    <row r="458" spans="1:12" ht="15.75" x14ac:dyDescent="0.25">
      <c r="A458" s="33">
        <v>54878</v>
      </c>
      <c r="B458" s="14">
        <f>75.2226 * CHOOSE(CONTROL!$C$9, $D$9, 100%, $F$9) + CHOOSE(CONTROL!$C$27, 0.0021, 0)</f>
        <v>75.224699999999999</v>
      </c>
      <c r="C458" s="14">
        <f>74.7903 * CHOOSE(CONTROL!$C$9, $D$9, 100%, $F$9) + CHOOSE(CONTROL!$C$27, 0.0021, 0)</f>
        <v>74.792400000000001</v>
      </c>
      <c r="D458" s="14">
        <f>74.7903 * CHOOSE(CONTROL!$C$9, $D$9, 100%, $F$9) + CHOOSE(CONTROL!$C$27, 0.0021, 0)</f>
        <v>74.792400000000001</v>
      </c>
      <c r="E458" s="14">
        <f>74.6537 * CHOOSE(CONTROL!$C$9, $D$9, 100%, $F$9) + CHOOSE(CONTROL!$C$27, 0.0021, 0)</f>
        <v>74.655799999999999</v>
      </c>
      <c r="F458" s="14">
        <f>74.6537 * CHOOSE(CONTROL!$C$9, $D$9, 100%, $F$9) + CHOOSE(CONTROL!$C$27, 0.0021, 0)</f>
        <v>74.655799999999999</v>
      </c>
      <c r="G458" s="14">
        <f>74.9251 * CHOOSE(CONTROL!$C$9, $D$9, 100%, $F$9) + CHOOSE(CONTROL!$C$27, 0.0021, 0)</f>
        <v>74.927199999999999</v>
      </c>
      <c r="H458" s="14">
        <f>74.7903 * CHOOSE(CONTROL!$C$9, $D$9, 100%, $F$9) + CHOOSE(CONTROL!$C$27, 0.0021, 0)</f>
        <v>74.792400000000001</v>
      </c>
      <c r="I458" s="14">
        <f>74.7903 * CHOOSE(CONTROL!$C$9, $D$9, 100%, $F$9) + CHOOSE(CONTROL!$C$27, 0.0021, 0)</f>
        <v>74.792400000000001</v>
      </c>
      <c r="J458" s="14">
        <f>74.7903 * CHOOSE(CONTROL!$C$9, $D$9, 100%, $F$9) + CHOOSE(CONTROL!$C$27, 0.0021, 0)</f>
        <v>74.792400000000001</v>
      </c>
      <c r="K458" s="14">
        <f>74.7903 * CHOOSE(CONTROL!$C$9, $D$9, 100%, $F$9) + CHOOSE(CONTROL!$C$27, 0.0021, 0)</f>
        <v>74.792400000000001</v>
      </c>
      <c r="L458" s="14"/>
    </row>
    <row r="459" spans="1:12" ht="15.75" x14ac:dyDescent="0.25">
      <c r="A459" s="33">
        <v>54908</v>
      </c>
      <c r="B459" s="14">
        <f>74.1635 * CHOOSE(CONTROL!$C$9, $D$9, 100%, $F$9) + CHOOSE(CONTROL!$C$27, 0.0021, 0)</f>
        <v>74.165599999999998</v>
      </c>
      <c r="C459" s="14">
        <f>73.7313 * CHOOSE(CONTROL!$C$9, $D$9, 100%, $F$9) + CHOOSE(CONTROL!$C$27, 0.0021, 0)</f>
        <v>73.733400000000003</v>
      </c>
      <c r="D459" s="14">
        <f>73.7313 * CHOOSE(CONTROL!$C$9, $D$9, 100%, $F$9) + CHOOSE(CONTROL!$C$27, 0.0021, 0)</f>
        <v>73.733400000000003</v>
      </c>
      <c r="E459" s="14">
        <f>73.5946 * CHOOSE(CONTROL!$C$9, $D$9, 100%, $F$9) + CHOOSE(CONTROL!$C$27, 0.0021, 0)</f>
        <v>73.596699999999998</v>
      </c>
      <c r="F459" s="14">
        <f>73.5946 * CHOOSE(CONTROL!$C$9, $D$9, 100%, $F$9) + CHOOSE(CONTROL!$C$27, 0.0021, 0)</f>
        <v>73.596699999999998</v>
      </c>
      <c r="G459" s="14">
        <f>73.866 * CHOOSE(CONTROL!$C$9, $D$9, 100%, $F$9) + CHOOSE(CONTROL!$C$27, 0.0021, 0)</f>
        <v>73.868099999999998</v>
      </c>
      <c r="H459" s="14">
        <f>73.7313 * CHOOSE(CONTROL!$C$9, $D$9, 100%, $F$9) + CHOOSE(CONTROL!$C$27, 0.0021, 0)</f>
        <v>73.733400000000003</v>
      </c>
      <c r="I459" s="14">
        <f>73.7313 * CHOOSE(CONTROL!$C$9, $D$9, 100%, $F$9) + CHOOSE(CONTROL!$C$27, 0.0021, 0)</f>
        <v>73.733400000000003</v>
      </c>
      <c r="J459" s="14">
        <f>73.7313 * CHOOSE(CONTROL!$C$9, $D$9, 100%, $F$9) + CHOOSE(CONTROL!$C$27, 0.0021, 0)</f>
        <v>73.733400000000003</v>
      </c>
      <c r="K459" s="14">
        <f>73.7313 * CHOOSE(CONTROL!$C$9, $D$9, 100%, $F$9) + CHOOSE(CONTROL!$C$27, 0.0021, 0)</f>
        <v>73.733400000000003</v>
      </c>
      <c r="L459" s="14"/>
    </row>
    <row r="460" spans="1:12" ht="15.75" x14ac:dyDescent="0.25">
      <c r="A460" s="33">
        <v>54939</v>
      </c>
      <c r="B460" s="14">
        <f>75.6728 * CHOOSE(CONTROL!$C$9, $D$9, 100%, $F$9) + CHOOSE(CONTROL!$C$27, 0.0021, 0)</f>
        <v>75.674899999999994</v>
      </c>
      <c r="C460" s="14">
        <f>75.2406 * CHOOSE(CONTROL!$C$9, $D$9, 100%, $F$9) + CHOOSE(CONTROL!$C$27, 0.0021, 0)</f>
        <v>75.242699999999999</v>
      </c>
      <c r="D460" s="14">
        <f>75.2406 * CHOOSE(CONTROL!$C$9, $D$9, 100%, $F$9) + CHOOSE(CONTROL!$C$27, 0.0021, 0)</f>
        <v>75.242699999999999</v>
      </c>
      <c r="E460" s="14">
        <f>75.1039 * CHOOSE(CONTROL!$C$9, $D$9, 100%, $F$9) + CHOOSE(CONTROL!$C$27, 0.0021, 0)</f>
        <v>75.105999999999995</v>
      </c>
      <c r="F460" s="14">
        <f>75.1039 * CHOOSE(CONTROL!$C$9, $D$9, 100%, $F$9) + CHOOSE(CONTROL!$C$27, 0.0021, 0)</f>
        <v>75.105999999999995</v>
      </c>
      <c r="G460" s="14">
        <f>75.3753 * CHOOSE(CONTROL!$C$9, $D$9, 100%, $F$9) + CHOOSE(CONTROL!$C$27, 0.0021, 0)</f>
        <v>75.377399999999994</v>
      </c>
      <c r="H460" s="14">
        <f>75.2406 * CHOOSE(CONTROL!$C$9, $D$9, 100%, $F$9) + CHOOSE(CONTROL!$C$27, 0.0021, 0)</f>
        <v>75.242699999999999</v>
      </c>
      <c r="I460" s="14">
        <f>75.2406 * CHOOSE(CONTROL!$C$9, $D$9, 100%, $F$9) + CHOOSE(CONTROL!$C$27, 0.0021, 0)</f>
        <v>75.242699999999999</v>
      </c>
      <c r="J460" s="14">
        <f>75.2406 * CHOOSE(CONTROL!$C$9, $D$9, 100%, $F$9) + CHOOSE(CONTROL!$C$27, 0.0021, 0)</f>
        <v>75.242699999999999</v>
      </c>
      <c r="K460" s="14">
        <f>75.2406 * CHOOSE(CONTROL!$C$9, $D$9, 100%, $F$9) + CHOOSE(CONTROL!$C$27, 0.0021, 0)</f>
        <v>75.242699999999999</v>
      </c>
      <c r="L460" s="14"/>
    </row>
    <row r="461" spans="1:12" ht="15.75" x14ac:dyDescent="0.25">
      <c r="A461" s="33">
        <v>54969</v>
      </c>
      <c r="B461" s="14">
        <f>76.5769 * CHOOSE(CONTROL!$C$9, $D$9, 100%, $F$9) + CHOOSE(CONTROL!$C$27, 0.0021, 0)</f>
        <v>76.578999999999994</v>
      </c>
      <c r="C461" s="14">
        <f>76.1446 * CHOOSE(CONTROL!$C$9, $D$9, 100%, $F$9) + CHOOSE(CONTROL!$C$27, 0.0021, 0)</f>
        <v>76.146699999999996</v>
      </c>
      <c r="D461" s="14">
        <f>76.1446 * CHOOSE(CONTROL!$C$9, $D$9, 100%, $F$9) + CHOOSE(CONTROL!$C$27, 0.0021, 0)</f>
        <v>76.146699999999996</v>
      </c>
      <c r="E461" s="14">
        <f>76.008 * CHOOSE(CONTROL!$C$9, $D$9, 100%, $F$9) + CHOOSE(CONTROL!$C$27, 0.0021, 0)</f>
        <v>76.010099999999994</v>
      </c>
      <c r="F461" s="14">
        <f>76.008 * CHOOSE(CONTROL!$C$9, $D$9, 100%, $F$9) + CHOOSE(CONTROL!$C$27, 0.0021, 0)</f>
        <v>76.010099999999994</v>
      </c>
      <c r="G461" s="14">
        <f>76.2793 * CHOOSE(CONTROL!$C$9, $D$9, 100%, $F$9) + CHOOSE(CONTROL!$C$27, 0.0021, 0)</f>
        <v>76.281400000000005</v>
      </c>
      <c r="H461" s="14">
        <f>76.1446 * CHOOSE(CONTROL!$C$9, $D$9, 100%, $F$9) + CHOOSE(CONTROL!$C$27, 0.0021, 0)</f>
        <v>76.146699999999996</v>
      </c>
      <c r="I461" s="14">
        <f>76.1446 * CHOOSE(CONTROL!$C$9, $D$9, 100%, $F$9) + CHOOSE(CONTROL!$C$27, 0.0021, 0)</f>
        <v>76.146699999999996</v>
      </c>
      <c r="J461" s="14">
        <f>76.1446 * CHOOSE(CONTROL!$C$9, $D$9, 100%, $F$9) + CHOOSE(CONTROL!$C$27, 0.0021, 0)</f>
        <v>76.146699999999996</v>
      </c>
      <c r="K461" s="14">
        <f>76.1446 * CHOOSE(CONTROL!$C$9, $D$9, 100%, $F$9) + CHOOSE(CONTROL!$C$27, 0.0021, 0)</f>
        <v>76.146699999999996</v>
      </c>
      <c r="L461" s="14"/>
    </row>
    <row r="462" spans="1:12" ht="15.75" x14ac:dyDescent="0.25">
      <c r="A462" s="33">
        <v>55000</v>
      </c>
      <c r="B462" s="14">
        <f>78.0682 * CHOOSE(CONTROL!$C$9, $D$9, 100%, $F$9) + CHOOSE(CONTROL!$C$27, 0.0021, 0)</f>
        <v>78.070300000000003</v>
      </c>
      <c r="C462" s="14">
        <f>77.6359 * CHOOSE(CONTROL!$C$9, $D$9, 100%, $F$9) + CHOOSE(CONTROL!$C$27, 0.0021, 0)</f>
        <v>77.638000000000005</v>
      </c>
      <c r="D462" s="14">
        <f>77.6359 * CHOOSE(CONTROL!$C$9, $D$9, 100%, $F$9) + CHOOSE(CONTROL!$C$27, 0.0021, 0)</f>
        <v>77.638000000000005</v>
      </c>
      <c r="E462" s="14">
        <f>77.4993 * CHOOSE(CONTROL!$C$9, $D$9, 100%, $F$9) + CHOOSE(CONTROL!$C$27, 0.0021, 0)</f>
        <v>77.501400000000004</v>
      </c>
      <c r="F462" s="14">
        <f>77.4993 * CHOOSE(CONTROL!$C$9, $D$9, 100%, $F$9) + CHOOSE(CONTROL!$C$27, 0.0021, 0)</f>
        <v>77.501400000000004</v>
      </c>
      <c r="G462" s="14">
        <f>77.7706 * CHOOSE(CONTROL!$C$9, $D$9, 100%, $F$9) + CHOOSE(CONTROL!$C$27, 0.0021, 0)</f>
        <v>77.7727</v>
      </c>
      <c r="H462" s="14">
        <f>77.6359 * CHOOSE(CONTROL!$C$9, $D$9, 100%, $F$9) + CHOOSE(CONTROL!$C$27, 0.0021, 0)</f>
        <v>77.638000000000005</v>
      </c>
      <c r="I462" s="14">
        <f>77.6359 * CHOOSE(CONTROL!$C$9, $D$9, 100%, $F$9) + CHOOSE(CONTROL!$C$27, 0.0021, 0)</f>
        <v>77.638000000000005</v>
      </c>
      <c r="J462" s="14">
        <f>77.6359 * CHOOSE(CONTROL!$C$9, $D$9, 100%, $F$9) + CHOOSE(CONTROL!$C$27, 0.0021, 0)</f>
        <v>77.638000000000005</v>
      </c>
      <c r="K462" s="14">
        <f>77.6359 * CHOOSE(CONTROL!$C$9, $D$9, 100%, $F$9) + CHOOSE(CONTROL!$C$27, 0.0021, 0)</f>
        <v>77.638000000000005</v>
      </c>
      <c r="L462" s="14"/>
    </row>
    <row r="463" spans="1:12" ht="15.75" x14ac:dyDescent="0.25">
      <c r="A463" s="33">
        <v>55031</v>
      </c>
      <c r="B463" s="14">
        <f>78.5234 * CHOOSE(CONTROL!$C$9, $D$9, 100%, $F$9) + CHOOSE(CONTROL!$C$27, 0.0021, 0)</f>
        <v>78.525499999999994</v>
      </c>
      <c r="C463" s="14">
        <f>78.0911 * CHOOSE(CONTROL!$C$9, $D$9, 100%, $F$9) + CHOOSE(CONTROL!$C$27, 0.0021, 0)</f>
        <v>78.093199999999996</v>
      </c>
      <c r="D463" s="14">
        <f>78.0911 * CHOOSE(CONTROL!$C$9, $D$9, 100%, $F$9) + CHOOSE(CONTROL!$C$27, 0.0021, 0)</f>
        <v>78.093199999999996</v>
      </c>
      <c r="E463" s="14">
        <f>77.9545 * CHOOSE(CONTROL!$C$9, $D$9, 100%, $F$9) + CHOOSE(CONTROL!$C$27, 0.0021, 0)</f>
        <v>77.956599999999995</v>
      </c>
      <c r="F463" s="14">
        <f>77.9545 * CHOOSE(CONTROL!$C$9, $D$9, 100%, $F$9) + CHOOSE(CONTROL!$C$27, 0.0021, 0)</f>
        <v>77.956599999999995</v>
      </c>
      <c r="G463" s="14">
        <f>78.2258 * CHOOSE(CONTROL!$C$9, $D$9, 100%, $F$9) + CHOOSE(CONTROL!$C$27, 0.0021, 0)</f>
        <v>78.227900000000005</v>
      </c>
      <c r="H463" s="14">
        <f>78.0911 * CHOOSE(CONTROL!$C$9, $D$9, 100%, $F$9) + CHOOSE(CONTROL!$C$27, 0.0021, 0)</f>
        <v>78.093199999999996</v>
      </c>
      <c r="I463" s="14">
        <f>78.0911 * CHOOSE(CONTROL!$C$9, $D$9, 100%, $F$9) + CHOOSE(CONTROL!$C$27, 0.0021, 0)</f>
        <v>78.093199999999996</v>
      </c>
      <c r="J463" s="14">
        <f>78.0911 * CHOOSE(CONTROL!$C$9, $D$9, 100%, $F$9) + CHOOSE(CONTROL!$C$27, 0.0021, 0)</f>
        <v>78.093199999999996</v>
      </c>
      <c r="K463" s="14">
        <f>78.0911 * CHOOSE(CONTROL!$C$9, $D$9, 100%, $F$9) + CHOOSE(CONTROL!$C$27, 0.0021, 0)</f>
        <v>78.093199999999996</v>
      </c>
      <c r="L463" s="14"/>
    </row>
    <row r="464" spans="1:12" ht="15.75" x14ac:dyDescent="0.25">
      <c r="A464" s="33">
        <v>55061</v>
      </c>
      <c r="B464" s="14">
        <f>80.0735 * CHOOSE(CONTROL!$C$9, $D$9, 100%, $F$9) + CHOOSE(CONTROL!$C$27, 0.0021, 0)</f>
        <v>80.075599999999994</v>
      </c>
      <c r="C464" s="14">
        <f>79.6413 * CHOOSE(CONTROL!$C$9, $D$9, 100%, $F$9) + CHOOSE(CONTROL!$C$27, 0.0021, 0)</f>
        <v>79.6434</v>
      </c>
      <c r="D464" s="14">
        <f>79.6413 * CHOOSE(CONTROL!$C$9, $D$9, 100%, $F$9) + CHOOSE(CONTROL!$C$27, 0.0021, 0)</f>
        <v>79.6434</v>
      </c>
      <c r="E464" s="14">
        <f>79.5046 * CHOOSE(CONTROL!$C$9, $D$9, 100%, $F$9) + CHOOSE(CONTROL!$C$27, 0.0021, 0)</f>
        <v>79.506699999999995</v>
      </c>
      <c r="F464" s="14">
        <f>79.5046 * CHOOSE(CONTROL!$C$9, $D$9, 100%, $F$9) + CHOOSE(CONTROL!$C$27, 0.0021, 0)</f>
        <v>79.506699999999995</v>
      </c>
      <c r="G464" s="14">
        <f>79.776 * CHOOSE(CONTROL!$C$9, $D$9, 100%, $F$9) + CHOOSE(CONTROL!$C$27, 0.0021, 0)</f>
        <v>79.778099999999995</v>
      </c>
      <c r="H464" s="14">
        <f>79.6413 * CHOOSE(CONTROL!$C$9, $D$9, 100%, $F$9) + CHOOSE(CONTROL!$C$27, 0.0021, 0)</f>
        <v>79.6434</v>
      </c>
      <c r="I464" s="14">
        <f>79.6413 * CHOOSE(CONTROL!$C$9, $D$9, 100%, $F$9) + CHOOSE(CONTROL!$C$27, 0.0021, 0)</f>
        <v>79.6434</v>
      </c>
      <c r="J464" s="14">
        <f>79.6413 * CHOOSE(CONTROL!$C$9, $D$9, 100%, $F$9) + CHOOSE(CONTROL!$C$27, 0.0021, 0)</f>
        <v>79.6434</v>
      </c>
      <c r="K464" s="14">
        <f>79.6413 * CHOOSE(CONTROL!$C$9, $D$9, 100%, $F$9) + CHOOSE(CONTROL!$C$27, 0.0021, 0)</f>
        <v>79.6434</v>
      </c>
      <c r="L464" s="14"/>
    </row>
    <row r="465" spans="1:12" ht="15.75" x14ac:dyDescent="0.25">
      <c r="A465" s="33">
        <v>55092</v>
      </c>
      <c r="B465" s="14">
        <f>82.0358 * CHOOSE(CONTROL!$C$9, $D$9, 100%, $F$9) + CHOOSE(CONTROL!$C$27, 0.0021, 0)</f>
        <v>82.037899999999993</v>
      </c>
      <c r="C465" s="14">
        <f>81.6035 * CHOOSE(CONTROL!$C$9, $D$9, 100%, $F$9) + CHOOSE(CONTROL!$C$27, 0.0021, 0)</f>
        <v>81.605599999999995</v>
      </c>
      <c r="D465" s="14">
        <f>81.6035 * CHOOSE(CONTROL!$C$9, $D$9, 100%, $F$9) + CHOOSE(CONTROL!$C$27, 0.0021, 0)</f>
        <v>81.605599999999995</v>
      </c>
      <c r="E465" s="14">
        <f>81.4668 * CHOOSE(CONTROL!$C$9, $D$9, 100%, $F$9) + CHOOSE(CONTROL!$C$27, 0.0021, 0)</f>
        <v>81.468900000000005</v>
      </c>
      <c r="F465" s="14">
        <f>81.4668 * CHOOSE(CONTROL!$C$9, $D$9, 100%, $F$9) + CHOOSE(CONTROL!$C$27, 0.0021, 0)</f>
        <v>81.468900000000005</v>
      </c>
      <c r="G465" s="14">
        <f>81.7382 * CHOOSE(CONTROL!$C$9, $D$9, 100%, $F$9) + CHOOSE(CONTROL!$C$27, 0.0021, 0)</f>
        <v>81.740300000000005</v>
      </c>
      <c r="H465" s="14">
        <f>81.6035 * CHOOSE(CONTROL!$C$9, $D$9, 100%, $F$9) + CHOOSE(CONTROL!$C$27, 0.0021, 0)</f>
        <v>81.605599999999995</v>
      </c>
      <c r="I465" s="14">
        <f>81.6035 * CHOOSE(CONTROL!$C$9, $D$9, 100%, $F$9) + CHOOSE(CONTROL!$C$27, 0.0021, 0)</f>
        <v>81.605599999999995</v>
      </c>
      <c r="J465" s="14">
        <f>81.6035 * CHOOSE(CONTROL!$C$9, $D$9, 100%, $F$9) + CHOOSE(CONTROL!$C$27, 0.0021, 0)</f>
        <v>81.605599999999995</v>
      </c>
      <c r="K465" s="14">
        <f>81.6035 * CHOOSE(CONTROL!$C$9, $D$9, 100%, $F$9) + CHOOSE(CONTROL!$C$27, 0.0021, 0)</f>
        <v>81.605599999999995</v>
      </c>
      <c r="L465" s="14"/>
    </row>
    <row r="466" spans="1:12" ht="15.75" x14ac:dyDescent="0.25">
      <c r="A466" s="33">
        <v>55122</v>
      </c>
      <c r="B466" s="14">
        <f>82.22 * CHOOSE(CONTROL!$C$9, $D$9, 100%, $F$9) + CHOOSE(CONTROL!$C$27, 0.0021, 0)</f>
        <v>82.222099999999998</v>
      </c>
      <c r="C466" s="14">
        <f>81.7877 * CHOOSE(CONTROL!$C$9, $D$9, 100%, $F$9) + CHOOSE(CONTROL!$C$27, 0.0021, 0)</f>
        <v>81.7898</v>
      </c>
      <c r="D466" s="14">
        <f>81.7877 * CHOOSE(CONTROL!$C$9, $D$9, 100%, $F$9) + CHOOSE(CONTROL!$C$27, 0.0021, 0)</f>
        <v>81.7898</v>
      </c>
      <c r="E466" s="14">
        <f>81.6511 * CHOOSE(CONTROL!$C$9, $D$9, 100%, $F$9) + CHOOSE(CONTROL!$C$27, 0.0021, 0)</f>
        <v>81.653199999999998</v>
      </c>
      <c r="F466" s="14">
        <f>81.6511 * CHOOSE(CONTROL!$C$9, $D$9, 100%, $F$9) + CHOOSE(CONTROL!$C$27, 0.0021, 0)</f>
        <v>81.653199999999998</v>
      </c>
      <c r="G466" s="14">
        <f>81.9224 * CHOOSE(CONTROL!$C$9, $D$9, 100%, $F$9) + CHOOSE(CONTROL!$C$27, 0.0021, 0)</f>
        <v>81.924499999999995</v>
      </c>
      <c r="H466" s="14">
        <f>81.7877 * CHOOSE(CONTROL!$C$9, $D$9, 100%, $F$9) + CHOOSE(CONTROL!$C$27, 0.0021, 0)</f>
        <v>81.7898</v>
      </c>
      <c r="I466" s="14">
        <f>81.7877 * CHOOSE(CONTROL!$C$9, $D$9, 100%, $F$9) + CHOOSE(CONTROL!$C$27, 0.0021, 0)</f>
        <v>81.7898</v>
      </c>
      <c r="J466" s="14">
        <f>81.7877 * CHOOSE(CONTROL!$C$9, $D$9, 100%, $F$9) + CHOOSE(CONTROL!$C$27, 0.0021, 0)</f>
        <v>81.7898</v>
      </c>
      <c r="K466" s="14">
        <f>81.7877 * CHOOSE(CONTROL!$C$9, $D$9, 100%, $F$9) + CHOOSE(CONTROL!$C$27, 0.0021, 0)</f>
        <v>81.7898</v>
      </c>
      <c r="L466" s="14"/>
    </row>
    <row r="467" spans="1:12" ht="15.75" x14ac:dyDescent="0.25">
      <c r="A467" s="33">
        <v>55153</v>
      </c>
      <c r="B467" s="14">
        <f>80.6528 * CHOOSE(CONTROL!$C$9, $D$9, 100%, $F$9) + CHOOSE(CONTROL!$C$27, 0.0021, 0)</f>
        <v>80.654899999999998</v>
      </c>
      <c r="C467" s="14">
        <f>80.2205 * CHOOSE(CONTROL!$C$9, $D$9, 100%, $F$9) + CHOOSE(CONTROL!$C$27, 0.0021, 0)</f>
        <v>80.2226</v>
      </c>
      <c r="D467" s="14">
        <f>80.2205 * CHOOSE(CONTROL!$C$9, $D$9, 100%, $F$9) + CHOOSE(CONTROL!$C$27, 0.0021, 0)</f>
        <v>80.2226</v>
      </c>
      <c r="E467" s="14">
        <f>80.0839 * CHOOSE(CONTROL!$C$9, $D$9, 100%, $F$9) + CHOOSE(CONTROL!$C$27, 0.0021, 0)</f>
        <v>80.085999999999999</v>
      </c>
      <c r="F467" s="14">
        <f>80.0839 * CHOOSE(CONTROL!$C$9, $D$9, 100%, $F$9) + CHOOSE(CONTROL!$C$27, 0.0021, 0)</f>
        <v>80.085999999999999</v>
      </c>
      <c r="G467" s="14">
        <f>80.3552 * CHOOSE(CONTROL!$C$9, $D$9, 100%, $F$9) + CHOOSE(CONTROL!$C$27, 0.0021, 0)</f>
        <v>80.357299999999995</v>
      </c>
      <c r="H467" s="14">
        <f>80.2205 * CHOOSE(CONTROL!$C$9, $D$9, 100%, $F$9) + CHOOSE(CONTROL!$C$27, 0.0021, 0)</f>
        <v>80.2226</v>
      </c>
      <c r="I467" s="14">
        <f>80.2205 * CHOOSE(CONTROL!$C$9, $D$9, 100%, $F$9) + CHOOSE(CONTROL!$C$27, 0.0021, 0)</f>
        <v>80.2226</v>
      </c>
      <c r="J467" s="14">
        <f>80.2205 * CHOOSE(CONTROL!$C$9, $D$9, 100%, $F$9) + CHOOSE(CONTROL!$C$27, 0.0021, 0)</f>
        <v>80.2226</v>
      </c>
      <c r="K467" s="14">
        <f>80.2205 * CHOOSE(CONTROL!$C$9, $D$9, 100%, $F$9) + CHOOSE(CONTROL!$C$27, 0.0021, 0)</f>
        <v>80.2226</v>
      </c>
      <c r="L467" s="14"/>
    </row>
    <row r="468" spans="1:12" ht="15.75" x14ac:dyDescent="0.25">
      <c r="A468" s="33">
        <v>55184</v>
      </c>
      <c r="B468" s="14">
        <f>79.6622 * CHOOSE(CONTROL!$C$9, $D$9, 100%, $F$9) + CHOOSE(CONTROL!$C$27, 0.0021, 0)</f>
        <v>79.664299999999997</v>
      </c>
      <c r="C468" s="14">
        <f>79.23 * CHOOSE(CONTROL!$C$9, $D$9, 100%, $F$9) + CHOOSE(CONTROL!$C$27, 0.0021, 0)</f>
        <v>79.232100000000003</v>
      </c>
      <c r="D468" s="14">
        <f>79.23 * CHOOSE(CONTROL!$C$9, $D$9, 100%, $F$9) + CHOOSE(CONTROL!$C$27, 0.0021, 0)</f>
        <v>79.232100000000003</v>
      </c>
      <c r="E468" s="14">
        <f>79.0933 * CHOOSE(CONTROL!$C$9, $D$9, 100%, $F$9) + CHOOSE(CONTROL!$C$27, 0.0021, 0)</f>
        <v>79.095399999999998</v>
      </c>
      <c r="F468" s="14">
        <f>79.0933 * CHOOSE(CONTROL!$C$9, $D$9, 100%, $F$9) + CHOOSE(CONTROL!$C$27, 0.0021, 0)</f>
        <v>79.095399999999998</v>
      </c>
      <c r="G468" s="14">
        <f>79.3647 * CHOOSE(CONTROL!$C$9, $D$9, 100%, $F$9) + CHOOSE(CONTROL!$C$27, 0.0021, 0)</f>
        <v>79.366799999999998</v>
      </c>
      <c r="H468" s="14">
        <f>79.23 * CHOOSE(CONTROL!$C$9, $D$9, 100%, $F$9) + CHOOSE(CONTROL!$C$27, 0.0021, 0)</f>
        <v>79.232100000000003</v>
      </c>
      <c r="I468" s="14">
        <f>79.23 * CHOOSE(CONTROL!$C$9, $D$9, 100%, $F$9) + CHOOSE(CONTROL!$C$27, 0.0021, 0)</f>
        <v>79.232100000000003</v>
      </c>
      <c r="J468" s="14">
        <f>79.23 * CHOOSE(CONTROL!$C$9, $D$9, 100%, $F$9) + CHOOSE(CONTROL!$C$27, 0.0021, 0)</f>
        <v>79.232100000000003</v>
      </c>
      <c r="K468" s="14">
        <f>79.23 * CHOOSE(CONTROL!$C$9, $D$9, 100%, $F$9) + CHOOSE(CONTROL!$C$27, 0.0021, 0)</f>
        <v>79.232100000000003</v>
      </c>
      <c r="L468" s="14"/>
    </row>
    <row r="469" spans="1:12" ht="15.75" x14ac:dyDescent="0.25">
      <c r="A469" s="33">
        <v>55212</v>
      </c>
      <c r="B469" s="14">
        <f>77.4738 * CHOOSE(CONTROL!$C$9, $D$9, 100%, $F$9) + CHOOSE(CONTROL!$C$27, 0.0021, 0)</f>
        <v>77.475899999999996</v>
      </c>
      <c r="C469" s="14">
        <f>77.0415 * CHOOSE(CONTROL!$C$9, $D$9, 100%, $F$9) + CHOOSE(CONTROL!$C$27, 0.0021, 0)</f>
        <v>77.043599999999998</v>
      </c>
      <c r="D469" s="14">
        <f>77.0415 * CHOOSE(CONTROL!$C$9, $D$9, 100%, $F$9) + CHOOSE(CONTROL!$C$27, 0.0021, 0)</f>
        <v>77.043599999999998</v>
      </c>
      <c r="E469" s="14">
        <f>76.9049 * CHOOSE(CONTROL!$C$9, $D$9, 100%, $F$9) + CHOOSE(CONTROL!$C$27, 0.0021, 0)</f>
        <v>76.906999999999996</v>
      </c>
      <c r="F469" s="14">
        <f>76.9049 * CHOOSE(CONTROL!$C$9, $D$9, 100%, $F$9) + CHOOSE(CONTROL!$C$27, 0.0021, 0)</f>
        <v>76.906999999999996</v>
      </c>
      <c r="G469" s="14">
        <f>77.1763 * CHOOSE(CONTROL!$C$9, $D$9, 100%, $F$9) + CHOOSE(CONTROL!$C$27, 0.0021, 0)</f>
        <v>77.178399999999996</v>
      </c>
      <c r="H469" s="14">
        <f>77.0415 * CHOOSE(CONTROL!$C$9, $D$9, 100%, $F$9) + CHOOSE(CONTROL!$C$27, 0.0021, 0)</f>
        <v>77.043599999999998</v>
      </c>
      <c r="I469" s="14">
        <f>77.0415 * CHOOSE(CONTROL!$C$9, $D$9, 100%, $F$9) + CHOOSE(CONTROL!$C$27, 0.0021, 0)</f>
        <v>77.043599999999998</v>
      </c>
      <c r="J469" s="14">
        <f>77.0415 * CHOOSE(CONTROL!$C$9, $D$9, 100%, $F$9) + CHOOSE(CONTROL!$C$27, 0.0021, 0)</f>
        <v>77.043599999999998</v>
      </c>
      <c r="K469" s="14">
        <f>77.0415 * CHOOSE(CONTROL!$C$9, $D$9, 100%, $F$9) + CHOOSE(CONTROL!$C$27, 0.0021, 0)</f>
        <v>77.043599999999998</v>
      </c>
      <c r="L469" s="14"/>
    </row>
    <row r="470" spans="1:12" ht="15.75" x14ac:dyDescent="0.25">
      <c r="A470" s="33">
        <v>55243</v>
      </c>
      <c r="B470" s="14">
        <f>76.5704 * CHOOSE(CONTROL!$C$9, $D$9, 100%, $F$9) + CHOOSE(CONTROL!$C$27, 0.0021, 0)</f>
        <v>76.572500000000005</v>
      </c>
      <c r="C470" s="14">
        <f>76.1382 * CHOOSE(CONTROL!$C$9, $D$9, 100%, $F$9) + CHOOSE(CONTROL!$C$27, 0.0021, 0)</f>
        <v>76.140299999999996</v>
      </c>
      <c r="D470" s="14">
        <f>76.1382 * CHOOSE(CONTROL!$C$9, $D$9, 100%, $F$9) + CHOOSE(CONTROL!$C$27, 0.0021, 0)</f>
        <v>76.140299999999996</v>
      </c>
      <c r="E470" s="14">
        <f>76.0015 * CHOOSE(CONTROL!$C$9, $D$9, 100%, $F$9) + CHOOSE(CONTROL!$C$27, 0.0021, 0)</f>
        <v>76.003599999999992</v>
      </c>
      <c r="F470" s="14">
        <f>76.0015 * CHOOSE(CONTROL!$C$9, $D$9, 100%, $F$9) + CHOOSE(CONTROL!$C$27, 0.0021, 0)</f>
        <v>76.003599999999992</v>
      </c>
      <c r="G470" s="14">
        <f>76.2729 * CHOOSE(CONTROL!$C$9, $D$9, 100%, $F$9) + CHOOSE(CONTROL!$C$27, 0.0021, 0)</f>
        <v>76.275000000000006</v>
      </c>
      <c r="H470" s="14">
        <f>76.1382 * CHOOSE(CONTROL!$C$9, $D$9, 100%, $F$9) + CHOOSE(CONTROL!$C$27, 0.0021, 0)</f>
        <v>76.140299999999996</v>
      </c>
      <c r="I470" s="14">
        <f>76.1382 * CHOOSE(CONTROL!$C$9, $D$9, 100%, $F$9) + CHOOSE(CONTROL!$C$27, 0.0021, 0)</f>
        <v>76.140299999999996</v>
      </c>
      <c r="J470" s="14">
        <f>76.1382 * CHOOSE(CONTROL!$C$9, $D$9, 100%, $F$9) + CHOOSE(CONTROL!$C$27, 0.0021, 0)</f>
        <v>76.140299999999996</v>
      </c>
      <c r="K470" s="14">
        <f>76.1382 * CHOOSE(CONTROL!$C$9, $D$9, 100%, $F$9) + CHOOSE(CONTROL!$C$27, 0.0021, 0)</f>
        <v>76.140299999999996</v>
      </c>
      <c r="L470" s="14"/>
    </row>
    <row r="471" spans="1:12" ht="15.75" x14ac:dyDescent="0.25">
      <c r="A471" s="33">
        <v>55273</v>
      </c>
      <c r="B471" s="14">
        <f>75.4917 * CHOOSE(CONTROL!$C$9, $D$9, 100%, $F$9) + CHOOSE(CONTROL!$C$27, 0.0021, 0)</f>
        <v>75.493799999999993</v>
      </c>
      <c r="C471" s="14">
        <f>75.0595 * CHOOSE(CONTROL!$C$9, $D$9, 100%, $F$9) + CHOOSE(CONTROL!$C$27, 0.0021, 0)</f>
        <v>75.061599999999999</v>
      </c>
      <c r="D471" s="14">
        <f>75.0595 * CHOOSE(CONTROL!$C$9, $D$9, 100%, $F$9) + CHOOSE(CONTROL!$C$27, 0.0021, 0)</f>
        <v>75.061599999999999</v>
      </c>
      <c r="E471" s="14">
        <f>74.9228 * CHOOSE(CONTROL!$C$9, $D$9, 100%, $F$9) + CHOOSE(CONTROL!$C$27, 0.0021, 0)</f>
        <v>74.924899999999994</v>
      </c>
      <c r="F471" s="14">
        <f>74.9228 * CHOOSE(CONTROL!$C$9, $D$9, 100%, $F$9) + CHOOSE(CONTROL!$C$27, 0.0021, 0)</f>
        <v>74.924899999999994</v>
      </c>
      <c r="G471" s="14">
        <f>75.1942 * CHOOSE(CONTROL!$C$9, $D$9, 100%, $F$9) + CHOOSE(CONTROL!$C$27, 0.0021, 0)</f>
        <v>75.196299999999994</v>
      </c>
      <c r="H471" s="14">
        <f>75.0595 * CHOOSE(CONTROL!$C$9, $D$9, 100%, $F$9) + CHOOSE(CONTROL!$C$27, 0.0021, 0)</f>
        <v>75.061599999999999</v>
      </c>
      <c r="I471" s="14">
        <f>75.0595 * CHOOSE(CONTROL!$C$9, $D$9, 100%, $F$9) + CHOOSE(CONTROL!$C$27, 0.0021, 0)</f>
        <v>75.061599999999999</v>
      </c>
      <c r="J471" s="14">
        <f>75.0595 * CHOOSE(CONTROL!$C$9, $D$9, 100%, $F$9) + CHOOSE(CONTROL!$C$27, 0.0021, 0)</f>
        <v>75.061599999999999</v>
      </c>
      <c r="K471" s="14">
        <f>75.0595 * CHOOSE(CONTROL!$C$9, $D$9, 100%, $F$9) + CHOOSE(CONTROL!$C$27, 0.0021, 0)</f>
        <v>75.061599999999999</v>
      </c>
      <c r="L471" s="14"/>
    </row>
    <row r="472" spans="1:12" ht="15.75" x14ac:dyDescent="0.25">
      <c r="A472" s="33">
        <v>55304</v>
      </c>
      <c r="B472" s="14">
        <f>77.029 * CHOOSE(CONTROL!$C$9, $D$9, 100%, $F$9) + CHOOSE(CONTROL!$C$27, 0.0021, 0)</f>
        <v>77.031099999999995</v>
      </c>
      <c r="C472" s="14">
        <f>76.5967 * CHOOSE(CONTROL!$C$9, $D$9, 100%, $F$9) + CHOOSE(CONTROL!$C$27, 0.0021, 0)</f>
        <v>76.598799999999997</v>
      </c>
      <c r="D472" s="14">
        <f>76.5967 * CHOOSE(CONTROL!$C$9, $D$9, 100%, $F$9) + CHOOSE(CONTROL!$C$27, 0.0021, 0)</f>
        <v>76.598799999999997</v>
      </c>
      <c r="E472" s="14">
        <f>76.4601 * CHOOSE(CONTROL!$C$9, $D$9, 100%, $F$9) + CHOOSE(CONTROL!$C$27, 0.0021, 0)</f>
        <v>76.462199999999996</v>
      </c>
      <c r="F472" s="14">
        <f>76.4601 * CHOOSE(CONTROL!$C$9, $D$9, 100%, $F$9) + CHOOSE(CONTROL!$C$27, 0.0021, 0)</f>
        <v>76.462199999999996</v>
      </c>
      <c r="G472" s="14">
        <f>76.7314 * CHOOSE(CONTROL!$C$9, $D$9, 100%, $F$9) + CHOOSE(CONTROL!$C$27, 0.0021, 0)</f>
        <v>76.733499999999992</v>
      </c>
      <c r="H472" s="14">
        <f>76.5967 * CHOOSE(CONTROL!$C$9, $D$9, 100%, $F$9) + CHOOSE(CONTROL!$C$27, 0.0021, 0)</f>
        <v>76.598799999999997</v>
      </c>
      <c r="I472" s="14">
        <f>76.5967 * CHOOSE(CONTROL!$C$9, $D$9, 100%, $F$9) + CHOOSE(CONTROL!$C$27, 0.0021, 0)</f>
        <v>76.598799999999997</v>
      </c>
      <c r="J472" s="14">
        <f>76.5967 * CHOOSE(CONTROL!$C$9, $D$9, 100%, $F$9) + CHOOSE(CONTROL!$C$27, 0.0021, 0)</f>
        <v>76.598799999999997</v>
      </c>
      <c r="K472" s="14">
        <f>76.5967 * CHOOSE(CONTROL!$C$9, $D$9, 100%, $F$9) + CHOOSE(CONTROL!$C$27, 0.0021, 0)</f>
        <v>76.598799999999997</v>
      </c>
      <c r="L472" s="14"/>
    </row>
    <row r="473" spans="1:12" ht="15.75" x14ac:dyDescent="0.25">
      <c r="A473" s="33">
        <v>55334</v>
      </c>
      <c r="B473" s="14">
        <f>77.9497 * CHOOSE(CONTROL!$C$9, $D$9, 100%, $F$9) + CHOOSE(CONTROL!$C$27, 0.0021, 0)</f>
        <v>77.951800000000006</v>
      </c>
      <c r="C473" s="14">
        <f>77.5174 * CHOOSE(CONTROL!$C$9, $D$9, 100%, $F$9) + CHOOSE(CONTROL!$C$27, 0.0021, 0)</f>
        <v>77.519499999999994</v>
      </c>
      <c r="D473" s="14">
        <f>77.5174 * CHOOSE(CONTROL!$C$9, $D$9, 100%, $F$9) + CHOOSE(CONTROL!$C$27, 0.0021, 0)</f>
        <v>77.519499999999994</v>
      </c>
      <c r="E473" s="14">
        <f>77.3808 * CHOOSE(CONTROL!$C$9, $D$9, 100%, $F$9) + CHOOSE(CONTROL!$C$27, 0.0021, 0)</f>
        <v>77.382899999999992</v>
      </c>
      <c r="F473" s="14">
        <f>77.3808 * CHOOSE(CONTROL!$C$9, $D$9, 100%, $F$9) + CHOOSE(CONTROL!$C$27, 0.0021, 0)</f>
        <v>77.382899999999992</v>
      </c>
      <c r="G473" s="14">
        <f>77.6522 * CHOOSE(CONTROL!$C$9, $D$9, 100%, $F$9) + CHOOSE(CONTROL!$C$27, 0.0021, 0)</f>
        <v>77.654299999999992</v>
      </c>
      <c r="H473" s="14">
        <f>77.5174 * CHOOSE(CONTROL!$C$9, $D$9, 100%, $F$9) + CHOOSE(CONTROL!$C$27, 0.0021, 0)</f>
        <v>77.519499999999994</v>
      </c>
      <c r="I473" s="14">
        <f>77.5174 * CHOOSE(CONTROL!$C$9, $D$9, 100%, $F$9) + CHOOSE(CONTROL!$C$27, 0.0021, 0)</f>
        <v>77.519499999999994</v>
      </c>
      <c r="J473" s="14">
        <f>77.5174 * CHOOSE(CONTROL!$C$9, $D$9, 100%, $F$9) + CHOOSE(CONTROL!$C$27, 0.0021, 0)</f>
        <v>77.519499999999994</v>
      </c>
      <c r="K473" s="14">
        <f>77.5174 * CHOOSE(CONTROL!$C$9, $D$9, 100%, $F$9) + CHOOSE(CONTROL!$C$27, 0.0021, 0)</f>
        <v>77.519499999999994</v>
      </c>
      <c r="L473" s="14"/>
    </row>
    <row r="474" spans="1:12" ht="15.75" x14ac:dyDescent="0.25">
      <c r="A474" s="33">
        <v>55365</v>
      </c>
      <c r="B474" s="14">
        <f>79.4686 * CHOOSE(CONTROL!$C$9, $D$9, 100%, $F$9) + CHOOSE(CONTROL!$C$27, 0.0021, 0)</f>
        <v>79.470699999999994</v>
      </c>
      <c r="C474" s="14">
        <f>79.0363 * CHOOSE(CONTROL!$C$9, $D$9, 100%, $F$9) + CHOOSE(CONTROL!$C$27, 0.0021, 0)</f>
        <v>79.038399999999996</v>
      </c>
      <c r="D474" s="14">
        <f>79.0363 * CHOOSE(CONTROL!$C$9, $D$9, 100%, $F$9) + CHOOSE(CONTROL!$C$27, 0.0021, 0)</f>
        <v>79.038399999999996</v>
      </c>
      <c r="E474" s="14">
        <f>78.8997 * CHOOSE(CONTROL!$C$9, $D$9, 100%, $F$9) + CHOOSE(CONTROL!$C$27, 0.0021, 0)</f>
        <v>78.901799999999994</v>
      </c>
      <c r="F474" s="14">
        <f>78.8997 * CHOOSE(CONTROL!$C$9, $D$9, 100%, $F$9) + CHOOSE(CONTROL!$C$27, 0.0021, 0)</f>
        <v>78.901799999999994</v>
      </c>
      <c r="G474" s="14">
        <f>79.171 * CHOOSE(CONTROL!$C$9, $D$9, 100%, $F$9) + CHOOSE(CONTROL!$C$27, 0.0021, 0)</f>
        <v>79.173100000000005</v>
      </c>
      <c r="H474" s="14">
        <f>79.0363 * CHOOSE(CONTROL!$C$9, $D$9, 100%, $F$9) + CHOOSE(CONTROL!$C$27, 0.0021, 0)</f>
        <v>79.038399999999996</v>
      </c>
      <c r="I474" s="14">
        <f>79.0363 * CHOOSE(CONTROL!$C$9, $D$9, 100%, $F$9) + CHOOSE(CONTROL!$C$27, 0.0021, 0)</f>
        <v>79.038399999999996</v>
      </c>
      <c r="J474" s="14">
        <f>79.0363 * CHOOSE(CONTROL!$C$9, $D$9, 100%, $F$9) + CHOOSE(CONTROL!$C$27, 0.0021, 0)</f>
        <v>79.038399999999996</v>
      </c>
      <c r="K474" s="14">
        <f>79.0363 * CHOOSE(CONTROL!$C$9, $D$9, 100%, $F$9) + CHOOSE(CONTROL!$C$27, 0.0021, 0)</f>
        <v>79.038399999999996</v>
      </c>
      <c r="L474" s="14"/>
    </row>
    <row r="475" spans="1:12" ht="15.75" x14ac:dyDescent="0.25">
      <c r="A475" s="33">
        <v>55396</v>
      </c>
      <c r="B475" s="14">
        <f>79.9322 * CHOOSE(CONTROL!$C$9, $D$9, 100%, $F$9) + CHOOSE(CONTROL!$C$27, 0.0021, 0)</f>
        <v>79.934299999999993</v>
      </c>
      <c r="C475" s="14">
        <f>79.4999 * CHOOSE(CONTROL!$C$9, $D$9, 100%, $F$9) + CHOOSE(CONTROL!$C$27, 0.0021, 0)</f>
        <v>79.501999999999995</v>
      </c>
      <c r="D475" s="14">
        <f>79.4999 * CHOOSE(CONTROL!$C$9, $D$9, 100%, $F$9) + CHOOSE(CONTROL!$C$27, 0.0021, 0)</f>
        <v>79.501999999999995</v>
      </c>
      <c r="E475" s="14">
        <f>79.3633 * CHOOSE(CONTROL!$C$9, $D$9, 100%, $F$9) + CHOOSE(CONTROL!$C$27, 0.0021, 0)</f>
        <v>79.365399999999994</v>
      </c>
      <c r="F475" s="14">
        <f>79.3633 * CHOOSE(CONTROL!$C$9, $D$9, 100%, $F$9) + CHOOSE(CONTROL!$C$27, 0.0021, 0)</f>
        <v>79.365399999999994</v>
      </c>
      <c r="G475" s="14">
        <f>79.6346 * CHOOSE(CONTROL!$C$9, $D$9, 100%, $F$9) + CHOOSE(CONTROL!$C$27, 0.0021, 0)</f>
        <v>79.636700000000005</v>
      </c>
      <c r="H475" s="14">
        <f>79.4999 * CHOOSE(CONTROL!$C$9, $D$9, 100%, $F$9) + CHOOSE(CONTROL!$C$27, 0.0021, 0)</f>
        <v>79.501999999999995</v>
      </c>
      <c r="I475" s="14">
        <f>79.4999 * CHOOSE(CONTROL!$C$9, $D$9, 100%, $F$9) + CHOOSE(CONTROL!$C$27, 0.0021, 0)</f>
        <v>79.501999999999995</v>
      </c>
      <c r="J475" s="14">
        <f>79.4999 * CHOOSE(CONTROL!$C$9, $D$9, 100%, $F$9) + CHOOSE(CONTROL!$C$27, 0.0021, 0)</f>
        <v>79.501999999999995</v>
      </c>
      <c r="K475" s="14">
        <f>79.4999 * CHOOSE(CONTROL!$C$9, $D$9, 100%, $F$9) + CHOOSE(CONTROL!$C$27, 0.0021, 0)</f>
        <v>79.501999999999995</v>
      </c>
      <c r="L475" s="14"/>
    </row>
    <row r="476" spans="1:12" ht="15.75" x14ac:dyDescent="0.25">
      <c r="A476" s="33">
        <v>55426</v>
      </c>
      <c r="B476" s="14">
        <f>81.511 * CHOOSE(CONTROL!$C$9, $D$9, 100%, $F$9) + CHOOSE(CONTROL!$C$27, 0.0021, 0)</f>
        <v>81.513099999999994</v>
      </c>
      <c r="C476" s="14">
        <f>81.0787 * CHOOSE(CONTROL!$C$9, $D$9, 100%, $F$9) + CHOOSE(CONTROL!$C$27, 0.0021, 0)</f>
        <v>81.080799999999996</v>
      </c>
      <c r="D476" s="14">
        <f>81.0787 * CHOOSE(CONTROL!$C$9, $D$9, 100%, $F$9) + CHOOSE(CONTROL!$C$27, 0.0021, 0)</f>
        <v>81.080799999999996</v>
      </c>
      <c r="E476" s="14">
        <f>80.9421 * CHOOSE(CONTROL!$C$9, $D$9, 100%, $F$9) + CHOOSE(CONTROL!$C$27, 0.0021, 0)</f>
        <v>80.944199999999995</v>
      </c>
      <c r="F476" s="14">
        <f>80.9421 * CHOOSE(CONTROL!$C$9, $D$9, 100%, $F$9) + CHOOSE(CONTROL!$C$27, 0.0021, 0)</f>
        <v>80.944199999999995</v>
      </c>
      <c r="G476" s="14">
        <f>81.2134 * CHOOSE(CONTROL!$C$9, $D$9, 100%, $F$9) + CHOOSE(CONTROL!$C$27, 0.0021, 0)</f>
        <v>81.215499999999992</v>
      </c>
      <c r="H476" s="14">
        <f>81.0787 * CHOOSE(CONTROL!$C$9, $D$9, 100%, $F$9) + CHOOSE(CONTROL!$C$27, 0.0021, 0)</f>
        <v>81.080799999999996</v>
      </c>
      <c r="I476" s="14">
        <f>81.0787 * CHOOSE(CONTROL!$C$9, $D$9, 100%, $F$9) + CHOOSE(CONTROL!$C$27, 0.0021, 0)</f>
        <v>81.080799999999996</v>
      </c>
      <c r="J476" s="14">
        <f>81.0787 * CHOOSE(CONTROL!$C$9, $D$9, 100%, $F$9) + CHOOSE(CONTROL!$C$27, 0.0021, 0)</f>
        <v>81.080799999999996</v>
      </c>
      <c r="K476" s="14">
        <f>81.0787 * CHOOSE(CONTROL!$C$9, $D$9, 100%, $F$9) + CHOOSE(CONTROL!$C$27, 0.0021, 0)</f>
        <v>81.080799999999996</v>
      </c>
      <c r="L476" s="14"/>
    </row>
    <row r="477" spans="1:12" ht="15.75" x14ac:dyDescent="0.25">
      <c r="A477" s="33">
        <v>55457</v>
      </c>
      <c r="B477" s="14">
        <f>83.5095 * CHOOSE(CONTROL!$C$9, $D$9, 100%, $F$9) + CHOOSE(CONTROL!$C$27, 0.0021, 0)</f>
        <v>83.511600000000001</v>
      </c>
      <c r="C477" s="14">
        <f>83.0772 * CHOOSE(CONTROL!$C$9, $D$9, 100%, $F$9) + CHOOSE(CONTROL!$C$27, 0.0021, 0)</f>
        <v>83.079300000000003</v>
      </c>
      <c r="D477" s="14">
        <f>83.0772 * CHOOSE(CONTROL!$C$9, $D$9, 100%, $F$9) + CHOOSE(CONTROL!$C$27, 0.0021, 0)</f>
        <v>83.079300000000003</v>
      </c>
      <c r="E477" s="14">
        <f>82.9406 * CHOOSE(CONTROL!$C$9, $D$9, 100%, $F$9) + CHOOSE(CONTROL!$C$27, 0.0021, 0)</f>
        <v>82.942700000000002</v>
      </c>
      <c r="F477" s="14">
        <f>82.9406 * CHOOSE(CONTROL!$C$9, $D$9, 100%, $F$9) + CHOOSE(CONTROL!$C$27, 0.0021, 0)</f>
        <v>82.942700000000002</v>
      </c>
      <c r="G477" s="14">
        <f>83.2119 * CHOOSE(CONTROL!$C$9, $D$9, 100%, $F$9) + CHOOSE(CONTROL!$C$27, 0.0021, 0)</f>
        <v>83.213999999999999</v>
      </c>
      <c r="H477" s="14">
        <f>83.0772 * CHOOSE(CONTROL!$C$9, $D$9, 100%, $F$9) + CHOOSE(CONTROL!$C$27, 0.0021, 0)</f>
        <v>83.079300000000003</v>
      </c>
      <c r="I477" s="14">
        <f>83.0772 * CHOOSE(CONTROL!$C$9, $D$9, 100%, $F$9) + CHOOSE(CONTROL!$C$27, 0.0021, 0)</f>
        <v>83.079300000000003</v>
      </c>
      <c r="J477" s="14">
        <f>83.0772 * CHOOSE(CONTROL!$C$9, $D$9, 100%, $F$9) + CHOOSE(CONTROL!$C$27, 0.0021, 0)</f>
        <v>83.079300000000003</v>
      </c>
      <c r="K477" s="14">
        <f>83.0772 * CHOOSE(CONTROL!$C$9, $D$9, 100%, $F$9) + CHOOSE(CONTROL!$C$27, 0.0021, 0)</f>
        <v>83.079300000000003</v>
      </c>
      <c r="L477" s="14"/>
    </row>
    <row r="478" spans="1:12" ht="15.75" x14ac:dyDescent="0.25">
      <c r="A478" s="33">
        <v>55487</v>
      </c>
      <c r="B478" s="14">
        <f>83.6971 * CHOOSE(CONTROL!$C$9, $D$9, 100%, $F$9) + CHOOSE(CONTROL!$C$27, 0.0021, 0)</f>
        <v>83.699200000000005</v>
      </c>
      <c r="C478" s="14">
        <f>83.2648 * CHOOSE(CONTROL!$C$9, $D$9, 100%, $F$9) + CHOOSE(CONTROL!$C$27, 0.0021, 0)</f>
        <v>83.266899999999993</v>
      </c>
      <c r="D478" s="14">
        <f>83.2648 * CHOOSE(CONTROL!$C$9, $D$9, 100%, $F$9) + CHOOSE(CONTROL!$C$27, 0.0021, 0)</f>
        <v>83.266899999999993</v>
      </c>
      <c r="E478" s="14">
        <f>83.1282 * CHOOSE(CONTROL!$C$9, $D$9, 100%, $F$9) + CHOOSE(CONTROL!$C$27, 0.0021, 0)</f>
        <v>83.130300000000005</v>
      </c>
      <c r="F478" s="14">
        <f>83.1282 * CHOOSE(CONTROL!$C$9, $D$9, 100%, $F$9) + CHOOSE(CONTROL!$C$27, 0.0021, 0)</f>
        <v>83.130300000000005</v>
      </c>
      <c r="G478" s="14">
        <f>83.3996 * CHOOSE(CONTROL!$C$9, $D$9, 100%, $F$9) + CHOOSE(CONTROL!$C$27, 0.0021, 0)</f>
        <v>83.401700000000005</v>
      </c>
      <c r="H478" s="14">
        <f>83.2648 * CHOOSE(CONTROL!$C$9, $D$9, 100%, $F$9) + CHOOSE(CONTROL!$C$27, 0.0021, 0)</f>
        <v>83.266899999999993</v>
      </c>
      <c r="I478" s="14">
        <f>83.2648 * CHOOSE(CONTROL!$C$9, $D$9, 100%, $F$9) + CHOOSE(CONTROL!$C$27, 0.0021, 0)</f>
        <v>83.266899999999993</v>
      </c>
      <c r="J478" s="14">
        <f>83.2648 * CHOOSE(CONTROL!$C$9, $D$9, 100%, $F$9) + CHOOSE(CONTROL!$C$27, 0.0021, 0)</f>
        <v>83.266899999999993</v>
      </c>
      <c r="K478" s="14">
        <f>83.2648 * CHOOSE(CONTROL!$C$9, $D$9, 100%, $F$9) + CHOOSE(CONTROL!$C$27, 0.0021, 0)</f>
        <v>83.266899999999993</v>
      </c>
      <c r="L478" s="14"/>
    </row>
    <row r="479" spans="1:12" ht="15.75" x14ac:dyDescent="0.25">
      <c r="A479" s="33">
        <v>55518</v>
      </c>
      <c r="B479" s="14">
        <f>82.1009 * CHOOSE(CONTROL!$C$9, $D$9, 100%, $F$9) + CHOOSE(CONTROL!$C$27, 0.0021, 0)</f>
        <v>82.102999999999994</v>
      </c>
      <c r="C479" s="14">
        <f>81.6687 * CHOOSE(CONTROL!$C$9, $D$9, 100%, $F$9) + CHOOSE(CONTROL!$C$27, 0.0021, 0)</f>
        <v>81.6708</v>
      </c>
      <c r="D479" s="14">
        <f>81.6687 * CHOOSE(CONTROL!$C$9, $D$9, 100%, $F$9) + CHOOSE(CONTROL!$C$27, 0.0021, 0)</f>
        <v>81.6708</v>
      </c>
      <c r="E479" s="14">
        <f>81.532 * CHOOSE(CONTROL!$C$9, $D$9, 100%, $F$9) + CHOOSE(CONTROL!$C$27, 0.0021, 0)</f>
        <v>81.534099999999995</v>
      </c>
      <c r="F479" s="14">
        <f>81.532 * CHOOSE(CONTROL!$C$9, $D$9, 100%, $F$9) + CHOOSE(CONTROL!$C$27, 0.0021, 0)</f>
        <v>81.534099999999995</v>
      </c>
      <c r="G479" s="14">
        <f>81.8034 * CHOOSE(CONTROL!$C$9, $D$9, 100%, $F$9) + CHOOSE(CONTROL!$C$27, 0.0021, 0)</f>
        <v>81.805499999999995</v>
      </c>
      <c r="H479" s="14">
        <f>81.6687 * CHOOSE(CONTROL!$C$9, $D$9, 100%, $F$9) + CHOOSE(CONTROL!$C$27, 0.0021, 0)</f>
        <v>81.6708</v>
      </c>
      <c r="I479" s="14">
        <f>81.6687 * CHOOSE(CONTROL!$C$9, $D$9, 100%, $F$9) + CHOOSE(CONTROL!$C$27, 0.0021, 0)</f>
        <v>81.6708</v>
      </c>
      <c r="J479" s="14">
        <f>81.6687 * CHOOSE(CONTROL!$C$9, $D$9, 100%, $F$9) + CHOOSE(CONTROL!$C$27, 0.0021, 0)</f>
        <v>81.6708</v>
      </c>
      <c r="K479" s="14">
        <f>81.6687 * CHOOSE(CONTROL!$C$9, $D$9, 100%, $F$9) + CHOOSE(CONTROL!$C$27, 0.0021, 0)</f>
        <v>81.6708</v>
      </c>
      <c r="L479" s="14"/>
    </row>
    <row r="480" spans="1:12" ht="15.75" x14ac:dyDescent="0.25">
      <c r="A480" s="33">
        <v>55549</v>
      </c>
      <c r="B480" s="14">
        <f>81.0921 * CHOOSE(CONTROL!$C$9, $D$9, 100%, $F$9) + CHOOSE(CONTROL!$C$27, 0.0021, 0)</f>
        <v>81.094200000000001</v>
      </c>
      <c r="C480" s="14">
        <f>80.6598 * CHOOSE(CONTROL!$C$9, $D$9, 100%, $F$9) + CHOOSE(CONTROL!$C$27, 0.0021, 0)</f>
        <v>80.661900000000003</v>
      </c>
      <c r="D480" s="14">
        <f>80.6598 * CHOOSE(CONTROL!$C$9, $D$9, 100%, $F$9) + CHOOSE(CONTROL!$C$27, 0.0021, 0)</f>
        <v>80.661900000000003</v>
      </c>
      <c r="E480" s="14">
        <f>80.5232 * CHOOSE(CONTROL!$C$9, $D$9, 100%, $F$9) + CHOOSE(CONTROL!$C$27, 0.0021, 0)</f>
        <v>80.525300000000001</v>
      </c>
      <c r="F480" s="14">
        <f>80.5232 * CHOOSE(CONTROL!$C$9, $D$9, 100%, $F$9) + CHOOSE(CONTROL!$C$27, 0.0021, 0)</f>
        <v>80.525300000000001</v>
      </c>
      <c r="G480" s="14">
        <f>80.7945 * CHOOSE(CONTROL!$C$9, $D$9, 100%, $F$9) + CHOOSE(CONTROL!$C$27, 0.0021, 0)</f>
        <v>80.796599999999998</v>
      </c>
      <c r="H480" s="14">
        <f>80.6598 * CHOOSE(CONTROL!$C$9, $D$9, 100%, $F$9) + CHOOSE(CONTROL!$C$27, 0.0021, 0)</f>
        <v>80.661900000000003</v>
      </c>
      <c r="I480" s="14">
        <f>80.6598 * CHOOSE(CONTROL!$C$9, $D$9, 100%, $F$9) + CHOOSE(CONTROL!$C$27, 0.0021, 0)</f>
        <v>80.661900000000003</v>
      </c>
      <c r="J480" s="14">
        <f>80.6598 * CHOOSE(CONTROL!$C$9, $D$9, 100%, $F$9) + CHOOSE(CONTROL!$C$27, 0.0021, 0)</f>
        <v>80.661900000000003</v>
      </c>
      <c r="K480" s="14">
        <f>80.6598 * CHOOSE(CONTROL!$C$9, $D$9, 100%, $F$9) + CHOOSE(CONTROL!$C$27, 0.0021, 0)</f>
        <v>80.661900000000003</v>
      </c>
      <c r="L480" s="14"/>
    </row>
    <row r="481" spans="1:12" ht="15.75" x14ac:dyDescent="0.25">
      <c r="A481" s="33">
        <v>55577</v>
      </c>
      <c r="B481" s="14">
        <f>78.8632 * CHOOSE(CONTROL!$C$9, $D$9, 100%, $F$9) + CHOOSE(CONTROL!$C$27, 0.0021, 0)</f>
        <v>78.865300000000005</v>
      </c>
      <c r="C481" s="14">
        <f>78.4309 * CHOOSE(CONTROL!$C$9, $D$9, 100%, $F$9) + CHOOSE(CONTROL!$C$27, 0.0021, 0)</f>
        <v>78.432999999999993</v>
      </c>
      <c r="D481" s="14">
        <f>78.4309 * CHOOSE(CONTROL!$C$9, $D$9, 100%, $F$9) + CHOOSE(CONTROL!$C$27, 0.0021, 0)</f>
        <v>78.432999999999993</v>
      </c>
      <c r="E481" s="14">
        <f>78.2943 * CHOOSE(CONTROL!$C$9, $D$9, 100%, $F$9) + CHOOSE(CONTROL!$C$27, 0.0021, 0)</f>
        <v>78.296400000000006</v>
      </c>
      <c r="F481" s="14">
        <f>78.2943 * CHOOSE(CONTROL!$C$9, $D$9, 100%, $F$9) + CHOOSE(CONTROL!$C$27, 0.0021, 0)</f>
        <v>78.296400000000006</v>
      </c>
      <c r="G481" s="14">
        <f>78.5657 * CHOOSE(CONTROL!$C$9, $D$9, 100%, $F$9) + CHOOSE(CONTROL!$C$27, 0.0021, 0)</f>
        <v>78.567800000000005</v>
      </c>
      <c r="H481" s="14">
        <f>78.4309 * CHOOSE(CONTROL!$C$9, $D$9, 100%, $F$9) + CHOOSE(CONTROL!$C$27, 0.0021, 0)</f>
        <v>78.432999999999993</v>
      </c>
      <c r="I481" s="14">
        <f>78.4309 * CHOOSE(CONTROL!$C$9, $D$9, 100%, $F$9) + CHOOSE(CONTROL!$C$27, 0.0021, 0)</f>
        <v>78.432999999999993</v>
      </c>
      <c r="J481" s="14">
        <f>78.4309 * CHOOSE(CONTROL!$C$9, $D$9, 100%, $F$9) + CHOOSE(CONTROL!$C$27, 0.0021, 0)</f>
        <v>78.432999999999993</v>
      </c>
      <c r="K481" s="14">
        <f>78.4309 * CHOOSE(CONTROL!$C$9, $D$9, 100%, $F$9) + CHOOSE(CONTROL!$C$27, 0.0021, 0)</f>
        <v>78.432999999999993</v>
      </c>
      <c r="L481" s="14"/>
    </row>
    <row r="482" spans="1:12" ht="15.75" x14ac:dyDescent="0.25">
      <c r="A482" s="33">
        <v>55609</v>
      </c>
      <c r="B482" s="14">
        <f>77.9431 * CHOOSE(CONTROL!$C$9, $D$9, 100%, $F$9) + CHOOSE(CONTROL!$C$27, 0.0021, 0)</f>
        <v>77.9452</v>
      </c>
      <c r="C482" s="14">
        <f>77.5109 * CHOOSE(CONTROL!$C$9, $D$9, 100%, $F$9) + CHOOSE(CONTROL!$C$27, 0.0021, 0)</f>
        <v>77.513000000000005</v>
      </c>
      <c r="D482" s="14">
        <f>77.5109 * CHOOSE(CONTROL!$C$9, $D$9, 100%, $F$9) + CHOOSE(CONTROL!$C$27, 0.0021, 0)</f>
        <v>77.513000000000005</v>
      </c>
      <c r="E482" s="14">
        <f>77.3742 * CHOOSE(CONTROL!$C$9, $D$9, 100%, $F$9) + CHOOSE(CONTROL!$C$27, 0.0021, 0)</f>
        <v>77.376300000000001</v>
      </c>
      <c r="F482" s="14">
        <f>77.3742 * CHOOSE(CONTROL!$C$9, $D$9, 100%, $F$9) + CHOOSE(CONTROL!$C$27, 0.0021, 0)</f>
        <v>77.376300000000001</v>
      </c>
      <c r="G482" s="14">
        <f>77.6456 * CHOOSE(CONTROL!$C$9, $D$9, 100%, $F$9) + CHOOSE(CONTROL!$C$27, 0.0021, 0)</f>
        <v>77.6477</v>
      </c>
      <c r="H482" s="14">
        <f>77.5109 * CHOOSE(CONTROL!$C$9, $D$9, 100%, $F$9) + CHOOSE(CONTROL!$C$27, 0.0021, 0)</f>
        <v>77.513000000000005</v>
      </c>
      <c r="I482" s="14">
        <f>77.5109 * CHOOSE(CONTROL!$C$9, $D$9, 100%, $F$9) + CHOOSE(CONTROL!$C$27, 0.0021, 0)</f>
        <v>77.513000000000005</v>
      </c>
      <c r="J482" s="14">
        <f>77.5109 * CHOOSE(CONTROL!$C$9, $D$9, 100%, $F$9) + CHOOSE(CONTROL!$C$27, 0.0021, 0)</f>
        <v>77.513000000000005</v>
      </c>
      <c r="K482" s="14">
        <f>77.5109 * CHOOSE(CONTROL!$C$9, $D$9, 100%, $F$9) + CHOOSE(CONTROL!$C$27, 0.0021, 0)</f>
        <v>77.513000000000005</v>
      </c>
      <c r="L482" s="14"/>
    </row>
    <row r="483" spans="1:12" ht="15.75" x14ac:dyDescent="0.25">
      <c r="A483" s="33">
        <v>55639</v>
      </c>
      <c r="B483" s="14">
        <f>76.8445 * CHOOSE(CONTROL!$C$9, $D$9, 100%, $F$9) + CHOOSE(CONTROL!$C$27, 0.0021, 0)</f>
        <v>76.846599999999995</v>
      </c>
      <c r="C483" s="14">
        <f>76.4123 * CHOOSE(CONTROL!$C$9, $D$9, 100%, $F$9) + CHOOSE(CONTROL!$C$27, 0.0021, 0)</f>
        <v>76.414400000000001</v>
      </c>
      <c r="D483" s="14">
        <f>76.4123 * CHOOSE(CONTROL!$C$9, $D$9, 100%, $F$9) + CHOOSE(CONTROL!$C$27, 0.0021, 0)</f>
        <v>76.414400000000001</v>
      </c>
      <c r="E483" s="14">
        <f>76.2756 * CHOOSE(CONTROL!$C$9, $D$9, 100%, $F$9) + CHOOSE(CONTROL!$C$27, 0.0021, 0)</f>
        <v>76.277699999999996</v>
      </c>
      <c r="F483" s="14">
        <f>76.2756 * CHOOSE(CONTROL!$C$9, $D$9, 100%, $F$9) + CHOOSE(CONTROL!$C$27, 0.0021, 0)</f>
        <v>76.277699999999996</v>
      </c>
      <c r="G483" s="14">
        <f>76.547 * CHOOSE(CONTROL!$C$9, $D$9, 100%, $F$9) + CHOOSE(CONTROL!$C$27, 0.0021, 0)</f>
        <v>76.549099999999996</v>
      </c>
      <c r="H483" s="14">
        <f>76.4123 * CHOOSE(CONTROL!$C$9, $D$9, 100%, $F$9) + CHOOSE(CONTROL!$C$27, 0.0021, 0)</f>
        <v>76.414400000000001</v>
      </c>
      <c r="I483" s="14">
        <f>76.4123 * CHOOSE(CONTROL!$C$9, $D$9, 100%, $F$9) + CHOOSE(CONTROL!$C$27, 0.0021, 0)</f>
        <v>76.414400000000001</v>
      </c>
      <c r="J483" s="14">
        <f>76.4123 * CHOOSE(CONTROL!$C$9, $D$9, 100%, $F$9) + CHOOSE(CONTROL!$C$27, 0.0021, 0)</f>
        <v>76.414400000000001</v>
      </c>
      <c r="K483" s="14">
        <f>76.4123 * CHOOSE(CONTROL!$C$9, $D$9, 100%, $F$9) + CHOOSE(CONTROL!$C$27, 0.0021, 0)</f>
        <v>76.414400000000001</v>
      </c>
      <c r="L483" s="14"/>
    </row>
    <row r="484" spans="1:12" ht="15.75" x14ac:dyDescent="0.25">
      <c r="A484" s="33">
        <v>55670</v>
      </c>
      <c r="B484" s="14">
        <f>78.4101 * CHOOSE(CONTROL!$C$9, $D$9, 100%, $F$9) + CHOOSE(CONTROL!$C$27, 0.0021, 0)</f>
        <v>78.412199999999999</v>
      </c>
      <c r="C484" s="14">
        <f>77.9779 * CHOOSE(CONTROL!$C$9, $D$9, 100%, $F$9) + CHOOSE(CONTROL!$C$27, 0.0021, 0)</f>
        <v>77.98</v>
      </c>
      <c r="D484" s="14">
        <f>77.9779 * CHOOSE(CONTROL!$C$9, $D$9, 100%, $F$9) + CHOOSE(CONTROL!$C$27, 0.0021, 0)</f>
        <v>77.98</v>
      </c>
      <c r="E484" s="14">
        <f>77.8412 * CHOOSE(CONTROL!$C$9, $D$9, 100%, $F$9) + CHOOSE(CONTROL!$C$27, 0.0021, 0)</f>
        <v>77.843299999999999</v>
      </c>
      <c r="F484" s="14">
        <f>77.8412 * CHOOSE(CONTROL!$C$9, $D$9, 100%, $F$9) + CHOOSE(CONTROL!$C$27, 0.0021, 0)</f>
        <v>77.843299999999999</v>
      </c>
      <c r="G484" s="14">
        <f>78.1126 * CHOOSE(CONTROL!$C$9, $D$9, 100%, $F$9) + CHOOSE(CONTROL!$C$27, 0.0021, 0)</f>
        <v>78.114699999999999</v>
      </c>
      <c r="H484" s="14">
        <f>77.9779 * CHOOSE(CONTROL!$C$9, $D$9, 100%, $F$9) + CHOOSE(CONTROL!$C$27, 0.0021, 0)</f>
        <v>77.98</v>
      </c>
      <c r="I484" s="14">
        <f>77.9779 * CHOOSE(CONTROL!$C$9, $D$9, 100%, $F$9) + CHOOSE(CONTROL!$C$27, 0.0021, 0)</f>
        <v>77.98</v>
      </c>
      <c r="J484" s="14">
        <f>77.9779 * CHOOSE(CONTROL!$C$9, $D$9, 100%, $F$9) + CHOOSE(CONTROL!$C$27, 0.0021, 0)</f>
        <v>77.98</v>
      </c>
      <c r="K484" s="14">
        <f>77.9779 * CHOOSE(CONTROL!$C$9, $D$9, 100%, $F$9) + CHOOSE(CONTROL!$C$27, 0.0021, 0)</f>
        <v>77.98</v>
      </c>
      <c r="L484" s="14"/>
    </row>
    <row r="485" spans="1:12" ht="15.75" x14ac:dyDescent="0.25">
      <c r="A485" s="33">
        <v>55700</v>
      </c>
      <c r="B485" s="14">
        <f>79.3479 * CHOOSE(CONTROL!$C$9, $D$9, 100%, $F$9) + CHOOSE(CONTROL!$C$27, 0.0021, 0)</f>
        <v>79.349999999999994</v>
      </c>
      <c r="C485" s="14">
        <f>78.9157 * CHOOSE(CONTROL!$C$9, $D$9, 100%, $F$9) + CHOOSE(CONTROL!$C$27, 0.0021, 0)</f>
        <v>78.9178</v>
      </c>
      <c r="D485" s="14">
        <f>78.9157 * CHOOSE(CONTROL!$C$9, $D$9, 100%, $F$9) + CHOOSE(CONTROL!$C$27, 0.0021, 0)</f>
        <v>78.9178</v>
      </c>
      <c r="E485" s="14">
        <f>78.779 * CHOOSE(CONTROL!$C$9, $D$9, 100%, $F$9) + CHOOSE(CONTROL!$C$27, 0.0021, 0)</f>
        <v>78.781099999999995</v>
      </c>
      <c r="F485" s="14">
        <f>78.779 * CHOOSE(CONTROL!$C$9, $D$9, 100%, $F$9) + CHOOSE(CONTROL!$C$27, 0.0021, 0)</f>
        <v>78.781099999999995</v>
      </c>
      <c r="G485" s="14">
        <f>79.0504 * CHOOSE(CONTROL!$C$9, $D$9, 100%, $F$9) + CHOOSE(CONTROL!$C$27, 0.0021, 0)</f>
        <v>79.052499999999995</v>
      </c>
      <c r="H485" s="14">
        <f>78.9157 * CHOOSE(CONTROL!$C$9, $D$9, 100%, $F$9) + CHOOSE(CONTROL!$C$27, 0.0021, 0)</f>
        <v>78.9178</v>
      </c>
      <c r="I485" s="14">
        <f>78.9157 * CHOOSE(CONTROL!$C$9, $D$9, 100%, $F$9) + CHOOSE(CONTROL!$C$27, 0.0021, 0)</f>
        <v>78.9178</v>
      </c>
      <c r="J485" s="14">
        <f>78.9157 * CHOOSE(CONTROL!$C$9, $D$9, 100%, $F$9) + CHOOSE(CONTROL!$C$27, 0.0021, 0)</f>
        <v>78.9178</v>
      </c>
      <c r="K485" s="14">
        <f>78.9157 * CHOOSE(CONTROL!$C$9, $D$9, 100%, $F$9) + CHOOSE(CONTROL!$C$27, 0.0021, 0)</f>
        <v>78.9178</v>
      </c>
      <c r="L485" s="14"/>
    </row>
    <row r="486" spans="1:12" ht="15.75" x14ac:dyDescent="0.25">
      <c r="A486" s="33">
        <v>55731</v>
      </c>
      <c r="B486" s="14">
        <f>80.8948 * CHOOSE(CONTROL!$C$9, $D$9, 100%, $F$9) + CHOOSE(CONTROL!$C$27, 0.0021, 0)</f>
        <v>80.896900000000002</v>
      </c>
      <c r="C486" s="14">
        <f>80.4626 * CHOOSE(CONTROL!$C$9, $D$9, 100%, $F$9) + CHOOSE(CONTROL!$C$27, 0.0021, 0)</f>
        <v>80.464699999999993</v>
      </c>
      <c r="D486" s="14">
        <f>80.4626 * CHOOSE(CONTROL!$C$9, $D$9, 100%, $F$9) + CHOOSE(CONTROL!$C$27, 0.0021, 0)</f>
        <v>80.464699999999993</v>
      </c>
      <c r="E486" s="14">
        <f>80.3259 * CHOOSE(CONTROL!$C$9, $D$9, 100%, $F$9) + CHOOSE(CONTROL!$C$27, 0.0021, 0)</f>
        <v>80.328000000000003</v>
      </c>
      <c r="F486" s="14">
        <f>80.3259 * CHOOSE(CONTROL!$C$9, $D$9, 100%, $F$9) + CHOOSE(CONTROL!$C$27, 0.0021, 0)</f>
        <v>80.328000000000003</v>
      </c>
      <c r="G486" s="14">
        <f>80.5973 * CHOOSE(CONTROL!$C$9, $D$9, 100%, $F$9) + CHOOSE(CONTROL!$C$27, 0.0021, 0)</f>
        <v>80.599400000000003</v>
      </c>
      <c r="H486" s="14">
        <f>80.4626 * CHOOSE(CONTROL!$C$9, $D$9, 100%, $F$9) + CHOOSE(CONTROL!$C$27, 0.0021, 0)</f>
        <v>80.464699999999993</v>
      </c>
      <c r="I486" s="14">
        <f>80.4626 * CHOOSE(CONTROL!$C$9, $D$9, 100%, $F$9) + CHOOSE(CONTROL!$C$27, 0.0021, 0)</f>
        <v>80.464699999999993</v>
      </c>
      <c r="J486" s="14">
        <f>80.4626 * CHOOSE(CONTROL!$C$9, $D$9, 100%, $F$9) + CHOOSE(CONTROL!$C$27, 0.0021, 0)</f>
        <v>80.464699999999993</v>
      </c>
      <c r="K486" s="14">
        <f>80.4626 * CHOOSE(CONTROL!$C$9, $D$9, 100%, $F$9) + CHOOSE(CONTROL!$C$27, 0.0021, 0)</f>
        <v>80.464699999999993</v>
      </c>
      <c r="L486" s="14"/>
    </row>
    <row r="487" spans="1:12" ht="15.75" x14ac:dyDescent="0.25">
      <c r="A487" s="33">
        <v>55762</v>
      </c>
      <c r="B487" s="14">
        <f>81.367 * CHOOSE(CONTROL!$C$9, $D$9, 100%, $F$9) + CHOOSE(CONTROL!$C$27, 0.0021, 0)</f>
        <v>81.369100000000003</v>
      </c>
      <c r="C487" s="14">
        <f>80.9348 * CHOOSE(CONTROL!$C$9, $D$9, 100%, $F$9) + CHOOSE(CONTROL!$C$27, 0.0021, 0)</f>
        <v>80.936899999999994</v>
      </c>
      <c r="D487" s="14">
        <f>80.9348 * CHOOSE(CONTROL!$C$9, $D$9, 100%, $F$9) + CHOOSE(CONTROL!$C$27, 0.0021, 0)</f>
        <v>80.936899999999994</v>
      </c>
      <c r="E487" s="14">
        <f>80.7981 * CHOOSE(CONTROL!$C$9, $D$9, 100%, $F$9) + CHOOSE(CONTROL!$C$27, 0.0021, 0)</f>
        <v>80.800200000000004</v>
      </c>
      <c r="F487" s="14">
        <f>80.7981 * CHOOSE(CONTROL!$C$9, $D$9, 100%, $F$9) + CHOOSE(CONTROL!$C$27, 0.0021, 0)</f>
        <v>80.800200000000004</v>
      </c>
      <c r="G487" s="14">
        <f>81.0695 * CHOOSE(CONTROL!$C$9, $D$9, 100%, $F$9) + CHOOSE(CONTROL!$C$27, 0.0021, 0)</f>
        <v>81.071600000000004</v>
      </c>
      <c r="H487" s="14">
        <f>80.9348 * CHOOSE(CONTROL!$C$9, $D$9, 100%, $F$9) + CHOOSE(CONTROL!$C$27, 0.0021, 0)</f>
        <v>80.936899999999994</v>
      </c>
      <c r="I487" s="14">
        <f>80.9348 * CHOOSE(CONTROL!$C$9, $D$9, 100%, $F$9) + CHOOSE(CONTROL!$C$27, 0.0021, 0)</f>
        <v>80.936899999999994</v>
      </c>
      <c r="J487" s="14">
        <f>80.9348 * CHOOSE(CONTROL!$C$9, $D$9, 100%, $F$9) + CHOOSE(CONTROL!$C$27, 0.0021, 0)</f>
        <v>80.936899999999994</v>
      </c>
      <c r="K487" s="14">
        <f>80.9348 * CHOOSE(CONTROL!$C$9, $D$9, 100%, $F$9) + CHOOSE(CONTROL!$C$27, 0.0021, 0)</f>
        <v>80.936899999999994</v>
      </c>
      <c r="L487" s="14"/>
    </row>
    <row r="488" spans="1:12" ht="15.75" x14ac:dyDescent="0.25">
      <c r="A488" s="33">
        <v>55792</v>
      </c>
      <c r="B488" s="14">
        <f>82.975 * CHOOSE(CONTROL!$C$9, $D$9, 100%, $F$9) + CHOOSE(CONTROL!$C$27, 0.0021, 0)</f>
        <v>82.977099999999993</v>
      </c>
      <c r="C488" s="14">
        <f>82.5427 * CHOOSE(CONTROL!$C$9, $D$9, 100%, $F$9) + CHOOSE(CONTROL!$C$27, 0.0021, 0)</f>
        <v>82.544799999999995</v>
      </c>
      <c r="D488" s="14">
        <f>82.5427 * CHOOSE(CONTROL!$C$9, $D$9, 100%, $F$9) + CHOOSE(CONTROL!$C$27, 0.0021, 0)</f>
        <v>82.544799999999995</v>
      </c>
      <c r="E488" s="14">
        <f>82.4061 * CHOOSE(CONTROL!$C$9, $D$9, 100%, $F$9) + CHOOSE(CONTROL!$C$27, 0.0021, 0)</f>
        <v>82.408199999999994</v>
      </c>
      <c r="F488" s="14">
        <f>82.4061 * CHOOSE(CONTROL!$C$9, $D$9, 100%, $F$9) + CHOOSE(CONTROL!$C$27, 0.0021, 0)</f>
        <v>82.408199999999994</v>
      </c>
      <c r="G488" s="14">
        <f>82.6775 * CHOOSE(CONTROL!$C$9, $D$9, 100%, $F$9) + CHOOSE(CONTROL!$C$27, 0.0021, 0)</f>
        <v>82.679599999999994</v>
      </c>
      <c r="H488" s="14">
        <f>82.5427 * CHOOSE(CONTROL!$C$9, $D$9, 100%, $F$9) + CHOOSE(CONTROL!$C$27, 0.0021, 0)</f>
        <v>82.544799999999995</v>
      </c>
      <c r="I488" s="14">
        <f>82.5427 * CHOOSE(CONTROL!$C$9, $D$9, 100%, $F$9) + CHOOSE(CONTROL!$C$27, 0.0021, 0)</f>
        <v>82.544799999999995</v>
      </c>
      <c r="J488" s="14">
        <f>82.5427 * CHOOSE(CONTROL!$C$9, $D$9, 100%, $F$9) + CHOOSE(CONTROL!$C$27, 0.0021, 0)</f>
        <v>82.544799999999995</v>
      </c>
      <c r="K488" s="14">
        <f>82.5427 * CHOOSE(CONTROL!$C$9, $D$9, 100%, $F$9) + CHOOSE(CONTROL!$C$27, 0.0021, 0)</f>
        <v>82.544799999999995</v>
      </c>
      <c r="L488" s="14"/>
    </row>
    <row r="489" spans="1:12" ht="15.75" x14ac:dyDescent="0.25">
      <c r="A489" s="33">
        <v>55823</v>
      </c>
      <c r="B489" s="14">
        <f>85.0104 * CHOOSE(CONTROL!$C$9, $D$9, 100%, $F$9) + CHOOSE(CONTROL!$C$27, 0.0021, 0)</f>
        <v>85.012500000000003</v>
      </c>
      <c r="C489" s="14">
        <f>84.5782 * CHOOSE(CONTROL!$C$9, $D$9, 100%, $F$9) + CHOOSE(CONTROL!$C$27, 0.0021, 0)</f>
        <v>84.580299999999994</v>
      </c>
      <c r="D489" s="14">
        <f>84.5782 * CHOOSE(CONTROL!$C$9, $D$9, 100%, $F$9) + CHOOSE(CONTROL!$C$27, 0.0021, 0)</f>
        <v>84.580299999999994</v>
      </c>
      <c r="E489" s="14">
        <f>84.4415 * CHOOSE(CONTROL!$C$9, $D$9, 100%, $F$9) + CHOOSE(CONTROL!$C$27, 0.0021, 0)</f>
        <v>84.443600000000004</v>
      </c>
      <c r="F489" s="14">
        <f>84.4415 * CHOOSE(CONTROL!$C$9, $D$9, 100%, $F$9) + CHOOSE(CONTROL!$C$27, 0.0021, 0)</f>
        <v>84.443600000000004</v>
      </c>
      <c r="G489" s="14">
        <f>84.7129 * CHOOSE(CONTROL!$C$9, $D$9, 100%, $F$9) + CHOOSE(CONTROL!$C$27, 0.0021, 0)</f>
        <v>84.715000000000003</v>
      </c>
      <c r="H489" s="14">
        <f>84.5782 * CHOOSE(CONTROL!$C$9, $D$9, 100%, $F$9) + CHOOSE(CONTROL!$C$27, 0.0021, 0)</f>
        <v>84.580299999999994</v>
      </c>
      <c r="I489" s="14">
        <f>84.5782 * CHOOSE(CONTROL!$C$9, $D$9, 100%, $F$9) + CHOOSE(CONTROL!$C$27, 0.0021, 0)</f>
        <v>84.580299999999994</v>
      </c>
      <c r="J489" s="14">
        <f>84.5782 * CHOOSE(CONTROL!$C$9, $D$9, 100%, $F$9) + CHOOSE(CONTROL!$C$27, 0.0021, 0)</f>
        <v>84.580299999999994</v>
      </c>
      <c r="K489" s="14">
        <f>84.5782 * CHOOSE(CONTROL!$C$9, $D$9, 100%, $F$9) + CHOOSE(CONTROL!$C$27, 0.0021, 0)</f>
        <v>84.580299999999994</v>
      </c>
      <c r="L489" s="14"/>
    </row>
    <row r="490" spans="1:12" ht="15.75" x14ac:dyDescent="0.25">
      <c r="A490" s="33">
        <v>55853</v>
      </c>
      <c r="B490" s="14">
        <f>85.2015 * CHOOSE(CONTROL!$C$9, $D$9, 100%, $F$9) + CHOOSE(CONTROL!$C$27, 0.0021, 0)</f>
        <v>85.203599999999994</v>
      </c>
      <c r="C490" s="14">
        <f>84.7693 * CHOOSE(CONTROL!$C$9, $D$9, 100%, $F$9) + CHOOSE(CONTROL!$C$27, 0.0021, 0)</f>
        <v>84.7714</v>
      </c>
      <c r="D490" s="14">
        <f>84.7693 * CHOOSE(CONTROL!$C$9, $D$9, 100%, $F$9) + CHOOSE(CONTROL!$C$27, 0.0021, 0)</f>
        <v>84.7714</v>
      </c>
      <c r="E490" s="14">
        <f>84.6326 * CHOOSE(CONTROL!$C$9, $D$9, 100%, $F$9) + CHOOSE(CONTROL!$C$27, 0.0021, 0)</f>
        <v>84.634699999999995</v>
      </c>
      <c r="F490" s="14">
        <f>84.6326 * CHOOSE(CONTROL!$C$9, $D$9, 100%, $F$9) + CHOOSE(CONTROL!$C$27, 0.0021, 0)</f>
        <v>84.634699999999995</v>
      </c>
      <c r="G490" s="14">
        <f>84.904 * CHOOSE(CONTROL!$C$9, $D$9, 100%, $F$9) + CHOOSE(CONTROL!$C$27, 0.0021, 0)</f>
        <v>84.906099999999995</v>
      </c>
      <c r="H490" s="14">
        <f>84.7693 * CHOOSE(CONTROL!$C$9, $D$9, 100%, $F$9) + CHOOSE(CONTROL!$C$27, 0.0021, 0)</f>
        <v>84.7714</v>
      </c>
      <c r="I490" s="14">
        <f>84.7693 * CHOOSE(CONTROL!$C$9, $D$9, 100%, $F$9) + CHOOSE(CONTROL!$C$27, 0.0021, 0)</f>
        <v>84.7714</v>
      </c>
      <c r="J490" s="14">
        <f>84.7693 * CHOOSE(CONTROL!$C$9, $D$9, 100%, $F$9) + CHOOSE(CONTROL!$C$27, 0.0021, 0)</f>
        <v>84.7714</v>
      </c>
      <c r="K490" s="14">
        <f>84.7693 * CHOOSE(CONTROL!$C$9, $D$9, 100%, $F$9) + CHOOSE(CONTROL!$C$27, 0.0021, 0)</f>
        <v>84.7714</v>
      </c>
      <c r="L490" s="14"/>
    </row>
    <row r="491" spans="1:12" ht="15.75" x14ac:dyDescent="0.25">
      <c r="A491" s="33">
        <v>55884</v>
      </c>
      <c r="B491" s="14">
        <f>83.5758 * CHOOSE(CONTROL!$C$9, $D$9, 100%, $F$9) + CHOOSE(CONTROL!$C$27, 0.0021, 0)</f>
        <v>83.5779</v>
      </c>
      <c r="C491" s="14">
        <f>83.1436 * CHOOSE(CONTROL!$C$9, $D$9, 100%, $F$9) + CHOOSE(CONTROL!$C$27, 0.0021, 0)</f>
        <v>83.145700000000005</v>
      </c>
      <c r="D491" s="14">
        <f>83.1436 * CHOOSE(CONTROL!$C$9, $D$9, 100%, $F$9) + CHOOSE(CONTROL!$C$27, 0.0021, 0)</f>
        <v>83.145700000000005</v>
      </c>
      <c r="E491" s="14">
        <f>83.0069 * CHOOSE(CONTROL!$C$9, $D$9, 100%, $F$9) + CHOOSE(CONTROL!$C$27, 0.0021, 0)</f>
        <v>83.009</v>
      </c>
      <c r="F491" s="14">
        <f>83.0069 * CHOOSE(CONTROL!$C$9, $D$9, 100%, $F$9) + CHOOSE(CONTROL!$C$27, 0.0021, 0)</f>
        <v>83.009</v>
      </c>
      <c r="G491" s="14">
        <f>83.2783 * CHOOSE(CONTROL!$C$9, $D$9, 100%, $F$9) + CHOOSE(CONTROL!$C$27, 0.0021, 0)</f>
        <v>83.2804</v>
      </c>
      <c r="H491" s="14">
        <f>83.1436 * CHOOSE(CONTROL!$C$9, $D$9, 100%, $F$9) + CHOOSE(CONTROL!$C$27, 0.0021, 0)</f>
        <v>83.145700000000005</v>
      </c>
      <c r="I491" s="14">
        <f>83.1436 * CHOOSE(CONTROL!$C$9, $D$9, 100%, $F$9) + CHOOSE(CONTROL!$C$27, 0.0021, 0)</f>
        <v>83.145700000000005</v>
      </c>
      <c r="J491" s="14">
        <f>83.1436 * CHOOSE(CONTROL!$C$9, $D$9, 100%, $F$9) + CHOOSE(CONTROL!$C$27, 0.0021, 0)</f>
        <v>83.145700000000005</v>
      </c>
      <c r="K491" s="14">
        <f>83.1436 * CHOOSE(CONTROL!$C$9, $D$9, 100%, $F$9) + CHOOSE(CONTROL!$C$27, 0.0021, 0)</f>
        <v>83.145700000000005</v>
      </c>
      <c r="L491" s="14"/>
    </row>
    <row r="492" spans="1:12" ht="15.75" x14ac:dyDescent="0.25">
      <c r="A492" s="33">
        <v>55915</v>
      </c>
      <c r="B492" s="14">
        <f>82.5484 * CHOOSE(CONTROL!$C$9, $D$9, 100%, $F$9) + CHOOSE(CONTROL!$C$27, 0.0021, 0)</f>
        <v>82.5505</v>
      </c>
      <c r="C492" s="14">
        <f>82.1161 * CHOOSE(CONTROL!$C$9, $D$9, 100%, $F$9) + CHOOSE(CONTROL!$C$27, 0.0021, 0)</f>
        <v>82.118200000000002</v>
      </c>
      <c r="D492" s="14">
        <f>82.1161 * CHOOSE(CONTROL!$C$9, $D$9, 100%, $F$9) + CHOOSE(CONTROL!$C$27, 0.0021, 0)</f>
        <v>82.118200000000002</v>
      </c>
      <c r="E492" s="14">
        <f>81.9794 * CHOOSE(CONTROL!$C$9, $D$9, 100%, $F$9) + CHOOSE(CONTROL!$C$27, 0.0021, 0)</f>
        <v>81.981499999999997</v>
      </c>
      <c r="F492" s="14">
        <f>81.9794 * CHOOSE(CONTROL!$C$9, $D$9, 100%, $F$9) + CHOOSE(CONTROL!$C$27, 0.0021, 0)</f>
        <v>81.981499999999997</v>
      </c>
      <c r="G492" s="14">
        <f>82.2508 * CHOOSE(CONTROL!$C$9, $D$9, 100%, $F$9) + CHOOSE(CONTROL!$C$27, 0.0021, 0)</f>
        <v>82.252899999999997</v>
      </c>
      <c r="H492" s="14">
        <f>82.1161 * CHOOSE(CONTROL!$C$9, $D$9, 100%, $F$9) + CHOOSE(CONTROL!$C$27, 0.0021, 0)</f>
        <v>82.118200000000002</v>
      </c>
      <c r="I492" s="14">
        <f>82.1161 * CHOOSE(CONTROL!$C$9, $D$9, 100%, $F$9) + CHOOSE(CONTROL!$C$27, 0.0021, 0)</f>
        <v>82.118200000000002</v>
      </c>
      <c r="J492" s="14">
        <f>82.1161 * CHOOSE(CONTROL!$C$9, $D$9, 100%, $F$9) + CHOOSE(CONTROL!$C$27, 0.0021, 0)</f>
        <v>82.118200000000002</v>
      </c>
      <c r="K492" s="14">
        <f>82.1161 * CHOOSE(CONTROL!$C$9, $D$9, 100%, $F$9) + CHOOSE(CONTROL!$C$27, 0.0021, 0)</f>
        <v>82.118200000000002</v>
      </c>
      <c r="L492" s="14"/>
    </row>
    <row r="493" spans="1:12" ht="15.75" x14ac:dyDescent="0.25">
      <c r="A493" s="33">
        <v>55943</v>
      </c>
      <c r="B493" s="14">
        <f>80.2783 * CHOOSE(CONTROL!$C$9, $D$9, 100%, $F$9) + CHOOSE(CONTROL!$C$27, 0.0021, 0)</f>
        <v>80.2804</v>
      </c>
      <c r="C493" s="14">
        <f>79.846 * CHOOSE(CONTROL!$C$9, $D$9, 100%, $F$9) + CHOOSE(CONTROL!$C$27, 0.0021, 0)</f>
        <v>79.848100000000002</v>
      </c>
      <c r="D493" s="14">
        <f>79.846 * CHOOSE(CONTROL!$C$9, $D$9, 100%, $F$9) + CHOOSE(CONTROL!$C$27, 0.0021, 0)</f>
        <v>79.848100000000002</v>
      </c>
      <c r="E493" s="14">
        <f>79.7094 * CHOOSE(CONTROL!$C$9, $D$9, 100%, $F$9) + CHOOSE(CONTROL!$C$27, 0.0021, 0)</f>
        <v>79.711500000000001</v>
      </c>
      <c r="F493" s="14">
        <f>79.7094 * CHOOSE(CONTROL!$C$9, $D$9, 100%, $F$9) + CHOOSE(CONTROL!$C$27, 0.0021, 0)</f>
        <v>79.711500000000001</v>
      </c>
      <c r="G493" s="14">
        <f>79.9807 * CHOOSE(CONTROL!$C$9, $D$9, 100%, $F$9) + CHOOSE(CONTROL!$C$27, 0.0021, 0)</f>
        <v>79.982799999999997</v>
      </c>
      <c r="H493" s="14">
        <f>79.846 * CHOOSE(CONTROL!$C$9, $D$9, 100%, $F$9) + CHOOSE(CONTROL!$C$27, 0.0021, 0)</f>
        <v>79.848100000000002</v>
      </c>
      <c r="I493" s="14">
        <f>79.846 * CHOOSE(CONTROL!$C$9, $D$9, 100%, $F$9) + CHOOSE(CONTROL!$C$27, 0.0021, 0)</f>
        <v>79.848100000000002</v>
      </c>
      <c r="J493" s="14">
        <f>79.846 * CHOOSE(CONTROL!$C$9, $D$9, 100%, $F$9) + CHOOSE(CONTROL!$C$27, 0.0021, 0)</f>
        <v>79.848100000000002</v>
      </c>
      <c r="K493" s="14">
        <f>79.846 * CHOOSE(CONTROL!$C$9, $D$9, 100%, $F$9) + CHOOSE(CONTROL!$C$27, 0.0021, 0)</f>
        <v>79.848100000000002</v>
      </c>
      <c r="L493" s="14"/>
    </row>
    <row r="494" spans="1:12" ht="15.75" x14ac:dyDescent="0.25">
      <c r="A494" s="33">
        <v>55974</v>
      </c>
      <c r="B494" s="14">
        <f>79.3412 * CHOOSE(CONTROL!$C$9, $D$9, 100%, $F$9) + CHOOSE(CONTROL!$C$27, 0.0021, 0)</f>
        <v>79.343299999999999</v>
      </c>
      <c r="C494" s="14">
        <f>78.909 * CHOOSE(CONTROL!$C$9, $D$9, 100%, $F$9) + CHOOSE(CONTROL!$C$27, 0.0021, 0)</f>
        <v>78.911100000000005</v>
      </c>
      <c r="D494" s="14">
        <f>78.909 * CHOOSE(CONTROL!$C$9, $D$9, 100%, $F$9) + CHOOSE(CONTROL!$C$27, 0.0021, 0)</f>
        <v>78.911100000000005</v>
      </c>
      <c r="E494" s="14">
        <f>78.7723 * CHOOSE(CONTROL!$C$9, $D$9, 100%, $F$9) + CHOOSE(CONTROL!$C$27, 0.0021, 0)</f>
        <v>78.7744</v>
      </c>
      <c r="F494" s="14">
        <f>78.7723 * CHOOSE(CONTROL!$C$9, $D$9, 100%, $F$9) + CHOOSE(CONTROL!$C$27, 0.0021, 0)</f>
        <v>78.7744</v>
      </c>
      <c r="G494" s="14">
        <f>79.0437 * CHOOSE(CONTROL!$C$9, $D$9, 100%, $F$9) + CHOOSE(CONTROL!$C$27, 0.0021, 0)</f>
        <v>79.0458</v>
      </c>
      <c r="H494" s="14">
        <f>78.909 * CHOOSE(CONTROL!$C$9, $D$9, 100%, $F$9) + CHOOSE(CONTROL!$C$27, 0.0021, 0)</f>
        <v>78.911100000000005</v>
      </c>
      <c r="I494" s="14">
        <f>78.909 * CHOOSE(CONTROL!$C$9, $D$9, 100%, $F$9) + CHOOSE(CONTROL!$C$27, 0.0021, 0)</f>
        <v>78.911100000000005</v>
      </c>
      <c r="J494" s="14">
        <f>78.909 * CHOOSE(CONTROL!$C$9, $D$9, 100%, $F$9) + CHOOSE(CONTROL!$C$27, 0.0021, 0)</f>
        <v>78.911100000000005</v>
      </c>
      <c r="K494" s="14">
        <f>78.909 * CHOOSE(CONTROL!$C$9, $D$9, 100%, $F$9) + CHOOSE(CONTROL!$C$27, 0.0021, 0)</f>
        <v>78.911100000000005</v>
      </c>
      <c r="L494" s="14"/>
    </row>
    <row r="495" spans="1:12" ht="15.75" x14ac:dyDescent="0.25">
      <c r="A495" s="33">
        <v>56004</v>
      </c>
      <c r="B495" s="14">
        <f>78.2223 * CHOOSE(CONTROL!$C$9, $D$9, 100%, $F$9) + CHOOSE(CONTROL!$C$27, 0.0021, 0)</f>
        <v>78.224400000000003</v>
      </c>
      <c r="C495" s="14">
        <f>77.7901 * CHOOSE(CONTROL!$C$9, $D$9, 100%, $F$9) + CHOOSE(CONTROL!$C$27, 0.0021, 0)</f>
        <v>77.792199999999994</v>
      </c>
      <c r="D495" s="14">
        <f>77.7901 * CHOOSE(CONTROL!$C$9, $D$9, 100%, $F$9) + CHOOSE(CONTROL!$C$27, 0.0021, 0)</f>
        <v>77.792199999999994</v>
      </c>
      <c r="E495" s="14">
        <f>77.6534 * CHOOSE(CONTROL!$C$9, $D$9, 100%, $F$9) + CHOOSE(CONTROL!$C$27, 0.0021, 0)</f>
        <v>77.655500000000004</v>
      </c>
      <c r="F495" s="14">
        <f>77.6534 * CHOOSE(CONTROL!$C$9, $D$9, 100%, $F$9) + CHOOSE(CONTROL!$C$27, 0.0021, 0)</f>
        <v>77.655500000000004</v>
      </c>
      <c r="G495" s="14">
        <f>77.9248 * CHOOSE(CONTROL!$C$9, $D$9, 100%, $F$9) + CHOOSE(CONTROL!$C$27, 0.0021, 0)</f>
        <v>77.926900000000003</v>
      </c>
      <c r="H495" s="14">
        <f>77.7901 * CHOOSE(CONTROL!$C$9, $D$9, 100%, $F$9) + CHOOSE(CONTROL!$C$27, 0.0021, 0)</f>
        <v>77.792199999999994</v>
      </c>
      <c r="I495" s="14">
        <f>77.7901 * CHOOSE(CONTROL!$C$9, $D$9, 100%, $F$9) + CHOOSE(CONTROL!$C$27, 0.0021, 0)</f>
        <v>77.792199999999994</v>
      </c>
      <c r="J495" s="14">
        <f>77.7901 * CHOOSE(CONTROL!$C$9, $D$9, 100%, $F$9) + CHOOSE(CONTROL!$C$27, 0.0021, 0)</f>
        <v>77.792199999999994</v>
      </c>
      <c r="K495" s="14">
        <f>77.7901 * CHOOSE(CONTROL!$C$9, $D$9, 100%, $F$9) + CHOOSE(CONTROL!$C$27, 0.0021, 0)</f>
        <v>77.792199999999994</v>
      </c>
      <c r="L495" s="14"/>
    </row>
    <row r="496" spans="1:12" ht="15.75" x14ac:dyDescent="0.25">
      <c r="A496" s="33">
        <v>56035</v>
      </c>
      <c r="B496" s="14">
        <f>79.8169 * CHOOSE(CONTROL!$C$9, $D$9, 100%, $F$9) + CHOOSE(CONTROL!$C$27, 0.0021, 0)</f>
        <v>79.819000000000003</v>
      </c>
      <c r="C496" s="14">
        <f>79.3846 * CHOOSE(CONTROL!$C$9, $D$9, 100%, $F$9) + CHOOSE(CONTROL!$C$27, 0.0021, 0)</f>
        <v>79.386700000000005</v>
      </c>
      <c r="D496" s="14">
        <f>79.3846 * CHOOSE(CONTROL!$C$9, $D$9, 100%, $F$9) + CHOOSE(CONTROL!$C$27, 0.0021, 0)</f>
        <v>79.386700000000005</v>
      </c>
      <c r="E496" s="14">
        <f>79.248 * CHOOSE(CONTROL!$C$9, $D$9, 100%, $F$9) + CHOOSE(CONTROL!$C$27, 0.0021, 0)</f>
        <v>79.250100000000003</v>
      </c>
      <c r="F496" s="14">
        <f>79.248 * CHOOSE(CONTROL!$C$9, $D$9, 100%, $F$9) + CHOOSE(CONTROL!$C$27, 0.0021, 0)</f>
        <v>79.250100000000003</v>
      </c>
      <c r="G496" s="14">
        <f>79.5193 * CHOOSE(CONTROL!$C$9, $D$9, 100%, $F$9) + CHOOSE(CONTROL!$C$27, 0.0021, 0)</f>
        <v>79.5214</v>
      </c>
      <c r="H496" s="14">
        <f>79.3846 * CHOOSE(CONTROL!$C$9, $D$9, 100%, $F$9) + CHOOSE(CONTROL!$C$27, 0.0021, 0)</f>
        <v>79.386700000000005</v>
      </c>
      <c r="I496" s="14">
        <f>79.3846 * CHOOSE(CONTROL!$C$9, $D$9, 100%, $F$9) + CHOOSE(CONTROL!$C$27, 0.0021, 0)</f>
        <v>79.386700000000005</v>
      </c>
      <c r="J496" s="14">
        <f>79.3846 * CHOOSE(CONTROL!$C$9, $D$9, 100%, $F$9) + CHOOSE(CONTROL!$C$27, 0.0021, 0)</f>
        <v>79.386700000000005</v>
      </c>
      <c r="K496" s="14">
        <f>79.3846 * CHOOSE(CONTROL!$C$9, $D$9, 100%, $F$9) + CHOOSE(CONTROL!$C$27, 0.0021, 0)</f>
        <v>79.386700000000005</v>
      </c>
      <c r="L496" s="14"/>
    </row>
    <row r="497" spans="1:12" ht="15.75" x14ac:dyDescent="0.25">
      <c r="A497" s="33">
        <v>56065</v>
      </c>
      <c r="B497" s="14">
        <f>80.7719 * CHOOSE(CONTROL!$C$9, $D$9, 100%, $F$9) + CHOOSE(CONTROL!$C$27, 0.0021, 0)</f>
        <v>80.774000000000001</v>
      </c>
      <c r="C497" s="14">
        <f>80.3397 * CHOOSE(CONTROL!$C$9, $D$9, 100%, $F$9) + CHOOSE(CONTROL!$C$27, 0.0021, 0)</f>
        <v>80.341799999999992</v>
      </c>
      <c r="D497" s="14">
        <f>80.3397 * CHOOSE(CONTROL!$C$9, $D$9, 100%, $F$9) + CHOOSE(CONTROL!$C$27, 0.0021, 0)</f>
        <v>80.341799999999992</v>
      </c>
      <c r="E497" s="14">
        <f>80.203 * CHOOSE(CONTROL!$C$9, $D$9, 100%, $F$9) + CHOOSE(CONTROL!$C$27, 0.0021, 0)</f>
        <v>80.205100000000002</v>
      </c>
      <c r="F497" s="14">
        <f>80.203 * CHOOSE(CONTROL!$C$9, $D$9, 100%, $F$9) + CHOOSE(CONTROL!$C$27, 0.0021, 0)</f>
        <v>80.205100000000002</v>
      </c>
      <c r="G497" s="14">
        <f>80.4744 * CHOOSE(CONTROL!$C$9, $D$9, 100%, $F$9) + CHOOSE(CONTROL!$C$27, 0.0021, 0)</f>
        <v>80.476500000000001</v>
      </c>
      <c r="H497" s="14">
        <f>80.3397 * CHOOSE(CONTROL!$C$9, $D$9, 100%, $F$9) + CHOOSE(CONTROL!$C$27, 0.0021, 0)</f>
        <v>80.341799999999992</v>
      </c>
      <c r="I497" s="14">
        <f>80.3397 * CHOOSE(CONTROL!$C$9, $D$9, 100%, $F$9) + CHOOSE(CONTROL!$C$27, 0.0021, 0)</f>
        <v>80.341799999999992</v>
      </c>
      <c r="J497" s="14">
        <f>80.3397 * CHOOSE(CONTROL!$C$9, $D$9, 100%, $F$9) + CHOOSE(CONTROL!$C$27, 0.0021, 0)</f>
        <v>80.341799999999992</v>
      </c>
      <c r="K497" s="14">
        <f>80.3397 * CHOOSE(CONTROL!$C$9, $D$9, 100%, $F$9) + CHOOSE(CONTROL!$C$27, 0.0021, 0)</f>
        <v>80.341799999999992</v>
      </c>
      <c r="L497" s="14"/>
    </row>
    <row r="498" spans="1:12" ht="15.75" x14ac:dyDescent="0.25">
      <c r="A498" s="33">
        <v>56096</v>
      </c>
      <c r="B498" s="14">
        <f>82.3475 * CHOOSE(CONTROL!$C$9, $D$9, 100%, $F$9) + CHOOSE(CONTROL!$C$27, 0.0021, 0)</f>
        <v>82.349599999999995</v>
      </c>
      <c r="C498" s="14">
        <f>81.9152 * CHOOSE(CONTROL!$C$9, $D$9, 100%, $F$9) + CHOOSE(CONTROL!$C$27, 0.0021, 0)</f>
        <v>81.917299999999997</v>
      </c>
      <c r="D498" s="14">
        <f>81.9152 * CHOOSE(CONTROL!$C$9, $D$9, 100%, $F$9) + CHOOSE(CONTROL!$C$27, 0.0021, 0)</f>
        <v>81.917299999999997</v>
      </c>
      <c r="E498" s="14">
        <f>81.7786 * CHOOSE(CONTROL!$C$9, $D$9, 100%, $F$9) + CHOOSE(CONTROL!$C$27, 0.0021, 0)</f>
        <v>81.780699999999996</v>
      </c>
      <c r="F498" s="14">
        <f>81.7786 * CHOOSE(CONTROL!$C$9, $D$9, 100%, $F$9) + CHOOSE(CONTROL!$C$27, 0.0021, 0)</f>
        <v>81.780699999999996</v>
      </c>
      <c r="G498" s="14">
        <f>82.0499 * CHOOSE(CONTROL!$C$9, $D$9, 100%, $F$9) + CHOOSE(CONTROL!$C$27, 0.0021, 0)</f>
        <v>82.051999999999992</v>
      </c>
      <c r="H498" s="14">
        <f>81.9152 * CHOOSE(CONTROL!$C$9, $D$9, 100%, $F$9) + CHOOSE(CONTROL!$C$27, 0.0021, 0)</f>
        <v>81.917299999999997</v>
      </c>
      <c r="I498" s="14">
        <f>81.9152 * CHOOSE(CONTROL!$C$9, $D$9, 100%, $F$9) + CHOOSE(CONTROL!$C$27, 0.0021, 0)</f>
        <v>81.917299999999997</v>
      </c>
      <c r="J498" s="14">
        <f>81.9152 * CHOOSE(CONTROL!$C$9, $D$9, 100%, $F$9) + CHOOSE(CONTROL!$C$27, 0.0021, 0)</f>
        <v>81.917299999999997</v>
      </c>
      <c r="K498" s="14">
        <f>81.9152 * CHOOSE(CONTROL!$C$9, $D$9, 100%, $F$9) + CHOOSE(CONTROL!$C$27, 0.0021, 0)</f>
        <v>81.917299999999997</v>
      </c>
      <c r="L498" s="14"/>
    </row>
    <row r="499" spans="1:12" ht="15.75" x14ac:dyDescent="0.25">
      <c r="A499" s="33">
        <v>56127</v>
      </c>
      <c r="B499" s="14">
        <f>82.8284 * CHOOSE(CONTROL!$C$9, $D$9, 100%, $F$9) + CHOOSE(CONTROL!$C$27, 0.0021, 0)</f>
        <v>82.830500000000001</v>
      </c>
      <c r="C499" s="14">
        <f>82.3961 * CHOOSE(CONTROL!$C$9, $D$9, 100%, $F$9) + CHOOSE(CONTROL!$C$27, 0.0021, 0)</f>
        <v>82.398200000000003</v>
      </c>
      <c r="D499" s="14">
        <f>82.3961 * CHOOSE(CONTROL!$C$9, $D$9, 100%, $F$9) + CHOOSE(CONTROL!$C$27, 0.0021, 0)</f>
        <v>82.398200000000003</v>
      </c>
      <c r="E499" s="14">
        <f>82.2595 * CHOOSE(CONTROL!$C$9, $D$9, 100%, $F$9) + CHOOSE(CONTROL!$C$27, 0.0021, 0)</f>
        <v>82.261600000000001</v>
      </c>
      <c r="F499" s="14">
        <f>82.2595 * CHOOSE(CONTROL!$C$9, $D$9, 100%, $F$9) + CHOOSE(CONTROL!$C$27, 0.0021, 0)</f>
        <v>82.261600000000001</v>
      </c>
      <c r="G499" s="14">
        <f>82.5308 * CHOOSE(CONTROL!$C$9, $D$9, 100%, $F$9) + CHOOSE(CONTROL!$C$27, 0.0021, 0)</f>
        <v>82.532899999999998</v>
      </c>
      <c r="H499" s="14">
        <f>82.3961 * CHOOSE(CONTROL!$C$9, $D$9, 100%, $F$9) + CHOOSE(CONTROL!$C$27, 0.0021, 0)</f>
        <v>82.398200000000003</v>
      </c>
      <c r="I499" s="14">
        <f>82.3961 * CHOOSE(CONTROL!$C$9, $D$9, 100%, $F$9) + CHOOSE(CONTROL!$C$27, 0.0021, 0)</f>
        <v>82.398200000000003</v>
      </c>
      <c r="J499" s="14">
        <f>82.3961 * CHOOSE(CONTROL!$C$9, $D$9, 100%, $F$9) + CHOOSE(CONTROL!$C$27, 0.0021, 0)</f>
        <v>82.398200000000003</v>
      </c>
      <c r="K499" s="14">
        <f>82.3961 * CHOOSE(CONTROL!$C$9, $D$9, 100%, $F$9) + CHOOSE(CONTROL!$C$27, 0.0021, 0)</f>
        <v>82.398200000000003</v>
      </c>
      <c r="L499" s="14"/>
    </row>
    <row r="500" spans="1:12" ht="15.75" x14ac:dyDescent="0.25">
      <c r="A500" s="33">
        <v>56157</v>
      </c>
      <c r="B500" s="14">
        <f>84.4661 * CHOOSE(CONTROL!$C$9, $D$9, 100%, $F$9) + CHOOSE(CONTROL!$C$27, 0.0021, 0)</f>
        <v>84.468199999999996</v>
      </c>
      <c r="C500" s="14">
        <f>84.0338 * CHOOSE(CONTROL!$C$9, $D$9, 100%, $F$9) + CHOOSE(CONTROL!$C$27, 0.0021, 0)</f>
        <v>84.035899999999998</v>
      </c>
      <c r="D500" s="14">
        <f>84.0338 * CHOOSE(CONTROL!$C$9, $D$9, 100%, $F$9) + CHOOSE(CONTROL!$C$27, 0.0021, 0)</f>
        <v>84.035899999999998</v>
      </c>
      <c r="E500" s="14">
        <f>83.8972 * CHOOSE(CONTROL!$C$9, $D$9, 100%, $F$9) + CHOOSE(CONTROL!$C$27, 0.0021, 0)</f>
        <v>83.899299999999997</v>
      </c>
      <c r="F500" s="14">
        <f>83.8972 * CHOOSE(CONTROL!$C$9, $D$9, 100%, $F$9) + CHOOSE(CONTROL!$C$27, 0.0021, 0)</f>
        <v>83.899299999999997</v>
      </c>
      <c r="G500" s="14">
        <f>84.1685 * CHOOSE(CONTROL!$C$9, $D$9, 100%, $F$9) + CHOOSE(CONTROL!$C$27, 0.0021, 0)</f>
        <v>84.170599999999993</v>
      </c>
      <c r="H500" s="14">
        <f>84.0338 * CHOOSE(CONTROL!$C$9, $D$9, 100%, $F$9) + CHOOSE(CONTROL!$C$27, 0.0021, 0)</f>
        <v>84.035899999999998</v>
      </c>
      <c r="I500" s="14">
        <f>84.0338 * CHOOSE(CONTROL!$C$9, $D$9, 100%, $F$9) + CHOOSE(CONTROL!$C$27, 0.0021, 0)</f>
        <v>84.035899999999998</v>
      </c>
      <c r="J500" s="14">
        <f>84.0338 * CHOOSE(CONTROL!$C$9, $D$9, 100%, $F$9) + CHOOSE(CONTROL!$C$27, 0.0021, 0)</f>
        <v>84.035899999999998</v>
      </c>
      <c r="K500" s="14">
        <f>84.0338 * CHOOSE(CONTROL!$C$9, $D$9, 100%, $F$9) + CHOOSE(CONTROL!$C$27, 0.0021, 0)</f>
        <v>84.035899999999998</v>
      </c>
      <c r="L500" s="14"/>
    </row>
    <row r="501" spans="1:12" ht="15.75" x14ac:dyDescent="0.25">
      <c r="A501" s="33">
        <v>56188</v>
      </c>
      <c r="B501" s="14">
        <f>86.5391 * CHOOSE(CONTROL!$C$9, $D$9, 100%, $F$9) + CHOOSE(CONTROL!$C$27, 0.0021, 0)</f>
        <v>86.541200000000003</v>
      </c>
      <c r="C501" s="14">
        <f>86.1069 * CHOOSE(CONTROL!$C$9, $D$9, 100%, $F$9) + CHOOSE(CONTROL!$C$27, 0.0021, 0)</f>
        <v>86.108999999999995</v>
      </c>
      <c r="D501" s="14">
        <f>86.1069 * CHOOSE(CONTROL!$C$9, $D$9, 100%, $F$9) + CHOOSE(CONTROL!$C$27, 0.0021, 0)</f>
        <v>86.108999999999995</v>
      </c>
      <c r="E501" s="14">
        <f>85.9702 * CHOOSE(CONTROL!$C$9, $D$9, 100%, $F$9) + CHOOSE(CONTROL!$C$27, 0.0021, 0)</f>
        <v>85.972300000000004</v>
      </c>
      <c r="F501" s="14">
        <f>85.9702 * CHOOSE(CONTROL!$C$9, $D$9, 100%, $F$9) + CHOOSE(CONTROL!$C$27, 0.0021, 0)</f>
        <v>85.972300000000004</v>
      </c>
      <c r="G501" s="14">
        <f>86.2416 * CHOOSE(CONTROL!$C$9, $D$9, 100%, $F$9) + CHOOSE(CONTROL!$C$27, 0.0021, 0)</f>
        <v>86.243700000000004</v>
      </c>
      <c r="H501" s="14">
        <f>86.1069 * CHOOSE(CONTROL!$C$9, $D$9, 100%, $F$9) + CHOOSE(CONTROL!$C$27, 0.0021, 0)</f>
        <v>86.108999999999995</v>
      </c>
      <c r="I501" s="14">
        <f>86.1069 * CHOOSE(CONTROL!$C$9, $D$9, 100%, $F$9) + CHOOSE(CONTROL!$C$27, 0.0021, 0)</f>
        <v>86.108999999999995</v>
      </c>
      <c r="J501" s="14">
        <f>86.1069 * CHOOSE(CONTROL!$C$9, $D$9, 100%, $F$9) + CHOOSE(CONTROL!$C$27, 0.0021, 0)</f>
        <v>86.108999999999995</v>
      </c>
      <c r="K501" s="14">
        <f>86.1069 * CHOOSE(CONTROL!$C$9, $D$9, 100%, $F$9) + CHOOSE(CONTROL!$C$27, 0.0021, 0)</f>
        <v>86.108999999999995</v>
      </c>
      <c r="L501" s="14"/>
    </row>
    <row r="502" spans="1:12" ht="15.75" x14ac:dyDescent="0.25">
      <c r="A502" s="33">
        <v>56218</v>
      </c>
      <c r="B502" s="14">
        <f>86.7337 * CHOOSE(CONTROL!$C$9, $D$9, 100%, $F$9) + CHOOSE(CONTROL!$C$27, 0.0021, 0)</f>
        <v>86.735799999999998</v>
      </c>
      <c r="C502" s="14">
        <f>86.3015 * CHOOSE(CONTROL!$C$9, $D$9, 100%, $F$9) + CHOOSE(CONTROL!$C$27, 0.0021, 0)</f>
        <v>86.303600000000003</v>
      </c>
      <c r="D502" s="14">
        <f>86.3015 * CHOOSE(CONTROL!$C$9, $D$9, 100%, $F$9) + CHOOSE(CONTROL!$C$27, 0.0021, 0)</f>
        <v>86.303600000000003</v>
      </c>
      <c r="E502" s="14">
        <f>86.1648 * CHOOSE(CONTROL!$C$9, $D$9, 100%, $F$9) + CHOOSE(CONTROL!$C$27, 0.0021, 0)</f>
        <v>86.166899999999998</v>
      </c>
      <c r="F502" s="14">
        <f>86.1648 * CHOOSE(CONTROL!$C$9, $D$9, 100%, $F$9) + CHOOSE(CONTROL!$C$27, 0.0021, 0)</f>
        <v>86.166899999999998</v>
      </c>
      <c r="G502" s="14">
        <f>86.4362 * CHOOSE(CONTROL!$C$9, $D$9, 100%, $F$9) + CHOOSE(CONTROL!$C$27, 0.0021, 0)</f>
        <v>86.438299999999998</v>
      </c>
      <c r="H502" s="14">
        <f>86.3015 * CHOOSE(CONTROL!$C$9, $D$9, 100%, $F$9) + CHOOSE(CONTROL!$C$27, 0.0021, 0)</f>
        <v>86.303600000000003</v>
      </c>
      <c r="I502" s="14">
        <f>86.3015 * CHOOSE(CONTROL!$C$9, $D$9, 100%, $F$9) + CHOOSE(CONTROL!$C$27, 0.0021, 0)</f>
        <v>86.303600000000003</v>
      </c>
      <c r="J502" s="14">
        <f>86.3015 * CHOOSE(CONTROL!$C$9, $D$9, 100%, $F$9) + CHOOSE(CONTROL!$C$27, 0.0021, 0)</f>
        <v>86.303600000000003</v>
      </c>
      <c r="K502" s="14">
        <f>86.3015 * CHOOSE(CONTROL!$C$9, $D$9, 100%, $F$9) + CHOOSE(CONTROL!$C$27, 0.0021, 0)</f>
        <v>86.303600000000003</v>
      </c>
      <c r="L502" s="14"/>
    </row>
    <row r="503" spans="1:12" ht="15.75" x14ac:dyDescent="0.25">
      <c r="A503" s="33">
        <v>56249</v>
      </c>
      <c r="B503" s="14">
        <f>85.078 * CHOOSE(CONTROL!$C$9, $D$9, 100%, $F$9) + CHOOSE(CONTROL!$C$27, 0.0021, 0)</f>
        <v>85.080100000000002</v>
      </c>
      <c r="C503" s="14">
        <f>84.6458 * CHOOSE(CONTROL!$C$9, $D$9, 100%, $F$9) + CHOOSE(CONTROL!$C$27, 0.0021, 0)</f>
        <v>84.647899999999993</v>
      </c>
      <c r="D503" s="14">
        <f>84.6458 * CHOOSE(CONTROL!$C$9, $D$9, 100%, $F$9) + CHOOSE(CONTROL!$C$27, 0.0021, 0)</f>
        <v>84.647899999999993</v>
      </c>
      <c r="E503" s="14">
        <f>84.5091 * CHOOSE(CONTROL!$C$9, $D$9, 100%, $F$9) + CHOOSE(CONTROL!$C$27, 0.0021, 0)</f>
        <v>84.511200000000002</v>
      </c>
      <c r="F503" s="14">
        <f>84.5091 * CHOOSE(CONTROL!$C$9, $D$9, 100%, $F$9) + CHOOSE(CONTROL!$C$27, 0.0021, 0)</f>
        <v>84.511200000000002</v>
      </c>
      <c r="G503" s="14">
        <f>84.7805 * CHOOSE(CONTROL!$C$9, $D$9, 100%, $F$9) + CHOOSE(CONTROL!$C$27, 0.0021, 0)</f>
        <v>84.782600000000002</v>
      </c>
      <c r="H503" s="14">
        <f>84.6458 * CHOOSE(CONTROL!$C$9, $D$9, 100%, $F$9) + CHOOSE(CONTROL!$C$27, 0.0021, 0)</f>
        <v>84.647899999999993</v>
      </c>
      <c r="I503" s="14">
        <f>84.6458 * CHOOSE(CONTROL!$C$9, $D$9, 100%, $F$9) + CHOOSE(CONTROL!$C$27, 0.0021, 0)</f>
        <v>84.647899999999993</v>
      </c>
      <c r="J503" s="14">
        <f>84.6458 * CHOOSE(CONTROL!$C$9, $D$9, 100%, $F$9) + CHOOSE(CONTROL!$C$27, 0.0021, 0)</f>
        <v>84.647899999999993</v>
      </c>
      <c r="K503" s="14">
        <f>84.6458 * CHOOSE(CONTROL!$C$9, $D$9, 100%, $F$9) + CHOOSE(CONTROL!$C$27, 0.0021, 0)</f>
        <v>84.647899999999993</v>
      </c>
      <c r="L503" s="14"/>
    </row>
    <row r="504" spans="1:12" ht="15.75" x14ac:dyDescent="0.25">
      <c r="A504" s="33">
        <v>56280</v>
      </c>
      <c r="B504" s="14">
        <f>84.0315 * CHOOSE(CONTROL!$C$9, $D$9, 100%, $F$9) + CHOOSE(CONTROL!$C$27, 0.0021, 0)</f>
        <v>84.033599999999993</v>
      </c>
      <c r="C504" s="14">
        <f>83.5993 * CHOOSE(CONTROL!$C$9, $D$9, 100%, $F$9) + CHOOSE(CONTROL!$C$27, 0.0021, 0)</f>
        <v>83.601399999999998</v>
      </c>
      <c r="D504" s="14">
        <f>83.5993 * CHOOSE(CONTROL!$C$9, $D$9, 100%, $F$9) + CHOOSE(CONTROL!$C$27, 0.0021, 0)</f>
        <v>83.601399999999998</v>
      </c>
      <c r="E504" s="14">
        <f>83.4626 * CHOOSE(CONTROL!$C$9, $D$9, 100%, $F$9) + CHOOSE(CONTROL!$C$27, 0.0021, 0)</f>
        <v>83.464699999999993</v>
      </c>
      <c r="F504" s="14">
        <f>83.4626 * CHOOSE(CONTROL!$C$9, $D$9, 100%, $F$9) + CHOOSE(CONTROL!$C$27, 0.0021, 0)</f>
        <v>83.464699999999993</v>
      </c>
      <c r="G504" s="14">
        <f>83.734 * CHOOSE(CONTROL!$C$9, $D$9, 100%, $F$9) + CHOOSE(CONTROL!$C$27, 0.0021, 0)</f>
        <v>83.736099999999993</v>
      </c>
      <c r="H504" s="14">
        <f>83.5993 * CHOOSE(CONTROL!$C$9, $D$9, 100%, $F$9) + CHOOSE(CONTROL!$C$27, 0.0021, 0)</f>
        <v>83.601399999999998</v>
      </c>
      <c r="I504" s="14">
        <f>83.5993 * CHOOSE(CONTROL!$C$9, $D$9, 100%, $F$9) + CHOOSE(CONTROL!$C$27, 0.0021, 0)</f>
        <v>83.601399999999998</v>
      </c>
      <c r="J504" s="14">
        <f>83.5993 * CHOOSE(CONTROL!$C$9, $D$9, 100%, $F$9) + CHOOSE(CONTROL!$C$27, 0.0021, 0)</f>
        <v>83.601399999999998</v>
      </c>
      <c r="K504" s="14">
        <f>83.5993 * CHOOSE(CONTROL!$C$9, $D$9, 100%, $F$9) + CHOOSE(CONTROL!$C$27, 0.0021, 0)</f>
        <v>83.601399999999998</v>
      </c>
      <c r="L504" s="14"/>
    </row>
    <row r="505" spans="1:12" ht="15.75" x14ac:dyDescent="0.25">
      <c r="A505" s="33">
        <v>56308</v>
      </c>
      <c r="B505" s="14">
        <f>81.7195 * CHOOSE(CONTROL!$C$9, $D$9, 100%, $F$9) + CHOOSE(CONTROL!$C$27, 0.0021, 0)</f>
        <v>81.721599999999995</v>
      </c>
      <c r="C505" s="14">
        <f>81.2873 * CHOOSE(CONTROL!$C$9, $D$9, 100%, $F$9) + CHOOSE(CONTROL!$C$27, 0.0021, 0)</f>
        <v>81.289400000000001</v>
      </c>
      <c r="D505" s="14">
        <f>81.2873 * CHOOSE(CONTROL!$C$9, $D$9, 100%, $F$9) + CHOOSE(CONTROL!$C$27, 0.0021, 0)</f>
        <v>81.289400000000001</v>
      </c>
      <c r="E505" s="14">
        <f>81.1506 * CHOOSE(CONTROL!$C$9, $D$9, 100%, $F$9) + CHOOSE(CONTROL!$C$27, 0.0021, 0)</f>
        <v>81.152699999999996</v>
      </c>
      <c r="F505" s="14">
        <f>81.1506 * CHOOSE(CONTROL!$C$9, $D$9, 100%, $F$9) + CHOOSE(CONTROL!$C$27, 0.0021, 0)</f>
        <v>81.152699999999996</v>
      </c>
      <c r="G505" s="14">
        <f>81.422 * CHOOSE(CONTROL!$C$9, $D$9, 100%, $F$9) + CHOOSE(CONTROL!$C$27, 0.0021, 0)</f>
        <v>81.424099999999996</v>
      </c>
      <c r="H505" s="14">
        <f>81.2873 * CHOOSE(CONTROL!$C$9, $D$9, 100%, $F$9) + CHOOSE(CONTROL!$C$27, 0.0021, 0)</f>
        <v>81.289400000000001</v>
      </c>
      <c r="I505" s="14">
        <f>81.2873 * CHOOSE(CONTROL!$C$9, $D$9, 100%, $F$9) + CHOOSE(CONTROL!$C$27, 0.0021, 0)</f>
        <v>81.289400000000001</v>
      </c>
      <c r="J505" s="14">
        <f>81.2873 * CHOOSE(CONTROL!$C$9, $D$9, 100%, $F$9) + CHOOSE(CONTROL!$C$27, 0.0021, 0)</f>
        <v>81.289400000000001</v>
      </c>
      <c r="K505" s="14">
        <f>81.2873 * CHOOSE(CONTROL!$C$9, $D$9, 100%, $F$9) + CHOOSE(CONTROL!$C$27, 0.0021, 0)</f>
        <v>81.289400000000001</v>
      </c>
      <c r="L505" s="14"/>
    </row>
    <row r="506" spans="1:12" ht="15.75" x14ac:dyDescent="0.25">
      <c r="A506" s="33">
        <v>56339</v>
      </c>
      <c r="B506" s="14">
        <f>80.7651 * CHOOSE(CONTROL!$C$9, $D$9, 100%, $F$9) + CHOOSE(CONTROL!$C$27, 0.0021, 0)</f>
        <v>80.767200000000003</v>
      </c>
      <c r="C506" s="14">
        <f>80.3329 * CHOOSE(CONTROL!$C$9, $D$9, 100%, $F$9) + CHOOSE(CONTROL!$C$27, 0.0021, 0)</f>
        <v>80.334999999999994</v>
      </c>
      <c r="D506" s="14">
        <f>80.3329 * CHOOSE(CONTROL!$C$9, $D$9, 100%, $F$9) + CHOOSE(CONTROL!$C$27, 0.0021, 0)</f>
        <v>80.334999999999994</v>
      </c>
      <c r="E506" s="14">
        <f>80.1962 * CHOOSE(CONTROL!$C$9, $D$9, 100%, $F$9) + CHOOSE(CONTROL!$C$27, 0.0021, 0)</f>
        <v>80.198300000000003</v>
      </c>
      <c r="F506" s="14">
        <f>80.1962 * CHOOSE(CONTROL!$C$9, $D$9, 100%, $F$9) + CHOOSE(CONTROL!$C$27, 0.0021, 0)</f>
        <v>80.198300000000003</v>
      </c>
      <c r="G506" s="14">
        <f>80.4676 * CHOOSE(CONTROL!$C$9, $D$9, 100%, $F$9) + CHOOSE(CONTROL!$C$27, 0.0021, 0)</f>
        <v>80.469700000000003</v>
      </c>
      <c r="H506" s="14">
        <f>80.3329 * CHOOSE(CONTROL!$C$9, $D$9, 100%, $F$9) + CHOOSE(CONTROL!$C$27, 0.0021, 0)</f>
        <v>80.334999999999994</v>
      </c>
      <c r="I506" s="14">
        <f>80.3329 * CHOOSE(CONTROL!$C$9, $D$9, 100%, $F$9) + CHOOSE(CONTROL!$C$27, 0.0021, 0)</f>
        <v>80.334999999999994</v>
      </c>
      <c r="J506" s="14">
        <f>80.3329 * CHOOSE(CONTROL!$C$9, $D$9, 100%, $F$9) + CHOOSE(CONTROL!$C$27, 0.0021, 0)</f>
        <v>80.334999999999994</v>
      </c>
      <c r="K506" s="14">
        <f>80.3329 * CHOOSE(CONTROL!$C$9, $D$9, 100%, $F$9) + CHOOSE(CONTROL!$C$27, 0.0021, 0)</f>
        <v>80.334999999999994</v>
      </c>
      <c r="L506" s="14"/>
    </row>
    <row r="507" spans="1:12" ht="15.75" x14ac:dyDescent="0.25">
      <c r="A507" s="33">
        <v>56369</v>
      </c>
      <c r="B507" s="14">
        <f>79.6255 * CHOOSE(CONTROL!$C$9, $D$9, 100%, $F$9) + CHOOSE(CONTROL!$C$27, 0.0021, 0)</f>
        <v>79.627600000000001</v>
      </c>
      <c r="C507" s="14">
        <f>79.1933 * CHOOSE(CONTROL!$C$9, $D$9, 100%, $F$9) + CHOOSE(CONTROL!$C$27, 0.0021, 0)</f>
        <v>79.195399999999992</v>
      </c>
      <c r="D507" s="14">
        <f>79.1933 * CHOOSE(CONTROL!$C$9, $D$9, 100%, $F$9) + CHOOSE(CONTROL!$C$27, 0.0021, 0)</f>
        <v>79.195399999999992</v>
      </c>
      <c r="E507" s="14">
        <f>79.0566 * CHOOSE(CONTROL!$C$9, $D$9, 100%, $F$9) + CHOOSE(CONTROL!$C$27, 0.0021, 0)</f>
        <v>79.058700000000002</v>
      </c>
      <c r="F507" s="14">
        <f>79.0566 * CHOOSE(CONTROL!$C$9, $D$9, 100%, $F$9) + CHOOSE(CONTROL!$C$27, 0.0021, 0)</f>
        <v>79.058700000000002</v>
      </c>
      <c r="G507" s="14">
        <f>79.328 * CHOOSE(CONTROL!$C$9, $D$9, 100%, $F$9) + CHOOSE(CONTROL!$C$27, 0.0021, 0)</f>
        <v>79.330100000000002</v>
      </c>
      <c r="H507" s="14">
        <f>79.1933 * CHOOSE(CONTROL!$C$9, $D$9, 100%, $F$9) + CHOOSE(CONTROL!$C$27, 0.0021, 0)</f>
        <v>79.195399999999992</v>
      </c>
      <c r="I507" s="14">
        <f>79.1933 * CHOOSE(CONTROL!$C$9, $D$9, 100%, $F$9) + CHOOSE(CONTROL!$C$27, 0.0021, 0)</f>
        <v>79.195399999999992</v>
      </c>
      <c r="J507" s="14">
        <f>79.1933 * CHOOSE(CONTROL!$C$9, $D$9, 100%, $F$9) + CHOOSE(CONTROL!$C$27, 0.0021, 0)</f>
        <v>79.195399999999992</v>
      </c>
      <c r="K507" s="14">
        <f>79.1933 * CHOOSE(CONTROL!$C$9, $D$9, 100%, $F$9) + CHOOSE(CONTROL!$C$27, 0.0021, 0)</f>
        <v>79.195399999999992</v>
      </c>
      <c r="L507" s="14"/>
    </row>
    <row r="508" spans="1:12" ht="15.75" x14ac:dyDescent="0.25">
      <c r="A508" s="33">
        <v>56400</v>
      </c>
      <c r="B508" s="14">
        <f>81.2496 * CHOOSE(CONTROL!$C$9, $D$9, 100%, $F$9) + CHOOSE(CONTROL!$C$27, 0.0021, 0)</f>
        <v>81.2517</v>
      </c>
      <c r="C508" s="14">
        <f>80.8173 * CHOOSE(CONTROL!$C$9, $D$9, 100%, $F$9) + CHOOSE(CONTROL!$C$27, 0.0021, 0)</f>
        <v>80.819400000000002</v>
      </c>
      <c r="D508" s="14">
        <f>80.8173 * CHOOSE(CONTROL!$C$9, $D$9, 100%, $F$9) + CHOOSE(CONTROL!$C$27, 0.0021, 0)</f>
        <v>80.819400000000002</v>
      </c>
      <c r="E508" s="14">
        <f>80.6807 * CHOOSE(CONTROL!$C$9, $D$9, 100%, $F$9) + CHOOSE(CONTROL!$C$27, 0.0021, 0)</f>
        <v>80.6828</v>
      </c>
      <c r="F508" s="14">
        <f>80.6807 * CHOOSE(CONTROL!$C$9, $D$9, 100%, $F$9) + CHOOSE(CONTROL!$C$27, 0.0021, 0)</f>
        <v>80.6828</v>
      </c>
      <c r="G508" s="14">
        <f>80.952 * CHOOSE(CONTROL!$C$9, $D$9, 100%, $F$9) + CHOOSE(CONTROL!$C$27, 0.0021, 0)</f>
        <v>80.954099999999997</v>
      </c>
      <c r="H508" s="14">
        <f>80.8173 * CHOOSE(CONTROL!$C$9, $D$9, 100%, $F$9) + CHOOSE(CONTROL!$C$27, 0.0021, 0)</f>
        <v>80.819400000000002</v>
      </c>
      <c r="I508" s="14">
        <f>80.8173 * CHOOSE(CONTROL!$C$9, $D$9, 100%, $F$9) + CHOOSE(CONTROL!$C$27, 0.0021, 0)</f>
        <v>80.819400000000002</v>
      </c>
      <c r="J508" s="14">
        <f>80.8173 * CHOOSE(CONTROL!$C$9, $D$9, 100%, $F$9) + CHOOSE(CONTROL!$C$27, 0.0021, 0)</f>
        <v>80.819400000000002</v>
      </c>
      <c r="K508" s="14">
        <f>80.8173 * CHOOSE(CONTROL!$C$9, $D$9, 100%, $F$9) + CHOOSE(CONTROL!$C$27, 0.0021, 0)</f>
        <v>80.819400000000002</v>
      </c>
      <c r="L508" s="14"/>
    </row>
    <row r="509" spans="1:12" ht="15.75" x14ac:dyDescent="0.25">
      <c r="A509" s="33">
        <v>56430</v>
      </c>
      <c r="B509" s="14">
        <f>82.2223 * CHOOSE(CONTROL!$C$9, $D$9, 100%, $F$9) + CHOOSE(CONTROL!$C$27, 0.0021, 0)</f>
        <v>82.224400000000003</v>
      </c>
      <c r="C509" s="14">
        <f>81.7901 * CHOOSE(CONTROL!$C$9, $D$9, 100%, $F$9) + CHOOSE(CONTROL!$C$27, 0.0021, 0)</f>
        <v>81.792199999999994</v>
      </c>
      <c r="D509" s="14">
        <f>81.7901 * CHOOSE(CONTROL!$C$9, $D$9, 100%, $F$9) + CHOOSE(CONTROL!$C$27, 0.0021, 0)</f>
        <v>81.792199999999994</v>
      </c>
      <c r="E509" s="14">
        <f>81.6534 * CHOOSE(CONTROL!$C$9, $D$9, 100%, $F$9) + CHOOSE(CONTROL!$C$27, 0.0021, 0)</f>
        <v>81.655500000000004</v>
      </c>
      <c r="F509" s="14">
        <f>81.6534 * CHOOSE(CONTROL!$C$9, $D$9, 100%, $F$9) + CHOOSE(CONTROL!$C$27, 0.0021, 0)</f>
        <v>81.655500000000004</v>
      </c>
      <c r="G509" s="14">
        <f>81.9248 * CHOOSE(CONTROL!$C$9, $D$9, 100%, $F$9) + CHOOSE(CONTROL!$C$27, 0.0021, 0)</f>
        <v>81.926900000000003</v>
      </c>
      <c r="H509" s="14">
        <f>81.7901 * CHOOSE(CONTROL!$C$9, $D$9, 100%, $F$9) + CHOOSE(CONTROL!$C$27, 0.0021, 0)</f>
        <v>81.792199999999994</v>
      </c>
      <c r="I509" s="14">
        <f>81.7901 * CHOOSE(CONTROL!$C$9, $D$9, 100%, $F$9) + CHOOSE(CONTROL!$C$27, 0.0021, 0)</f>
        <v>81.792199999999994</v>
      </c>
      <c r="J509" s="14">
        <f>81.7901 * CHOOSE(CONTROL!$C$9, $D$9, 100%, $F$9) + CHOOSE(CONTROL!$C$27, 0.0021, 0)</f>
        <v>81.792199999999994</v>
      </c>
      <c r="K509" s="14">
        <f>81.7901 * CHOOSE(CONTROL!$C$9, $D$9, 100%, $F$9) + CHOOSE(CONTROL!$C$27, 0.0021, 0)</f>
        <v>81.792199999999994</v>
      </c>
      <c r="L509" s="14"/>
    </row>
    <row r="510" spans="1:12" ht="15.75" x14ac:dyDescent="0.25">
      <c r="A510" s="33">
        <v>56461</v>
      </c>
      <c r="B510" s="14">
        <f>83.827 * CHOOSE(CONTROL!$C$9, $D$9, 100%, $F$9) + CHOOSE(CONTROL!$C$27, 0.0021, 0)</f>
        <v>83.829099999999997</v>
      </c>
      <c r="C510" s="14">
        <f>83.3947 * CHOOSE(CONTROL!$C$9, $D$9, 100%, $F$9) + CHOOSE(CONTROL!$C$27, 0.0021, 0)</f>
        <v>83.396799999999999</v>
      </c>
      <c r="D510" s="14">
        <f>83.3947 * CHOOSE(CONTROL!$C$9, $D$9, 100%, $F$9) + CHOOSE(CONTROL!$C$27, 0.0021, 0)</f>
        <v>83.396799999999999</v>
      </c>
      <c r="E510" s="14">
        <f>83.258 * CHOOSE(CONTROL!$C$9, $D$9, 100%, $F$9) + CHOOSE(CONTROL!$C$27, 0.0021, 0)</f>
        <v>83.260099999999994</v>
      </c>
      <c r="F510" s="14">
        <f>83.258 * CHOOSE(CONTROL!$C$9, $D$9, 100%, $F$9) + CHOOSE(CONTROL!$C$27, 0.0021, 0)</f>
        <v>83.260099999999994</v>
      </c>
      <c r="G510" s="14">
        <f>83.5294 * CHOOSE(CONTROL!$C$9, $D$9, 100%, $F$9) + CHOOSE(CONTROL!$C$27, 0.0021, 0)</f>
        <v>83.531499999999994</v>
      </c>
      <c r="H510" s="14">
        <f>83.3947 * CHOOSE(CONTROL!$C$9, $D$9, 100%, $F$9) + CHOOSE(CONTROL!$C$27, 0.0021, 0)</f>
        <v>83.396799999999999</v>
      </c>
      <c r="I510" s="14">
        <f>83.3947 * CHOOSE(CONTROL!$C$9, $D$9, 100%, $F$9) + CHOOSE(CONTROL!$C$27, 0.0021, 0)</f>
        <v>83.396799999999999</v>
      </c>
      <c r="J510" s="14">
        <f>83.3947 * CHOOSE(CONTROL!$C$9, $D$9, 100%, $F$9) + CHOOSE(CONTROL!$C$27, 0.0021, 0)</f>
        <v>83.396799999999999</v>
      </c>
      <c r="K510" s="14">
        <f>83.3947 * CHOOSE(CONTROL!$C$9, $D$9, 100%, $F$9) + CHOOSE(CONTROL!$C$27, 0.0021, 0)</f>
        <v>83.396799999999999</v>
      </c>
      <c r="L510" s="14"/>
    </row>
    <row r="511" spans="1:12" ht="15.75" x14ac:dyDescent="0.25">
      <c r="A511" s="33">
        <v>56492</v>
      </c>
      <c r="B511" s="14">
        <f>84.3167 * CHOOSE(CONTROL!$C$9, $D$9, 100%, $F$9) + CHOOSE(CONTROL!$C$27, 0.0021, 0)</f>
        <v>84.318799999999996</v>
      </c>
      <c r="C511" s="14">
        <f>83.8845 * CHOOSE(CONTROL!$C$9, $D$9, 100%, $F$9) + CHOOSE(CONTROL!$C$27, 0.0021, 0)</f>
        <v>83.886600000000001</v>
      </c>
      <c r="D511" s="14">
        <f>83.8845 * CHOOSE(CONTROL!$C$9, $D$9, 100%, $F$9) + CHOOSE(CONTROL!$C$27, 0.0021, 0)</f>
        <v>83.886600000000001</v>
      </c>
      <c r="E511" s="14">
        <f>83.7478 * CHOOSE(CONTROL!$C$9, $D$9, 100%, $F$9) + CHOOSE(CONTROL!$C$27, 0.0021, 0)</f>
        <v>83.749899999999997</v>
      </c>
      <c r="F511" s="14">
        <f>83.7478 * CHOOSE(CONTROL!$C$9, $D$9, 100%, $F$9) + CHOOSE(CONTROL!$C$27, 0.0021, 0)</f>
        <v>83.749899999999997</v>
      </c>
      <c r="G511" s="14">
        <f>84.0192 * CHOOSE(CONTROL!$C$9, $D$9, 100%, $F$9) + CHOOSE(CONTROL!$C$27, 0.0021, 0)</f>
        <v>84.021299999999997</v>
      </c>
      <c r="H511" s="14">
        <f>83.8845 * CHOOSE(CONTROL!$C$9, $D$9, 100%, $F$9) + CHOOSE(CONTROL!$C$27, 0.0021, 0)</f>
        <v>83.886600000000001</v>
      </c>
      <c r="I511" s="14">
        <f>83.8845 * CHOOSE(CONTROL!$C$9, $D$9, 100%, $F$9) + CHOOSE(CONTROL!$C$27, 0.0021, 0)</f>
        <v>83.886600000000001</v>
      </c>
      <c r="J511" s="14">
        <f>83.8845 * CHOOSE(CONTROL!$C$9, $D$9, 100%, $F$9) + CHOOSE(CONTROL!$C$27, 0.0021, 0)</f>
        <v>83.886600000000001</v>
      </c>
      <c r="K511" s="14">
        <f>83.8845 * CHOOSE(CONTROL!$C$9, $D$9, 100%, $F$9) + CHOOSE(CONTROL!$C$27, 0.0021, 0)</f>
        <v>83.886600000000001</v>
      </c>
      <c r="L511" s="14"/>
    </row>
    <row r="512" spans="1:12" ht="15.75" x14ac:dyDescent="0.25">
      <c r="A512" s="33">
        <v>56522</v>
      </c>
      <c r="B512" s="14">
        <f>85.9847 * CHOOSE(CONTROL!$C$9, $D$9, 100%, $F$9) + CHOOSE(CONTROL!$C$27, 0.0021, 0)</f>
        <v>85.986800000000002</v>
      </c>
      <c r="C512" s="14">
        <f>85.5525 * CHOOSE(CONTROL!$C$9, $D$9, 100%, $F$9) + CHOOSE(CONTROL!$C$27, 0.0021, 0)</f>
        <v>85.554599999999994</v>
      </c>
      <c r="D512" s="14">
        <f>85.5525 * CHOOSE(CONTROL!$C$9, $D$9, 100%, $F$9) + CHOOSE(CONTROL!$C$27, 0.0021, 0)</f>
        <v>85.554599999999994</v>
      </c>
      <c r="E512" s="14">
        <f>85.4158 * CHOOSE(CONTROL!$C$9, $D$9, 100%, $F$9) + CHOOSE(CONTROL!$C$27, 0.0021, 0)</f>
        <v>85.417900000000003</v>
      </c>
      <c r="F512" s="14">
        <f>85.4158 * CHOOSE(CONTROL!$C$9, $D$9, 100%, $F$9) + CHOOSE(CONTROL!$C$27, 0.0021, 0)</f>
        <v>85.417900000000003</v>
      </c>
      <c r="G512" s="14">
        <f>85.6872 * CHOOSE(CONTROL!$C$9, $D$9, 100%, $F$9) + CHOOSE(CONTROL!$C$27, 0.0021, 0)</f>
        <v>85.689300000000003</v>
      </c>
      <c r="H512" s="14">
        <f>85.5525 * CHOOSE(CONTROL!$C$9, $D$9, 100%, $F$9) + CHOOSE(CONTROL!$C$27, 0.0021, 0)</f>
        <v>85.554599999999994</v>
      </c>
      <c r="I512" s="14">
        <f>85.5525 * CHOOSE(CONTROL!$C$9, $D$9, 100%, $F$9) + CHOOSE(CONTROL!$C$27, 0.0021, 0)</f>
        <v>85.554599999999994</v>
      </c>
      <c r="J512" s="14">
        <f>85.5525 * CHOOSE(CONTROL!$C$9, $D$9, 100%, $F$9) + CHOOSE(CONTROL!$C$27, 0.0021, 0)</f>
        <v>85.554599999999994</v>
      </c>
      <c r="K512" s="14">
        <f>85.5525 * CHOOSE(CONTROL!$C$9, $D$9, 100%, $F$9) + CHOOSE(CONTROL!$C$27, 0.0021, 0)</f>
        <v>85.554599999999994</v>
      </c>
      <c r="L512" s="14"/>
    </row>
    <row r="513" spans="1:12" ht="15.75" x14ac:dyDescent="0.25">
      <c r="A513" s="33">
        <v>56553</v>
      </c>
      <c r="B513" s="14">
        <f>88.0961 * CHOOSE(CONTROL!$C$9, $D$9, 100%, $F$9) + CHOOSE(CONTROL!$C$27, 0.0021, 0)</f>
        <v>88.098200000000006</v>
      </c>
      <c r="C513" s="14">
        <f>87.6638 * CHOOSE(CONTROL!$C$9, $D$9, 100%, $F$9) + CHOOSE(CONTROL!$C$27, 0.0021, 0)</f>
        <v>87.665899999999993</v>
      </c>
      <c r="D513" s="14">
        <f>87.6638 * CHOOSE(CONTROL!$C$9, $D$9, 100%, $F$9) + CHOOSE(CONTROL!$C$27, 0.0021, 0)</f>
        <v>87.665899999999993</v>
      </c>
      <c r="E513" s="14">
        <f>87.5272 * CHOOSE(CONTROL!$C$9, $D$9, 100%, $F$9) + CHOOSE(CONTROL!$C$27, 0.0021, 0)</f>
        <v>87.529299999999992</v>
      </c>
      <c r="F513" s="14">
        <f>87.5272 * CHOOSE(CONTROL!$C$9, $D$9, 100%, $F$9) + CHOOSE(CONTROL!$C$27, 0.0021, 0)</f>
        <v>87.529299999999992</v>
      </c>
      <c r="G513" s="14">
        <f>87.7985 * CHOOSE(CONTROL!$C$9, $D$9, 100%, $F$9) + CHOOSE(CONTROL!$C$27, 0.0021, 0)</f>
        <v>87.800600000000003</v>
      </c>
      <c r="H513" s="14">
        <f>87.6638 * CHOOSE(CONTROL!$C$9, $D$9, 100%, $F$9) + CHOOSE(CONTROL!$C$27, 0.0021, 0)</f>
        <v>87.665899999999993</v>
      </c>
      <c r="I513" s="14">
        <f>87.6638 * CHOOSE(CONTROL!$C$9, $D$9, 100%, $F$9) + CHOOSE(CONTROL!$C$27, 0.0021, 0)</f>
        <v>87.665899999999993</v>
      </c>
      <c r="J513" s="14">
        <f>87.6638 * CHOOSE(CONTROL!$C$9, $D$9, 100%, $F$9) + CHOOSE(CONTROL!$C$27, 0.0021, 0)</f>
        <v>87.665899999999993</v>
      </c>
      <c r="K513" s="14">
        <f>87.6638 * CHOOSE(CONTROL!$C$9, $D$9, 100%, $F$9) + CHOOSE(CONTROL!$C$27, 0.0021, 0)</f>
        <v>87.665899999999993</v>
      </c>
      <c r="L513" s="14"/>
    </row>
    <row r="514" spans="1:12" ht="15.75" x14ac:dyDescent="0.25">
      <c r="A514" s="33">
        <v>56583</v>
      </c>
      <c r="B514" s="14">
        <f>88.2943 * CHOOSE(CONTROL!$C$9, $D$9, 100%, $F$9) + CHOOSE(CONTROL!$C$27, 0.0021, 0)</f>
        <v>88.296400000000006</v>
      </c>
      <c r="C514" s="14">
        <f>87.862 * CHOOSE(CONTROL!$C$9, $D$9, 100%, $F$9) + CHOOSE(CONTROL!$C$27, 0.0021, 0)</f>
        <v>87.864099999999993</v>
      </c>
      <c r="D514" s="14">
        <f>87.862 * CHOOSE(CONTROL!$C$9, $D$9, 100%, $F$9) + CHOOSE(CONTROL!$C$27, 0.0021, 0)</f>
        <v>87.864099999999993</v>
      </c>
      <c r="E514" s="14">
        <f>87.7254 * CHOOSE(CONTROL!$C$9, $D$9, 100%, $F$9) + CHOOSE(CONTROL!$C$27, 0.0021, 0)</f>
        <v>87.727499999999992</v>
      </c>
      <c r="F514" s="14">
        <f>87.7254 * CHOOSE(CONTROL!$C$9, $D$9, 100%, $F$9) + CHOOSE(CONTROL!$C$27, 0.0021, 0)</f>
        <v>87.727499999999992</v>
      </c>
      <c r="G514" s="14">
        <f>87.9967 * CHOOSE(CONTROL!$C$9, $D$9, 100%, $F$9) + CHOOSE(CONTROL!$C$27, 0.0021, 0)</f>
        <v>87.998800000000003</v>
      </c>
      <c r="H514" s="14">
        <f>87.862 * CHOOSE(CONTROL!$C$9, $D$9, 100%, $F$9) + CHOOSE(CONTROL!$C$27, 0.0021, 0)</f>
        <v>87.864099999999993</v>
      </c>
      <c r="I514" s="14">
        <f>87.862 * CHOOSE(CONTROL!$C$9, $D$9, 100%, $F$9) + CHOOSE(CONTROL!$C$27, 0.0021, 0)</f>
        <v>87.864099999999993</v>
      </c>
      <c r="J514" s="14">
        <f>87.862 * CHOOSE(CONTROL!$C$9, $D$9, 100%, $F$9) + CHOOSE(CONTROL!$C$27, 0.0021, 0)</f>
        <v>87.864099999999993</v>
      </c>
      <c r="K514" s="14">
        <f>87.862 * CHOOSE(CONTROL!$C$9, $D$9, 100%, $F$9) + CHOOSE(CONTROL!$C$27, 0.0021, 0)</f>
        <v>87.864099999999993</v>
      </c>
      <c r="L514" s="14"/>
    </row>
    <row r="515" spans="1:12" ht="15.75" x14ac:dyDescent="0.25">
      <c r="A515" s="33">
        <v>56614</v>
      </c>
      <c r="B515" s="14">
        <f>86.608 * CHOOSE(CONTROL!$C$9, $D$9, 100%, $F$9) + CHOOSE(CONTROL!$C$27, 0.0021, 0)</f>
        <v>86.610100000000003</v>
      </c>
      <c r="C515" s="14">
        <f>86.1757 * CHOOSE(CONTROL!$C$9, $D$9, 100%, $F$9) + CHOOSE(CONTROL!$C$27, 0.0021, 0)</f>
        <v>86.177800000000005</v>
      </c>
      <c r="D515" s="14">
        <f>86.1757 * CHOOSE(CONTROL!$C$9, $D$9, 100%, $F$9) + CHOOSE(CONTROL!$C$27, 0.0021, 0)</f>
        <v>86.177800000000005</v>
      </c>
      <c r="E515" s="14">
        <f>86.0391 * CHOOSE(CONTROL!$C$9, $D$9, 100%, $F$9) + CHOOSE(CONTROL!$C$27, 0.0021, 0)</f>
        <v>86.041200000000003</v>
      </c>
      <c r="F515" s="14">
        <f>86.0391 * CHOOSE(CONTROL!$C$9, $D$9, 100%, $F$9) + CHOOSE(CONTROL!$C$27, 0.0021, 0)</f>
        <v>86.041200000000003</v>
      </c>
      <c r="G515" s="14">
        <f>86.3104 * CHOOSE(CONTROL!$C$9, $D$9, 100%, $F$9) + CHOOSE(CONTROL!$C$27, 0.0021, 0)</f>
        <v>86.3125</v>
      </c>
      <c r="H515" s="14">
        <f>86.1757 * CHOOSE(CONTROL!$C$9, $D$9, 100%, $F$9) + CHOOSE(CONTROL!$C$27, 0.0021, 0)</f>
        <v>86.177800000000005</v>
      </c>
      <c r="I515" s="14">
        <f>86.1757 * CHOOSE(CONTROL!$C$9, $D$9, 100%, $F$9) + CHOOSE(CONTROL!$C$27, 0.0021, 0)</f>
        <v>86.177800000000005</v>
      </c>
      <c r="J515" s="14">
        <f>86.1757 * CHOOSE(CONTROL!$C$9, $D$9, 100%, $F$9) + CHOOSE(CONTROL!$C$27, 0.0021, 0)</f>
        <v>86.177800000000005</v>
      </c>
      <c r="K515" s="14">
        <f>86.1757 * CHOOSE(CONTROL!$C$9, $D$9, 100%, $F$9) + CHOOSE(CONTROL!$C$27, 0.0021, 0)</f>
        <v>86.177800000000005</v>
      </c>
      <c r="L515" s="14"/>
    </row>
    <row r="516" spans="1:12" ht="15.75" x14ac:dyDescent="0.25">
      <c r="A516" s="32">
        <v>56645</v>
      </c>
      <c r="B516" s="14">
        <f>85.5421 * CHOOSE(CONTROL!$C$9, $D$9, 100%, $F$9) + CHOOSE(CONTROL!$C$27, 0.0021, 0)</f>
        <v>85.544200000000004</v>
      </c>
      <c r="C516" s="14">
        <f>85.1099 * CHOOSE(CONTROL!$C$9, $D$9, 100%, $F$9) + CHOOSE(CONTROL!$C$27, 0.0021, 0)</f>
        <v>85.111999999999995</v>
      </c>
      <c r="D516" s="14">
        <f>85.1099 * CHOOSE(CONTROL!$C$9, $D$9, 100%, $F$9) + CHOOSE(CONTROL!$C$27, 0.0021, 0)</f>
        <v>85.111999999999995</v>
      </c>
      <c r="E516" s="14">
        <f>84.9732 * CHOOSE(CONTROL!$C$9, $D$9, 100%, $F$9) + CHOOSE(CONTROL!$C$27, 0.0021, 0)</f>
        <v>84.975300000000004</v>
      </c>
      <c r="F516" s="14">
        <f>84.9732 * CHOOSE(CONTROL!$C$9, $D$9, 100%, $F$9) + CHOOSE(CONTROL!$C$27, 0.0021, 0)</f>
        <v>84.975300000000004</v>
      </c>
      <c r="G516" s="14">
        <f>85.2446 * CHOOSE(CONTROL!$C$9, $D$9, 100%, $F$9) + CHOOSE(CONTROL!$C$27, 0.0021, 0)</f>
        <v>85.246700000000004</v>
      </c>
      <c r="H516" s="14">
        <f>85.1099 * CHOOSE(CONTROL!$C$9, $D$9, 100%, $F$9) + CHOOSE(CONTROL!$C$27, 0.0021, 0)</f>
        <v>85.111999999999995</v>
      </c>
      <c r="I516" s="14">
        <f>85.1099 * CHOOSE(CONTROL!$C$9, $D$9, 100%, $F$9) + CHOOSE(CONTROL!$C$27, 0.0021, 0)</f>
        <v>85.111999999999995</v>
      </c>
      <c r="J516" s="14">
        <f>85.1099 * CHOOSE(CONTROL!$C$9, $D$9, 100%, $F$9) + CHOOSE(CONTROL!$C$27, 0.0021, 0)</f>
        <v>85.111999999999995</v>
      </c>
      <c r="K516" s="14">
        <f>85.1099 * CHOOSE(CONTROL!$C$9, $D$9, 100%, $F$9) + CHOOSE(CONTROL!$C$27, 0.0021, 0)</f>
        <v>85.111999999999995</v>
      </c>
      <c r="L516" s="14"/>
    </row>
    <row r="517" spans="1:12" ht="15.75" x14ac:dyDescent="0.25">
      <c r="A517" s="32">
        <v>56673</v>
      </c>
      <c r="B517" s="14">
        <f>83.1874 * CHOOSE(CONTROL!$C$9, $D$9, 100%, $F$9) + CHOOSE(CONTROL!$C$27, 0.0021, 0)</f>
        <v>83.189499999999995</v>
      </c>
      <c r="C517" s="14">
        <f>82.7551 * CHOOSE(CONTROL!$C$9, $D$9, 100%, $F$9) + CHOOSE(CONTROL!$C$27, 0.0021, 0)</f>
        <v>82.757199999999997</v>
      </c>
      <c r="D517" s="14">
        <f>82.7551 * CHOOSE(CONTROL!$C$9, $D$9, 100%, $F$9) + CHOOSE(CONTROL!$C$27, 0.0021, 0)</f>
        <v>82.757199999999997</v>
      </c>
      <c r="E517" s="14">
        <f>82.6185 * CHOOSE(CONTROL!$C$9, $D$9, 100%, $F$9) + CHOOSE(CONTROL!$C$27, 0.0021, 0)</f>
        <v>82.620599999999996</v>
      </c>
      <c r="F517" s="14">
        <f>82.6185 * CHOOSE(CONTROL!$C$9, $D$9, 100%, $F$9) + CHOOSE(CONTROL!$C$27, 0.0021, 0)</f>
        <v>82.620599999999996</v>
      </c>
      <c r="G517" s="14">
        <f>82.8899 * CHOOSE(CONTROL!$C$9, $D$9, 100%, $F$9) + CHOOSE(CONTROL!$C$27, 0.0021, 0)</f>
        <v>82.891999999999996</v>
      </c>
      <c r="H517" s="14">
        <f>82.7551 * CHOOSE(CONTROL!$C$9, $D$9, 100%, $F$9) + CHOOSE(CONTROL!$C$27, 0.0021, 0)</f>
        <v>82.757199999999997</v>
      </c>
      <c r="I517" s="14">
        <f>82.7551 * CHOOSE(CONTROL!$C$9, $D$9, 100%, $F$9) + CHOOSE(CONTROL!$C$27, 0.0021, 0)</f>
        <v>82.757199999999997</v>
      </c>
      <c r="J517" s="14">
        <f>82.7551 * CHOOSE(CONTROL!$C$9, $D$9, 100%, $F$9) + CHOOSE(CONTROL!$C$27, 0.0021, 0)</f>
        <v>82.757199999999997</v>
      </c>
      <c r="K517" s="14">
        <f>82.7551 * CHOOSE(CONTROL!$C$9, $D$9, 100%, $F$9) + CHOOSE(CONTROL!$C$27, 0.0021, 0)</f>
        <v>82.757199999999997</v>
      </c>
      <c r="L517" s="14"/>
    </row>
    <row r="518" spans="1:12" ht="15.75" x14ac:dyDescent="0.25">
      <c r="A518" s="32">
        <v>56704</v>
      </c>
      <c r="B518" s="14">
        <f>82.2154 * CHOOSE(CONTROL!$C$9, $D$9, 100%, $F$9) + CHOOSE(CONTROL!$C$27, 0.0021, 0)</f>
        <v>82.217500000000001</v>
      </c>
      <c r="C518" s="14">
        <f>81.7831 * CHOOSE(CONTROL!$C$9, $D$9, 100%, $F$9) + CHOOSE(CONTROL!$C$27, 0.0021, 0)</f>
        <v>81.785200000000003</v>
      </c>
      <c r="D518" s="14">
        <f>81.7831 * CHOOSE(CONTROL!$C$9, $D$9, 100%, $F$9) + CHOOSE(CONTROL!$C$27, 0.0021, 0)</f>
        <v>81.785200000000003</v>
      </c>
      <c r="E518" s="14">
        <f>81.6464 * CHOOSE(CONTROL!$C$9, $D$9, 100%, $F$9) + CHOOSE(CONTROL!$C$27, 0.0021, 0)</f>
        <v>81.648499999999999</v>
      </c>
      <c r="F518" s="14">
        <f>81.6464 * CHOOSE(CONTROL!$C$9, $D$9, 100%, $F$9) + CHOOSE(CONTROL!$C$27, 0.0021, 0)</f>
        <v>81.648499999999999</v>
      </c>
      <c r="G518" s="14">
        <f>81.9178 * CHOOSE(CONTROL!$C$9, $D$9, 100%, $F$9) + CHOOSE(CONTROL!$C$27, 0.0021, 0)</f>
        <v>81.919899999999998</v>
      </c>
      <c r="H518" s="14">
        <f>81.7831 * CHOOSE(CONTROL!$C$9, $D$9, 100%, $F$9) + CHOOSE(CONTROL!$C$27, 0.0021, 0)</f>
        <v>81.785200000000003</v>
      </c>
      <c r="I518" s="14">
        <f>81.7831 * CHOOSE(CONTROL!$C$9, $D$9, 100%, $F$9) + CHOOSE(CONTROL!$C$27, 0.0021, 0)</f>
        <v>81.785200000000003</v>
      </c>
      <c r="J518" s="14">
        <f>81.7831 * CHOOSE(CONTROL!$C$9, $D$9, 100%, $F$9) + CHOOSE(CONTROL!$C$27, 0.0021, 0)</f>
        <v>81.785200000000003</v>
      </c>
      <c r="K518" s="14">
        <f>81.7831 * CHOOSE(CONTROL!$C$9, $D$9, 100%, $F$9) + CHOOSE(CONTROL!$C$27, 0.0021, 0)</f>
        <v>81.785200000000003</v>
      </c>
      <c r="L518" s="14"/>
    </row>
    <row r="519" spans="1:12" ht="15.75" x14ac:dyDescent="0.25">
      <c r="A519" s="32">
        <v>56734</v>
      </c>
      <c r="B519" s="14">
        <f>81.0547 * CHOOSE(CONTROL!$C$9, $D$9, 100%, $F$9) + CHOOSE(CONTROL!$C$27, 0.0021, 0)</f>
        <v>81.056799999999996</v>
      </c>
      <c r="C519" s="14">
        <f>80.6225 * CHOOSE(CONTROL!$C$9, $D$9, 100%, $F$9) + CHOOSE(CONTROL!$C$27, 0.0021, 0)</f>
        <v>80.624600000000001</v>
      </c>
      <c r="D519" s="14">
        <f>80.6225 * CHOOSE(CONTROL!$C$9, $D$9, 100%, $F$9) + CHOOSE(CONTROL!$C$27, 0.0021, 0)</f>
        <v>80.624600000000001</v>
      </c>
      <c r="E519" s="14">
        <f>80.4858 * CHOOSE(CONTROL!$C$9, $D$9, 100%, $F$9) + CHOOSE(CONTROL!$C$27, 0.0021, 0)</f>
        <v>80.487899999999996</v>
      </c>
      <c r="F519" s="14">
        <f>80.4858 * CHOOSE(CONTROL!$C$9, $D$9, 100%, $F$9) + CHOOSE(CONTROL!$C$27, 0.0021, 0)</f>
        <v>80.487899999999996</v>
      </c>
      <c r="G519" s="14">
        <f>80.7572 * CHOOSE(CONTROL!$C$9, $D$9, 100%, $F$9) + CHOOSE(CONTROL!$C$27, 0.0021, 0)</f>
        <v>80.759299999999996</v>
      </c>
      <c r="H519" s="14">
        <f>80.6225 * CHOOSE(CONTROL!$C$9, $D$9, 100%, $F$9) + CHOOSE(CONTROL!$C$27, 0.0021, 0)</f>
        <v>80.624600000000001</v>
      </c>
      <c r="I519" s="14">
        <f>80.6225 * CHOOSE(CONTROL!$C$9, $D$9, 100%, $F$9) + CHOOSE(CONTROL!$C$27, 0.0021, 0)</f>
        <v>80.624600000000001</v>
      </c>
      <c r="J519" s="14">
        <f>80.6225 * CHOOSE(CONTROL!$C$9, $D$9, 100%, $F$9) + CHOOSE(CONTROL!$C$27, 0.0021, 0)</f>
        <v>80.624600000000001</v>
      </c>
      <c r="K519" s="14">
        <f>80.6225 * CHOOSE(CONTROL!$C$9, $D$9, 100%, $F$9) + CHOOSE(CONTROL!$C$27, 0.0021, 0)</f>
        <v>80.624600000000001</v>
      </c>
      <c r="L519" s="14"/>
    </row>
    <row r="520" spans="1:12" ht="15.75" x14ac:dyDescent="0.25">
      <c r="A520" s="32">
        <v>56765</v>
      </c>
      <c r="B520" s="14">
        <f>82.7088 * CHOOSE(CONTROL!$C$9, $D$9, 100%, $F$9) + CHOOSE(CONTROL!$C$27, 0.0021, 0)</f>
        <v>82.710899999999995</v>
      </c>
      <c r="C520" s="14">
        <f>82.2765 * CHOOSE(CONTROL!$C$9, $D$9, 100%, $F$9) + CHOOSE(CONTROL!$C$27, 0.0021, 0)</f>
        <v>82.278599999999997</v>
      </c>
      <c r="D520" s="14">
        <f>82.2765 * CHOOSE(CONTROL!$C$9, $D$9, 100%, $F$9) + CHOOSE(CONTROL!$C$27, 0.0021, 0)</f>
        <v>82.278599999999997</v>
      </c>
      <c r="E520" s="14">
        <f>82.1399 * CHOOSE(CONTROL!$C$9, $D$9, 100%, $F$9) + CHOOSE(CONTROL!$C$27, 0.0021, 0)</f>
        <v>82.141999999999996</v>
      </c>
      <c r="F520" s="14">
        <f>82.1399 * CHOOSE(CONTROL!$C$9, $D$9, 100%, $F$9) + CHOOSE(CONTROL!$C$27, 0.0021, 0)</f>
        <v>82.141999999999996</v>
      </c>
      <c r="G520" s="14">
        <f>82.4112 * CHOOSE(CONTROL!$C$9, $D$9, 100%, $F$9) + CHOOSE(CONTROL!$C$27, 0.0021, 0)</f>
        <v>82.413299999999992</v>
      </c>
      <c r="H520" s="14">
        <f>82.2765 * CHOOSE(CONTROL!$C$9, $D$9, 100%, $F$9) + CHOOSE(CONTROL!$C$27, 0.0021, 0)</f>
        <v>82.278599999999997</v>
      </c>
      <c r="I520" s="14">
        <f>82.2765 * CHOOSE(CONTROL!$C$9, $D$9, 100%, $F$9) + CHOOSE(CONTROL!$C$27, 0.0021, 0)</f>
        <v>82.278599999999997</v>
      </c>
      <c r="J520" s="14">
        <f>82.2765 * CHOOSE(CONTROL!$C$9, $D$9, 100%, $F$9) + CHOOSE(CONTROL!$C$27, 0.0021, 0)</f>
        <v>82.278599999999997</v>
      </c>
      <c r="K520" s="14">
        <f>82.2765 * CHOOSE(CONTROL!$C$9, $D$9, 100%, $F$9) + CHOOSE(CONTROL!$C$27, 0.0021, 0)</f>
        <v>82.278599999999997</v>
      </c>
      <c r="L520" s="14"/>
    </row>
    <row r="521" spans="1:12" ht="15.75" x14ac:dyDescent="0.25">
      <c r="A521" s="32">
        <v>56795</v>
      </c>
      <c r="B521" s="14">
        <f>83.6995 * CHOOSE(CONTROL!$C$9, $D$9, 100%, $F$9) + CHOOSE(CONTROL!$C$27, 0.0021, 0)</f>
        <v>83.701599999999999</v>
      </c>
      <c r="C521" s="14">
        <f>83.2672 * CHOOSE(CONTROL!$C$9, $D$9, 100%, $F$9) + CHOOSE(CONTROL!$C$27, 0.0021, 0)</f>
        <v>83.269300000000001</v>
      </c>
      <c r="D521" s="14">
        <f>83.2672 * CHOOSE(CONTROL!$C$9, $D$9, 100%, $F$9) + CHOOSE(CONTROL!$C$27, 0.0021, 0)</f>
        <v>83.269300000000001</v>
      </c>
      <c r="E521" s="14">
        <f>83.1306 * CHOOSE(CONTROL!$C$9, $D$9, 100%, $F$9) + CHOOSE(CONTROL!$C$27, 0.0021, 0)</f>
        <v>83.1327</v>
      </c>
      <c r="F521" s="14">
        <f>83.1306 * CHOOSE(CONTROL!$C$9, $D$9, 100%, $F$9) + CHOOSE(CONTROL!$C$27, 0.0021, 0)</f>
        <v>83.1327</v>
      </c>
      <c r="G521" s="14">
        <f>83.4019 * CHOOSE(CONTROL!$C$9, $D$9, 100%, $F$9) + CHOOSE(CONTROL!$C$27, 0.0021, 0)</f>
        <v>83.403999999999996</v>
      </c>
      <c r="H521" s="14">
        <f>83.2672 * CHOOSE(CONTROL!$C$9, $D$9, 100%, $F$9) + CHOOSE(CONTROL!$C$27, 0.0021, 0)</f>
        <v>83.269300000000001</v>
      </c>
      <c r="I521" s="14">
        <f>83.2672 * CHOOSE(CONTROL!$C$9, $D$9, 100%, $F$9) + CHOOSE(CONTROL!$C$27, 0.0021, 0)</f>
        <v>83.269300000000001</v>
      </c>
      <c r="J521" s="14">
        <f>83.2672 * CHOOSE(CONTROL!$C$9, $D$9, 100%, $F$9) + CHOOSE(CONTROL!$C$27, 0.0021, 0)</f>
        <v>83.269300000000001</v>
      </c>
      <c r="K521" s="14">
        <f>83.2672 * CHOOSE(CONTROL!$C$9, $D$9, 100%, $F$9) + CHOOSE(CONTROL!$C$27, 0.0021, 0)</f>
        <v>83.269300000000001</v>
      </c>
      <c r="L521" s="14"/>
    </row>
    <row r="522" spans="1:12" ht="15.75" x14ac:dyDescent="0.25">
      <c r="A522" s="32">
        <v>56826</v>
      </c>
      <c r="B522" s="14">
        <f>85.3338 * CHOOSE(CONTROL!$C$9, $D$9, 100%, $F$9) + CHOOSE(CONTROL!$C$27, 0.0021, 0)</f>
        <v>85.335899999999995</v>
      </c>
      <c r="C522" s="14">
        <f>84.9015 * CHOOSE(CONTROL!$C$9, $D$9, 100%, $F$9) + CHOOSE(CONTROL!$C$27, 0.0021, 0)</f>
        <v>84.903599999999997</v>
      </c>
      <c r="D522" s="14">
        <f>84.9015 * CHOOSE(CONTROL!$C$9, $D$9, 100%, $F$9) + CHOOSE(CONTROL!$C$27, 0.0021, 0)</f>
        <v>84.903599999999997</v>
      </c>
      <c r="E522" s="14">
        <f>84.7649 * CHOOSE(CONTROL!$C$9, $D$9, 100%, $F$9) + CHOOSE(CONTROL!$C$27, 0.0021, 0)</f>
        <v>84.766999999999996</v>
      </c>
      <c r="F522" s="14">
        <f>84.7649 * CHOOSE(CONTROL!$C$9, $D$9, 100%, $F$9) + CHOOSE(CONTROL!$C$27, 0.0021, 0)</f>
        <v>84.766999999999996</v>
      </c>
      <c r="G522" s="14">
        <f>85.0362 * CHOOSE(CONTROL!$C$9, $D$9, 100%, $F$9) + CHOOSE(CONTROL!$C$27, 0.0021, 0)</f>
        <v>85.038299999999992</v>
      </c>
      <c r="H522" s="14">
        <f>84.9015 * CHOOSE(CONTROL!$C$9, $D$9, 100%, $F$9) + CHOOSE(CONTROL!$C$27, 0.0021, 0)</f>
        <v>84.903599999999997</v>
      </c>
      <c r="I522" s="14">
        <f>84.9015 * CHOOSE(CONTROL!$C$9, $D$9, 100%, $F$9) + CHOOSE(CONTROL!$C$27, 0.0021, 0)</f>
        <v>84.903599999999997</v>
      </c>
      <c r="J522" s="14">
        <f>84.9015 * CHOOSE(CONTROL!$C$9, $D$9, 100%, $F$9) + CHOOSE(CONTROL!$C$27, 0.0021, 0)</f>
        <v>84.903599999999997</v>
      </c>
      <c r="K522" s="14">
        <f>84.9015 * CHOOSE(CONTROL!$C$9, $D$9, 100%, $F$9) + CHOOSE(CONTROL!$C$27, 0.0021, 0)</f>
        <v>84.903599999999997</v>
      </c>
      <c r="L522" s="14"/>
    </row>
    <row r="523" spans="1:12" ht="15.75" x14ac:dyDescent="0.25">
      <c r="A523" s="32">
        <v>56857</v>
      </c>
      <c r="B523" s="14">
        <f>85.8326 * CHOOSE(CONTROL!$C$9, $D$9, 100%, $F$9) + CHOOSE(CONTROL!$C$27, 0.0021, 0)</f>
        <v>85.834699999999998</v>
      </c>
      <c r="C523" s="14">
        <f>85.4004 * CHOOSE(CONTROL!$C$9, $D$9, 100%, $F$9) + CHOOSE(CONTROL!$C$27, 0.0021, 0)</f>
        <v>85.402500000000003</v>
      </c>
      <c r="D523" s="14">
        <f>85.4004 * CHOOSE(CONTROL!$C$9, $D$9, 100%, $F$9) + CHOOSE(CONTROL!$C$27, 0.0021, 0)</f>
        <v>85.402500000000003</v>
      </c>
      <c r="E523" s="14">
        <f>85.2637 * CHOOSE(CONTROL!$C$9, $D$9, 100%, $F$9) + CHOOSE(CONTROL!$C$27, 0.0021, 0)</f>
        <v>85.265799999999999</v>
      </c>
      <c r="F523" s="14">
        <f>85.2637 * CHOOSE(CONTROL!$C$9, $D$9, 100%, $F$9) + CHOOSE(CONTROL!$C$27, 0.0021, 0)</f>
        <v>85.265799999999999</v>
      </c>
      <c r="G523" s="14">
        <f>85.5351 * CHOOSE(CONTROL!$C$9, $D$9, 100%, $F$9) + CHOOSE(CONTROL!$C$27, 0.0021, 0)</f>
        <v>85.537199999999999</v>
      </c>
      <c r="H523" s="14">
        <f>85.4004 * CHOOSE(CONTROL!$C$9, $D$9, 100%, $F$9) + CHOOSE(CONTROL!$C$27, 0.0021, 0)</f>
        <v>85.402500000000003</v>
      </c>
      <c r="I523" s="14">
        <f>85.4004 * CHOOSE(CONTROL!$C$9, $D$9, 100%, $F$9) + CHOOSE(CONTROL!$C$27, 0.0021, 0)</f>
        <v>85.402500000000003</v>
      </c>
      <c r="J523" s="14">
        <f>85.4004 * CHOOSE(CONTROL!$C$9, $D$9, 100%, $F$9) + CHOOSE(CONTROL!$C$27, 0.0021, 0)</f>
        <v>85.402500000000003</v>
      </c>
      <c r="K523" s="14">
        <f>85.4004 * CHOOSE(CONTROL!$C$9, $D$9, 100%, $F$9) + CHOOSE(CONTROL!$C$27, 0.0021, 0)</f>
        <v>85.402500000000003</v>
      </c>
      <c r="L523" s="14"/>
    </row>
    <row r="524" spans="1:12" ht="15.75" x14ac:dyDescent="0.25">
      <c r="A524" s="32">
        <v>56887</v>
      </c>
      <c r="B524" s="14">
        <f>87.5314 * CHOOSE(CONTROL!$C$9, $D$9, 100%, $F$9) + CHOOSE(CONTROL!$C$27, 0.0021, 0)</f>
        <v>87.533500000000004</v>
      </c>
      <c r="C524" s="14">
        <f>87.0992 * CHOOSE(CONTROL!$C$9, $D$9, 100%, $F$9) + CHOOSE(CONTROL!$C$27, 0.0021, 0)</f>
        <v>87.101299999999995</v>
      </c>
      <c r="D524" s="14">
        <f>87.0992 * CHOOSE(CONTROL!$C$9, $D$9, 100%, $F$9) + CHOOSE(CONTROL!$C$27, 0.0021, 0)</f>
        <v>87.101299999999995</v>
      </c>
      <c r="E524" s="14">
        <f>86.9625 * CHOOSE(CONTROL!$C$9, $D$9, 100%, $F$9) + CHOOSE(CONTROL!$C$27, 0.0021, 0)</f>
        <v>86.964600000000004</v>
      </c>
      <c r="F524" s="14">
        <f>86.9625 * CHOOSE(CONTROL!$C$9, $D$9, 100%, $F$9) + CHOOSE(CONTROL!$C$27, 0.0021, 0)</f>
        <v>86.964600000000004</v>
      </c>
      <c r="G524" s="14">
        <f>87.2339 * CHOOSE(CONTROL!$C$9, $D$9, 100%, $F$9) + CHOOSE(CONTROL!$C$27, 0.0021, 0)</f>
        <v>87.236000000000004</v>
      </c>
      <c r="H524" s="14">
        <f>87.0992 * CHOOSE(CONTROL!$C$9, $D$9, 100%, $F$9) + CHOOSE(CONTROL!$C$27, 0.0021, 0)</f>
        <v>87.101299999999995</v>
      </c>
      <c r="I524" s="14">
        <f>87.0992 * CHOOSE(CONTROL!$C$9, $D$9, 100%, $F$9) + CHOOSE(CONTROL!$C$27, 0.0021, 0)</f>
        <v>87.101299999999995</v>
      </c>
      <c r="J524" s="14">
        <f>87.0992 * CHOOSE(CONTROL!$C$9, $D$9, 100%, $F$9) + CHOOSE(CONTROL!$C$27, 0.0021, 0)</f>
        <v>87.101299999999995</v>
      </c>
      <c r="K524" s="14">
        <f>87.0992 * CHOOSE(CONTROL!$C$9, $D$9, 100%, $F$9) + CHOOSE(CONTROL!$C$27, 0.0021, 0)</f>
        <v>87.101299999999995</v>
      </c>
      <c r="L524" s="14"/>
    </row>
    <row r="525" spans="1:12" ht="15.75" x14ac:dyDescent="0.25">
      <c r="A525" s="32">
        <v>56918</v>
      </c>
      <c r="B525" s="14">
        <f>89.6818 * CHOOSE(CONTROL!$C$9, $D$9, 100%, $F$9) + CHOOSE(CONTROL!$C$27, 0.0021, 0)</f>
        <v>89.683899999999994</v>
      </c>
      <c r="C525" s="14">
        <f>89.2495 * CHOOSE(CONTROL!$C$9, $D$9, 100%, $F$9) + CHOOSE(CONTROL!$C$27, 0.0021, 0)</f>
        <v>89.251599999999996</v>
      </c>
      <c r="D525" s="14">
        <f>89.2495 * CHOOSE(CONTROL!$C$9, $D$9, 100%, $F$9) + CHOOSE(CONTROL!$C$27, 0.0021, 0)</f>
        <v>89.251599999999996</v>
      </c>
      <c r="E525" s="14">
        <f>89.1129 * CHOOSE(CONTROL!$C$9, $D$9, 100%, $F$9) + CHOOSE(CONTROL!$C$27, 0.0021, 0)</f>
        <v>89.114999999999995</v>
      </c>
      <c r="F525" s="14">
        <f>89.1129 * CHOOSE(CONTROL!$C$9, $D$9, 100%, $F$9) + CHOOSE(CONTROL!$C$27, 0.0021, 0)</f>
        <v>89.114999999999995</v>
      </c>
      <c r="G525" s="14">
        <f>89.3842 * CHOOSE(CONTROL!$C$9, $D$9, 100%, $F$9) + CHOOSE(CONTROL!$C$27, 0.0021, 0)</f>
        <v>89.386300000000006</v>
      </c>
      <c r="H525" s="14">
        <f>89.2495 * CHOOSE(CONTROL!$C$9, $D$9, 100%, $F$9) + CHOOSE(CONTROL!$C$27, 0.0021, 0)</f>
        <v>89.251599999999996</v>
      </c>
      <c r="I525" s="14">
        <f>89.2495 * CHOOSE(CONTROL!$C$9, $D$9, 100%, $F$9) + CHOOSE(CONTROL!$C$27, 0.0021, 0)</f>
        <v>89.251599999999996</v>
      </c>
      <c r="J525" s="14">
        <f>89.2495 * CHOOSE(CONTROL!$C$9, $D$9, 100%, $F$9) + CHOOSE(CONTROL!$C$27, 0.0021, 0)</f>
        <v>89.251599999999996</v>
      </c>
      <c r="K525" s="14">
        <f>89.2495 * CHOOSE(CONTROL!$C$9, $D$9, 100%, $F$9) + CHOOSE(CONTROL!$C$27, 0.0021, 0)</f>
        <v>89.251599999999996</v>
      </c>
      <c r="L525" s="14"/>
    </row>
    <row r="526" spans="1:12" ht="15.75" x14ac:dyDescent="0.25">
      <c r="A526" s="32">
        <v>56948</v>
      </c>
      <c r="B526" s="14">
        <f>89.8836 * CHOOSE(CONTROL!$C$9, $D$9, 100%, $F$9) + CHOOSE(CONTROL!$C$27, 0.0021, 0)</f>
        <v>89.8857</v>
      </c>
      <c r="C526" s="14">
        <f>89.4514 * CHOOSE(CONTROL!$C$9, $D$9, 100%, $F$9) + CHOOSE(CONTROL!$C$27, 0.0021, 0)</f>
        <v>89.453500000000005</v>
      </c>
      <c r="D526" s="14">
        <f>89.4514 * CHOOSE(CONTROL!$C$9, $D$9, 100%, $F$9) + CHOOSE(CONTROL!$C$27, 0.0021, 0)</f>
        <v>89.453500000000005</v>
      </c>
      <c r="E526" s="14">
        <f>89.3147 * CHOOSE(CONTROL!$C$9, $D$9, 100%, $F$9) + CHOOSE(CONTROL!$C$27, 0.0021, 0)</f>
        <v>89.316800000000001</v>
      </c>
      <c r="F526" s="14">
        <f>89.3147 * CHOOSE(CONTROL!$C$9, $D$9, 100%, $F$9) + CHOOSE(CONTROL!$C$27, 0.0021, 0)</f>
        <v>89.316800000000001</v>
      </c>
      <c r="G526" s="14">
        <f>89.5861 * CHOOSE(CONTROL!$C$9, $D$9, 100%, $F$9) + CHOOSE(CONTROL!$C$27, 0.0021, 0)</f>
        <v>89.588200000000001</v>
      </c>
      <c r="H526" s="14">
        <f>89.4514 * CHOOSE(CONTROL!$C$9, $D$9, 100%, $F$9) + CHOOSE(CONTROL!$C$27, 0.0021, 0)</f>
        <v>89.453500000000005</v>
      </c>
      <c r="I526" s="14">
        <f>89.4514 * CHOOSE(CONTROL!$C$9, $D$9, 100%, $F$9) + CHOOSE(CONTROL!$C$27, 0.0021, 0)</f>
        <v>89.453500000000005</v>
      </c>
      <c r="J526" s="14">
        <f>89.4514 * CHOOSE(CONTROL!$C$9, $D$9, 100%, $F$9) + CHOOSE(CONTROL!$C$27, 0.0021, 0)</f>
        <v>89.453500000000005</v>
      </c>
      <c r="K526" s="14">
        <f>89.4514 * CHOOSE(CONTROL!$C$9, $D$9, 100%, $F$9) + CHOOSE(CONTROL!$C$27, 0.0021, 0)</f>
        <v>89.453500000000005</v>
      </c>
      <c r="L526" s="14"/>
    </row>
    <row r="527" spans="1:12" ht="15.75" x14ac:dyDescent="0.25">
      <c r="A527" s="32">
        <v>56979</v>
      </c>
      <c r="B527" s="14">
        <f>88.1662 * CHOOSE(CONTROL!$C$9, $D$9, 100%, $F$9) + CHOOSE(CONTROL!$C$27, 0.0021, 0)</f>
        <v>88.168300000000002</v>
      </c>
      <c r="C527" s="14">
        <f>87.7339 * CHOOSE(CONTROL!$C$9, $D$9, 100%, $F$9) + CHOOSE(CONTROL!$C$27, 0.0021, 0)</f>
        <v>87.736000000000004</v>
      </c>
      <c r="D527" s="14">
        <f>87.7339 * CHOOSE(CONTROL!$C$9, $D$9, 100%, $F$9) + CHOOSE(CONTROL!$C$27, 0.0021, 0)</f>
        <v>87.736000000000004</v>
      </c>
      <c r="E527" s="14">
        <f>87.5973 * CHOOSE(CONTROL!$C$9, $D$9, 100%, $F$9) + CHOOSE(CONTROL!$C$27, 0.0021, 0)</f>
        <v>87.599400000000003</v>
      </c>
      <c r="F527" s="14">
        <f>87.5973 * CHOOSE(CONTROL!$C$9, $D$9, 100%, $F$9) + CHOOSE(CONTROL!$C$27, 0.0021, 0)</f>
        <v>87.599400000000003</v>
      </c>
      <c r="G527" s="14">
        <f>87.8687 * CHOOSE(CONTROL!$C$9, $D$9, 100%, $F$9) + CHOOSE(CONTROL!$C$27, 0.0021, 0)</f>
        <v>87.870800000000003</v>
      </c>
      <c r="H527" s="14">
        <f>87.7339 * CHOOSE(CONTROL!$C$9, $D$9, 100%, $F$9) + CHOOSE(CONTROL!$C$27, 0.0021, 0)</f>
        <v>87.736000000000004</v>
      </c>
      <c r="I527" s="14">
        <f>87.7339 * CHOOSE(CONTROL!$C$9, $D$9, 100%, $F$9) + CHOOSE(CONTROL!$C$27, 0.0021, 0)</f>
        <v>87.736000000000004</v>
      </c>
      <c r="J527" s="14">
        <f>87.7339 * CHOOSE(CONTROL!$C$9, $D$9, 100%, $F$9) + CHOOSE(CONTROL!$C$27, 0.0021, 0)</f>
        <v>87.736000000000004</v>
      </c>
      <c r="K527" s="14">
        <f>87.7339 * CHOOSE(CONTROL!$C$9, $D$9, 100%, $F$9) + CHOOSE(CONTROL!$C$27, 0.0021, 0)</f>
        <v>87.736000000000004</v>
      </c>
      <c r="L527" s="14"/>
    </row>
    <row r="528" spans="1:12" ht="15.75" x14ac:dyDescent="0.25">
      <c r="A528" s="32">
        <v>57010</v>
      </c>
      <c r="B528" s="14">
        <f>87.0807 * CHOOSE(CONTROL!$C$9, $D$9, 100%, $F$9) + CHOOSE(CONTROL!$C$27, 0.0021, 0)</f>
        <v>87.082799999999992</v>
      </c>
      <c r="C528" s="14">
        <f>86.6484 * CHOOSE(CONTROL!$C$9, $D$9, 100%, $F$9) + CHOOSE(CONTROL!$C$27, 0.0021, 0)</f>
        <v>86.650499999999994</v>
      </c>
      <c r="D528" s="14">
        <f>86.6484 * CHOOSE(CONTROL!$C$9, $D$9, 100%, $F$9) + CHOOSE(CONTROL!$C$27, 0.0021, 0)</f>
        <v>86.650499999999994</v>
      </c>
      <c r="E528" s="14">
        <f>86.5118 * CHOOSE(CONTROL!$C$9, $D$9, 100%, $F$9) + CHOOSE(CONTROL!$C$27, 0.0021, 0)</f>
        <v>86.513899999999992</v>
      </c>
      <c r="F528" s="14">
        <f>86.5118 * CHOOSE(CONTROL!$C$9, $D$9, 100%, $F$9) + CHOOSE(CONTROL!$C$27, 0.0021, 0)</f>
        <v>86.513899999999992</v>
      </c>
      <c r="G528" s="14">
        <f>86.7831 * CHOOSE(CONTROL!$C$9, $D$9, 100%, $F$9) + CHOOSE(CONTROL!$C$27, 0.0021, 0)</f>
        <v>86.785200000000003</v>
      </c>
      <c r="H528" s="14">
        <f>86.6484 * CHOOSE(CONTROL!$C$9, $D$9, 100%, $F$9) + CHOOSE(CONTROL!$C$27, 0.0021, 0)</f>
        <v>86.650499999999994</v>
      </c>
      <c r="I528" s="14">
        <f>86.6484 * CHOOSE(CONTROL!$C$9, $D$9, 100%, $F$9) + CHOOSE(CONTROL!$C$27, 0.0021, 0)</f>
        <v>86.650499999999994</v>
      </c>
      <c r="J528" s="14">
        <f>86.6484 * CHOOSE(CONTROL!$C$9, $D$9, 100%, $F$9) + CHOOSE(CONTROL!$C$27, 0.0021, 0)</f>
        <v>86.650499999999994</v>
      </c>
      <c r="K528" s="14">
        <f>86.6484 * CHOOSE(CONTROL!$C$9, $D$9, 100%, $F$9) + CHOOSE(CONTROL!$C$27, 0.0021, 0)</f>
        <v>86.650499999999994</v>
      </c>
      <c r="L528" s="14"/>
    </row>
    <row r="529" spans="1:12" ht="15.75" x14ac:dyDescent="0.25">
      <c r="A529" s="32">
        <v>57038</v>
      </c>
      <c r="B529" s="14">
        <f>84.6824 * CHOOSE(CONTROL!$C$9, $D$9, 100%, $F$9) + CHOOSE(CONTROL!$C$27, 0.0021, 0)</f>
        <v>84.6845</v>
      </c>
      <c r="C529" s="14">
        <f>84.2501 * CHOOSE(CONTROL!$C$9, $D$9, 100%, $F$9) + CHOOSE(CONTROL!$C$27, 0.0021, 0)</f>
        <v>84.252200000000002</v>
      </c>
      <c r="D529" s="14">
        <f>84.2501 * CHOOSE(CONTROL!$C$9, $D$9, 100%, $F$9) + CHOOSE(CONTROL!$C$27, 0.0021, 0)</f>
        <v>84.252200000000002</v>
      </c>
      <c r="E529" s="14">
        <f>84.1135 * CHOOSE(CONTROL!$C$9, $D$9, 100%, $F$9) + CHOOSE(CONTROL!$C$27, 0.0021, 0)</f>
        <v>84.115600000000001</v>
      </c>
      <c r="F529" s="14">
        <f>84.1135 * CHOOSE(CONTROL!$C$9, $D$9, 100%, $F$9) + CHOOSE(CONTROL!$C$27, 0.0021, 0)</f>
        <v>84.115600000000001</v>
      </c>
      <c r="G529" s="14">
        <f>84.3849 * CHOOSE(CONTROL!$C$9, $D$9, 100%, $F$9) + CHOOSE(CONTROL!$C$27, 0.0021, 0)</f>
        <v>84.387</v>
      </c>
      <c r="H529" s="14">
        <f>84.2501 * CHOOSE(CONTROL!$C$9, $D$9, 100%, $F$9) + CHOOSE(CONTROL!$C$27, 0.0021, 0)</f>
        <v>84.252200000000002</v>
      </c>
      <c r="I529" s="14">
        <f>84.2501 * CHOOSE(CONTROL!$C$9, $D$9, 100%, $F$9) + CHOOSE(CONTROL!$C$27, 0.0021, 0)</f>
        <v>84.252200000000002</v>
      </c>
      <c r="J529" s="14">
        <f>84.2501 * CHOOSE(CONTROL!$C$9, $D$9, 100%, $F$9) + CHOOSE(CONTROL!$C$27, 0.0021, 0)</f>
        <v>84.252200000000002</v>
      </c>
      <c r="K529" s="14">
        <f>84.2501 * CHOOSE(CONTROL!$C$9, $D$9, 100%, $F$9) + CHOOSE(CONTROL!$C$27, 0.0021, 0)</f>
        <v>84.252200000000002</v>
      </c>
      <c r="L529" s="14"/>
    </row>
    <row r="530" spans="1:12" ht="15.75" x14ac:dyDescent="0.25">
      <c r="A530" s="32">
        <v>57070</v>
      </c>
      <c r="B530" s="14">
        <f>83.6924 * CHOOSE(CONTROL!$C$9, $D$9, 100%, $F$9) + CHOOSE(CONTROL!$C$27, 0.0021, 0)</f>
        <v>83.694500000000005</v>
      </c>
      <c r="C530" s="14">
        <f>83.2601 * CHOOSE(CONTROL!$C$9, $D$9, 100%, $F$9) + CHOOSE(CONTROL!$C$27, 0.0021, 0)</f>
        <v>83.262199999999993</v>
      </c>
      <c r="D530" s="14">
        <f>83.2601 * CHOOSE(CONTROL!$C$9, $D$9, 100%, $F$9) + CHOOSE(CONTROL!$C$27, 0.0021, 0)</f>
        <v>83.262199999999993</v>
      </c>
      <c r="E530" s="14">
        <f>83.1235 * CHOOSE(CONTROL!$C$9, $D$9, 100%, $F$9) + CHOOSE(CONTROL!$C$27, 0.0021, 0)</f>
        <v>83.125600000000006</v>
      </c>
      <c r="F530" s="14">
        <f>83.1235 * CHOOSE(CONTROL!$C$9, $D$9, 100%, $F$9) + CHOOSE(CONTROL!$C$27, 0.0021, 0)</f>
        <v>83.125600000000006</v>
      </c>
      <c r="G530" s="14">
        <f>83.3949 * CHOOSE(CONTROL!$C$9, $D$9, 100%, $F$9) + CHOOSE(CONTROL!$C$27, 0.0021, 0)</f>
        <v>83.397000000000006</v>
      </c>
      <c r="H530" s="14">
        <f>83.2601 * CHOOSE(CONTROL!$C$9, $D$9, 100%, $F$9) + CHOOSE(CONTROL!$C$27, 0.0021, 0)</f>
        <v>83.262199999999993</v>
      </c>
      <c r="I530" s="14">
        <f>83.2601 * CHOOSE(CONTROL!$C$9, $D$9, 100%, $F$9) + CHOOSE(CONTROL!$C$27, 0.0021, 0)</f>
        <v>83.262199999999993</v>
      </c>
      <c r="J530" s="14">
        <f>83.2601 * CHOOSE(CONTROL!$C$9, $D$9, 100%, $F$9) + CHOOSE(CONTROL!$C$27, 0.0021, 0)</f>
        <v>83.262199999999993</v>
      </c>
      <c r="K530" s="14">
        <f>83.2601 * CHOOSE(CONTROL!$C$9, $D$9, 100%, $F$9) + CHOOSE(CONTROL!$C$27, 0.0021, 0)</f>
        <v>83.262199999999993</v>
      </c>
      <c r="L530" s="14"/>
    </row>
    <row r="531" spans="1:12" ht="15.75" x14ac:dyDescent="0.25">
      <c r="A531" s="32">
        <v>57100</v>
      </c>
      <c r="B531" s="14">
        <f>82.5103 * CHOOSE(CONTROL!$C$9, $D$9, 100%, $F$9) + CHOOSE(CONTROL!$C$27, 0.0021, 0)</f>
        <v>82.5124</v>
      </c>
      <c r="C531" s="14">
        <f>82.0781 * CHOOSE(CONTROL!$C$9, $D$9, 100%, $F$9) + CHOOSE(CONTROL!$C$27, 0.0021, 0)</f>
        <v>82.080200000000005</v>
      </c>
      <c r="D531" s="14">
        <f>82.0781 * CHOOSE(CONTROL!$C$9, $D$9, 100%, $F$9) + CHOOSE(CONTROL!$C$27, 0.0021, 0)</f>
        <v>82.080200000000005</v>
      </c>
      <c r="E531" s="14">
        <f>81.9414 * CHOOSE(CONTROL!$C$9, $D$9, 100%, $F$9) + CHOOSE(CONTROL!$C$27, 0.0021, 0)</f>
        <v>81.9435</v>
      </c>
      <c r="F531" s="14">
        <f>81.9414 * CHOOSE(CONTROL!$C$9, $D$9, 100%, $F$9) + CHOOSE(CONTROL!$C$27, 0.0021, 0)</f>
        <v>81.9435</v>
      </c>
      <c r="G531" s="14">
        <f>82.2128 * CHOOSE(CONTROL!$C$9, $D$9, 100%, $F$9) + CHOOSE(CONTROL!$C$27, 0.0021, 0)</f>
        <v>82.2149</v>
      </c>
      <c r="H531" s="14">
        <f>82.0781 * CHOOSE(CONTROL!$C$9, $D$9, 100%, $F$9) + CHOOSE(CONTROL!$C$27, 0.0021, 0)</f>
        <v>82.080200000000005</v>
      </c>
      <c r="I531" s="14">
        <f>82.0781 * CHOOSE(CONTROL!$C$9, $D$9, 100%, $F$9) + CHOOSE(CONTROL!$C$27, 0.0021, 0)</f>
        <v>82.080200000000005</v>
      </c>
      <c r="J531" s="14">
        <f>82.0781 * CHOOSE(CONTROL!$C$9, $D$9, 100%, $F$9) + CHOOSE(CONTROL!$C$27, 0.0021, 0)</f>
        <v>82.080200000000005</v>
      </c>
      <c r="K531" s="14">
        <f>82.0781 * CHOOSE(CONTROL!$C$9, $D$9, 100%, $F$9) + CHOOSE(CONTROL!$C$27, 0.0021, 0)</f>
        <v>82.080200000000005</v>
      </c>
      <c r="L531" s="14"/>
    </row>
    <row r="532" spans="1:12" ht="15.75" x14ac:dyDescent="0.25">
      <c r="A532" s="32">
        <v>57131</v>
      </c>
      <c r="B532" s="14">
        <f>84.1949 * CHOOSE(CONTROL!$C$9, $D$9, 100%, $F$9) + CHOOSE(CONTROL!$C$27, 0.0021, 0)</f>
        <v>84.197000000000003</v>
      </c>
      <c r="C532" s="14">
        <f>83.7627 * CHOOSE(CONTROL!$C$9, $D$9, 100%, $F$9) + CHOOSE(CONTROL!$C$27, 0.0021, 0)</f>
        <v>83.764799999999994</v>
      </c>
      <c r="D532" s="14">
        <f>83.7627 * CHOOSE(CONTROL!$C$9, $D$9, 100%, $F$9) + CHOOSE(CONTROL!$C$27, 0.0021, 0)</f>
        <v>83.764799999999994</v>
      </c>
      <c r="E532" s="14">
        <f>83.626 * CHOOSE(CONTROL!$C$9, $D$9, 100%, $F$9) + CHOOSE(CONTROL!$C$27, 0.0021, 0)</f>
        <v>83.628100000000003</v>
      </c>
      <c r="F532" s="14">
        <f>83.626 * CHOOSE(CONTROL!$C$9, $D$9, 100%, $F$9) + CHOOSE(CONTROL!$C$27, 0.0021, 0)</f>
        <v>83.628100000000003</v>
      </c>
      <c r="G532" s="14">
        <f>83.8974 * CHOOSE(CONTROL!$C$9, $D$9, 100%, $F$9) + CHOOSE(CONTROL!$C$27, 0.0021, 0)</f>
        <v>83.899500000000003</v>
      </c>
      <c r="H532" s="14">
        <f>83.7627 * CHOOSE(CONTROL!$C$9, $D$9, 100%, $F$9) + CHOOSE(CONTROL!$C$27, 0.0021, 0)</f>
        <v>83.764799999999994</v>
      </c>
      <c r="I532" s="14">
        <f>83.7627 * CHOOSE(CONTROL!$C$9, $D$9, 100%, $F$9) + CHOOSE(CONTROL!$C$27, 0.0021, 0)</f>
        <v>83.764799999999994</v>
      </c>
      <c r="J532" s="14">
        <f>83.7627 * CHOOSE(CONTROL!$C$9, $D$9, 100%, $F$9) + CHOOSE(CONTROL!$C$27, 0.0021, 0)</f>
        <v>83.764799999999994</v>
      </c>
      <c r="K532" s="14">
        <f>83.7627 * CHOOSE(CONTROL!$C$9, $D$9, 100%, $F$9) + CHOOSE(CONTROL!$C$27, 0.0021, 0)</f>
        <v>83.764799999999994</v>
      </c>
      <c r="L532" s="14"/>
    </row>
    <row r="533" spans="1:12" ht="15.75" x14ac:dyDescent="0.25">
      <c r="A533" s="32">
        <v>57161</v>
      </c>
      <c r="B533" s="14">
        <f>85.2039 * CHOOSE(CONTROL!$C$9, $D$9, 100%, $F$9) + CHOOSE(CONTROL!$C$27, 0.0021, 0)</f>
        <v>85.206000000000003</v>
      </c>
      <c r="C533" s="14">
        <f>84.7717 * CHOOSE(CONTROL!$C$9, $D$9, 100%, $F$9) + CHOOSE(CONTROL!$C$27, 0.0021, 0)</f>
        <v>84.773799999999994</v>
      </c>
      <c r="D533" s="14">
        <f>84.7717 * CHOOSE(CONTROL!$C$9, $D$9, 100%, $F$9) + CHOOSE(CONTROL!$C$27, 0.0021, 0)</f>
        <v>84.773799999999994</v>
      </c>
      <c r="E533" s="14">
        <f>84.635 * CHOOSE(CONTROL!$C$9, $D$9, 100%, $F$9) + CHOOSE(CONTROL!$C$27, 0.0021, 0)</f>
        <v>84.637100000000004</v>
      </c>
      <c r="F533" s="14">
        <f>84.635 * CHOOSE(CONTROL!$C$9, $D$9, 100%, $F$9) + CHOOSE(CONTROL!$C$27, 0.0021, 0)</f>
        <v>84.637100000000004</v>
      </c>
      <c r="G533" s="14">
        <f>84.9064 * CHOOSE(CONTROL!$C$9, $D$9, 100%, $F$9) + CHOOSE(CONTROL!$C$27, 0.0021, 0)</f>
        <v>84.908500000000004</v>
      </c>
      <c r="H533" s="14">
        <f>84.7717 * CHOOSE(CONTROL!$C$9, $D$9, 100%, $F$9) + CHOOSE(CONTROL!$C$27, 0.0021, 0)</f>
        <v>84.773799999999994</v>
      </c>
      <c r="I533" s="14">
        <f>84.7717 * CHOOSE(CONTROL!$C$9, $D$9, 100%, $F$9) + CHOOSE(CONTROL!$C$27, 0.0021, 0)</f>
        <v>84.773799999999994</v>
      </c>
      <c r="J533" s="14">
        <f>84.7717 * CHOOSE(CONTROL!$C$9, $D$9, 100%, $F$9) + CHOOSE(CONTROL!$C$27, 0.0021, 0)</f>
        <v>84.773799999999994</v>
      </c>
      <c r="K533" s="14">
        <f>84.7717 * CHOOSE(CONTROL!$C$9, $D$9, 100%, $F$9) + CHOOSE(CONTROL!$C$27, 0.0021, 0)</f>
        <v>84.773799999999994</v>
      </c>
      <c r="L533" s="14"/>
    </row>
    <row r="534" spans="1:12" ht="15.75" x14ac:dyDescent="0.25">
      <c r="A534" s="32">
        <v>57192</v>
      </c>
      <c r="B534" s="14">
        <f>86.8684 * CHOOSE(CONTROL!$C$9, $D$9, 100%, $F$9) + CHOOSE(CONTROL!$C$27, 0.0021, 0)</f>
        <v>86.870499999999993</v>
      </c>
      <c r="C534" s="14">
        <f>86.4362 * CHOOSE(CONTROL!$C$9, $D$9, 100%, $F$9) + CHOOSE(CONTROL!$C$27, 0.0021, 0)</f>
        <v>86.438299999999998</v>
      </c>
      <c r="D534" s="14">
        <f>86.4362 * CHOOSE(CONTROL!$C$9, $D$9, 100%, $F$9) + CHOOSE(CONTROL!$C$27, 0.0021, 0)</f>
        <v>86.438299999999998</v>
      </c>
      <c r="E534" s="14">
        <f>86.2995 * CHOOSE(CONTROL!$C$9, $D$9, 100%, $F$9) + CHOOSE(CONTROL!$C$27, 0.0021, 0)</f>
        <v>86.301599999999993</v>
      </c>
      <c r="F534" s="14">
        <f>86.2995 * CHOOSE(CONTROL!$C$9, $D$9, 100%, $F$9) + CHOOSE(CONTROL!$C$27, 0.0021, 0)</f>
        <v>86.301599999999993</v>
      </c>
      <c r="G534" s="14">
        <f>86.5709 * CHOOSE(CONTROL!$C$9, $D$9, 100%, $F$9) + CHOOSE(CONTROL!$C$27, 0.0021, 0)</f>
        <v>86.572999999999993</v>
      </c>
      <c r="H534" s="14">
        <f>86.4362 * CHOOSE(CONTROL!$C$9, $D$9, 100%, $F$9) + CHOOSE(CONTROL!$C$27, 0.0021, 0)</f>
        <v>86.438299999999998</v>
      </c>
      <c r="I534" s="14">
        <f>86.4362 * CHOOSE(CONTROL!$C$9, $D$9, 100%, $F$9) + CHOOSE(CONTROL!$C$27, 0.0021, 0)</f>
        <v>86.438299999999998</v>
      </c>
      <c r="J534" s="14">
        <f>86.4362 * CHOOSE(CONTROL!$C$9, $D$9, 100%, $F$9) + CHOOSE(CONTROL!$C$27, 0.0021, 0)</f>
        <v>86.438299999999998</v>
      </c>
      <c r="K534" s="14">
        <f>86.4362 * CHOOSE(CONTROL!$C$9, $D$9, 100%, $F$9) + CHOOSE(CONTROL!$C$27, 0.0021, 0)</f>
        <v>86.438299999999998</v>
      </c>
      <c r="L534" s="14"/>
    </row>
    <row r="535" spans="1:12" ht="15.75" x14ac:dyDescent="0.25">
      <c r="A535" s="32">
        <v>57223</v>
      </c>
      <c r="B535" s="14">
        <f>87.3765 * CHOOSE(CONTROL!$C$9, $D$9, 100%, $F$9) + CHOOSE(CONTROL!$C$27, 0.0021, 0)</f>
        <v>87.378599999999992</v>
      </c>
      <c r="C535" s="14">
        <f>86.9442 * CHOOSE(CONTROL!$C$9, $D$9, 100%, $F$9) + CHOOSE(CONTROL!$C$27, 0.0021, 0)</f>
        <v>86.946299999999994</v>
      </c>
      <c r="D535" s="14">
        <f>86.9442 * CHOOSE(CONTROL!$C$9, $D$9, 100%, $F$9) + CHOOSE(CONTROL!$C$27, 0.0021, 0)</f>
        <v>86.946299999999994</v>
      </c>
      <c r="E535" s="14">
        <f>86.8076 * CHOOSE(CONTROL!$C$9, $D$9, 100%, $F$9) + CHOOSE(CONTROL!$C$27, 0.0021, 0)</f>
        <v>86.809699999999992</v>
      </c>
      <c r="F535" s="14">
        <f>86.8076 * CHOOSE(CONTROL!$C$9, $D$9, 100%, $F$9) + CHOOSE(CONTROL!$C$27, 0.0021, 0)</f>
        <v>86.809699999999992</v>
      </c>
      <c r="G535" s="14">
        <f>87.079 * CHOOSE(CONTROL!$C$9, $D$9, 100%, $F$9) + CHOOSE(CONTROL!$C$27, 0.0021, 0)</f>
        <v>87.081099999999992</v>
      </c>
      <c r="H535" s="14">
        <f>86.9442 * CHOOSE(CONTROL!$C$9, $D$9, 100%, $F$9) + CHOOSE(CONTROL!$C$27, 0.0021, 0)</f>
        <v>86.946299999999994</v>
      </c>
      <c r="I535" s="14">
        <f>86.9442 * CHOOSE(CONTROL!$C$9, $D$9, 100%, $F$9) + CHOOSE(CONTROL!$C$27, 0.0021, 0)</f>
        <v>86.946299999999994</v>
      </c>
      <c r="J535" s="14">
        <f>86.9442 * CHOOSE(CONTROL!$C$9, $D$9, 100%, $F$9) + CHOOSE(CONTROL!$C$27, 0.0021, 0)</f>
        <v>86.946299999999994</v>
      </c>
      <c r="K535" s="14">
        <f>86.9442 * CHOOSE(CONTROL!$C$9, $D$9, 100%, $F$9) + CHOOSE(CONTROL!$C$27, 0.0021, 0)</f>
        <v>86.946299999999994</v>
      </c>
      <c r="L535" s="14"/>
    </row>
    <row r="536" spans="1:12" ht="15.75" x14ac:dyDescent="0.25">
      <c r="A536" s="32">
        <v>57253</v>
      </c>
      <c r="B536" s="14">
        <f>89.1067 * CHOOSE(CONTROL!$C$9, $D$9, 100%, $F$9) + CHOOSE(CONTROL!$C$27, 0.0021, 0)</f>
        <v>89.108800000000002</v>
      </c>
      <c r="C536" s="14">
        <f>88.6744 * CHOOSE(CONTROL!$C$9, $D$9, 100%, $F$9) + CHOOSE(CONTROL!$C$27, 0.0021, 0)</f>
        <v>88.676500000000004</v>
      </c>
      <c r="D536" s="14">
        <f>88.6744 * CHOOSE(CONTROL!$C$9, $D$9, 100%, $F$9) + CHOOSE(CONTROL!$C$27, 0.0021, 0)</f>
        <v>88.676500000000004</v>
      </c>
      <c r="E536" s="14">
        <f>88.5378 * CHOOSE(CONTROL!$C$9, $D$9, 100%, $F$9) + CHOOSE(CONTROL!$C$27, 0.0021, 0)</f>
        <v>88.539900000000003</v>
      </c>
      <c r="F536" s="14">
        <f>88.5378 * CHOOSE(CONTROL!$C$9, $D$9, 100%, $F$9) + CHOOSE(CONTROL!$C$27, 0.0021, 0)</f>
        <v>88.539900000000003</v>
      </c>
      <c r="G536" s="14">
        <f>88.8092 * CHOOSE(CONTROL!$C$9, $D$9, 100%, $F$9) + CHOOSE(CONTROL!$C$27, 0.0021, 0)</f>
        <v>88.811300000000003</v>
      </c>
      <c r="H536" s="14">
        <f>88.6744 * CHOOSE(CONTROL!$C$9, $D$9, 100%, $F$9) + CHOOSE(CONTROL!$C$27, 0.0021, 0)</f>
        <v>88.676500000000004</v>
      </c>
      <c r="I536" s="14">
        <f>88.6744 * CHOOSE(CONTROL!$C$9, $D$9, 100%, $F$9) + CHOOSE(CONTROL!$C$27, 0.0021, 0)</f>
        <v>88.676500000000004</v>
      </c>
      <c r="J536" s="14">
        <f>88.6744 * CHOOSE(CONTROL!$C$9, $D$9, 100%, $F$9) + CHOOSE(CONTROL!$C$27, 0.0021, 0)</f>
        <v>88.676500000000004</v>
      </c>
      <c r="K536" s="14">
        <f>88.6744 * CHOOSE(CONTROL!$C$9, $D$9, 100%, $F$9) + CHOOSE(CONTROL!$C$27, 0.0021, 0)</f>
        <v>88.676500000000004</v>
      </c>
      <c r="L536" s="14"/>
    </row>
    <row r="537" spans="1:12" ht="15.75" x14ac:dyDescent="0.25">
      <c r="A537" s="32">
        <v>57284</v>
      </c>
      <c r="B537" s="14">
        <f>91.2968 * CHOOSE(CONTROL!$C$9, $D$9, 100%, $F$9) + CHOOSE(CONTROL!$C$27, 0.0021, 0)</f>
        <v>91.298900000000003</v>
      </c>
      <c r="C537" s="14">
        <f>90.8645 * CHOOSE(CONTROL!$C$9, $D$9, 100%, $F$9) + CHOOSE(CONTROL!$C$27, 0.0021, 0)</f>
        <v>90.866600000000005</v>
      </c>
      <c r="D537" s="14">
        <f>90.8645 * CHOOSE(CONTROL!$C$9, $D$9, 100%, $F$9) + CHOOSE(CONTROL!$C$27, 0.0021, 0)</f>
        <v>90.866600000000005</v>
      </c>
      <c r="E537" s="14">
        <f>90.7279 * CHOOSE(CONTROL!$C$9, $D$9, 100%, $F$9) + CHOOSE(CONTROL!$C$27, 0.0021, 0)</f>
        <v>90.73</v>
      </c>
      <c r="F537" s="14">
        <f>90.7279 * CHOOSE(CONTROL!$C$9, $D$9, 100%, $F$9) + CHOOSE(CONTROL!$C$27, 0.0021, 0)</f>
        <v>90.73</v>
      </c>
      <c r="G537" s="14">
        <f>90.9993 * CHOOSE(CONTROL!$C$9, $D$9, 100%, $F$9) + CHOOSE(CONTROL!$C$27, 0.0021, 0)</f>
        <v>91.001400000000004</v>
      </c>
      <c r="H537" s="14">
        <f>90.8645 * CHOOSE(CONTROL!$C$9, $D$9, 100%, $F$9) + CHOOSE(CONTROL!$C$27, 0.0021, 0)</f>
        <v>90.866600000000005</v>
      </c>
      <c r="I537" s="14">
        <f>90.8645 * CHOOSE(CONTROL!$C$9, $D$9, 100%, $F$9) + CHOOSE(CONTROL!$C$27, 0.0021, 0)</f>
        <v>90.866600000000005</v>
      </c>
      <c r="J537" s="14">
        <f>90.8645 * CHOOSE(CONTROL!$C$9, $D$9, 100%, $F$9) + CHOOSE(CONTROL!$C$27, 0.0021, 0)</f>
        <v>90.866600000000005</v>
      </c>
      <c r="K537" s="14">
        <f>90.8645 * CHOOSE(CONTROL!$C$9, $D$9, 100%, $F$9) + CHOOSE(CONTROL!$C$27, 0.0021, 0)</f>
        <v>90.866600000000005</v>
      </c>
      <c r="L537" s="14"/>
    </row>
    <row r="538" spans="1:12" ht="15.75" x14ac:dyDescent="0.25">
      <c r="A538" s="32">
        <v>57314</v>
      </c>
      <c r="B538" s="14">
        <f>91.5024 * CHOOSE(CONTROL!$C$9, $D$9, 100%, $F$9) + CHOOSE(CONTROL!$C$27, 0.0021, 0)</f>
        <v>91.504499999999993</v>
      </c>
      <c r="C538" s="14">
        <f>91.0702 * CHOOSE(CONTROL!$C$9, $D$9, 100%, $F$9) + CHOOSE(CONTROL!$C$27, 0.0021, 0)</f>
        <v>91.072299999999998</v>
      </c>
      <c r="D538" s="14">
        <f>91.0702 * CHOOSE(CONTROL!$C$9, $D$9, 100%, $F$9) + CHOOSE(CONTROL!$C$27, 0.0021, 0)</f>
        <v>91.072299999999998</v>
      </c>
      <c r="E538" s="14">
        <f>90.9335 * CHOOSE(CONTROL!$C$9, $D$9, 100%, $F$9) + CHOOSE(CONTROL!$C$27, 0.0021, 0)</f>
        <v>90.935599999999994</v>
      </c>
      <c r="F538" s="14">
        <f>90.9335 * CHOOSE(CONTROL!$C$9, $D$9, 100%, $F$9) + CHOOSE(CONTROL!$C$27, 0.0021, 0)</f>
        <v>90.935599999999994</v>
      </c>
      <c r="G538" s="14">
        <f>91.2049 * CHOOSE(CONTROL!$C$9, $D$9, 100%, $F$9) + CHOOSE(CONTROL!$C$27, 0.0021, 0)</f>
        <v>91.206999999999994</v>
      </c>
      <c r="H538" s="14">
        <f>91.0702 * CHOOSE(CONTROL!$C$9, $D$9, 100%, $F$9) + CHOOSE(CONTROL!$C$27, 0.0021, 0)</f>
        <v>91.072299999999998</v>
      </c>
      <c r="I538" s="14">
        <f>91.0702 * CHOOSE(CONTROL!$C$9, $D$9, 100%, $F$9) + CHOOSE(CONTROL!$C$27, 0.0021, 0)</f>
        <v>91.072299999999998</v>
      </c>
      <c r="J538" s="14">
        <f>91.0702 * CHOOSE(CONTROL!$C$9, $D$9, 100%, $F$9) + CHOOSE(CONTROL!$C$27, 0.0021, 0)</f>
        <v>91.072299999999998</v>
      </c>
      <c r="K538" s="14">
        <f>91.0702 * CHOOSE(CONTROL!$C$9, $D$9, 100%, $F$9) + CHOOSE(CONTROL!$C$27, 0.0021, 0)</f>
        <v>91.072299999999998</v>
      </c>
      <c r="L538" s="14"/>
    </row>
    <row r="539" spans="1:12" ht="15.75" x14ac:dyDescent="0.25">
      <c r="A539" s="32">
        <v>57345</v>
      </c>
      <c r="B539" s="14">
        <f>89.7532 * CHOOSE(CONTROL!$C$9, $D$9, 100%, $F$9) + CHOOSE(CONTROL!$C$27, 0.0021, 0)</f>
        <v>89.755300000000005</v>
      </c>
      <c r="C539" s="14">
        <f>89.321 * CHOOSE(CONTROL!$C$9, $D$9, 100%, $F$9) + CHOOSE(CONTROL!$C$27, 0.0021, 0)</f>
        <v>89.323099999999997</v>
      </c>
      <c r="D539" s="14">
        <f>89.321 * CHOOSE(CONTROL!$C$9, $D$9, 100%, $F$9) + CHOOSE(CONTROL!$C$27, 0.0021, 0)</f>
        <v>89.323099999999997</v>
      </c>
      <c r="E539" s="14">
        <f>89.1843 * CHOOSE(CONTROL!$C$9, $D$9, 100%, $F$9) + CHOOSE(CONTROL!$C$27, 0.0021, 0)</f>
        <v>89.186399999999992</v>
      </c>
      <c r="F539" s="14">
        <f>89.1843 * CHOOSE(CONTROL!$C$9, $D$9, 100%, $F$9) + CHOOSE(CONTROL!$C$27, 0.0021, 0)</f>
        <v>89.186399999999992</v>
      </c>
      <c r="G539" s="14">
        <f>89.4557 * CHOOSE(CONTROL!$C$9, $D$9, 100%, $F$9) + CHOOSE(CONTROL!$C$27, 0.0021, 0)</f>
        <v>89.457799999999992</v>
      </c>
      <c r="H539" s="14">
        <f>89.321 * CHOOSE(CONTROL!$C$9, $D$9, 100%, $F$9) + CHOOSE(CONTROL!$C$27, 0.0021, 0)</f>
        <v>89.323099999999997</v>
      </c>
      <c r="I539" s="14">
        <f>89.321 * CHOOSE(CONTROL!$C$9, $D$9, 100%, $F$9) + CHOOSE(CONTROL!$C$27, 0.0021, 0)</f>
        <v>89.323099999999997</v>
      </c>
      <c r="J539" s="14">
        <f>89.321 * CHOOSE(CONTROL!$C$9, $D$9, 100%, $F$9) + CHOOSE(CONTROL!$C$27, 0.0021, 0)</f>
        <v>89.323099999999997</v>
      </c>
      <c r="K539" s="14">
        <f>89.321 * CHOOSE(CONTROL!$C$9, $D$9, 100%, $F$9) + CHOOSE(CONTROL!$C$27, 0.0021, 0)</f>
        <v>89.323099999999997</v>
      </c>
      <c r="L539" s="14"/>
    </row>
    <row r="540" spans="1:12" ht="15.75" x14ac:dyDescent="0.25">
      <c r="A540" s="32">
        <v>57376</v>
      </c>
      <c r="B540" s="14">
        <f>88.6476 * CHOOSE(CONTROL!$C$9, $D$9, 100%, $F$9) + CHOOSE(CONTROL!$C$27, 0.0021, 0)</f>
        <v>88.649699999999996</v>
      </c>
      <c r="C540" s="14">
        <f>88.2154 * CHOOSE(CONTROL!$C$9, $D$9, 100%, $F$9) + CHOOSE(CONTROL!$C$27, 0.0021, 0)</f>
        <v>88.217500000000001</v>
      </c>
      <c r="D540" s="14">
        <f>88.2154 * CHOOSE(CONTROL!$C$9, $D$9, 100%, $F$9) + CHOOSE(CONTROL!$C$27, 0.0021, 0)</f>
        <v>88.217500000000001</v>
      </c>
      <c r="E540" s="14">
        <f>88.0787 * CHOOSE(CONTROL!$C$9, $D$9, 100%, $F$9) + CHOOSE(CONTROL!$C$27, 0.0021, 0)</f>
        <v>88.080799999999996</v>
      </c>
      <c r="F540" s="14">
        <f>88.0787 * CHOOSE(CONTROL!$C$9, $D$9, 100%, $F$9) + CHOOSE(CONTROL!$C$27, 0.0021, 0)</f>
        <v>88.080799999999996</v>
      </c>
      <c r="G540" s="14">
        <f>88.3501 * CHOOSE(CONTROL!$C$9, $D$9, 100%, $F$9) + CHOOSE(CONTROL!$C$27, 0.0021, 0)</f>
        <v>88.352199999999996</v>
      </c>
      <c r="H540" s="14">
        <f>88.2154 * CHOOSE(CONTROL!$C$9, $D$9, 100%, $F$9) + CHOOSE(CONTROL!$C$27, 0.0021, 0)</f>
        <v>88.217500000000001</v>
      </c>
      <c r="I540" s="14">
        <f>88.2154 * CHOOSE(CONTROL!$C$9, $D$9, 100%, $F$9) + CHOOSE(CONTROL!$C$27, 0.0021, 0)</f>
        <v>88.217500000000001</v>
      </c>
      <c r="J540" s="14">
        <f>88.2154 * CHOOSE(CONTROL!$C$9, $D$9, 100%, $F$9) + CHOOSE(CONTROL!$C$27, 0.0021, 0)</f>
        <v>88.217500000000001</v>
      </c>
      <c r="K540" s="14">
        <f>88.2154 * CHOOSE(CONTROL!$C$9, $D$9, 100%, $F$9) + CHOOSE(CONTROL!$C$27, 0.0021, 0)</f>
        <v>88.217500000000001</v>
      </c>
      <c r="L540" s="14"/>
    </row>
    <row r="541" spans="1:12" ht="15.75" x14ac:dyDescent="0.25">
      <c r="A541" s="32">
        <v>57404</v>
      </c>
      <c r="B541" s="14">
        <f>86.205 * CHOOSE(CONTROL!$C$9, $D$9, 100%, $F$9) + CHOOSE(CONTROL!$C$27, 0.0021, 0)</f>
        <v>86.207099999999997</v>
      </c>
      <c r="C541" s="14">
        <f>85.7728 * CHOOSE(CONTROL!$C$9, $D$9, 100%, $F$9) + CHOOSE(CONTROL!$C$27, 0.0021, 0)</f>
        <v>85.774900000000002</v>
      </c>
      <c r="D541" s="14">
        <f>85.7728 * CHOOSE(CONTROL!$C$9, $D$9, 100%, $F$9) + CHOOSE(CONTROL!$C$27, 0.0021, 0)</f>
        <v>85.774900000000002</v>
      </c>
      <c r="E541" s="14">
        <f>85.6361 * CHOOSE(CONTROL!$C$9, $D$9, 100%, $F$9) + CHOOSE(CONTROL!$C$27, 0.0021, 0)</f>
        <v>85.638199999999998</v>
      </c>
      <c r="F541" s="14">
        <f>85.6361 * CHOOSE(CONTROL!$C$9, $D$9, 100%, $F$9) + CHOOSE(CONTROL!$C$27, 0.0021, 0)</f>
        <v>85.638199999999998</v>
      </c>
      <c r="G541" s="14">
        <f>85.9075 * CHOOSE(CONTROL!$C$9, $D$9, 100%, $F$9) + CHOOSE(CONTROL!$C$27, 0.0021, 0)</f>
        <v>85.909599999999998</v>
      </c>
      <c r="H541" s="14">
        <f>85.7728 * CHOOSE(CONTROL!$C$9, $D$9, 100%, $F$9) + CHOOSE(CONTROL!$C$27, 0.0021, 0)</f>
        <v>85.774900000000002</v>
      </c>
      <c r="I541" s="14">
        <f>85.7728 * CHOOSE(CONTROL!$C$9, $D$9, 100%, $F$9) + CHOOSE(CONTROL!$C$27, 0.0021, 0)</f>
        <v>85.774900000000002</v>
      </c>
      <c r="J541" s="14">
        <f>85.7728 * CHOOSE(CONTROL!$C$9, $D$9, 100%, $F$9) + CHOOSE(CONTROL!$C$27, 0.0021, 0)</f>
        <v>85.774900000000002</v>
      </c>
      <c r="K541" s="14">
        <f>85.7728 * CHOOSE(CONTROL!$C$9, $D$9, 100%, $F$9) + CHOOSE(CONTROL!$C$27, 0.0021, 0)</f>
        <v>85.774900000000002</v>
      </c>
      <c r="L541" s="14"/>
    </row>
    <row r="542" spans="1:12" ht="15.75" x14ac:dyDescent="0.25">
      <c r="A542" s="32">
        <v>57435</v>
      </c>
      <c r="B542" s="14">
        <f>85.1967 * CHOOSE(CONTROL!$C$9, $D$9, 100%, $F$9) + CHOOSE(CONTROL!$C$27, 0.0021, 0)</f>
        <v>85.198800000000006</v>
      </c>
      <c r="C542" s="14">
        <f>84.7645 * CHOOSE(CONTROL!$C$9, $D$9, 100%, $F$9) + CHOOSE(CONTROL!$C$27, 0.0021, 0)</f>
        <v>84.766599999999997</v>
      </c>
      <c r="D542" s="14">
        <f>84.7645 * CHOOSE(CONTROL!$C$9, $D$9, 100%, $F$9) + CHOOSE(CONTROL!$C$27, 0.0021, 0)</f>
        <v>84.766599999999997</v>
      </c>
      <c r="E542" s="14">
        <f>84.6278 * CHOOSE(CONTROL!$C$9, $D$9, 100%, $F$9) + CHOOSE(CONTROL!$C$27, 0.0021, 0)</f>
        <v>84.629899999999992</v>
      </c>
      <c r="F542" s="14">
        <f>84.6278 * CHOOSE(CONTROL!$C$9, $D$9, 100%, $F$9) + CHOOSE(CONTROL!$C$27, 0.0021, 0)</f>
        <v>84.629899999999992</v>
      </c>
      <c r="G542" s="14">
        <f>84.8992 * CHOOSE(CONTROL!$C$9, $D$9, 100%, $F$9) + CHOOSE(CONTROL!$C$27, 0.0021, 0)</f>
        <v>84.901299999999992</v>
      </c>
      <c r="H542" s="14">
        <f>84.7645 * CHOOSE(CONTROL!$C$9, $D$9, 100%, $F$9) + CHOOSE(CONTROL!$C$27, 0.0021, 0)</f>
        <v>84.766599999999997</v>
      </c>
      <c r="I542" s="14">
        <f>84.7645 * CHOOSE(CONTROL!$C$9, $D$9, 100%, $F$9) + CHOOSE(CONTROL!$C$27, 0.0021, 0)</f>
        <v>84.766599999999997</v>
      </c>
      <c r="J542" s="14">
        <f>84.7645 * CHOOSE(CONTROL!$C$9, $D$9, 100%, $F$9) + CHOOSE(CONTROL!$C$27, 0.0021, 0)</f>
        <v>84.766599999999997</v>
      </c>
      <c r="K542" s="14">
        <f>84.7645 * CHOOSE(CONTROL!$C$9, $D$9, 100%, $F$9) + CHOOSE(CONTROL!$C$27, 0.0021, 0)</f>
        <v>84.766599999999997</v>
      </c>
      <c r="L542" s="14"/>
    </row>
    <row r="543" spans="1:12" ht="15.75" x14ac:dyDescent="0.25">
      <c r="A543" s="32">
        <v>57465</v>
      </c>
      <c r="B543" s="14">
        <f>83.9928 * CHOOSE(CONTROL!$C$9, $D$9, 100%, $F$9) + CHOOSE(CONTROL!$C$27, 0.0021, 0)</f>
        <v>83.994900000000001</v>
      </c>
      <c r="C543" s="14">
        <f>83.5605 * CHOOSE(CONTROL!$C$9, $D$9, 100%, $F$9) + CHOOSE(CONTROL!$C$27, 0.0021, 0)</f>
        <v>83.562600000000003</v>
      </c>
      <c r="D543" s="14">
        <f>83.5605 * CHOOSE(CONTROL!$C$9, $D$9, 100%, $F$9) + CHOOSE(CONTROL!$C$27, 0.0021, 0)</f>
        <v>83.562600000000003</v>
      </c>
      <c r="E543" s="14">
        <f>83.4239 * CHOOSE(CONTROL!$C$9, $D$9, 100%, $F$9) + CHOOSE(CONTROL!$C$27, 0.0021, 0)</f>
        <v>83.426000000000002</v>
      </c>
      <c r="F543" s="14">
        <f>83.4239 * CHOOSE(CONTROL!$C$9, $D$9, 100%, $F$9) + CHOOSE(CONTROL!$C$27, 0.0021, 0)</f>
        <v>83.426000000000002</v>
      </c>
      <c r="G543" s="14">
        <f>83.6953 * CHOOSE(CONTROL!$C$9, $D$9, 100%, $F$9) + CHOOSE(CONTROL!$C$27, 0.0021, 0)</f>
        <v>83.697400000000002</v>
      </c>
      <c r="H543" s="14">
        <f>83.5605 * CHOOSE(CONTROL!$C$9, $D$9, 100%, $F$9) + CHOOSE(CONTROL!$C$27, 0.0021, 0)</f>
        <v>83.562600000000003</v>
      </c>
      <c r="I543" s="14">
        <f>83.5605 * CHOOSE(CONTROL!$C$9, $D$9, 100%, $F$9) + CHOOSE(CONTROL!$C$27, 0.0021, 0)</f>
        <v>83.562600000000003</v>
      </c>
      <c r="J543" s="14">
        <f>83.5605 * CHOOSE(CONTROL!$C$9, $D$9, 100%, $F$9) + CHOOSE(CONTROL!$C$27, 0.0021, 0)</f>
        <v>83.562600000000003</v>
      </c>
      <c r="K543" s="14">
        <f>83.5605 * CHOOSE(CONTROL!$C$9, $D$9, 100%, $F$9) + CHOOSE(CONTROL!$C$27, 0.0021, 0)</f>
        <v>83.562600000000003</v>
      </c>
      <c r="L543" s="14"/>
    </row>
    <row r="544" spans="1:12" ht="15.75" x14ac:dyDescent="0.25">
      <c r="A544" s="32">
        <v>57496</v>
      </c>
      <c r="B544" s="14">
        <f>85.7085 * CHOOSE(CONTROL!$C$9, $D$9, 100%, $F$9) + CHOOSE(CONTROL!$C$27, 0.0021, 0)</f>
        <v>85.710599999999999</v>
      </c>
      <c r="C544" s="14">
        <f>85.2763 * CHOOSE(CONTROL!$C$9, $D$9, 100%, $F$9) + CHOOSE(CONTROL!$C$27, 0.0021, 0)</f>
        <v>85.278400000000005</v>
      </c>
      <c r="D544" s="14">
        <f>85.2763 * CHOOSE(CONTROL!$C$9, $D$9, 100%, $F$9) + CHOOSE(CONTROL!$C$27, 0.0021, 0)</f>
        <v>85.278400000000005</v>
      </c>
      <c r="E544" s="14">
        <f>85.1396 * CHOOSE(CONTROL!$C$9, $D$9, 100%, $F$9) + CHOOSE(CONTROL!$C$27, 0.0021, 0)</f>
        <v>85.1417</v>
      </c>
      <c r="F544" s="14">
        <f>85.1396 * CHOOSE(CONTROL!$C$9, $D$9, 100%, $F$9) + CHOOSE(CONTROL!$C$27, 0.0021, 0)</f>
        <v>85.1417</v>
      </c>
      <c r="G544" s="14">
        <f>85.411 * CHOOSE(CONTROL!$C$9, $D$9, 100%, $F$9) + CHOOSE(CONTROL!$C$27, 0.0021, 0)</f>
        <v>85.4131</v>
      </c>
      <c r="H544" s="14">
        <f>85.2763 * CHOOSE(CONTROL!$C$9, $D$9, 100%, $F$9) + CHOOSE(CONTROL!$C$27, 0.0021, 0)</f>
        <v>85.278400000000005</v>
      </c>
      <c r="I544" s="14">
        <f>85.2763 * CHOOSE(CONTROL!$C$9, $D$9, 100%, $F$9) + CHOOSE(CONTROL!$C$27, 0.0021, 0)</f>
        <v>85.278400000000005</v>
      </c>
      <c r="J544" s="14">
        <f>85.2763 * CHOOSE(CONTROL!$C$9, $D$9, 100%, $F$9) + CHOOSE(CONTROL!$C$27, 0.0021, 0)</f>
        <v>85.278400000000005</v>
      </c>
      <c r="K544" s="14">
        <f>85.2763 * CHOOSE(CONTROL!$C$9, $D$9, 100%, $F$9) + CHOOSE(CONTROL!$C$27, 0.0021, 0)</f>
        <v>85.278400000000005</v>
      </c>
      <c r="L544" s="14"/>
    </row>
    <row r="545" spans="1:12" ht="15.75" x14ac:dyDescent="0.25">
      <c r="A545" s="32">
        <v>57526</v>
      </c>
      <c r="B545" s="14">
        <f>86.7362 * CHOOSE(CONTROL!$C$9, $D$9, 100%, $F$9) + CHOOSE(CONTROL!$C$27, 0.0021, 0)</f>
        <v>86.738299999999995</v>
      </c>
      <c r="C545" s="14">
        <f>86.304 * CHOOSE(CONTROL!$C$9, $D$9, 100%, $F$9) + CHOOSE(CONTROL!$C$27, 0.0021, 0)</f>
        <v>86.306100000000001</v>
      </c>
      <c r="D545" s="14">
        <f>86.304 * CHOOSE(CONTROL!$C$9, $D$9, 100%, $F$9) + CHOOSE(CONTROL!$C$27, 0.0021, 0)</f>
        <v>86.306100000000001</v>
      </c>
      <c r="E545" s="14">
        <f>86.1673 * CHOOSE(CONTROL!$C$9, $D$9, 100%, $F$9) + CHOOSE(CONTROL!$C$27, 0.0021, 0)</f>
        <v>86.169399999999996</v>
      </c>
      <c r="F545" s="14">
        <f>86.1673 * CHOOSE(CONTROL!$C$9, $D$9, 100%, $F$9) + CHOOSE(CONTROL!$C$27, 0.0021, 0)</f>
        <v>86.169399999999996</v>
      </c>
      <c r="G545" s="14">
        <f>86.4387 * CHOOSE(CONTROL!$C$9, $D$9, 100%, $F$9) + CHOOSE(CONTROL!$C$27, 0.0021, 0)</f>
        <v>86.440799999999996</v>
      </c>
      <c r="H545" s="14">
        <f>86.304 * CHOOSE(CONTROL!$C$9, $D$9, 100%, $F$9) + CHOOSE(CONTROL!$C$27, 0.0021, 0)</f>
        <v>86.306100000000001</v>
      </c>
      <c r="I545" s="14">
        <f>86.304 * CHOOSE(CONTROL!$C$9, $D$9, 100%, $F$9) + CHOOSE(CONTROL!$C$27, 0.0021, 0)</f>
        <v>86.306100000000001</v>
      </c>
      <c r="J545" s="14">
        <f>86.304 * CHOOSE(CONTROL!$C$9, $D$9, 100%, $F$9) + CHOOSE(CONTROL!$C$27, 0.0021, 0)</f>
        <v>86.306100000000001</v>
      </c>
      <c r="K545" s="14">
        <f>86.304 * CHOOSE(CONTROL!$C$9, $D$9, 100%, $F$9) + CHOOSE(CONTROL!$C$27, 0.0021, 0)</f>
        <v>86.306100000000001</v>
      </c>
      <c r="L545" s="14"/>
    </row>
    <row r="546" spans="1:12" ht="15.75" x14ac:dyDescent="0.25">
      <c r="A546" s="32">
        <v>57557</v>
      </c>
      <c r="B546" s="14">
        <f>88.4315 * CHOOSE(CONTROL!$C$9, $D$9, 100%, $F$9) + CHOOSE(CONTROL!$C$27, 0.0021, 0)</f>
        <v>88.433599999999998</v>
      </c>
      <c r="C546" s="14">
        <f>87.9992 * CHOOSE(CONTROL!$C$9, $D$9, 100%, $F$9) + CHOOSE(CONTROL!$C$27, 0.0021, 0)</f>
        <v>88.001300000000001</v>
      </c>
      <c r="D546" s="14">
        <f>87.9992 * CHOOSE(CONTROL!$C$9, $D$9, 100%, $F$9) + CHOOSE(CONTROL!$C$27, 0.0021, 0)</f>
        <v>88.001300000000001</v>
      </c>
      <c r="E546" s="14">
        <f>87.8626 * CHOOSE(CONTROL!$C$9, $D$9, 100%, $F$9) + CHOOSE(CONTROL!$C$27, 0.0021, 0)</f>
        <v>87.864699999999999</v>
      </c>
      <c r="F546" s="14">
        <f>87.8626 * CHOOSE(CONTROL!$C$9, $D$9, 100%, $F$9) + CHOOSE(CONTROL!$C$27, 0.0021, 0)</f>
        <v>87.864699999999999</v>
      </c>
      <c r="G546" s="14">
        <f>88.1339 * CHOOSE(CONTROL!$C$9, $D$9, 100%, $F$9) + CHOOSE(CONTROL!$C$27, 0.0021, 0)</f>
        <v>88.135999999999996</v>
      </c>
      <c r="H546" s="14">
        <f>87.9992 * CHOOSE(CONTROL!$C$9, $D$9, 100%, $F$9) + CHOOSE(CONTROL!$C$27, 0.0021, 0)</f>
        <v>88.001300000000001</v>
      </c>
      <c r="I546" s="14">
        <f>87.9992 * CHOOSE(CONTROL!$C$9, $D$9, 100%, $F$9) + CHOOSE(CONTROL!$C$27, 0.0021, 0)</f>
        <v>88.001300000000001</v>
      </c>
      <c r="J546" s="14">
        <f>87.9992 * CHOOSE(CONTROL!$C$9, $D$9, 100%, $F$9) + CHOOSE(CONTROL!$C$27, 0.0021, 0)</f>
        <v>88.001300000000001</v>
      </c>
      <c r="K546" s="14">
        <f>87.9992 * CHOOSE(CONTROL!$C$9, $D$9, 100%, $F$9) + CHOOSE(CONTROL!$C$27, 0.0021, 0)</f>
        <v>88.001300000000001</v>
      </c>
      <c r="L546" s="14"/>
    </row>
    <row r="547" spans="1:12" ht="15.75" x14ac:dyDescent="0.25">
      <c r="A547" s="32">
        <v>57588</v>
      </c>
      <c r="B547" s="14">
        <f>88.9489 * CHOOSE(CONTROL!$C$9, $D$9, 100%, $F$9) + CHOOSE(CONTROL!$C$27, 0.0021, 0)</f>
        <v>88.950999999999993</v>
      </c>
      <c r="C547" s="14">
        <f>88.5167 * CHOOSE(CONTROL!$C$9, $D$9, 100%, $F$9) + CHOOSE(CONTROL!$C$27, 0.0021, 0)</f>
        <v>88.518799999999999</v>
      </c>
      <c r="D547" s="14">
        <f>88.5167 * CHOOSE(CONTROL!$C$9, $D$9, 100%, $F$9) + CHOOSE(CONTROL!$C$27, 0.0021, 0)</f>
        <v>88.518799999999999</v>
      </c>
      <c r="E547" s="14">
        <f>88.38 * CHOOSE(CONTROL!$C$9, $D$9, 100%, $F$9) + CHOOSE(CONTROL!$C$27, 0.0021, 0)</f>
        <v>88.382099999999994</v>
      </c>
      <c r="F547" s="14">
        <f>88.38 * CHOOSE(CONTROL!$C$9, $D$9, 100%, $F$9) + CHOOSE(CONTROL!$C$27, 0.0021, 0)</f>
        <v>88.382099999999994</v>
      </c>
      <c r="G547" s="14">
        <f>88.6514 * CHOOSE(CONTROL!$C$9, $D$9, 100%, $F$9) + CHOOSE(CONTROL!$C$27, 0.0021, 0)</f>
        <v>88.653499999999994</v>
      </c>
      <c r="H547" s="14">
        <f>88.5167 * CHOOSE(CONTROL!$C$9, $D$9, 100%, $F$9) + CHOOSE(CONTROL!$C$27, 0.0021, 0)</f>
        <v>88.518799999999999</v>
      </c>
      <c r="I547" s="14">
        <f>88.5167 * CHOOSE(CONTROL!$C$9, $D$9, 100%, $F$9) + CHOOSE(CONTROL!$C$27, 0.0021, 0)</f>
        <v>88.518799999999999</v>
      </c>
      <c r="J547" s="14">
        <f>88.5167 * CHOOSE(CONTROL!$C$9, $D$9, 100%, $F$9) + CHOOSE(CONTROL!$C$27, 0.0021, 0)</f>
        <v>88.518799999999999</v>
      </c>
      <c r="K547" s="14">
        <f>88.5167 * CHOOSE(CONTROL!$C$9, $D$9, 100%, $F$9) + CHOOSE(CONTROL!$C$27, 0.0021, 0)</f>
        <v>88.518799999999999</v>
      </c>
      <c r="L547" s="14"/>
    </row>
    <row r="548" spans="1:12" ht="15.75" x14ac:dyDescent="0.25">
      <c r="A548" s="32">
        <v>57618</v>
      </c>
      <c r="B548" s="14">
        <f>90.7111 * CHOOSE(CONTROL!$C$9, $D$9, 100%, $F$9) + CHOOSE(CONTROL!$C$27, 0.0021, 0)</f>
        <v>90.713200000000001</v>
      </c>
      <c r="C548" s="14">
        <f>90.2788 * CHOOSE(CONTROL!$C$9, $D$9, 100%, $F$9) + CHOOSE(CONTROL!$C$27, 0.0021, 0)</f>
        <v>90.280900000000003</v>
      </c>
      <c r="D548" s="14">
        <f>90.2788 * CHOOSE(CONTROL!$C$9, $D$9, 100%, $F$9) + CHOOSE(CONTROL!$C$27, 0.0021, 0)</f>
        <v>90.280900000000003</v>
      </c>
      <c r="E548" s="14">
        <f>90.1422 * CHOOSE(CONTROL!$C$9, $D$9, 100%, $F$9) + CHOOSE(CONTROL!$C$27, 0.0021, 0)</f>
        <v>90.144300000000001</v>
      </c>
      <c r="F548" s="14">
        <f>90.1422 * CHOOSE(CONTROL!$C$9, $D$9, 100%, $F$9) + CHOOSE(CONTROL!$C$27, 0.0021, 0)</f>
        <v>90.144300000000001</v>
      </c>
      <c r="G548" s="14">
        <f>90.4135 * CHOOSE(CONTROL!$C$9, $D$9, 100%, $F$9) + CHOOSE(CONTROL!$C$27, 0.0021, 0)</f>
        <v>90.415599999999998</v>
      </c>
      <c r="H548" s="14">
        <f>90.2788 * CHOOSE(CONTROL!$C$9, $D$9, 100%, $F$9) + CHOOSE(CONTROL!$C$27, 0.0021, 0)</f>
        <v>90.280900000000003</v>
      </c>
      <c r="I548" s="14">
        <f>90.2788 * CHOOSE(CONTROL!$C$9, $D$9, 100%, $F$9) + CHOOSE(CONTROL!$C$27, 0.0021, 0)</f>
        <v>90.280900000000003</v>
      </c>
      <c r="J548" s="14">
        <f>90.2788 * CHOOSE(CONTROL!$C$9, $D$9, 100%, $F$9) + CHOOSE(CONTROL!$C$27, 0.0021, 0)</f>
        <v>90.280900000000003</v>
      </c>
      <c r="K548" s="14">
        <f>90.2788 * CHOOSE(CONTROL!$C$9, $D$9, 100%, $F$9) + CHOOSE(CONTROL!$C$27, 0.0021, 0)</f>
        <v>90.280900000000003</v>
      </c>
      <c r="L548" s="14"/>
    </row>
    <row r="549" spans="1:12" ht="15.75" x14ac:dyDescent="0.25">
      <c r="A549" s="32">
        <v>57649</v>
      </c>
      <c r="B549" s="14">
        <f>92.9417 * CHOOSE(CONTROL!$C$9, $D$9, 100%, $F$9) + CHOOSE(CONTROL!$C$27, 0.0021, 0)</f>
        <v>92.943799999999996</v>
      </c>
      <c r="C549" s="14">
        <f>92.5094 * CHOOSE(CONTROL!$C$9, $D$9, 100%, $F$9) + CHOOSE(CONTROL!$C$27, 0.0021, 0)</f>
        <v>92.511499999999998</v>
      </c>
      <c r="D549" s="14">
        <f>92.5094 * CHOOSE(CONTROL!$C$9, $D$9, 100%, $F$9) + CHOOSE(CONTROL!$C$27, 0.0021, 0)</f>
        <v>92.511499999999998</v>
      </c>
      <c r="E549" s="14">
        <f>92.3728 * CHOOSE(CONTROL!$C$9, $D$9, 100%, $F$9) + CHOOSE(CONTROL!$C$27, 0.0021, 0)</f>
        <v>92.374899999999997</v>
      </c>
      <c r="F549" s="14">
        <f>92.3728 * CHOOSE(CONTROL!$C$9, $D$9, 100%, $F$9) + CHOOSE(CONTROL!$C$27, 0.0021, 0)</f>
        <v>92.374899999999997</v>
      </c>
      <c r="G549" s="14">
        <f>92.6441 * CHOOSE(CONTROL!$C$9, $D$9, 100%, $F$9) + CHOOSE(CONTROL!$C$27, 0.0021, 0)</f>
        <v>92.646199999999993</v>
      </c>
      <c r="H549" s="14">
        <f>92.5094 * CHOOSE(CONTROL!$C$9, $D$9, 100%, $F$9) + CHOOSE(CONTROL!$C$27, 0.0021, 0)</f>
        <v>92.511499999999998</v>
      </c>
      <c r="I549" s="14">
        <f>92.5094 * CHOOSE(CONTROL!$C$9, $D$9, 100%, $F$9) + CHOOSE(CONTROL!$C$27, 0.0021, 0)</f>
        <v>92.511499999999998</v>
      </c>
      <c r="J549" s="14">
        <f>92.5094 * CHOOSE(CONTROL!$C$9, $D$9, 100%, $F$9) + CHOOSE(CONTROL!$C$27, 0.0021, 0)</f>
        <v>92.511499999999998</v>
      </c>
      <c r="K549" s="14">
        <f>92.5094 * CHOOSE(CONTROL!$C$9, $D$9, 100%, $F$9) + CHOOSE(CONTROL!$C$27, 0.0021, 0)</f>
        <v>92.511499999999998</v>
      </c>
      <c r="L549" s="14"/>
    </row>
    <row r="550" spans="1:12" ht="15.75" x14ac:dyDescent="0.25">
      <c r="A550" s="32">
        <v>57679</v>
      </c>
      <c r="B550" s="14">
        <f>93.1511 * CHOOSE(CONTROL!$C$9, $D$9, 100%, $F$9) + CHOOSE(CONTROL!$C$27, 0.0021, 0)</f>
        <v>93.153199999999998</v>
      </c>
      <c r="C550" s="14">
        <f>92.7188 * CHOOSE(CONTROL!$C$9, $D$9, 100%, $F$9) + CHOOSE(CONTROL!$C$27, 0.0021, 0)</f>
        <v>92.7209</v>
      </c>
      <c r="D550" s="14">
        <f>92.7188 * CHOOSE(CONTROL!$C$9, $D$9, 100%, $F$9) + CHOOSE(CONTROL!$C$27, 0.0021, 0)</f>
        <v>92.7209</v>
      </c>
      <c r="E550" s="14">
        <f>92.5822 * CHOOSE(CONTROL!$C$9, $D$9, 100%, $F$9) + CHOOSE(CONTROL!$C$27, 0.0021, 0)</f>
        <v>92.584299999999999</v>
      </c>
      <c r="F550" s="14">
        <f>92.5822 * CHOOSE(CONTROL!$C$9, $D$9, 100%, $F$9) + CHOOSE(CONTROL!$C$27, 0.0021, 0)</f>
        <v>92.584299999999999</v>
      </c>
      <c r="G550" s="14">
        <f>92.8535 * CHOOSE(CONTROL!$C$9, $D$9, 100%, $F$9) + CHOOSE(CONTROL!$C$27, 0.0021, 0)</f>
        <v>92.855599999999995</v>
      </c>
      <c r="H550" s="14">
        <f>92.7188 * CHOOSE(CONTROL!$C$9, $D$9, 100%, $F$9) + CHOOSE(CONTROL!$C$27, 0.0021, 0)</f>
        <v>92.7209</v>
      </c>
      <c r="I550" s="14">
        <f>92.7188 * CHOOSE(CONTROL!$C$9, $D$9, 100%, $F$9) + CHOOSE(CONTROL!$C$27, 0.0021, 0)</f>
        <v>92.7209</v>
      </c>
      <c r="J550" s="14">
        <f>92.7188 * CHOOSE(CONTROL!$C$9, $D$9, 100%, $F$9) + CHOOSE(CONTROL!$C$27, 0.0021, 0)</f>
        <v>92.7209</v>
      </c>
      <c r="K550" s="14">
        <f>92.7188 * CHOOSE(CONTROL!$C$9, $D$9, 100%, $F$9) + CHOOSE(CONTROL!$C$27, 0.0021, 0)</f>
        <v>92.7209</v>
      </c>
      <c r="L550" s="14"/>
    </row>
    <row r="551" spans="1:12" ht="15.75" x14ac:dyDescent="0.25">
      <c r="A551" s="32">
        <v>57710</v>
      </c>
      <c r="B551" s="14">
        <f>91.3695 * CHOOSE(CONTROL!$C$9, $D$9, 100%, $F$9) + CHOOSE(CONTROL!$C$27, 0.0021, 0)</f>
        <v>91.371600000000001</v>
      </c>
      <c r="C551" s="14">
        <f>90.9373 * CHOOSE(CONTROL!$C$9, $D$9, 100%, $F$9) + CHOOSE(CONTROL!$C$27, 0.0021, 0)</f>
        <v>90.939399999999992</v>
      </c>
      <c r="D551" s="14">
        <f>90.9373 * CHOOSE(CONTROL!$C$9, $D$9, 100%, $F$9) + CHOOSE(CONTROL!$C$27, 0.0021, 0)</f>
        <v>90.939399999999992</v>
      </c>
      <c r="E551" s="14">
        <f>90.8006 * CHOOSE(CONTROL!$C$9, $D$9, 100%, $F$9) + CHOOSE(CONTROL!$C$27, 0.0021, 0)</f>
        <v>90.802700000000002</v>
      </c>
      <c r="F551" s="14">
        <f>90.8006 * CHOOSE(CONTROL!$C$9, $D$9, 100%, $F$9) + CHOOSE(CONTROL!$C$27, 0.0021, 0)</f>
        <v>90.802700000000002</v>
      </c>
      <c r="G551" s="14">
        <f>91.072 * CHOOSE(CONTROL!$C$9, $D$9, 100%, $F$9) + CHOOSE(CONTROL!$C$27, 0.0021, 0)</f>
        <v>91.074100000000001</v>
      </c>
      <c r="H551" s="14">
        <f>90.9373 * CHOOSE(CONTROL!$C$9, $D$9, 100%, $F$9) + CHOOSE(CONTROL!$C$27, 0.0021, 0)</f>
        <v>90.939399999999992</v>
      </c>
      <c r="I551" s="14">
        <f>90.9373 * CHOOSE(CONTROL!$C$9, $D$9, 100%, $F$9) + CHOOSE(CONTROL!$C$27, 0.0021, 0)</f>
        <v>90.939399999999992</v>
      </c>
      <c r="J551" s="14">
        <f>90.9373 * CHOOSE(CONTROL!$C$9, $D$9, 100%, $F$9) + CHOOSE(CONTROL!$C$27, 0.0021, 0)</f>
        <v>90.939399999999992</v>
      </c>
      <c r="K551" s="14">
        <f>90.9373 * CHOOSE(CONTROL!$C$9, $D$9, 100%, $F$9) + CHOOSE(CONTROL!$C$27, 0.0021, 0)</f>
        <v>90.939399999999992</v>
      </c>
      <c r="L551" s="14"/>
    </row>
    <row r="552" spans="1:12" ht="15.75" x14ac:dyDescent="0.25">
      <c r="A552" s="32">
        <v>57741</v>
      </c>
      <c r="B552" s="14">
        <f>90.2435 * CHOOSE(CONTROL!$C$9, $D$9, 100%, $F$9) + CHOOSE(CONTROL!$C$27, 0.0021, 0)</f>
        <v>90.245599999999996</v>
      </c>
      <c r="C552" s="14">
        <f>89.8113 * CHOOSE(CONTROL!$C$9, $D$9, 100%, $F$9) + CHOOSE(CONTROL!$C$27, 0.0021, 0)</f>
        <v>89.813400000000001</v>
      </c>
      <c r="D552" s="14">
        <f>89.8113 * CHOOSE(CONTROL!$C$9, $D$9, 100%, $F$9) + CHOOSE(CONTROL!$C$27, 0.0021, 0)</f>
        <v>89.813400000000001</v>
      </c>
      <c r="E552" s="14">
        <f>89.6746 * CHOOSE(CONTROL!$C$9, $D$9, 100%, $F$9) + CHOOSE(CONTROL!$C$27, 0.0021, 0)</f>
        <v>89.676699999999997</v>
      </c>
      <c r="F552" s="14">
        <f>89.6746 * CHOOSE(CONTROL!$C$9, $D$9, 100%, $F$9) + CHOOSE(CONTROL!$C$27, 0.0021, 0)</f>
        <v>89.676699999999997</v>
      </c>
      <c r="G552" s="14">
        <f>89.946 * CHOOSE(CONTROL!$C$9, $D$9, 100%, $F$9) + CHOOSE(CONTROL!$C$27, 0.0021, 0)</f>
        <v>89.948099999999997</v>
      </c>
      <c r="H552" s="14">
        <f>89.8113 * CHOOSE(CONTROL!$C$9, $D$9, 100%, $F$9) + CHOOSE(CONTROL!$C$27, 0.0021, 0)</f>
        <v>89.813400000000001</v>
      </c>
      <c r="I552" s="14">
        <f>89.8113 * CHOOSE(CONTROL!$C$9, $D$9, 100%, $F$9) + CHOOSE(CONTROL!$C$27, 0.0021, 0)</f>
        <v>89.813400000000001</v>
      </c>
      <c r="J552" s="14">
        <f>89.8113 * CHOOSE(CONTROL!$C$9, $D$9, 100%, $F$9) + CHOOSE(CONTROL!$C$27, 0.0021, 0)</f>
        <v>89.813400000000001</v>
      </c>
      <c r="K552" s="14">
        <f>89.8113 * CHOOSE(CONTROL!$C$9, $D$9, 100%, $F$9) + CHOOSE(CONTROL!$C$27, 0.0021, 0)</f>
        <v>89.813400000000001</v>
      </c>
      <c r="L552" s="14"/>
    </row>
    <row r="553" spans="1:12" ht="15.75" x14ac:dyDescent="0.25">
      <c r="A553" s="32">
        <v>57769</v>
      </c>
      <c r="B553" s="14">
        <f>87.7558 * CHOOSE(CONTROL!$C$9, $D$9, 100%, $F$9) + CHOOSE(CONTROL!$C$27, 0.0021, 0)</f>
        <v>87.757899999999992</v>
      </c>
      <c r="C553" s="14">
        <f>87.3235 * CHOOSE(CONTROL!$C$9, $D$9, 100%, $F$9) + CHOOSE(CONTROL!$C$27, 0.0021, 0)</f>
        <v>87.325599999999994</v>
      </c>
      <c r="D553" s="14">
        <f>87.3235 * CHOOSE(CONTROL!$C$9, $D$9, 100%, $F$9) + CHOOSE(CONTROL!$C$27, 0.0021, 0)</f>
        <v>87.325599999999994</v>
      </c>
      <c r="E553" s="14">
        <f>87.1869 * CHOOSE(CONTROL!$C$9, $D$9, 100%, $F$9) + CHOOSE(CONTROL!$C$27, 0.0021, 0)</f>
        <v>87.188999999999993</v>
      </c>
      <c r="F553" s="14">
        <f>87.1869 * CHOOSE(CONTROL!$C$9, $D$9, 100%, $F$9) + CHOOSE(CONTROL!$C$27, 0.0021, 0)</f>
        <v>87.188999999999993</v>
      </c>
      <c r="G553" s="14">
        <f>87.4583 * CHOOSE(CONTROL!$C$9, $D$9, 100%, $F$9) + CHOOSE(CONTROL!$C$27, 0.0021, 0)</f>
        <v>87.460399999999993</v>
      </c>
      <c r="H553" s="14">
        <f>87.3235 * CHOOSE(CONTROL!$C$9, $D$9, 100%, $F$9) + CHOOSE(CONTROL!$C$27, 0.0021, 0)</f>
        <v>87.325599999999994</v>
      </c>
      <c r="I553" s="14">
        <f>87.3235 * CHOOSE(CONTROL!$C$9, $D$9, 100%, $F$9) + CHOOSE(CONTROL!$C$27, 0.0021, 0)</f>
        <v>87.325599999999994</v>
      </c>
      <c r="J553" s="14">
        <f>87.3235 * CHOOSE(CONTROL!$C$9, $D$9, 100%, $F$9) + CHOOSE(CONTROL!$C$27, 0.0021, 0)</f>
        <v>87.325599999999994</v>
      </c>
      <c r="K553" s="14">
        <f>87.3235 * CHOOSE(CONTROL!$C$9, $D$9, 100%, $F$9) + CHOOSE(CONTROL!$C$27, 0.0021, 0)</f>
        <v>87.325599999999994</v>
      </c>
      <c r="L553" s="14"/>
    </row>
    <row r="554" spans="1:12" ht="15.75" x14ac:dyDescent="0.25">
      <c r="A554" s="32">
        <v>57800</v>
      </c>
      <c r="B554" s="14">
        <f>86.7289 * CHOOSE(CONTROL!$C$9, $D$9, 100%, $F$9) + CHOOSE(CONTROL!$C$27, 0.0021, 0)</f>
        <v>86.730999999999995</v>
      </c>
      <c r="C554" s="14">
        <f>86.2966 * CHOOSE(CONTROL!$C$9, $D$9, 100%, $F$9) + CHOOSE(CONTROL!$C$27, 0.0021, 0)</f>
        <v>86.298699999999997</v>
      </c>
      <c r="D554" s="14">
        <f>86.2966 * CHOOSE(CONTROL!$C$9, $D$9, 100%, $F$9) + CHOOSE(CONTROL!$C$27, 0.0021, 0)</f>
        <v>86.298699999999997</v>
      </c>
      <c r="E554" s="14">
        <f>86.16 * CHOOSE(CONTROL!$C$9, $D$9, 100%, $F$9) + CHOOSE(CONTROL!$C$27, 0.0021, 0)</f>
        <v>86.162099999999995</v>
      </c>
      <c r="F554" s="14">
        <f>86.16 * CHOOSE(CONTROL!$C$9, $D$9, 100%, $F$9) + CHOOSE(CONTROL!$C$27, 0.0021, 0)</f>
        <v>86.162099999999995</v>
      </c>
      <c r="G554" s="14">
        <f>86.4313 * CHOOSE(CONTROL!$C$9, $D$9, 100%, $F$9) + CHOOSE(CONTROL!$C$27, 0.0021, 0)</f>
        <v>86.433399999999992</v>
      </c>
      <c r="H554" s="14">
        <f>86.2966 * CHOOSE(CONTROL!$C$9, $D$9, 100%, $F$9) + CHOOSE(CONTROL!$C$27, 0.0021, 0)</f>
        <v>86.298699999999997</v>
      </c>
      <c r="I554" s="14">
        <f>86.2966 * CHOOSE(CONTROL!$C$9, $D$9, 100%, $F$9) + CHOOSE(CONTROL!$C$27, 0.0021, 0)</f>
        <v>86.298699999999997</v>
      </c>
      <c r="J554" s="14">
        <f>86.2966 * CHOOSE(CONTROL!$C$9, $D$9, 100%, $F$9) + CHOOSE(CONTROL!$C$27, 0.0021, 0)</f>
        <v>86.298699999999997</v>
      </c>
      <c r="K554" s="14">
        <f>86.2966 * CHOOSE(CONTROL!$C$9, $D$9, 100%, $F$9) + CHOOSE(CONTROL!$C$27, 0.0021, 0)</f>
        <v>86.298699999999997</v>
      </c>
      <c r="L554" s="14"/>
    </row>
    <row r="555" spans="1:12" ht="15.75" x14ac:dyDescent="0.25">
      <c r="A555" s="32">
        <v>57830</v>
      </c>
      <c r="B555" s="14">
        <f>85.5027 * CHOOSE(CONTROL!$C$9, $D$9, 100%, $F$9) + CHOOSE(CONTROL!$C$27, 0.0021, 0)</f>
        <v>85.504800000000003</v>
      </c>
      <c r="C555" s="14">
        <f>85.0704 * CHOOSE(CONTROL!$C$9, $D$9, 100%, $F$9) + CHOOSE(CONTROL!$C$27, 0.0021, 0)</f>
        <v>85.072500000000005</v>
      </c>
      <c r="D555" s="14">
        <f>85.0704 * CHOOSE(CONTROL!$C$9, $D$9, 100%, $F$9) + CHOOSE(CONTROL!$C$27, 0.0021, 0)</f>
        <v>85.072500000000005</v>
      </c>
      <c r="E555" s="14">
        <f>84.9338 * CHOOSE(CONTROL!$C$9, $D$9, 100%, $F$9) + CHOOSE(CONTROL!$C$27, 0.0021, 0)</f>
        <v>84.935900000000004</v>
      </c>
      <c r="F555" s="14">
        <f>84.9338 * CHOOSE(CONTROL!$C$9, $D$9, 100%, $F$9) + CHOOSE(CONTROL!$C$27, 0.0021, 0)</f>
        <v>84.935900000000004</v>
      </c>
      <c r="G555" s="14">
        <f>85.2051 * CHOOSE(CONTROL!$C$9, $D$9, 100%, $F$9) + CHOOSE(CONTROL!$C$27, 0.0021, 0)</f>
        <v>85.2072</v>
      </c>
      <c r="H555" s="14">
        <f>85.0704 * CHOOSE(CONTROL!$C$9, $D$9, 100%, $F$9) + CHOOSE(CONTROL!$C$27, 0.0021, 0)</f>
        <v>85.072500000000005</v>
      </c>
      <c r="I555" s="14">
        <f>85.0704 * CHOOSE(CONTROL!$C$9, $D$9, 100%, $F$9) + CHOOSE(CONTROL!$C$27, 0.0021, 0)</f>
        <v>85.072500000000005</v>
      </c>
      <c r="J555" s="14">
        <f>85.0704 * CHOOSE(CONTROL!$C$9, $D$9, 100%, $F$9) + CHOOSE(CONTROL!$C$27, 0.0021, 0)</f>
        <v>85.072500000000005</v>
      </c>
      <c r="K555" s="14">
        <f>85.0704 * CHOOSE(CONTROL!$C$9, $D$9, 100%, $F$9) + CHOOSE(CONTROL!$C$27, 0.0021, 0)</f>
        <v>85.072500000000005</v>
      </c>
      <c r="L555" s="14"/>
    </row>
    <row r="556" spans="1:12" ht="15.75" x14ac:dyDescent="0.25">
      <c r="A556" s="32">
        <v>57861</v>
      </c>
      <c r="B556" s="14">
        <f>87.2501 * CHOOSE(CONTROL!$C$9, $D$9, 100%, $F$9) + CHOOSE(CONTROL!$C$27, 0.0021, 0)</f>
        <v>87.252200000000002</v>
      </c>
      <c r="C556" s="14">
        <f>86.8179 * CHOOSE(CONTROL!$C$9, $D$9, 100%, $F$9) + CHOOSE(CONTROL!$C$27, 0.0021, 0)</f>
        <v>86.82</v>
      </c>
      <c r="D556" s="14">
        <f>86.8179 * CHOOSE(CONTROL!$C$9, $D$9, 100%, $F$9) + CHOOSE(CONTROL!$C$27, 0.0021, 0)</f>
        <v>86.82</v>
      </c>
      <c r="E556" s="14">
        <f>86.6812 * CHOOSE(CONTROL!$C$9, $D$9, 100%, $F$9) + CHOOSE(CONTROL!$C$27, 0.0021, 0)</f>
        <v>86.683300000000003</v>
      </c>
      <c r="F556" s="14">
        <f>86.6812 * CHOOSE(CONTROL!$C$9, $D$9, 100%, $F$9) + CHOOSE(CONTROL!$C$27, 0.0021, 0)</f>
        <v>86.683300000000003</v>
      </c>
      <c r="G556" s="14">
        <f>86.9526 * CHOOSE(CONTROL!$C$9, $D$9, 100%, $F$9) + CHOOSE(CONTROL!$C$27, 0.0021, 0)</f>
        <v>86.954700000000003</v>
      </c>
      <c r="H556" s="14">
        <f>86.8179 * CHOOSE(CONTROL!$C$9, $D$9, 100%, $F$9) + CHOOSE(CONTROL!$C$27, 0.0021, 0)</f>
        <v>86.82</v>
      </c>
      <c r="I556" s="14">
        <f>86.8179 * CHOOSE(CONTROL!$C$9, $D$9, 100%, $F$9) + CHOOSE(CONTROL!$C$27, 0.0021, 0)</f>
        <v>86.82</v>
      </c>
      <c r="J556" s="14">
        <f>86.8179 * CHOOSE(CONTROL!$C$9, $D$9, 100%, $F$9) + CHOOSE(CONTROL!$C$27, 0.0021, 0)</f>
        <v>86.82</v>
      </c>
      <c r="K556" s="14">
        <f>86.8179 * CHOOSE(CONTROL!$C$9, $D$9, 100%, $F$9) + CHOOSE(CONTROL!$C$27, 0.0021, 0)</f>
        <v>86.82</v>
      </c>
      <c r="L556" s="14"/>
    </row>
    <row r="557" spans="1:12" ht="15.75" x14ac:dyDescent="0.25">
      <c r="A557" s="32">
        <v>57891</v>
      </c>
      <c r="B557" s="14">
        <f>88.2968 * CHOOSE(CONTROL!$C$9, $D$9, 100%, $F$9) + CHOOSE(CONTROL!$C$27, 0.0021, 0)</f>
        <v>88.298900000000003</v>
      </c>
      <c r="C557" s="14">
        <f>87.8645 * CHOOSE(CONTROL!$C$9, $D$9, 100%, $F$9) + CHOOSE(CONTROL!$C$27, 0.0021, 0)</f>
        <v>87.866600000000005</v>
      </c>
      <c r="D557" s="14">
        <f>87.8645 * CHOOSE(CONTROL!$C$9, $D$9, 100%, $F$9) + CHOOSE(CONTROL!$C$27, 0.0021, 0)</f>
        <v>87.866600000000005</v>
      </c>
      <c r="E557" s="14">
        <f>87.7279 * CHOOSE(CONTROL!$C$9, $D$9, 100%, $F$9) + CHOOSE(CONTROL!$C$27, 0.0021, 0)</f>
        <v>87.73</v>
      </c>
      <c r="F557" s="14">
        <f>87.7279 * CHOOSE(CONTROL!$C$9, $D$9, 100%, $F$9) + CHOOSE(CONTROL!$C$27, 0.0021, 0)</f>
        <v>87.73</v>
      </c>
      <c r="G557" s="14">
        <f>87.9993 * CHOOSE(CONTROL!$C$9, $D$9, 100%, $F$9) + CHOOSE(CONTROL!$C$27, 0.0021, 0)</f>
        <v>88.001400000000004</v>
      </c>
      <c r="H557" s="14">
        <f>87.8645 * CHOOSE(CONTROL!$C$9, $D$9, 100%, $F$9) + CHOOSE(CONTROL!$C$27, 0.0021, 0)</f>
        <v>87.866600000000005</v>
      </c>
      <c r="I557" s="14">
        <f>87.8645 * CHOOSE(CONTROL!$C$9, $D$9, 100%, $F$9) + CHOOSE(CONTROL!$C$27, 0.0021, 0)</f>
        <v>87.866600000000005</v>
      </c>
      <c r="J557" s="14">
        <f>87.8645 * CHOOSE(CONTROL!$C$9, $D$9, 100%, $F$9) + CHOOSE(CONTROL!$C$27, 0.0021, 0)</f>
        <v>87.866600000000005</v>
      </c>
      <c r="K557" s="14">
        <f>87.8645 * CHOOSE(CONTROL!$C$9, $D$9, 100%, $F$9) + CHOOSE(CONTROL!$C$27, 0.0021, 0)</f>
        <v>87.866600000000005</v>
      </c>
      <c r="L557" s="14"/>
    </row>
    <row r="558" spans="1:12" ht="15.75" x14ac:dyDescent="0.25">
      <c r="A558" s="32">
        <v>57922</v>
      </c>
      <c r="B558" s="14">
        <f>90.0234 * CHOOSE(CONTROL!$C$9, $D$9, 100%, $F$9) + CHOOSE(CONTROL!$C$27, 0.0021, 0)</f>
        <v>90.025499999999994</v>
      </c>
      <c r="C558" s="14">
        <f>89.5911 * CHOOSE(CONTROL!$C$9, $D$9, 100%, $F$9) + CHOOSE(CONTROL!$C$27, 0.0021, 0)</f>
        <v>89.593199999999996</v>
      </c>
      <c r="D558" s="14">
        <f>89.5911 * CHOOSE(CONTROL!$C$9, $D$9, 100%, $F$9) + CHOOSE(CONTROL!$C$27, 0.0021, 0)</f>
        <v>89.593199999999996</v>
      </c>
      <c r="E558" s="14">
        <f>89.4545 * CHOOSE(CONTROL!$C$9, $D$9, 100%, $F$9) + CHOOSE(CONTROL!$C$27, 0.0021, 0)</f>
        <v>89.456599999999995</v>
      </c>
      <c r="F558" s="14">
        <f>89.4545 * CHOOSE(CONTROL!$C$9, $D$9, 100%, $F$9) + CHOOSE(CONTROL!$C$27, 0.0021, 0)</f>
        <v>89.456599999999995</v>
      </c>
      <c r="G558" s="14">
        <f>89.7259 * CHOOSE(CONTROL!$C$9, $D$9, 100%, $F$9) + CHOOSE(CONTROL!$C$27, 0.0021, 0)</f>
        <v>89.727999999999994</v>
      </c>
      <c r="H558" s="14">
        <f>89.5911 * CHOOSE(CONTROL!$C$9, $D$9, 100%, $F$9) + CHOOSE(CONTROL!$C$27, 0.0021, 0)</f>
        <v>89.593199999999996</v>
      </c>
      <c r="I558" s="14">
        <f>89.5911 * CHOOSE(CONTROL!$C$9, $D$9, 100%, $F$9) + CHOOSE(CONTROL!$C$27, 0.0021, 0)</f>
        <v>89.593199999999996</v>
      </c>
      <c r="J558" s="14">
        <f>89.5911 * CHOOSE(CONTROL!$C$9, $D$9, 100%, $F$9) + CHOOSE(CONTROL!$C$27, 0.0021, 0)</f>
        <v>89.593199999999996</v>
      </c>
      <c r="K558" s="14">
        <f>89.5911 * CHOOSE(CONTROL!$C$9, $D$9, 100%, $F$9) + CHOOSE(CONTROL!$C$27, 0.0021, 0)</f>
        <v>89.593199999999996</v>
      </c>
      <c r="L558" s="14"/>
    </row>
    <row r="559" spans="1:12" ht="15.75" x14ac:dyDescent="0.25">
      <c r="A559" s="32">
        <v>57953</v>
      </c>
      <c r="B559" s="14">
        <f>90.5504 * CHOOSE(CONTROL!$C$9, $D$9, 100%, $F$9) + CHOOSE(CONTROL!$C$27, 0.0021, 0)</f>
        <v>90.552499999999995</v>
      </c>
      <c r="C559" s="14">
        <f>90.1181 * CHOOSE(CONTROL!$C$9, $D$9, 100%, $F$9) + CHOOSE(CONTROL!$C$27, 0.0021, 0)</f>
        <v>90.120199999999997</v>
      </c>
      <c r="D559" s="14">
        <f>90.1181 * CHOOSE(CONTROL!$C$9, $D$9, 100%, $F$9) + CHOOSE(CONTROL!$C$27, 0.0021, 0)</f>
        <v>90.120199999999997</v>
      </c>
      <c r="E559" s="14">
        <f>89.9815 * CHOOSE(CONTROL!$C$9, $D$9, 100%, $F$9) + CHOOSE(CONTROL!$C$27, 0.0021, 0)</f>
        <v>89.983599999999996</v>
      </c>
      <c r="F559" s="14">
        <f>89.9815 * CHOOSE(CONTROL!$C$9, $D$9, 100%, $F$9) + CHOOSE(CONTROL!$C$27, 0.0021, 0)</f>
        <v>89.983599999999996</v>
      </c>
      <c r="G559" s="14">
        <f>90.2529 * CHOOSE(CONTROL!$C$9, $D$9, 100%, $F$9) + CHOOSE(CONTROL!$C$27, 0.0021, 0)</f>
        <v>90.254999999999995</v>
      </c>
      <c r="H559" s="14">
        <f>90.1181 * CHOOSE(CONTROL!$C$9, $D$9, 100%, $F$9) + CHOOSE(CONTROL!$C$27, 0.0021, 0)</f>
        <v>90.120199999999997</v>
      </c>
      <c r="I559" s="14">
        <f>90.1181 * CHOOSE(CONTROL!$C$9, $D$9, 100%, $F$9) + CHOOSE(CONTROL!$C$27, 0.0021, 0)</f>
        <v>90.120199999999997</v>
      </c>
      <c r="J559" s="14">
        <f>90.1181 * CHOOSE(CONTROL!$C$9, $D$9, 100%, $F$9) + CHOOSE(CONTROL!$C$27, 0.0021, 0)</f>
        <v>90.120199999999997</v>
      </c>
      <c r="K559" s="14">
        <f>90.1181 * CHOOSE(CONTROL!$C$9, $D$9, 100%, $F$9) + CHOOSE(CONTROL!$C$27, 0.0021, 0)</f>
        <v>90.120199999999997</v>
      </c>
      <c r="L559" s="14"/>
    </row>
    <row r="560" spans="1:12" ht="15.75" x14ac:dyDescent="0.25">
      <c r="A560" s="32">
        <v>57983</v>
      </c>
      <c r="B560" s="14">
        <f>92.3451 * CHOOSE(CONTROL!$C$9, $D$9, 100%, $F$9) + CHOOSE(CONTROL!$C$27, 0.0021, 0)</f>
        <v>92.347200000000001</v>
      </c>
      <c r="C560" s="14">
        <f>91.9129 * CHOOSE(CONTROL!$C$9, $D$9, 100%, $F$9) + CHOOSE(CONTROL!$C$27, 0.0021, 0)</f>
        <v>91.914999999999992</v>
      </c>
      <c r="D560" s="14">
        <f>91.9129 * CHOOSE(CONTROL!$C$9, $D$9, 100%, $F$9) + CHOOSE(CONTROL!$C$27, 0.0021, 0)</f>
        <v>91.914999999999992</v>
      </c>
      <c r="E560" s="14">
        <f>91.7762 * CHOOSE(CONTROL!$C$9, $D$9, 100%, $F$9) + CHOOSE(CONTROL!$C$27, 0.0021, 0)</f>
        <v>91.778300000000002</v>
      </c>
      <c r="F560" s="14">
        <f>91.7762 * CHOOSE(CONTROL!$C$9, $D$9, 100%, $F$9) + CHOOSE(CONTROL!$C$27, 0.0021, 0)</f>
        <v>91.778300000000002</v>
      </c>
      <c r="G560" s="14">
        <f>92.0476 * CHOOSE(CONTROL!$C$9, $D$9, 100%, $F$9) + CHOOSE(CONTROL!$C$27, 0.0021, 0)</f>
        <v>92.049700000000001</v>
      </c>
      <c r="H560" s="14">
        <f>91.9129 * CHOOSE(CONTROL!$C$9, $D$9, 100%, $F$9) + CHOOSE(CONTROL!$C$27, 0.0021, 0)</f>
        <v>91.914999999999992</v>
      </c>
      <c r="I560" s="14">
        <f>91.9129 * CHOOSE(CONTROL!$C$9, $D$9, 100%, $F$9) + CHOOSE(CONTROL!$C$27, 0.0021, 0)</f>
        <v>91.914999999999992</v>
      </c>
      <c r="J560" s="14">
        <f>91.9129 * CHOOSE(CONTROL!$C$9, $D$9, 100%, $F$9) + CHOOSE(CONTROL!$C$27, 0.0021, 0)</f>
        <v>91.914999999999992</v>
      </c>
      <c r="K560" s="14">
        <f>91.9129 * CHOOSE(CONTROL!$C$9, $D$9, 100%, $F$9) + CHOOSE(CONTROL!$C$27, 0.0021, 0)</f>
        <v>91.914999999999992</v>
      </c>
      <c r="L560" s="14"/>
    </row>
    <row r="561" spans="1:12" ht="15.75" x14ac:dyDescent="0.25">
      <c r="A561" s="32">
        <v>58014</v>
      </c>
      <c r="B561" s="14">
        <f>94.6169 * CHOOSE(CONTROL!$C$9, $D$9, 100%, $F$9) + CHOOSE(CONTROL!$C$27, 0.0021, 0)</f>
        <v>94.619</v>
      </c>
      <c r="C561" s="14">
        <f>94.1847 * CHOOSE(CONTROL!$C$9, $D$9, 100%, $F$9) + CHOOSE(CONTROL!$C$27, 0.0021, 0)</f>
        <v>94.186800000000005</v>
      </c>
      <c r="D561" s="14">
        <f>94.1847 * CHOOSE(CONTROL!$C$9, $D$9, 100%, $F$9) + CHOOSE(CONTROL!$C$27, 0.0021, 0)</f>
        <v>94.186800000000005</v>
      </c>
      <c r="E561" s="14">
        <f>94.048 * CHOOSE(CONTROL!$C$9, $D$9, 100%, $F$9) + CHOOSE(CONTROL!$C$27, 0.0021, 0)</f>
        <v>94.0501</v>
      </c>
      <c r="F561" s="14">
        <f>94.048 * CHOOSE(CONTROL!$C$9, $D$9, 100%, $F$9) + CHOOSE(CONTROL!$C$27, 0.0021, 0)</f>
        <v>94.0501</v>
      </c>
      <c r="G561" s="14">
        <f>94.3194 * CHOOSE(CONTROL!$C$9, $D$9, 100%, $F$9) + CHOOSE(CONTROL!$C$27, 0.0021, 0)</f>
        <v>94.3215</v>
      </c>
      <c r="H561" s="14">
        <f>94.1847 * CHOOSE(CONTROL!$C$9, $D$9, 100%, $F$9) + CHOOSE(CONTROL!$C$27, 0.0021, 0)</f>
        <v>94.186800000000005</v>
      </c>
      <c r="I561" s="14">
        <f>94.1847 * CHOOSE(CONTROL!$C$9, $D$9, 100%, $F$9) + CHOOSE(CONTROL!$C$27, 0.0021, 0)</f>
        <v>94.186800000000005</v>
      </c>
      <c r="J561" s="14">
        <f>94.1847 * CHOOSE(CONTROL!$C$9, $D$9, 100%, $F$9) + CHOOSE(CONTROL!$C$27, 0.0021, 0)</f>
        <v>94.186800000000005</v>
      </c>
      <c r="K561" s="14">
        <f>94.1847 * CHOOSE(CONTROL!$C$9, $D$9, 100%, $F$9) + CHOOSE(CONTROL!$C$27, 0.0021, 0)</f>
        <v>94.186800000000005</v>
      </c>
      <c r="L561" s="14"/>
    </row>
    <row r="562" spans="1:12" ht="15.75" x14ac:dyDescent="0.25">
      <c r="A562" s="32">
        <v>58044</v>
      </c>
      <c r="B562" s="14">
        <f>94.8302 * CHOOSE(CONTROL!$C$9, $D$9, 100%, $F$9) + CHOOSE(CONTROL!$C$27, 0.0021, 0)</f>
        <v>94.832300000000004</v>
      </c>
      <c r="C562" s="14">
        <f>94.398 * CHOOSE(CONTROL!$C$9, $D$9, 100%, $F$9) + CHOOSE(CONTROL!$C$27, 0.0021, 0)</f>
        <v>94.400099999999995</v>
      </c>
      <c r="D562" s="14">
        <f>94.398 * CHOOSE(CONTROL!$C$9, $D$9, 100%, $F$9) + CHOOSE(CONTROL!$C$27, 0.0021, 0)</f>
        <v>94.400099999999995</v>
      </c>
      <c r="E562" s="14">
        <f>94.2613 * CHOOSE(CONTROL!$C$9, $D$9, 100%, $F$9) + CHOOSE(CONTROL!$C$27, 0.0021, 0)</f>
        <v>94.263400000000004</v>
      </c>
      <c r="F562" s="14">
        <f>94.2613 * CHOOSE(CONTROL!$C$9, $D$9, 100%, $F$9) + CHOOSE(CONTROL!$C$27, 0.0021, 0)</f>
        <v>94.263400000000004</v>
      </c>
      <c r="G562" s="14">
        <f>94.5327 * CHOOSE(CONTROL!$C$9, $D$9, 100%, $F$9) + CHOOSE(CONTROL!$C$27, 0.0021, 0)</f>
        <v>94.534800000000004</v>
      </c>
      <c r="H562" s="14">
        <f>94.398 * CHOOSE(CONTROL!$C$9, $D$9, 100%, $F$9) + CHOOSE(CONTROL!$C$27, 0.0021, 0)</f>
        <v>94.400099999999995</v>
      </c>
      <c r="I562" s="14">
        <f>94.398 * CHOOSE(CONTROL!$C$9, $D$9, 100%, $F$9) + CHOOSE(CONTROL!$C$27, 0.0021, 0)</f>
        <v>94.400099999999995</v>
      </c>
      <c r="J562" s="14">
        <f>94.398 * CHOOSE(CONTROL!$C$9, $D$9, 100%, $F$9) + CHOOSE(CONTROL!$C$27, 0.0021, 0)</f>
        <v>94.400099999999995</v>
      </c>
      <c r="K562" s="14">
        <f>94.398 * CHOOSE(CONTROL!$C$9, $D$9, 100%, $F$9) + CHOOSE(CONTROL!$C$27, 0.0021, 0)</f>
        <v>94.400099999999995</v>
      </c>
      <c r="L562" s="14"/>
    </row>
    <row r="563" spans="1:12" ht="15.75" x14ac:dyDescent="0.25">
      <c r="A563" s="32">
        <v>58075</v>
      </c>
      <c r="B563" s="14">
        <f>93.0158 * CHOOSE(CONTROL!$C$9, $D$9, 100%, $F$9) + CHOOSE(CONTROL!$C$27, 0.0021, 0)</f>
        <v>93.017899999999997</v>
      </c>
      <c r="C563" s="14">
        <f>92.5835 * CHOOSE(CONTROL!$C$9, $D$9, 100%, $F$9) + CHOOSE(CONTROL!$C$27, 0.0021, 0)</f>
        <v>92.585599999999999</v>
      </c>
      <c r="D563" s="14">
        <f>92.5835 * CHOOSE(CONTROL!$C$9, $D$9, 100%, $F$9) + CHOOSE(CONTROL!$C$27, 0.0021, 0)</f>
        <v>92.585599999999999</v>
      </c>
      <c r="E563" s="14">
        <f>92.4468 * CHOOSE(CONTROL!$C$9, $D$9, 100%, $F$9) + CHOOSE(CONTROL!$C$27, 0.0021, 0)</f>
        <v>92.448899999999995</v>
      </c>
      <c r="F563" s="14">
        <f>92.4468 * CHOOSE(CONTROL!$C$9, $D$9, 100%, $F$9) + CHOOSE(CONTROL!$C$27, 0.0021, 0)</f>
        <v>92.448899999999995</v>
      </c>
      <c r="G563" s="14">
        <f>92.7182 * CHOOSE(CONTROL!$C$9, $D$9, 100%, $F$9) + CHOOSE(CONTROL!$C$27, 0.0021, 0)</f>
        <v>92.720299999999995</v>
      </c>
      <c r="H563" s="14">
        <f>92.5835 * CHOOSE(CONTROL!$C$9, $D$9, 100%, $F$9) + CHOOSE(CONTROL!$C$27, 0.0021, 0)</f>
        <v>92.585599999999999</v>
      </c>
      <c r="I563" s="14">
        <f>92.5835 * CHOOSE(CONTROL!$C$9, $D$9, 100%, $F$9) + CHOOSE(CONTROL!$C$27, 0.0021, 0)</f>
        <v>92.585599999999999</v>
      </c>
      <c r="J563" s="14">
        <f>92.5835 * CHOOSE(CONTROL!$C$9, $D$9, 100%, $F$9) + CHOOSE(CONTROL!$C$27, 0.0021, 0)</f>
        <v>92.585599999999999</v>
      </c>
      <c r="K563" s="14">
        <f>92.5835 * CHOOSE(CONTROL!$C$9, $D$9, 100%, $F$9) + CHOOSE(CONTROL!$C$27, 0.0021, 0)</f>
        <v>92.585599999999999</v>
      </c>
      <c r="L563" s="14"/>
    </row>
    <row r="564" spans="1:12" ht="15.75" x14ac:dyDescent="0.25">
      <c r="A564" s="32">
        <v>58106</v>
      </c>
      <c r="B564" s="14">
        <f>91.8689 * CHOOSE(CONTROL!$C$9, $D$9, 100%, $F$9) + CHOOSE(CONTROL!$C$27, 0.0021, 0)</f>
        <v>91.870999999999995</v>
      </c>
      <c r="C564" s="14">
        <f>91.4367 * CHOOSE(CONTROL!$C$9, $D$9, 100%, $F$9) + CHOOSE(CONTROL!$C$27, 0.0021, 0)</f>
        <v>91.438800000000001</v>
      </c>
      <c r="D564" s="14">
        <f>91.4367 * CHOOSE(CONTROL!$C$9, $D$9, 100%, $F$9) + CHOOSE(CONTROL!$C$27, 0.0021, 0)</f>
        <v>91.438800000000001</v>
      </c>
      <c r="E564" s="14">
        <f>91.3 * CHOOSE(CONTROL!$C$9, $D$9, 100%, $F$9) + CHOOSE(CONTROL!$C$27, 0.0021, 0)</f>
        <v>91.302099999999996</v>
      </c>
      <c r="F564" s="14">
        <f>91.3 * CHOOSE(CONTROL!$C$9, $D$9, 100%, $F$9) + CHOOSE(CONTROL!$C$27, 0.0021, 0)</f>
        <v>91.302099999999996</v>
      </c>
      <c r="G564" s="14">
        <f>91.5714 * CHOOSE(CONTROL!$C$9, $D$9, 100%, $F$9) + CHOOSE(CONTROL!$C$27, 0.0021, 0)</f>
        <v>91.573499999999996</v>
      </c>
      <c r="H564" s="14">
        <f>91.4367 * CHOOSE(CONTROL!$C$9, $D$9, 100%, $F$9) + CHOOSE(CONTROL!$C$27, 0.0021, 0)</f>
        <v>91.438800000000001</v>
      </c>
      <c r="I564" s="14">
        <f>91.4367 * CHOOSE(CONTROL!$C$9, $D$9, 100%, $F$9) + CHOOSE(CONTROL!$C$27, 0.0021, 0)</f>
        <v>91.438800000000001</v>
      </c>
      <c r="J564" s="14">
        <f>91.4367 * CHOOSE(CONTROL!$C$9, $D$9, 100%, $F$9) + CHOOSE(CONTROL!$C$27, 0.0021, 0)</f>
        <v>91.438800000000001</v>
      </c>
      <c r="K564" s="14">
        <f>91.4367 * CHOOSE(CONTROL!$C$9, $D$9, 100%, $F$9) + CHOOSE(CONTROL!$C$27, 0.0021, 0)</f>
        <v>91.438800000000001</v>
      </c>
      <c r="L564" s="14"/>
    </row>
    <row r="565" spans="1:12" ht="15.75" x14ac:dyDescent="0.25">
      <c r="A565" s="32">
        <v>58134</v>
      </c>
      <c r="B565" s="14">
        <f>89.3352 * CHOOSE(CONTROL!$C$9, $D$9, 100%, $F$9) + CHOOSE(CONTROL!$C$27, 0.0021, 0)</f>
        <v>89.337299999999999</v>
      </c>
      <c r="C565" s="14">
        <f>88.903 * CHOOSE(CONTROL!$C$9, $D$9, 100%, $F$9) + CHOOSE(CONTROL!$C$27, 0.0021, 0)</f>
        <v>88.905100000000004</v>
      </c>
      <c r="D565" s="14">
        <f>88.903 * CHOOSE(CONTROL!$C$9, $D$9, 100%, $F$9) + CHOOSE(CONTROL!$C$27, 0.0021, 0)</f>
        <v>88.905100000000004</v>
      </c>
      <c r="E565" s="14">
        <f>88.7663 * CHOOSE(CONTROL!$C$9, $D$9, 100%, $F$9) + CHOOSE(CONTROL!$C$27, 0.0021, 0)</f>
        <v>88.7684</v>
      </c>
      <c r="F565" s="14">
        <f>88.7663 * CHOOSE(CONTROL!$C$9, $D$9, 100%, $F$9) + CHOOSE(CONTROL!$C$27, 0.0021, 0)</f>
        <v>88.7684</v>
      </c>
      <c r="G565" s="14">
        <f>89.0377 * CHOOSE(CONTROL!$C$9, $D$9, 100%, $F$9) + CHOOSE(CONTROL!$C$27, 0.0021, 0)</f>
        <v>89.0398</v>
      </c>
      <c r="H565" s="14">
        <f>88.903 * CHOOSE(CONTROL!$C$9, $D$9, 100%, $F$9) + CHOOSE(CONTROL!$C$27, 0.0021, 0)</f>
        <v>88.905100000000004</v>
      </c>
      <c r="I565" s="14">
        <f>88.903 * CHOOSE(CONTROL!$C$9, $D$9, 100%, $F$9) + CHOOSE(CONTROL!$C$27, 0.0021, 0)</f>
        <v>88.905100000000004</v>
      </c>
      <c r="J565" s="14">
        <f>88.903 * CHOOSE(CONTROL!$C$9, $D$9, 100%, $F$9) + CHOOSE(CONTROL!$C$27, 0.0021, 0)</f>
        <v>88.905100000000004</v>
      </c>
      <c r="K565" s="14">
        <f>88.903 * CHOOSE(CONTROL!$C$9, $D$9, 100%, $F$9) + CHOOSE(CONTROL!$C$27, 0.0021, 0)</f>
        <v>88.905100000000004</v>
      </c>
      <c r="L565" s="14"/>
    </row>
    <row r="566" spans="1:12" ht="15.75" x14ac:dyDescent="0.25">
      <c r="A566" s="32">
        <v>58165</v>
      </c>
      <c r="B566" s="14">
        <f>88.2893 * CHOOSE(CONTROL!$C$9, $D$9, 100%, $F$9) + CHOOSE(CONTROL!$C$27, 0.0021, 0)</f>
        <v>88.291399999999996</v>
      </c>
      <c r="C566" s="14">
        <f>87.8571 * CHOOSE(CONTROL!$C$9, $D$9, 100%, $F$9) + CHOOSE(CONTROL!$C$27, 0.0021, 0)</f>
        <v>87.859200000000001</v>
      </c>
      <c r="D566" s="14">
        <f>87.8571 * CHOOSE(CONTROL!$C$9, $D$9, 100%, $F$9) + CHOOSE(CONTROL!$C$27, 0.0021, 0)</f>
        <v>87.859200000000001</v>
      </c>
      <c r="E566" s="14">
        <f>87.7204 * CHOOSE(CONTROL!$C$9, $D$9, 100%, $F$9) + CHOOSE(CONTROL!$C$27, 0.0021, 0)</f>
        <v>87.722499999999997</v>
      </c>
      <c r="F566" s="14">
        <f>87.7204 * CHOOSE(CONTROL!$C$9, $D$9, 100%, $F$9) + CHOOSE(CONTROL!$C$27, 0.0021, 0)</f>
        <v>87.722499999999997</v>
      </c>
      <c r="G566" s="14">
        <f>87.9918 * CHOOSE(CONTROL!$C$9, $D$9, 100%, $F$9) + CHOOSE(CONTROL!$C$27, 0.0021, 0)</f>
        <v>87.993899999999996</v>
      </c>
      <c r="H566" s="14">
        <f>87.8571 * CHOOSE(CONTROL!$C$9, $D$9, 100%, $F$9) + CHOOSE(CONTROL!$C$27, 0.0021, 0)</f>
        <v>87.859200000000001</v>
      </c>
      <c r="I566" s="14">
        <f>87.8571 * CHOOSE(CONTROL!$C$9, $D$9, 100%, $F$9) + CHOOSE(CONTROL!$C$27, 0.0021, 0)</f>
        <v>87.859200000000001</v>
      </c>
      <c r="J566" s="14">
        <f>87.8571 * CHOOSE(CONTROL!$C$9, $D$9, 100%, $F$9) + CHOOSE(CONTROL!$C$27, 0.0021, 0)</f>
        <v>87.859200000000001</v>
      </c>
      <c r="K566" s="14">
        <f>87.8571 * CHOOSE(CONTROL!$C$9, $D$9, 100%, $F$9) + CHOOSE(CONTROL!$C$27, 0.0021, 0)</f>
        <v>87.859200000000001</v>
      </c>
      <c r="L566" s="14"/>
    </row>
    <row r="567" spans="1:12" ht="15.75" x14ac:dyDescent="0.25">
      <c r="A567" s="32">
        <v>58195</v>
      </c>
      <c r="B567" s="14">
        <f>87.0405 * CHOOSE(CONTROL!$C$9, $D$9, 100%, $F$9) + CHOOSE(CONTROL!$C$27, 0.0021, 0)</f>
        <v>87.042599999999993</v>
      </c>
      <c r="C567" s="14">
        <f>86.6082 * CHOOSE(CONTROL!$C$9, $D$9, 100%, $F$9) + CHOOSE(CONTROL!$C$27, 0.0021, 0)</f>
        <v>86.610299999999995</v>
      </c>
      <c r="D567" s="14">
        <f>86.6082 * CHOOSE(CONTROL!$C$9, $D$9, 100%, $F$9) + CHOOSE(CONTROL!$C$27, 0.0021, 0)</f>
        <v>86.610299999999995</v>
      </c>
      <c r="E567" s="14">
        <f>86.4716 * CHOOSE(CONTROL!$C$9, $D$9, 100%, $F$9) + CHOOSE(CONTROL!$C$27, 0.0021, 0)</f>
        <v>86.473699999999994</v>
      </c>
      <c r="F567" s="14">
        <f>86.4716 * CHOOSE(CONTROL!$C$9, $D$9, 100%, $F$9) + CHOOSE(CONTROL!$C$27, 0.0021, 0)</f>
        <v>86.473699999999994</v>
      </c>
      <c r="G567" s="14">
        <f>86.7429 * CHOOSE(CONTROL!$C$9, $D$9, 100%, $F$9) + CHOOSE(CONTROL!$C$27, 0.0021, 0)</f>
        <v>86.745000000000005</v>
      </c>
      <c r="H567" s="14">
        <f>86.6082 * CHOOSE(CONTROL!$C$9, $D$9, 100%, $F$9) + CHOOSE(CONTROL!$C$27, 0.0021, 0)</f>
        <v>86.610299999999995</v>
      </c>
      <c r="I567" s="14">
        <f>86.6082 * CHOOSE(CONTROL!$C$9, $D$9, 100%, $F$9) + CHOOSE(CONTROL!$C$27, 0.0021, 0)</f>
        <v>86.610299999999995</v>
      </c>
      <c r="J567" s="14">
        <f>86.6082 * CHOOSE(CONTROL!$C$9, $D$9, 100%, $F$9) + CHOOSE(CONTROL!$C$27, 0.0021, 0)</f>
        <v>86.610299999999995</v>
      </c>
      <c r="K567" s="14">
        <f>86.6082 * CHOOSE(CONTROL!$C$9, $D$9, 100%, $F$9) + CHOOSE(CONTROL!$C$27, 0.0021, 0)</f>
        <v>86.610299999999995</v>
      </c>
      <c r="L567" s="14"/>
    </row>
    <row r="568" spans="1:12" ht="15.75" x14ac:dyDescent="0.25">
      <c r="A568" s="32">
        <v>58226</v>
      </c>
      <c r="B568" s="14">
        <f>88.8202 * CHOOSE(CONTROL!$C$9, $D$9, 100%, $F$9) + CHOOSE(CONTROL!$C$27, 0.0021, 0)</f>
        <v>88.822299999999998</v>
      </c>
      <c r="C568" s="14">
        <f>88.388 * CHOOSE(CONTROL!$C$9, $D$9, 100%, $F$9) + CHOOSE(CONTROL!$C$27, 0.0021, 0)</f>
        <v>88.390100000000004</v>
      </c>
      <c r="D568" s="14">
        <f>88.388 * CHOOSE(CONTROL!$C$9, $D$9, 100%, $F$9) + CHOOSE(CONTROL!$C$27, 0.0021, 0)</f>
        <v>88.390100000000004</v>
      </c>
      <c r="E568" s="14">
        <f>88.2513 * CHOOSE(CONTROL!$C$9, $D$9, 100%, $F$9) + CHOOSE(CONTROL!$C$27, 0.0021, 0)</f>
        <v>88.253399999999999</v>
      </c>
      <c r="F568" s="14">
        <f>88.2513 * CHOOSE(CONTROL!$C$9, $D$9, 100%, $F$9) + CHOOSE(CONTROL!$C$27, 0.0021, 0)</f>
        <v>88.253399999999999</v>
      </c>
      <c r="G568" s="14">
        <f>88.5227 * CHOOSE(CONTROL!$C$9, $D$9, 100%, $F$9) + CHOOSE(CONTROL!$C$27, 0.0021, 0)</f>
        <v>88.524799999999999</v>
      </c>
      <c r="H568" s="14">
        <f>88.388 * CHOOSE(CONTROL!$C$9, $D$9, 100%, $F$9) + CHOOSE(CONTROL!$C$27, 0.0021, 0)</f>
        <v>88.390100000000004</v>
      </c>
      <c r="I568" s="14">
        <f>88.388 * CHOOSE(CONTROL!$C$9, $D$9, 100%, $F$9) + CHOOSE(CONTROL!$C$27, 0.0021, 0)</f>
        <v>88.390100000000004</v>
      </c>
      <c r="J568" s="14">
        <f>88.388 * CHOOSE(CONTROL!$C$9, $D$9, 100%, $F$9) + CHOOSE(CONTROL!$C$27, 0.0021, 0)</f>
        <v>88.390100000000004</v>
      </c>
      <c r="K568" s="14">
        <f>88.388 * CHOOSE(CONTROL!$C$9, $D$9, 100%, $F$9) + CHOOSE(CONTROL!$C$27, 0.0021, 0)</f>
        <v>88.390100000000004</v>
      </c>
      <c r="L568" s="14"/>
    </row>
    <row r="569" spans="1:12" ht="15.75" x14ac:dyDescent="0.25">
      <c r="A569" s="32">
        <v>58256</v>
      </c>
      <c r="B569" s="14">
        <f>89.8862 * CHOOSE(CONTROL!$C$9, $D$9, 100%, $F$9) + CHOOSE(CONTROL!$C$27, 0.0021, 0)</f>
        <v>89.888300000000001</v>
      </c>
      <c r="C569" s="14">
        <f>89.454 * CHOOSE(CONTROL!$C$9, $D$9, 100%, $F$9) + CHOOSE(CONTROL!$C$27, 0.0021, 0)</f>
        <v>89.456099999999992</v>
      </c>
      <c r="D569" s="14">
        <f>89.454 * CHOOSE(CONTROL!$C$9, $D$9, 100%, $F$9) + CHOOSE(CONTROL!$C$27, 0.0021, 0)</f>
        <v>89.456099999999992</v>
      </c>
      <c r="E569" s="14">
        <f>89.3173 * CHOOSE(CONTROL!$C$9, $D$9, 100%, $F$9) + CHOOSE(CONTROL!$C$27, 0.0021, 0)</f>
        <v>89.319400000000002</v>
      </c>
      <c r="F569" s="14">
        <f>89.3173 * CHOOSE(CONTROL!$C$9, $D$9, 100%, $F$9) + CHOOSE(CONTROL!$C$27, 0.0021, 0)</f>
        <v>89.319400000000002</v>
      </c>
      <c r="G569" s="14">
        <f>89.5887 * CHOOSE(CONTROL!$C$9, $D$9, 100%, $F$9) + CHOOSE(CONTROL!$C$27, 0.0021, 0)</f>
        <v>89.590800000000002</v>
      </c>
      <c r="H569" s="14">
        <f>89.454 * CHOOSE(CONTROL!$C$9, $D$9, 100%, $F$9) + CHOOSE(CONTROL!$C$27, 0.0021, 0)</f>
        <v>89.456099999999992</v>
      </c>
      <c r="I569" s="14">
        <f>89.454 * CHOOSE(CONTROL!$C$9, $D$9, 100%, $F$9) + CHOOSE(CONTROL!$C$27, 0.0021, 0)</f>
        <v>89.456099999999992</v>
      </c>
      <c r="J569" s="14">
        <f>89.454 * CHOOSE(CONTROL!$C$9, $D$9, 100%, $F$9) + CHOOSE(CONTROL!$C$27, 0.0021, 0)</f>
        <v>89.456099999999992</v>
      </c>
      <c r="K569" s="14">
        <f>89.454 * CHOOSE(CONTROL!$C$9, $D$9, 100%, $F$9) + CHOOSE(CONTROL!$C$27, 0.0021, 0)</f>
        <v>89.456099999999992</v>
      </c>
      <c r="L569" s="14"/>
    </row>
    <row r="570" spans="1:12" ht="15.75" x14ac:dyDescent="0.25">
      <c r="A570" s="32">
        <v>58287</v>
      </c>
      <c r="B570" s="14">
        <f>91.6447 * CHOOSE(CONTROL!$C$9, $D$9, 100%, $F$9) + CHOOSE(CONTROL!$C$27, 0.0021, 0)</f>
        <v>91.646799999999999</v>
      </c>
      <c r="C570" s="14">
        <f>91.2125 * CHOOSE(CONTROL!$C$9, $D$9, 100%, $F$9) + CHOOSE(CONTROL!$C$27, 0.0021, 0)</f>
        <v>91.214600000000004</v>
      </c>
      <c r="D570" s="14">
        <f>91.2125 * CHOOSE(CONTROL!$C$9, $D$9, 100%, $F$9) + CHOOSE(CONTROL!$C$27, 0.0021, 0)</f>
        <v>91.214600000000004</v>
      </c>
      <c r="E570" s="14">
        <f>91.0758 * CHOOSE(CONTROL!$C$9, $D$9, 100%, $F$9) + CHOOSE(CONTROL!$C$27, 0.0021, 0)</f>
        <v>91.0779</v>
      </c>
      <c r="F570" s="14">
        <f>91.0758 * CHOOSE(CONTROL!$C$9, $D$9, 100%, $F$9) + CHOOSE(CONTROL!$C$27, 0.0021, 0)</f>
        <v>91.0779</v>
      </c>
      <c r="G570" s="14">
        <f>91.3472 * CHOOSE(CONTROL!$C$9, $D$9, 100%, $F$9) + CHOOSE(CONTROL!$C$27, 0.0021, 0)</f>
        <v>91.349299999999999</v>
      </c>
      <c r="H570" s="14">
        <f>91.2125 * CHOOSE(CONTROL!$C$9, $D$9, 100%, $F$9) + CHOOSE(CONTROL!$C$27, 0.0021, 0)</f>
        <v>91.214600000000004</v>
      </c>
      <c r="I570" s="14">
        <f>91.2125 * CHOOSE(CONTROL!$C$9, $D$9, 100%, $F$9) + CHOOSE(CONTROL!$C$27, 0.0021, 0)</f>
        <v>91.214600000000004</v>
      </c>
      <c r="J570" s="14">
        <f>91.2125 * CHOOSE(CONTROL!$C$9, $D$9, 100%, $F$9) + CHOOSE(CONTROL!$C$27, 0.0021, 0)</f>
        <v>91.214600000000004</v>
      </c>
      <c r="K570" s="14">
        <f>91.2125 * CHOOSE(CONTROL!$C$9, $D$9, 100%, $F$9) + CHOOSE(CONTROL!$C$27, 0.0021, 0)</f>
        <v>91.214600000000004</v>
      </c>
      <c r="L570" s="14"/>
    </row>
    <row r="571" spans="1:12" ht="15.75" x14ac:dyDescent="0.25">
      <c r="A571" s="32">
        <v>58318</v>
      </c>
      <c r="B571" s="14">
        <f>92.1815 * CHOOSE(CONTROL!$C$9, $D$9, 100%, $F$9) + CHOOSE(CONTROL!$C$27, 0.0021, 0)</f>
        <v>92.183599999999998</v>
      </c>
      <c r="C571" s="14">
        <f>91.7492 * CHOOSE(CONTROL!$C$9, $D$9, 100%, $F$9) + CHOOSE(CONTROL!$C$27, 0.0021, 0)</f>
        <v>91.751300000000001</v>
      </c>
      <c r="D571" s="14">
        <f>91.7492 * CHOOSE(CONTROL!$C$9, $D$9, 100%, $F$9) + CHOOSE(CONTROL!$C$27, 0.0021, 0)</f>
        <v>91.751300000000001</v>
      </c>
      <c r="E571" s="14">
        <f>91.6126 * CHOOSE(CONTROL!$C$9, $D$9, 100%, $F$9) + CHOOSE(CONTROL!$C$27, 0.0021, 0)</f>
        <v>91.614699999999999</v>
      </c>
      <c r="F571" s="14">
        <f>91.6126 * CHOOSE(CONTROL!$C$9, $D$9, 100%, $F$9) + CHOOSE(CONTROL!$C$27, 0.0021, 0)</f>
        <v>91.614699999999999</v>
      </c>
      <c r="G571" s="14">
        <f>91.8839 * CHOOSE(CONTROL!$C$9, $D$9, 100%, $F$9) + CHOOSE(CONTROL!$C$27, 0.0021, 0)</f>
        <v>91.885999999999996</v>
      </c>
      <c r="H571" s="14">
        <f>91.7492 * CHOOSE(CONTROL!$C$9, $D$9, 100%, $F$9) + CHOOSE(CONTROL!$C$27, 0.0021, 0)</f>
        <v>91.751300000000001</v>
      </c>
      <c r="I571" s="14">
        <f>91.7492 * CHOOSE(CONTROL!$C$9, $D$9, 100%, $F$9) + CHOOSE(CONTROL!$C$27, 0.0021, 0)</f>
        <v>91.751300000000001</v>
      </c>
      <c r="J571" s="14">
        <f>91.7492 * CHOOSE(CONTROL!$C$9, $D$9, 100%, $F$9) + CHOOSE(CONTROL!$C$27, 0.0021, 0)</f>
        <v>91.751300000000001</v>
      </c>
      <c r="K571" s="14">
        <f>91.7492 * CHOOSE(CONTROL!$C$9, $D$9, 100%, $F$9) + CHOOSE(CONTROL!$C$27, 0.0021, 0)</f>
        <v>91.751300000000001</v>
      </c>
      <c r="L571" s="14"/>
    </row>
    <row r="572" spans="1:12" ht="15.75" x14ac:dyDescent="0.25">
      <c r="A572" s="32">
        <v>58348</v>
      </c>
      <c r="B572" s="14">
        <f>94.0094 * CHOOSE(CONTROL!$C$9, $D$9, 100%, $F$9) + CHOOSE(CONTROL!$C$27, 0.0021, 0)</f>
        <v>94.011499999999998</v>
      </c>
      <c r="C572" s="14">
        <f>93.5771 * CHOOSE(CONTROL!$C$9, $D$9, 100%, $F$9) + CHOOSE(CONTROL!$C$27, 0.0021, 0)</f>
        <v>93.5792</v>
      </c>
      <c r="D572" s="14">
        <f>93.5771 * CHOOSE(CONTROL!$C$9, $D$9, 100%, $F$9) + CHOOSE(CONTROL!$C$27, 0.0021, 0)</f>
        <v>93.5792</v>
      </c>
      <c r="E572" s="14">
        <f>93.4405 * CHOOSE(CONTROL!$C$9, $D$9, 100%, $F$9) + CHOOSE(CONTROL!$C$27, 0.0021, 0)</f>
        <v>93.442599999999999</v>
      </c>
      <c r="F572" s="14">
        <f>93.4405 * CHOOSE(CONTROL!$C$9, $D$9, 100%, $F$9) + CHOOSE(CONTROL!$C$27, 0.0021, 0)</f>
        <v>93.442599999999999</v>
      </c>
      <c r="G572" s="14">
        <f>93.7118 * CHOOSE(CONTROL!$C$9, $D$9, 100%, $F$9) + CHOOSE(CONTROL!$C$27, 0.0021, 0)</f>
        <v>93.713899999999995</v>
      </c>
      <c r="H572" s="14">
        <f>93.5771 * CHOOSE(CONTROL!$C$9, $D$9, 100%, $F$9) + CHOOSE(CONTROL!$C$27, 0.0021, 0)</f>
        <v>93.5792</v>
      </c>
      <c r="I572" s="14">
        <f>93.5771 * CHOOSE(CONTROL!$C$9, $D$9, 100%, $F$9) + CHOOSE(CONTROL!$C$27, 0.0021, 0)</f>
        <v>93.5792</v>
      </c>
      <c r="J572" s="14">
        <f>93.5771 * CHOOSE(CONTROL!$C$9, $D$9, 100%, $F$9) + CHOOSE(CONTROL!$C$27, 0.0021, 0)</f>
        <v>93.5792</v>
      </c>
      <c r="K572" s="14">
        <f>93.5771 * CHOOSE(CONTROL!$C$9, $D$9, 100%, $F$9) + CHOOSE(CONTROL!$C$27, 0.0021, 0)</f>
        <v>93.5792</v>
      </c>
      <c r="L572" s="14"/>
    </row>
    <row r="573" spans="1:12" ht="15.75" x14ac:dyDescent="0.25">
      <c r="A573" s="32">
        <v>58379</v>
      </c>
      <c r="B573" s="14">
        <f>96.3232 * CHOOSE(CONTROL!$C$9, $D$9, 100%, $F$9) + CHOOSE(CONTROL!$C$27, 0.0021, 0)</f>
        <v>96.325299999999999</v>
      </c>
      <c r="C573" s="14">
        <f>95.8909 * CHOOSE(CONTROL!$C$9, $D$9, 100%, $F$9) + CHOOSE(CONTROL!$C$27, 0.0021, 0)</f>
        <v>95.893000000000001</v>
      </c>
      <c r="D573" s="14">
        <f>95.8909 * CHOOSE(CONTROL!$C$9, $D$9, 100%, $F$9) + CHOOSE(CONTROL!$C$27, 0.0021, 0)</f>
        <v>95.893000000000001</v>
      </c>
      <c r="E573" s="14">
        <f>95.7543 * CHOOSE(CONTROL!$C$9, $D$9, 100%, $F$9) + CHOOSE(CONTROL!$C$27, 0.0021, 0)</f>
        <v>95.756399999999999</v>
      </c>
      <c r="F573" s="14">
        <f>95.7543 * CHOOSE(CONTROL!$C$9, $D$9, 100%, $F$9) + CHOOSE(CONTROL!$C$27, 0.0021, 0)</f>
        <v>95.756399999999999</v>
      </c>
      <c r="G573" s="14">
        <f>96.0256 * CHOOSE(CONTROL!$C$9, $D$9, 100%, $F$9) + CHOOSE(CONTROL!$C$27, 0.0021, 0)</f>
        <v>96.027699999999996</v>
      </c>
      <c r="H573" s="14">
        <f>95.8909 * CHOOSE(CONTROL!$C$9, $D$9, 100%, $F$9) + CHOOSE(CONTROL!$C$27, 0.0021, 0)</f>
        <v>95.893000000000001</v>
      </c>
      <c r="I573" s="14">
        <f>95.8909 * CHOOSE(CONTROL!$C$9, $D$9, 100%, $F$9) + CHOOSE(CONTROL!$C$27, 0.0021, 0)</f>
        <v>95.893000000000001</v>
      </c>
      <c r="J573" s="14">
        <f>95.8909 * CHOOSE(CONTROL!$C$9, $D$9, 100%, $F$9) + CHOOSE(CONTROL!$C$27, 0.0021, 0)</f>
        <v>95.893000000000001</v>
      </c>
      <c r="K573" s="14">
        <f>95.8909 * CHOOSE(CONTROL!$C$9, $D$9, 100%, $F$9) + CHOOSE(CONTROL!$C$27, 0.0021, 0)</f>
        <v>95.893000000000001</v>
      </c>
      <c r="L573" s="14"/>
    </row>
    <row r="574" spans="1:12" ht="15.75" x14ac:dyDescent="0.25">
      <c r="A574" s="32">
        <v>58409</v>
      </c>
      <c r="B574" s="14">
        <f>96.5404 * CHOOSE(CONTROL!$C$9, $D$9, 100%, $F$9) + CHOOSE(CONTROL!$C$27, 0.0021, 0)</f>
        <v>96.542500000000004</v>
      </c>
      <c r="C574" s="14">
        <f>96.1081 * CHOOSE(CONTROL!$C$9, $D$9, 100%, $F$9) + CHOOSE(CONTROL!$C$27, 0.0021, 0)</f>
        <v>96.110199999999992</v>
      </c>
      <c r="D574" s="14">
        <f>96.1081 * CHOOSE(CONTROL!$C$9, $D$9, 100%, $F$9) + CHOOSE(CONTROL!$C$27, 0.0021, 0)</f>
        <v>96.110199999999992</v>
      </c>
      <c r="E574" s="14">
        <f>95.9715 * CHOOSE(CONTROL!$C$9, $D$9, 100%, $F$9) + CHOOSE(CONTROL!$C$27, 0.0021, 0)</f>
        <v>95.973600000000005</v>
      </c>
      <c r="F574" s="14">
        <f>95.9715 * CHOOSE(CONTROL!$C$9, $D$9, 100%, $F$9) + CHOOSE(CONTROL!$C$27, 0.0021, 0)</f>
        <v>95.973600000000005</v>
      </c>
      <c r="G574" s="14">
        <f>96.2428 * CHOOSE(CONTROL!$C$9, $D$9, 100%, $F$9) + CHOOSE(CONTROL!$C$27, 0.0021, 0)</f>
        <v>96.244900000000001</v>
      </c>
      <c r="H574" s="14">
        <f>96.1081 * CHOOSE(CONTROL!$C$9, $D$9, 100%, $F$9) + CHOOSE(CONTROL!$C$27, 0.0021, 0)</f>
        <v>96.110199999999992</v>
      </c>
      <c r="I574" s="14">
        <f>96.1081 * CHOOSE(CONTROL!$C$9, $D$9, 100%, $F$9) + CHOOSE(CONTROL!$C$27, 0.0021, 0)</f>
        <v>96.110199999999992</v>
      </c>
      <c r="J574" s="14">
        <f>96.1081 * CHOOSE(CONTROL!$C$9, $D$9, 100%, $F$9) + CHOOSE(CONTROL!$C$27, 0.0021, 0)</f>
        <v>96.110199999999992</v>
      </c>
      <c r="K574" s="14">
        <f>96.1081 * CHOOSE(CONTROL!$C$9, $D$9, 100%, $F$9) + CHOOSE(CONTROL!$C$27, 0.0021, 0)</f>
        <v>96.110199999999992</v>
      </c>
      <c r="L574" s="14"/>
    </row>
    <row r="575" spans="1:12" ht="15.75" x14ac:dyDescent="0.25">
      <c r="A575" s="32">
        <v>58440</v>
      </c>
      <c r="B575" s="14">
        <f>94.6924 * CHOOSE(CONTROL!$C$9, $D$9, 100%, $F$9) + CHOOSE(CONTROL!$C$27, 0.0021, 0)</f>
        <v>94.694500000000005</v>
      </c>
      <c r="C575" s="14">
        <f>94.2601 * CHOOSE(CONTROL!$C$9, $D$9, 100%, $F$9) + CHOOSE(CONTROL!$C$27, 0.0021, 0)</f>
        <v>94.262199999999993</v>
      </c>
      <c r="D575" s="14">
        <f>94.2601 * CHOOSE(CONTROL!$C$9, $D$9, 100%, $F$9) + CHOOSE(CONTROL!$C$27, 0.0021, 0)</f>
        <v>94.262199999999993</v>
      </c>
      <c r="E575" s="14">
        <f>94.1235 * CHOOSE(CONTROL!$C$9, $D$9, 100%, $F$9) + CHOOSE(CONTROL!$C$27, 0.0021, 0)</f>
        <v>94.125600000000006</v>
      </c>
      <c r="F575" s="14">
        <f>94.1235 * CHOOSE(CONTROL!$C$9, $D$9, 100%, $F$9) + CHOOSE(CONTROL!$C$27, 0.0021, 0)</f>
        <v>94.125600000000006</v>
      </c>
      <c r="G575" s="14">
        <f>94.3949 * CHOOSE(CONTROL!$C$9, $D$9, 100%, $F$9) + CHOOSE(CONTROL!$C$27, 0.0021, 0)</f>
        <v>94.397000000000006</v>
      </c>
      <c r="H575" s="14">
        <f>94.2601 * CHOOSE(CONTROL!$C$9, $D$9, 100%, $F$9) + CHOOSE(CONTROL!$C$27, 0.0021, 0)</f>
        <v>94.262199999999993</v>
      </c>
      <c r="I575" s="14">
        <f>94.2601 * CHOOSE(CONTROL!$C$9, $D$9, 100%, $F$9) + CHOOSE(CONTROL!$C$27, 0.0021, 0)</f>
        <v>94.262199999999993</v>
      </c>
      <c r="J575" s="14">
        <f>94.2601 * CHOOSE(CONTROL!$C$9, $D$9, 100%, $F$9) + CHOOSE(CONTROL!$C$27, 0.0021, 0)</f>
        <v>94.262199999999993</v>
      </c>
      <c r="K575" s="14">
        <f>94.2601 * CHOOSE(CONTROL!$C$9, $D$9, 100%, $F$9) + CHOOSE(CONTROL!$C$27, 0.0021, 0)</f>
        <v>94.262199999999993</v>
      </c>
      <c r="L575" s="14"/>
    </row>
    <row r="576" spans="1:12" ht="15.75" x14ac:dyDescent="0.25">
      <c r="A576" s="32">
        <v>58471</v>
      </c>
      <c r="B576" s="14">
        <f>93.5244 * CHOOSE(CONTROL!$C$9, $D$9, 100%, $F$9) + CHOOSE(CONTROL!$C$27, 0.0021, 0)</f>
        <v>93.526499999999999</v>
      </c>
      <c r="C576" s="14">
        <f>93.0921 * CHOOSE(CONTROL!$C$9, $D$9, 100%, $F$9) + CHOOSE(CONTROL!$C$27, 0.0021, 0)</f>
        <v>93.094200000000001</v>
      </c>
      <c r="D576" s="14">
        <f>93.0921 * CHOOSE(CONTROL!$C$9, $D$9, 100%, $F$9) + CHOOSE(CONTROL!$C$27, 0.0021, 0)</f>
        <v>93.094200000000001</v>
      </c>
      <c r="E576" s="14">
        <f>92.9555 * CHOOSE(CONTROL!$C$9, $D$9, 100%, $F$9) + CHOOSE(CONTROL!$C$27, 0.0021, 0)</f>
        <v>92.957599999999999</v>
      </c>
      <c r="F576" s="14">
        <f>92.9555 * CHOOSE(CONTROL!$C$9, $D$9, 100%, $F$9) + CHOOSE(CONTROL!$C$27, 0.0021, 0)</f>
        <v>92.957599999999999</v>
      </c>
      <c r="G576" s="14">
        <f>93.2268 * CHOOSE(CONTROL!$C$9, $D$9, 100%, $F$9) + CHOOSE(CONTROL!$C$27, 0.0021, 0)</f>
        <v>93.228899999999996</v>
      </c>
      <c r="H576" s="14">
        <f>93.0921 * CHOOSE(CONTROL!$C$9, $D$9, 100%, $F$9) + CHOOSE(CONTROL!$C$27, 0.0021, 0)</f>
        <v>93.094200000000001</v>
      </c>
      <c r="I576" s="14">
        <f>93.0921 * CHOOSE(CONTROL!$C$9, $D$9, 100%, $F$9) + CHOOSE(CONTROL!$C$27, 0.0021, 0)</f>
        <v>93.094200000000001</v>
      </c>
      <c r="J576" s="14">
        <f>93.0921 * CHOOSE(CONTROL!$C$9, $D$9, 100%, $F$9) + CHOOSE(CONTROL!$C$27, 0.0021, 0)</f>
        <v>93.094200000000001</v>
      </c>
      <c r="K576" s="14">
        <f>93.0921 * CHOOSE(CONTROL!$C$9, $D$9, 100%, $F$9) + CHOOSE(CONTROL!$C$27, 0.0021, 0)</f>
        <v>93.094200000000001</v>
      </c>
      <c r="L576" s="14"/>
    </row>
    <row r="577" spans="1:12" ht="15.75" x14ac:dyDescent="0.25">
      <c r="A577" s="32">
        <v>58499</v>
      </c>
      <c r="B577" s="14">
        <f>90.9438 * CHOOSE(CONTROL!$C$9, $D$9, 100%, $F$9) + CHOOSE(CONTROL!$C$27, 0.0021, 0)</f>
        <v>90.945899999999995</v>
      </c>
      <c r="C577" s="14">
        <f>90.5116 * CHOOSE(CONTROL!$C$9, $D$9, 100%, $F$9) + CHOOSE(CONTROL!$C$27, 0.0021, 0)</f>
        <v>90.5137</v>
      </c>
      <c r="D577" s="14">
        <f>90.5116 * CHOOSE(CONTROL!$C$9, $D$9, 100%, $F$9) + CHOOSE(CONTROL!$C$27, 0.0021, 0)</f>
        <v>90.5137</v>
      </c>
      <c r="E577" s="14">
        <f>90.3749 * CHOOSE(CONTROL!$C$9, $D$9, 100%, $F$9) + CHOOSE(CONTROL!$C$27, 0.0021, 0)</f>
        <v>90.376999999999995</v>
      </c>
      <c r="F577" s="14">
        <f>90.3749 * CHOOSE(CONTROL!$C$9, $D$9, 100%, $F$9) + CHOOSE(CONTROL!$C$27, 0.0021, 0)</f>
        <v>90.376999999999995</v>
      </c>
      <c r="G577" s="14">
        <f>90.6463 * CHOOSE(CONTROL!$C$9, $D$9, 100%, $F$9) + CHOOSE(CONTROL!$C$27, 0.0021, 0)</f>
        <v>90.648399999999995</v>
      </c>
      <c r="H577" s="14">
        <f>90.5116 * CHOOSE(CONTROL!$C$9, $D$9, 100%, $F$9) + CHOOSE(CONTROL!$C$27, 0.0021, 0)</f>
        <v>90.5137</v>
      </c>
      <c r="I577" s="14">
        <f>90.5116 * CHOOSE(CONTROL!$C$9, $D$9, 100%, $F$9) + CHOOSE(CONTROL!$C$27, 0.0021, 0)</f>
        <v>90.5137</v>
      </c>
      <c r="J577" s="14">
        <f>90.5116 * CHOOSE(CONTROL!$C$9, $D$9, 100%, $F$9) + CHOOSE(CONTROL!$C$27, 0.0021, 0)</f>
        <v>90.5137</v>
      </c>
      <c r="K577" s="14">
        <f>90.5116 * CHOOSE(CONTROL!$C$9, $D$9, 100%, $F$9) + CHOOSE(CONTROL!$C$27, 0.0021, 0)</f>
        <v>90.5137</v>
      </c>
      <c r="L577" s="14"/>
    </row>
    <row r="578" spans="1:12" ht="15.75" x14ac:dyDescent="0.25">
      <c r="A578" s="32">
        <v>58531</v>
      </c>
      <c r="B578" s="14">
        <f>89.8786 * CHOOSE(CONTROL!$C$9, $D$9, 100%, $F$9) + CHOOSE(CONTROL!$C$27, 0.0021, 0)</f>
        <v>89.880700000000004</v>
      </c>
      <c r="C578" s="14">
        <f>89.4464 * CHOOSE(CONTROL!$C$9, $D$9, 100%, $F$9) + CHOOSE(CONTROL!$C$27, 0.0021, 0)</f>
        <v>89.448499999999996</v>
      </c>
      <c r="D578" s="14">
        <f>89.4464 * CHOOSE(CONTROL!$C$9, $D$9, 100%, $F$9) + CHOOSE(CONTROL!$C$27, 0.0021, 0)</f>
        <v>89.448499999999996</v>
      </c>
      <c r="E578" s="14">
        <f>89.3097 * CHOOSE(CONTROL!$C$9, $D$9, 100%, $F$9) + CHOOSE(CONTROL!$C$27, 0.0021, 0)</f>
        <v>89.311800000000005</v>
      </c>
      <c r="F578" s="14">
        <f>89.3097 * CHOOSE(CONTROL!$C$9, $D$9, 100%, $F$9) + CHOOSE(CONTROL!$C$27, 0.0021, 0)</f>
        <v>89.311800000000005</v>
      </c>
      <c r="G578" s="14">
        <f>89.5811 * CHOOSE(CONTROL!$C$9, $D$9, 100%, $F$9) + CHOOSE(CONTROL!$C$27, 0.0021, 0)</f>
        <v>89.583200000000005</v>
      </c>
      <c r="H578" s="14">
        <f>89.4464 * CHOOSE(CONTROL!$C$9, $D$9, 100%, $F$9) + CHOOSE(CONTROL!$C$27, 0.0021, 0)</f>
        <v>89.448499999999996</v>
      </c>
      <c r="I578" s="14">
        <f>89.4464 * CHOOSE(CONTROL!$C$9, $D$9, 100%, $F$9) + CHOOSE(CONTROL!$C$27, 0.0021, 0)</f>
        <v>89.448499999999996</v>
      </c>
      <c r="J578" s="14">
        <f>89.4464 * CHOOSE(CONTROL!$C$9, $D$9, 100%, $F$9) + CHOOSE(CONTROL!$C$27, 0.0021, 0)</f>
        <v>89.448499999999996</v>
      </c>
      <c r="K578" s="14">
        <f>89.4464 * CHOOSE(CONTROL!$C$9, $D$9, 100%, $F$9) + CHOOSE(CONTROL!$C$27, 0.0021, 0)</f>
        <v>89.448499999999996</v>
      </c>
      <c r="L578" s="14"/>
    </row>
    <row r="579" spans="1:12" ht="15.75" x14ac:dyDescent="0.25">
      <c r="A579" s="32">
        <v>58561</v>
      </c>
      <c r="B579" s="14">
        <f>88.6067 * CHOOSE(CONTROL!$C$9, $D$9, 100%, $F$9) + CHOOSE(CONTROL!$C$27, 0.0021, 0)</f>
        <v>88.608800000000002</v>
      </c>
      <c r="C579" s="14">
        <f>88.1744 * CHOOSE(CONTROL!$C$9, $D$9, 100%, $F$9) + CHOOSE(CONTROL!$C$27, 0.0021, 0)</f>
        <v>88.176500000000004</v>
      </c>
      <c r="D579" s="14">
        <f>88.1744 * CHOOSE(CONTROL!$C$9, $D$9, 100%, $F$9) + CHOOSE(CONTROL!$C$27, 0.0021, 0)</f>
        <v>88.176500000000004</v>
      </c>
      <c r="E579" s="14">
        <f>88.0378 * CHOOSE(CONTROL!$C$9, $D$9, 100%, $F$9) + CHOOSE(CONTROL!$C$27, 0.0021, 0)</f>
        <v>88.039900000000003</v>
      </c>
      <c r="F579" s="14">
        <f>88.0378 * CHOOSE(CONTROL!$C$9, $D$9, 100%, $F$9) + CHOOSE(CONTROL!$C$27, 0.0021, 0)</f>
        <v>88.039900000000003</v>
      </c>
      <c r="G579" s="14">
        <f>88.3091 * CHOOSE(CONTROL!$C$9, $D$9, 100%, $F$9) + CHOOSE(CONTROL!$C$27, 0.0021, 0)</f>
        <v>88.311199999999999</v>
      </c>
      <c r="H579" s="14">
        <f>88.1744 * CHOOSE(CONTROL!$C$9, $D$9, 100%, $F$9) + CHOOSE(CONTROL!$C$27, 0.0021, 0)</f>
        <v>88.176500000000004</v>
      </c>
      <c r="I579" s="14">
        <f>88.1744 * CHOOSE(CONTROL!$C$9, $D$9, 100%, $F$9) + CHOOSE(CONTROL!$C$27, 0.0021, 0)</f>
        <v>88.176500000000004</v>
      </c>
      <c r="J579" s="14">
        <f>88.1744 * CHOOSE(CONTROL!$C$9, $D$9, 100%, $F$9) + CHOOSE(CONTROL!$C$27, 0.0021, 0)</f>
        <v>88.176500000000004</v>
      </c>
      <c r="K579" s="14">
        <f>88.1744 * CHOOSE(CONTROL!$C$9, $D$9, 100%, $F$9) + CHOOSE(CONTROL!$C$27, 0.0021, 0)</f>
        <v>88.176500000000004</v>
      </c>
      <c r="L579" s="14"/>
    </row>
    <row r="580" spans="1:12" ht="15.75" x14ac:dyDescent="0.25">
      <c r="A580" s="32">
        <v>58592</v>
      </c>
      <c r="B580" s="14">
        <f>90.4193 * CHOOSE(CONTROL!$C$9, $D$9, 100%, $F$9) + CHOOSE(CONTROL!$C$27, 0.0021, 0)</f>
        <v>90.421400000000006</v>
      </c>
      <c r="C580" s="14">
        <f>89.9871 * CHOOSE(CONTROL!$C$9, $D$9, 100%, $F$9) + CHOOSE(CONTROL!$C$27, 0.0021, 0)</f>
        <v>89.989199999999997</v>
      </c>
      <c r="D580" s="14">
        <f>89.9871 * CHOOSE(CONTROL!$C$9, $D$9, 100%, $F$9) + CHOOSE(CONTROL!$C$27, 0.0021, 0)</f>
        <v>89.989199999999997</v>
      </c>
      <c r="E580" s="14">
        <f>89.8504 * CHOOSE(CONTROL!$C$9, $D$9, 100%, $F$9) + CHOOSE(CONTROL!$C$27, 0.0021, 0)</f>
        <v>89.852499999999992</v>
      </c>
      <c r="F580" s="14">
        <f>89.8504 * CHOOSE(CONTROL!$C$9, $D$9, 100%, $F$9) + CHOOSE(CONTROL!$C$27, 0.0021, 0)</f>
        <v>89.852499999999992</v>
      </c>
      <c r="G580" s="14">
        <f>90.1218 * CHOOSE(CONTROL!$C$9, $D$9, 100%, $F$9) + CHOOSE(CONTROL!$C$27, 0.0021, 0)</f>
        <v>90.123899999999992</v>
      </c>
      <c r="H580" s="14">
        <f>89.9871 * CHOOSE(CONTROL!$C$9, $D$9, 100%, $F$9) + CHOOSE(CONTROL!$C$27, 0.0021, 0)</f>
        <v>89.989199999999997</v>
      </c>
      <c r="I580" s="14">
        <f>89.9871 * CHOOSE(CONTROL!$C$9, $D$9, 100%, $F$9) + CHOOSE(CONTROL!$C$27, 0.0021, 0)</f>
        <v>89.989199999999997</v>
      </c>
      <c r="J580" s="14">
        <f>89.9871 * CHOOSE(CONTROL!$C$9, $D$9, 100%, $F$9) + CHOOSE(CONTROL!$C$27, 0.0021, 0)</f>
        <v>89.989199999999997</v>
      </c>
      <c r="K580" s="14">
        <f>89.9871 * CHOOSE(CONTROL!$C$9, $D$9, 100%, $F$9) + CHOOSE(CONTROL!$C$27, 0.0021, 0)</f>
        <v>89.989199999999997</v>
      </c>
      <c r="L580" s="14"/>
    </row>
    <row r="581" spans="1:12" ht="15.75" x14ac:dyDescent="0.25">
      <c r="A581" s="32">
        <v>58622</v>
      </c>
      <c r="B581" s="14">
        <f>91.505 * CHOOSE(CONTROL!$C$9, $D$9, 100%, $F$9) + CHOOSE(CONTROL!$C$27, 0.0021, 0)</f>
        <v>91.507099999999994</v>
      </c>
      <c r="C581" s="14">
        <f>91.0728 * CHOOSE(CONTROL!$C$9, $D$9, 100%, $F$9) + CHOOSE(CONTROL!$C$27, 0.0021, 0)</f>
        <v>91.0749</v>
      </c>
      <c r="D581" s="14">
        <f>91.0728 * CHOOSE(CONTROL!$C$9, $D$9, 100%, $F$9) + CHOOSE(CONTROL!$C$27, 0.0021, 0)</f>
        <v>91.0749</v>
      </c>
      <c r="E581" s="14">
        <f>90.9361 * CHOOSE(CONTROL!$C$9, $D$9, 100%, $F$9) + CHOOSE(CONTROL!$C$27, 0.0021, 0)</f>
        <v>90.938199999999995</v>
      </c>
      <c r="F581" s="14">
        <f>90.9361 * CHOOSE(CONTROL!$C$9, $D$9, 100%, $F$9) + CHOOSE(CONTROL!$C$27, 0.0021, 0)</f>
        <v>90.938199999999995</v>
      </c>
      <c r="G581" s="14">
        <f>91.2075 * CHOOSE(CONTROL!$C$9, $D$9, 100%, $F$9) + CHOOSE(CONTROL!$C$27, 0.0021, 0)</f>
        <v>91.209599999999995</v>
      </c>
      <c r="H581" s="14">
        <f>91.0728 * CHOOSE(CONTROL!$C$9, $D$9, 100%, $F$9) + CHOOSE(CONTROL!$C$27, 0.0021, 0)</f>
        <v>91.0749</v>
      </c>
      <c r="I581" s="14">
        <f>91.0728 * CHOOSE(CONTROL!$C$9, $D$9, 100%, $F$9) + CHOOSE(CONTROL!$C$27, 0.0021, 0)</f>
        <v>91.0749</v>
      </c>
      <c r="J581" s="14">
        <f>91.0728 * CHOOSE(CONTROL!$C$9, $D$9, 100%, $F$9) + CHOOSE(CONTROL!$C$27, 0.0021, 0)</f>
        <v>91.0749</v>
      </c>
      <c r="K581" s="14">
        <f>91.0728 * CHOOSE(CONTROL!$C$9, $D$9, 100%, $F$9) + CHOOSE(CONTROL!$C$27, 0.0021, 0)</f>
        <v>91.0749</v>
      </c>
      <c r="L581" s="14"/>
    </row>
    <row r="582" spans="1:12" ht="15.75" x14ac:dyDescent="0.25">
      <c r="A582" s="32">
        <v>58653</v>
      </c>
      <c r="B582" s="14">
        <f>93.296 * CHOOSE(CONTROL!$C$9, $D$9, 100%, $F$9) + CHOOSE(CONTROL!$C$27, 0.0021, 0)</f>
        <v>93.298100000000005</v>
      </c>
      <c r="C582" s="14">
        <f>92.8638 * CHOOSE(CONTROL!$C$9, $D$9, 100%, $F$9) + CHOOSE(CONTROL!$C$27, 0.0021, 0)</f>
        <v>92.865899999999996</v>
      </c>
      <c r="D582" s="14">
        <f>92.8638 * CHOOSE(CONTROL!$C$9, $D$9, 100%, $F$9) + CHOOSE(CONTROL!$C$27, 0.0021, 0)</f>
        <v>92.865899999999996</v>
      </c>
      <c r="E582" s="14">
        <f>92.7271 * CHOOSE(CONTROL!$C$9, $D$9, 100%, $F$9) + CHOOSE(CONTROL!$C$27, 0.0021, 0)</f>
        <v>92.729199999999992</v>
      </c>
      <c r="F582" s="14">
        <f>92.7271 * CHOOSE(CONTROL!$C$9, $D$9, 100%, $F$9) + CHOOSE(CONTROL!$C$27, 0.0021, 0)</f>
        <v>92.729199999999992</v>
      </c>
      <c r="G582" s="14">
        <f>92.9985 * CHOOSE(CONTROL!$C$9, $D$9, 100%, $F$9) + CHOOSE(CONTROL!$C$27, 0.0021, 0)</f>
        <v>93.000600000000006</v>
      </c>
      <c r="H582" s="14">
        <f>92.8638 * CHOOSE(CONTROL!$C$9, $D$9, 100%, $F$9) + CHOOSE(CONTROL!$C$27, 0.0021, 0)</f>
        <v>92.865899999999996</v>
      </c>
      <c r="I582" s="14">
        <f>92.8638 * CHOOSE(CONTROL!$C$9, $D$9, 100%, $F$9) + CHOOSE(CONTROL!$C$27, 0.0021, 0)</f>
        <v>92.865899999999996</v>
      </c>
      <c r="J582" s="14">
        <f>92.8638 * CHOOSE(CONTROL!$C$9, $D$9, 100%, $F$9) + CHOOSE(CONTROL!$C$27, 0.0021, 0)</f>
        <v>92.865899999999996</v>
      </c>
      <c r="K582" s="14">
        <f>92.8638 * CHOOSE(CONTROL!$C$9, $D$9, 100%, $F$9) + CHOOSE(CONTROL!$C$27, 0.0021, 0)</f>
        <v>92.865899999999996</v>
      </c>
      <c r="L582" s="14"/>
    </row>
    <row r="583" spans="1:12" ht="15.75" x14ac:dyDescent="0.25">
      <c r="A583" s="32">
        <v>58684</v>
      </c>
      <c r="B583" s="14">
        <f>93.8427 * CHOOSE(CONTROL!$C$9, $D$9, 100%, $F$9) + CHOOSE(CONTROL!$C$27, 0.0021, 0)</f>
        <v>93.844799999999992</v>
      </c>
      <c r="C583" s="14">
        <f>93.4104 * CHOOSE(CONTROL!$C$9, $D$9, 100%, $F$9) + CHOOSE(CONTROL!$C$27, 0.0021, 0)</f>
        <v>93.412499999999994</v>
      </c>
      <c r="D583" s="14">
        <f>93.4104 * CHOOSE(CONTROL!$C$9, $D$9, 100%, $F$9) + CHOOSE(CONTROL!$C$27, 0.0021, 0)</f>
        <v>93.412499999999994</v>
      </c>
      <c r="E583" s="14">
        <f>93.2738 * CHOOSE(CONTROL!$C$9, $D$9, 100%, $F$9) + CHOOSE(CONTROL!$C$27, 0.0021, 0)</f>
        <v>93.275899999999993</v>
      </c>
      <c r="F583" s="14">
        <f>93.2738 * CHOOSE(CONTROL!$C$9, $D$9, 100%, $F$9) + CHOOSE(CONTROL!$C$27, 0.0021, 0)</f>
        <v>93.275899999999993</v>
      </c>
      <c r="G583" s="14">
        <f>93.5452 * CHOOSE(CONTROL!$C$9, $D$9, 100%, $F$9) + CHOOSE(CONTROL!$C$27, 0.0021, 0)</f>
        <v>93.547299999999993</v>
      </c>
      <c r="H583" s="14">
        <f>93.4104 * CHOOSE(CONTROL!$C$9, $D$9, 100%, $F$9) + CHOOSE(CONTROL!$C$27, 0.0021, 0)</f>
        <v>93.412499999999994</v>
      </c>
      <c r="I583" s="14">
        <f>93.4104 * CHOOSE(CONTROL!$C$9, $D$9, 100%, $F$9) + CHOOSE(CONTROL!$C$27, 0.0021, 0)</f>
        <v>93.412499999999994</v>
      </c>
      <c r="J583" s="14">
        <f>93.4104 * CHOOSE(CONTROL!$C$9, $D$9, 100%, $F$9) + CHOOSE(CONTROL!$C$27, 0.0021, 0)</f>
        <v>93.412499999999994</v>
      </c>
      <c r="K583" s="14">
        <f>93.4104 * CHOOSE(CONTROL!$C$9, $D$9, 100%, $F$9) + CHOOSE(CONTROL!$C$27, 0.0021, 0)</f>
        <v>93.412499999999994</v>
      </c>
      <c r="L583" s="14"/>
    </row>
    <row r="584" spans="1:12" ht="15.75" x14ac:dyDescent="0.25">
      <c r="A584" s="32">
        <v>58714</v>
      </c>
      <c r="B584" s="14">
        <f>95.7044 * CHOOSE(CONTROL!$C$9, $D$9, 100%, $F$9) + CHOOSE(CONTROL!$C$27, 0.0021, 0)</f>
        <v>95.706500000000005</v>
      </c>
      <c r="C584" s="14">
        <f>95.2721 * CHOOSE(CONTROL!$C$9, $D$9, 100%, $F$9) + CHOOSE(CONTROL!$C$27, 0.0021, 0)</f>
        <v>95.274199999999993</v>
      </c>
      <c r="D584" s="14">
        <f>95.2721 * CHOOSE(CONTROL!$C$9, $D$9, 100%, $F$9) + CHOOSE(CONTROL!$C$27, 0.0021, 0)</f>
        <v>95.274199999999993</v>
      </c>
      <c r="E584" s="14">
        <f>95.1355 * CHOOSE(CONTROL!$C$9, $D$9, 100%, $F$9) + CHOOSE(CONTROL!$C$27, 0.0021, 0)</f>
        <v>95.137599999999992</v>
      </c>
      <c r="F584" s="14">
        <f>95.1355 * CHOOSE(CONTROL!$C$9, $D$9, 100%, $F$9) + CHOOSE(CONTROL!$C$27, 0.0021, 0)</f>
        <v>95.137599999999992</v>
      </c>
      <c r="G584" s="14">
        <f>95.4068 * CHOOSE(CONTROL!$C$9, $D$9, 100%, $F$9) + CHOOSE(CONTROL!$C$27, 0.0021, 0)</f>
        <v>95.408900000000003</v>
      </c>
      <c r="H584" s="14">
        <f>95.2721 * CHOOSE(CONTROL!$C$9, $D$9, 100%, $F$9) + CHOOSE(CONTROL!$C$27, 0.0021, 0)</f>
        <v>95.274199999999993</v>
      </c>
      <c r="I584" s="14">
        <f>95.2721 * CHOOSE(CONTROL!$C$9, $D$9, 100%, $F$9) + CHOOSE(CONTROL!$C$27, 0.0021, 0)</f>
        <v>95.274199999999993</v>
      </c>
      <c r="J584" s="14">
        <f>95.2721 * CHOOSE(CONTROL!$C$9, $D$9, 100%, $F$9) + CHOOSE(CONTROL!$C$27, 0.0021, 0)</f>
        <v>95.274199999999993</v>
      </c>
      <c r="K584" s="14">
        <f>95.2721 * CHOOSE(CONTROL!$C$9, $D$9, 100%, $F$9) + CHOOSE(CONTROL!$C$27, 0.0021, 0)</f>
        <v>95.274199999999993</v>
      </c>
      <c r="L584" s="14"/>
    </row>
    <row r="585" spans="1:12" ht="15.75" x14ac:dyDescent="0.25">
      <c r="A585" s="32">
        <v>58745</v>
      </c>
      <c r="B585" s="14">
        <f>98.0609 * CHOOSE(CONTROL!$C$9, $D$9, 100%, $F$9) + CHOOSE(CONTROL!$C$27, 0.0021, 0)</f>
        <v>98.063000000000002</v>
      </c>
      <c r="C585" s="14">
        <f>97.6287 * CHOOSE(CONTROL!$C$9, $D$9, 100%, $F$9) + CHOOSE(CONTROL!$C$27, 0.0021, 0)</f>
        <v>97.630799999999994</v>
      </c>
      <c r="D585" s="14">
        <f>97.6287 * CHOOSE(CONTROL!$C$9, $D$9, 100%, $F$9) + CHOOSE(CONTROL!$C$27, 0.0021, 0)</f>
        <v>97.630799999999994</v>
      </c>
      <c r="E585" s="14">
        <f>97.492 * CHOOSE(CONTROL!$C$9, $D$9, 100%, $F$9) + CHOOSE(CONTROL!$C$27, 0.0021, 0)</f>
        <v>97.494100000000003</v>
      </c>
      <c r="F585" s="14">
        <f>97.492 * CHOOSE(CONTROL!$C$9, $D$9, 100%, $F$9) + CHOOSE(CONTROL!$C$27, 0.0021, 0)</f>
        <v>97.494100000000003</v>
      </c>
      <c r="G585" s="14">
        <f>97.7634 * CHOOSE(CONTROL!$C$9, $D$9, 100%, $F$9) + CHOOSE(CONTROL!$C$27, 0.0021, 0)</f>
        <v>97.765500000000003</v>
      </c>
      <c r="H585" s="14">
        <f>97.6287 * CHOOSE(CONTROL!$C$9, $D$9, 100%, $F$9) + CHOOSE(CONTROL!$C$27, 0.0021, 0)</f>
        <v>97.630799999999994</v>
      </c>
      <c r="I585" s="14">
        <f>97.6287 * CHOOSE(CONTROL!$C$9, $D$9, 100%, $F$9) + CHOOSE(CONTROL!$C$27, 0.0021, 0)</f>
        <v>97.630799999999994</v>
      </c>
      <c r="J585" s="14">
        <f>97.6287 * CHOOSE(CONTROL!$C$9, $D$9, 100%, $F$9) + CHOOSE(CONTROL!$C$27, 0.0021, 0)</f>
        <v>97.630799999999994</v>
      </c>
      <c r="K585" s="14">
        <f>97.6287 * CHOOSE(CONTROL!$C$9, $D$9, 100%, $F$9) + CHOOSE(CONTROL!$C$27, 0.0021, 0)</f>
        <v>97.630799999999994</v>
      </c>
      <c r="L585" s="14"/>
    </row>
    <row r="586" spans="1:12" ht="15.75" x14ac:dyDescent="0.25">
      <c r="A586" s="32">
        <v>58775</v>
      </c>
      <c r="B586" s="14">
        <f>98.2821 * CHOOSE(CONTROL!$C$9, $D$9, 100%, $F$9) + CHOOSE(CONTROL!$C$27, 0.0021, 0)</f>
        <v>98.284199999999998</v>
      </c>
      <c r="C586" s="14">
        <f>97.8499 * CHOOSE(CONTROL!$C$9, $D$9, 100%, $F$9) + CHOOSE(CONTROL!$C$27, 0.0021, 0)</f>
        <v>97.852000000000004</v>
      </c>
      <c r="D586" s="14">
        <f>97.8499 * CHOOSE(CONTROL!$C$9, $D$9, 100%, $F$9) + CHOOSE(CONTROL!$C$27, 0.0021, 0)</f>
        <v>97.852000000000004</v>
      </c>
      <c r="E586" s="14">
        <f>97.7132 * CHOOSE(CONTROL!$C$9, $D$9, 100%, $F$9) + CHOOSE(CONTROL!$C$27, 0.0021, 0)</f>
        <v>97.715299999999999</v>
      </c>
      <c r="F586" s="14">
        <f>97.7132 * CHOOSE(CONTROL!$C$9, $D$9, 100%, $F$9) + CHOOSE(CONTROL!$C$27, 0.0021, 0)</f>
        <v>97.715299999999999</v>
      </c>
      <c r="G586" s="14">
        <f>97.9846 * CHOOSE(CONTROL!$C$9, $D$9, 100%, $F$9) + CHOOSE(CONTROL!$C$27, 0.0021, 0)</f>
        <v>97.986699999999999</v>
      </c>
      <c r="H586" s="14">
        <f>97.8499 * CHOOSE(CONTROL!$C$9, $D$9, 100%, $F$9) + CHOOSE(CONTROL!$C$27, 0.0021, 0)</f>
        <v>97.852000000000004</v>
      </c>
      <c r="I586" s="14">
        <f>97.8499 * CHOOSE(CONTROL!$C$9, $D$9, 100%, $F$9) + CHOOSE(CONTROL!$C$27, 0.0021, 0)</f>
        <v>97.852000000000004</v>
      </c>
      <c r="J586" s="14">
        <f>97.8499 * CHOOSE(CONTROL!$C$9, $D$9, 100%, $F$9) + CHOOSE(CONTROL!$C$27, 0.0021, 0)</f>
        <v>97.852000000000004</v>
      </c>
      <c r="K586" s="14">
        <f>97.8499 * CHOOSE(CONTROL!$C$9, $D$9, 100%, $F$9) + CHOOSE(CONTROL!$C$27, 0.0021, 0)</f>
        <v>97.852000000000004</v>
      </c>
      <c r="L586" s="14"/>
    </row>
    <row r="587" spans="1:12" ht="15.75" x14ac:dyDescent="0.25">
      <c r="A587" s="32">
        <v>58806</v>
      </c>
      <c r="B587" s="14">
        <f>96.4 * CHOOSE(CONTROL!$C$9, $D$9, 100%, $F$9) + CHOOSE(CONTROL!$C$27, 0.0021, 0)</f>
        <v>96.402100000000004</v>
      </c>
      <c r="C587" s="14">
        <f>95.9678 * CHOOSE(CONTROL!$C$9, $D$9, 100%, $F$9) + CHOOSE(CONTROL!$C$27, 0.0021, 0)</f>
        <v>95.969899999999996</v>
      </c>
      <c r="D587" s="14">
        <f>95.9678 * CHOOSE(CONTROL!$C$9, $D$9, 100%, $F$9) + CHOOSE(CONTROL!$C$27, 0.0021, 0)</f>
        <v>95.969899999999996</v>
      </c>
      <c r="E587" s="14">
        <f>95.8311 * CHOOSE(CONTROL!$C$9, $D$9, 100%, $F$9) + CHOOSE(CONTROL!$C$27, 0.0021, 0)</f>
        <v>95.833200000000005</v>
      </c>
      <c r="F587" s="14">
        <f>95.8311 * CHOOSE(CONTROL!$C$9, $D$9, 100%, $F$9) + CHOOSE(CONTROL!$C$27, 0.0021, 0)</f>
        <v>95.833200000000005</v>
      </c>
      <c r="G587" s="14">
        <f>96.1025 * CHOOSE(CONTROL!$C$9, $D$9, 100%, $F$9) + CHOOSE(CONTROL!$C$27, 0.0021, 0)</f>
        <v>96.104600000000005</v>
      </c>
      <c r="H587" s="14">
        <f>95.9678 * CHOOSE(CONTROL!$C$9, $D$9, 100%, $F$9) + CHOOSE(CONTROL!$C$27, 0.0021, 0)</f>
        <v>95.969899999999996</v>
      </c>
      <c r="I587" s="14">
        <f>95.9678 * CHOOSE(CONTROL!$C$9, $D$9, 100%, $F$9) + CHOOSE(CONTROL!$C$27, 0.0021, 0)</f>
        <v>95.969899999999996</v>
      </c>
      <c r="J587" s="14">
        <f>95.9678 * CHOOSE(CONTROL!$C$9, $D$9, 100%, $F$9) + CHOOSE(CONTROL!$C$27, 0.0021, 0)</f>
        <v>95.969899999999996</v>
      </c>
      <c r="K587" s="14">
        <f>95.9678 * CHOOSE(CONTROL!$C$9, $D$9, 100%, $F$9) + CHOOSE(CONTROL!$C$27, 0.0021, 0)</f>
        <v>95.969899999999996</v>
      </c>
      <c r="L587" s="14"/>
    </row>
    <row r="588" spans="1:12" ht="15.75" x14ac:dyDescent="0.25">
      <c r="A588" s="32">
        <v>58837</v>
      </c>
      <c r="B588" s="14">
        <f>95.2104 * CHOOSE(CONTROL!$C$9, $D$9, 100%, $F$9) + CHOOSE(CONTROL!$C$27, 0.0021, 0)</f>
        <v>95.212500000000006</v>
      </c>
      <c r="C588" s="14">
        <f>94.7782 * CHOOSE(CONTROL!$C$9, $D$9, 100%, $F$9) + CHOOSE(CONTROL!$C$27, 0.0021, 0)</f>
        <v>94.780299999999997</v>
      </c>
      <c r="D588" s="14">
        <f>94.7782 * CHOOSE(CONTROL!$C$9, $D$9, 100%, $F$9) + CHOOSE(CONTROL!$C$27, 0.0021, 0)</f>
        <v>94.780299999999997</v>
      </c>
      <c r="E588" s="14">
        <f>94.6415 * CHOOSE(CONTROL!$C$9, $D$9, 100%, $F$9) + CHOOSE(CONTROL!$C$27, 0.0021, 0)</f>
        <v>94.643599999999992</v>
      </c>
      <c r="F588" s="14">
        <f>94.6415 * CHOOSE(CONTROL!$C$9, $D$9, 100%, $F$9) + CHOOSE(CONTROL!$C$27, 0.0021, 0)</f>
        <v>94.643599999999992</v>
      </c>
      <c r="G588" s="14">
        <f>94.9129 * CHOOSE(CONTROL!$C$9, $D$9, 100%, $F$9) + CHOOSE(CONTROL!$C$27, 0.0021, 0)</f>
        <v>94.914999999999992</v>
      </c>
      <c r="H588" s="14">
        <f>94.7782 * CHOOSE(CONTROL!$C$9, $D$9, 100%, $F$9) + CHOOSE(CONTROL!$C$27, 0.0021, 0)</f>
        <v>94.780299999999997</v>
      </c>
      <c r="I588" s="14">
        <f>94.7782 * CHOOSE(CONTROL!$C$9, $D$9, 100%, $F$9) + CHOOSE(CONTROL!$C$27, 0.0021, 0)</f>
        <v>94.780299999999997</v>
      </c>
      <c r="J588" s="14">
        <f>94.7782 * CHOOSE(CONTROL!$C$9, $D$9, 100%, $F$9) + CHOOSE(CONTROL!$C$27, 0.0021, 0)</f>
        <v>94.780299999999997</v>
      </c>
      <c r="K588" s="14">
        <f>94.7782 * CHOOSE(CONTROL!$C$9, $D$9, 100%, $F$9) + CHOOSE(CONTROL!$C$27, 0.0021, 0)</f>
        <v>94.780299999999997</v>
      </c>
      <c r="L588" s="14"/>
    </row>
    <row r="589" spans="1:12" ht="15.75" x14ac:dyDescent="0.25">
      <c r="A589" s="32">
        <v>58865</v>
      </c>
      <c r="B589" s="14">
        <f>92.5822 * CHOOSE(CONTROL!$C$9, $D$9, 100%, $F$9) + CHOOSE(CONTROL!$C$27, 0.0021, 0)</f>
        <v>92.584299999999999</v>
      </c>
      <c r="C589" s="14">
        <f>92.1499 * CHOOSE(CONTROL!$C$9, $D$9, 100%, $F$9) + CHOOSE(CONTROL!$C$27, 0.0021, 0)</f>
        <v>92.152000000000001</v>
      </c>
      <c r="D589" s="14">
        <f>92.1499 * CHOOSE(CONTROL!$C$9, $D$9, 100%, $F$9) + CHOOSE(CONTROL!$C$27, 0.0021, 0)</f>
        <v>92.152000000000001</v>
      </c>
      <c r="E589" s="14">
        <f>92.0133 * CHOOSE(CONTROL!$C$9, $D$9, 100%, $F$9) + CHOOSE(CONTROL!$C$27, 0.0021, 0)</f>
        <v>92.0154</v>
      </c>
      <c r="F589" s="14">
        <f>92.0133 * CHOOSE(CONTROL!$C$9, $D$9, 100%, $F$9) + CHOOSE(CONTROL!$C$27, 0.0021, 0)</f>
        <v>92.0154</v>
      </c>
      <c r="G589" s="14">
        <f>92.2847 * CHOOSE(CONTROL!$C$9, $D$9, 100%, $F$9) + CHOOSE(CONTROL!$C$27, 0.0021, 0)</f>
        <v>92.286799999999999</v>
      </c>
      <c r="H589" s="14">
        <f>92.1499 * CHOOSE(CONTROL!$C$9, $D$9, 100%, $F$9) + CHOOSE(CONTROL!$C$27, 0.0021, 0)</f>
        <v>92.152000000000001</v>
      </c>
      <c r="I589" s="14">
        <f>92.1499 * CHOOSE(CONTROL!$C$9, $D$9, 100%, $F$9) + CHOOSE(CONTROL!$C$27, 0.0021, 0)</f>
        <v>92.152000000000001</v>
      </c>
      <c r="J589" s="14">
        <f>92.1499 * CHOOSE(CONTROL!$C$9, $D$9, 100%, $F$9) + CHOOSE(CONTROL!$C$27, 0.0021, 0)</f>
        <v>92.152000000000001</v>
      </c>
      <c r="K589" s="14">
        <f>92.1499 * CHOOSE(CONTROL!$C$9, $D$9, 100%, $F$9) + CHOOSE(CONTROL!$C$27, 0.0021, 0)</f>
        <v>92.152000000000001</v>
      </c>
      <c r="L589" s="14"/>
    </row>
    <row r="590" spans="1:12" ht="15.75" x14ac:dyDescent="0.25">
      <c r="A590" s="32">
        <v>58893</v>
      </c>
      <c r="B590" s="14">
        <f>91.4973 * CHOOSE(CONTROL!$C$9, $D$9, 100%, $F$9) + CHOOSE(CONTROL!$C$27, 0.0021, 0)</f>
        <v>91.499399999999994</v>
      </c>
      <c r="C590" s="14">
        <f>91.065 * CHOOSE(CONTROL!$C$9, $D$9, 100%, $F$9) + CHOOSE(CONTROL!$C$27, 0.0021, 0)</f>
        <v>91.067099999999996</v>
      </c>
      <c r="D590" s="14">
        <f>91.065 * CHOOSE(CONTROL!$C$9, $D$9, 100%, $F$9) + CHOOSE(CONTROL!$C$27, 0.0021, 0)</f>
        <v>91.067099999999996</v>
      </c>
      <c r="E590" s="14">
        <f>90.9284 * CHOOSE(CONTROL!$C$9, $D$9, 100%, $F$9) + CHOOSE(CONTROL!$C$27, 0.0021, 0)</f>
        <v>90.930499999999995</v>
      </c>
      <c r="F590" s="14">
        <f>90.9284 * CHOOSE(CONTROL!$C$9, $D$9, 100%, $F$9) + CHOOSE(CONTROL!$C$27, 0.0021, 0)</f>
        <v>90.930499999999995</v>
      </c>
      <c r="G590" s="14">
        <f>91.1997 * CHOOSE(CONTROL!$C$9, $D$9, 100%, $F$9) + CHOOSE(CONTROL!$C$27, 0.0021, 0)</f>
        <v>91.201800000000006</v>
      </c>
      <c r="H590" s="14">
        <f>91.065 * CHOOSE(CONTROL!$C$9, $D$9, 100%, $F$9) + CHOOSE(CONTROL!$C$27, 0.0021, 0)</f>
        <v>91.067099999999996</v>
      </c>
      <c r="I590" s="14">
        <f>91.065 * CHOOSE(CONTROL!$C$9, $D$9, 100%, $F$9) + CHOOSE(CONTROL!$C$27, 0.0021, 0)</f>
        <v>91.067099999999996</v>
      </c>
      <c r="J590" s="14">
        <f>91.065 * CHOOSE(CONTROL!$C$9, $D$9, 100%, $F$9) + CHOOSE(CONTROL!$C$27, 0.0021, 0)</f>
        <v>91.067099999999996</v>
      </c>
      <c r="K590" s="14">
        <f>91.065 * CHOOSE(CONTROL!$C$9, $D$9, 100%, $F$9) + CHOOSE(CONTROL!$C$27, 0.0021, 0)</f>
        <v>91.067099999999996</v>
      </c>
      <c r="L590" s="14"/>
    </row>
    <row r="591" spans="1:12" ht="15.75" x14ac:dyDescent="0.25">
      <c r="A591" s="32">
        <v>58926</v>
      </c>
      <c r="B591" s="14">
        <f>90.2018 * CHOOSE(CONTROL!$C$9, $D$9, 100%, $F$9) + CHOOSE(CONTROL!$C$27, 0.0021, 0)</f>
        <v>90.203900000000004</v>
      </c>
      <c r="C591" s="14">
        <f>89.7696 * CHOOSE(CONTROL!$C$9, $D$9, 100%, $F$9) + CHOOSE(CONTROL!$C$27, 0.0021, 0)</f>
        <v>89.771699999999996</v>
      </c>
      <c r="D591" s="14">
        <f>89.7696 * CHOOSE(CONTROL!$C$9, $D$9, 100%, $F$9) + CHOOSE(CONTROL!$C$27, 0.0021, 0)</f>
        <v>89.771699999999996</v>
      </c>
      <c r="E591" s="14">
        <f>89.6329 * CHOOSE(CONTROL!$C$9, $D$9, 100%, $F$9) + CHOOSE(CONTROL!$C$27, 0.0021, 0)</f>
        <v>89.635000000000005</v>
      </c>
      <c r="F591" s="14">
        <f>89.6329 * CHOOSE(CONTROL!$C$9, $D$9, 100%, $F$9) + CHOOSE(CONTROL!$C$27, 0.0021, 0)</f>
        <v>89.635000000000005</v>
      </c>
      <c r="G591" s="14">
        <f>89.9043 * CHOOSE(CONTROL!$C$9, $D$9, 100%, $F$9) + CHOOSE(CONTROL!$C$27, 0.0021, 0)</f>
        <v>89.906400000000005</v>
      </c>
      <c r="H591" s="14">
        <f>89.7696 * CHOOSE(CONTROL!$C$9, $D$9, 100%, $F$9) + CHOOSE(CONTROL!$C$27, 0.0021, 0)</f>
        <v>89.771699999999996</v>
      </c>
      <c r="I591" s="14">
        <f>89.7696 * CHOOSE(CONTROL!$C$9, $D$9, 100%, $F$9) + CHOOSE(CONTROL!$C$27, 0.0021, 0)</f>
        <v>89.771699999999996</v>
      </c>
      <c r="J591" s="14">
        <f>89.7696 * CHOOSE(CONTROL!$C$9, $D$9, 100%, $F$9) + CHOOSE(CONTROL!$C$27, 0.0021, 0)</f>
        <v>89.771699999999996</v>
      </c>
      <c r="K591" s="14">
        <f>89.7696 * CHOOSE(CONTROL!$C$9, $D$9, 100%, $F$9) + CHOOSE(CONTROL!$C$27, 0.0021, 0)</f>
        <v>89.771699999999996</v>
      </c>
      <c r="L591" s="14"/>
    </row>
    <row r="592" spans="1:12" ht="15.75" x14ac:dyDescent="0.25">
      <c r="A592" s="32">
        <v>58957</v>
      </c>
      <c r="B592" s="14">
        <f>92.048 * CHOOSE(CONTROL!$C$9, $D$9, 100%, $F$9) + CHOOSE(CONTROL!$C$27, 0.0021, 0)</f>
        <v>92.0501</v>
      </c>
      <c r="C592" s="14">
        <f>91.6157 * CHOOSE(CONTROL!$C$9, $D$9, 100%, $F$9) + CHOOSE(CONTROL!$C$27, 0.0021, 0)</f>
        <v>91.617800000000003</v>
      </c>
      <c r="D592" s="14">
        <f>91.6157 * CHOOSE(CONTROL!$C$9, $D$9, 100%, $F$9) + CHOOSE(CONTROL!$C$27, 0.0021, 0)</f>
        <v>91.617800000000003</v>
      </c>
      <c r="E592" s="14">
        <f>91.4791 * CHOOSE(CONTROL!$C$9, $D$9, 100%, $F$9) + CHOOSE(CONTROL!$C$27, 0.0021, 0)</f>
        <v>91.481200000000001</v>
      </c>
      <c r="F592" s="14">
        <f>91.4791 * CHOOSE(CONTROL!$C$9, $D$9, 100%, $F$9) + CHOOSE(CONTROL!$C$27, 0.0021, 0)</f>
        <v>91.481200000000001</v>
      </c>
      <c r="G592" s="14">
        <f>91.7504 * CHOOSE(CONTROL!$C$9, $D$9, 100%, $F$9) + CHOOSE(CONTROL!$C$27, 0.0021, 0)</f>
        <v>91.752499999999998</v>
      </c>
      <c r="H592" s="14">
        <f>91.6157 * CHOOSE(CONTROL!$C$9, $D$9, 100%, $F$9) + CHOOSE(CONTROL!$C$27, 0.0021, 0)</f>
        <v>91.617800000000003</v>
      </c>
      <c r="I592" s="14">
        <f>91.6157 * CHOOSE(CONTROL!$C$9, $D$9, 100%, $F$9) + CHOOSE(CONTROL!$C$27, 0.0021, 0)</f>
        <v>91.617800000000003</v>
      </c>
      <c r="J592" s="14">
        <f>91.6157 * CHOOSE(CONTROL!$C$9, $D$9, 100%, $F$9) + CHOOSE(CONTROL!$C$27, 0.0021, 0)</f>
        <v>91.617800000000003</v>
      </c>
      <c r="K592" s="14">
        <f>91.6157 * CHOOSE(CONTROL!$C$9, $D$9, 100%, $F$9) + CHOOSE(CONTROL!$C$27, 0.0021, 0)</f>
        <v>91.617800000000003</v>
      </c>
      <c r="L592" s="14"/>
    </row>
    <row r="593" spans="1:12" ht="15.75" x14ac:dyDescent="0.25">
      <c r="A593" s="32">
        <v>58987</v>
      </c>
      <c r="B593" s="14">
        <f>93.1537 * CHOOSE(CONTROL!$C$9, $D$9, 100%, $F$9) + CHOOSE(CONTROL!$C$27, 0.0021, 0)</f>
        <v>93.155799999999999</v>
      </c>
      <c r="C593" s="14">
        <f>92.7215 * CHOOSE(CONTROL!$C$9, $D$9, 100%, $F$9) + CHOOSE(CONTROL!$C$27, 0.0021, 0)</f>
        <v>92.723600000000005</v>
      </c>
      <c r="D593" s="14">
        <f>92.7215 * CHOOSE(CONTROL!$C$9, $D$9, 100%, $F$9) + CHOOSE(CONTROL!$C$27, 0.0021, 0)</f>
        <v>92.723600000000005</v>
      </c>
      <c r="E593" s="14">
        <f>92.5848 * CHOOSE(CONTROL!$C$9, $D$9, 100%, $F$9) + CHOOSE(CONTROL!$C$27, 0.0021, 0)</f>
        <v>92.5869</v>
      </c>
      <c r="F593" s="14">
        <f>92.5848 * CHOOSE(CONTROL!$C$9, $D$9, 100%, $F$9) + CHOOSE(CONTROL!$C$27, 0.0021, 0)</f>
        <v>92.5869</v>
      </c>
      <c r="G593" s="14">
        <f>92.8562 * CHOOSE(CONTROL!$C$9, $D$9, 100%, $F$9) + CHOOSE(CONTROL!$C$27, 0.0021, 0)</f>
        <v>92.8583</v>
      </c>
      <c r="H593" s="14">
        <f>92.7215 * CHOOSE(CONTROL!$C$9, $D$9, 100%, $F$9) + CHOOSE(CONTROL!$C$27, 0.0021, 0)</f>
        <v>92.723600000000005</v>
      </c>
      <c r="I593" s="14">
        <f>92.7215 * CHOOSE(CONTROL!$C$9, $D$9, 100%, $F$9) + CHOOSE(CONTROL!$C$27, 0.0021, 0)</f>
        <v>92.723600000000005</v>
      </c>
      <c r="J593" s="14">
        <f>92.7215 * CHOOSE(CONTROL!$C$9, $D$9, 100%, $F$9) + CHOOSE(CONTROL!$C$27, 0.0021, 0)</f>
        <v>92.723600000000005</v>
      </c>
      <c r="K593" s="14">
        <f>92.7215 * CHOOSE(CONTROL!$C$9, $D$9, 100%, $F$9) + CHOOSE(CONTROL!$C$27, 0.0021, 0)</f>
        <v>92.723600000000005</v>
      </c>
      <c r="L593" s="14"/>
    </row>
    <row r="594" spans="1:12" ht="15.75" x14ac:dyDescent="0.25">
      <c r="A594" s="32">
        <v>59018</v>
      </c>
      <c r="B594" s="14">
        <f>94.9778 * CHOOSE(CONTROL!$C$9, $D$9, 100%, $F$9) + CHOOSE(CONTROL!$C$27, 0.0021, 0)</f>
        <v>94.979900000000001</v>
      </c>
      <c r="C594" s="14">
        <f>94.5456 * CHOOSE(CONTROL!$C$9, $D$9, 100%, $F$9) + CHOOSE(CONTROL!$C$27, 0.0021, 0)</f>
        <v>94.547699999999992</v>
      </c>
      <c r="D594" s="14">
        <f>94.5456 * CHOOSE(CONTROL!$C$9, $D$9, 100%, $F$9) + CHOOSE(CONTROL!$C$27, 0.0021, 0)</f>
        <v>94.547699999999992</v>
      </c>
      <c r="E594" s="14">
        <f>94.4089 * CHOOSE(CONTROL!$C$9, $D$9, 100%, $F$9) + CHOOSE(CONTROL!$C$27, 0.0021, 0)</f>
        <v>94.411000000000001</v>
      </c>
      <c r="F594" s="14">
        <f>94.4089 * CHOOSE(CONTROL!$C$9, $D$9, 100%, $F$9) + CHOOSE(CONTROL!$C$27, 0.0021, 0)</f>
        <v>94.411000000000001</v>
      </c>
      <c r="G594" s="14">
        <f>94.6803 * CHOOSE(CONTROL!$C$9, $D$9, 100%, $F$9) + CHOOSE(CONTROL!$C$27, 0.0021, 0)</f>
        <v>94.682400000000001</v>
      </c>
      <c r="H594" s="14">
        <f>94.5456 * CHOOSE(CONTROL!$C$9, $D$9, 100%, $F$9) + CHOOSE(CONTROL!$C$27, 0.0021, 0)</f>
        <v>94.547699999999992</v>
      </c>
      <c r="I594" s="14">
        <f>94.5456 * CHOOSE(CONTROL!$C$9, $D$9, 100%, $F$9) + CHOOSE(CONTROL!$C$27, 0.0021, 0)</f>
        <v>94.547699999999992</v>
      </c>
      <c r="J594" s="14">
        <f>94.5456 * CHOOSE(CONTROL!$C$9, $D$9, 100%, $F$9) + CHOOSE(CONTROL!$C$27, 0.0021, 0)</f>
        <v>94.547699999999992</v>
      </c>
      <c r="K594" s="14">
        <f>94.5456 * CHOOSE(CONTROL!$C$9, $D$9, 100%, $F$9) + CHOOSE(CONTROL!$C$27, 0.0021, 0)</f>
        <v>94.547699999999992</v>
      </c>
      <c r="L594" s="14"/>
    </row>
    <row r="595" spans="1:12" ht="15.75" x14ac:dyDescent="0.25">
      <c r="A595" s="32">
        <v>59049</v>
      </c>
      <c r="B595" s="14">
        <f>95.5346 * CHOOSE(CONTROL!$C$9, $D$9, 100%, $F$9) + CHOOSE(CONTROL!$C$27, 0.0021, 0)</f>
        <v>95.536699999999996</v>
      </c>
      <c r="C595" s="14">
        <f>95.1024 * CHOOSE(CONTROL!$C$9, $D$9, 100%, $F$9) + CHOOSE(CONTROL!$C$27, 0.0021, 0)</f>
        <v>95.104500000000002</v>
      </c>
      <c r="D595" s="14">
        <f>95.1024 * CHOOSE(CONTROL!$C$9, $D$9, 100%, $F$9) + CHOOSE(CONTROL!$C$27, 0.0021, 0)</f>
        <v>95.104500000000002</v>
      </c>
      <c r="E595" s="14">
        <f>94.9657 * CHOOSE(CONTROL!$C$9, $D$9, 100%, $F$9) + CHOOSE(CONTROL!$C$27, 0.0021, 0)</f>
        <v>94.967799999999997</v>
      </c>
      <c r="F595" s="14">
        <f>94.9657 * CHOOSE(CONTROL!$C$9, $D$9, 100%, $F$9) + CHOOSE(CONTROL!$C$27, 0.0021, 0)</f>
        <v>94.967799999999997</v>
      </c>
      <c r="G595" s="14">
        <f>95.2371 * CHOOSE(CONTROL!$C$9, $D$9, 100%, $F$9) + CHOOSE(CONTROL!$C$27, 0.0021, 0)</f>
        <v>95.239199999999997</v>
      </c>
      <c r="H595" s="14">
        <f>95.1024 * CHOOSE(CONTROL!$C$9, $D$9, 100%, $F$9) + CHOOSE(CONTROL!$C$27, 0.0021, 0)</f>
        <v>95.104500000000002</v>
      </c>
      <c r="I595" s="14">
        <f>95.1024 * CHOOSE(CONTROL!$C$9, $D$9, 100%, $F$9) + CHOOSE(CONTROL!$C$27, 0.0021, 0)</f>
        <v>95.104500000000002</v>
      </c>
      <c r="J595" s="14">
        <f>95.1024 * CHOOSE(CONTROL!$C$9, $D$9, 100%, $F$9) + CHOOSE(CONTROL!$C$27, 0.0021, 0)</f>
        <v>95.104500000000002</v>
      </c>
      <c r="K595" s="14">
        <f>95.1024 * CHOOSE(CONTROL!$C$9, $D$9, 100%, $F$9) + CHOOSE(CONTROL!$C$27, 0.0021, 0)</f>
        <v>95.104500000000002</v>
      </c>
      <c r="L595" s="14"/>
    </row>
    <row r="596" spans="1:12" ht="15.75" x14ac:dyDescent="0.25">
      <c r="A596" s="32">
        <v>59079</v>
      </c>
      <c r="B596" s="14">
        <f>97.4307 * CHOOSE(CONTROL!$C$9, $D$9, 100%, $F$9) + CHOOSE(CONTROL!$C$27, 0.0021, 0)</f>
        <v>97.4328</v>
      </c>
      <c r="C596" s="14">
        <f>96.9984 * CHOOSE(CONTROL!$C$9, $D$9, 100%, $F$9) + CHOOSE(CONTROL!$C$27, 0.0021, 0)</f>
        <v>97.000500000000002</v>
      </c>
      <c r="D596" s="14">
        <f>96.9984 * CHOOSE(CONTROL!$C$9, $D$9, 100%, $F$9) + CHOOSE(CONTROL!$C$27, 0.0021, 0)</f>
        <v>97.000500000000002</v>
      </c>
      <c r="E596" s="14">
        <f>96.8618 * CHOOSE(CONTROL!$C$9, $D$9, 100%, $F$9) + CHOOSE(CONTROL!$C$27, 0.0021, 0)</f>
        <v>96.863900000000001</v>
      </c>
      <c r="F596" s="14">
        <f>96.8618 * CHOOSE(CONTROL!$C$9, $D$9, 100%, $F$9) + CHOOSE(CONTROL!$C$27, 0.0021, 0)</f>
        <v>96.863900000000001</v>
      </c>
      <c r="G596" s="14">
        <f>97.1332 * CHOOSE(CONTROL!$C$9, $D$9, 100%, $F$9) + CHOOSE(CONTROL!$C$27, 0.0021, 0)</f>
        <v>97.135300000000001</v>
      </c>
      <c r="H596" s="14">
        <f>96.9984 * CHOOSE(CONTROL!$C$9, $D$9, 100%, $F$9) + CHOOSE(CONTROL!$C$27, 0.0021, 0)</f>
        <v>97.000500000000002</v>
      </c>
      <c r="I596" s="14">
        <f>96.9984 * CHOOSE(CONTROL!$C$9, $D$9, 100%, $F$9) + CHOOSE(CONTROL!$C$27, 0.0021, 0)</f>
        <v>97.000500000000002</v>
      </c>
      <c r="J596" s="14">
        <f>96.9984 * CHOOSE(CONTROL!$C$9, $D$9, 100%, $F$9) + CHOOSE(CONTROL!$C$27, 0.0021, 0)</f>
        <v>97.000500000000002</v>
      </c>
      <c r="K596" s="14">
        <f>96.9984 * CHOOSE(CONTROL!$C$9, $D$9, 100%, $F$9) + CHOOSE(CONTROL!$C$27, 0.0021, 0)</f>
        <v>97.000500000000002</v>
      </c>
      <c r="L596" s="14"/>
    </row>
    <row r="597" spans="1:12" ht="15.75" x14ac:dyDescent="0.25">
      <c r="A597" s="32">
        <v>59110</v>
      </c>
      <c r="B597" s="14">
        <f>99.8308 * CHOOSE(CONTROL!$C$9, $D$9, 100%, $F$9) + CHOOSE(CONTROL!$C$27, 0.0021, 0)</f>
        <v>99.832899999999995</v>
      </c>
      <c r="C597" s="14">
        <f>99.3985 * CHOOSE(CONTROL!$C$9, $D$9, 100%, $F$9) + CHOOSE(CONTROL!$C$27, 0.0021, 0)</f>
        <v>99.400599999999997</v>
      </c>
      <c r="D597" s="14">
        <f>99.3985 * CHOOSE(CONTROL!$C$9, $D$9, 100%, $F$9) + CHOOSE(CONTROL!$C$27, 0.0021, 0)</f>
        <v>99.400599999999997</v>
      </c>
      <c r="E597" s="14">
        <f>99.2619 * CHOOSE(CONTROL!$C$9, $D$9, 100%, $F$9) + CHOOSE(CONTROL!$C$27, 0.0021, 0)</f>
        <v>99.263999999999996</v>
      </c>
      <c r="F597" s="14">
        <f>99.2619 * CHOOSE(CONTROL!$C$9, $D$9, 100%, $F$9) + CHOOSE(CONTROL!$C$27, 0.0021, 0)</f>
        <v>99.263999999999996</v>
      </c>
      <c r="G597" s="14">
        <f>99.5333 * CHOOSE(CONTROL!$C$9, $D$9, 100%, $F$9) + CHOOSE(CONTROL!$C$27, 0.0021, 0)</f>
        <v>99.535399999999996</v>
      </c>
      <c r="H597" s="14">
        <f>99.3985 * CHOOSE(CONTROL!$C$9, $D$9, 100%, $F$9) + CHOOSE(CONTROL!$C$27, 0.0021, 0)</f>
        <v>99.400599999999997</v>
      </c>
      <c r="I597" s="14">
        <f>99.3985 * CHOOSE(CONTROL!$C$9, $D$9, 100%, $F$9) + CHOOSE(CONTROL!$C$27, 0.0021, 0)</f>
        <v>99.400599999999997</v>
      </c>
      <c r="J597" s="14">
        <f>99.3985 * CHOOSE(CONTROL!$C$9, $D$9, 100%, $F$9) + CHOOSE(CONTROL!$C$27, 0.0021, 0)</f>
        <v>99.400599999999997</v>
      </c>
      <c r="K597" s="14">
        <f>99.3985 * CHOOSE(CONTROL!$C$9, $D$9, 100%, $F$9) + CHOOSE(CONTROL!$C$27, 0.0021, 0)</f>
        <v>99.400599999999997</v>
      </c>
      <c r="L597" s="14"/>
    </row>
    <row r="598" spans="1:12" ht="15.75" x14ac:dyDescent="0.25">
      <c r="A598" s="32">
        <v>59140</v>
      </c>
      <c r="B598" s="14">
        <f>100.0561 * CHOOSE(CONTROL!$C$9, $D$9, 100%, $F$9) + CHOOSE(CONTROL!$C$27, 0.0021, 0)</f>
        <v>100.0582</v>
      </c>
      <c r="C598" s="14">
        <f>99.6239 * CHOOSE(CONTROL!$C$9, $D$9, 100%, $F$9) + CHOOSE(CONTROL!$C$27, 0.0021, 0)</f>
        <v>99.626000000000005</v>
      </c>
      <c r="D598" s="14">
        <f>99.6239 * CHOOSE(CONTROL!$C$9, $D$9, 100%, $F$9) + CHOOSE(CONTROL!$C$27, 0.0021, 0)</f>
        <v>99.626000000000005</v>
      </c>
      <c r="E598" s="14">
        <f>99.4872 * CHOOSE(CONTROL!$C$9, $D$9, 100%, $F$9) + CHOOSE(CONTROL!$C$27, 0.0021, 0)</f>
        <v>99.4893</v>
      </c>
      <c r="F598" s="14">
        <f>99.4872 * CHOOSE(CONTROL!$C$9, $D$9, 100%, $F$9) + CHOOSE(CONTROL!$C$27, 0.0021, 0)</f>
        <v>99.4893</v>
      </c>
      <c r="G598" s="14">
        <f>99.7586 * CHOOSE(CONTROL!$C$9, $D$9, 100%, $F$9) + CHOOSE(CONTROL!$C$27, 0.0021, 0)</f>
        <v>99.7607</v>
      </c>
      <c r="H598" s="14">
        <f>99.6239 * CHOOSE(CONTROL!$C$9, $D$9, 100%, $F$9) + CHOOSE(CONTROL!$C$27, 0.0021, 0)</f>
        <v>99.626000000000005</v>
      </c>
      <c r="I598" s="14">
        <f>99.6239 * CHOOSE(CONTROL!$C$9, $D$9, 100%, $F$9) + CHOOSE(CONTROL!$C$27, 0.0021, 0)</f>
        <v>99.626000000000005</v>
      </c>
      <c r="J598" s="14">
        <f>99.6239 * CHOOSE(CONTROL!$C$9, $D$9, 100%, $F$9) + CHOOSE(CONTROL!$C$27, 0.0021, 0)</f>
        <v>99.626000000000005</v>
      </c>
      <c r="K598" s="14">
        <f>99.6239 * CHOOSE(CONTROL!$C$9, $D$9, 100%, $F$9) + CHOOSE(CONTROL!$C$27, 0.0021, 0)</f>
        <v>99.626000000000005</v>
      </c>
      <c r="L598" s="14"/>
    </row>
    <row r="599" spans="1:12" ht="15.75" x14ac:dyDescent="0.25">
      <c r="A599" s="32">
        <v>59171</v>
      </c>
      <c r="B599" s="14">
        <f>98.1392 * CHOOSE(CONTROL!$C$9, $D$9, 100%, $F$9) + CHOOSE(CONTROL!$C$27, 0.0021, 0)</f>
        <v>98.141300000000001</v>
      </c>
      <c r="C599" s="14">
        <f>97.7069 * CHOOSE(CONTROL!$C$9, $D$9, 100%, $F$9) + CHOOSE(CONTROL!$C$27, 0.0021, 0)</f>
        <v>97.709000000000003</v>
      </c>
      <c r="D599" s="14">
        <f>97.7069 * CHOOSE(CONTROL!$C$9, $D$9, 100%, $F$9) + CHOOSE(CONTROL!$C$27, 0.0021, 0)</f>
        <v>97.709000000000003</v>
      </c>
      <c r="E599" s="14">
        <f>97.5703 * CHOOSE(CONTROL!$C$9, $D$9, 100%, $F$9) + CHOOSE(CONTROL!$C$27, 0.0021, 0)</f>
        <v>97.572400000000002</v>
      </c>
      <c r="F599" s="14">
        <f>97.5703 * CHOOSE(CONTROL!$C$9, $D$9, 100%, $F$9) + CHOOSE(CONTROL!$C$27, 0.0021, 0)</f>
        <v>97.572400000000002</v>
      </c>
      <c r="G599" s="14">
        <f>97.8417 * CHOOSE(CONTROL!$C$9, $D$9, 100%, $F$9) + CHOOSE(CONTROL!$C$27, 0.0021, 0)</f>
        <v>97.843800000000002</v>
      </c>
      <c r="H599" s="14">
        <f>97.7069 * CHOOSE(CONTROL!$C$9, $D$9, 100%, $F$9) + CHOOSE(CONTROL!$C$27, 0.0021, 0)</f>
        <v>97.709000000000003</v>
      </c>
      <c r="I599" s="14">
        <f>97.7069 * CHOOSE(CONTROL!$C$9, $D$9, 100%, $F$9) + CHOOSE(CONTROL!$C$27, 0.0021, 0)</f>
        <v>97.709000000000003</v>
      </c>
      <c r="J599" s="14">
        <f>97.7069 * CHOOSE(CONTROL!$C$9, $D$9, 100%, $F$9) + CHOOSE(CONTROL!$C$27, 0.0021, 0)</f>
        <v>97.709000000000003</v>
      </c>
      <c r="K599" s="14">
        <f>97.7069 * CHOOSE(CONTROL!$C$9, $D$9, 100%, $F$9) + CHOOSE(CONTROL!$C$27, 0.0021, 0)</f>
        <v>97.709000000000003</v>
      </c>
      <c r="L599" s="14"/>
    </row>
    <row r="600" spans="1:12" ht="15.75" x14ac:dyDescent="0.25">
      <c r="A600" s="32">
        <v>59202</v>
      </c>
      <c r="B600" s="14">
        <f>89.2069 * CHOOSE(CONTROL!$C$9, $D$9, 100%, $F$9) + CHOOSE(CONTROL!$C$27, 0.0021, 0)</f>
        <v>89.209000000000003</v>
      </c>
      <c r="C600" s="14">
        <f>88.7747 * CHOOSE(CONTROL!$C$9, $D$9, 100%, $F$9) + CHOOSE(CONTROL!$C$27, 0.0021, 0)</f>
        <v>88.776799999999994</v>
      </c>
      <c r="D600" s="14">
        <f>88.7747 * CHOOSE(CONTROL!$C$9, $D$9, 100%, $F$9) + CHOOSE(CONTROL!$C$27, 0.0021, 0)</f>
        <v>88.776799999999994</v>
      </c>
      <c r="E600" s="14">
        <f>88.638 * CHOOSE(CONTROL!$C$9, $D$9, 100%, $F$9) + CHOOSE(CONTROL!$C$27, 0.0021, 0)</f>
        <v>88.640100000000004</v>
      </c>
      <c r="F600" s="14">
        <f>88.638 * CHOOSE(CONTROL!$C$9, $D$9, 100%, $F$9) + CHOOSE(CONTROL!$C$27, 0.0021, 0)</f>
        <v>88.640100000000004</v>
      </c>
      <c r="G600" s="14">
        <f>88.9094 * CHOOSE(CONTROL!$C$9, $D$9, 100%, $F$9) + CHOOSE(CONTROL!$C$27, 0.0021, 0)</f>
        <v>88.911500000000004</v>
      </c>
      <c r="H600" s="14">
        <f>88.7747 * CHOOSE(CONTROL!$C$9, $D$9, 100%, $F$9) + CHOOSE(CONTROL!$C$27, 0.0021, 0)</f>
        <v>88.776799999999994</v>
      </c>
      <c r="I600" s="14">
        <f>88.7747 * CHOOSE(CONTROL!$C$9, $D$9, 100%, $F$9) + CHOOSE(CONTROL!$C$27, 0.0021, 0)</f>
        <v>88.776799999999994</v>
      </c>
      <c r="J600" s="14">
        <f>88.7747 * CHOOSE(CONTROL!$C$9, $D$9, 100%, $F$9) + CHOOSE(CONTROL!$C$27, 0.0021, 0)</f>
        <v>88.776799999999994</v>
      </c>
      <c r="K600" s="14">
        <f>88.7747 * CHOOSE(CONTROL!$C$9, $D$9, 100%, $F$9) + CHOOSE(CONTROL!$C$27, 0.0021, 0)</f>
        <v>88.776799999999994</v>
      </c>
      <c r="L600" s="14"/>
    </row>
    <row r="601" spans="1:12" ht="15.75" x14ac:dyDescent="0.25">
      <c r="A601" s="32">
        <v>59230</v>
      </c>
      <c r="B601" s="14">
        <f>88.9653 * CHOOSE(CONTROL!$C$9, $D$9, 100%, $F$9) + CHOOSE(CONTROL!$C$27, 0.0021, 0)</f>
        <v>88.967399999999998</v>
      </c>
      <c r="C601" s="14">
        <f>88.5331 * CHOOSE(CONTROL!$C$9, $D$9, 100%, $F$9) + CHOOSE(CONTROL!$C$27, 0.0021, 0)</f>
        <v>88.535200000000003</v>
      </c>
      <c r="D601" s="14">
        <f>88.5331 * CHOOSE(CONTROL!$C$9, $D$9, 100%, $F$9) + CHOOSE(CONTROL!$C$27, 0.0021, 0)</f>
        <v>88.535200000000003</v>
      </c>
      <c r="E601" s="14">
        <f>88.3964 * CHOOSE(CONTROL!$C$9, $D$9, 100%, $F$9) + CHOOSE(CONTROL!$C$27, 0.0021, 0)</f>
        <v>88.398499999999999</v>
      </c>
      <c r="F601" s="14">
        <f>88.3964 * CHOOSE(CONTROL!$C$9, $D$9, 100%, $F$9) + CHOOSE(CONTROL!$C$27, 0.0021, 0)</f>
        <v>88.398499999999999</v>
      </c>
      <c r="G601" s="14">
        <f>88.6678 * CHOOSE(CONTROL!$C$9, $D$9, 100%, $F$9) + CHOOSE(CONTROL!$C$27, 0.0021, 0)</f>
        <v>88.669899999999998</v>
      </c>
      <c r="H601" s="14">
        <f>88.5331 * CHOOSE(CONTROL!$C$9, $D$9, 100%, $F$9) + CHOOSE(CONTROL!$C$27, 0.0021, 0)</f>
        <v>88.535200000000003</v>
      </c>
      <c r="I601" s="14">
        <f>88.5331 * CHOOSE(CONTROL!$C$9, $D$9, 100%, $F$9) + CHOOSE(CONTROL!$C$27, 0.0021, 0)</f>
        <v>88.535200000000003</v>
      </c>
      <c r="J601" s="14">
        <f>88.5331 * CHOOSE(CONTROL!$C$9, $D$9, 100%, $F$9) + CHOOSE(CONTROL!$C$27, 0.0021, 0)</f>
        <v>88.535200000000003</v>
      </c>
      <c r="K601" s="14">
        <f>88.5331 * CHOOSE(CONTROL!$C$9, $D$9, 100%, $F$9) + CHOOSE(CONTROL!$C$27, 0.0021, 0)</f>
        <v>88.535200000000003</v>
      </c>
      <c r="L601" s="14"/>
    </row>
    <row r="602" spans="1:12" ht="15.75" x14ac:dyDescent="0.25">
      <c r="A602" s="32">
        <v>59261</v>
      </c>
      <c r="B602" s="14">
        <f>93.5335 * CHOOSE(CONTROL!$C$9, $D$9, 100%, $F$9) + CHOOSE(CONTROL!$C$27, 0.0021, 0)</f>
        <v>93.535600000000002</v>
      </c>
      <c r="C602" s="14">
        <f>93.1012 * CHOOSE(CONTROL!$C$9, $D$9, 100%, $F$9) + CHOOSE(CONTROL!$C$27, 0.0021, 0)</f>
        <v>93.103300000000004</v>
      </c>
      <c r="D602" s="14">
        <f>93.1012 * CHOOSE(CONTROL!$C$9, $D$9, 100%, $F$9) + CHOOSE(CONTROL!$C$27, 0.0021, 0)</f>
        <v>93.103300000000004</v>
      </c>
      <c r="E602" s="14">
        <f>92.9646 * CHOOSE(CONTROL!$C$9, $D$9, 100%, $F$9) + CHOOSE(CONTROL!$C$27, 0.0021, 0)</f>
        <v>92.966700000000003</v>
      </c>
      <c r="F602" s="14">
        <f>92.9646 * CHOOSE(CONTROL!$C$9, $D$9, 100%, $F$9) + CHOOSE(CONTROL!$C$27, 0.0021, 0)</f>
        <v>92.966700000000003</v>
      </c>
      <c r="G602" s="14">
        <f>93.236 * CHOOSE(CONTROL!$C$9, $D$9, 100%, $F$9) + CHOOSE(CONTROL!$C$27, 0.0021, 0)</f>
        <v>93.238100000000003</v>
      </c>
      <c r="H602" s="14">
        <f>93.1012 * CHOOSE(CONTROL!$C$9, $D$9, 100%, $F$9) + CHOOSE(CONTROL!$C$27, 0.0021, 0)</f>
        <v>93.103300000000004</v>
      </c>
      <c r="I602" s="14">
        <f>93.1012 * CHOOSE(CONTROL!$C$9, $D$9, 100%, $F$9) + CHOOSE(CONTROL!$C$27, 0.0021, 0)</f>
        <v>93.103300000000004</v>
      </c>
      <c r="J602" s="14">
        <f>93.1012 * CHOOSE(CONTROL!$C$9, $D$9, 100%, $F$9) + CHOOSE(CONTROL!$C$27, 0.0021, 0)</f>
        <v>93.103300000000004</v>
      </c>
      <c r="K602" s="14">
        <f>93.1012 * CHOOSE(CONTROL!$C$9, $D$9, 100%, $F$9) + CHOOSE(CONTROL!$C$27, 0.0021, 0)</f>
        <v>93.103300000000004</v>
      </c>
      <c r="L602" s="14"/>
    </row>
    <row r="603" spans="1:12" ht="15.75" x14ac:dyDescent="0.25">
      <c r="A603" s="32">
        <v>59291</v>
      </c>
      <c r="B603" s="14">
        <f>99.4573 * CHOOSE(CONTROL!$C$9, $D$9, 100%, $F$9) + CHOOSE(CONTROL!$C$27, 0.0021, 0)</f>
        <v>99.459400000000002</v>
      </c>
      <c r="C603" s="14">
        <f>99.0251 * CHOOSE(CONTROL!$C$9, $D$9, 100%, $F$9) + CHOOSE(CONTROL!$C$27, 0.0021, 0)</f>
        <v>99.027199999999993</v>
      </c>
      <c r="D603" s="14">
        <f>99.0251 * CHOOSE(CONTROL!$C$9, $D$9, 100%, $F$9) + CHOOSE(CONTROL!$C$27, 0.0021, 0)</f>
        <v>99.027199999999993</v>
      </c>
      <c r="E603" s="14">
        <f>98.8884 * CHOOSE(CONTROL!$C$9, $D$9, 100%, $F$9) + CHOOSE(CONTROL!$C$27, 0.0021, 0)</f>
        <v>98.890500000000003</v>
      </c>
      <c r="F603" s="14">
        <f>98.8884 * CHOOSE(CONTROL!$C$9, $D$9, 100%, $F$9) + CHOOSE(CONTROL!$C$27, 0.0021, 0)</f>
        <v>98.890500000000003</v>
      </c>
      <c r="G603" s="14">
        <f>99.1598 * CHOOSE(CONTROL!$C$9, $D$9, 100%, $F$9) + CHOOSE(CONTROL!$C$27, 0.0021, 0)</f>
        <v>99.161900000000003</v>
      </c>
      <c r="H603" s="14">
        <f>99.0251 * CHOOSE(CONTROL!$C$9, $D$9, 100%, $F$9) + CHOOSE(CONTROL!$C$27, 0.0021, 0)</f>
        <v>99.027199999999993</v>
      </c>
      <c r="I603" s="14">
        <f>99.0251 * CHOOSE(CONTROL!$C$9, $D$9, 100%, $F$9) + CHOOSE(CONTROL!$C$27, 0.0021, 0)</f>
        <v>99.027199999999993</v>
      </c>
      <c r="J603" s="14">
        <f>99.0251 * CHOOSE(CONTROL!$C$9, $D$9, 100%, $F$9) + CHOOSE(CONTROL!$C$27, 0.0021, 0)</f>
        <v>99.027199999999993</v>
      </c>
      <c r="K603" s="14">
        <f>99.0251 * CHOOSE(CONTROL!$C$9, $D$9, 100%, $F$9) + CHOOSE(CONTROL!$C$27, 0.0021, 0)</f>
        <v>99.027199999999993</v>
      </c>
      <c r="L603" s="14"/>
    </row>
    <row r="604" spans="1:12" ht="15.75" x14ac:dyDescent="0.25">
      <c r="A604" s="32">
        <v>59322</v>
      </c>
      <c r="B604" s="14">
        <f>102.718 * CHOOSE(CONTROL!$C$9, $D$9, 100%, $F$9) + CHOOSE(CONTROL!$C$27, 0.0021, 0)</f>
        <v>102.7201</v>
      </c>
      <c r="C604" s="14">
        <f>102.2857 * CHOOSE(CONTROL!$C$9, $D$9, 100%, $F$9) + CHOOSE(CONTROL!$C$27, 0.0021, 0)</f>
        <v>102.2878</v>
      </c>
      <c r="D604" s="14">
        <f>102.2857 * CHOOSE(CONTROL!$C$9, $D$9, 100%, $F$9) + CHOOSE(CONTROL!$C$27, 0.0021, 0)</f>
        <v>102.2878</v>
      </c>
      <c r="E604" s="14">
        <f>102.1491 * CHOOSE(CONTROL!$C$9, $D$9, 100%, $F$9) + CHOOSE(CONTROL!$C$27, 0.0021, 0)</f>
        <v>102.1512</v>
      </c>
      <c r="F604" s="14">
        <f>102.1491 * CHOOSE(CONTROL!$C$9, $D$9, 100%, $F$9) + CHOOSE(CONTROL!$C$27, 0.0021, 0)</f>
        <v>102.1512</v>
      </c>
      <c r="G604" s="14">
        <f>102.4204 * CHOOSE(CONTROL!$C$9, $D$9, 100%, $F$9) + CHOOSE(CONTROL!$C$27, 0.0021, 0)</f>
        <v>102.4225</v>
      </c>
      <c r="H604" s="14">
        <f>102.2857 * CHOOSE(CONTROL!$C$9, $D$9, 100%, $F$9) + CHOOSE(CONTROL!$C$27, 0.0021, 0)</f>
        <v>102.2878</v>
      </c>
      <c r="I604" s="14">
        <f>102.2857 * CHOOSE(CONTROL!$C$9, $D$9, 100%, $F$9) + CHOOSE(CONTROL!$C$27, 0.0021, 0)</f>
        <v>102.2878</v>
      </c>
      <c r="J604" s="14">
        <f>102.2857 * CHOOSE(CONTROL!$C$9, $D$9, 100%, $F$9) + CHOOSE(CONTROL!$C$27, 0.0021, 0)</f>
        <v>102.2878</v>
      </c>
      <c r="K604" s="14">
        <f>102.2857 * CHOOSE(CONTROL!$C$9, $D$9, 100%, $F$9) + CHOOSE(CONTROL!$C$27, 0.0021, 0)</f>
        <v>102.2878</v>
      </c>
      <c r="L604" s="14"/>
    </row>
    <row r="605" spans="1:12" ht="15.75" x14ac:dyDescent="0.25">
      <c r="A605" s="32">
        <v>59352</v>
      </c>
      <c r="B605" s="14">
        <f>104.165 * CHOOSE(CONTROL!$C$9, $D$9, 100%, $F$9) + CHOOSE(CONTROL!$C$27, 0.0021, 0)</f>
        <v>104.1671</v>
      </c>
      <c r="C605" s="14">
        <f>103.7327 * CHOOSE(CONTROL!$C$9, $D$9, 100%, $F$9) + CHOOSE(CONTROL!$C$27, 0.0021, 0)</f>
        <v>103.73479999999999</v>
      </c>
      <c r="D605" s="14">
        <f>103.7327 * CHOOSE(CONTROL!$C$9, $D$9, 100%, $F$9) + CHOOSE(CONTROL!$C$27, 0.0021, 0)</f>
        <v>103.73479999999999</v>
      </c>
      <c r="E605" s="14">
        <f>103.5961 * CHOOSE(CONTROL!$C$9, $D$9, 100%, $F$9) + CHOOSE(CONTROL!$C$27, 0.0021, 0)</f>
        <v>103.59820000000001</v>
      </c>
      <c r="F605" s="14">
        <f>103.5961 * CHOOSE(CONTROL!$C$9, $D$9, 100%, $F$9) + CHOOSE(CONTROL!$C$27, 0.0021, 0)</f>
        <v>103.59820000000001</v>
      </c>
      <c r="G605" s="14">
        <f>103.8675 * CHOOSE(CONTROL!$C$9, $D$9, 100%, $F$9) + CHOOSE(CONTROL!$C$27, 0.0021, 0)</f>
        <v>103.86960000000001</v>
      </c>
      <c r="H605" s="14">
        <f>103.7327 * CHOOSE(CONTROL!$C$9, $D$9, 100%, $F$9) + CHOOSE(CONTROL!$C$27, 0.0021, 0)</f>
        <v>103.73479999999999</v>
      </c>
      <c r="I605" s="14">
        <f>103.7327 * CHOOSE(CONTROL!$C$9, $D$9, 100%, $F$9) + CHOOSE(CONTROL!$C$27, 0.0021, 0)</f>
        <v>103.73479999999999</v>
      </c>
      <c r="J605" s="14">
        <f>103.7327 * CHOOSE(CONTROL!$C$9, $D$9, 100%, $F$9) + CHOOSE(CONTROL!$C$27, 0.0021, 0)</f>
        <v>103.73479999999999</v>
      </c>
      <c r="K605" s="14">
        <f>103.7327 * CHOOSE(CONTROL!$C$9, $D$9, 100%, $F$9) + CHOOSE(CONTROL!$C$27, 0.0021, 0)</f>
        <v>103.73479999999999</v>
      </c>
      <c r="L605" s="14"/>
    </row>
    <row r="606" spans="1:12" ht="15.75" x14ac:dyDescent="0.25">
      <c r="A606" s="32">
        <v>59383</v>
      </c>
      <c r="B606" s="14">
        <f>103.6886 * CHOOSE(CONTROL!$C$9, $D$9, 100%, $F$9) + CHOOSE(CONTROL!$C$27, 0.0021, 0)</f>
        <v>103.69069999999999</v>
      </c>
      <c r="C606" s="14">
        <f>103.2563 * CHOOSE(CONTROL!$C$9, $D$9, 100%, $F$9) + CHOOSE(CONTROL!$C$27, 0.0021, 0)</f>
        <v>103.25839999999999</v>
      </c>
      <c r="D606" s="14">
        <f>103.2563 * CHOOSE(CONTROL!$C$9, $D$9, 100%, $F$9) + CHOOSE(CONTROL!$C$27, 0.0021, 0)</f>
        <v>103.25839999999999</v>
      </c>
      <c r="E606" s="14">
        <f>103.1197 * CHOOSE(CONTROL!$C$9, $D$9, 100%, $F$9) + CHOOSE(CONTROL!$C$27, 0.0021, 0)</f>
        <v>103.12179999999999</v>
      </c>
      <c r="F606" s="14">
        <f>103.1197 * CHOOSE(CONTROL!$C$9, $D$9, 100%, $F$9) + CHOOSE(CONTROL!$C$27, 0.0021, 0)</f>
        <v>103.12179999999999</v>
      </c>
      <c r="G606" s="14">
        <f>103.391 * CHOOSE(CONTROL!$C$9, $D$9, 100%, $F$9) + CHOOSE(CONTROL!$C$27, 0.0021, 0)</f>
        <v>103.3931</v>
      </c>
      <c r="H606" s="14">
        <f>103.2563 * CHOOSE(CONTROL!$C$9, $D$9, 100%, $F$9) + CHOOSE(CONTROL!$C$27, 0.0021, 0)</f>
        <v>103.25839999999999</v>
      </c>
      <c r="I606" s="14">
        <f>103.2563 * CHOOSE(CONTROL!$C$9, $D$9, 100%, $F$9) + CHOOSE(CONTROL!$C$27, 0.0021, 0)</f>
        <v>103.25839999999999</v>
      </c>
      <c r="J606" s="14">
        <f>103.2563 * CHOOSE(CONTROL!$C$9, $D$9, 100%, $F$9) + CHOOSE(CONTROL!$C$27, 0.0021, 0)</f>
        <v>103.25839999999999</v>
      </c>
      <c r="K606" s="14">
        <f>103.2563 * CHOOSE(CONTROL!$C$9, $D$9, 100%, $F$9) + CHOOSE(CONTROL!$C$27, 0.0021, 0)</f>
        <v>103.25839999999999</v>
      </c>
      <c r="L606" s="14"/>
    </row>
    <row r="607" spans="1:12" ht="15.75" x14ac:dyDescent="0.25">
      <c r="A607" s="32">
        <v>59414</v>
      </c>
      <c r="B607" s="14">
        <f>101.3281 * CHOOSE(CONTROL!$C$9, $D$9, 100%, $F$9) + CHOOSE(CONTROL!$C$27, 0.0021, 0)</f>
        <v>101.3302</v>
      </c>
      <c r="C607" s="14">
        <f>100.8959 * CHOOSE(CONTROL!$C$9, $D$9, 100%, $F$9) + CHOOSE(CONTROL!$C$27, 0.0021, 0)</f>
        <v>100.898</v>
      </c>
      <c r="D607" s="14">
        <f>100.8959 * CHOOSE(CONTROL!$C$9, $D$9, 100%, $F$9) + CHOOSE(CONTROL!$C$27, 0.0021, 0)</f>
        <v>100.898</v>
      </c>
      <c r="E607" s="14">
        <f>100.7592 * CHOOSE(CONTROL!$C$9, $D$9, 100%, $F$9) + CHOOSE(CONTROL!$C$27, 0.0021, 0)</f>
        <v>100.76130000000001</v>
      </c>
      <c r="F607" s="14">
        <f>100.7592 * CHOOSE(CONTROL!$C$9, $D$9, 100%, $F$9) + CHOOSE(CONTROL!$C$27, 0.0021, 0)</f>
        <v>100.76130000000001</v>
      </c>
      <c r="G607" s="14">
        <f>101.0306 * CHOOSE(CONTROL!$C$9, $D$9, 100%, $F$9) + CHOOSE(CONTROL!$C$27, 0.0021, 0)</f>
        <v>101.03270000000001</v>
      </c>
      <c r="H607" s="14">
        <f>100.8959 * CHOOSE(CONTROL!$C$9, $D$9, 100%, $F$9) + CHOOSE(CONTROL!$C$27, 0.0021, 0)</f>
        <v>100.898</v>
      </c>
      <c r="I607" s="14">
        <f>100.8959 * CHOOSE(CONTROL!$C$9, $D$9, 100%, $F$9) + CHOOSE(CONTROL!$C$27, 0.0021, 0)</f>
        <v>100.898</v>
      </c>
      <c r="J607" s="14">
        <f>100.8959 * CHOOSE(CONTROL!$C$9, $D$9, 100%, $F$9) + CHOOSE(CONTROL!$C$27, 0.0021, 0)</f>
        <v>100.898</v>
      </c>
      <c r="K607" s="14">
        <f>100.8959 * CHOOSE(CONTROL!$C$9, $D$9, 100%, $F$9) + CHOOSE(CONTROL!$C$27, 0.0021, 0)</f>
        <v>100.898</v>
      </c>
      <c r="L607" s="14"/>
    </row>
    <row r="608" spans="1:12" ht="15.75" x14ac:dyDescent="0.25">
      <c r="A608" s="32">
        <v>59444</v>
      </c>
      <c r="B608" s="14">
        <f>98.0363 * CHOOSE(CONTROL!$C$9, $D$9, 100%, $F$9) + CHOOSE(CONTROL!$C$27, 0.0021, 0)</f>
        <v>98.038399999999996</v>
      </c>
      <c r="C608" s="14">
        <f>97.6041 * CHOOSE(CONTROL!$C$9, $D$9, 100%, $F$9) + CHOOSE(CONTROL!$C$27, 0.0021, 0)</f>
        <v>97.606200000000001</v>
      </c>
      <c r="D608" s="14">
        <f>97.6041 * CHOOSE(CONTROL!$C$9, $D$9, 100%, $F$9) + CHOOSE(CONTROL!$C$27, 0.0021, 0)</f>
        <v>97.606200000000001</v>
      </c>
      <c r="E608" s="14">
        <f>97.4674 * CHOOSE(CONTROL!$C$9, $D$9, 100%, $F$9) + CHOOSE(CONTROL!$C$27, 0.0021, 0)</f>
        <v>97.469499999999996</v>
      </c>
      <c r="F608" s="14">
        <f>97.4674 * CHOOSE(CONTROL!$C$9, $D$9, 100%, $F$9) + CHOOSE(CONTROL!$C$27, 0.0021, 0)</f>
        <v>97.469499999999996</v>
      </c>
      <c r="G608" s="14">
        <f>97.7388 * CHOOSE(CONTROL!$C$9, $D$9, 100%, $F$9) + CHOOSE(CONTROL!$C$27, 0.0021, 0)</f>
        <v>97.740899999999996</v>
      </c>
      <c r="H608" s="14">
        <f>97.6041 * CHOOSE(CONTROL!$C$9, $D$9, 100%, $F$9) + CHOOSE(CONTROL!$C$27, 0.0021, 0)</f>
        <v>97.606200000000001</v>
      </c>
      <c r="I608" s="14">
        <f>97.6041 * CHOOSE(CONTROL!$C$9, $D$9, 100%, $F$9) + CHOOSE(CONTROL!$C$27, 0.0021, 0)</f>
        <v>97.606200000000001</v>
      </c>
      <c r="J608" s="14">
        <f>97.6041 * CHOOSE(CONTROL!$C$9, $D$9, 100%, $F$9) + CHOOSE(CONTROL!$C$27, 0.0021, 0)</f>
        <v>97.606200000000001</v>
      </c>
      <c r="K608" s="14">
        <f>97.6041 * CHOOSE(CONTROL!$C$9, $D$9, 100%, $F$9) + CHOOSE(CONTROL!$C$27, 0.0021, 0)</f>
        <v>97.606200000000001</v>
      </c>
      <c r="L608" s="14"/>
    </row>
    <row r="609" spans="1:12" ht="15.75" x14ac:dyDescent="0.25">
      <c r="A609" s="32">
        <v>59475</v>
      </c>
      <c r="B609" s="14">
        <f>94.7254 * CHOOSE(CONTROL!$C$9, $D$9, 100%, $F$9) + CHOOSE(CONTROL!$C$27, 0.0021, 0)</f>
        <v>94.727499999999992</v>
      </c>
      <c r="C609" s="14">
        <f>94.2932 * CHOOSE(CONTROL!$C$9, $D$9, 100%, $F$9) + CHOOSE(CONTROL!$C$27, 0.0021, 0)</f>
        <v>94.295299999999997</v>
      </c>
      <c r="D609" s="14">
        <f>94.2932 * CHOOSE(CONTROL!$C$9, $D$9, 100%, $F$9) + CHOOSE(CONTROL!$C$27, 0.0021, 0)</f>
        <v>94.295299999999997</v>
      </c>
      <c r="E609" s="14">
        <f>94.1565 * CHOOSE(CONTROL!$C$9, $D$9, 100%, $F$9) + CHOOSE(CONTROL!$C$27, 0.0021, 0)</f>
        <v>94.158599999999993</v>
      </c>
      <c r="F609" s="14">
        <f>94.1565 * CHOOSE(CONTROL!$C$9, $D$9, 100%, $F$9) + CHOOSE(CONTROL!$C$27, 0.0021, 0)</f>
        <v>94.158599999999993</v>
      </c>
      <c r="G609" s="14">
        <f>94.4279 * CHOOSE(CONTROL!$C$9, $D$9, 100%, $F$9) + CHOOSE(CONTROL!$C$27, 0.0021, 0)</f>
        <v>94.429999999999993</v>
      </c>
      <c r="H609" s="14">
        <f>94.2932 * CHOOSE(CONTROL!$C$9, $D$9, 100%, $F$9) + CHOOSE(CONTROL!$C$27, 0.0021, 0)</f>
        <v>94.295299999999997</v>
      </c>
      <c r="I609" s="14">
        <f>94.2932 * CHOOSE(CONTROL!$C$9, $D$9, 100%, $F$9) + CHOOSE(CONTROL!$C$27, 0.0021, 0)</f>
        <v>94.295299999999997</v>
      </c>
      <c r="J609" s="14">
        <f>94.2932 * CHOOSE(CONTROL!$C$9, $D$9, 100%, $F$9) + CHOOSE(CONTROL!$C$27, 0.0021, 0)</f>
        <v>94.295299999999997</v>
      </c>
      <c r="K609" s="14">
        <f>94.2932 * CHOOSE(CONTROL!$C$9, $D$9, 100%, $F$9) + CHOOSE(CONTROL!$C$27, 0.0021, 0)</f>
        <v>94.295299999999997</v>
      </c>
      <c r="L609" s="14"/>
    </row>
    <row r="610" spans="1:12" ht="15.75" x14ac:dyDescent="0.25">
      <c r="A610" s="32">
        <v>59505</v>
      </c>
      <c r="B610" s="14">
        <f>94.0668 * CHOOSE(CONTROL!$C$9, $D$9, 100%, $F$9) + CHOOSE(CONTROL!$C$27, 0.0021, 0)</f>
        <v>94.068899999999999</v>
      </c>
      <c r="C610" s="14">
        <f>93.6345 * CHOOSE(CONTROL!$C$9, $D$9, 100%, $F$9) + CHOOSE(CONTROL!$C$27, 0.0021, 0)</f>
        <v>93.636600000000001</v>
      </c>
      <c r="D610" s="14">
        <f>93.6345 * CHOOSE(CONTROL!$C$9, $D$9, 100%, $F$9) + CHOOSE(CONTROL!$C$27, 0.0021, 0)</f>
        <v>93.636600000000001</v>
      </c>
      <c r="E610" s="14">
        <f>93.4979 * CHOOSE(CONTROL!$C$9, $D$9, 100%, $F$9) + CHOOSE(CONTROL!$C$27, 0.0021, 0)</f>
        <v>93.5</v>
      </c>
      <c r="F610" s="14">
        <f>93.4979 * CHOOSE(CONTROL!$C$9, $D$9, 100%, $F$9) + CHOOSE(CONTROL!$C$27, 0.0021, 0)</f>
        <v>93.5</v>
      </c>
      <c r="G610" s="14">
        <f>93.7693 * CHOOSE(CONTROL!$C$9, $D$9, 100%, $F$9) + CHOOSE(CONTROL!$C$27, 0.0021, 0)</f>
        <v>93.7714</v>
      </c>
      <c r="H610" s="14">
        <f>93.6345 * CHOOSE(CONTROL!$C$9, $D$9, 100%, $F$9) + CHOOSE(CONTROL!$C$27, 0.0021, 0)</f>
        <v>93.636600000000001</v>
      </c>
      <c r="I610" s="14">
        <f>93.6345 * CHOOSE(CONTROL!$C$9, $D$9, 100%, $F$9) + CHOOSE(CONTROL!$C$27, 0.0021, 0)</f>
        <v>93.636600000000001</v>
      </c>
      <c r="J610" s="14">
        <f>93.6345 * CHOOSE(CONTROL!$C$9, $D$9, 100%, $F$9) + CHOOSE(CONTROL!$C$27, 0.0021, 0)</f>
        <v>93.636600000000001</v>
      </c>
      <c r="K610" s="14">
        <f>93.6345 * CHOOSE(CONTROL!$C$9, $D$9, 100%, $F$9) + CHOOSE(CONTROL!$C$27, 0.0021, 0)</f>
        <v>93.636600000000001</v>
      </c>
      <c r="L610" s="14"/>
    </row>
    <row r="611" spans="1:12" ht="15.75" x14ac:dyDescent="0.25">
      <c r="A611" s="32">
        <v>59536</v>
      </c>
      <c r="B611" s="14">
        <f>91.3434 * CHOOSE(CONTROL!$C$9, $D$9, 100%, $F$9) + CHOOSE(CONTROL!$C$27, 0.0021, 0)</f>
        <v>91.345500000000001</v>
      </c>
      <c r="C611" s="14">
        <f>90.9111 * CHOOSE(CONTROL!$C$9, $D$9, 100%, $F$9) + CHOOSE(CONTROL!$C$27, 0.0021, 0)</f>
        <v>90.913200000000003</v>
      </c>
      <c r="D611" s="14">
        <f>90.9111 * CHOOSE(CONTROL!$C$9, $D$9, 100%, $F$9) + CHOOSE(CONTROL!$C$27, 0.0021, 0)</f>
        <v>90.913200000000003</v>
      </c>
      <c r="E611" s="14">
        <f>90.7745 * CHOOSE(CONTROL!$C$9, $D$9, 100%, $F$9) + CHOOSE(CONTROL!$C$27, 0.0021, 0)</f>
        <v>90.776600000000002</v>
      </c>
      <c r="F611" s="14">
        <f>90.7745 * CHOOSE(CONTROL!$C$9, $D$9, 100%, $F$9) + CHOOSE(CONTROL!$C$27, 0.0021, 0)</f>
        <v>90.776600000000002</v>
      </c>
      <c r="G611" s="14">
        <f>91.0458 * CHOOSE(CONTROL!$C$9, $D$9, 100%, $F$9) + CHOOSE(CONTROL!$C$27, 0.0021, 0)</f>
        <v>91.047899999999998</v>
      </c>
      <c r="H611" s="14">
        <f>90.9111 * CHOOSE(CONTROL!$C$9, $D$9, 100%, $F$9) + CHOOSE(CONTROL!$C$27, 0.0021, 0)</f>
        <v>90.913200000000003</v>
      </c>
      <c r="I611" s="14">
        <f>90.9111 * CHOOSE(CONTROL!$C$9, $D$9, 100%, $F$9) + CHOOSE(CONTROL!$C$27, 0.0021, 0)</f>
        <v>90.913200000000003</v>
      </c>
      <c r="J611" s="14">
        <f>90.9111 * CHOOSE(CONTROL!$C$9, $D$9, 100%, $F$9) + CHOOSE(CONTROL!$C$27, 0.0021, 0)</f>
        <v>90.913200000000003</v>
      </c>
      <c r="K611" s="14">
        <f>90.9111 * CHOOSE(CONTROL!$C$9, $D$9, 100%, $F$9) + CHOOSE(CONTROL!$C$27, 0.0021, 0)</f>
        <v>90.913200000000003</v>
      </c>
      <c r="L611" s="14"/>
    </row>
    <row r="612" spans="1:12" ht="15.75" x14ac:dyDescent="0.25">
      <c r="A612" s="32">
        <v>59567</v>
      </c>
      <c r="B612" s="14">
        <f>90.8132 * CHOOSE(CONTROL!$C$9, $D$9, 100%, $F$9) + CHOOSE(CONTROL!$C$27, 0.0021, 0)</f>
        <v>90.815299999999993</v>
      </c>
      <c r="C612" s="14">
        <f>90.3809 * CHOOSE(CONTROL!$C$9, $D$9, 100%, $F$9) + CHOOSE(CONTROL!$C$27, 0.0021, 0)</f>
        <v>90.382999999999996</v>
      </c>
      <c r="D612" s="14">
        <f>90.3809 * CHOOSE(CONTROL!$C$9, $D$9, 100%, $F$9) + CHOOSE(CONTROL!$C$27, 0.0021, 0)</f>
        <v>90.382999999999996</v>
      </c>
      <c r="E612" s="14">
        <f>90.2443 * CHOOSE(CONTROL!$C$9, $D$9, 100%, $F$9) + CHOOSE(CONTROL!$C$27, 0.0021, 0)</f>
        <v>90.246399999999994</v>
      </c>
      <c r="F612" s="14">
        <f>90.2443 * CHOOSE(CONTROL!$C$9, $D$9, 100%, $F$9) + CHOOSE(CONTROL!$C$27, 0.0021, 0)</f>
        <v>90.246399999999994</v>
      </c>
      <c r="G612" s="14">
        <f>90.5156 * CHOOSE(CONTROL!$C$9, $D$9, 100%, $F$9) + CHOOSE(CONTROL!$C$27, 0.0021, 0)</f>
        <v>90.517700000000005</v>
      </c>
      <c r="H612" s="14">
        <f>90.3809 * CHOOSE(CONTROL!$C$9, $D$9, 100%, $F$9) + CHOOSE(CONTROL!$C$27, 0.0021, 0)</f>
        <v>90.382999999999996</v>
      </c>
      <c r="I612" s="14">
        <f>90.3809 * CHOOSE(CONTROL!$C$9, $D$9, 100%, $F$9) + CHOOSE(CONTROL!$C$27, 0.0021, 0)</f>
        <v>90.382999999999996</v>
      </c>
      <c r="J612" s="14">
        <f>90.3809 * CHOOSE(CONTROL!$C$9, $D$9, 100%, $F$9) + CHOOSE(CONTROL!$C$27, 0.0021, 0)</f>
        <v>90.382999999999996</v>
      </c>
      <c r="K612" s="14">
        <f>90.3809 * CHOOSE(CONTROL!$C$9, $D$9, 100%, $F$9) + CHOOSE(CONTROL!$C$27, 0.0021, 0)</f>
        <v>90.382999999999996</v>
      </c>
      <c r="L612" s="14"/>
    </row>
    <row r="613" spans="1:12" ht="15.75" x14ac:dyDescent="0.25">
      <c r="A613" s="32">
        <v>59595</v>
      </c>
      <c r="B613" s="14">
        <f>90.5671 * CHOOSE(CONTROL!$C$9, $D$9, 100%, $F$9) + CHOOSE(CONTROL!$C$27, 0.0021, 0)</f>
        <v>90.569199999999995</v>
      </c>
      <c r="C613" s="14">
        <f>90.1349 * CHOOSE(CONTROL!$C$9, $D$9, 100%, $F$9) + CHOOSE(CONTROL!$C$27, 0.0021, 0)</f>
        <v>90.137</v>
      </c>
      <c r="D613" s="14">
        <f>90.1349 * CHOOSE(CONTROL!$C$9, $D$9, 100%, $F$9) + CHOOSE(CONTROL!$C$27, 0.0021, 0)</f>
        <v>90.137</v>
      </c>
      <c r="E613" s="14">
        <f>89.9982 * CHOOSE(CONTROL!$C$9, $D$9, 100%, $F$9) + CHOOSE(CONTROL!$C$27, 0.0021, 0)</f>
        <v>90.000299999999996</v>
      </c>
      <c r="F613" s="14">
        <f>89.9982 * CHOOSE(CONTROL!$C$9, $D$9, 100%, $F$9) + CHOOSE(CONTROL!$C$27, 0.0021, 0)</f>
        <v>90.000299999999996</v>
      </c>
      <c r="G613" s="14">
        <f>90.2696 * CHOOSE(CONTROL!$C$9, $D$9, 100%, $F$9) + CHOOSE(CONTROL!$C$27, 0.0021, 0)</f>
        <v>90.271699999999996</v>
      </c>
      <c r="H613" s="14">
        <f>90.1349 * CHOOSE(CONTROL!$C$9, $D$9, 100%, $F$9) + CHOOSE(CONTROL!$C$27, 0.0021, 0)</f>
        <v>90.137</v>
      </c>
      <c r="I613" s="14">
        <f>90.1349 * CHOOSE(CONTROL!$C$9, $D$9, 100%, $F$9) + CHOOSE(CONTROL!$C$27, 0.0021, 0)</f>
        <v>90.137</v>
      </c>
      <c r="J613" s="14">
        <f>90.1349 * CHOOSE(CONTROL!$C$9, $D$9, 100%, $F$9) + CHOOSE(CONTROL!$C$27, 0.0021, 0)</f>
        <v>90.137</v>
      </c>
      <c r="K613" s="14">
        <f>90.1349 * CHOOSE(CONTROL!$C$9, $D$9, 100%, $F$9) + CHOOSE(CONTROL!$C$27, 0.0021, 0)</f>
        <v>90.137</v>
      </c>
      <c r="L613" s="14"/>
    </row>
    <row r="614" spans="1:12" ht="15.75" x14ac:dyDescent="0.25">
      <c r="A614" s="32">
        <v>59626</v>
      </c>
      <c r="B614" s="14">
        <f>95.2197 * CHOOSE(CONTROL!$C$9, $D$9, 100%, $F$9) + CHOOSE(CONTROL!$C$27, 0.0021, 0)</f>
        <v>95.221800000000002</v>
      </c>
      <c r="C614" s="14">
        <f>94.7874 * CHOOSE(CONTROL!$C$9, $D$9, 100%, $F$9) + CHOOSE(CONTROL!$C$27, 0.0021, 0)</f>
        <v>94.789500000000004</v>
      </c>
      <c r="D614" s="14">
        <f>94.7874 * CHOOSE(CONTROL!$C$9, $D$9, 100%, $F$9) + CHOOSE(CONTROL!$C$27, 0.0021, 0)</f>
        <v>94.789500000000004</v>
      </c>
      <c r="E614" s="14">
        <f>94.6508 * CHOOSE(CONTROL!$C$9, $D$9, 100%, $F$9) + CHOOSE(CONTROL!$C$27, 0.0021, 0)</f>
        <v>94.652900000000002</v>
      </c>
      <c r="F614" s="14">
        <f>94.6508 * CHOOSE(CONTROL!$C$9, $D$9, 100%, $F$9) + CHOOSE(CONTROL!$C$27, 0.0021, 0)</f>
        <v>94.652900000000002</v>
      </c>
      <c r="G614" s="14">
        <f>94.9222 * CHOOSE(CONTROL!$C$9, $D$9, 100%, $F$9) + CHOOSE(CONTROL!$C$27, 0.0021, 0)</f>
        <v>94.924300000000002</v>
      </c>
      <c r="H614" s="14">
        <f>94.7874 * CHOOSE(CONTROL!$C$9, $D$9, 100%, $F$9) + CHOOSE(CONTROL!$C$27, 0.0021, 0)</f>
        <v>94.789500000000004</v>
      </c>
      <c r="I614" s="14">
        <f>94.7874 * CHOOSE(CONTROL!$C$9, $D$9, 100%, $F$9) + CHOOSE(CONTROL!$C$27, 0.0021, 0)</f>
        <v>94.789500000000004</v>
      </c>
      <c r="J614" s="14">
        <f>94.7874 * CHOOSE(CONTROL!$C$9, $D$9, 100%, $F$9) + CHOOSE(CONTROL!$C$27, 0.0021, 0)</f>
        <v>94.789500000000004</v>
      </c>
      <c r="K614" s="14">
        <f>94.7874 * CHOOSE(CONTROL!$C$9, $D$9, 100%, $F$9) + CHOOSE(CONTROL!$C$27, 0.0021, 0)</f>
        <v>94.789500000000004</v>
      </c>
      <c r="L614" s="14"/>
    </row>
    <row r="615" spans="1:12" ht="15.75" x14ac:dyDescent="0.25">
      <c r="A615" s="32">
        <v>59656</v>
      </c>
      <c r="B615" s="14">
        <f>101.253 * CHOOSE(CONTROL!$C$9, $D$9, 100%, $F$9) + CHOOSE(CONTROL!$C$27, 0.0021, 0)</f>
        <v>101.2551</v>
      </c>
      <c r="C615" s="14">
        <f>100.8207 * CHOOSE(CONTROL!$C$9, $D$9, 100%, $F$9) + CHOOSE(CONTROL!$C$27, 0.0021, 0)</f>
        <v>100.8228</v>
      </c>
      <c r="D615" s="14">
        <f>100.8207 * CHOOSE(CONTROL!$C$9, $D$9, 100%, $F$9) + CHOOSE(CONTROL!$C$27, 0.0021, 0)</f>
        <v>100.8228</v>
      </c>
      <c r="E615" s="14">
        <f>100.6841 * CHOOSE(CONTROL!$C$9, $D$9, 100%, $F$9) + CHOOSE(CONTROL!$C$27, 0.0021, 0)</f>
        <v>100.6862</v>
      </c>
      <c r="F615" s="14">
        <f>100.6841 * CHOOSE(CONTROL!$C$9, $D$9, 100%, $F$9) + CHOOSE(CONTROL!$C$27, 0.0021, 0)</f>
        <v>100.6862</v>
      </c>
      <c r="G615" s="14">
        <f>100.9555 * CHOOSE(CONTROL!$C$9, $D$9, 100%, $F$9) + CHOOSE(CONTROL!$C$27, 0.0021, 0)</f>
        <v>100.9576</v>
      </c>
      <c r="H615" s="14">
        <f>100.8207 * CHOOSE(CONTROL!$C$9, $D$9, 100%, $F$9) + CHOOSE(CONTROL!$C$27, 0.0021, 0)</f>
        <v>100.8228</v>
      </c>
      <c r="I615" s="14">
        <f>100.8207 * CHOOSE(CONTROL!$C$9, $D$9, 100%, $F$9) + CHOOSE(CONTROL!$C$27, 0.0021, 0)</f>
        <v>100.8228</v>
      </c>
      <c r="J615" s="14">
        <f>100.8207 * CHOOSE(CONTROL!$C$9, $D$9, 100%, $F$9) + CHOOSE(CONTROL!$C$27, 0.0021, 0)</f>
        <v>100.8228</v>
      </c>
      <c r="K615" s="14">
        <f>100.8207 * CHOOSE(CONTROL!$C$9, $D$9, 100%, $F$9) + CHOOSE(CONTROL!$C$27, 0.0021, 0)</f>
        <v>100.8228</v>
      </c>
      <c r="L615" s="14"/>
    </row>
    <row r="616" spans="1:12" ht="15.75" x14ac:dyDescent="0.25">
      <c r="A616" s="32">
        <v>59687</v>
      </c>
      <c r="B616" s="14">
        <f>104.5739 * CHOOSE(CONTROL!$C$9, $D$9, 100%, $F$9) + CHOOSE(CONTROL!$C$27, 0.0021, 0)</f>
        <v>104.57599999999999</v>
      </c>
      <c r="C616" s="14">
        <f>104.1417 * CHOOSE(CONTROL!$C$9, $D$9, 100%, $F$9) + CHOOSE(CONTROL!$C$27, 0.0021, 0)</f>
        <v>104.1438</v>
      </c>
      <c r="D616" s="14">
        <f>104.1417 * CHOOSE(CONTROL!$C$9, $D$9, 100%, $F$9) + CHOOSE(CONTROL!$C$27, 0.0021, 0)</f>
        <v>104.1438</v>
      </c>
      <c r="E616" s="14">
        <f>104.005 * CHOOSE(CONTROL!$C$9, $D$9, 100%, $F$9) + CHOOSE(CONTROL!$C$27, 0.0021, 0)</f>
        <v>104.00709999999999</v>
      </c>
      <c r="F616" s="14">
        <f>104.005 * CHOOSE(CONTROL!$C$9, $D$9, 100%, $F$9) + CHOOSE(CONTROL!$C$27, 0.0021, 0)</f>
        <v>104.00709999999999</v>
      </c>
      <c r="G616" s="14">
        <f>104.2764 * CHOOSE(CONTROL!$C$9, $D$9, 100%, $F$9) + CHOOSE(CONTROL!$C$27, 0.0021, 0)</f>
        <v>104.27849999999999</v>
      </c>
      <c r="H616" s="14">
        <f>104.1417 * CHOOSE(CONTROL!$C$9, $D$9, 100%, $F$9) + CHOOSE(CONTROL!$C$27, 0.0021, 0)</f>
        <v>104.1438</v>
      </c>
      <c r="I616" s="14">
        <f>104.1417 * CHOOSE(CONTROL!$C$9, $D$9, 100%, $F$9) + CHOOSE(CONTROL!$C$27, 0.0021, 0)</f>
        <v>104.1438</v>
      </c>
      <c r="J616" s="14">
        <f>104.1417 * CHOOSE(CONTROL!$C$9, $D$9, 100%, $F$9) + CHOOSE(CONTROL!$C$27, 0.0021, 0)</f>
        <v>104.1438</v>
      </c>
      <c r="K616" s="14">
        <f>104.1417 * CHOOSE(CONTROL!$C$9, $D$9, 100%, $F$9) + CHOOSE(CONTROL!$C$27, 0.0021, 0)</f>
        <v>104.1438</v>
      </c>
      <c r="L616" s="14"/>
    </row>
    <row r="617" spans="1:12" ht="15.75" x14ac:dyDescent="0.25">
      <c r="A617" s="32">
        <v>59717</v>
      </c>
      <c r="B617" s="14">
        <f>106.0477 * CHOOSE(CONTROL!$C$9, $D$9, 100%, $F$9) + CHOOSE(CONTROL!$C$27, 0.0021, 0)</f>
        <v>106.0498</v>
      </c>
      <c r="C617" s="14">
        <f>105.6154 * CHOOSE(CONTROL!$C$9, $D$9, 100%, $F$9) + CHOOSE(CONTROL!$C$27, 0.0021, 0)</f>
        <v>105.61749999999999</v>
      </c>
      <c r="D617" s="14">
        <f>105.6154 * CHOOSE(CONTROL!$C$9, $D$9, 100%, $F$9) + CHOOSE(CONTROL!$C$27, 0.0021, 0)</f>
        <v>105.61749999999999</v>
      </c>
      <c r="E617" s="14">
        <f>105.4788 * CHOOSE(CONTROL!$C$9, $D$9, 100%, $F$9) + CHOOSE(CONTROL!$C$27, 0.0021, 0)</f>
        <v>105.48090000000001</v>
      </c>
      <c r="F617" s="14">
        <f>105.4788 * CHOOSE(CONTROL!$C$9, $D$9, 100%, $F$9) + CHOOSE(CONTROL!$C$27, 0.0021, 0)</f>
        <v>105.48090000000001</v>
      </c>
      <c r="G617" s="14">
        <f>105.7501 * CHOOSE(CONTROL!$C$9, $D$9, 100%, $F$9) + CHOOSE(CONTROL!$C$27, 0.0021, 0)</f>
        <v>105.7522</v>
      </c>
      <c r="H617" s="14">
        <f>105.6154 * CHOOSE(CONTROL!$C$9, $D$9, 100%, $F$9) + CHOOSE(CONTROL!$C$27, 0.0021, 0)</f>
        <v>105.61749999999999</v>
      </c>
      <c r="I617" s="14">
        <f>105.6154 * CHOOSE(CONTROL!$C$9, $D$9, 100%, $F$9) + CHOOSE(CONTROL!$C$27, 0.0021, 0)</f>
        <v>105.61749999999999</v>
      </c>
      <c r="J617" s="14">
        <f>105.6154 * CHOOSE(CONTROL!$C$9, $D$9, 100%, $F$9) + CHOOSE(CONTROL!$C$27, 0.0021, 0)</f>
        <v>105.61749999999999</v>
      </c>
      <c r="K617" s="14">
        <f>105.6154 * CHOOSE(CONTROL!$C$9, $D$9, 100%, $F$9) + CHOOSE(CONTROL!$C$27, 0.0021, 0)</f>
        <v>105.61749999999999</v>
      </c>
      <c r="L617" s="14"/>
    </row>
    <row r="618" spans="1:12" ht="15.75" x14ac:dyDescent="0.25">
      <c r="A618" s="32">
        <v>59748</v>
      </c>
      <c r="B618" s="14">
        <f>105.5624 * CHOOSE(CONTROL!$C$9, $D$9, 100%, $F$9) + CHOOSE(CONTROL!$C$27, 0.0021, 0)</f>
        <v>105.5645</v>
      </c>
      <c r="C618" s="14">
        <f>105.1302 * CHOOSE(CONTROL!$C$9, $D$9, 100%, $F$9) + CHOOSE(CONTROL!$C$27, 0.0021, 0)</f>
        <v>105.1323</v>
      </c>
      <c r="D618" s="14">
        <f>105.1302 * CHOOSE(CONTROL!$C$9, $D$9, 100%, $F$9) + CHOOSE(CONTROL!$C$27, 0.0021, 0)</f>
        <v>105.1323</v>
      </c>
      <c r="E618" s="14">
        <f>104.9935 * CHOOSE(CONTROL!$C$9, $D$9, 100%, $F$9) + CHOOSE(CONTROL!$C$27, 0.0021, 0)</f>
        <v>104.9956</v>
      </c>
      <c r="F618" s="14">
        <f>104.9935 * CHOOSE(CONTROL!$C$9, $D$9, 100%, $F$9) + CHOOSE(CONTROL!$C$27, 0.0021, 0)</f>
        <v>104.9956</v>
      </c>
      <c r="G618" s="14">
        <f>105.2649 * CHOOSE(CONTROL!$C$9, $D$9, 100%, $F$9) + CHOOSE(CONTROL!$C$27, 0.0021, 0)</f>
        <v>105.267</v>
      </c>
      <c r="H618" s="14">
        <f>105.1302 * CHOOSE(CONTROL!$C$9, $D$9, 100%, $F$9) + CHOOSE(CONTROL!$C$27, 0.0021, 0)</f>
        <v>105.1323</v>
      </c>
      <c r="I618" s="14">
        <f>105.1302 * CHOOSE(CONTROL!$C$9, $D$9, 100%, $F$9) + CHOOSE(CONTROL!$C$27, 0.0021, 0)</f>
        <v>105.1323</v>
      </c>
      <c r="J618" s="14">
        <f>105.1302 * CHOOSE(CONTROL!$C$9, $D$9, 100%, $F$9) + CHOOSE(CONTROL!$C$27, 0.0021, 0)</f>
        <v>105.1323</v>
      </c>
      <c r="K618" s="14">
        <f>105.1302 * CHOOSE(CONTROL!$C$9, $D$9, 100%, $F$9) + CHOOSE(CONTROL!$C$27, 0.0021, 0)</f>
        <v>105.1323</v>
      </c>
      <c r="L618" s="14"/>
    </row>
    <row r="619" spans="1:12" ht="15.75" x14ac:dyDescent="0.25">
      <c r="A619" s="32">
        <v>59779</v>
      </c>
      <c r="B619" s="14">
        <f>103.1584 * CHOOSE(CONTROL!$C$9, $D$9, 100%, $F$9) + CHOOSE(CONTROL!$C$27, 0.0021, 0)</f>
        <v>103.1605</v>
      </c>
      <c r="C619" s="14">
        <f>102.7261 * CHOOSE(CONTROL!$C$9, $D$9, 100%, $F$9) + CHOOSE(CONTROL!$C$27, 0.0021, 0)</f>
        <v>102.7282</v>
      </c>
      <c r="D619" s="14">
        <f>102.7261 * CHOOSE(CONTROL!$C$9, $D$9, 100%, $F$9) + CHOOSE(CONTROL!$C$27, 0.0021, 0)</f>
        <v>102.7282</v>
      </c>
      <c r="E619" s="14">
        <f>102.5895 * CHOOSE(CONTROL!$C$9, $D$9, 100%, $F$9) + CHOOSE(CONTROL!$C$27, 0.0021, 0)</f>
        <v>102.5916</v>
      </c>
      <c r="F619" s="14">
        <f>102.5895 * CHOOSE(CONTROL!$C$9, $D$9, 100%, $F$9) + CHOOSE(CONTROL!$C$27, 0.0021, 0)</f>
        <v>102.5916</v>
      </c>
      <c r="G619" s="14">
        <f>102.8608 * CHOOSE(CONTROL!$C$9, $D$9, 100%, $F$9) + CHOOSE(CONTROL!$C$27, 0.0021, 0)</f>
        <v>102.8629</v>
      </c>
      <c r="H619" s="14">
        <f>102.7261 * CHOOSE(CONTROL!$C$9, $D$9, 100%, $F$9) + CHOOSE(CONTROL!$C$27, 0.0021, 0)</f>
        <v>102.7282</v>
      </c>
      <c r="I619" s="14">
        <f>102.7261 * CHOOSE(CONTROL!$C$9, $D$9, 100%, $F$9) + CHOOSE(CONTROL!$C$27, 0.0021, 0)</f>
        <v>102.7282</v>
      </c>
      <c r="J619" s="14">
        <f>102.7261 * CHOOSE(CONTROL!$C$9, $D$9, 100%, $F$9) + CHOOSE(CONTROL!$C$27, 0.0021, 0)</f>
        <v>102.7282</v>
      </c>
      <c r="K619" s="14">
        <f>102.7261 * CHOOSE(CONTROL!$C$9, $D$9, 100%, $F$9) + CHOOSE(CONTROL!$C$27, 0.0021, 0)</f>
        <v>102.7282</v>
      </c>
      <c r="L619" s="14"/>
    </row>
    <row r="620" spans="1:12" ht="15.75" x14ac:dyDescent="0.25">
      <c r="A620" s="32">
        <v>59809</v>
      </c>
      <c r="B620" s="14">
        <f>99.8057 * CHOOSE(CONTROL!$C$9, $D$9, 100%, $F$9) + CHOOSE(CONTROL!$C$27, 0.0021, 0)</f>
        <v>99.8078</v>
      </c>
      <c r="C620" s="14">
        <f>99.3735 * CHOOSE(CONTROL!$C$9, $D$9, 100%, $F$9) + CHOOSE(CONTROL!$C$27, 0.0021, 0)</f>
        <v>99.375600000000006</v>
      </c>
      <c r="D620" s="14">
        <f>99.3735 * CHOOSE(CONTROL!$C$9, $D$9, 100%, $F$9) + CHOOSE(CONTROL!$C$27, 0.0021, 0)</f>
        <v>99.375600000000006</v>
      </c>
      <c r="E620" s="14">
        <f>99.2368 * CHOOSE(CONTROL!$C$9, $D$9, 100%, $F$9) + CHOOSE(CONTROL!$C$27, 0.0021, 0)</f>
        <v>99.238900000000001</v>
      </c>
      <c r="F620" s="14">
        <f>99.2368 * CHOOSE(CONTROL!$C$9, $D$9, 100%, $F$9) + CHOOSE(CONTROL!$C$27, 0.0021, 0)</f>
        <v>99.238900000000001</v>
      </c>
      <c r="G620" s="14">
        <f>99.5082 * CHOOSE(CONTROL!$C$9, $D$9, 100%, $F$9) + CHOOSE(CONTROL!$C$27, 0.0021, 0)</f>
        <v>99.510300000000001</v>
      </c>
      <c r="H620" s="14">
        <f>99.3735 * CHOOSE(CONTROL!$C$9, $D$9, 100%, $F$9) + CHOOSE(CONTROL!$C$27, 0.0021, 0)</f>
        <v>99.375600000000006</v>
      </c>
      <c r="I620" s="14">
        <f>99.3735 * CHOOSE(CONTROL!$C$9, $D$9, 100%, $F$9) + CHOOSE(CONTROL!$C$27, 0.0021, 0)</f>
        <v>99.375600000000006</v>
      </c>
      <c r="J620" s="14">
        <f>99.3735 * CHOOSE(CONTROL!$C$9, $D$9, 100%, $F$9) + CHOOSE(CONTROL!$C$27, 0.0021, 0)</f>
        <v>99.375600000000006</v>
      </c>
      <c r="K620" s="14">
        <f>99.3735 * CHOOSE(CONTROL!$C$9, $D$9, 100%, $F$9) + CHOOSE(CONTROL!$C$27, 0.0021, 0)</f>
        <v>99.375600000000006</v>
      </c>
      <c r="L620" s="14"/>
    </row>
    <row r="621" spans="1:12" ht="15.75" x14ac:dyDescent="0.25">
      <c r="A621" s="32">
        <v>59840</v>
      </c>
      <c r="B621" s="14">
        <f>96.4336 * CHOOSE(CONTROL!$C$9, $D$9, 100%, $F$9) + CHOOSE(CONTROL!$C$27, 0.0021, 0)</f>
        <v>96.435699999999997</v>
      </c>
      <c r="C621" s="14">
        <f>96.0014 * CHOOSE(CONTROL!$C$9, $D$9, 100%, $F$9) + CHOOSE(CONTROL!$C$27, 0.0021, 0)</f>
        <v>96.003500000000003</v>
      </c>
      <c r="D621" s="14">
        <f>96.0014 * CHOOSE(CONTROL!$C$9, $D$9, 100%, $F$9) + CHOOSE(CONTROL!$C$27, 0.0021, 0)</f>
        <v>96.003500000000003</v>
      </c>
      <c r="E621" s="14">
        <f>95.8647 * CHOOSE(CONTROL!$C$9, $D$9, 100%, $F$9) + CHOOSE(CONTROL!$C$27, 0.0021, 0)</f>
        <v>95.866799999999998</v>
      </c>
      <c r="F621" s="14">
        <f>95.8647 * CHOOSE(CONTROL!$C$9, $D$9, 100%, $F$9) + CHOOSE(CONTROL!$C$27, 0.0021, 0)</f>
        <v>95.866799999999998</v>
      </c>
      <c r="G621" s="14">
        <f>96.1361 * CHOOSE(CONTROL!$C$9, $D$9, 100%, $F$9) + CHOOSE(CONTROL!$C$27, 0.0021, 0)</f>
        <v>96.138199999999998</v>
      </c>
      <c r="H621" s="14">
        <f>96.0014 * CHOOSE(CONTROL!$C$9, $D$9, 100%, $F$9) + CHOOSE(CONTROL!$C$27, 0.0021, 0)</f>
        <v>96.003500000000003</v>
      </c>
      <c r="I621" s="14">
        <f>96.0014 * CHOOSE(CONTROL!$C$9, $D$9, 100%, $F$9) + CHOOSE(CONTROL!$C$27, 0.0021, 0)</f>
        <v>96.003500000000003</v>
      </c>
      <c r="J621" s="14">
        <f>96.0014 * CHOOSE(CONTROL!$C$9, $D$9, 100%, $F$9) + CHOOSE(CONTROL!$C$27, 0.0021, 0)</f>
        <v>96.003500000000003</v>
      </c>
      <c r="K621" s="14">
        <f>96.0014 * CHOOSE(CONTROL!$C$9, $D$9, 100%, $F$9) + CHOOSE(CONTROL!$C$27, 0.0021, 0)</f>
        <v>96.003500000000003</v>
      </c>
      <c r="L621" s="14"/>
    </row>
    <row r="622" spans="1:12" ht="15.75" x14ac:dyDescent="0.25">
      <c r="A622" s="32">
        <v>59870</v>
      </c>
      <c r="B622" s="14">
        <f>95.7629 * CHOOSE(CONTROL!$C$9, $D$9, 100%, $F$9) + CHOOSE(CONTROL!$C$27, 0.0021, 0)</f>
        <v>95.765000000000001</v>
      </c>
      <c r="C622" s="14">
        <f>95.3306 * CHOOSE(CONTROL!$C$9, $D$9, 100%, $F$9) + CHOOSE(CONTROL!$C$27, 0.0021, 0)</f>
        <v>95.332700000000003</v>
      </c>
      <c r="D622" s="14">
        <f>95.3306 * CHOOSE(CONTROL!$C$9, $D$9, 100%, $F$9) + CHOOSE(CONTROL!$C$27, 0.0021, 0)</f>
        <v>95.332700000000003</v>
      </c>
      <c r="E622" s="14">
        <f>95.1939 * CHOOSE(CONTROL!$C$9, $D$9, 100%, $F$9) + CHOOSE(CONTROL!$C$27, 0.0021, 0)</f>
        <v>95.195999999999998</v>
      </c>
      <c r="F622" s="14">
        <f>95.1939 * CHOOSE(CONTROL!$C$9, $D$9, 100%, $F$9) + CHOOSE(CONTROL!$C$27, 0.0021, 0)</f>
        <v>95.195999999999998</v>
      </c>
      <c r="G622" s="14">
        <f>95.4653 * CHOOSE(CONTROL!$C$9, $D$9, 100%, $F$9) + CHOOSE(CONTROL!$C$27, 0.0021, 0)</f>
        <v>95.467399999999998</v>
      </c>
      <c r="H622" s="14">
        <f>95.3306 * CHOOSE(CONTROL!$C$9, $D$9, 100%, $F$9) + CHOOSE(CONTROL!$C$27, 0.0021, 0)</f>
        <v>95.332700000000003</v>
      </c>
      <c r="I622" s="14">
        <f>95.3306 * CHOOSE(CONTROL!$C$9, $D$9, 100%, $F$9) + CHOOSE(CONTROL!$C$27, 0.0021, 0)</f>
        <v>95.332700000000003</v>
      </c>
      <c r="J622" s="14">
        <f>95.3306 * CHOOSE(CONTROL!$C$9, $D$9, 100%, $F$9) + CHOOSE(CONTROL!$C$27, 0.0021, 0)</f>
        <v>95.332700000000003</v>
      </c>
      <c r="K622" s="14">
        <f>95.3306 * CHOOSE(CONTROL!$C$9, $D$9, 100%, $F$9) + CHOOSE(CONTROL!$C$27, 0.0021, 0)</f>
        <v>95.332700000000003</v>
      </c>
      <c r="L622" s="14"/>
    </row>
    <row r="623" spans="1:12" ht="15.75" x14ac:dyDescent="0.25">
      <c r="A623" s="32">
        <v>59901</v>
      </c>
      <c r="B623" s="14">
        <f>92.9891 * CHOOSE(CONTROL!$C$9, $D$9, 100%, $F$9) + CHOOSE(CONTROL!$C$27, 0.0021, 0)</f>
        <v>92.991199999999992</v>
      </c>
      <c r="C623" s="14">
        <f>92.5569 * CHOOSE(CONTROL!$C$9, $D$9, 100%, $F$9) + CHOOSE(CONTROL!$C$27, 0.0021, 0)</f>
        <v>92.558999999999997</v>
      </c>
      <c r="D623" s="14">
        <f>92.5569 * CHOOSE(CONTROL!$C$9, $D$9, 100%, $F$9) + CHOOSE(CONTROL!$C$27, 0.0021, 0)</f>
        <v>92.558999999999997</v>
      </c>
      <c r="E623" s="14">
        <f>92.4202 * CHOOSE(CONTROL!$C$9, $D$9, 100%, $F$9) + CHOOSE(CONTROL!$C$27, 0.0021, 0)</f>
        <v>92.422299999999993</v>
      </c>
      <c r="F623" s="14">
        <f>92.4202 * CHOOSE(CONTROL!$C$9, $D$9, 100%, $F$9) + CHOOSE(CONTROL!$C$27, 0.0021, 0)</f>
        <v>92.422299999999993</v>
      </c>
      <c r="G623" s="14">
        <f>92.6916 * CHOOSE(CONTROL!$C$9, $D$9, 100%, $F$9) + CHOOSE(CONTROL!$C$27, 0.0021, 0)</f>
        <v>92.693699999999993</v>
      </c>
      <c r="H623" s="14">
        <f>92.5569 * CHOOSE(CONTROL!$C$9, $D$9, 100%, $F$9) + CHOOSE(CONTROL!$C$27, 0.0021, 0)</f>
        <v>92.558999999999997</v>
      </c>
      <c r="I623" s="14">
        <f>92.5569 * CHOOSE(CONTROL!$C$9, $D$9, 100%, $F$9) + CHOOSE(CONTROL!$C$27, 0.0021, 0)</f>
        <v>92.558999999999997</v>
      </c>
      <c r="J623" s="14">
        <f>92.5569 * CHOOSE(CONTROL!$C$9, $D$9, 100%, $F$9) + CHOOSE(CONTROL!$C$27, 0.0021, 0)</f>
        <v>92.558999999999997</v>
      </c>
      <c r="K623" s="14">
        <f>92.5569 * CHOOSE(CONTROL!$C$9, $D$9, 100%, $F$9) + CHOOSE(CONTROL!$C$27, 0.0021, 0)</f>
        <v>92.558999999999997</v>
      </c>
      <c r="L623" s="14"/>
    </row>
    <row r="624" spans="1:12" ht="15.75" x14ac:dyDescent="0.25">
      <c r="A624" s="32">
        <v>59932</v>
      </c>
      <c r="B624" s="14">
        <f>92.4491 * CHOOSE(CONTROL!$C$9, $D$9, 100%, $F$9) + CHOOSE(CONTROL!$C$27, 0.0021, 0)</f>
        <v>92.4512</v>
      </c>
      <c r="C624" s="14">
        <f>92.0168 * CHOOSE(CONTROL!$C$9, $D$9, 100%, $F$9) + CHOOSE(CONTROL!$C$27, 0.0021, 0)</f>
        <v>92.018900000000002</v>
      </c>
      <c r="D624" s="14">
        <f>92.0168 * CHOOSE(CONTROL!$C$9, $D$9, 100%, $F$9) + CHOOSE(CONTROL!$C$27, 0.0021, 0)</f>
        <v>92.018900000000002</v>
      </c>
      <c r="E624" s="14">
        <f>91.8802 * CHOOSE(CONTROL!$C$9, $D$9, 100%, $F$9) + CHOOSE(CONTROL!$C$27, 0.0021, 0)</f>
        <v>91.882300000000001</v>
      </c>
      <c r="F624" s="14">
        <f>91.8802 * CHOOSE(CONTROL!$C$9, $D$9, 100%, $F$9) + CHOOSE(CONTROL!$C$27, 0.0021, 0)</f>
        <v>91.882300000000001</v>
      </c>
      <c r="G624" s="14">
        <f>92.1516 * CHOOSE(CONTROL!$C$9, $D$9, 100%, $F$9) + CHOOSE(CONTROL!$C$27, 0.0021, 0)</f>
        <v>92.153700000000001</v>
      </c>
      <c r="H624" s="14">
        <f>92.0168 * CHOOSE(CONTROL!$C$9, $D$9, 100%, $F$9) + CHOOSE(CONTROL!$C$27, 0.0021, 0)</f>
        <v>92.018900000000002</v>
      </c>
      <c r="I624" s="14">
        <f>92.0168 * CHOOSE(CONTROL!$C$9, $D$9, 100%, $F$9) + CHOOSE(CONTROL!$C$27, 0.0021, 0)</f>
        <v>92.018900000000002</v>
      </c>
      <c r="J624" s="14">
        <f>92.0168 * CHOOSE(CONTROL!$C$9, $D$9, 100%, $F$9) + CHOOSE(CONTROL!$C$27, 0.0021, 0)</f>
        <v>92.018900000000002</v>
      </c>
      <c r="K624" s="14">
        <f>92.0168 * CHOOSE(CONTROL!$C$9, $D$9, 100%, $F$9) + CHOOSE(CONTROL!$C$27, 0.0021, 0)</f>
        <v>92.018900000000002</v>
      </c>
      <c r="L624" s="14"/>
    </row>
    <row r="625" spans="1:12" ht="15.75" x14ac:dyDescent="0.25">
      <c r="A625" s="32">
        <v>59961</v>
      </c>
      <c r="B625" s="14">
        <f>92.1985 * CHOOSE(CONTROL!$C$9, $D$9, 100%, $F$9) + CHOOSE(CONTROL!$C$27, 0.0021, 0)</f>
        <v>92.200599999999994</v>
      </c>
      <c r="C625" s="14">
        <f>91.7662 * CHOOSE(CONTROL!$C$9, $D$9, 100%, $F$9) + CHOOSE(CONTROL!$C$27, 0.0021, 0)</f>
        <v>91.768299999999996</v>
      </c>
      <c r="D625" s="14">
        <f>91.7662 * CHOOSE(CONTROL!$C$9, $D$9, 100%, $F$9) + CHOOSE(CONTROL!$C$27, 0.0021, 0)</f>
        <v>91.768299999999996</v>
      </c>
      <c r="E625" s="14">
        <f>91.6296 * CHOOSE(CONTROL!$C$9, $D$9, 100%, $F$9) + CHOOSE(CONTROL!$C$27, 0.0021, 0)</f>
        <v>91.631699999999995</v>
      </c>
      <c r="F625" s="14">
        <f>91.6296 * CHOOSE(CONTROL!$C$9, $D$9, 100%, $F$9) + CHOOSE(CONTROL!$C$27, 0.0021, 0)</f>
        <v>91.631699999999995</v>
      </c>
      <c r="G625" s="14">
        <f>91.901 * CHOOSE(CONTROL!$C$9, $D$9, 100%, $F$9) + CHOOSE(CONTROL!$C$27, 0.0021, 0)</f>
        <v>91.903099999999995</v>
      </c>
      <c r="H625" s="14">
        <f>91.7662 * CHOOSE(CONTROL!$C$9, $D$9, 100%, $F$9) + CHOOSE(CONTROL!$C$27, 0.0021, 0)</f>
        <v>91.768299999999996</v>
      </c>
      <c r="I625" s="14">
        <f>91.7662 * CHOOSE(CONTROL!$C$9, $D$9, 100%, $F$9) + CHOOSE(CONTROL!$C$27, 0.0021, 0)</f>
        <v>91.768299999999996</v>
      </c>
      <c r="J625" s="14">
        <f>91.7662 * CHOOSE(CONTROL!$C$9, $D$9, 100%, $F$9) + CHOOSE(CONTROL!$C$27, 0.0021, 0)</f>
        <v>91.768299999999996</v>
      </c>
      <c r="K625" s="14">
        <f>91.7662 * CHOOSE(CONTROL!$C$9, $D$9, 100%, $F$9) + CHOOSE(CONTROL!$C$27, 0.0021, 0)</f>
        <v>91.768299999999996</v>
      </c>
      <c r="L625" s="14"/>
    </row>
    <row r="626" spans="1:12" ht="15.75" x14ac:dyDescent="0.25">
      <c r="A626" s="32">
        <v>59992</v>
      </c>
      <c r="B626" s="14">
        <f>96.9371 * CHOOSE(CONTROL!$C$9, $D$9, 100%, $F$9) + CHOOSE(CONTROL!$C$27, 0.0021, 0)</f>
        <v>96.9392</v>
      </c>
      <c r="C626" s="14">
        <f>96.5048 * CHOOSE(CONTROL!$C$9, $D$9, 100%, $F$9) + CHOOSE(CONTROL!$C$27, 0.0021, 0)</f>
        <v>96.506900000000002</v>
      </c>
      <c r="D626" s="14">
        <f>96.5048 * CHOOSE(CONTROL!$C$9, $D$9, 100%, $F$9) + CHOOSE(CONTROL!$C$27, 0.0021, 0)</f>
        <v>96.506900000000002</v>
      </c>
      <c r="E626" s="14">
        <f>96.3682 * CHOOSE(CONTROL!$C$9, $D$9, 100%, $F$9) + CHOOSE(CONTROL!$C$27, 0.0021, 0)</f>
        <v>96.3703</v>
      </c>
      <c r="F626" s="14">
        <f>96.3682 * CHOOSE(CONTROL!$C$9, $D$9, 100%, $F$9) + CHOOSE(CONTROL!$C$27, 0.0021, 0)</f>
        <v>96.3703</v>
      </c>
      <c r="G626" s="14">
        <f>96.6395 * CHOOSE(CONTROL!$C$9, $D$9, 100%, $F$9) + CHOOSE(CONTROL!$C$27, 0.0021, 0)</f>
        <v>96.641599999999997</v>
      </c>
      <c r="H626" s="14">
        <f>96.5048 * CHOOSE(CONTROL!$C$9, $D$9, 100%, $F$9) + CHOOSE(CONTROL!$C$27, 0.0021, 0)</f>
        <v>96.506900000000002</v>
      </c>
      <c r="I626" s="14">
        <f>96.5048 * CHOOSE(CONTROL!$C$9, $D$9, 100%, $F$9) + CHOOSE(CONTROL!$C$27, 0.0021, 0)</f>
        <v>96.506900000000002</v>
      </c>
      <c r="J626" s="14">
        <f>96.5048 * CHOOSE(CONTROL!$C$9, $D$9, 100%, $F$9) + CHOOSE(CONTROL!$C$27, 0.0021, 0)</f>
        <v>96.506900000000002</v>
      </c>
      <c r="K626" s="14">
        <f>96.5048 * CHOOSE(CONTROL!$C$9, $D$9, 100%, $F$9) + CHOOSE(CONTROL!$C$27, 0.0021, 0)</f>
        <v>96.506900000000002</v>
      </c>
      <c r="L626" s="14"/>
    </row>
    <row r="627" spans="1:12" ht="15.75" x14ac:dyDescent="0.25">
      <c r="A627" s="32">
        <v>60022</v>
      </c>
      <c r="B627" s="14">
        <f>103.0819 * CHOOSE(CONTROL!$C$9, $D$9, 100%, $F$9) + CHOOSE(CONTROL!$C$27, 0.0021, 0)</f>
        <v>103.084</v>
      </c>
      <c r="C627" s="14">
        <f>102.6496 * CHOOSE(CONTROL!$C$9, $D$9, 100%, $F$9) + CHOOSE(CONTROL!$C$27, 0.0021, 0)</f>
        <v>102.65170000000001</v>
      </c>
      <c r="D627" s="14">
        <f>102.6496 * CHOOSE(CONTROL!$C$9, $D$9, 100%, $F$9) + CHOOSE(CONTROL!$C$27, 0.0021, 0)</f>
        <v>102.65170000000001</v>
      </c>
      <c r="E627" s="14">
        <f>102.5129 * CHOOSE(CONTROL!$C$9, $D$9, 100%, $F$9) + CHOOSE(CONTROL!$C$27, 0.0021, 0)</f>
        <v>102.515</v>
      </c>
      <c r="F627" s="14">
        <f>102.5129 * CHOOSE(CONTROL!$C$9, $D$9, 100%, $F$9) + CHOOSE(CONTROL!$C$27, 0.0021, 0)</f>
        <v>102.515</v>
      </c>
      <c r="G627" s="14">
        <f>102.7843 * CHOOSE(CONTROL!$C$9, $D$9, 100%, $F$9) + CHOOSE(CONTROL!$C$27, 0.0021, 0)</f>
        <v>102.7864</v>
      </c>
      <c r="H627" s="14">
        <f>102.6496 * CHOOSE(CONTROL!$C$9, $D$9, 100%, $F$9) + CHOOSE(CONTROL!$C$27, 0.0021, 0)</f>
        <v>102.65170000000001</v>
      </c>
      <c r="I627" s="14">
        <f>102.6496 * CHOOSE(CONTROL!$C$9, $D$9, 100%, $F$9) + CHOOSE(CONTROL!$C$27, 0.0021, 0)</f>
        <v>102.65170000000001</v>
      </c>
      <c r="J627" s="14">
        <f>102.6496 * CHOOSE(CONTROL!$C$9, $D$9, 100%, $F$9) + CHOOSE(CONTROL!$C$27, 0.0021, 0)</f>
        <v>102.65170000000001</v>
      </c>
      <c r="K627" s="14">
        <f>102.6496 * CHOOSE(CONTROL!$C$9, $D$9, 100%, $F$9) + CHOOSE(CONTROL!$C$27, 0.0021, 0)</f>
        <v>102.65170000000001</v>
      </c>
      <c r="L627" s="14"/>
    </row>
    <row r="628" spans="1:12" ht="15.75" x14ac:dyDescent="0.25">
      <c r="A628" s="32">
        <v>60053</v>
      </c>
      <c r="B628" s="14">
        <f>106.4641 * CHOOSE(CONTROL!$C$9, $D$9, 100%, $F$9) + CHOOSE(CONTROL!$C$27, 0.0021, 0)</f>
        <v>106.4662</v>
      </c>
      <c r="C628" s="14">
        <f>106.0319 * CHOOSE(CONTROL!$C$9, $D$9, 100%, $F$9) + CHOOSE(CONTROL!$C$27, 0.0021, 0)</f>
        <v>106.03399999999999</v>
      </c>
      <c r="D628" s="14">
        <f>106.0319 * CHOOSE(CONTROL!$C$9, $D$9, 100%, $F$9) + CHOOSE(CONTROL!$C$27, 0.0021, 0)</f>
        <v>106.03399999999999</v>
      </c>
      <c r="E628" s="14">
        <f>105.8952 * CHOOSE(CONTROL!$C$9, $D$9, 100%, $F$9) + CHOOSE(CONTROL!$C$27, 0.0021, 0)</f>
        <v>105.8973</v>
      </c>
      <c r="F628" s="14">
        <f>105.8952 * CHOOSE(CONTROL!$C$9, $D$9, 100%, $F$9) + CHOOSE(CONTROL!$C$27, 0.0021, 0)</f>
        <v>105.8973</v>
      </c>
      <c r="G628" s="14">
        <f>106.1666 * CHOOSE(CONTROL!$C$9, $D$9, 100%, $F$9) + CHOOSE(CONTROL!$C$27, 0.0021, 0)</f>
        <v>106.1687</v>
      </c>
      <c r="H628" s="14">
        <f>106.0319 * CHOOSE(CONTROL!$C$9, $D$9, 100%, $F$9) + CHOOSE(CONTROL!$C$27, 0.0021, 0)</f>
        <v>106.03399999999999</v>
      </c>
      <c r="I628" s="14">
        <f>106.0319 * CHOOSE(CONTROL!$C$9, $D$9, 100%, $F$9) + CHOOSE(CONTROL!$C$27, 0.0021, 0)</f>
        <v>106.03399999999999</v>
      </c>
      <c r="J628" s="14">
        <f>106.0319 * CHOOSE(CONTROL!$C$9, $D$9, 100%, $F$9) + CHOOSE(CONTROL!$C$27, 0.0021, 0)</f>
        <v>106.03399999999999</v>
      </c>
      <c r="K628" s="14">
        <f>106.0319 * CHOOSE(CONTROL!$C$9, $D$9, 100%, $F$9) + CHOOSE(CONTROL!$C$27, 0.0021, 0)</f>
        <v>106.03399999999999</v>
      </c>
      <c r="L628" s="14"/>
    </row>
    <row r="629" spans="1:12" ht="15.75" x14ac:dyDescent="0.25">
      <c r="A629" s="32">
        <v>60083</v>
      </c>
      <c r="B629" s="14">
        <f>107.9652 * CHOOSE(CONTROL!$C$9, $D$9, 100%, $F$9) + CHOOSE(CONTROL!$C$27, 0.0021, 0)</f>
        <v>107.96729999999999</v>
      </c>
      <c r="C629" s="14">
        <f>107.5329 * CHOOSE(CONTROL!$C$9, $D$9, 100%, $F$9) + CHOOSE(CONTROL!$C$27, 0.0021, 0)</f>
        <v>107.535</v>
      </c>
      <c r="D629" s="14">
        <f>107.5329 * CHOOSE(CONTROL!$C$9, $D$9, 100%, $F$9) + CHOOSE(CONTROL!$C$27, 0.0021, 0)</f>
        <v>107.535</v>
      </c>
      <c r="E629" s="14">
        <f>107.3962 * CHOOSE(CONTROL!$C$9, $D$9, 100%, $F$9) + CHOOSE(CONTROL!$C$27, 0.0021, 0)</f>
        <v>107.39829999999999</v>
      </c>
      <c r="F629" s="14">
        <f>107.3962 * CHOOSE(CONTROL!$C$9, $D$9, 100%, $F$9) + CHOOSE(CONTROL!$C$27, 0.0021, 0)</f>
        <v>107.39829999999999</v>
      </c>
      <c r="G629" s="14">
        <f>107.6676 * CHOOSE(CONTROL!$C$9, $D$9, 100%, $F$9) + CHOOSE(CONTROL!$C$27, 0.0021, 0)</f>
        <v>107.66969999999999</v>
      </c>
      <c r="H629" s="14">
        <f>107.5329 * CHOOSE(CONTROL!$C$9, $D$9, 100%, $F$9) + CHOOSE(CONTROL!$C$27, 0.0021, 0)</f>
        <v>107.535</v>
      </c>
      <c r="I629" s="14">
        <f>107.5329 * CHOOSE(CONTROL!$C$9, $D$9, 100%, $F$9) + CHOOSE(CONTROL!$C$27, 0.0021, 0)</f>
        <v>107.535</v>
      </c>
      <c r="J629" s="14">
        <f>107.5329 * CHOOSE(CONTROL!$C$9, $D$9, 100%, $F$9) + CHOOSE(CONTROL!$C$27, 0.0021, 0)</f>
        <v>107.535</v>
      </c>
      <c r="K629" s="14">
        <f>107.5329 * CHOOSE(CONTROL!$C$9, $D$9, 100%, $F$9) + CHOOSE(CONTROL!$C$27, 0.0021, 0)</f>
        <v>107.535</v>
      </c>
      <c r="L629" s="14"/>
    </row>
    <row r="630" spans="1:12" ht="15.75" x14ac:dyDescent="0.25">
      <c r="A630" s="32">
        <v>60114</v>
      </c>
      <c r="B630" s="14">
        <f>107.471 * CHOOSE(CONTROL!$C$9, $D$9, 100%, $F$9) + CHOOSE(CONTROL!$C$27, 0.0021, 0)</f>
        <v>107.4731</v>
      </c>
      <c r="C630" s="14">
        <f>107.0387 * CHOOSE(CONTROL!$C$9, $D$9, 100%, $F$9) + CHOOSE(CONTROL!$C$27, 0.0021, 0)</f>
        <v>107.0408</v>
      </c>
      <c r="D630" s="14">
        <f>107.0387 * CHOOSE(CONTROL!$C$9, $D$9, 100%, $F$9) + CHOOSE(CONTROL!$C$27, 0.0021, 0)</f>
        <v>107.0408</v>
      </c>
      <c r="E630" s="14">
        <f>106.902 * CHOOSE(CONTROL!$C$9, $D$9, 100%, $F$9) + CHOOSE(CONTROL!$C$27, 0.0021, 0)</f>
        <v>106.9041</v>
      </c>
      <c r="F630" s="14">
        <f>106.902 * CHOOSE(CONTROL!$C$9, $D$9, 100%, $F$9) + CHOOSE(CONTROL!$C$27, 0.0021, 0)</f>
        <v>106.9041</v>
      </c>
      <c r="G630" s="14">
        <f>107.1734 * CHOOSE(CONTROL!$C$9, $D$9, 100%, $F$9) + CHOOSE(CONTROL!$C$27, 0.0021, 0)</f>
        <v>107.1755</v>
      </c>
      <c r="H630" s="14">
        <f>107.0387 * CHOOSE(CONTROL!$C$9, $D$9, 100%, $F$9) + CHOOSE(CONTROL!$C$27, 0.0021, 0)</f>
        <v>107.0408</v>
      </c>
      <c r="I630" s="14">
        <f>107.0387 * CHOOSE(CONTROL!$C$9, $D$9, 100%, $F$9) + CHOOSE(CONTROL!$C$27, 0.0021, 0)</f>
        <v>107.0408</v>
      </c>
      <c r="J630" s="14">
        <f>107.0387 * CHOOSE(CONTROL!$C$9, $D$9, 100%, $F$9) + CHOOSE(CONTROL!$C$27, 0.0021, 0)</f>
        <v>107.0408</v>
      </c>
      <c r="K630" s="14">
        <f>107.0387 * CHOOSE(CONTROL!$C$9, $D$9, 100%, $F$9) + CHOOSE(CONTROL!$C$27, 0.0021, 0)</f>
        <v>107.0408</v>
      </c>
      <c r="L630" s="14"/>
    </row>
    <row r="631" spans="1:12" ht="15.75" x14ac:dyDescent="0.25">
      <c r="A631" s="32">
        <v>60145</v>
      </c>
      <c r="B631" s="14">
        <f>105.0224 * CHOOSE(CONTROL!$C$9, $D$9, 100%, $F$9) + CHOOSE(CONTROL!$C$27, 0.0021, 0)</f>
        <v>105.0245</v>
      </c>
      <c r="C631" s="14">
        <f>104.5902 * CHOOSE(CONTROL!$C$9, $D$9, 100%, $F$9) + CHOOSE(CONTROL!$C$27, 0.0021, 0)</f>
        <v>104.59229999999999</v>
      </c>
      <c r="D631" s="14">
        <f>104.5902 * CHOOSE(CONTROL!$C$9, $D$9, 100%, $F$9) + CHOOSE(CONTROL!$C$27, 0.0021, 0)</f>
        <v>104.59229999999999</v>
      </c>
      <c r="E631" s="14">
        <f>104.4535 * CHOOSE(CONTROL!$C$9, $D$9, 100%, $F$9) + CHOOSE(CONTROL!$C$27, 0.0021, 0)</f>
        <v>104.4556</v>
      </c>
      <c r="F631" s="14">
        <f>104.4535 * CHOOSE(CONTROL!$C$9, $D$9, 100%, $F$9) + CHOOSE(CONTROL!$C$27, 0.0021, 0)</f>
        <v>104.4556</v>
      </c>
      <c r="G631" s="14">
        <f>104.7249 * CHOOSE(CONTROL!$C$9, $D$9, 100%, $F$9) + CHOOSE(CONTROL!$C$27, 0.0021, 0)</f>
        <v>104.727</v>
      </c>
      <c r="H631" s="14">
        <f>104.5902 * CHOOSE(CONTROL!$C$9, $D$9, 100%, $F$9) + CHOOSE(CONTROL!$C$27, 0.0021, 0)</f>
        <v>104.59229999999999</v>
      </c>
      <c r="I631" s="14">
        <f>104.5902 * CHOOSE(CONTROL!$C$9, $D$9, 100%, $F$9) + CHOOSE(CONTROL!$C$27, 0.0021, 0)</f>
        <v>104.59229999999999</v>
      </c>
      <c r="J631" s="14">
        <f>104.5902 * CHOOSE(CONTROL!$C$9, $D$9, 100%, $F$9) + CHOOSE(CONTROL!$C$27, 0.0021, 0)</f>
        <v>104.59229999999999</v>
      </c>
      <c r="K631" s="14">
        <f>104.5902 * CHOOSE(CONTROL!$C$9, $D$9, 100%, $F$9) + CHOOSE(CONTROL!$C$27, 0.0021, 0)</f>
        <v>104.59229999999999</v>
      </c>
      <c r="L631" s="14"/>
    </row>
    <row r="632" spans="1:12" ht="15.75" x14ac:dyDescent="0.25">
      <c r="A632" s="32">
        <v>60175</v>
      </c>
      <c r="B632" s="14">
        <f>101.6079 * CHOOSE(CONTROL!$C$9, $D$9, 100%, $F$9) + CHOOSE(CONTROL!$C$27, 0.0021, 0)</f>
        <v>101.61</v>
      </c>
      <c r="C632" s="14">
        <f>101.1756 * CHOOSE(CONTROL!$C$9, $D$9, 100%, $F$9) + CHOOSE(CONTROL!$C$27, 0.0021, 0)</f>
        <v>101.1777</v>
      </c>
      <c r="D632" s="14">
        <f>101.1756 * CHOOSE(CONTROL!$C$9, $D$9, 100%, $F$9) + CHOOSE(CONTROL!$C$27, 0.0021, 0)</f>
        <v>101.1777</v>
      </c>
      <c r="E632" s="14">
        <f>101.039 * CHOOSE(CONTROL!$C$9, $D$9, 100%, $F$9) + CHOOSE(CONTROL!$C$27, 0.0021, 0)</f>
        <v>101.0411</v>
      </c>
      <c r="F632" s="14">
        <f>101.039 * CHOOSE(CONTROL!$C$9, $D$9, 100%, $F$9) + CHOOSE(CONTROL!$C$27, 0.0021, 0)</f>
        <v>101.0411</v>
      </c>
      <c r="G632" s="14">
        <f>101.3103 * CHOOSE(CONTROL!$C$9, $D$9, 100%, $F$9) + CHOOSE(CONTROL!$C$27, 0.0021, 0)</f>
        <v>101.3124</v>
      </c>
      <c r="H632" s="14">
        <f>101.1756 * CHOOSE(CONTROL!$C$9, $D$9, 100%, $F$9) + CHOOSE(CONTROL!$C$27, 0.0021, 0)</f>
        <v>101.1777</v>
      </c>
      <c r="I632" s="14">
        <f>101.1756 * CHOOSE(CONTROL!$C$9, $D$9, 100%, $F$9) + CHOOSE(CONTROL!$C$27, 0.0021, 0)</f>
        <v>101.1777</v>
      </c>
      <c r="J632" s="14">
        <f>101.1756 * CHOOSE(CONTROL!$C$9, $D$9, 100%, $F$9) + CHOOSE(CONTROL!$C$27, 0.0021, 0)</f>
        <v>101.1777</v>
      </c>
      <c r="K632" s="14">
        <f>101.1756 * CHOOSE(CONTROL!$C$9, $D$9, 100%, $F$9) + CHOOSE(CONTROL!$C$27, 0.0021, 0)</f>
        <v>101.1777</v>
      </c>
      <c r="L632" s="14"/>
    </row>
    <row r="633" spans="1:12" ht="15.75" x14ac:dyDescent="0.25">
      <c r="A633" s="32">
        <v>60206</v>
      </c>
      <c r="B633" s="14">
        <f>98.1734 * CHOOSE(CONTROL!$C$9, $D$9, 100%, $F$9) + CHOOSE(CONTROL!$C$27, 0.0021, 0)</f>
        <v>98.1755</v>
      </c>
      <c r="C633" s="14">
        <f>97.7412 * CHOOSE(CONTROL!$C$9, $D$9, 100%, $F$9) + CHOOSE(CONTROL!$C$27, 0.0021, 0)</f>
        <v>97.743300000000005</v>
      </c>
      <c r="D633" s="14">
        <f>97.7412 * CHOOSE(CONTROL!$C$9, $D$9, 100%, $F$9) + CHOOSE(CONTROL!$C$27, 0.0021, 0)</f>
        <v>97.743300000000005</v>
      </c>
      <c r="E633" s="14">
        <f>97.6045 * CHOOSE(CONTROL!$C$9, $D$9, 100%, $F$9) + CHOOSE(CONTROL!$C$27, 0.0021, 0)</f>
        <v>97.6066</v>
      </c>
      <c r="F633" s="14">
        <f>97.6045 * CHOOSE(CONTROL!$C$9, $D$9, 100%, $F$9) + CHOOSE(CONTROL!$C$27, 0.0021, 0)</f>
        <v>97.6066</v>
      </c>
      <c r="G633" s="14">
        <f>97.8759 * CHOOSE(CONTROL!$C$9, $D$9, 100%, $F$9) + CHOOSE(CONTROL!$C$27, 0.0021, 0)</f>
        <v>97.878</v>
      </c>
      <c r="H633" s="14">
        <f>97.7412 * CHOOSE(CONTROL!$C$9, $D$9, 100%, $F$9) + CHOOSE(CONTROL!$C$27, 0.0021, 0)</f>
        <v>97.743300000000005</v>
      </c>
      <c r="I633" s="14">
        <f>97.7412 * CHOOSE(CONTROL!$C$9, $D$9, 100%, $F$9) + CHOOSE(CONTROL!$C$27, 0.0021, 0)</f>
        <v>97.743300000000005</v>
      </c>
      <c r="J633" s="14">
        <f>97.7412 * CHOOSE(CONTROL!$C$9, $D$9, 100%, $F$9) + CHOOSE(CONTROL!$C$27, 0.0021, 0)</f>
        <v>97.743300000000005</v>
      </c>
      <c r="K633" s="14">
        <f>97.7412 * CHOOSE(CONTROL!$C$9, $D$9, 100%, $F$9) + CHOOSE(CONTROL!$C$27, 0.0021, 0)</f>
        <v>97.743300000000005</v>
      </c>
      <c r="L633" s="14"/>
    </row>
    <row r="634" spans="1:12" ht="15.75" x14ac:dyDescent="0.25">
      <c r="A634" s="32">
        <v>60236</v>
      </c>
      <c r="B634" s="14">
        <f>97.4903 * CHOOSE(CONTROL!$C$9, $D$9, 100%, $F$9) + CHOOSE(CONTROL!$C$27, 0.0021, 0)</f>
        <v>97.492400000000004</v>
      </c>
      <c r="C634" s="14">
        <f>97.058 * CHOOSE(CONTROL!$C$9, $D$9, 100%, $F$9) + CHOOSE(CONTROL!$C$27, 0.0021, 0)</f>
        <v>97.060100000000006</v>
      </c>
      <c r="D634" s="14">
        <f>97.058 * CHOOSE(CONTROL!$C$9, $D$9, 100%, $F$9) + CHOOSE(CONTROL!$C$27, 0.0021, 0)</f>
        <v>97.060100000000006</v>
      </c>
      <c r="E634" s="14">
        <f>96.9214 * CHOOSE(CONTROL!$C$9, $D$9, 100%, $F$9) + CHOOSE(CONTROL!$C$27, 0.0021, 0)</f>
        <v>96.923500000000004</v>
      </c>
      <c r="F634" s="14">
        <f>96.9214 * CHOOSE(CONTROL!$C$9, $D$9, 100%, $F$9) + CHOOSE(CONTROL!$C$27, 0.0021, 0)</f>
        <v>96.923500000000004</v>
      </c>
      <c r="G634" s="14">
        <f>97.1927 * CHOOSE(CONTROL!$C$9, $D$9, 100%, $F$9) + CHOOSE(CONTROL!$C$27, 0.0021, 0)</f>
        <v>97.194800000000001</v>
      </c>
      <c r="H634" s="14">
        <f>97.058 * CHOOSE(CONTROL!$C$9, $D$9, 100%, $F$9) + CHOOSE(CONTROL!$C$27, 0.0021, 0)</f>
        <v>97.060100000000006</v>
      </c>
      <c r="I634" s="14">
        <f>97.058 * CHOOSE(CONTROL!$C$9, $D$9, 100%, $F$9) + CHOOSE(CONTROL!$C$27, 0.0021, 0)</f>
        <v>97.060100000000006</v>
      </c>
      <c r="J634" s="14">
        <f>97.058 * CHOOSE(CONTROL!$C$9, $D$9, 100%, $F$9) + CHOOSE(CONTROL!$C$27, 0.0021, 0)</f>
        <v>97.060100000000006</v>
      </c>
      <c r="K634" s="14">
        <f>97.058 * CHOOSE(CONTROL!$C$9, $D$9, 100%, $F$9) + CHOOSE(CONTROL!$C$27, 0.0021, 0)</f>
        <v>97.060100000000006</v>
      </c>
      <c r="L634" s="14"/>
    </row>
    <row r="635" spans="1:12" ht="15.75" x14ac:dyDescent="0.25">
      <c r="A635" s="32">
        <v>60267</v>
      </c>
      <c r="B635" s="14">
        <f>94.6653 * CHOOSE(CONTROL!$C$9, $D$9, 100%, $F$9) + CHOOSE(CONTROL!$C$27, 0.0021, 0)</f>
        <v>94.667400000000001</v>
      </c>
      <c r="C635" s="14">
        <f>94.233 * CHOOSE(CONTROL!$C$9, $D$9, 100%, $F$9) + CHOOSE(CONTROL!$C$27, 0.0021, 0)</f>
        <v>94.235100000000003</v>
      </c>
      <c r="D635" s="14">
        <f>94.233 * CHOOSE(CONTROL!$C$9, $D$9, 100%, $F$9) + CHOOSE(CONTROL!$C$27, 0.0021, 0)</f>
        <v>94.235100000000003</v>
      </c>
      <c r="E635" s="14">
        <f>94.0963 * CHOOSE(CONTROL!$C$9, $D$9, 100%, $F$9) + CHOOSE(CONTROL!$C$27, 0.0021, 0)</f>
        <v>94.098399999999998</v>
      </c>
      <c r="F635" s="14">
        <f>94.0963 * CHOOSE(CONTROL!$C$9, $D$9, 100%, $F$9) + CHOOSE(CONTROL!$C$27, 0.0021, 0)</f>
        <v>94.098399999999998</v>
      </c>
      <c r="G635" s="14">
        <f>94.3677 * CHOOSE(CONTROL!$C$9, $D$9, 100%, $F$9) + CHOOSE(CONTROL!$C$27, 0.0021, 0)</f>
        <v>94.369799999999998</v>
      </c>
      <c r="H635" s="14">
        <f>94.233 * CHOOSE(CONTROL!$C$9, $D$9, 100%, $F$9) + CHOOSE(CONTROL!$C$27, 0.0021, 0)</f>
        <v>94.235100000000003</v>
      </c>
      <c r="I635" s="14">
        <f>94.233 * CHOOSE(CONTROL!$C$9, $D$9, 100%, $F$9) + CHOOSE(CONTROL!$C$27, 0.0021, 0)</f>
        <v>94.235100000000003</v>
      </c>
      <c r="J635" s="14">
        <f>94.233 * CHOOSE(CONTROL!$C$9, $D$9, 100%, $F$9) + CHOOSE(CONTROL!$C$27, 0.0021, 0)</f>
        <v>94.235100000000003</v>
      </c>
      <c r="K635" s="14">
        <f>94.233 * CHOOSE(CONTROL!$C$9, $D$9, 100%, $F$9) + CHOOSE(CONTROL!$C$27, 0.0021, 0)</f>
        <v>94.235100000000003</v>
      </c>
      <c r="L635" s="14"/>
    </row>
    <row r="636" spans="1:12" ht="15.75" x14ac:dyDescent="0.25">
      <c r="A636" s="32">
        <v>60298</v>
      </c>
      <c r="B636" s="14">
        <f>94.1153 * CHOOSE(CONTROL!$C$9, $D$9, 100%, $F$9) + CHOOSE(CONTROL!$C$27, 0.0021, 0)</f>
        <v>94.117400000000004</v>
      </c>
      <c r="C636" s="14">
        <f>93.683 * CHOOSE(CONTROL!$C$9, $D$9, 100%, $F$9) + CHOOSE(CONTROL!$C$27, 0.0021, 0)</f>
        <v>93.685100000000006</v>
      </c>
      <c r="D636" s="14">
        <f>93.683 * CHOOSE(CONTROL!$C$9, $D$9, 100%, $F$9) + CHOOSE(CONTROL!$C$27, 0.0021, 0)</f>
        <v>93.685100000000006</v>
      </c>
      <c r="E636" s="14">
        <f>93.5463 * CHOOSE(CONTROL!$C$9, $D$9, 100%, $F$9) + CHOOSE(CONTROL!$C$27, 0.0021, 0)</f>
        <v>93.548400000000001</v>
      </c>
      <c r="F636" s="14">
        <f>93.5463 * CHOOSE(CONTROL!$C$9, $D$9, 100%, $F$9) + CHOOSE(CONTROL!$C$27, 0.0021, 0)</f>
        <v>93.548400000000001</v>
      </c>
      <c r="G636" s="14">
        <f>93.8177 * CHOOSE(CONTROL!$C$9, $D$9, 100%, $F$9) + CHOOSE(CONTROL!$C$27, 0.0021, 0)</f>
        <v>93.819800000000001</v>
      </c>
      <c r="H636" s="14">
        <f>93.683 * CHOOSE(CONTROL!$C$9, $D$9, 100%, $F$9) + CHOOSE(CONTROL!$C$27, 0.0021, 0)</f>
        <v>93.685100000000006</v>
      </c>
      <c r="I636" s="14">
        <f>93.683 * CHOOSE(CONTROL!$C$9, $D$9, 100%, $F$9) + CHOOSE(CONTROL!$C$27, 0.0021, 0)</f>
        <v>93.685100000000006</v>
      </c>
      <c r="J636" s="14">
        <f>93.683 * CHOOSE(CONTROL!$C$9, $D$9, 100%, $F$9) + CHOOSE(CONTROL!$C$27, 0.0021, 0)</f>
        <v>93.685100000000006</v>
      </c>
      <c r="K636" s="14">
        <f>93.683 * CHOOSE(CONTROL!$C$9, $D$9, 100%, $F$9) + CHOOSE(CONTROL!$C$27, 0.0021, 0)</f>
        <v>93.685100000000006</v>
      </c>
      <c r="L636" s="14"/>
    </row>
    <row r="637" spans="1:12" ht="15.75" x14ac:dyDescent="0.25">
      <c r="A637" s="32">
        <v>60326</v>
      </c>
      <c r="B637" s="14">
        <f>93.86 * CHOOSE(CONTROL!$C$9, $D$9, 100%, $F$9) + CHOOSE(CONTROL!$C$27, 0.0021, 0)</f>
        <v>93.862099999999998</v>
      </c>
      <c r="C637" s="14">
        <f>93.4278 * CHOOSE(CONTROL!$C$9, $D$9, 100%, $F$9) + CHOOSE(CONTROL!$C$27, 0.0021, 0)</f>
        <v>93.429900000000004</v>
      </c>
      <c r="D637" s="14">
        <f>93.4278 * CHOOSE(CONTROL!$C$9, $D$9, 100%, $F$9) + CHOOSE(CONTROL!$C$27, 0.0021, 0)</f>
        <v>93.429900000000004</v>
      </c>
      <c r="E637" s="14">
        <f>93.2911 * CHOOSE(CONTROL!$C$9, $D$9, 100%, $F$9) + CHOOSE(CONTROL!$C$27, 0.0021, 0)</f>
        <v>93.293199999999999</v>
      </c>
      <c r="F637" s="14">
        <f>93.2911 * CHOOSE(CONTROL!$C$9, $D$9, 100%, $F$9) + CHOOSE(CONTROL!$C$27, 0.0021, 0)</f>
        <v>93.293199999999999</v>
      </c>
      <c r="G637" s="14">
        <f>93.5625 * CHOOSE(CONTROL!$C$9, $D$9, 100%, $F$9) + CHOOSE(CONTROL!$C$27, 0.0021, 0)</f>
        <v>93.564599999999999</v>
      </c>
      <c r="H637" s="14">
        <f>93.4278 * CHOOSE(CONTROL!$C$9, $D$9, 100%, $F$9) + CHOOSE(CONTROL!$C$27, 0.0021, 0)</f>
        <v>93.429900000000004</v>
      </c>
      <c r="I637" s="14">
        <f>93.4278 * CHOOSE(CONTROL!$C$9, $D$9, 100%, $F$9) + CHOOSE(CONTROL!$C$27, 0.0021, 0)</f>
        <v>93.429900000000004</v>
      </c>
      <c r="J637" s="14">
        <f>93.4278 * CHOOSE(CONTROL!$C$9, $D$9, 100%, $F$9) + CHOOSE(CONTROL!$C$27, 0.0021, 0)</f>
        <v>93.429900000000004</v>
      </c>
      <c r="K637" s="14">
        <f>93.4278 * CHOOSE(CONTROL!$C$9, $D$9, 100%, $F$9) + CHOOSE(CONTROL!$C$27, 0.0021, 0)</f>
        <v>93.429900000000004</v>
      </c>
      <c r="L637" s="14"/>
    </row>
    <row r="638" spans="1:12" ht="15.75" x14ac:dyDescent="0.25">
      <c r="A638" s="32">
        <v>60357</v>
      </c>
      <c r="B638" s="14">
        <f>98.6862 * CHOOSE(CONTROL!$C$9, $D$9, 100%, $F$9) + CHOOSE(CONTROL!$C$27, 0.0021, 0)</f>
        <v>98.688299999999998</v>
      </c>
      <c r="C638" s="14">
        <f>98.2539 * CHOOSE(CONTROL!$C$9, $D$9, 100%, $F$9) + CHOOSE(CONTROL!$C$27, 0.0021, 0)</f>
        <v>98.256</v>
      </c>
      <c r="D638" s="14">
        <f>98.2539 * CHOOSE(CONTROL!$C$9, $D$9, 100%, $F$9) + CHOOSE(CONTROL!$C$27, 0.0021, 0)</f>
        <v>98.256</v>
      </c>
      <c r="E638" s="14">
        <f>98.1173 * CHOOSE(CONTROL!$C$9, $D$9, 100%, $F$9) + CHOOSE(CONTROL!$C$27, 0.0021, 0)</f>
        <v>98.119399999999999</v>
      </c>
      <c r="F638" s="14">
        <f>98.1173 * CHOOSE(CONTROL!$C$9, $D$9, 100%, $F$9) + CHOOSE(CONTROL!$C$27, 0.0021, 0)</f>
        <v>98.119399999999999</v>
      </c>
      <c r="G638" s="14">
        <f>98.3886 * CHOOSE(CONTROL!$C$9, $D$9, 100%, $F$9) + CHOOSE(CONTROL!$C$27, 0.0021, 0)</f>
        <v>98.390699999999995</v>
      </c>
      <c r="H638" s="14">
        <f>98.2539 * CHOOSE(CONTROL!$C$9, $D$9, 100%, $F$9) + CHOOSE(CONTROL!$C$27, 0.0021, 0)</f>
        <v>98.256</v>
      </c>
      <c r="I638" s="14">
        <f>98.2539 * CHOOSE(CONTROL!$C$9, $D$9, 100%, $F$9) + CHOOSE(CONTROL!$C$27, 0.0021, 0)</f>
        <v>98.256</v>
      </c>
      <c r="J638" s="14">
        <f>98.2539 * CHOOSE(CONTROL!$C$9, $D$9, 100%, $F$9) + CHOOSE(CONTROL!$C$27, 0.0021, 0)</f>
        <v>98.256</v>
      </c>
      <c r="K638" s="14">
        <f>98.2539 * CHOOSE(CONTROL!$C$9, $D$9, 100%, $F$9) + CHOOSE(CONTROL!$C$27, 0.0021, 0)</f>
        <v>98.256</v>
      </c>
      <c r="L638" s="14"/>
    </row>
    <row r="639" spans="1:12" ht="15.75" x14ac:dyDescent="0.25">
      <c r="A639" s="32">
        <v>60387</v>
      </c>
      <c r="B639" s="14">
        <f>104.9445 * CHOOSE(CONTROL!$C$9, $D$9, 100%, $F$9) + CHOOSE(CONTROL!$C$27, 0.0021, 0)</f>
        <v>104.9466</v>
      </c>
      <c r="C639" s="14">
        <f>104.5123 * CHOOSE(CONTROL!$C$9, $D$9, 100%, $F$9) + CHOOSE(CONTROL!$C$27, 0.0021, 0)</f>
        <v>104.51439999999999</v>
      </c>
      <c r="D639" s="14">
        <f>104.5123 * CHOOSE(CONTROL!$C$9, $D$9, 100%, $F$9) + CHOOSE(CONTROL!$C$27, 0.0021, 0)</f>
        <v>104.51439999999999</v>
      </c>
      <c r="E639" s="14">
        <f>104.3756 * CHOOSE(CONTROL!$C$9, $D$9, 100%, $F$9) + CHOOSE(CONTROL!$C$27, 0.0021, 0)</f>
        <v>104.3777</v>
      </c>
      <c r="F639" s="14">
        <f>104.3756 * CHOOSE(CONTROL!$C$9, $D$9, 100%, $F$9) + CHOOSE(CONTROL!$C$27, 0.0021, 0)</f>
        <v>104.3777</v>
      </c>
      <c r="G639" s="14">
        <f>104.647 * CHOOSE(CONTROL!$C$9, $D$9, 100%, $F$9) + CHOOSE(CONTROL!$C$27, 0.0021, 0)</f>
        <v>104.6491</v>
      </c>
      <c r="H639" s="14">
        <f>104.5123 * CHOOSE(CONTROL!$C$9, $D$9, 100%, $F$9) + CHOOSE(CONTROL!$C$27, 0.0021, 0)</f>
        <v>104.51439999999999</v>
      </c>
      <c r="I639" s="14">
        <f>104.5123 * CHOOSE(CONTROL!$C$9, $D$9, 100%, $F$9) + CHOOSE(CONTROL!$C$27, 0.0021, 0)</f>
        <v>104.51439999999999</v>
      </c>
      <c r="J639" s="14">
        <f>104.5123 * CHOOSE(CONTROL!$C$9, $D$9, 100%, $F$9) + CHOOSE(CONTROL!$C$27, 0.0021, 0)</f>
        <v>104.51439999999999</v>
      </c>
      <c r="K639" s="14">
        <f>104.5123 * CHOOSE(CONTROL!$C$9, $D$9, 100%, $F$9) + CHOOSE(CONTROL!$C$27, 0.0021, 0)</f>
        <v>104.51439999999999</v>
      </c>
      <c r="L639" s="14"/>
    </row>
    <row r="640" spans="1:12" ht="15.75" x14ac:dyDescent="0.25">
      <c r="A640" s="32">
        <v>60418</v>
      </c>
      <c r="B640" s="14">
        <f>108.3893 * CHOOSE(CONTROL!$C$9, $D$9, 100%, $F$9) + CHOOSE(CONTROL!$C$27, 0.0021, 0)</f>
        <v>108.3914</v>
      </c>
      <c r="C640" s="14">
        <f>107.9571 * CHOOSE(CONTROL!$C$9, $D$9, 100%, $F$9) + CHOOSE(CONTROL!$C$27, 0.0021, 0)</f>
        <v>107.9592</v>
      </c>
      <c r="D640" s="14">
        <f>107.9571 * CHOOSE(CONTROL!$C$9, $D$9, 100%, $F$9) + CHOOSE(CONTROL!$C$27, 0.0021, 0)</f>
        <v>107.9592</v>
      </c>
      <c r="E640" s="14">
        <f>107.8204 * CHOOSE(CONTROL!$C$9, $D$9, 100%, $F$9) + CHOOSE(CONTROL!$C$27, 0.0021, 0)</f>
        <v>107.82250000000001</v>
      </c>
      <c r="F640" s="14">
        <f>107.8204 * CHOOSE(CONTROL!$C$9, $D$9, 100%, $F$9) + CHOOSE(CONTROL!$C$27, 0.0021, 0)</f>
        <v>107.82250000000001</v>
      </c>
      <c r="G640" s="14">
        <f>108.0918 * CHOOSE(CONTROL!$C$9, $D$9, 100%, $F$9) + CHOOSE(CONTROL!$C$27, 0.0021, 0)</f>
        <v>108.0939</v>
      </c>
      <c r="H640" s="14">
        <f>107.9571 * CHOOSE(CONTROL!$C$9, $D$9, 100%, $F$9) + CHOOSE(CONTROL!$C$27, 0.0021, 0)</f>
        <v>107.9592</v>
      </c>
      <c r="I640" s="14">
        <f>107.9571 * CHOOSE(CONTROL!$C$9, $D$9, 100%, $F$9) + CHOOSE(CONTROL!$C$27, 0.0021, 0)</f>
        <v>107.9592</v>
      </c>
      <c r="J640" s="14">
        <f>107.9571 * CHOOSE(CONTROL!$C$9, $D$9, 100%, $F$9) + CHOOSE(CONTROL!$C$27, 0.0021, 0)</f>
        <v>107.9592</v>
      </c>
      <c r="K640" s="14">
        <f>107.9571 * CHOOSE(CONTROL!$C$9, $D$9, 100%, $F$9) + CHOOSE(CONTROL!$C$27, 0.0021, 0)</f>
        <v>107.9592</v>
      </c>
      <c r="L640" s="14"/>
    </row>
    <row r="641" spans="1:12" ht="15.75" x14ac:dyDescent="0.25">
      <c r="A641" s="32">
        <v>60448</v>
      </c>
      <c r="B641" s="14">
        <f>109.9181 * CHOOSE(CONTROL!$C$9, $D$9, 100%, $F$9) + CHOOSE(CONTROL!$C$27, 0.0021, 0)</f>
        <v>109.92019999999999</v>
      </c>
      <c r="C641" s="14">
        <f>109.4858 * CHOOSE(CONTROL!$C$9, $D$9, 100%, $F$9) + CHOOSE(CONTROL!$C$27, 0.0021, 0)</f>
        <v>109.4879</v>
      </c>
      <c r="D641" s="14">
        <f>109.4858 * CHOOSE(CONTROL!$C$9, $D$9, 100%, $F$9) + CHOOSE(CONTROL!$C$27, 0.0021, 0)</f>
        <v>109.4879</v>
      </c>
      <c r="E641" s="14">
        <f>109.3492 * CHOOSE(CONTROL!$C$9, $D$9, 100%, $F$9) + CHOOSE(CONTROL!$C$27, 0.0021, 0)</f>
        <v>109.35129999999999</v>
      </c>
      <c r="F641" s="14">
        <f>109.3492 * CHOOSE(CONTROL!$C$9, $D$9, 100%, $F$9) + CHOOSE(CONTROL!$C$27, 0.0021, 0)</f>
        <v>109.35129999999999</v>
      </c>
      <c r="G641" s="14">
        <f>109.6205 * CHOOSE(CONTROL!$C$9, $D$9, 100%, $F$9) + CHOOSE(CONTROL!$C$27, 0.0021, 0)</f>
        <v>109.62260000000001</v>
      </c>
      <c r="H641" s="14">
        <f>109.4858 * CHOOSE(CONTROL!$C$9, $D$9, 100%, $F$9) + CHOOSE(CONTROL!$C$27, 0.0021, 0)</f>
        <v>109.4879</v>
      </c>
      <c r="I641" s="14">
        <f>109.4858 * CHOOSE(CONTROL!$C$9, $D$9, 100%, $F$9) + CHOOSE(CONTROL!$C$27, 0.0021, 0)</f>
        <v>109.4879</v>
      </c>
      <c r="J641" s="14">
        <f>109.4858 * CHOOSE(CONTROL!$C$9, $D$9, 100%, $F$9) + CHOOSE(CONTROL!$C$27, 0.0021, 0)</f>
        <v>109.4879</v>
      </c>
      <c r="K641" s="14">
        <f>109.4858 * CHOOSE(CONTROL!$C$9, $D$9, 100%, $F$9) + CHOOSE(CONTROL!$C$27, 0.0021, 0)</f>
        <v>109.4879</v>
      </c>
      <c r="L641" s="14"/>
    </row>
    <row r="642" spans="1:12" ht="15.75" x14ac:dyDescent="0.25">
      <c r="A642" s="32">
        <v>60479</v>
      </c>
      <c r="B642" s="14">
        <f>109.4147 * CHOOSE(CONTROL!$C$9, $D$9, 100%, $F$9) + CHOOSE(CONTROL!$C$27, 0.0021, 0)</f>
        <v>109.41679999999999</v>
      </c>
      <c r="C642" s="14">
        <f>108.9825 * CHOOSE(CONTROL!$C$9, $D$9, 100%, $F$9) + CHOOSE(CONTROL!$C$27, 0.0021, 0)</f>
        <v>108.9846</v>
      </c>
      <c r="D642" s="14">
        <f>108.9825 * CHOOSE(CONTROL!$C$9, $D$9, 100%, $F$9) + CHOOSE(CONTROL!$C$27, 0.0021, 0)</f>
        <v>108.9846</v>
      </c>
      <c r="E642" s="14">
        <f>108.8458 * CHOOSE(CONTROL!$C$9, $D$9, 100%, $F$9) + CHOOSE(CONTROL!$C$27, 0.0021, 0)</f>
        <v>108.8479</v>
      </c>
      <c r="F642" s="14">
        <f>108.8458 * CHOOSE(CONTROL!$C$9, $D$9, 100%, $F$9) + CHOOSE(CONTROL!$C$27, 0.0021, 0)</f>
        <v>108.8479</v>
      </c>
      <c r="G642" s="14">
        <f>109.1172 * CHOOSE(CONTROL!$C$9, $D$9, 100%, $F$9) + CHOOSE(CONTROL!$C$27, 0.0021, 0)</f>
        <v>109.1193</v>
      </c>
      <c r="H642" s="14">
        <f>108.9825 * CHOOSE(CONTROL!$C$9, $D$9, 100%, $F$9) + CHOOSE(CONTROL!$C$27, 0.0021, 0)</f>
        <v>108.9846</v>
      </c>
      <c r="I642" s="14">
        <f>108.9825 * CHOOSE(CONTROL!$C$9, $D$9, 100%, $F$9) + CHOOSE(CONTROL!$C$27, 0.0021, 0)</f>
        <v>108.9846</v>
      </c>
      <c r="J642" s="14">
        <f>108.9825 * CHOOSE(CONTROL!$C$9, $D$9, 100%, $F$9) + CHOOSE(CONTROL!$C$27, 0.0021, 0)</f>
        <v>108.9846</v>
      </c>
      <c r="K642" s="14">
        <f>108.9825 * CHOOSE(CONTROL!$C$9, $D$9, 100%, $F$9) + CHOOSE(CONTROL!$C$27, 0.0021, 0)</f>
        <v>108.9846</v>
      </c>
      <c r="L642" s="14"/>
    </row>
    <row r="643" spans="1:12" ht="15.75" x14ac:dyDescent="0.25">
      <c r="A643" s="32">
        <v>60510</v>
      </c>
      <c r="B643" s="14">
        <f>106.921 * CHOOSE(CONTROL!$C$9, $D$9, 100%, $F$9) + CHOOSE(CONTROL!$C$27, 0.0021, 0)</f>
        <v>106.92310000000001</v>
      </c>
      <c r="C643" s="14">
        <f>106.4887 * CHOOSE(CONTROL!$C$9, $D$9, 100%, $F$9) + CHOOSE(CONTROL!$C$27, 0.0021, 0)</f>
        <v>106.49079999999999</v>
      </c>
      <c r="D643" s="14">
        <f>106.4887 * CHOOSE(CONTROL!$C$9, $D$9, 100%, $F$9) + CHOOSE(CONTROL!$C$27, 0.0021, 0)</f>
        <v>106.49079999999999</v>
      </c>
      <c r="E643" s="14">
        <f>106.3521 * CHOOSE(CONTROL!$C$9, $D$9, 100%, $F$9) + CHOOSE(CONTROL!$C$27, 0.0021, 0)</f>
        <v>106.35419999999999</v>
      </c>
      <c r="F643" s="14">
        <f>106.3521 * CHOOSE(CONTROL!$C$9, $D$9, 100%, $F$9) + CHOOSE(CONTROL!$C$27, 0.0021, 0)</f>
        <v>106.35419999999999</v>
      </c>
      <c r="G643" s="14">
        <f>106.6234 * CHOOSE(CONTROL!$C$9, $D$9, 100%, $F$9) + CHOOSE(CONTROL!$C$27, 0.0021, 0)</f>
        <v>106.6255</v>
      </c>
      <c r="H643" s="14">
        <f>106.4887 * CHOOSE(CONTROL!$C$9, $D$9, 100%, $F$9) + CHOOSE(CONTROL!$C$27, 0.0021, 0)</f>
        <v>106.49079999999999</v>
      </c>
      <c r="I643" s="14">
        <f>106.4887 * CHOOSE(CONTROL!$C$9, $D$9, 100%, $F$9) + CHOOSE(CONTROL!$C$27, 0.0021, 0)</f>
        <v>106.49079999999999</v>
      </c>
      <c r="J643" s="14">
        <f>106.4887 * CHOOSE(CONTROL!$C$9, $D$9, 100%, $F$9) + CHOOSE(CONTROL!$C$27, 0.0021, 0)</f>
        <v>106.49079999999999</v>
      </c>
      <c r="K643" s="14">
        <f>106.4887 * CHOOSE(CONTROL!$C$9, $D$9, 100%, $F$9) + CHOOSE(CONTROL!$C$27, 0.0021, 0)</f>
        <v>106.49079999999999</v>
      </c>
      <c r="L643" s="14"/>
    </row>
    <row r="644" spans="1:12" ht="15.75" x14ac:dyDescent="0.25">
      <c r="A644" s="32">
        <v>60540</v>
      </c>
      <c r="B644" s="14">
        <f>103.4433 * CHOOSE(CONTROL!$C$9, $D$9, 100%, $F$9) + CHOOSE(CONTROL!$C$27, 0.0021, 0)</f>
        <v>103.44539999999999</v>
      </c>
      <c r="C644" s="14">
        <f>103.011 * CHOOSE(CONTROL!$C$9, $D$9, 100%, $F$9) + CHOOSE(CONTROL!$C$27, 0.0021, 0)</f>
        <v>103.01309999999999</v>
      </c>
      <c r="D644" s="14">
        <f>103.011 * CHOOSE(CONTROL!$C$9, $D$9, 100%, $F$9) + CHOOSE(CONTROL!$C$27, 0.0021, 0)</f>
        <v>103.01309999999999</v>
      </c>
      <c r="E644" s="14">
        <f>102.8744 * CHOOSE(CONTROL!$C$9, $D$9, 100%, $F$9) + CHOOSE(CONTROL!$C$27, 0.0021, 0)</f>
        <v>102.87649999999999</v>
      </c>
      <c r="F644" s="14">
        <f>102.8744 * CHOOSE(CONTROL!$C$9, $D$9, 100%, $F$9) + CHOOSE(CONTROL!$C$27, 0.0021, 0)</f>
        <v>102.87649999999999</v>
      </c>
      <c r="G644" s="14">
        <f>103.1458 * CHOOSE(CONTROL!$C$9, $D$9, 100%, $F$9) + CHOOSE(CONTROL!$C$27, 0.0021, 0)</f>
        <v>103.14789999999999</v>
      </c>
      <c r="H644" s="14">
        <f>103.011 * CHOOSE(CONTROL!$C$9, $D$9, 100%, $F$9) + CHOOSE(CONTROL!$C$27, 0.0021, 0)</f>
        <v>103.01309999999999</v>
      </c>
      <c r="I644" s="14">
        <f>103.011 * CHOOSE(CONTROL!$C$9, $D$9, 100%, $F$9) + CHOOSE(CONTROL!$C$27, 0.0021, 0)</f>
        <v>103.01309999999999</v>
      </c>
      <c r="J644" s="14">
        <f>103.011 * CHOOSE(CONTROL!$C$9, $D$9, 100%, $F$9) + CHOOSE(CONTROL!$C$27, 0.0021, 0)</f>
        <v>103.01309999999999</v>
      </c>
      <c r="K644" s="14">
        <f>103.011 * CHOOSE(CONTROL!$C$9, $D$9, 100%, $F$9) + CHOOSE(CONTROL!$C$27, 0.0021, 0)</f>
        <v>103.01309999999999</v>
      </c>
      <c r="L644" s="14"/>
    </row>
    <row r="645" spans="1:12" ht="15.75" x14ac:dyDescent="0.25">
      <c r="A645" s="32">
        <v>60571</v>
      </c>
      <c r="B645" s="14">
        <f>99.9454 * CHOOSE(CONTROL!$C$9, $D$9, 100%, $F$9) + CHOOSE(CONTROL!$C$27, 0.0021, 0)</f>
        <v>99.947500000000005</v>
      </c>
      <c r="C645" s="14">
        <f>99.5131 * CHOOSE(CONTROL!$C$9, $D$9, 100%, $F$9) + CHOOSE(CONTROL!$C$27, 0.0021, 0)</f>
        <v>99.515199999999993</v>
      </c>
      <c r="D645" s="14">
        <f>99.5131 * CHOOSE(CONTROL!$C$9, $D$9, 100%, $F$9) + CHOOSE(CONTROL!$C$27, 0.0021, 0)</f>
        <v>99.515199999999993</v>
      </c>
      <c r="E645" s="14">
        <f>99.3765 * CHOOSE(CONTROL!$C$9, $D$9, 100%, $F$9) + CHOOSE(CONTROL!$C$27, 0.0021, 0)</f>
        <v>99.378599999999992</v>
      </c>
      <c r="F645" s="14">
        <f>99.3765 * CHOOSE(CONTROL!$C$9, $D$9, 100%, $F$9) + CHOOSE(CONTROL!$C$27, 0.0021, 0)</f>
        <v>99.378599999999992</v>
      </c>
      <c r="G645" s="14">
        <f>99.6479 * CHOOSE(CONTROL!$C$9, $D$9, 100%, $F$9) + CHOOSE(CONTROL!$C$27, 0.0021, 0)</f>
        <v>99.65</v>
      </c>
      <c r="H645" s="14">
        <f>99.5131 * CHOOSE(CONTROL!$C$9, $D$9, 100%, $F$9) + CHOOSE(CONTROL!$C$27, 0.0021, 0)</f>
        <v>99.515199999999993</v>
      </c>
      <c r="I645" s="14">
        <f>99.5131 * CHOOSE(CONTROL!$C$9, $D$9, 100%, $F$9) + CHOOSE(CONTROL!$C$27, 0.0021, 0)</f>
        <v>99.515199999999993</v>
      </c>
      <c r="J645" s="14">
        <f>99.5131 * CHOOSE(CONTROL!$C$9, $D$9, 100%, $F$9) + CHOOSE(CONTROL!$C$27, 0.0021, 0)</f>
        <v>99.515199999999993</v>
      </c>
      <c r="K645" s="14">
        <f>99.5131 * CHOOSE(CONTROL!$C$9, $D$9, 100%, $F$9) + CHOOSE(CONTROL!$C$27, 0.0021, 0)</f>
        <v>99.515199999999993</v>
      </c>
      <c r="L645" s="14"/>
    </row>
    <row r="646" spans="1:12" ht="15.75" x14ac:dyDescent="0.25">
      <c r="A646" s="32">
        <v>60601</v>
      </c>
      <c r="B646" s="14">
        <f>99.2496 * CHOOSE(CONTROL!$C$9, $D$9, 100%, $F$9) + CHOOSE(CONTROL!$C$27, 0.0021, 0)</f>
        <v>99.2517</v>
      </c>
      <c r="C646" s="14">
        <f>98.8173 * CHOOSE(CONTROL!$C$9, $D$9, 100%, $F$9) + CHOOSE(CONTROL!$C$27, 0.0021, 0)</f>
        <v>98.819400000000002</v>
      </c>
      <c r="D646" s="14">
        <f>98.8173 * CHOOSE(CONTROL!$C$9, $D$9, 100%, $F$9) + CHOOSE(CONTROL!$C$27, 0.0021, 0)</f>
        <v>98.819400000000002</v>
      </c>
      <c r="E646" s="14">
        <f>98.6807 * CHOOSE(CONTROL!$C$9, $D$9, 100%, $F$9) + CHOOSE(CONTROL!$C$27, 0.0021, 0)</f>
        <v>98.6828</v>
      </c>
      <c r="F646" s="14">
        <f>98.6807 * CHOOSE(CONTROL!$C$9, $D$9, 100%, $F$9) + CHOOSE(CONTROL!$C$27, 0.0021, 0)</f>
        <v>98.6828</v>
      </c>
      <c r="G646" s="14">
        <f>98.9521 * CHOOSE(CONTROL!$C$9, $D$9, 100%, $F$9) + CHOOSE(CONTROL!$C$27, 0.0021, 0)</f>
        <v>98.9542</v>
      </c>
      <c r="H646" s="14">
        <f>98.8173 * CHOOSE(CONTROL!$C$9, $D$9, 100%, $F$9) + CHOOSE(CONTROL!$C$27, 0.0021, 0)</f>
        <v>98.819400000000002</v>
      </c>
      <c r="I646" s="14">
        <f>98.8173 * CHOOSE(CONTROL!$C$9, $D$9, 100%, $F$9) + CHOOSE(CONTROL!$C$27, 0.0021, 0)</f>
        <v>98.819400000000002</v>
      </c>
      <c r="J646" s="14">
        <f>98.8173 * CHOOSE(CONTROL!$C$9, $D$9, 100%, $F$9) + CHOOSE(CONTROL!$C$27, 0.0021, 0)</f>
        <v>98.819400000000002</v>
      </c>
      <c r="K646" s="14">
        <f>98.8173 * CHOOSE(CONTROL!$C$9, $D$9, 100%, $F$9) + CHOOSE(CONTROL!$C$27, 0.0021, 0)</f>
        <v>98.819400000000002</v>
      </c>
      <c r="L646" s="14"/>
    </row>
    <row r="647" spans="1:12" ht="15.75" x14ac:dyDescent="0.25">
      <c r="A647" s="32">
        <v>60632</v>
      </c>
      <c r="B647" s="14">
        <f>96.3724 * CHOOSE(CONTROL!$C$9, $D$9, 100%, $F$9) + CHOOSE(CONTROL!$C$27, 0.0021, 0)</f>
        <v>96.374499999999998</v>
      </c>
      <c r="C647" s="14">
        <f>95.9401 * CHOOSE(CONTROL!$C$9, $D$9, 100%, $F$9) + CHOOSE(CONTROL!$C$27, 0.0021, 0)</f>
        <v>95.9422</v>
      </c>
      <c r="D647" s="14">
        <f>95.9401 * CHOOSE(CONTROL!$C$9, $D$9, 100%, $F$9) + CHOOSE(CONTROL!$C$27, 0.0021, 0)</f>
        <v>95.9422</v>
      </c>
      <c r="E647" s="14">
        <f>95.8035 * CHOOSE(CONTROL!$C$9, $D$9, 100%, $F$9) + CHOOSE(CONTROL!$C$27, 0.0021, 0)</f>
        <v>95.805599999999998</v>
      </c>
      <c r="F647" s="14">
        <f>95.8035 * CHOOSE(CONTROL!$C$9, $D$9, 100%, $F$9) + CHOOSE(CONTROL!$C$27, 0.0021, 0)</f>
        <v>95.805599999999998</v>
      </c>
      <c r="G647" s="14">
        <f>96.0748 * CHOOSE(CONTROL!$C$9, $D$9, 100%, $F$9) + CHOOSE(CONTROL!$C$27, 0.0021, 0)</f>
        <v>96.076899999999995</v>
      </c>
      <c r="H647" s="14">
        <f>95.9401 * CHOOSE(CONTROL!$C$9, $D$9, 100%, $F$9) + CHOOSE(CONTROL!$C$27, 0.0021, 0)</f>
        <v>95.9422</v>
      </c>
      <c r="I647" s="14">
        <f>95.9401 * CHOOSE(CONTROL!$C$9, $D$9, 100%, $F$9) + CHOOSE(CONTROL!$C$27, 0.0021, 0)</f>
        <v>95.9422</v>
      </c>
      <c r="J647" s="14">
        <f>95.9401 * CHOOSE(CONTROL!$C$9, $D$9, 100%, $F$9) + CHOOSE(CONTROL!$C$27, 0.0021, 0)</f>
        <v>95.9422</v>
      </c>
      <c r="K647" s="14">
        <f>95.9401 * CHOOSE(CONTROL!$C$9, $D$9, 100%, $F$9) + CHOOSE(CONTROL!$C$27, 0.0021, 0)</f>
        <v>95.9422</v>
      </c>
      <c r="L647" s="14"/>
    </row>
    <row r="648" spans="1:12" ht="15.75" x14ac:dyDescent="0.25">
      <c r="A648" s="32">
        <v>60663</v>
      </c>
      <c r="B648" s="14">
        <f>95.8122 * CHOOSE(CONTROL!$C$9, $D$9, 100%, $F$9) + CHOOSE(CONTROL!$C$27, 0.0021, 0)</f>
        <v>95.814300000000003</v>
      </c>
      <c r="C648" s="14">
        <f>95.38 * CHOOSE(CONTROL!$C$9, $D$9, 100%, $F$9) + CHOOSE(CONTROL!$C$27, 0.0021, 0)</f>
        <v>95.382099999999994</v>
      </c>
      <c r="D648" s="14">
        <f>95.38 * CHOOSE(CONTROL!$C$9, $D$9, 100%, $F$9) + CHOOSE(CONTROL!$C$27, 0.0021, 0)</f>
        <v>95.382099999999994</v>
      </c>
      <c r="E648" s="14">
        <f>95.2433 * CHOOSE(CONTROL!$C$9, $D$9, 100%, $F$9) + CHOOSE(CONTROL!$C$27, 0.0021, 0)</f>
        <v>95.245400000000004</v>
      </c>
      <c r="F648" s="14">
        <f>95.2433 * CHOOSE(CONTROL!$C$9, $D$9, 100%, $F$9) + CHOOSE(CONTROL!$C$27, 0.0021, 0)</f>
        <v>95.245400000000004</v>
      </c>
      <c r="G648" s="14">
        <f>95.5147 * CHOOSE(CONTROL!$C$9, $D$9, 100%, $F$9) + CHOOSE(CONTROL!$C$27, 0.0021, 0)</f>
        <v>95.516800000000003</v>
      </c>
      <c r="H648" s="14">
        <f>95.38 * CHOOSE(CONTROL!$C$9, $D$9, 100%, $F$9) + CHOOSE(CONTROL!$C$27, 0.0021, 0)</f>
        <v>95.382099999999994</v>
      </c>
      <c r="I648" s="14">
        <f>95.38 * CHOOSE(CONTROL!$C$9, $D$9, 100%, $F$9) + CHOOSE(CONTROL!$C$27, 0.0021, 0)</f>
        <v>95.382099999999994</v>
      </c>
      <c r="J648" s="14">
        <f>95.38 * CHOOSE(CONTROL!$C$9, $D$9, 100%, $F$9) + CHOOSE(CONTROL!$C$27, 0.0021, 0)</f>
        <v>95.382099999999994</v>
      </c>
      <c r="K648" s="14">
        <f>95.38 * CHOOSE(CONTROL!$C$9, $D$9, 100%, $F$9) + CHOOSE(CONTROL!$C$27, 0.0021, 0)</f>
        <v>95.382099999999994</v>
      </c>
      <c r="L648" s="14"/>
    </row>
    <row r="649" spans="1:12" ht="15.75" x14ac:dyDescent="0.25">
      <c r="A649" s="32">
        <v>60691</v>
      </c>
      <c r="B649" s="14">
        <f>95.5523 * CHOOSE(CONTROL!$C$9, $D$9, 100%, $F$9) + CHOOSE(CONTROL!$C$27, 0.0021, 0)</f>
        <v>95.554400000000001</v>
      </c>
      <c r="C649" s="14">
        <f>95.12 * CHOOSE(CONTROL!$C$9, $D$9, 100%, $F$9) + CHOOSE(CONTROL!$C$27, 0.0021, 0)</f>
        <v>95.122100000000003</v>
      </c>
      <c r="D649" s="14">
        <f>95.12 * CHOOSE(CONTROL!$C$9, $D$9, 100%, $F$9) + CHOOSE(CONTROL!$C$27, 0.0021, 0)</f>
        <v>95.122100000000003</v>
      </c>
      <c r="E649" s="14">
        <f>94.9833 * CHOOSE(CONTROL!$C$9, $D$9, 100%, $F$9) + CHOOSE(CONTROL!$C$27, 0.0021, 0)</f>
        <v>94.985399999999998</v>
      </c>
      <c r="F649" s="14">
        <f>94.9833 * CHOOSE(CONTROL!$C$9, $D$9, 100%, $F$9) + CHOOSE(CONTROL!$C$27, 0.0021, 0)</f>
        <v>94.985399999999998</v>
      </c>
      <c r="G649" s="14">
        <f>95.2547 * CHOOSE(CONTROL!$C$9, $D$9, 100%, $F$9) + CHOOSE(CONTROL!$C$27, 0.0021, 0)</f>
        <v>95.256799999999998</v>
      </c>
      <c r="H649" s="14">
        <f>95.12 * CHOOSE(CONTROL!$C$9, $D$9, 100%, $F$9) + CHOOSE(CONTROL!$C$27, 0.0021, 0)</f>
        <v>95.122100000000003</v>
      </c>
      <c r="I649" s="14">
        <f>95.12 * CHOOSE(CONTROL!$C$9, $D$9, 100%, $F$9) + CHOOSE(CONTROL!$C$27, 0.0021, 0)</f>
        <v>95.122100000000003</v>
      </c>
      <c r="J649" s="14">
        <f>95.12 * CHOOSE(CONTROL!$C$9, $D$9, 100%, $F$9) + CHOOSE(CONTROL!$C$27, 0.0021, 0)</f>
        <v>95.122100000000003</v>
      </c>
      <c r="K649" s="14">
        <f>95.12 * CHOOSE(CONTROL!$C$9, $D$9, 100%, $F$9) + CHOOSE(CONTROL!$C$27, 0.0021, 0)</f>
        <v>95.122100000000003</v>
      </c>
      <c r="L649" s="14"/>
    </row>
    <row r="650" spans="1:12" ht="15.75" x14ac:dyDescent="0.25">
      <c r="A650" s="32">
        <v>60722</v>
      </c>
      <c r="B650" s="14">
        <f>100.4676 * CHOOSE(CONTROL!$C$9, $D$9, 100%, $F$9) + CHOOSE(CONTROL!$C$27, 0.0021, 0)</f>
        <v>100.4697</v>
      </c>
      <c r="C650" s="14">
        <f>100.0353 * CHOOSE(CONTROL!$C$9, $D$9, 100%, $F$9) + CHOOSE(CONTROL!$C$27, 0.0021, 0)</f>
        <v>100.03740000000001</v>
      </c>
      <c r="D650" s="14">
        <f>100.0353 * CHOOSE(CONTROL!$C$9, $D$9, 100%, $F$9) + CHOOSE(CONTROL!$C$27, 0.0021, 0)</f>
        <v>100.03740000000001</v>
      </c>
      <c r="E650" s="14">
        <f>99.8987 * CHOOSE(CONTROL!$C$9, $D$9, 100%, $F$9) + CHOOSE(CONTROL!$C$27, 0.0021, 0)</f>
        <v>99.900800000000004</v>
      </c>
      <c r="F650" s="14">
        <f>99.8987 * CHOOSE(CONTROL!$C$9, $D$9, 100%, $F$9) + CHOOSE(CONTROL!$C$27, 0.0021, 0)</f>
        <v>99.900800000000004</v>
      </c>
      <c r="G650" s="14">
        <f>100.1701 * CHOOSE(CONTROL!$C$9, $D$9, 100%, $F$9) + CHOOSE(CONTROL!$C$27, 0.0021, 0)</f>
        <v>100.1722</v>
      </c>
      <c r="H650" s="14">
        <f>100.0353 * CHOOSE(CONTROL!$C$9, $D$9, 100%, $F$9) + CHOOSE(CONTROL!$C$27, 0.0021, 0)</f>
        <v>100.03740000000001</v>
      </c>
      <c r="I650" s="14">
        <f>100.0353 * CHOOSE(CONTROL!$C$9, $D$9, 100%, $F$9) + CHOOSE(CONTROL!$C$27, 0.0021, 0)</f>
        <v>100.03740000000001</v>
      </c>
      <c r="J650" s="14">
        <f>100.0353 * CHOOSE(CONTROL!$C$9, $D$9, 100%, $F$9) + CHOOSE(CONTROL!$C$27, 0.0021, 0)</f>
        <v>100.03740000000001</v>
      </c>
      <c r="K650" s="14">
        <f>100.0353 * CHOOSE(CONTROL!$C$9, $D$9, 100%, $F$9) + CHOOSE(CONTROL!$C$27, 0.0021, 0)</f>
        <v>100.03740000000001</v>
      </c>
      <c r="L650" s="14"/>
    </row>
    <row r="651" spans="1:12" ht="15.75" x14ac:dyDescent="0.25">
      <c r="A651" s="32">
        <v>60752</v>
      </c>
      <c r="B651" s="14">
        <f>106.8416 * CHOOSE(CONTROL!$C$9, $D$9, 100%, $F$9) + CHOOSE(CONTROL!$C$27, 0.0021, 0)</f>
        <v>106.8437</v>
      </c>
      <c r="C651" s="14">
        <f>106.4094 * CHOOSE(CONTROL!$C$9, $D$9, 100%, $F$9) + CHOOSE(CONTROL!$C$27, 0.0021, 0)</f>
        <v>106.4115</v>
      </c>
      <c r="D651" s="14">
        <f>106.4094 * CHOOSE(CONTROL!$C$9, $D$9, 100%, $F$9) + CHOOSE(CONTROL!$C$27, 0.0021, 0)</f>
        <v>106.4115</v>
      </c>
      <c r="E651" s="14">
        <f>106.2727 * CHOOSE(CONTROL!$C$9, $D$9, 100%, $F$9) + CHOOSE(CONTROL!$C$27, 0.0021, 0)</f>
        <v>106.2748</v>
      </c>
      <c r="F651" s="14">
        <f>106.2727 * CHOOSE(CONTROL!$C$9, $D$9, 100%, $F$9) + CHOOSE(CONTROL!$C$27, 0.0021, 0)</f>
        <v>106.2748</v>
      </c>
      <c r="G651" s="14">
        <f>106.5441 * CHOOSE(CONTROL!$C$9, $D$9, 100%, $F$9) + CHOOSE(CONTROL!$C$27, 0.0021, 0)</f>
        <v>106.5462</v>
      </c>
      <c r="H651" s="14">
        <f>106.4094 * CHOOSE(CONTROL!$C$9, $D$9, 100%, $F$9) + CHOOSE(CONTROL!$C$27, 0.0021, 0)</f>
        <v>106.4115</v>
      </c>
      <c r="I651" s="14">
        <f>106.4094 * CHOOSE(CONTROL!$C$9, $D$9, 100%, $F$9) + CHOOSE(CONTROL!$C$27, 0.0021, 0)</f>
        <v>106.4115</v>
      </c>
      <c r="J651" s="14">
        <f>106.4094 * CHOOSE(CONTROL!$C$9, $D$9, 100%, $F$9) + CHOOSE(CONTROL!$C$27, 0.0021, 0)</f>
        <v>106.4115</v>
      </c>
      <c r="K651" s="14">
        <f>106.4094 * CHOOSE(CONTROL!$C$9, $D$9, 100%, $F$9) + CHOOSE(CONTROL!$C$27, 0.0021, 0)</f>
        <v>106.4115</v>
      </c>
      <c r="L651" s="14"/>
    </row>
    <row r="652" spans="1:12" ht="15.75" x14ac:dyDescent="0.25">
      <c r="A652" s="32">
        <v>60783</v>
      </c>
      <c r="B652" s="14">
        <f>110.3501 * CHOOSE(CONTROL!$C$9, $D$9, 100%, $F$9) + CHOOSE(CONTROL!$C$27, 0.0021, 0)</f>
        <v>110.3522</v>
      </c>
      <c r="C652" s="14">
        <f>109.9178 * CHOOSE(CONTROL!$C$9, $D$9, 100%, $F$9) + CHOOSE(CONTROL!$C$27, 0.0021, 0)</f>
        <v>109.9199</v>
      </c>
      <c r="D652" s="14">
        <f>109.9178 * CHOOSE(CONTROL!$C$9, $D$9, 100%, $F$9) + CHOOSE(CONTROL!$C$27, 0.0021, 0)</f>
        <v>109.9199</v>
      </c>
      <c r="E652" s="14">
        <f>109.7812 * CHOOSE(CONTROL!$C$9, $D$9, 100%, $F$9) + CHOOSE(CONTROL!$C$27, 0.0021, 0)</f>
        <v>109.7833</v>
      </c>
      <c r="F652" s="14">
        <f>109.7812 * CHOOSE(CONTROL!$C$9, $D$9, 100%, $F$9) + CHOOSE(CONTROL!$C$27, 0.0021, 0)</f>
        <v>109.7833</v>
      </c>
      <c r="G652" s="14">
        <f>110.0525 * CHOOSE(CONTROL!$C$9, $D$9, 100%, $F$9) + CHOOSE(CONTROL!$C$27, 0.0021, 0)</f>
        <v>110.05459999999999</v>
      </c>
      <c r="H652" s="14">
        <f>109.9178 * CHOOSE(CONTROL!$C$9, $D$9, 100%, $F$9) + CHOOSE(CONTROL!$C$27, 0.0021, 0)</f>
        <v>109.9199</v>
      </c>
      <c r="I652" s="14">
        <f>109.9178 * CHOOSE(CONTROL!$C$9, $D$9, 100%, $F$9) + CHOOSE(CONTROL!$C$27, 0.0021, 0)</f>
        <v>109.9199</v>
      </c>
      <c r="J652" s="14">
        <f>109.9178 * CHOOSE(CONTROL!$C$9, $D$9, 100%, $F$9) + CHOOSE(CONTROL!$C$27, 0.0021, 0)</f>
        <v>109.9199</v>
      </c>
      <c r="K652" s="14">
        <f>109.9178 * CHOOSE(CONTROL!$C$9, $D$9, 100%, $F$9) + CHOOSE(CONTROL!$C$27, 0.0021, 0)</f>
        <v>109.9199</v>
      </c>
      <c r="L652" s="14"/>
    </row>
    <row r="653" spans="1:12" ht="15.75" x14ac:dyDescent="0.25">
      <c r="A653" s="32">
        <v>60813</v>
      </c>
      <c r="B653" s="14">
        <f>111.9071 * CHOOSE(CONTROL!$C$9, $D$9, 100%, $F$9) + CHOOSE(CONTROL!$C$27, 0.0021, 0)</f>
        <v>111.9092</v>
      </c>
      <c r="C653" s="14">
        <f>111.4748 * CHOOSE(CONTROL!$C$9, $D$9, 100%, $F$9) + CHOOSE(CONTROL!$C$27, 0.0021, 0)</f>
        <v>111.4769</v>
      </c>
      <c r="D653" s="14">
        <f>111.4748 * CHOOSE(CONTROL!$C$9, $D$9, 100%, $F$9) + CHOOSE(CONTROL!$C$27, 0.0021, 0)</f>
        <v>111.4769</v>
      </c>
      <c r="E653" s="14">
        <f>111.3382 * CHOOSE(CONTROL!$C$9, $D$9, 100%, $F$9) + CHOOSE(CONTROL!$C$27, 0.0021, 0)</f>
        <v>111.3403</v>
      </c>
      <c r="F653" s="14">
        <f>111.3382 * CHOOSE(CONTROL!$C$9, $D$9, 100%, $F$9) + CHOOSE(CONTROL!$C$27, 0.0021, 0)</f>
        <v>111.3403</v>
      </c>
      <c r="G653" s="14">
        <f>111.6095 * CHOOSE(CONTROL!$C$9, $D$9, 100%, $F$9) + CHOOSE(CONTROL!$C$27, 0.0021, 0)</f>
        <v>111.6116</v>
      </c>
      <c r="H653" s="14">
        <f>111.4748 * CHOOSE(CONTROL!$C$9, $D$9, 100%, $F$9) + CHOOSE(CONTROL!$C$27, 0.0021, 0)</f>
        <v>111.4769</v>
      </c>
      <c r="I653" s="14">
        <f>111.4748 * CHOOSE(CONTROL!$C$9, $D$9, 100%, $F$9) + CHOOSE(CONTROL!$C$27, 0.0021, 0)</f>
        <v>111.4769</v>
      </c>
      <c r="J653" s="14">
        <f>111.4748 * CHOOSE(CONTROL!$C$9, $D$9, 100%, $F$9) + CHOOSE(CONTROL!$C$27, 0.0021, 0)</f>
        <v>111.4769</v>
      </c>
      <c r="K653" s="14">
        <f>111.4748 * CHOOSE(CONTROL!$C$9, $D$9, 100%, $F$9) + CHOOSE(CONTROL!$C$27, 0.0021, 0)</f>
        <v>111.4769</v>
      </c>
      <c r="L653" s="14"/>
    </row>
    <row r="654" spans="1:12" ht="15.75" x14ac:dyDescent="0.25">
      <c r="A654" s="32">
        <v>60844</v>
      </c>
      <c r="B654" s="14">
        <f>111.3944 * CHOOSE(CONTROL!$C$9, $D$9, 100%, $F$9) + CHOOSE(CONTROL!$C$27, 0.0021, 0)</f>
        <v>111.3965</v>
      </c>
      <c r="C654" s="14">
        <f>110.9622 * CHOOSE(CONTROL!$C$9, $D$9, 100%, $F$9) + CHOOSE(CONTROL!$C$27, 0.0021, 0)</f>
        <v>110.96429999999999</v>
      </c>
      <c r="D654" s="14">
        <f>110.9622 * CHOOSE(CONTROL!$C$9, $D$9, 100%, $F$9) + CHOOSE(CONTROL!$C$27, 0.0021, 0)</f>
        <v>110.96429999999999</v>
      </c>
      <c r="E654" s="14">
        <f>110.8255 * CHOOSE(CONTROL!$C$9, $D$9, 100%, $F$9) + CHOOSE(CONTROL!$C$27, 0.0021, 0)</f>
        <v>110.8276</v>
      </c>
      <c r="F654" s="14">
        <f>110.8255 * CHOOSE(CONTROL!$C$9, $D$9, 100%, $F$9) + CHOOSE(CONTROL!$C$27, 0.0021, 0)</f>
        <v>110.8276</v>
      </c>
      <c r="G654" s="14">
        <f>111.0969 * CHOOSE(CONTROL!$C$9, $D$9, 100%, $F$9) + CHOOSE(CONTROL!$C$27, 0.0021, 0)</f>
        <v>111.099</v>
      </c>
      <c r="H654" s="14">
        <f>110.9622 * CHOOSE(CONTROL!$C$9, $D$9, 100%, $F$9) + CHOOSE(CONTROL!$C$27, 0.0021, 0)</f>
        <v>110.96429999999999</v>
      </c>
      <c r="I654" s="14">
        <f>110.9622 * CHOOSE(CONTROL!$C$9, $D$9, 100%, $F$9) + CHOOSE(CONTROL!$C$27, 0.0021, 0)</f>
        <v>110.96429999999999</v>
      </c>
      <c r="J654" s="14">
        <f>110.9622 * CHOOSE(CONTROL!$C$9, $D$9, 100%, $F$9) + CHOOSE(CONTROL!$C$27, 0.0021, 0)</f>
        <v>110.96429999999999</v>
      </c>
      <c r="K654" s="14">
        <f>110.9622 * CHOOSE(CONTROL!$C$9, $D$9, 100%, $F$9) + CHOOSE(CONTROL!$C$27, 0.0021, 0)</f>
        <v>110.96429999999999</v>
      </c>
      <c r="L654" s="14"/>
    </row>
    <row r="655" spans="1:12" ht="15.75" x14ac:dyDescent="0.25">
      <c r="A655" s="32">
        <v>60875</v>
      </c>
      <c r="B655" s="14">
        <f>108.8546 * CHOOSE(CONTROL!$C$9, $D$9, 100%, $F$9) + CHOOSE(CONTROL!$C$27, 0.0021, 0)</f>
        <v>108.8567</v>
      </c>
      <c r="C655" s="14">
        <f>108.4223 * CHOOSE(CONTROL!$C$9, $D$9, 100%, $F$9) + CHOOSE(CONTROL!$C$27, 0.0021, 0)</f>
        <v>108.42440000000001</v>
      </c>
      <c r="D655" s="14">
        <f>108.4223 * CHOOSE(CONTROL!$C$9, $D$9, 100%, $F$9) + CHOOSE(CONTROL!$C$27, 0.0021, 0)</f>
        <v>108.42440000000001</v>
      </c>
      <c r="E655" s="14">
        <f>108.2857 * CHOOSE(CONTROL!$C$9, $D$9, 100%, $F$9) + CHOOSE(CONTROL!$C$27, 0.0021, 0)</f>
        <v>108.2878</v>
      </c>
      <c r="F655" s="14">
        <f>108.2857 * CHOOSE(CONTROL!$C$9, $D$9, 100%, $F$9) + CHOOSE(CONTROL!$C$27, 0.0021, 0)</f>
        <v>108.2878</v>
      </c>
      <c r="G655" s="14">
        <f>108.5571 * CHOOSE(CONTROL!$C$9, $D$9, 100%, $F$9) + CHOOSE(CONTROL!$C$27, 0.0021, 0)</f>
        <v>108.5592</v>
      </c>
      <c r="H655" s="14">
        <f>108.4223 * CHOOSE(CONTROL!$C$9, $D$9, 100%, $F$9) + CHOOSE(CONTROL!$C$27, 0.0021, 0)</f>
        <v>108.42440000000001</v>
      </c>
      <c r="I655" s="14">
        <f>108.4223 * CHOOSE(CONTROL!$C$9, $D$9, 100%, $F$9) + CHOOSE(CONTROL!$C$27, 0.0021, 0)</f>
        <v>108.42440000000001</v>
      </c>
      <c r="J655" s="14">
        <f>108.4223 * CHOOSE(CONTROL!$C$9, $D$9, 100%, $F$9) + CHOOSE(CONTROL!$C$27, 0.0021, 0)</f>
        <v>108.42440000000001</v>
      </c>
      <c r="K655" s="14">
        <f>108.4223 * CHOOSE(CONTROL!$C$9, $D$9, 100%, $F$9) + CHOOSE(CONTROL!$C$27, 0.0021, 0)</f>
        <v>108.42440000000001</v>
      </c>
      <c r="L655" s="14"/>
    </row>
    <row r="656" spans="1:12" ht="15.75" x14ac:dyDescent="0.25">
      <c r="A656" s="32">
        <v>60905</v>
      </c>
      <c r="B656" s="14">
        <f>105.3126 * CHOOSE(CONTROL!$C$9, $D$9, 100%, $F$9) + CHOOSE(CONTROL!$C$27, 0.0021, 0)</f>
        <v>105.3147</v>
      </c>
      <c r="C656" s="14">
        <f>104.8804 * CHOOSE(CONTROL!$C$9, $D$9, 100%, $F$9) + CHOOSE(CONTROL!$C$27, 0.0021, 0)</f>
        <v>104.88249999999999</v>
      </c>
      <c r="D656" s="14">
        <f>104.8804 * CHOOSE(CONTROL!$C$9, $D$9, 100%, $F$9) + CHOOSE(CONTROL!$C$27, 0.0021, 0)</f>
        <v>104.88249999999999</v>
      </c>
      <c r="E656" s="14">
        <f>104.7437 * CHOOSE(CONTROL!$C$9, $D$9, 100%, $F$9) + CHOOSE(CONTROL!$C$27, 0.0021, 0)</f>
        <v>104.7458</v>
      </c>
      <c r="F656" s="14">
        <f>104.7437 * CHOOSE(CONTROL!$C$9, $D$9, 100%, $F$9) + CHOOSE(CONTROL!$C$27, 0.0021, 0)</f>
        <v>104.7458</v>
      </c>
      <c r="G656" s="14">
        <f>105.0151 * CHOOSE(CONTROL!$C$9, $D$9, 100%, $F$9) + CHOOSE(CONTROL!$C$27, 0.0021, 0)</f>
        <v>105.0172</v>
      </c>
      <c r="H656" s="14">
        <f>104.8804 * CHOOSE(CONTROL!$C$9, $D$9, 100%, $F$9) + CHOOSE(CONTROL!$C$27, 0.0021, 0)</f>
        <v>104.88249999999999</v>
      </c>
      <c r="I656" s="14">
        <f>104.8804 * CHOOSE(CONTROL!$C$9, $D$9, 100%, $F$9) + CHOOSE(CONTROL!$C$27, 0.0021, 0)</f>
        <v>104.88249999999999</v>
      </c>
      <c r="J656" s="14">
        <f>104.8804 * CHOOSE(CONTROL!$C$9, $D$9, 100%, $F$9) + CHOOSE(CONTROL!$C$27, 0.0021, 0)</f>
        <v>104.88249999999999</v>
      </c>
      <c r="K656" s="14">
        <f>104.8804 * CHOOSE(CONTROL!$C$9, $D$9, 100%, $F$9) + CHOOSE(CONTROL!$C$27, 0.0021, 0)</f>
        <v>104.88249999999999</v>
      </c>
      <c r="L656" s="14"/>
    </row>
    <row r="657" spans="1:12" ht="15.75" x14ac:dyDescent="0.25">
      <c r="A657" s="32">
        <v>60936</v>
      </c>
      <c r="B657" s="14">
        <f>101.7501 * CHOOSE(CONTROL!$C$9, $D$9, 100%, $F$9) + CHOOSE(CONTROL!$C$27, 0.0021, 0)</f>
        <v>101.7522</v>
      </c>
      <c r="C657" s="14">
        <f>101.3178 * CHOOSE(CONTROL!$C$9, $D$9, 100%, $F$9) + CHOOSE(CONTROL!$C$27, 0.0021, 0)</f>
        <v>101.3199</v>
      </c>
      <c r="D657" s="14">
        <f>101.3178 * CHOOSE(CONTROL!$C$9, $D$9, 100%, $F$9) + CHOOSE(CONTROL!$C$27, 0.0021, 0)</f>
        <v>101.3199</v>
      </c>
      <c r="E657" s="14">
        <f>101.1812 * CHOOSE(CONTROL!$C$9, $D$9, 100%, $F$9) + CHOOSE(CONTROL!$C$27, 0.0021, 0)</f>
        <v>101.1833</v>
      </c>
      <c r="F657" s="14">
        <f>101.1812 * CHOOSE(CONTROL!$C$9, $D$9, 100%, $F$9) + CHOOSE(CONTROL!$C$27, 0.0021, 0)</f>
        <v>101.1833</v>
      </c>
      <c r="G657" s="14">
        <f>101.4526 * CHOOSE(CONTROL!$C$9, $D$9, 100%, $F$9) + CHOOSE(CONTROL!$C$27, 0.0021, 0)</f>
        <v>101.4547</v>
      </c>
      <c r="H657" s="14">
        <f>101.3178 * CHOOSE(CONTROL!$C$9, $D$9, 100%, $F$9) + CHOOSE(CONTROL!$C$27, 0.0021, 0)</f>
        <v>101.3199</v>
      </c>
      <c r="I657" s="14">
        <f>101.3178 * CHOOSE(CONTROL!$C$9, $D$9, 100%, $F$9) + CHOOSE(CONTROL!$C$27, 0.0021, 0)</f>
        <v>101.3199</v>
      </c>
      <c r="J657" s="14">
        <f>101.3178 * CHOOSE(CONTROL!$C$9, $D$9, 100%, $F$9) + CHOOSE(CONTROL!$C$27, 0.0021, 0)</f>
        <v>101.3199</v>
      </c>
      <c r="K657" s="14">
        <f>101.3178 * CHOOSE(CONTROL!$C$9, $D$9, 100%, $F$9) + CHOOSE(CONTROL!$C$27, 0.0021, 0)</f>
        <v>101.3199</v>
      </c>
      <c r="L657" s="14"/>
    </row>
    <row r="658" spans="1:12" ht="15.75" x14ac:dyDescent="0.25">
      <c r="A658" s="32">
        <v>60966</v>
      </c>
      <c r="B658" s="14">
        <f>101.0414 * CHOOSE(CONTROL!$C$9, $D$9, 100%, $F$9) + CHOOSE(CONTROL!$C$27, 0.0021, 0)</f>
        <v>101.04349999999999</v>
      </c>
      <c r="C658" s="14">
        <f>100.6092 * CHOOSE(CONTROL!$C$9, $D$9, 100%, $F$9) + CHOOSE(CONTROL!$C$27, 0.0021, 0)</f>
        <v>100.6113</v>
      </c>
      <c r="D658" s="14">
        <f>100.6092 * CHOOSE(CONTROL!$C$9, $D$9, 100%, $F$9) + CHOOSE(CONTROL!$C$27, 0.0021, 0)</f>
        <v>100.6113</v>
      </c>
      <c r="E658" s="14">
        <f>100.4725 * CHOOSE(CONTROL!$C$9, $D$9, 100%, $F$9) + CHOOSE(CONTROL!$C$27, 0.0021, 0)</f>
        <v>100.4746</v>
      </c>
      <c r="F658" s="14">
        <f>100.4725 * CHOOSE(CONTROL!$C$9, $D$9, 100%, $F$9) + CHOOSE(CONTROL!$C$27, 0.0021, 0)</f>
        <v>100.4746</v>
      </c>
      <c r="G658" s="14">
        <f>100.7439 * CHOOSE(CONTROL!$C$9, $D$9, 100%, $F$9) + CHOOSE(CONTROL!$C$27, 0.0021, 0)</f>
        <v>100.746</v>
      </c>
      <c r="H658" s="14">
        <f>100.6092 * CHOOSE(CONTROL!$C$9, $D$9, 100%, $F$9) + CHOOSE(CONTROL!$C$27, 0.0021, 0)</f>
        <v>100.6113</v>
      </c>
      <c r="I658" s="14">
        <f>100.6092 * CHOOSE(CONTROL!$C$9, $D$9, 100%, $F$9) + CHOOSE(CONTROL!$C$27, 0.0021, 0)</f>
        <v>100.6113</v>
      </c>
      <c r="J658" s="14">
        <f>100.6092 * CHOOSE(CONTROL!$C$9, $D$9, 100%, $F$9) + CHOOSE(CONTROL!$C$27, 0.0021, 0)</f>
        <v>100.6113</v>
      </c>
      <c r="K658" s="14">
        <f>100.6092 * CHOOSE(CONTROL!$C$9, $D$9, 100%, $F$9) + CHOOSE(CONTROL!$C$27, 0.0021, 0)</f>
        <v>100.6113</v>
      </c>
      <c r="L658" s="14"/>
    </row>
    <row r="659" spans="1:12" ht="15.75" x14ac:dyDescent="0.25">
      <c r="A659" s="32">
        <v>60997</v>
      </c>
      <c r="B659" s="14">
        <f>98.111 * CHOOSE(CONTROL!$C$9, $D$9, 100%, $F$9) + CHOOSE(CONTROL!$C$27, 0.0021, 0)</f>
        <v>98.113100000000003</v>
      </c>
      <c r="C659" s="14">
        <f>97.6788 * CHOOSE(CONTROL!$C$9, $D$9, 100%, $F$9) + CHOOSE(CONTROL!$C$27, 0.0021, 0)</f>
        <v>97.680899999999994</v>
      </c>
      <c r="D659" s="14">
        <f>97.6788 * CHOOSE(CONTROL!$C$9, $D$9, 100%, $F$9) + CHOOSE(CONTROL!$C$27, 0.0021, 0)</f>
        <v>97.680899999999994</v>
      </c>
      <c r="E659" s="14">
        <f>97.5421 * CHOOSE(CONTROL!$C$9, $D$9, 100%, $F$9) + CHOOSE(CONTROL!$C$27, 0.0021, 0)</f>
        <v>97.544200000000004</v>
      </c>
      <c r="F659" s="14">
        <f>97.5421 * CHOOSE(CONTROL!$C$9, $D$9, 100%, $F$9) + CHOOSE(CONTROL!$C$27, 0.0021, 0)</f>
        <v>97.544200000000004</v>
      </c>
      <c r="G659" s="14">
        <f>97.8135 * CHOOSE(CONTROL!$C$9, $D$9, 100%, $F$9) + CHOOSE(CONTROL!$C$27, 0.0021, 0)</f>
        <v>97.815600000000003</v>
      </c>
      <c r="H659" s="14">
        <f>97.6788 * CHOOSE(CONTROL!$C$9, $D$9, 100%, $F$9) + CHOOSE(CONTROL!$C$27, 0.0021, 0)</f>
        <v>97.680899999999994</v>
      </c>
      <c r="I659" s="14">
        <f>97.6788 * CHOOSE(CONTROL!$C$9, $D$9, 100%, $F$9) + CHOOSE(CONTROL!$C$27, 0.0021, 0)</f>
        <v>97.680899999999994</v>
      </c>
      <c r="J659" s="14">
        <f>97.6788 * CHOOSE(CONTROL!$C$9, $D$9, 100%, $F$9) + CHOOSE(CONTROL!$C$27, 0.0021, 0)</f>
        <v>97.680899999999994</v>
      </c>
      <c r="K659" s="14">
        <f>97.6788 * CHOOSE(CONTROL!$C$9, $D$9, 100%, $F$9) + CHOOSE(CONTROL!$C$27, 0.0021, 0)</f>
        <v>97.680899999999994</v>
      </c>
      <c r="L659" s="14"/>
    </row>
    <row r="660" spans="1:12" ht="15.75" x14ac:dyDescent="0.25">
      <c r="A660" s="32">
        <v>61028</v>
      </c>
      <c r="B660" s="14">
        <f>97.5405 * CHOOSE(CONTROL!$C$9, $D$9, 100%, $F$9) + CHOOSE(CONTROL!$C$27, 0.0021, 0)</f>
        <v>97.542599999999993</v>
      </c>
      <c r="C660" s="14">
        <f>97.1083 * CHOOSE(CONTROL!$C$9, $D$9, 100%, $F$9) + CHOOSE(CONTROL!$C$27, 0.0021, 0)</f>
        <v>97.110399999999998</v>
      </c>
      <c r="D660" s="14">
        <f>97.1083 * CHOOSE(CONTROL!$C$9, $D$9, 100%, $F$9) + CHOOSE(CONTROL!$C$27, 0.0021, 0)</f>
        <v>97.110399999999998</v>
      </c>
      <c r="E660" s="14">
        <f>96.9716 * CHOOSE(CONTROL!$C$9, $D$9, 100%, $F$9) + CHOOSE(CONTROL!$C$27, 0.0021, 0)</f>
        <v>96.973699999999994</v>
      </c>
      <c r="F660" s="14">
        <f>96.9716 * CHOOSE(CONTROL!$C$9, $D$9, 100%, $F$9) + CHOOSE(CONTROL!$C$27, 0.0021, 0)</f>
        <v>96.973699999999994</v>
      </c>
      <c r="G660" s="14">
        <f>97.243 * CHOOSE(CONTROL!$C$9, $D$9, 100%, $F$9) + CHOOSE(CONTROL!$C$27, 0.0021, 0)</f>
        <v>97.245099999999994</v>
      </c>
      <c r="H660" s="14">
        <f>97.1083 * CHOOSE(CONTROL!$C$9, $D$9, 100%, $F$9) + CHOOSE(CONTROL!$C$27, 0.0021, 0)</f>
        <v>97.110399999999998</v>
      </c>
      <c r="I660" s="14">
        <f>97.1083 * CHOOSE(CONTROL!$C$9, $D$9, 100%, $F$9) + CHOOSE(CONTROL!$C$27, 0.0021, 0)</f>
        <v>97.110399999999998</v>
      </c>
      <c r="J660" s="14">
        <f>97.1083 * CHOOSE(CONTROL!$C$9, $D$9, 100%, $F$9) + CHOOSE(CONTROL!$C$27, 0.0021, 0)</f>
        <v>97.110399999999998</v>
      </c>
      <c r="K660" s="14">
        <f>97.1083 * CHOOSE(CONTROL!$C$9, $D$9, 100%, $F$9) + CHOOSE(CONTROL!$C$27, 0.0021, 0)</f>
        <v>97.110399999999998</v>
      </c>
      <c r="L660" s="14"/>
    </row>
    <row r="661" spans="1:12" ht="15.75" x14ac:dyDescent="0.25">
      <c r="A661" s="32">
        <v>61056</v>
      </c>
      <c r="B661" s="14">
        <f>97.2758 * CHOOSE(CONTROL!$C$9, $D$9, 100%, $F$9) + CHOOSE(CONTROL!$C$27, 0.0021, 0)</f>
        <v>97.277900000000002</v>
      </c>
      <c r="C661" s="14">
        <f>96.8435 * CHOOSE(CONTROL!$C$9, $D$9, 100%, $F$9) + CHOOSE(CONTROL!$C$27, 0.0021, 0)</f>
        <v>96.845600000000005</v>
      </c>
      <c r="D661" s="14">
        <f>96.8435 * CHOOSE(CONTROL!$C$9, $D$9, 100%, $F$9) + CHOOSE(CONTROL!$C$27, 0.0021, 0)</f>
        <v>96.845600000000005</v>
      </c>
      <c r="E661" s="14">
        <f>96.7069 * CHOOSE(CONTROL!$C$9, $D$9, 100%, $F$9) + CHOOSE(CONTROL!$C$27, 0.0021, 0)</f>
        <v>96.709000000000003</v>
      </c>
      <c r="F661" s="14">
        <f>96.7069 * CHOOSE(CONTROL!$C$9, $D$9, 100%, $F$9) + CHOOSE(CONTROL!$C$27, 0.0021, 0)</f>
        <v>96.709000000000003</v>
      </c>
      <c r="G661" s="14">
        <f>96.9782 * CHOOSE(CONTROL!$C$9, $D$9, 100%, $F$9) + CHOOSE(CONTROL!$C$27, 0.0021, 0)</f>
        <v>96.9803</v>
      </c>
      <c r="H661" s="14">
        <f>96.8435 * CHOOSE(CONTROL!$C$9, $D$9, 100%, $F$9) + CHOOSE(CONTROL!$C$27, 0.0021, 0)</f>
        <v>96.845600000000005</v>
      </c>
      <c r="I661" s="14">
        <f>96.8435 * CHOOSE(CONTROL!$C$9, $D$9, 100%, $F$9) + CHOOSE(CONTROL!$C$27, 0.0021, 0)</f>
        <v>96.845600000000005</v>
      </c>
      <c r="J661" s="14">
        <f>96.8435 * CHOOSE(CONTROL!$C$9, $D$9, 100%, $F$9) + CHOOSE(CONTROL!$C$27, 0.0021, 0)</f>
        <v>96.845600000000005</v>
      </c>
      <c r="K661" s="14">
        <f>96.8435 * CHOOSE(CONTROL!$C$9, $D$9, 100%, $F$9) + CHOOSE(CONTROL!$C$27, 0.0021, 0)</f>
        <v>96.845600000000005</v>
      </c>
      <c r="L661" s="14"/>
    </row>
    <row r="662" spans="1:12" ht="15.75" x14ac:dyDescent="0.25">
      <c r="A662" s="32">
        <v>61087</v>
      </c>
      <c r="B662" s="14">
        <f>102.2819 * CHOOSE(CONTROL!$C$9, $D$9, 100%, $F$9) + CHOOSE(CONTROL!$C$27, 0.0021, 0)</f>
        <v>102.28399999999999</v>
      </c>
      <c r="C662" s="14">
        <f>101.8497 * CHOOSE(CONTROL!$C$9, $D$9, 100%, $F$9) + CHOOSE(CONTROL!$C$27, 0.0021, 0)</f>
        <v>101.8518</v>
      </c>
      <c r="D662" s="14">
        <f>101.8497 * CHOOSE(CONTROL!$C$9, $D$9, 100%, $F$9) + CHOOSE(CONTROL!$C$27, 0.0021, 0)</f>
        <v>101.8518</v>
      </c>
      <c r="E662" s="14">
        <f>101.713 * CHOOSE(CONTROL!$C$9, $D$9, 100%, $F$9) + CHOOSE(CONTROL!$C$27, 0.0021, 0)</f>
        <v>101.71509999999999</v>
      </c>
      <c r="F662" s="14">
        <f>101.713 * CHOOSE(CONTROL!$C$9, $D$9, 100%, $F$9) + CHOOSE(CONTROL!$C$27, 0.0021, 0)</f>
        <v>101.71509999999999</v>
      </c>
      <c r="G662" s="14">
        <f>101.9844 * CHOOSE(CONTROL!$C$9, $D$9, 100%, $F$9) + CHOOSE(CONTROL!$C$27, 0.0021, 0)</f>
        <v>101.98649999999999</v>
      </c>
      <c r="H662" s="14">
        <f>101.8497 * CHOOSE(CONTROL!$C$9, $D$9, 100%, $F$9) + CHOOSE(CONTROL!$C$27, 0.0021, 0)</f>
        <v>101.8518</v>
      </c>
      <c r="I662" s="14">
        <f>101.8497 * CHOOSE(CONTROL!$C$9, $D$9, 100%, $F$9) + CHOOSE(CONTROL!$C$27, 0.0021, 0)</f>
        <v>101.8518</v>
      </c>
      <c r="J662" s="14">
        <f>101.8497 * CHOOSE(CONTROL!$C$9, $D$9, 100%, $F$9) + CHOOSE(CONTROL!$C$27, 0.0021, 0)</f>
        <v>101.8518</v>
      </c>
      <c r="K662" s="14">
        <f>101.8497 * CHOOSE(CONTROL!$C$9, $D$9, 100%, $F$9) + CHOOSE(CONTROL!$C$27, 0.0021, 0)</f>
        <v>101.8518</v>
      </c>
      <c r="L662" s="14"/>
    </row>
    <row r="663" spans="1:12" ht="15.75" x14ac:dyDescent="0.25">
      <c r="A663" s="32">
        <v>61117</v>
      </c>
      <c r="B663" s="14">
        <f>108.7738 * CHOOSE(CONTROL!$C$9, $D$9, 100%, $F$9) + CHOOSE(CONTROL!$C$27, 0.0021, 0)</f>
        <v>108.77589999999999</v>
      </c>
      <c r="C663" s="14">
        <f>108.3415 * CHOOSE(CONTROL!$C$9, $D$9, 100%, $F$9) + CHOOSE(CONTROL!$C$27, 0.0021, 0)</f>
        <v>108.3436</v>
      </c>
      <c r="D663" s="14">
        <f>108.3415 * CHOOSE(CONTROL!$C$9, $D$9, 100%, $F$9) + CHOOSE(CONTROL!$C$27, 0.0021, 0)</f>
        <v>108.3436</v>
      </c>
      <c r="E663" s="14">
        <f>108.2049 * CHOOSE(CONTROL!$C$9, $D$9, 100%, $F$9) + CHOOSE(CONTROL!$C$27, 0.0021, 0)</f>
        <v>108.20699999999999</v>
      </c>
      <c r="F663" s="14">
        <f>108.2049 * CHOOSE(CONTROL!$C$9, $D$9, 100%, $F$9) + CHOOSE(CONTROL!$C$27, 0.0021, 0)</f>
        <v>108.20699999999999</v>
      </c>
      <c r="G663" s="14">
        <f>108.4762 * CHOOSE(CONTROL!$C$9, $D$9, 100%, $F$9) + CHOOSE(CONTROL!$C$27, 0.0021, 0)</f>
        <v>108.4783</v>
      </c>
      <c r="H663" s="14">
        <f>108.3415 * CHOOSE(CONTROL!$C$9, $D$9, 100%, $F$9) + CHOOSE(CONTROL!$C$27, 0.0021, 0)</f>
        <v>108.3436</v>
      </c>
      <c r="I663" s="14">
        <f>108.3415 * CHOOSE(CONTROL!$C$9, $D$9, 100%, $F$9) + CHOOSE(CONTROL!$C$27, 0.0021, 0)</f>
        <v>108.3436</v>
      </c>
      <c r="J663" s="14">
        <f>108.3415 * CHOOSE(CONTROL!$C$9, $D$9, 100%, $F$9) + CHOOSE(CONTROL!$C$27, 0.0021, 0)</f>
        <v>108.3436</v>
      </c>
      <c r="K663" s="14">
        <f>108.3415 * CHOOSE(CONTROL!$C$9, $D$9, 100%, $F$9) + CHOOSE(CONTROL!$C$27, 0.0021, 0)</f>
        <v>108.3436</v>
      </c>
      <c r="L663" s="14"/>
    </row>
    <row r="664" spans="1:12" ht="15.75" x14ac:dyDescent="0.25">
      <c r="A664" s="32">
        <v>61148</v>
      </c>
      <c r="B664" s="14">
        <f>112.3471 * CHOOSE(CONTROL!$C$9, $D$9, 100%, $F$9) + CHOOSE(CONTROL!$C$27, 0.0021, 0)</f>
        <v>112.3492</v>
      </c>
      <c r="C664" s="14">
        <f>111.9148 * CHOOSE(CONTROL!$C$9, $D$9, 100%, $F$9) + CHOOSE(CONTROL!$C$27, 0.0021, 0)</f>
        <v>111.9169</v>
      </c>
      <c r="D664" s="14">
        <f>111.9148 * CHOOSE(CONTROL!$C$9, $D$9, 100%, $F$9) + CHOOSE(CONTROL!$C$27, 0.0021, 0)</f>
        <v>111.9169</v>
      </c>
      <c r="E664" s="14">
        <f>111.7782 * CHOOSE(CONTROL!$C$9, $D$9, 100%, $F$9) + CHOOSE(CONTROL!$C$27, 0.0021, 0)</f>
        <v>111.7803</v>
      </c>
      <c r="F664" s="14">
        <f>111.7782 * CHOOSE(CONTROL!$C$9, $D$9, 100%, $F$9) + CHOOSE(CONTROL!$C$27, 0.0021, 0)</f>
        <v>111.7803</v>
      </c>
      <c r="G664" s="14">
        <f>112.0495 * CHOOSE(CONTROL!$C$9, $D$9, 100%, $F$9) + CHOOSE(CONTROL!$C$27, 0.0021, 0)</f>
        <v>112.05159999999999</v>
      </c>
      <c r="H664" s="14">
        <f>111.9148 * CHOOSE(CONTROL!$C$9, $D$9, 100%, $F$9) + CHOOSE(CONTROL!$C$27, 0.0021, 0)</f>
        <v>111.9169</v>
      </c>
      <c r="I664" s="14">
        <f>111.9148 * CHOOSE(CONTROL!$C$9, $D$9, 100%, $F$9) + CHOOSE(CONTROL!$C$27, 0.0021, 0)</f>
        <v>111.9169</v>
      </c>
      <c r="J664" s="14">
        <f>111.9148 * CHOOSE(CONTROL!$C$9, $D$9, 100%, $F$9) + CHOOSE(CONTROL!$C$27, 0.0021, 0)</f>
        <v>111.9169</v>
      </c>
      <c r="K664" s="14">
        <f>111.9148 * CHOOSE(CONTROL!$C$9, $D$9, 100%, $F$9) + CHOOSE(CONTROL!$C$27, 0.0021, 0)</f>
        <v>111.9169</v>
      </c>
      <c r="L664" s="14"/>
    </row>
    <row r="665" spans="1:12" ht="15.75" x14ac:dyDescent="0.25">
      <c r="A665" s="32">
        <v>61178</v>
      </c>
      <c r="B665" s="14">
        <f>113.9328 * CHOOSE(CONTROL!$C$9, $D$9, 100%, $F$9) + CHOOSE(CONTROL!$C$27, 0.0021, 0)</f>
        <v>113.9349</v>
      </c>
      <c r="C665" s="14">
        <f>113.5006 * CHOOSE(CONTROL!$C$9, $D$9, 100%, $F$9) + CHOOSE(CONTROL!$C$27, 0.0021, 0)</f>
        <v>113.5027</v>
      </c>
      <c r="D665" s="14">
        <f>113.5006 * CHOOSE(CONTROL!$C$9, $D$9, 100%, $F$9) + CHOOSE(CONTROL!$C$27, 0.0021, 0)</f>
        <v>113.5027</v>
      </c>
      <c r="E665" s="14">
        <f>113.3639 * CHOOSE(CONTROL!$C$9, $D$9, 100%, $F$9) + CHOOSE(CONTROL!$C$27, 0.0021, 0)</f>
        <v>113.366</v>
      </c>
      <c r="F665" s="14">
        <f>113.3639 * CHOOSE(CONTROL!$C$9, $D$9, 100%, $F$9) + CHOOSE(CONTROL!$C$27, 0.0021, 0)</f>
        <v>113.366</v>
      </c>
      <c r="G665" s="14">
        <f>113.6353 * CHOOSE(CONTROL!$C$9, $D$9, 100%, $F$9) + CHOOSE(CONTROL!$C$27, 0.0021, 0)</f>
        <v>113.6374</v>
      </c>
      <c r="H665" s="14">
        <f>113.5006 * CHOOSE(CONTROL!$C$9, $D$9, 100%, $F$9) + CHOOSE(CONTROL!$C$27, 0.0021, 0)</f>
        <v>113.5027</v>
      </c>
      <c r="I665" s="14">
        <f>113.5006 * CHOOSE(CONTROL!$C$9, $D$9, 100%, $F$9) + CHOOSE(CONTROL!$C$27, 0.0021, 0)</f>
        <v>113.5027</v>
      </c>
      <c r="J665" s="14">
        <f>113.5006 * CHOOSE(CONTROL!$C$9, $D$9, 100%, $F$9) + CHOOSE(CONTROL!$C$27, 0.0021, 0)</f>
        <v>113.5027</v>
      </c>
      <c r="K665" s="14">
        <f>113.5006 * CHOOSE(CONTROL!$C$9, $D$9, 100%, $F$9) + CHOOSE(CONTROL!$C$27, 0.0021, 0)</f>
        <v>113.5027</v>
      </c>
      <c r="L665" s="14"/>
    </row>
    <row r="666" spans="1:12" ht="15.75" x14ac:dyDescent="0.25">
      <c r="A666" s="32">
        <v>61209</v>
      </c>
      <c r="B666" s="14">
        <f>113.4107 * CHOOSE(CONTROL!$C$9, $D$9, 100%, $F$9) + CHOOSE(CONTROL!$C$27, 0.0021, 0)</f>
        <v>113.4128</v>
      </c>
      <c r="C666" s="14">
        <f>112.9785 * CHOOSE(CONTROL!$C$9, $D$9, 100%, $F$9) + CHOOSE(CONTROL!$C$27, 0.0021, 0)</f>
        <v>112.9806</v>
      </c>
      <c r="D666" s="14">
        <f>112.9785 * CHOOSE(CONTROL!$C$9, $D$9, 100%, $F$9) + CHOOSE(CONTROL!$C$27, 0.0021, 0)</f>
        <v>112.9806</v>
      </c>
      <c r="E666" s="14">
        <f>112.8418 * CHOOSE(CONTROL!$C$9, $D$9, 100%, $F$9) + CHOOSE(CONTROL!$C$27, 0.0021, 0)</f>
        <v>112.8439</v>
      </c>
      <c r="F666" s="14">
        <f>112.8418 * CHOOSE(CONTROL!$C$9, $D$9, 100%, $F$9) + CHOOSE(CONTROL!$C$27, 0.0021, 0)</f>
        <v>112.8439</v>
      </c>
      <c r="G666" s="14">
        <f>113.1132 * CHOOSE(CONTROL!$C$9, $D$9, 100%, $F$9) + CHOOSE(CONTROL!$C$27, 0.0021, 0)</f>
        <v>113.1153</v>
      </c>
      <c r="H666" s="14">
        <f>112.9785 * CHOOSE(CONTROL!$C$9, $D$9, 100%, $F$9) + CHOOSE(CONTROL!$C$27, 0.0021, 0)</f>
        <v>112.9806</v>
      </c>
      <c r="I666" s="14">
        <f>112.9785 * CHOOSE(CONTROL!$C$9, $D$9, 100%, $F$9) + CHOOSE(CONTROL!$C$27, 0.0021, 0)</f>
        <v>112.9806</v>
      </c>
      <c r="J666" s="14">
        <f>112.9785 * CHOOSE(CONTROL!$C$9, $D$9, 100%, $F$9) + CHOOSE(CONTROL!$C$27, 0.0021, 0)</f>
        <v>112.9806</v>
      </c>
      <c r="K666" s="14">
        <f>112.9785 * CHOOSE(CONTROL!$C$9, $D$9, 100%, $F$9) + CHOOSE(CONTROL!$C$27, 0.0021, 0)</f>
        <v>112.9806</v>
      </c>
      <c r="L666" s="14"/>
    </row>
    <row r="667" spans="1:12" ht="15.75" x14ac:dyDescent="0.25">
      <c r="A667" s="32">
        <v>61240</v>
      </c>
      <c r="B667" s="14">
        <f>110.8239 * CHOOSE(CONTROL!$C$9, $D$9, 100%, $F$9) + CHOOSE(CONTROL!$C$27, 0.0021, 0)</f>
        <v>110.82599999999999</v>
      </c>
      <c r="C667" s="14">
        <f>110.3917 * CHOOSE(CONTROL!$C$9, $D$9, 100%, $F$9) + CHOOSE(CONTROL!$C$27, 0.0021, 0)</f>
        <v>110.3938</v>
      </c>
      <c r="D667" s="14">
        <f>110.3917 * CHOOSE(CONTROL!$C$9, $D$9, 100%, $F$9) + CHOOSE(CONTROL!$C$27, 0.0021, 0)</f>
        <v>110.3938</v>
      </c>
      <c r="E667" s="14">
        <f>110.255 * CHOOSE(CONTROL!$C$9, $D$9, 100%, $F$9) + CHOOSE(CONTROL!$C$27, 0.0021, 0)</f>
        <v>110.25709999999999</v>
      </c>
      <c r="F667" s="14">
        <f>110.255 * CHOOSE(CONTROL!$C$9, $D$9, 100%, $F$9) + CHOOSE(CONTROL!$C$27, 0.0021, 0)</f>
        <v>110.25709999999999</v>
      </c>
      <c r="G667" s="14">
        <f>110.5264 * CHOOSE(CONTROL!$C$9, $D$9, 100%, $F$9) + CHOOSE(CONTROL!$C$27, 0.0021, 0)</f>
        <v>110.52849999999999</v>
      </c>
      <c r="H667" s="14">
        <f>110.3917 * CHOOSE(CONTROL!$C$9, $D$9, 100%, $F$9) + CHOOSE(CONTROL!$C$27, 0.0021, 0)</f>
        <v>110.3938</v>
      </c>
      <c r="I667" s="14">
        <f>110.3917 * CHOOSE(CONTROL!$C$9, $D$9, 100%, $F$9) + CHOOSE(CONTROL!$C$27, 0.0021, 0)</f>
        <v>110.3938</v>
      </c>
      <c r="J667" s="14">
        <f>110.3917 * CHOOSE(CONTROL!$C$9, $D$9, 100%, $F$9) + CHOOSE(CONTROL!$C$27, 0.0021, 0)</f>
        <v>110.3938</v>
      </c>
      <c r="K667" s="14">
        <f>110.3917 * CHOOSE(CONTROL!$C$9, $D$9, 100%, $F$9) + CHOOSE(CONTROL!$C$27, 0.0021, 0)</f>
        <v>110.3938</v>
      </c>
      <c r="L667" s="14"/>
    </row>
    <row r="668" spans="1:12" ht="15.75" x14ac:dyDescent="0.25">
      <c r="A668" s="32">
        <v>61270</v>
      </c>
      <c r="B668" s="14">
        <f>107.2165 * CHOOSE(CONTROL!$C$9, $D$9, 100%, $F$9) + CHOOSE(CONTROL!$C$27, 0.0021, 0)</f>
        <v>107.2186</v>
      </c>
      <c r="C668" s="14">
        <f>106.7843 * CHOOSE(CONTROL!$C$9, $D$9, 100%, $F$9) + CHOOSE(CONTROL!$C$27, 0.0021, 0)</f>
        <v>106.7864</v>
      </c>
      <c r="D668" s="14">
        <f>106.7843 * CHOOSE(CONTROL!$C$9, $D$9, 100%, $F$9) + CHOOSE(CONTROL!$C$27, 0.0021, 0)</f>
        <v>106.7864</v>
      </c>
      <c r="E668" s="14">
        <f>106.6476 * CHOOSE(CONTROL!$C$9, $D$9, 100%, $F$9) + CHOOSE(CONTROL!$C$27, 0.0021, 0)</f>
        <v>106.6497</v>
      </c>
      <c r="F668" s="14">
        <f>106.6476 * CHOOSE(CONTROL!$C$9, $D$9, 100%, $F$9) + CHOOSE(CONTROL!$C$27, 0.0021, 0)</f>
        <v>106.6497</v>
      </c>
      <c r="G668" s="14">
        <f>106.919 * CHOOSE(CONTROL!$C$9, $D$9, 100%, $F$9) + CHOOSE(CONTROL!$C$27, 0.0021, 0)</f>
        <v>106.9211</v>
      </c>
      <c r="H668" s="14">
        <f>106.7843 * CHOOSE(CONTROL!$C$9, $D$9, 100%, $F$9) + CHOOSE(CONTROL!$C$27, 0.0021, 0)</f>
        <v>106.7864</v>
      </c>
      <c r="I668" s="14">
        <f>106.7843 * CHOOSE(CONTROL!$C$9, $D$9, 100%, $F$9) + CHOOSE(CONTROL!$C$27, 0.0021, 0)</f>
        <v>106.7864</v>
      </c>
      <c r="J668" s="14">
        <f>106.7843 * CHOOSE(CONTROL!$C$9, $D$9, 100%, $F$9) + CHOOSE(CONTROL!$C$27, 0.0021, 0)</f>
        <v>106.7864</v>
      </c>
      <c r="K668" s="14">
        <f>106.7843 * CHOOSE(CONTROL!$C$9, $D$9, 100%, $F$9) + CHOOSE(CONTROL!$C$27, 0.0021, 0)</f>
        <v>106.7864</v>
      </c>
      <c r="L668" s="14"/>
    </row>
    <row r="669" spans="1:12" ht="15.75" x14ac:dyDescent="0.25">
      <c r="A669" s="32">
        <v>61301</v>
      </c>
      <c r="B669" s="14">
        <f>103.5881 * CHOOSE(CONTROL!$C$9, $D$9, 100%, $F$9) + CHOOSE(CONTROL!$C$27, 0.0021, 0)</f>
        <v>103.5902</v>
      </c>
      <c r="C669" s="14">
        <f>103.1559 * CHOOSE(CONTROL!$C$9, $D$9, 100%, $F$9) + CHOOSE(CONTROL!$C$27, 0.0021, 0)</f>
        <v>103.158</v>
      </c>
      <c r="D669" s="14">
        <f>103.1559 * CHOOSE(CONTROL!$C$9, $D$9, 100%, $F$9) + CHOOSE(CONTROL!$C$27, 0.0021, 0)</f>
        <v>103.158</v>
      </c>
      <c r="E669" s="14">
        <f>103.0192 * CHOOSE(CONTROL!$C$9, $D$9, 100%, $F$9) + CHOOSE(CONTROL!$C$27, 0.0021, 0)</f>
        <v>103.0213</v>
      </c>
      <c r="F669" s="14">
        <f>103.0192 * CHOOSE(CONTROL!$C$9, $D$9, 100%, $F$9) + CHOOSE(CONTROL!$C$27, 0.0021, 0)</f>
        <v>103.0213</v>
      </c>
      <c r="G669" s="14">
        <f>103.2906 * CHOOSE(CONTROL!$C$9, $D$9, 100%, $F$9) + CHOOSE(CONTROL!$C$27, 0.0021, 0)</f>
        <v>103.2927</v>
      </c>
      <c r="H669" s="14">
        <f>103.1559 * CHOOSE(CONTROL!$C$9, $D$9, 100%, $F$9) + CHOOSE(CONTROL!$C$27, 0.0021, 0)</f>
        <v>103.158</v>
      </c>
      <c r="I669" s="14">
        <f>103.1559 * CHOOSE(CONTROL!$C$9, $D$9, 100%, $F$9) + CHOOSE(CONTROL!$C$27, 0.0021, 0)</f>
        <v>103.158</v>
      </c>
      <c r="J669" s="14">
        <f>103.1559 * CHOOSE(CONTROL!$C$9, $D$9, 100%, $F$9) + CHOOSE(CONTROL!$C$27, 0.0021, 0)</f>
        <v>103.158</v>
      </c>
      <c r="K669" s="14">
        <f>103.1559 * CHOOSE(CONTROL!$C$9, $D$9, 100%, $F$9) + CHOOSE(CONTROL!$C$27, 0.0021, 0)</f>
        <v>103.158</v>
      </c>
      <c r="L669" s="14"/>
    </row>
    <row r="670" spans="1:12" ht="15.75" x14ac:dyDescent="0.25">
      <c r="A670" s="32">
        <v>61331</v>
      </c>
      <c r="B670" s="14">
        <f>102.8664 * CHOOSE(CONTROL!$C$9, $D$9, 100%, $F$9) + CHOOSE(CONTROL!$C$27, 0.0021, 0)</f>
        <v>102.8685</v>
      </c>
      <c r="C670" s="14">
        <f>102.4341 * CHOOSE(CONTROL!$C$9, $D$9, 100%, $F$9) + CHOOSE(CONTROL!$C$27, 0.0021, 0)</f>
        <v>102.4362</v>
      </c>
      <c r="D670" s="14">
        <f>102.4341 * CHOOSE(CONTROL!$C$9, $D$9, 100%, $F$9) + CHOOSE(CONTROL!$C$27, 0.0021, 0)</f>
        <v>102.4362</v>
      </c>
      <c r="E670" s="14">
        <f>102.2975 * CHOOSE(CONTROL!$C$9, $D$9, 100%, $F$9) + CHOOSE(CONTROL!$C$27, 0.0021, 0)</f>
        <v>102.2996</v>
      </c>
      <c r="F670" s="14">
        <f>102.2975 * CHOOSE(CONTROL!$C$9, $D$9, 100%, $F$9) + CHOOSE(CONTROL!$C$27, 0.0021, 0)</f>
        <v>102.2996</v>
      </c>
      <c r="G670" s="14">
        <f>102.5689 * CHOOSE(CONTROL!$C$9, $D$9, 100%, $F$9) + CHOOSE(CONTROL!$C$27, 0.0021, 0)</f>
        <v>102.571</v>
      </c>
      <c r="H670" s="14">
        <f>102.4341 * CHOOSE(CONTROL!$C$9, $D$9, 100%, $F$9) + CHOOSE(CONTROL!$C$27, 0.0021, 0)</f>
        <v>102.4362</v>
      </c>
      <c r="I670" s="14">
        <f>102.4341 * CHOOSE(CONTROL!$C$9, $D$9, 100%, $F$9) + CHOOSE(CONTROL!$C$27, 0.0021, 0)</f>
        <v>102.4362</v>
      </c>
      <c r="J670" s="14">
        <f>102.4341 * CHOOSE(CONTROL!$C$9, $D$9, 100%, $F$9) + CHOOSE(CONTROL!$C$27, 0.0021, 0)</f>
        <v>102.4362</v>
      </c>
      <c r="K670" s="14">
        <f>102.4341 * CHOOSE(CONTROL!$C$9, $D$9, 100%, $F$9) + CHOOSE(CONTROL!$C$27, 0.0021, 0)</f>
        <v>102.4362</v>
      </c>
      <c r="L670" s="14"/>
    </row>
    <row r="671" spans="1:12" ht="15.75" x14ac:dyDescent="0.25">
      <c r="A671" s="32">
        <v>61362</v>
      </c>
      <c r="B671" s="14">
        <f>99.8818 * CHOOSE(CONTROL!$C$9, $D$9, 100%, $F$9) + CHOOSE(CONTROL!$C$27, 0.0021, 0)</f>
        <v>99.883899999999997</v>
      </c>
      <c r="C671" s="14">
        <f>99.4496 * CHOOSE(CONTROL!$C$9, $D$9, 100%, $F$9) + CHOOSE(CONTROL!$C$27, 0.0021, 0)</f>
        <v>99.451700000000002</v>
      </c>
      <c r="D671" s="14">
        <f>99.4496 * CHOOSE(CONTROL!$C$9, $D$9, 100%, $F$9) + CHOOSE(CONTROL!$C$27, 0.0021, 0)</f>
        <v>99.451700000000002</v>
      </c>
      <c r="E671" s="14">
        <f>99.3129 * CHOOSE(CONTROL!$C$9, $D$9, 100%, $F$9) + CHOOSE(CONTROL!$C$27, 0.0021, 0)</f>
        <v>99.314999999999998</v>
      </c>
      <c r="F671" s="14">
        <f>99.3129 * CHOOSE(CONTROL!$C$9, $D$9, 100%, $F$9) + CHOOSE(CONTROL!$C$27, 0.0021, 0)</f>
        <v>99.314999999999998</v>
      </c>
      <c r="G671" s="14">
        <f>99.5843 * CHOOSE(CONTROL!$C$9, $D$9, 100%, $F$9) + CHOOSE(CONTROL!$C$27, 0.0021, 0)</f>
        <v>99.586399999999998</v>
      </c>
      <c r="H671" s="14">
        <f>99.4496 * CHOOSE(CONTROL!$C$9, $D$9, 100%, $F$9) + CHOOSE(CONTROL!$C$27, 0.0021, 0)</f>
        <v>99.451700000000002</v>
      </c>
      <c r="I671" s="14">
        <f>99.4496 * CHOOSE(CONTROL!$C$9, $D$9, 100%, $F$9) + CHOOSE(CONTROL!$C$27, 0.0021, 0)</f>
        <v>99.451700000000002</v>
      </c>
      <c r="J671" s="14">
        <f>99.4496 * CHOOSE(CONTROL!$C$9, $D$9, 100%, $F$9) + CHOOSE(CONTROL!$C$27, 0.0021, 0)</f>
        <v>99.451700000000002</v>
      </c>
      <c r="K671" s="14">
        <f>99.4496 * CHOOSE(CONTROL!$C$9, $D$9, 100%, $F$9) + CHOOSE(CONTROL!$C$27, 0.0021, 0)</f>
        <v>99.451700000000002</v>
      </c>
      <c r="L671" s="14"/>
    </row>
    <row r="672" spans="1:12" ht="15.75" x14ac:dyDescent="0.25">
      <c r="A672" s="32">
        <v>61393</v>
      </c>
      <c r="B672" s="14">
        <f>99.3008 * CHOOSE(CONTROL!$C$9, $D$9, 100%, $F$9) + CHOOSE(CONTROL!$C$27, 0.0021, 0)</f>
        <v>99.302899999999994</v>
      </c>
      <c r="C672" s="14">
        <f>98.8685 * CHOOSE(CONTROL!$C$9, $D$9, 100%, $F$9) + CHOOSE(CONTROL!$C$27, 0.0021, 0)</f>
        <v>98.870599999999996</v>
      </c>
      <c r="D672" s="14">
        <f>98.8685 * CHOOSE(CONTROL!$C$9, $D$9, 100%, $F$9) + CHOOSE(CONTROL!$C$27, 0.0021, 0)</f>
        <v>98.870599999999996</v>
      </c>
      <c r="E672" s="14">
        <f>98.7319 * CHOOSE(CONTROL!$C$9, $D$9, 100%, $F$9) + CHOOSE(CONTROL!$C$27, 0.0021, 0)</f>
        <v>98.733999999999995</v>
      </c>
      <c r="F672" s="14">
        <f>98.7319 * CHOOSE(CONTROL!$C$9, $D$9, 100%, $F$9) + CHOOSE(CONTROL!$C$27, 0.0021, 0)</f>
        <v>98.733999999999995</v>
      </c>
      <c r="G672" s="14">
        <f>99.0033 * CHOOSE(CONTROL!$C$9, $D$9, 100%, $F$9) + CHOOSE(CONTROL!$C$27, 0.0021, 0)</f>
        <v>99.005399999999995</v>
      </c>
      <c r="H672" s="14">
        <f>98.8685 * CHOOSE(CONTROL!$C$9, $D$9, 100%, $F$9) + CHOOSE(CONTROL!$C$27, 0.0021, 0)</f>
        <v>98.870599999999996</v>
      </c>
      <c r="I672" s="14">
        <f>98.8685 * CHOOSE(CONTROL!$C$9, $D$9, 100%, $F$9) + CHOOSE(CONTROL!$C$27, 0.0021, 0)</f>
        <v>98.870599999999996</v>
      </c>
      <c r="J672" s="14">
        <f>98.8685 * CHOOSE(CONTROL!$C$9, $D$9, 100%, $F$9) + CHOOSE(CONTROL!$C$27, 0.0021, 0)</f>
        <v>98.870599999999996</v>
      </c>
      <c r="K672" s="14">
        <f>98.8685 * CHOOSE(CONTROL!$C$9, $D$9, 100%, $F$9) + CHOOSE(CONTROL!$C$27, 0.0021, 0)</f>
        <v>98.870599999999996</v>
      </c>
      <c r="L672" s="14"/>
    </row>
    <row r="673" spans="1:12" ht="15.75" x14ac:dyDescent="0.25">
      <c r="A673" s="32">
        <v>61422</v>
      </c>
      <c r="B673" s="14">
        <f>99.0311 * CHOOSE(CONTROL!$C$9, $D$9, 100%, $F$9) + CHOOSE(CONTROL!$C$27, 0.0021, 0)</f>
        <v>99.033199999999994</v>
      </c>
      <c r="C673" s="14">
        <f>98.5989 * CHOOSE(CONTROL!$C$9, $D$9, 100%, $F$9) + CHOOSE(CONTROL!$C$27, 0.0021, 0)</f>
        <v>98.600999999999999</v>
      </c>
      <c r="D673" s="14">
        <f>98.5989 * CHOOSE(CONTROL!$C$9, $D$9, 100%, $F$9) + CHOOSE(CONTROL!$C$27, 0.0021, 0)</f>
        <v>98.600999999999999</v>
      </c>
      <c r="E673" s="14">
        <f>98.4622 * CHOOSE(CONTROL!$C$9, $D$9, 100%, $F$9) + CHOOSE(CONTROL!$C$27, 0.0021, 0)</f>
        <v>98.464299999999994</v>
      </c>
      <c r="F673" s="14">
        <f>98.4622 * CHOOSE(CONTROL!$C$9, $D$9, 100%, $F$9) + CHOOSE(CONTROL!$C$27, 0.0021, 0)</f>
        <v>98.464299999999994</v>
      </c>
      <c r="G673" s="14">
        <f>98.7336 * CHOOSE(CONTROL!$C$9, $D$9, 100%, $F$9) + CHOOSE(CONTROL!$C$27, 0.0021, 0)</f>
        <v>98.735699999999994</v>
      </c>
      <c r="H673" s="14">
        <f>98.5989 * CHOOSE(CONTROL!$C$9, $D$9, 100%, $F$9) + CHOOSE(CONTROL!$C$27, 0.0021, 0)</f>
        <v>98.600999999999999</v>
      </c>
      <c r="I673" s="14">
        <f>98.5989 * CHOOSE(CONTROL!$C$9, $D$9, 100%, $F$9) + CHOOSE(CONTROL!$C$27, 0.0021, 0)</f>
        <v>98.600999999999999</v>
      </c>
      <c r="J673" s="14">
        <f>98.5989 * CHOOSE(CONTROL!$C$9, $D$9, 100%, $F$9) + CHOOSE(CONTROL!$C$27, 0.0021, 0)</f>
        <v>98.600999999999999</v>
      </c>
      <c r="K673" s="14">
        <f>98.5989 * CHOOSE(CONTROL!$C$9, $D$9, 100%, $F$9) + CHOOSE(CONTROL!$C$27, 0.0021, 0)</f>
        <v>98.600999999999999</v>
      </c>
      <c r="L673" s="14"/>
    </row>
    <row r="674" spans="1:12" ht="15.75" x14ac:dyDescent="0.25">
      <c r="A674" s="32">
        <v>61453</v>
      </c>
      <c r="B674" s="14">
        <f>104.1298 * CHOOSE(CONTROL!$C$9, $D$9, 100%, $F$9) + CHOOSE(CONTROL!$C$27, 0.0021, 0)</f>
        <v>104.1319</v>
      </c>
      <c r="C674" s="14">
        <f>103.6976 * CHOOSE(CONTROL!$C$9, $D$9, 100%, $F$9) + CHOOSE(CONTROL!$C$27, 0.0021, 0)</f>
        <v>103.69969999999999</v>
      </c>
      <c r="D674" s="14">
        <f>103.6976 * CHOOSE(CONTROL!$C$9, $D$9, 100%, $F$9) + CHOOSE(CONTROL!$C$27, 0.0021, 0)</f>
        <v>103.69969999999999</v>
      </c>
      <c r="E674" s="14">
        <f>103.5609 * CHOOSE(CONTROL!$C$9, $D$9, 100%, $F$9) + CHOOSE(CONTROL!$C$27, 0.0021, 0)</f>
        <v>103.563</v>
      </c>
      <c r="F674" s="14">
        <f>103.5609 * CHOOSE(CONTROL!$C$9, $D$9, 100%, $F$9) + CHOOSE(CONTROL!$C$27, 0.0021, 0)</f>
        <v>103.563</v>
      </c>
      <c r="G674" s="14">
        <f>103.8323 * CHOOSE(CONTROL!$C$9, $D$9, 100%, $F$9) + CHOOSE(CONTROL!$C$27, 0.0021, 0)</f>
        <v>103.8344</v>
      </c>
      <c r="H674" s="14">
        <f>103.6976 * CHOOSE(CONTROL!$C$9, $D$9, 100%, $F$9) + CHOOSE(CONTROL!$C$27, 0.0021, 0)</f>
        <v>103.69969999999999</v>
      </c>
      <c r="I674" s="14">
        <f>103.6976 * CHOOSE(CONTROL!$C$9, $D$9, 100%, $F$9) + CHOOSE(CONTROL!$C$27, 0.0021, 0)</f>
        <v>103.69969999999999</v>
      </c>
      <c r="J674" s="14">
        <f>103.6976 * CHOOSE(CONTROL!$C$9, $D$9, 100%, $F$9) + CHOOSE(CONTROL!$C$27, 0.0021, 0)</f>
        <v>103.69969999999999</v>
      </c>
      <c r="K674" s="14">
        <f>103.6976 * CHOOSE(CONTROL!$C$9, $D$9, 100%, $F$9) + CHOOSE(CONTROL!$C$27, 0.0021, 0)</f>
        <v>103.69969999999999</v>
      </c>
      <c r="L674" s="14"/>
    </row>
    <row r="675" spans="1:12" ht="15.75" x14ac:dyDescent="0.25">
      <c r="A675" s="32">
        <v>61483</v>
      </c>
      <c r="B675" s="14">
        <f>110.7416 * CHOOSE(CONTROL!$C$9, $D$9, 100%, $F$9) + CHOOSE(CONTROL!$C$27, 0.0021, 0)</f>
        <v>110.7437</v>
      </c>
      <c r="C675" s="14">
        <f>110.3094 * CHOOSE(CONTROL!$C$9, $D$9, 100%, $F$9) + CHOOSE(CONTROL!$C$27, 0.0021, 0)</f>
        <v>110.3115</v>
      </c>
      <c r="D675" s="14">
        <f>110.3094 * CHOOSE(CONTROL!$C$9, $D$9, 100%, $F$9) + CHOOSE(CONTROL!$C$27, 0.0021, 0)</f>
        <v>110.3115</v>
      </c>
      <c r="E675" s="14">
        <f>110.1727 * CHOOSE(CONTROL!$C$9, $D$9, 100%, $F$9) + CHOOSE(CONTROL!$C$27, 0.0021, 0)</f>
        <v>110.1748</v>
      </c>
      <c r="F675" s="14">
        <f>110.1727 * CHOOSE(CONTROL!$C$9, $D$9, 100%, $F$9) + CHOOSE(CONTROL!$C$27, 0.0021, 0)</f>
        <v>110.1748</v>
      </c>
      <c r="G675" s="14">
        <f>110.4441 * CHOOSE(CONTROL!$C$9, $D$9, 100%, $F$9) + CHOOSE(CONTROL!$C$27, 0.0021, 0)</f>
        <v>110.4462</v>
      </c>
      <c r="H675" s="14">
        <f>110.3094 * CHOOSE(CONTROL!$C$9, $D$9, 100%, $F$9) + CHOOSE(CONTROL!$C$27, 0.0021, 0)</f>
        <v>110.3115</v>
      </c>
      <c r="I675" s="14">
        <f>110.3094 * CHOOSE(CONTROL!$C$9, $D$9, 100%, $F$9) + CHOOSE(CONTROL!$C$27, 0.0021, 0)</f>
        <v>110.3115</v>
      </c>
      <c r="J675" s="14">
        <f>110.3094 * CHOOSE(CONTROL!$C$9, $D$9, 100%, $F$9) + CHOOSE(CONTROL!$C$27, 0.0021, 0)</f>
        <v>110.3115</v>
      </c>
      <c r="K675" s="14">
        <f>110.3094 * CHOOSE(CONTROL!$C$9, $D$9, 100%, $F$9) + CHOOSE(CONTROL!$C$27, 0.0021, 0)</f>
        <v>110.3115</v>
      </c>
      <c r="L675" s="14"/>
    </row>
    <row r="676" spans="1:12" ht="15.75" x14ac:dyDescent="0.25">
      <c r="A676" s="32">
        <v>61514</v>
      </c>
      <c r="B676" s="14">
        <f>114.381 * CHOOSE(CONTROL!$C$9, $D$9, 100%, $F$9) + CHOOSE(CONTROL!$C$27, 0.0021, 0)</f>
        <v>114.3831</v>
      </c>
      <c r="C676" s="14">
        <f>113.9487 * CHOOSE(CONTROL!$C$9, $D$9, 100%, $F$9) + CHOOSE(CONTROL!$C$27, 0.0021, 0)</f>
        <v>113.9508</v>
      </c>
      <c r="D676" s="14">
        <f>113.9487 * CHOOSE(CONTROL!$C$9, $D$9, 100%, $F$9) + CHOOSE(CONTROL!$C$27, 0.0021, 0)</f>
        <v>113.9508</v>
      </c>
      <c r="E676" s="14">
        <f>113.812 * CHOOSE(CONTROL!$C$9, $D$9, 100%, $F$9) + CHOOSE(CONTROL!$C$27, 0.0021, 0)</f>
        <v>113.8141</v>
      </c>
      <c r="F676" s="14">
        <f>113.812 * CHOOSE(CONTROL!$C$9, $D$9, 100%, $F$9) + CHOOSE(CONTROL!$C$27, 0.0021, 0)</f>
        <v>113.8141</v>
      </c>
      <c r="G676" s="14">
        <f>114.0834 * CHOOSE(CONTROL!$C$9, $D$9, 100%, $F$9) + CHOOSE(CONTROL!$C$27, 0.0021, 0)</f>
        <v>114.0855</v>
      </c>
      <c r="H676" s="14">
        <f>113.9487 * CHOOSE(CONTROL!$C$9, $D$9, 100%, $F$9) + CHOOSE(CONTROL!$C$27, 0.0021, 0)</f>
        <v>113.9508</v>
      </c>
      <c r="I676" s="14">
        <f>113.9487 * CHOOSE(CONTROL!$C$9, $D$9, 100%, $F$9) + CHOOSE(CONTROL!$C$27, 0.0021, 0)</f>
        <v>113.9508</v>
      </c>
      <c r="J676" s="14">
        <f>113.9487 * CHOOSE(CONTROL!$C$9, $D$9, 100%, $F$9) + CHOOSE(CONTROL!$C$27, 0.0021, 0)</f>
        <v>113.9508</v>
      </c>
      <c r="K676" s="14">
        <f>113.9487 * CHOOSE(CONTROL!$C$9, $D$9, 100%, $F$9) + CHOOSE(CONTROL!$C$27, 0.0021, 0)</f>
        <v>113.9508</v>
      </c>
      <c r="L676" s="14"/>
    </row>
    <row r="677" spans="1:12" ht="15.75" x14ac:dyDescent="0.25">
      <c r="A677" s="32">
        <v>61544</v>
      </c>
      <c r="B677" s="14">
        <f>115.996 * CHOOSE(CONTROL!$C$9, $D$9, 100%, $F$9) + CHOOSE(CONTROL!$C$27, 0.0021, 0)</f>
        <v>115.99809999999999</v>
      </c>
      <c r="C677" s="14">
        <f>115.5638 * CHOOSE(CONTROL!$C$9, $D$9, 100%, $F$9) + CHOOSE(CONTROL!$C$27, 0.0021, 0)</f>
        <v>115.5659</v>
      </c>
      <c r="D677" s="14">
        <f>115.5638 * CHOOSE(CONTROL!$C$9, $D$9, 100%, $F$9) + CHOOSE(CONTROL!$C$27, 0.0021, 0)</f>
        <v>115.5659</v>
      </c>
      <c r="E677" s="14">
        <f>115.4271 * CHOOSE(CONTROL!$C$9, $D$9, 100%, $F$9) + CHOOSE(CONTROL!$C$27, 0.0021, 0)</f>
        <v>115.42919999999999</v>
      </c>
      <c r="F677" s="14">
        <f>115.4271 * CHOOSE(CONTROL!$C$9, $D$9, 100%, $F$9) + CHOOSE(CONTROL!$C$27, 0.0021, 0)</f>
        <v>115.42919999999999</v>
      </c>
      <c r="G677" s="14">
        <f>115.6985 * CHOOSE(CONTROL!$C$9, $D$9, 100%, $F$9) + CHOOSE(CONTROL!$C$27, 0.0021, 0)</f>
        <v>115.70059999999999</v>
      </c>
      <c r="H677" s="14">
        <f>115.5638 * CHOOSE(CONTROL!$C$9, $D$9, 100%, $F$9) + CHOOSE(CONTROL!$C$27, 0.0021, 0)</f>
        <v>115.5659</v>
      </c>
      <c r="I677" s="14">
        <f>115.5638 * CHOOSE(CONTROL!$C$9, $D$9, 100%, $F$9) + CHOOSE(CONTROL!$C$27, 0.0021, 0)</f>
        <v>115.5659</v>
      </c>
      <c r="J677" s="14">
        <f>115.5638 * CHOOSE(CONTROL!$C$9, $D$9, 100%, $F$9) + CHOOSE(CONTROL!$C$27, 0.0021, 0)</f>
        <v>115.5659</v>
      </c>
      <c r="K677" s="14">
        <f>115.5638 * CHOOSE(CONTROL!$C$9, $D$9, 100%, $F$9) + CHOOSE(CONTROL!$C$27, 0.0021, 0)</f>
        <v>115.5659</v>
      </c>
      <c r="L677" s="14"/>
    </row>
    <row r="678" spans="1:12" ht="15.75" x14ac:dyDescent="0.25">
      <c r="A678" s="32">
        <v>61575</v>
      </c>
      <c r="B678" s="14">
        <f>115.4643 * CHOOSE(CONTROL!$C$9, $D$9, 100%, $F$9) + CHOOSE(CONTROL!$C$27, 0.0021, 0)</f>
        <v>115.46639999999999</v>
      </c>
      <c r="C678" s="14">
        <f>115.032 * CHOOSE(CONTROL!$C$9, $D$9, 100%, $F$9) + CHOOSE(CONTROL!$C$27, 0.0021, 0)</f>
        <v>115.0341</v>
      </c>
      <c r="D678" s="14">
        <f>115.032 * CHOOSE(CONTROL!$C$9, $D$9, 100%, $F$9) + CHOOSE(CONTROL!$C$27, 0.0021, 0)</f>
        <v>115.0341</v>
      </c>
      <c r="E678" s="14">
        <f>114.8954 * CHOOSE(CONTROL!$C$9, $D$9, 100%, $F$9) + CHOOSE(CONTROL!$C$27, 0.0021, 0)</f>
        <v>114.89749999999999</v>
      </c>
      <c r="F678" s="14">
        <f>114.8954 * CHOOSE(CONTROL!$C$9, $D$9, 100%, $F$9) + CHOOSE(CONTROL!$C$27, 0.0021, 0)</f>
        <v>114.89749999999999</v>
      </c>
      <c r="G678" s="14">
        <f>115.1667 * CHOOSE(CONTROL!$C$9, $D$9, 100%, $F$9) + CHOOSE(CONTROL!$C$27, 0.0021, 0)</f>
        <v>115.1688</v>
      </c>
      <c r="H678" s="14">
        <f>115.032 * CHOOSE(CONTROL!$C$9, $D$9, 100%, $F$9) + CHOOSE(CONTROL!$C$27, 0.0021, 0)</f>
        <v>115.0341</v>
      </c>
      <c r="I678" s="14">
        <f>115.032 * CHOOSE(CONTROL!$C$9, $D$9, 100%, $F$9) + CHOOSE(CONTROL!$C$27, 0.0021, 0)</f>
        <v>115.0341</v>
      </c>
      <c r="J678" s="14">
        <f>115.032 * CHOOSE(CONTROL!$C$9, $D$9, 100%, $F$9) + CHOOSE(CONTROL!$C$27, 0.0021, 0)</f>
        <v>115.0341</v>
      </c>
      <c r="K678" s="14">
        <f>115.032 * CHOOSE(CONTROL!$C$9, $D$9, 100%, $F$9) + CHOOSE(CONTROL!$C$27, 0.0021, 0)</f>
        <v>115.0341</v>
      </c>
      <c r="L678" s="14"/>
    </row>
    <row r="679" spans="1:12" ht="15.75" x14ac:dyDescent="0.25">
      <c r="A679" s="32">
        <v>61606</v>
      </c>
      <c r="B679" s="14">
        <f>112.8297 * CHOOSE(CONTROL!$C$9, $D$9, 100%, $F$9) + CHOOSE(CONTROL!$C$27, 0.0021, 0)</f>
        <v>112.8318</v>
      </c>
      <c r="C679" s="14">
        <f>112.3974 * CHOOSE(CONTROL!$C$9, $D$9, 100%, $F$9) + CHOOSE(CONTROL!$C$27, 0.0021, 0)</f>
        <v>112.3995</v>
      </c>
      <c r="D679" s="14">
        <f>112.3974 * CHOOSE(CONTROL!$C$9, $D$9, 100%, $F$9) + CHOOSE(CONTROL!$C$27, 0.0021, 0)</f>
        <v>112.3995</v>
      </c>
      <c r="E679" s="14">
        <f>112.2608 * CHOOSE(CONTROL!$C$9, $D$9, 100%, $F$9) + CHOOSE(CONTROL!$C$27, 0.0021, 0)</f>
        <v>112.2629</v>
      </c>
      <c r="F679" s="14">
        <f>112.2608 * CHOOSE(CONTROL!$C$9, $D$9, 100%, $F$9) + CHOOSE(CONTROL!$C$27, 0.0021, 0)</f>
        <v>112.2629</v>
      </c>
      <c r="G679" s="14">
        <f>112.5321 * CHOOSE(CONTROL!$C$9, $D$9, 100%, $F$9) + CHOOSE(CONTROL!$C$27, 0.0021, 0)</f>
        <v>112.5342</v>
      </c>
      <c r="H679" s="14">
        <f>112.3974 * CHOOSE(CONTROL!$C$9, $D$9, 100%, $F$9) + CHOOSE(CONTROL!$C$27, 0.0021, 0)</f>
        <v>112.3995</v>
      </c>
      <c r="I679" s="14">
        <f>112.3974 * CHOOSE(CONTROL!$C$9, $D$9, 100%, $F$9) + CHOOSE(CONTROL!$C$27, 0.0021, 0)</f>
        <v>112.3995</v>
      </c>
      <c r="J679" s="14">
        <f>112.3974 * CHOOSE(CONTROL!$C$9, $D$9, 100%, $F$9) + CHOOSE(CONTROL!$C$27, 0.0021, 0)</f>
        <v>112.3995</v>
      </c>
      <c r="K679" s="14">
        <f>112.3974 * CHOOSE(CONTROL!$C$9, $D$9, 100%, $F$9) + CHOOSE(CONTROL!$C$27, 0.0021, 0)</f>
        <v>112.3995</v>
      </c>
      <c r="L679" s="14"/>
    </row>
    <row r="680" spans="1:12" ht="15.75" x14ac:dyDescent="0.25">
      <c r="A680" s="32">
        <v>61636</v>
      </c>
      <c r="B680" s="14">
        <f>109.1556 * CHOOSE(CONTROL!$C$9, $D$9, 100%, $F$9) + CHOOSE(CONTROL!$C$27, 0.0021, 0)</f>
        <v>109.15770000000001</v>
      </c>
      <c r="C680" s="14">
        <f>108.7234 * CHOOSE(CONTROL!$C$9, $D$9, 100%, $F$9) + CHOOSE(CONTROL!$C$27, 0.0021, 0)</f>
        <v>108.7255</v>
      </c>
      <c r="D680" s="14">
        <f>108.7234 * CHOOSE(CONTROL!$C$9, $D$9, 100%, $F$9) + CHOOSE(CONTROL!$C$27, 0.0021, 0)</f>
        <v>108.7255</v>
      </c>
      <c r="E680" s="14">
        <f>108.5867 * CHOOSE(CONTROL!$C$9, $D$9, 100%, $F$9) + CHOOSE(CONTROL!$C$27, 0.0021, 0)</f>
        <v>108.58879999999999</v>
      </c>
      <c r="F680" s="14">
        <f>108.5867 * CHOOSE(CONTROL!$C$9, $D$9, 100%, $F$9) + CHOOSE(CONTROL!$C$27, 0.0021, 0)</f>
        <v>108.58879999999999</v>
      </c>
      <c r="G680" s="14">
        <f>108.8581 * CHOOSE(CONTROL!$C$9, $D$9, 100%, $F$9) + CHOOSE(CONTROL!$C$27, 0.0021, 0)</f>
        <v>108.86019999999999</v>
      </c>
      <c r="H680" s="14">
        <f>108.7234 * CHOOSE(CONTROL!$C$9, $D$9, 100%, $F$9) + CHOOSE(CONTROL!$C$27, 0.0021, 0)</f>
        <v>108.7255</v>
      </c>
      <c r="I680" s="14">
        <f>108.7234 * CHOOSE(CONTROL!$C$9, $D$9, 100%, $F$9) + CHOOSE(CONTROL!$C$27, 0.0021, 0)</f>
        <v>108.7255</v>
      </c>
      <c r="J680" s="14">
        <f>108.7234 * CHOOSE(CONTROL!$C$9, $D$9, 100%, $F$9) + CHOOSE(CONTROL!$C$27, 0.0021, 0)</f>
        <v>108.7255</v>
      </c>
      <c r="K680" s="14">
        <f>108.7234 * CHOOSE(CONTROL!$C$9, $D$9, 100%, $F$9) + CHOOSE(CONTROL!$C$27, 0.0021, 0)</f>
        <v>108.7255</v>
      </c>
      <c r="L680" s="14"/>
    </row>
    <row r="681" spans="1:12" ht="15.75" x14ac:dyDescent="0.25">
      <c r="A681" s="32">
        <v>61667</v>
      </c>
      <c r="B681" s="14">
        <f>105.4602 * CHOOSE(CONTROL!$C$9, $D$9, 100%, $F$9) + CHOOSE(CONTROL!$C$27, 0.0021, 0)</f>
        <v>105.4623</v>
      </c>
      <c r="C681" s="14">
        <f>105.0279 * CHOOSE(CONTROL!$C$9, $D$9, 100%, $F$9) + CHOOSE(CONTROL!$C$27, 0.0021, 0)</f>
        <v>105.03</v>
      </c>
      <c r="D681" s="14">
        <f>105.0279 * CHOOSE(CONTROL!$C$9, $D$9, 100%, $F$9) + CHOOSE(CONTROL!$C$27, 0.0021, 0)</f>
        <v>105.03</v>
      </c>
      <c r="E681" s="14">
        <f>104.8913 * CHOOSE(CONTROL!$C$9, $D$9, 100%, $F$9) + CHOOSE(CONTROL!$C$27, 0.0021, 0)</f>
        <v>104.8934</v>
      </c>
      <c r="F681" s="14">
        <f>104.8913 * CHOOSE(CONTROL!$C$9, $D$9, 100%, $F$9) + CHOOSE(CONTROL!$C$27, 0.0021, 0)</f>
        <v>104.8934</v>
      </c>
      <c r="G681" s="14">
        <f>105.1626 * CHOOSE(CONTROL!$C$9, $D$9, 100%, $F$9) + CHOOSE(CONTROL!$C$27, 0.0021, 0)</f>
        <v>105.1647</v>
      </c>
      <c r="H681" s="14">
        <f>105.0279 * CHOOSE(CONTROL!$C$9, $D$9, 100%, $F$9) + CHOOSE(CONTROL!$C$27, 0.0021, 0)</f>
        <v>105.03</v>
      </c>
      <c r="I681" s="14">
        <f>105.0279 * CHOOSE(CONTROL!$C$9, $D$9, 100%, $F$9) + CHOOSE(CONTROL!$C$27, 0.0021, 0)</f>
        <v>105.03</v>
      </c>
      <c r="J681" s="14">
        <f>105.0279 * CHOOSE(CONTROL!$C$9, $D$9, 100%, $F$9) + CHOOSE(CONTROL!$C$27, 0.0021, 0)</f>
        <v>105.03</v>
      </c>
      <c r="K681" s="14">
        <f>105.0279 * CHOOSE(CONTROL!$C$9, $D$9, 100%, $F$9) + CHOOSE(CONTROL!$C$27, 0.0021, 0)</f>
        <v>105.03</v>
      </c>
      <c r="L681" s="14"/>
    </row>
    <row r="682" spans="1:12" ht="15.75" x14ac:dyDescent="0.25">
      <c r="A682" s="32">
        <v>61697</v>
      </c>
      <c r="B682" s="14">
        <f>104.7251 * CHOOSE(CONTROL!$C$9, $D$9, 100%, $F$9) + CHOOSE(CONTROL!$C$27, 0.0021, 0)</f>
        <v>104.7272</v>
      </c>
      <c r="C682" s="14">
        <f>104.2928 * CHOOSE(CONTROL!$C$9, $D$9, 100%, $F$9) + CHOOSE(CONTROL!$C$27, 0.0021, 0)</f>
        <v>104.2949</v>
      </c>
      <c r="D682" s="14">
        <f>104.2928 * CHOOSE(CONTROL!$C$9, $D$9, 100%, $F$9) + CHOOSE(CONTROL!$C$27, 0.0021, 0)</f>
        <v>104.2949</v>
      </c>
      <c r="E682" s="14">
        <f>104.1562 * CHOOSE(CONTROL!$C$9, $D$9, 100%, $F$9) + CHOOSE(CONTROL!$C$27, 0.0021, 0)</f>
        <v>104.1583</v>
      </c>
      <c r="F682" s="14">
        <f>104.1562 * CHOOSE(CONTROL!$C$9, $D$9, 100%, $F$9) + CHOOSE(CONTROL!$C$27, 0.0021, 0)</f>
        <v>104.1583</v>
      </c>
      <c r="G682" s="14">
        <f>104.4275 * CHOOSE(CONTROL!$C$9, $D$9, 100%, $F$9) + CHOOSE(CONTROL!$C$27, 0.0021, 0)</f>
        <v>104.42959999999999</v>
      </c>
      <c r="H682" s="14">
        <f>104.2928 * CHOOSE(CONTROL!$C$9, $D$9, 100%, $F$9) + CHOOSE(CONTROL!$C$27, 0.0021, 0)</f>
        <v>104.2949</v>
      </c>
      <c r="I682" s="14">
        <f>104.2928 * CHOOSE(CONTROL!$C$9, $D$9, 100%, $F$9) + CHOOSE(CONTROL!$C$27, 0.0021, 0)</f>
        <v>104.2949</v>
      </c>
      <c r="J682" s="14">
        <f>104.2928 * CHOOSE(CONTROL!$C$9, $D$9, 100%, $F$9) + CHOOSE(CONTROL!$C$27, 0.0021, 0)</f>
        <v>104.2949</v>
      </c>
      <c r="K682" s="14">
        <f>104.2928 * CHOOSE(CONTROL!$C$9, $D$9, 100%, $F$9) + CHOOSE(CONTROL!$C$27, 0.0021, 0)</f>
        <v>104.2949</v>
      </c>
      <c r="L682" s="14"/>
    </row>
    <row r="683" spans="1:12" ht="15.75" x14ac:dyDescent="0.25">
      <c r="A683" s="32">
        <v>61728</v>
      </c>
      <c r="B683" s="14">
        <f>101.6854 * CHOOSE(CONTROL!$C$9, $D$9, 100%, $F$9) + CHOOSE(CONTROL!$C$27, 0.0021, 0)</f>
        <v>101.6875</v>
      </c>
      <c r="C683" s="14">
        <f>101.2531 * CHOOSE(CONTROL!$C$9, $D$9, 100%, $F$9) + CHOOSE(CONTROL!$C$27, 0.0021, 0)</f>
        <v>101.2552</v>
      </c>
      <c r="D683" s="14">
        <f>101.2531 * CHOOSE(CONTROL!$C$9, $D$9, 100%, $F$9) + CHOOSE(CONTROL!$C$27, 0.0021, 0)</f>
        <v>101.2552</v>
      </c>
      <c r="E683" s="14">
        <f>101.1165 * CHOOSE(CONTROL!$C$9, $D$9, 100%, $F$9) + CHOOSE(CONTROL!$C$27, 0.0021, 0)</f>
        <v>101.1186</v>
      </c>
      <c r="F683" s="14">
        <f>101.1165 * CHOOSE(CONTROL!$C$9, $D$9, 100%, $F$9) + CHOOSE(CONTROL!$C$27, 0.0021, 0)</f>
        <v>101.1186</v>
      </c>
      <c r="G683" s="14">
        <f>101.3878 * CHOOSE(CONTROL!$C$9, $D$9, 100%, $F$9) + CHOOSE(CONTROL!$C$27, 0.0021, 0)</f>
        <v>101.3899</v>
      </c>
      <c r="H683" s="14">
        <f>101.2531 * CHOOSE(CONTROL!$C$9, $D$9, 100%, $F$9) + CHOOSE(CONTROL!$C$27, 0.0021, 0)</f>
        <v>101.2552</v>
      </c>
      <c r="I683" s="14">
        <f>101.2531 * CHOOSE(CONTROL!$C$9, $D$9, 100%, $F$9) + CHOOSE(CONTROL!$C$27, 0.0021, 0)</f>
        <v>101.2552</v>
      </c>
      <c r="J683" s="14">
        <f>101.2531 * CHOOSE(CONTROL!$C$9, $D$9, 100%, $F$9) + CHOOSE(CONTROL!$C$27, 0.0021, 0)</f>
        <v>101.2552</v>
      </c>
      <c r="K683" s="14">
        <f>101.2531 * CHOOSE(CONTROL!$C$9, $D$9, 100%, $F$9) + CHOOSE(CONTROL!$C$27, 0.0021, 0)</f>
        <v>101.2552</v>
      </c>
      <c r="L683" s="14"/>
    </row>
    <row r="684" spans="1:12" ht="15.75" x14ac:dyDescent="0.25">
      <c r="A684" s="32">
        <v>61759</v>
      </c>
      <c r="B684" s="14">
        <f>101.0936 * CHOOSE(CONTROL!$C$9, $D$9, 100%, $F$9) + CHOOSE(CONTROL!$C$27, 0.0021, 0)</f>
        <v>101.09569999999999</v>
      </c>
      <c r="C684" s="14">
        <f>100.6613 * CHOOSE(CONTROL!$C$9, $D$9, 100%, $F$9) + CHOOSE(CONTROL!$C$27, 0.0021, 0)</f>
        <v>100.6634</v>
      </c>
      <c r="D684" s="14">
        <f>100.6613 * CHOOSE(CONTROL!$C$9, $D$9, 100%, $F$9) + CHOOSE(CONTROL!$C$27, 0.0021, 0)</f>
        <v>100.6634</v>
      </c>
      <c r="E684" s="14">
        <f>100.5247 * CHOOSE(CONTROL!$C$9, $D$9, 100%, $F$9) + CHOOSE(CONTROL!$C$27, 0.0021, 0)</f>
        <v>100.52679999999999</v>
      </c>
      <c r="F684" s="14">
        <f>100.5247 * CHOOSE(CONTROL!$C$9, $D$9, 100%, $F$9) + CHOOSE(CONTROL!$C$27, 0.0021, 0)</f>
        <v>100.52679999999999</v>
      </c>
      <c r="G684" s="14">
        <f>100.796 * CHOOSE(CONTROL!$C$9, $D$9, 100%, $F$9) + CHOOSE(CONTROL!$C$27, 0.0021, 0)</f>
        <v>100.79810000000001</v>
      </c>
      <c r="H684" s="14">
        <f>100.6613 * CHOOSE(CONTROL!$C$9, $D$9, 100%, $F$9) + CHOOSE(CONTROL!$C$27, 0.0021, 0)</f>
        <v>100.6634</v>
      </c>
      <c r="I684" s="14">
        <f>100.6613 * CHOOSE(CONTROL!$C$9, $D$9, 100%, $F$9) + CHOOSE(CONTROL!$C$27, 0.0021, 0)</f>
        <v>100.6634</v>
      </c>
      <c r="J684" s="14">
        <f>100.6613 * CHOOSE(CONTROL!$C$9, $D$9, 100%, $F$9) + CHOOSE(CONTROL!$C$27, 0.0021, 0)</f>
        <v>100.6634</v>
      </c>
      <c r="K684" s="14">
        <f>100.6613 * CHOOSE(CONTROL!$C$9, $D$9, 100%, $F$9) + CHOOSE(CONTROL!$C$27, 0.0021, 0)</f>
        <v>100.6634</v>
      </c>
      <c r="L684" s="14"/>
    </row>
    <row r="685" spans="1:12" ht="15.75" x14ac:dyDescent="0.25">
      <c r="A685" s="32">
        <v>61787</v>
      </c>
      <c r="B685" s="14">
        <f>100.8189 * CHOOSE(CONTROL!$C$9, $D$9, 100%, $F$9) + CHOOSE(CONTROL!$C$27, 0.0021, 0)</f>
        <v>100.821</v>
      </c>
      <c r="C685" s="14">
        <f>100.3867 * CHOOSE(CONTROL!$C$9, $D$9, 100%, $F$9) + CHOOSE(CONTROL!$C$27, 0.0021, 0)</f>
        <v>100.3888</v>
      </c>
      <c r="D685" s="14">
        <f>100.3867 * CHOOSE(CONTROL!$C$9, $D$9, 100%, $F$9) + CHOOSE(CONTROL!$C$27, 0.0021, 0)</f>
        <v>100.3888</v>
      </c>
      <c r="E685" s="14">
        <f>100.25 * CHOOSE(CONTROL!$C$9, $D$9, 100%, $F$9) + CHOOSE(CONTROL!$C$27, 0.0021, 0)</f>
        <v>100.2521</v>
      </c>
      <c r="F685" s="14">
        <f>100.25 * CHOOSE(CONTROL!$C$9, $D$9, 100%, $F$9) + CHOOSE(CONTROL!$C$27, 0.0021, 0)</f>
        <v>100.2521</v>
      </c>
      <c r="G685" s="14">
        <f>100.5214 * CHOOSE(CONTROL!$C$9, $D$9, 100%, $F$9) + CHOOSE(CONTROL!$C$27, 0.0021, 0)</f>
        <v>100.5235</v>
      </c>
      <c r="H685" s="14">
        <f>100.3867 * CHOOSE(CONTROL!$C$9, $D$9, 100%, $F$9) + CHOOSE(CONTROL!$C$27, 0.0021, 0)</f>
        <v>100.3888</v>
      </c>
      <c r="I685" s="14">
        <f>100.3867 * CHOOSE(CONTROL!$C$9, $D$9, 100%, $F$9) + CHOOSE(CONTROL!$C$27, 0.0021, 0)</f>
        <v>100.3888</v>
      </c>
      <c r="J685" s="14">
        <f>100.3867 * CHOOSE(CONTROL!$C$9, $D$9, 100%, $F$9) + CHOOSE(CONTROL!$C$27, 0.0021, 0)</f>
        <v>100.3888</v>
      </c>
      <c r="K685" s="14">
        <f>100.3867 * CHOOSE(CONTROL!$C$9, $D$9, 100%, $F$9) + CHOOSE(CONTROL!$C$27, 0.0021, 0)</f>
        <v>100.3888</v>
      </c>
      <c r="L685" s="14"/>
    </row>
    <row r="686" spans="1:12" ht="15.75" x14ac:dyDescent="0.25">
      <c r="A686" s="32">
        <v>61818</v>
      </c>
      <c r="B686" s="14">
        <f>106.0119 * CHOOSE(CONTROL!$C$9, $D$9, 100%, $F$9) + CHOOSE(CONTROL!$C$27, 0.0021, 0)</f>
        <v>106.014</v>
      </c>
      <c r="C686" s="14">
        <f>105.5796 * CHOOSE(CONTROL!$C$9, $D$9, 100%, $F$9) + CHOOSE(CONTROL!$C$27, 0.0021, 0)</f>
        <v>105.5817</v>
      </c>
      <c r="D686" s="14">
        <f>105.5796 * CHOOSE(CONTROL!$C$9, $D$9, 100%, $F$9) + CHOOSE(CONTROL!$C$27, 0.0021, 0)</f>
        <v>105.5817</v>
      </c>
      <c r="E686" s="14">
        <f>105.443 * CHOOSE(CONTROL!$C$9, $D$9, 100%, $F$9) + CHOOSE(CONTROL!$C$27, 0.0021, 0)</f>
        <v>105.4451</v>
      </c>
      <c r="F686" s="14">
        <f>105.443 * CHOOSE(CONTROL!$C$9, $D$9, 100%, $F$9) + CHOOSE(CONTROL!$C$27, 0.0021, 0)</f>
        <v>105.4451</v>
      </c>
      <c r="G686" s="14">
        <f>105.7143 * CHOOSE(CONTROL!$C$9, $D$9, 100%, $F$9) + CHOOSE(CONTROL!$C$27, 0.0021, 0)</f>
        <v>105.71639999999999</v>
      </c>
      <c r="H686" s="14">
        <f>105.5796 * CHOOSE(CONTROL!$C$9, $D$9, 100%, $F$9) + CHOOSE(CONTROL!$C$27, 0.0021, 0)</f>
        <v>105.5817</v>
      </c>
      <c r="I686" s="14">
        <f>105.5796 * CHOOSE(CONTROL!$C$9, $D$9, 100%, $F$9) + CHOOSE(CONTROL!$C$27, 0.0021, 0)</f>
        <v>105.5817</v>
      </c>
      <c r="J686" s="14">
        <f>105.5796 * CHOOSE(CONTROL!$C$9, $D$9, 100%, $F$9) + CHOOSE(CONTROL!$C$27, 0.0021, 0)</f>
        <v>105.5817</v>
      </c>
      <c r="K686" s="14">
        <f>105.5796 * CHOOSE(CONTROL!$C$9, $D$9, 100%, $F$9) + CHOOSE(CONTROL!$C$27, 0.0021, 0)</f>
        <v>105.5817</v>
      </c>
      <c r="L686" s="14"/>
    </row>
    <row r="687" spans="1:12" ht="15.75" x14ac:dyDescent="0.25">
      <c r="A687" s="32">
        <v>61848</v>
      </c>
      <c r="B687" s="14">
        <f>112.7458 * CHOOSE(CONTROL!$C$9, $D$9, 100%, $F$9) + CHOOSE(CONTROL!$C$27, 0.0021, 0)</f>
        <v>112.7479</v>
      </c>
      <c r="C687" s="14">
        <f>112.3136 * CHOOSE(CONTROL!$C$9, $D$9, 100%, $F$9) + CHOOSE(CONTROL!$C$27, 0.0021, 0)</f>
        <v>112.31569999999999</v>
      </c>
      <c r="D687" s="14">
        <f>112.3136 * CHOOSE(CONTROL!$C$9, $D$9, 100%, $F$9) + CHOOSE(CONTROL!$C$27, 0.0021, 0)</f>
        <v>112.31569999999999</v>
      </c>
      <c r="E687" s="14">
        <f>112.1769 * CHOOSE(CONTROL!$C$9, $D$9, 100%, $F$9) + CHOOSE(CONTROL!$C$27, 0.0021, 0)</f>
        <v>112.179</v>
      </c>
      <c r="F687" s="14">
        <f>112.1769 * CHOOSE(CONTROL!$C$9, $D$9, 100%, $F$9) + CHOOSE(CONTROL!$C$27, 0.0021, 0)</f>
        <v>112.179</v>
      </c>
      <c r="G687" s="14">
        <f>112.4483 * CHOOSE(CONTROL!$C$9, $D$9, 100%, $F$9) + CHOOSE(CONTROL!$C$27, 0.0021, 0)</f>
        <v>112.4504</v>
      </c>
      <c r="H687" s="14">
        <f>112.3136 * CHOOSE(CONTROL!$C$9, $D$9, 100%, $F$9) + CHOOSE(CONTROL!$C$27, 0.0021, 0)</f>
        <v>112.31569999999999</v>
      </c>
      <c r="I687" s="14">
        <f>112.3136 * CHOOSE(CONTROL!$C$9, $D$9, 100%, $F$9) + CHOOSE(CONTROL!$C$27, 0.0021, 0)</f>
        <v>112.31569999999999</v>
      </c>
      <c r="J687" s="14">
        <f>112.3136 * CHOOSE(CONTROL!$C$9, $D$9, 100%, $F$9) + CHOOSE(CONTROL!$C$27, 0.0021, 0)</f>
        <v>112.31569999999999</v>
      </c>
      <c r="K687" s="14">
        <f>112.3136 * CHOOSE(CONTROL!$C$9, $D$9, 100%, $F$9) + CHOOSE(CONTROL!$C$27, 0.0021, 0)</f>
        <v>112.31569999999999</v>
      </c>
      <c r="L687" s="14"/>
    </row>
    <row r="688" spans="1:12" ht="15.75" x14ac:dyDescent="0.25">
      <c r="A688" s="32">
        <v>61879</v>
      </c>
      <c r="B688" s="14">
        <f>116.4524 * CHOOSE(CONTROL!$C$9, $D$9, 100%, $F$9) + CHOOSE(CONTROL!$C$27, 0.0021, 0)</f>
        <v>116.4545</v>
      </c>
      <c r="C688" s="14">
        <f>116.0202 * CHOOSE(CONTROL!$C$9, $D$9, 100%, $F$9) + CHOOSE(CONTROL!$C$27, 0.0021, 0)</f>
        <v>116.0223</v>
      </c>
      <c r="D688" s="14">
        <f>116.0202 * CHOOSE(CONTROL!$C$9, $D$9, 100%, $F$9) + CHOOSE(CONTROL!$C$27, 0.0021, 0)</f>
        <v>116.0223</v>
      </c>
      <c r="E688" s="14">
        <f>115.8835 * CHOOSE(CONTROL!$C$9, $D$9, 100%, $F$9) + CHOOSE(CONTROL!$C$27, 0.0021, 0)</f>
        <v>115.8856</v>
      </c>
      <c r="F688" s="14">
        <f>115.8835 * CHOOSE(CONTROL!$C$9, $D$9, 100%, $F$9) + CHOOSE(CONTROL!$C$27, 0.0021, 0)</f>
        <v>115.8856</v>
      </c>
      <c r="G688" s="14">
        <f>116.1549 * CHOOSE(CONTROL!$C$9, $D$9, 100%, $F$9) + CHOOSE(CONTROL!$C$27, 0.0021, 0)</f>
        <v>116.157</v>
      </c>
      <c r="H688" s="14">
        <f>116.0202 * CHOOSE(CONTROL!$C$9, $D$9, 100%, $F$9) + CHOOSE(CONTROL!$C$27, 0.0021, 0)</f>
        <v>116.0223</v>
      </c>
      <c r="I688" s="14">
        <f>116.0202 * CHOOSE(CONTROL!$C$9, $D$9, 100%, $F$9) + CHOOSE(CONTROL!$C$27, 0.0021, 0)</f>
        <v>116.0223</v>
      </c>
      <c r="J688" s="14">
        <f>116.0202 * CHOOSE(CONTROL!$C$9, $D$9, 100%, $F$9) + CHOOSE(CONTROL!$C$27, 0.0021, 0)</f>
        <v>116.0223</v>
      </c>
      <c r="K688" s="14">
        <f>116.0202 * CHOOSE(CONTROL!$C$9, $D$9, 100%, $F$9) + CHOOSE(CONTROL!$C$27, 0.0021, 0)</f>
        <v>116.0223</v>
      </c>
      <c r="L688" s="14"/>
    </row>
    <row r="689" spans="1:12" ht="15.75" x14ac:dyDescent="0.25">
      <c r="A689" s="32">
        <v>61909</v>
      </c>
      <c r="B689" s="14">
        <f>118.0974 * CHOOSE(CONTROL!$C$9, $D$9, 100%, $F$9) + CHOOSE(CONTROL!$C$27, 0.0021, 0)</f>
        <v>118.09949999999999</v>
      </c>
      <c r="C689" s="14">
        <f>117.6651 * CHOOSE(CONTROL!$C$9, $D$9, 100%, $F$9) + CHOOSE(CONTROL!$C$27, 0.0021, 0)</f>
        <v>117.66719999999999</v>
      </c>
      <c r="D689" s="14">
        <f>117.6651 * CHOOSE(CONTROL!$C$9, $D$9, 100%, $F$9) + CHOOSE(CONTROL!$C$27, 0.0021, 0)</f>
        <v>117.66719999999999</v>
      </c>
      <c r="E689" s="14">
        <f>117.5285 * CHOOSE(CONTROL!$C$9, $D$9, 100%, $F$9) + CHOOSE(CONTROL!$C$27, 0.0021, 0)</f>
        <v>117.53059999999999</v>
      </c>
      <c r="F689" s="14">
        <f>117.5285 * CHOOSE(CONTROL!$C$9, $D$9, 100%, $F$9) + CHOOSE(CONTROL!$C$27, 0.0021, 0)</f>
        <v>117.53059999999999</v>
      </c>
      <c r="G689" s="14">
        <f>117.7998 * CHOOSE(CONTROL!$C$9, $D$9, 100%, $F$9) + CHOOSE(CONTROL!$C$27, 0.0021, 0)</f>
        <v>117.8019</v>
      </c>
      <c r="H689" s="14">
        <f>117.6651 * CHOOSE(CONTROL!$C$9, $D$9, 100%, $F$9) + CHOOSE(CONTROL!$C$27, 0.0021, 0)</f>
        <v>117.66719999999999</v>
      </c>
      <c r="I689" s="14">
        <f>117.6651 * CHOOSE(CONTROL!$C$9, $D$9, 100%, $F$9) + CHOOSE(CONTROL!$C$27, 0.0021, 0)</f>
        <v>117.66719999999999</v>
      </c>
      <c r="J689" s="14">
        <f>117.6651 * CHOOSE(CONTROL!$C$9, $D$9, 100%, $F$9) + CHOOSE(CONTROL!$C$27, 0.0021, 0)</f>
        <v>117.66719999999999</v>
      </c>
      <c r="K689" s="14">
        <f>117.6651 * CHOOSE(CONTROL!$C$9, $D$9, 100%, $F$9) + CHOOSE(CONTROL!$C$27, 0.0021, 0)</f>
        <v>117.66719999999999</v>
      </c>
      <c r="L689" s="14"/>
    </row>
    <row r="690" spans="1:12" ht="15.75" x14ac:dyDescent="0.25">
      <c r="A690" s="32">
        <v>61940</v>
      </c>
      <c r="B690" s="14">
        <f>117.5558 * CHOOSE(CONTROL!$C$9, $D$9, 100%, $F$9) + CHOOSE(CONTROL!$C$27, 0.0021, 0)</f>
        <v>117.5579</v>
      </c>
      <c r="C690" s="14">
        <f>117.1235 * CHOOSE(CONTROL!$C$9, $D$9, 100%, $F$9) + CHOOSE(CONTROL!$C$27, 0.0021, 0)</f>
        <v>117.12560000000001</v>
      </c>
      <c r="D690" s="14">
        <f>117.1235 * CHOOSE(CONTROL!$C$9, $D$9, 100%, $F$9) + CHOOSE(CONTROL!$C$27, 0.0021, 0)</f>
        <v>117.12560000000001</v>
      </c>
      <c r="E690" s="14">
        <f>116.9869 * CHOOSE(CONTROL!$C$9, $D$9, 100%, $F$9) + CHOOSE(CONTROL!$C$27, 0.0021, 0)</f>
        <v>116.989</v>
      </c>
      <c r="F690" s="14">
        <f>116.9869 * CHOOSE(CONTROL!$C$9, $D$9, 100%, $F$9) + CHOOSE(CONTROL!$C$27, 0.0021, 0)</f>
        <v>116.989</v>
      </c>
      <c r="G690" s="14">
        <f>117.2582 * CHOOSE(CONTROL!$C$9, $D$9, 100%, $F$9) + CHOOSE(CONTROL!$C$27, 0.0021, 0)</f>
        <v>117.2603</v>
      </c>
      <c r="H690" s="14">
        <f>117.1235 * CHOOSE(CONTROL!$C$9, $D$9, 100%, $F$9) + CHOOSE(CONTROL!$C$27, 0.0021, 0)</f>
        <v>117.12560000000001</v>
      </c>
      <c r="I690" s="14">
        <f>117.1235 * CHOOSE(CONTROL!$C$9, $D$9, 100%, $F$9) + CHOOSE(CONTROL!$C$27, 0.0021, 0)</f>
        <v>117.12560000000001</v>
      </c>
      <c r="J690" s="14">
        <f>117.1235 * CHOOSE(CONTROL!$C$9, $D$9, 100%, $F$9) + CHOOSE(CONTROL!$C$27, 0.0021, 0)</f>
        <v>117.12560000000001</v>
      </c>
      <c r="K690" s="14">
        <f>117.1235 * CHOOSE(CONTROL!$C$9, $D$9, 100%, $F$9) + CHOOSE(CONTROL!$C$27, 0.0021, 0)</f>
        <v>117.12560000000001</v>
      </c>
      <c r="L690" s="14"/>
    </row>
    <row r="691" spans="1:12" ht="15.75" x14ac:dyDescent="0.25">
      <c r="A691" s="32">
        <v>61971</v>
      </c>
      <c r="B691" s="14">
        <f>114.8725 * CHOOSE(CONTROL!$C$9, $D$9, 100%, $F$9) + CHOOSE(CONTROL!$C$27, 0.0021, 0)</f>
        <v>114.8746</v>
      </c>
      <c r="C691" s="14">
        <f>114.4402 * CHOOSE(CONTROL!$C$9, $D$9, 100%, $F$9) + CHOOSE(CONTROL!$C$27, 0.0021, 0)</f>
        <v>114.4423</v>
      </c>
      <c r="D691" s="14">
        <f>114.4402 * CHOOSE(CONTROL!$C$9, $D$9, 100%, $F$9) + CHOOSE(CONTROL!$C$27, 0.0021, 0)</f>
        <v>114.4423</v>
      </c>
      <c r="E691" s="14">
        <f>114.3036 * CHOOSE(CONTROL!$C$9, $D$9, 100%, $F$9) + CHOOSE(CONTROL!$C$27, 0.0021, 0)</f>
        <v>114.3057</v>
      </c>
      <c r="F691" s="14">
        <f>114.3036 * CHOOSE(CONTROL!$C$9, $D$9, 100%, $F$9) + CHOOSE(CONTROL!$C$27, 0.0021, 0)</f>
        <v>114.3057</v>
      </c>
      <c r="G691" s="14">
        <f>114.575 * CHOOSE(CONTROL!$C$9, $D$9, 100%, $F$9) + CHOOSE(CONTROL!$C$27, 0.0021, 0)</f>
        <v>114.5771</v>
      </c>
      <c r="H691" s="14">
        <f>114.4402 * CHOOSE(CONTROL!$C$9, $D$9, 100%, $F$9) + CHOOSE(CONTROL!$C$27, 0.0021, 0)</f>
        <v>114.4423</v>
      </c>
      <c r="I691" s="14">
        <f>114.4402 * CHOOSE(CONTROL!$C$9, $D$9, 100%, $F$9) + CHOOSE(CONTROL!$C$27, 0.0021, 0)</f>
        <v>114.4423</v>
      </c>
      <c r="J691" s="14">
        <f>114.4402 * CHOOSE(CONTROL!$C$9, $D$9, 100%, $F$9) + CHOOSE(CONTROL!$C$27, 0.0021, 0)</f>
        <v>114.4423</v>
      </c>
      <c r="K691" s="14">
        <f>114.4402 * CHOOSE(CONTROL!$C$9, $D$9, 100%, $F$9) + CHOOSE(CONTROL!$C$27, 0.0021, 0)</f>
        <v>114.4423</v>
      </c>
      <c r="L691" s="14"/>
    </row>
    <row r="692" spans="1:12" ht="15.75" x14ac:dyDescent="0.25">
      <c r="A692" s="32">
        <v>62001</v>
      </c>
      <c r="B692" s="14">
        <f>111.1305 * CHOOSE(CONTROL!$C$9, $D$9, 100%, $F$9) + CHOOSE(CONTROL!$C$27, 0.0021, 0)</f>
        <v>111.1326</v>
      </c>
      <c r="C692" s="14">
        <f>110.6983 * CHOOSE(CONTROL!$C$9, $D$9, 100%, $F$9) + CHOOSE(CONTROL!$C$27, 0.0021, 0)</f>
        <v>110.7004</v>
      </c>
      <c r="D692" s="14">
        <f>110.6983 * CHOOSE(CONTROL!$C$9, $D$9, 100%, $F$9) + CHOOSE(CONTROL!$C$27, 0.0021, 0)</f>
        <v>110.7004</v>
      </c>
      <c r="E692" s="14">
        <f>110.5616 * CHOOSE(CONTROL!$C$9, $D$9, 100%, $F$9) + CHOOSE(CONTROL!$C$27, 0.0021, 0)</f>
        <v>110.5637</v>
      </c>
      <c r="F692" s="14">
        <f>110.5616 * CHOOSE(CONTROL!$C$9, $D$9, 100%, $F$9) + CHOOSE(CONTROL!$C$27, 0.0021, 0)</f>
        <v>110.5637</v>
      </c>
      <c r="G692" s="14">
        <f>110.833 * CHOOSE(CONTROL!$C$9, $D$9, 100%, $F$9) + CHOOSE(CONTROL!$C$27, 0.0021, 0)</f>
        <v>110.8351</v>
      </c>
      <c r="H692" s="14">
        <f>110.6983 * CHOOSE(CONTROL!$C$9, $D$9, 100%, $F$9) + CHOOSE(CONTROL!$C$27, 0.0021, 0)</f>
        <v>110.7004</v>
      </c>
      <c r="I692" s="14">
        <f>110.6983 * CHOOSE(CONTROL!$C$9, $D$9, 100%, $F$9) + CHOOSE(CONTROL!$C$27, 0.0021, 0)</f>
        <v>110.7004</v>
      </c>
      <c r="J692" s="14">
        <f>110.6983 * CHOOSE(CONTROL!$C$9, $D$9, 100%, $F$9) + CHOOSE(CONTROL!$C$27, 0.0021, 0)</f>
        <v>110.7004</v>
      </c>
      <c r="K692" s="14">
        <f>110.6983 * CHOOSE(CONTROL!$C$9, $D$9, 100%, $F$9) + CHOOSE(CONTROL!$C$27, 0.0021, 0)</f>
        <v>110.7004</v>
      </c>
      <c r="L692" s="14"/>
    </row>
    <row r="693" spans="1:12" ht="15.75" x14ac:dyDescent="0.25">
      <c r="A693" s="32">
        <v>62032</v>
      </c>
      <c r="B693" s="14">
        <f>107.3668 * CHOOSE(CONTROL!$C$9, $D$9, 100%, $F$9) + CHOOSE(CONTROL!$C$27, 0.0021, 0)</f>
        <v>107.3689</v>
      </c>
      <c r="C693" s="14">
        <f>106.9345 * CHOOSE(CONTROL!$C$9, $D$9, 100%, $F$9) + CHOOSE(CONTROL!$C$27, 0.0021, 0)</f>
        <v>106.9366</v>
      </c>
      <c r="D693" s="14">
        <f>106.9345 * CHOOSE(CONTROL!$C$9, $D$9, 100%, $F$9) + CHOOSE(CONTROL!$C$27, 0.0021, 0)</f>
        <v>106.9366</v>
      </c>
      <c r="E693" s="14">
        <f>106.7979 * CHOOSE(CONTROL!$C$9, $D$9, 100%, $F$9) + CHOOSE(CONTROL!$C$27, 0.0021, 0)</f>
        <v>106.8</v>
      </c>
      <c r="F693" s="14">
        <f>106.7979 * CHOOSE(CONTROL!$C$9, $D$9, 100%, $F$9) + CHOOSE(CONTROL!$C$27, 0.0021, 0)</f>
        <v>106.8</v>
      </c>
      <c r="G693" s="14">
        <f>107.0693 * CHOOSE(CONTROL!$C$9, $D$9, 100%, $F$9) + CHOOSE(CONTROL!$C$27, 0.0021, 0)</f>
        <v>107.0714</v>
      </c>
      <c r="H693" s="14">
        <f>106.9345 * CHOOSE(CONTROL!$C$9, $D$9, 100%, $F$9) + CHOOSE(CONTROL!$C$27, 0.0021, 0)</f>
        <v>106.9366</v>
      </c>
      <c r="I693" s="14">
        <f>106.9345 * CHOOSE(CONTROL!$C$9, $D$9, 100%, $F$9) + CHOOSE(CONTROL!$C$27, 0.0021, 0)</f>
        <v>106.9366</v>
      </c>
      <c r="J693" s="14">
        <f>106.9345 * CHOOSE(CONTROL!$C$9, $D$9, 100%, $F$9) + CHOOSE(CONTROL!$C$27, 0.0021, 0)</f>
        <v>106.9366</v>
      </c>
      <c r="K693" s="14">
        <f>106.9345 * CHOOSE(CONTROL!$C$9, $D$9, 100%, $F$9) + CHOOSE(CONTROL!$C$27, 0.0021, 0)</f>
        <v>106.9366</v>
      </c>
      <c r="L693" s="14"/>
    </row>
    <row r="694" spans="1:12" ht="15.75" x14ac:dyDescent="0.25">
      <c r="A694" s="32">
        <v>62062</v>
      </c>
      <c r="B694" s="14">
        <f>106.6181 * CHOOSE(CONTROL!$C$9, $D$9, 100%, $F$9) + CHOOSE(CONTROL!$C$27, 0.0021, 0)</f>
        <v>106.6202</v>
      </c>
      <c r="C694" s="14">
        <f>106.1859 * CHOOSE(CONTROL!$C$9, $D$9, 100%, $F$9) + CHOOSE(CONTROL!$C$27, 0.0021, 0)</f>
        <v>106.188</v>
      </c>
      <c r="D694" s="14">
        <f>106.1859 * CHOOSE(CONTROL!$C$9, $D$9, 100%, $F$9) + CHOOSE(CONTROL!$C$27, 0.0021, 0)</f>
        <v>106.188</v>
      </c>
      <c r="E694" s="14">
        <f>106.0492 * CHOOSE(CONTROL!$C$9, $D$9, 100%, $F$9) + CHOOSE(CONTROL!$C$27, 0.0021, 0)</f>
        <v>106.0513</v>
      </c>
      <c r="F694" s="14">
        <f>106.0492 * CHOOSE(CONTROL!$C$9, $D$9, 100%, $F$9) + CHOOSE(CONTROL!$C$27, 0.0021, 0)</f>
        <v>106.0513</v>
      </c>
      <c r="G694" s="14">
        <f>106.3206 * CHOOSE(CONTROL!$C$9, $D$9, 100%, $F$9) + CHOOSE(CONTROL!$C$27, 0.0021, 0)</f>
        <v>106.3227</v>
      </c>
      <c r="H694" s="14">
        <f>106.1859 * CHOOSE(CONTROL!$C$9, $D$9, 100%, $F$9) + CHOOSE(CONTROL!$C$27, 0.0021, 0)</f>
        <v>106.188</v>
      </c>
      <c r="I694" s="14">
        <f>106.1859 * CHOOSE(CONTROL!$C$9, $D$9, 100%, $F$9) + CHOOSE(CONTROL!$C$27, 0.0021, 0)</f>
        <v>106.188</v>
      </c>
      <c r="J694" s="14">
        <f>106.1859 * CHOOSE(CONTROL!$C$9, $D$9, 100%, $F$9) + CHOOSE(CONTROL!$C$27, 0.0021, 0)</f>
        <v>106.188</v>
      </c>
      <c r="K694" s="14">
        <f>106.1859 * CHOOSE(CONTROL!$C$9, $D$9, 100%, $F$9) + CHOOSE(CONTROL!$C$27, 0.0021, 0)</f>
        <v>106.188</v>
      </c>
      <c r="L694" s="14"/>
    </row>
    <row r="695" spans="1:12" ht="15.75" x14ac:dyDescent="0.25">
      <c r="A695" s="32">
        <v>62093</v>
      </c>
      <c r="B695" s="14">
        <f>103.5222 * CHOOSE(CONTROL!$C$9, $D$9, 100%, $F$9) + CHOOSE(CONTROL!$C$27, 0.0021, 0)</f>
        <v>103.5243</v>
      </c>
      <c r="C695" s="14">
        <f>103.09 * CHOOSE(CONTROL!$C$9, $D$9, 100%, $F$9) + CHOOSE(CONTROL!$C$27, 0.0021, 0)</f>
        <v>103.0921</v>
      </c>
      <c r="D695" s="14">
        <f>103.09 * CHOOSE(CONTROL!$C$9, $D$9, 100%, $F$9) + CHOOSE(CONTROL!$C$27, 0.0021, 0)</f>
        <v>103.0921</v>
      </c>
      <c r="E695" s="14">
        <f>102.9533 * CHOOSE(CONTROL!$C$9, $D$9, 100%, $F$9) + CHOOSE(CONTROL!$C$27, 0.0021, 0)</f>
        <v>102.9554</v>
      </c>
      <c r="F695" s="14">
        <f>102.9533 * CHOOSE(CONTROL!$C$9, $D$9, 100%, $F$9) + CHOOSE(CONTROL!$C$27, 0.0021, 0)</f>
        <v>102.9554</v>
      </c>
      <c r="G695" s="14">
        <f>103.2247 * CHOOSE(CONTROL!$C$9, $D$9, 100%, $F$9) + CHOOSE(CONTROL!$C$27, 0.0021, 0)</f>
        <v>103.2268</v>
      </c>
      <c r="H695" s="14">
        <f>103.09 * CHOOSE(CONTROL!$C$9, $D$9, 100%, $F$9) + CHOOSE(CONTROL!$C$27, 0.0021, 0)</f>
        <v>103.0921</v>
      </c>
      <c r="I695" s="14">
        <f>103.09 * CHOOSE(CONTROL!$C$9, $D$9, 100%, $F$9) + CHOOSE(CONTROL!$C$27, 0.0021, 0)</f>
        <v>103.0921</v>
      </c>
      <c r="J695" s="14">
        <f>103.09 * CHOOSE(CONTROL!$C$9, $D$9, 100%, $F$9) + CHOOSE(CONTROL!$C$27, 0.0021, 0)</f>
        <v>103.0921</v>
      </c>
      <c r="K695" s="14">
        <f>103.09 * CHOOSE(CONTROL!$C$9, $D$9, 100%, $F$9) + CHOOSE(CONTROL!$C$27, 0.0021, 0)</f>
        <v>103.0921</v>
      </c>
      <c r="L695" s="14"/>
    </row>
    <row r="696" spans="1:12" ht="15.75" x14ac:dyDescent="0.25">
      <c r="A696" s="32">
        <v>62124</v>
      </c>
      <c r="B696" s="14">
        <f>102.9195 * CHOOSE(CONTROL!$C$9, $D$9, 100%, $F$9) + CHOOSE(CONTROL!$C$27, 0.0021, 0)</f>
        <v>102.9216</v>
      </c>
      <c r="C696" s="14">
        <f>102.4872 * CHOOSE(CONTROL!$C$9, $D$9, 100%, $F$9) + CHOOSE(CONTROL!$C$27, 0.0021, 0)</f>
        <v>102.4893</v>
      </c>
      <c r="D696" s="14">
        <f>102.4872 * CHOOSE(CONTROL!$C$9, $D$9, 100%, $F$9) + CHOOSE(CONTROL!$C$27, 0.0021, 0)</f>
        <v>102.4893</v>
      </c>
      <c r="E696" s="14">
        <f>102.3506 * CHOOSE(CONTROL!$C$9, $D$9, 100%, $F$9) + CHOOSE(CONTROL!$C$27, 0.0021, 0)</f>
        <v>102.3527</v>
      </c>
      <c r="F696" s="14">
        <f>102.3506 * CHOOSE(CONTROL!$C$9, $D$9, 100%, $F$9) + CHOOSE(CONTROL!$C$27, 0.0021, 0)</f>
        <v>102.3527</v>
      </c>
      <c r="G696" s="14">
        <f>102.622 * CHOOSE(CONTROL!$C$9, $D$9, 100%, $F$9) + CHOOSE(CONTROL!$C$27, 0.0021, 0)</f>
        <v>102.6241</v>
      </c>
      <c r="H696" s="14">
        <f>102.4872 * CHOOSE(CONTROL!$C$9, $D$9, 100%, $F$9) + CHOOSE(CONTROL!$C$27, 0.0021, 0)</f>
        <v>102.4893</v>
      </c>
      <c r="I696" s="14">
        <f>102.4872 * CHOOSE(CONTROL!$C$9, $D$9, 100%, $F$9) + CHOOSE(CONTROL!$C$27, 0.0021, 0)</f>
        <v>102.4893</v>
      </c>
      <c r="J696" s="14">
        <f>102.4872 * CHOOSE(CONTROL!$C$9, $D$9, 100%, $F$9) + CHOOSE(CONTROL!$C$27, 0.0021, 0)</f>
        <v>102.4893</v>
      </c>
      <c r="K696" s="14">
        <f>102.4872 * CHOOSE(CONTROL!$C$9, $D$9, 100%, $F$9) + CHOOSE(CONTROL!$C$27, 0.0021, 0)</f>
        <v>102.4893</v>
      </c>
      <c r="L696" s="14"/>
    </row>
    <row r="697" spans="1:12" ht="15.75" x14ac:dyDescent="0.25">
      <c r="A697" s="32">
        <v>62152</v>
      </c>
      <c r="B697" s="14">
        <f>102.6398 * CHOOSE(CONTROL!$C$9, $D$9, 100%, $F$9) + CHOOSE(CONTROL!$C$27, 0.0021, 0)</f>
        <v>102.64189999999999</v>
      </c>
      <c r="C697" s="14">
        <f>102.2075 * CHOOSE(CONTROL!$C$9, $D$9, 100%, $F$9) + CHOOSE(CONTROL!$C$27, 0.0021, 0)</f>
        <v>102.20959999999999</v>
      </c>
      <c r="D697" s="14">
        <f>102.2075 * CHOOSE(CONTROL!$C$9, $D$9, 100%, $F$9) + CHOOSE(CONTROL!$C$27, 0.0021, 0)</f>
        <v>102.20959999999999</v>
      </c>
      <c r="E697" s="14">
        <f>102.0709 * CHOOSE(CONTROL!$C$9, $D$9, 100%, $F$9) + CHOOSE(CONTROL!$C$27, 0.0021, 0)</f>
        <v>102.07299999999999</v>
      </c>
      <c r="F697" s="14">
        <f>102.0709 * CHOOSE(CONTROL!$C$9, $D$9, 100%, $F$9) + CHOOSE(CONTROL!$C$27, 0.0021, 0)</f>
        <v>102.07299999999999</v>
      </c>
      <c r="G697" s="14">
        <f>102.3423 * CHOOSE(CONTROL!$C$9, $D$9, 100%, $F$9) + CHOOSE(CONTROL!$C$27, 0.0021, 0)</f>
        <v>102.34439999999999</v>
      </c>
      <c r="H697" s="14">
        <f>102.2075 * CHOOSE(CONTROL!$C$9, $D$9, 100%, $F$9) + CHOOSE(CONTROL!$C$27, 0.0021, 0)</f>
        <v>102.20959999999999</v>
      </c>
      <c r="I697" s="14">
        <f>102.2075 * CHOOSE(CONTROL!$C$9, $D$9, 100%, $F$9) + CHOOSE(CONTROL!$C$27, 0.0021, 0)</f>
        <v>102.20959999999999</v>
      </c>
      <c r="J697" s="14">
        <f>102.2075 * CHOOSE(CONTROL!$C$9, $D$9, 100%, $F$9) + CHOOSE(CONTROL!$C$27, 0.0021, 0)</f>
        <v>102.20959999999999</v>
      </c>
      <c r="K697" s="14">
        <f>102.2075 * CHOOSE(CONTROL!$C$9, $D$9, 100%, $F$9) + CHOOSE(CONTROL!$C$27, 0.0021, 0)</f>
        <v>102.20959999999999</v>
      </c>
      <c r="L697" s="14"/>
    </row>
    <row r="698" spans="1:12" ht="15.75" x14ac:dyDescent="0.25">
      <c r="A698" s="32">
        <v>62183</v>
      </c>
      <c r="B698" s="14">
        <f>107.9287 * CHOOSE(CONTROL!$C$9, $D$9, 100%, $F$9) + CHOOSE(CONTROL!$C$27, 0.0021, 0)</f>
        <v>107.9308</v>
      </c>
      <c r="C698" s="14">
        <f>107.4964 * CHOOSE(CONTROL!$C$9, $D$9, 100%, $F$9) + CHOOSE(CONTROL!$C$27, 0.0021, 0)</f>
        <v>107.49849999999999</v>
      </c>
      <c r="D698" s="14">
        <f>107.4964 * CHOOSE(CONTROL!$C$9, $D$9, 100%, $F$9) + CHOOSE(CONTROL!$C$27, 0.0021, 0)</f>
        <v>107.49849999999999</v>
      </c>
      <c r="E698" s="14">
        <f>107.3598 * CHOOSE(CONTROL!$C$9, $D$9, 100%, $F$9) + CHOOSE(CONTROL!$C$27, 0.0021, 0)</f>
        <v>107.36190000000001</v>
      </c>
      <c r="F698" s="14">
        <f>107.3598 * CHOOSE(CONTROL!$C$9, $D$9, 100%, $F$9) + CHOOSE(CONTROL!$C$27, 0.0021, 0)</f>
        <v>107.36190000000001</v>
      </c>
      <c r="G698" s="14">
        <f>107.6311 * CHOOSE(CONTROL!$C$9, $D$9, 100%, $F$9) + CHOOSE(CONTROL!$C$27, 0.0021, 0)</f>
        <v>107.6332</v>
      </c>
      <c r="H698" s="14">
        <f>107.4964 * CHOOSE(CONTROL!$C$9, $D$9, 100%, $F$9) + CHOOSE(CONTROL!$C$27, 0.0021, 0)</f>
        <v>107.49849999999999</v>
      </c>
      <c r="I698" s="14">
        <f>107.4964 * CHOOSE(CONTROL!$C$9, $D$9, 100%, $F$9) + CHOOSE(CONTROL!$C$27, 0.0021, 0)</f>
        <v>107.49849999999999</v>
      </c>
      <c r="J698" s="14">
        <f>107.4964 * CHOOSE(CONTROL!$C$9, $D$9, 100%, $F$9) + CHOOSE(CONTROL!$C$27, 0.0021, 0)</f>
        <v>107.49849999999999</v>
      </c>
      <c r="K698" s="14">
        <f>107.4964 * CHOOSE(CONTROL!$C$9, $D$9, 100%, $F$9) + CHOOSE(CONTROL!$C$27, 0.0021, 0)</f>
        <v>107.49849999999999</v>
      </c>
      <c r="L698" s="14"/>
    </row>
    <row r="699" spans="1:12" ht="15.75" x14ac:dyDescent="0.25">
      <c r="A699" s="32">
        <v>62213</v>
      </c>
      <c r="B699" s="14">
        <f>114.7871 * CHOOSE(CONTROL!$C$9, $D$9, 100%, $F$9) + CHOOSE(CONTROL!$C$27, 0.0021, 0)</f>
        <v>114.78919999999999</v>
      </c>
      <c r="C699" s="14">
        <f>114.3549 * CHOOSE(CONTROL!$C$9, $D$9, 100%, $F$9) + CHOOSE(CONTROL!$C$27, 0.0021, 0)</f>
        <v>114.357</v>
      </c>
      <c r="D699" s="14">
        <f>114.3549 * CHOOSE(CONTROL!$C$9, $D$9, 100%, $F$9) + CHOOSE(CONTROL!$C$27, 0.0021, 0)</f>
        <v>114.357</v>
      </c>
      <c r="E699" s="14">
        <f>114.2182 * CHOOSE(CONTROL!$C$9, $D$9, 100%, $F$9) + CHOOSE(CONTROL!$C$27, 0.0021, 0)</f>
        <v>114.22029999999999</v>
      </c>
      <c r="F699" s="14">
        <f>114.2182 * CHOOSE(CONTROL!$C$9, $D$9, 100%, $F$9) + CHOOSE(CONTROL!$C$27, 0.0021, 0)</f>
        <v>114.22029999999999</v>
      </c>
      <c r="G699" s="14">
        <f>114.4896 * CHOOSE(CONTROL!$C$9, $D$9, 100%, $F$9) + CHOOSE(CONTROL!$C$27, 0.0021, 0)</f>
        <v>114.49169999999999</v>
      </c>
      <c r="H699" s="14">
        <f>114.3549 * CHOOSE(CONTROL!$C$9, $D$9, 100%, $F$9) + CHOOSE(CONTROL!$C$27, 0.0021, 0)</f>
        <v>114.357</v>
      </c>
      <c r="I699" s="14">
        <f>114.3549 * CHOOSE(CONTROL!$C$9, $D$9, 100%, $F$9) + CHOOSE(CONTROL!$C$27, 0.0021, 0)</f>
        <v>114.357</v>
      </c>
      <c r="J699" s="14">
        <f>114.3549 * CHOOSE(CONTROL!$C$9, $D$9, 100%, $F$9) + CHOOSE(CONTROL!$C$27, 0.0021, 0)</f>
        <v>114.357</v>
      </c>
      <c r="K699" s="14">
        <f>114.3549 * CHOOSE(CONTROL!$C$9, $D$9, 100%, $F$9) + CHOOSE(CONTROL!$C$27, 0.0021, 0)</f>
        <v>114.357</v>
      </c>
      <c r="L699" s="14"/>
    </row>
    <row r="700" spans="1:12" ht="15.75" x14ac:dyDescent="0.25">
      <c r="A700" s="32">
        <v>62244</v>
      </c>
      <c r="B700" s="14">
        <f>118.5622 * CHOOSE(CONTROL!$C$9, $D$9, 100%, $F$9) + CHOOSE(CONTROL!$C$27, 0.0021, 0)</f>
        <v>118.5643</v>
      </c>
      <c r="C700" s="14">
        <f>118.13 * CHOOSE(CONTROL!$C$9, $D$9, 100%, $F$9) + CHOOSE(CONTROL!$C$27, 0.0021, 0)</f>
        <v>118.13209999999999</v>
      </c>
      <c r="D700" s="14">
        <f>118.13 * CHOOSE(CONTROL!$C$9, $D$9, 100%, $F$9) + CHOOSE(CONTROL!$C$27, 0.0021, 0)</f>
        <v>118.13209999999999</v>
      </c>
      <c r="E700" s="14">
        <f>117.9933 * CHOOSE(CONTROL!$C$9, $D$9, 100%, $F$9) + CHOOSE(CONTROL!$C$27, 0.0021, 0)</f>
        <v>117.9954</v>
      </c>
      <c r="F700" s="14">
        <f>117.9933 * CHOOSE(CONTROL!$C$9, $D$9, 100%, $F$9) + CHOOSE(CONTROL!$C$27, 0.0021, 0)</f>
        <v>117.9954</v>
      </c>
      <c r="G700" s="14">
        <f>118.2647 * CHOOSE(CONTROL!$C$9, $D$9, 100%, $F$9) + CHOOSE(CONTROL!$C$27, 0.0021, 0)</f>
        <v>118.2668</v>
      </c>
      <c r="H700" s="14">
        <f>118.13 * CHOOSE(CONTROL!$C$9, $D$9, 100%, $F$9) + CHOOSE(CONTROL!$C$27, 0.0021, 0)</f>
        <v>118.13209999999999</v>
      </c>
      <c r="I700" s="14">
        <f>118.13 * CHOOSE(CONTROL!$C$9, $D$9, 100%, $F$9) + CHOOSE(CONTROL!$C$27, 0.0021, 0)</f>
        <v>118.13209999999999</v>
      </c>
      <c r="J700" s="14">
        <f>118.13 * CHOOSE(CONTROL!$C$9, $D$9, 100%, $F$9) + CHOOSE(CONTROL!$C$27, 0.0021, 0)</f>
        <v>118.13209999999999</v>
      </c>
      <c r="K700" s="14">
        <f>118.13 * CHOOSE(CONTROL!$C$9, $D$9, 100%, $F$9) + CHOOSE(CONTROL!$C$27, 0.0021, 0)</f>
        <v>118.13209999999999</v>
      </c>
      <c r="L700" s="14"/>
    </row>
    <row r="701" spans="1:12" ht="15.75" x14ac:dyDescent="0.25">
      <c r="A701" s="32">
        <v>62274</v>
      </c>
      <c r="B701" s="14">
        <f>120.2375 * CHOOSE(CONTROL!$C$9, $D$9, 100%, $F$9) + CHOOSE(CONTROL!$C$27, 0.0021, 0)</f>
        <v>120.2396</v>
      </c>
      <c r="C701" s="14">
        <f>119.8053 * CHOOSE(CONTROL!$C$9, $D$9, 100%, $F$9) + CHOOSE(CONTROL!$C$27, 0.0021, 0)</f>
        <v>119.8074</v>
      </c>
      <c r="D701" s="14">
        <f>119.8053 * CHOOSE(CONTROL!$C$9, $D$9, 100%, $F$9) + CHOOSE(CONTROL!$C$27, 0.0021, 0)</f>
        <v>119.8074</v>
      </c>
      <c r="E701" s="14">
        <f>119.6686 * CHOOSE(CONTROL!$C$9, $D$9, 100%, $F$9) + CHOOSE(CONTROL!$C$27, 0.0021, 0)</f>
        <v>119.6707</v>
      </c>
      <c r="F701" s="14">
        <f>119.6686 * CHOOSE(CONTROL!$C$9, $D$9, 100%, $F$9) + CHOOSE(CONTROL!$C$27, 0.0021, 0)</f>
        <v>119.6707</v>
      </c>
      <c r="G701" s="14">
        <f>119.94 * CHOOSE(CONTROL!$C$9, $D$9, 100%, $F$9) + CHOOSE(CONTROL!$C$27, 0.0021, 0)</f>
        <v>119.9421</v>
      </c>
      <c r="H701" s="14">
        <f>119.8053 * CHOOSE(CONTROL!$C$9, $D$9, 100%, $F$9) + CHOOSE(CONTROL!$C$27, 0.0021, 0)</f>
        <v>119.8074</v>
      </c>
      <c r="I701" s="14">
        <f>119.8053 * CHOOSE(CONTROL!$C$9, $D$9, 100%, $F$9) + CHOOSE(CONTROL!$C$27, 0.0021, 0)</f>
        <v>119.8074</v>
      </c>
      <c r="J701" s="14">
        <f>119.8053 * CHOOSE(CONTROL!$C$9, $D$9, 100%, $F$9) + CHOOSE(CONTROL!$C$27, 0.0021, 0)</f>
        <v>119.8074</v>
      </c>
      <c r="K701" s="14">
        <f>119.8053 * CHOOSE(CONTROL!$C$9, $D$9, 100%, $F$9) + CHOOSE(CONTROL!$C$27, 0.0021, 0)</f>
        <v>119.8074</v>
      </c>
      <c r="L701" s="14"/>
    </row>
    <row r="702" spans="1:12" ht="15.75" x14ac:dyDescent="0.25">
      <c r="A702" s="32">
        <v>62305</v>
      </c>
      <c r="B702" s="14">
        <f>119.6859 * CHOOSE(CONTROL!$C$9, $D$9, 100%, $F$9) + CHOOSE(CONTROL!$C$27, 0.0021, 0)</f>
        <v>119.688</v>
      </c>
      <c r="C702" s="14">
        <f>119.2537 * CHOOSE(CONTROL!$C$9, $D$9, 100%, $F$9) + CHOOSE(CONTROL!$C$27, 0.0021, 0)</f>
        <v>119.25579999999999</v>
      </c>
      <c r="D702" s="14">
        <f>119.2537 * CHOOSE(CONTROL!$C$9, $D$9, 100%, $F$9) + CHOOSE(CONTROL!$C$27, 0.0021, 0)</f>
        <v>119.25579999999999</v>
      </c>
      <c r="E702" s="14">
        <f>119.117 * CHOOSE(CONTROL!$C$9, $D$9, 100%, $F$9) + CHOOSE(CONTROL!$C$27, 0.0021, 0)</f>
        <v>119.1191</v>
      </c>
      <c r="F702" s="14">
        <f>119.117 * CHOOSE(CONTROL!$C$9, $D$9, 100%, $F$9) + CHOOSE(CONTROL!$C$27, 0.0021, 0)</f>
        <v>119.1191</v>
      </c>
      <c r="G702" s="14">
        <f>119.3884 * CHOOSE(CONTROL!$C$9, $D$9, 100%, $F$9) + CHOOSE(CONTROL!$C$27, 0.0021, 0)</f>
        <v>119.3905</v>
      </c>
      <c r="H702" s="14">
        <f>119.2537 * CHOOSE(CONTROL!$C$9, $D$9, 100%, $F$9) + CHOOSE(CONTROL!$C$27, 0.0021, 0)</f>
        <v>119.25579999999999</v>
      </c>
      <c r="I702" s="14">
        <f>119.2537 * CHOOSE(CONTROL!$C$9, $D$9, 100%, $F$9) + CHOOSE(CONTROL!$C$27, 0.0021, 0)</f>
        <v>119.25579999999999</v>
      </c>
      <c r="J702" s="14">
        <f>119.2537 * CHOOSE(CONTROL!$C$9, $D$9, 100%, $F$9) + CHOOSE(CONTROL!$C$27, 0.0021, 0)</f>
        <v>119.25579999999999</v>
      </c>
      <c r="K702" s="14">
        <f>119.2537 * CHOOSE(CONTROL!$C$9, $D$9, 100%, $F$9) + CHOOSE(CONTROL!$C$27, 0.0021, 0)</f>
        <v>119.25579999999999</v>
      </c>
      <c r="L702" s="14"/>
    </row>
    <row r="703" spans="1:12" ht="15.75" x14ac:dyDescent="0.25">
      <c r="A703" s="32">
        <v>62336</v>
      </c>
      <c r="B703" s="14">
        <f>116.9531 * CHOOSE(CONTROL!$C$9, $D$9, 100%, $F$9) + CHOOSE(CONTROL!$C$27, 0.0021, 0)</f>
        <v>116.9552</v>
      </c>
      <c r="C703" s="14">
        <f>116.5208 * CHOOSE(CONTROL!$C$9, $D$9, 100%, $F$9) + CHOOSE(CONTROL!$C$27, 0.0021, 0)</f>
        <v>116.52289999999999</v>
      </c>
      <c r="D703" s="14">
        <f>116.5208 * CHOOSE(CONTROL!$C$9, $D$9, 100%, $F$9) + CHOOSE(CONTROL!$C$27, 0.0021, 0)</f>
        <v>116.52289999999999</v>
      </c>
      <c r="E703" s="14">
        <f>116.3841 * CHOOSE(CONTROL!$C$9, $D$9, 100%, $F$9) + CHOOSE(CONTROL!$C$27, 0.0021, 0)</f>
        <v>116.3862</v>
      </c>
      <c r="F703" s="14">
        <f>116.3841 * CHOOSE(CONTROL!$C$9, $D$9, 100%, $F$9) + CHOOSE(CONTROL!$C$27, 0.0021, 0)</f>
        <v>116.3862</v>
      </c>
      <c r="G703" s="14">
        <f>116.6555 * CHOOSE(CONTROL!$C$9, $D$9, 100%, $F$9) + CHOOSE(CONTROL!$C$27, 0.0021, 0)</f>
        <v>116.6576</v>
      </c>
      <c r="H703" s="14">
        <f>116.5208 * CHOOSE(CONTROL!$C$9, $D$9, 100%, $F$9) + CHOOSE(CONTROL!$C$27, 0.0021, 0)</f>
        <v>116.52289999999999</v>
      </c>
      <c r="I703" s="14">
        <f>116.5208 * CHOOSE(CONTROL!$C$9, $D$9, 100%, $F$9) + CHOOSE(CONTROL!$C$27, 0.0021, 0)</f>
        <v>116.52289999999999</v>
      </c>
      <c r="J703" s="14">
        <f>116.5208 * CHOOSE(CONTROL!$C$9, $D$9, 100%, $F$9) + CHOOSE(CONTROL!$C$27, 0.0021, 0)</f>
        <v>116.52289999999999</v>
      </c>
      <c r="K703" s="14">
        <f>116.5208 * CHOOSE(CONTROL!$C$9, $D$9, 100%, $F$9) + CHOOSE(CONTROL!$C$27, 0.0021, 0)</f>
        <v>116.52289999999999</v>
      </c>
      <c r="L703" s="14"/>
    </row>
    <row r="704" spans="1:12" ht="15.75" x14ac:dyDescent="0.25">
      <c r="A704" s="32">
        <v>62366</v>
      </c>
      <c r="B704" s="14">
        <f>113.1419 * CHOOSE(CONTROL!$C$9, $D$9, 100%, $F$9) + CHOOSE(CONTROL!$C$27, 0.0021, 0)</f>
        <v>113.14400000000001</v>
      </c>
      <c r="C704" s="14">
        <f>112.7097 * CHOOSE(CONTROL!$C$9, $D$9, 100%, $F$9) + CHOOSE(CONTROL!$C$27, 0.0021, 0)</f>
        <v>112.7118</v>
      </c>
      <c r="D704" s="14">
        <f>112.7097 * CHOOSE(CONTROL!$C$9, $D$9, 100%, $F$9) + CHOOSE(CONTROL!$C$27, 0.0021, 0)</f>
        <v>112.7118</v>
      </c>
      <c r="E704" s="14">
        <f>112.573 * CHOOSE(CONTROL!$C$9, $D$9, 100%, $F$9) + CHOOSE(CONTROL!$C$27, 0.0021, 0)</f>
        <v>112.57509999999999</v>
      </c>
      <c r="F704" s="14">
        <f>112.573 * CHOOSE(CONTROL!$C$9, $D$9, 100%, $F$9) + CHOOSE(CONTROL!$C$27, 0.0021, 0)</f>
        <v>112.57509999999999</v>
      </c>
      <c r="G704" s="14">
        <f>112.8444 * CHOOSE(CONTROL!$C$9, $D$9, 100%, $F$9) + CHOOSE(CONTROL!$C$27, 0.0021, 0)</f>
        <v>112.84649999999999</v>
      </c>
      <c r="H704" s="14">
        <f>112.7097 * CHOOSE(CONTROL!$C$9, $D$9, 100%, $F$9) + CHOOSE(CONTROL!$C$27, 0.0021, 0)</f>
        <v>112.7118</v>
      </c>
      <c r="I704" s="14">
        <f>112.7097 * CHOOSE(CONTROL!$C$9, $D$9, 100%, $F$9) + CHOOSE(CONTROL!$C$27, 0.0021, 0)</f>
        <v>112.7118</v>
      </c>
      <c r="J704" s="14">
        <f>112.7097 * CHOOSE(CONTROL!$C$9, $D$9, 100%, $F$9) + CHOOSE(CONTROL!$C$27, 0.0021, 0)</f>
        <v>112.7118</v>
      </c>
      <c r="K704" s="14">
        <f>112.7097 * CHOOSE(CONTROL!$C$9, $D$9, 100%, $F$9) + CHOOSE(CONTROL!$C$27, 0.0021, 0)</f>
        <v>112.7118</v>
      </c>
      <c r="L704" s="14"/>
    </row>
    <row r="705" spans="1:12" ht="15.75" x14ac:dyDescent="0.25">
      <c r="A705" s="32">
        <v>62397</v>
      </c>
      <c r="B705" s="14">
        <f>109.3086 * CHOOSE(CONTROL!$C$9, $D$9, 100%, $F$9) + CHOOSE(CONTROL!$C$27, 0.0021, 0)</f>
        <v>109.3107</v>
      </c>
      <c r="C705" s="14">
        <f>108.8764 * CHOOSE(CONTROL!$C$9, $D$9, 100%, $F$9) + CHOOSE(CONTROL!$C$27, 0.0021, 0)</f>
        <v>108.8785</v>
      </c>
      <c r="D705" s="14">
        <f>108.8764 * CHOOSE(CONTROL!$C$9, $D$9, 100%, $F$9) + CHOOSE(CONTROL!$C$27, 0.0021, 0)</f>
        <v>108.8785</v>
      </c>
      <c r="E705" s="14">
        <f>108.7397 * CHOOSE(CONTROL!$C$9, $D$9, 100%, $F$9) + CHOOSE(CONTROL!$C$27, 0.0021, 0)</f>
        <v>108.7418</v>
      </c>
      <c r="F705" s="14">
        <f>108.7397 * CHOOSE(CONTROL!$C$9, $D$9, 100%, $F$9) + CHOOSE(CONTROL!$C$27, 0.0021, 0)</f>
        <v>108.7418</v>
      </c>
      <c r="G705" s="14">
        <f>109.0111 * CHOOSE(CONTROL!$C$9, $D$9, 100%, $F$9) + CHOOSE(CONTROL!$C$27, 0.0021, 0)</f>
        <v>109.0132</v>
      </c>
      <c r="H705" s="14">
        <f>108.8764 * CHOOSE(CONTROL!$C$9, $D$9, 100%, $F$9) + CHOOSE(CONTROL!$C$27, 0.0021, 0)</f>
        <v>108.8785</v>
      </c>
      <c r="I705" s="14">
        <f>108.8764 * CHOOSE(CONTROL!$C$9, $D$9, 100%, $F$9) + CHOOSE(CONTROL!$C$27, 0.0021, 0)</f>
        <v>108.8785</v>
      </c>
      <c r="J705" s="14">
        <f>108.8764 * CHOOSE(CONTROL!$C$9, $D$9, 100%, $F$9) + CHOOSE(CONTROL!$C$27, 0.0021, 0)</f>
        <v>108.8785</v>
      </c>
      <c r="K705" s="14">
        <f>108.8764 * CHOOSE(CONTROL!$C$9, $D$9, 100%, $F$9) + CHOOSE(CONTROL!$C$27, 0.0021, 0)</f>
        <v>108.8785</v>
      </c>
      <c r="L705" s="14"/>
    </row>
    <row r="706" spans="1:12" ht="15.75" x14ac:dyDescent="0.25">
      <c r="A706" s="32">
        <v>62427</v>
      </c>
      <c r="B706" s="14">
        <f>108.5461 * CHOOSE(CONTROL!$C$9, $D$9, 100%, $F$9) + CHOOSE(CONTROL!$C$27, 0.0021, 0)</f>
        <v>108.54819999999999</v>
      </c>
      <c r="C706" s="14">
        <f>108.1139 * CHOOSE(CONTROL!$C$9, $D$9, 100%, $F$9) + CHOOSE(CONTROL!$C$27, 0.0021, 0)</f>
        <v>108.116</v>
      </c>
      <c r="D706" s="14">
        <f>108.1139 * CHOOSE(CONTROL!$C$9, $D$9, 100%, $F$9) + CHOOSE(CONTROL!$C$27, 0.0021, 0)</f>
        <v>108.116</v>
      </c>
      <c r="E706" s="14">
        <f>107.9772 * CHOOSE(CONTROL!$C$9, $D$9, 100%, $F$9) + CHOOSE(CONTROL!$C$27, 0.0021, 0)</f>
        <v>107.97929999999999</v>
      </c>
      <c r="F706" s="14">
        <f>107.9772 * CHOOSE(CONTROL!$C$9, $D$9, 100%, $F$9) + CHOOSE(CONTROL!$C$27, 0.0021, 0)</f>
        <v>107.97929999999999</v>
      </c>
      <c r="G706" s="14">
        <f>108.2486 * CHOOSE(CONTROL!$C$9, $D$9, 100%, $F$9) + CHOOSE(CONTROL!$C$27, 0.0021, 0)</f>
        <v>108.25069999999999</v>
      </c>
      <c r="H706" s="14">
        <f>108.1139 * CHOOSE(CONTROL!$C$9, $D$9, 100%, $F$9) + CHOOSE(CONTROL!$C$27, 0.0021, 0)</f>
        <v>108.116</v>
      </c>
      <c r="I706" s="14">
        <f>108.1139 * CHOOSE(CONTROL!$C$9, $D$9, 100%, $F$9) + CHOOSE(CONTROL!$C$27, 0.0021, 0)</f>
        <v>108.116</v>
      </c>
      <c r="J706" s="14">
        <f>108.1139 * CHOOSE(CONTROL!$C$9, $D$9, 100%, $F$9) + CHOOSE(CONTROL!$C$27, 0.0021, 0)</f>
        <v>108.116</v>
      </c>
      <c r="K706" s="14">
        <f>108.1139 * CHOOSE(CONTROL!$C$9, $D$9, 100%, $F$9) + CHOOSE(CONTROL!$C$27, 0.0021, 0)</f>
        <v>108.116</v>
      </c>
      <c r="L706" s="14"/>
    </row>
    <row r="707" spans="1:12" ht="15.75" x14ac:dyDescent="0.25">
      <c r="A707" s="32">
        <v>62458</v>
      </c>
      <c r="B707" s="14">
        <f>105.393 * CHOOSE(CONTROL!$C$9, $D$9, 100%, $F$9) + CHOOSE(CONTROL!$C$27, 0.0021, 0)</f>
        <v>105.3951</v>
      </c>
      <c r="C707" s="14">
        <f>104.9608 * CHOOSE(CONTROL!$C$9, $D$9, 100%, $F$9) + CHOOSE(CONTROL!$C$27, 0.0021, 0)</f>
        <v>104.9629</v>
      </c>
      <c r="D707" s="14">
        <f>104.9608 * CHOOSE(CONTROL!$C$9, $D$9, 100%, $F$9) + CHOOSE(CONTROL!$C$27, 0.0021, 0)</f>
        <v>104.9629</v>
      </c>
      <c r="E707" s="14">
        <f>104.8241 * CHOOSE(CONTROL!$C$9, $D$9, 100%, $F$9) + CHOOSE(CONTROL!$C$27, 0.0021, 0)</f>
        <v>104.8262</v>
      </c>
      <c r="F707" s="14">
        <f>104.8241 * CHOOSE(CONTROL!$C$9, $D$9, 100%, $F$9) + CHOOSE(CONTROL!$C$27, 0.0021, 0)</f>
        <v>104.8262</v>
      </c>
      <c r="G707" s="14">
        <f>105.0955 * CHOOSE(CONTROL!$C$9, $D$9, 100%, $F$9) + CHOOSE(CONTROL!$C$27, 0.0021, 0)</f>
        <v>105.0976</v>
      </c>
      <c r="H707" s="14">
        <f>104.9608 * CHOOSE(CONTROL!$C$9, $D$9, 100%, $F$9) + CHOOSE(CONTROL!$C$27, 0.0021, 0)</f>
        <v>104.9629</v>
      </c>
      <c r="I707" s="14">
        <f>104.9608 * CHOOSE(CONTROL!$C$9, $D$9, 100%, $F$9) + CHOOSE(CONTROL!$C$27, 0.0021, 0)</f>
        <v>104.9629</v>
      </c>
      <c r="J707" s="14">
        <f>104.9608 * CHOOSE(CONTROL!$C$9, $D$9, 100%, $F$9) + CHOOSE(CONTROL!$C$27, 0.0021, 0)</f>
        <v>104.9629</v>
      </c>
      <c r="K707" s="14">
        <f>104.9608 * CHOOSE(CONTROL!$C$9, $D$9, 100%, $F$9) + CHOOSE(CONTROL!$C$27, 0.0021, 0)</f>
        <v>104.9629</v>
      </c>
      <c r="L707" s="14"/>
    </row>
    <row r="708" spans="1:12" ht="15.75" x14ac:dyDescent="0.25">
      <c r="A708" s="32">
        <v>62489</v>
      </c>
      <c r="B708" s="14">
        <f>104.7792 * CHOOSE(CONTROL!$C$9, $D$9, 100%, $F$9) + CHOOSE(CONTROL!$C$27, 0.0021, 0)</f>
        <v>104.7813</v>
      </c>
      <c r="C708" s="14">
        <f>104.3469 * CHOOSE(CONTROL!$C$9, $D$9, 100%, $F$9) + CHOOSE(CONTROL!$C$27, 0.0021, 0)</f>
        <v>104.349</v>
      </c>
      <c r="D708" s="14">
        <f>104.3469 * CHOOSE(CONTROL!$C$9, $D$9, 100%, $F$9) + CHOOSE(CONTROL!$C$27, 0.0021, 0)</f>
        <v>104.349</v>
      </c>
      <c r="E708" s="14">
        <f>104.2103 * CHOOSE(CONTROL!$C$9, $D$9, 100%, $F$9) + CHOOSE(CONTROL!$C$27, 0.0021, 0)</f>
        <v>104.2124</v>
      </c>
      <c r="F708" s="14">
        <f>104.2103 * CHOOSE(CONTROL!$C$9, $D$9, 100%, $F$9) + CHOOSE(CONTROL!$C$27, 0.0021, 0)</f>
        <v>104.2124</v>
      </c>
      <c r="G708" s="14">
        <f>104.4816 * CHOOSE(CONTROL!$C$9, $D$9, 100%, $F$9) + CHOOSE(CONTROL!$C$27, 0.0021, 0)</f>
        <v>104.4837</v>
      </c>
      <c r="H708" s="14">
        <f>104.3469 * CHOOSE(CONTROL!$C$9, $D$9, 100%, $F$9) + CHOOSE(CONTROL!$C$27, 0.0021, 0)</f>
        <v>104.349</v>
      </c>
      <c r="I708" s="14">
        <f>104.3469 * CHOOSE(CONTROL!$C$9, $D$9, 100%, $F$9) + CHOOSE(CONTROL!$C$27, 0.0021, 0)</f>
        <v>104.349</v>
      </c>
      <c r="J708" s="14">
        <f>104.3469 * CHOOSE(CONTROL!$C$9, $D$9, 100%, $F$9) + CHOOSE(CONTROL!$C$27, 0.0021, 0)</f>
        <v>104.349</v>
      </c>
      <c r="K708" s="14">
        <f>104.3469 * CHOOSE(CONTROL!$C$9, $D$9, 100%, $F$9) + CHOOSE(CONTROL!$C$27, 0.0021, 0)</f>
        <v>104.349</v>
      </c>
      <c r="L708" s="14"/>
    </row>
    <row r="709" spans="1:12" ht="15.75" x14ac:dyDescent="0.25">
      <c r="A709" s="32">
        <v>62517</v>
      </c>
      <c r="B709" s="14">
        <f>104.4943 * CHOOSE(CONTROL!$C$9, $D$9, 100%, $F$9) + CHOOSE(CONTROL!$C$27, 0.0021, 0)</f>
        <v>104.49639999999999</v>
      </c>
      <c r="C709" s="14">
        <f>104.062 * CHOOSE(CONTROL!$C$9, $D$9, 100%, $F$9) + CHOOSE(CONTROL!$C$27, 0.0021, 0)</f>
        <v>104.0641</v>
      </c>
      <c r="D709" s="14">
        <f>104.062 * CHOOSE(CONTROL!$C$9, $D$9, 100%, $F$9) + CHOOSE(CONTROL!$C$27, 0.0021, 0)</f>
        <v>104.0641</v>
      </c>
      <c r="E709" s="14">
        <f>103.9254 * CHOOSE(CONTROL!$C$9, $D$9, 100%, $F$9) + CHOOSE(CONTROL!$C$27, 0.0021, 0)</f>
        <v>103.92749999999999</v>
      </c>
      <c r="F709" s="14">
        <f>103.9254 * CHOOSE(CONTROL!$C$9, $D$9, 100%, $F$9) + CHOOSE(CONTROL!$C$27, 0.0021, 0)</f>
        <v>103.92749999999999</v>
      </c>
      <c r="G709" s="14">
        <f>104.1967 * CHOOSE(CONTROL!$C$9, $D$9, 100%, $F$9) + CHOOSE(CONTROL!$C$27, 0.0021, 0)</f>
        <v>104.19880000000001</v>
      </c>
      <c r="H709" s="14">
        <f>104.062 * CHOOSE(CONTROL!$C$9, $D$9, 100%, $F$9) + CHOOSE(CONTROL!$C$27, 0.0021, 0)</f>
        <v>104.0641</v>
      </c>
      <c r="I709" s="14">
        <f>104.062 * CHOOSE(CONTROL!$C$9, $D$9, 100%, $F$9) + CHOOSE(CONTROL!$C$27, 0.0021, 0)</f>
        <v>104.0641</v>
      </c>
      <c r="J709" s="14">
        <f>104.062 * CHOOSE(CONTROL!$C$9, $D$9, 100%, $F$9) + CHOOSE(CONTROL!$C$27, 0.0021, 0)</f>
        <v>104.0641</v>
      </c>
      <c r="K709" s="14">
        <f>104.062 * CHOOSE(CONTROL!$C$9, $D$9, 100%, $F$9) + CHOOSE(CONTROL!$C$27, 0.0021, 0)</f>
        <v>104.0641</v>
      </c>
      <c r="L709" s="14"/>
    </row>
    <row r="710" spans="1:12" ht="15.75" x14ac:dyDescent="0.25">
      <c r="A710" s="32">
        <v>62548</v>
      </c>
      <c r="B710" s="14">
        <f>109.8809 * CHOOSE(CONTROL!$C$9, $D$9, 100%, $F$9) + CHOOSE(CONTROL!$C$27, 0.0021, 0)</f>
        <v>109.883</v>
      </c>
      <c r="C710" s="14">
        <f>109.4487 * CHOOSE(CONTROL!$C$9, $D$9, 100%, $F$9) + CHOOSE(CONTROL!$C$27, 0.0021, 0)</f>
        <v>109.4508</v>
      </c>
      <c r="D710" s="14">
        <f>109.4487 * CHOOSE(CONTROL!$C$9, $D$9, 100%, $F$9) + CHOOSE(CONTROL!$C$27, 0.0021, 0)</f>
        <v>109.4508</v>
      </c>
      <c r="E710" s="14">
        <f>109.312 * CHOOSE(CONTROL!$C$9, $D$9, 100%, $F$9) + CHOOSE(CONTROL!$C$27, 0.0021, 0)</f>
        <v>109.3141</v>
      </c>
      <c r="F710" s="14">
        <f>109.312 * CHOOSE(CONTROL!$C$9, $D$9, 100%, $F$9) + CHOOSE(CONTROL!$C$27, 0.0021, 0)</f>
        <v>109.3141</v>
      </c>
      <c r="G710" s="14">
        <f>109.5834 * CHOOSE(CONTROL!$C$9, $D$9, 100%, $F$9) + CHOOSE(CONTROL!$C$27, 0.0021, 0)</f>
        <v>109.5855</v>
      </c>
      <c r="H710" s="14">
        <f>109.4487 * CHOOSE(CONTROL!$C$9, $D$9, 100%, $F$9) + CHOOSE(CONTROL!$C$27, 0.0021, 0)</f>
        <v>109.4508</v>
      </c>
      <c r="I710" s="14">
        <f>109.4487 * CHOOSE(CONTROL!$C$9, $D$9, 100%, $F$9) + CHOOSE(CONTROL!$C$27, 0.0021, 0)</f>
        <v>109.4508</v>
      </c>
      <c r="J710" s="14">
        <f>109.4487 * CHOOSE(CONTROL!$C$9, $D$9, 100%, $F$9) + CHOOSE(CONTROL!$C$27, 0.0021, 0)</f>
        <v>109.4508</v>
      </c>
      <c r="K710" s="14">
        <f>109.4487 * CHOOSE(CONTROL!$C$9, $D$9, 100%, $F$9) + CHOOSE(CONTROL!$C$27, 0.0021, 0)</f>
        <v>109.4508</v>
      </c>
      <c r="L710" s="14"/>
    </row>
    <row r="711" spans="1:12" ht="15.75" x14ac:dyDescent="0.25">
      <c r="A711" s="32">
        <v>62578</v>
      </c>
      <c r="B711" s="14">
        <f>116.8661 * CHOOSE(CONTROL!$C$9, $D$9, 100%, $F$9) + CHOOSE(CONTROL!$C$27, 0.0021, 0)</f>
        <v>116.8682</v>
      </c>
      <c r="C711" s="14">
        <f>116.4338 * CHOOSE(CONTROL!$C$9, $D$9, 100%, $F$9) + CHOOSE(CONTROL!$C$27, 0.0021, 0)</f>
        <v>116.4359</v>
      </c>
      <c r="D711" s="14">
        <f>116.4338 * CHOOSE(CONTROL!$C$9, $D$9, 100%, $F$9) + CHOOSE(CONTROL!$C$27, 0.0021, 0)</f>
        <v>116.4359</v>
      </c>
      <c r="E711" s="14">
        <f>116.2972 * CHOOSE(CONTROL!$C$9, $D$9, 100%, $F$9) + CHOOSE(CONTROL!$C$27, 0.0021, 0)</f>
        <v>116.2993</v>
      </c>
      <c r="F711" s="14">
        <f>116.2972 * CHOOSE(CONTROL!$C$9, $D$9, 100%, $F$9) + CHOOSE(CONTROL!$C$27, 0.0021, 0)</f>
        <v>116.2993</v>
      </c>
      <c r="G711" s="14">
        <f>116.5686 * CHOOSE(CONTROL!$C$9, $D$9, 100%, $F$9) + CHOOSE(CONTROL!$C$27, 0.0021, 0)</f>
        <v>116.5707</v>
      </c>
      <c r="H711" s="14">
        <f>116.4338 * CHOOSE(CONTROL!$C$9, $D$9, 100%, $F$9) + CHOOSE(CONTROL!$C$27, 0.0021, 0)</f>
        <v>116.4359</v>
      </c>
      <c r="I711" s="14">
        <f>116.4338 * CHOOSE(CONTROL!$C$9, $D$9, 100%, $F$9) + CHOOSE(CONTROL!$C$27, 0.0021, 0)</f>
        <v>116.4359</v>
      </c>
      <c r="J711" s="14">
        <f>116.4338 * CHOOSE(CONTROL!$C$9, $D$9, 100%, $F$9) + CHOOSE(CONTROL!$C$27, 0.0021, 0)</f>
        <v>116.4359</v>
      </c>
      <c r="K711" s="14">
        <f>116.4338 * CHOOSE(CONTROL!$C$9, $D$9, 100%, $F$9) + CHOOSE(CONTROL!$C$27, 0.0021, 0)</f>
        <v>116.4359</v>
      </c>
      <c r="L711" s="14"/>
    </row>
    <row r="712" spans="1:12" ht="15.75" x14ac:dyDescent="0.25">
      <c r="A712" s="32">
        <v>62609</v>
      </c>
      <c r="B712" s="14">
        <f>120.711 * CHOOSE(CONTROL!$C$9, $D$9, 100%, $F$9) + CHOOSE(CONTROL!$C$27, 0.0021, 0)</f>
        <v>120.7131</v>
      </c>
      <c r="C712" s="14">
        <f>120.2787 * CHOOSE(CONTROL!$C$9, $D$9, 100%, $F$9) + CHOOSE(CONTROL!$C$27, 0.0021, 0)</f>
        <v>120.2808</v>
      </c>
      <c r="D712" s="14">
        <f>120.2787 * CHOOSE(CONTROL!$C$9, $D$9, 100%, $F$9) + CHOOSE(CONTROL!$C$27, 0.0021, 0)</f>
        <v>120.2808</v>
      </c>
      <c r="E712" s="14">
        <f>120.142 * CHOOSE(CONTROL!$C$9, $D$9, 100%, $F$9) + CHOOSE(CONTROL!$C$27, 0.0021, 0)</f>
        <v>120.14409999999999</v>
      </c>
      <c r="F712" s="14">
        <f>120.142 * CHOOSE(CONTROL!$C$9, $D$9, 100%, $F$9) + CHOOSE(CONTROL!$C$27, 0.0021, 0)</f>
        <v>120.14409999999999</v>
      </c>
      <c r="G712" s="14">
        <f>120.4134 * CHOOSE(CONTROL!$C$9, $D$9, 100%, $F$9) + CHOOSE(CONTROL!$C$27, 0.0021, 0)</f>
        <v>120.41549999999999</v>
      </c>
      <c r="H712" s="14">
        <f>120.2787 * CHOOSE(CONTROL!$C$9, $D$9, 100%, $F$9) + CHOOSE(CONTROL!$C$27, 0.0021, 0)</f>
        <v>120.2808</v>
      </c>
      <c r="I712" s="14">
        <f>120.2787 * CHOOSE(CONTROL!$C$9, $D$9, 100%, $F$9) + CHOOSE(CONTROL!$C$27, 0.0021, 0)</f>
        <v>120.2808</v>
      </c>
      <c r="J712" s="14">
        <f>120.2787 * CHOOSE(CONTROL!$C$9, $D$9, 100%, $F$9) + CHOOSE(CONTROL!$C$27, 0.0021, 0)</f>
        <v>120.2808</v>
      </c>
      <c r="K712" s="14">
        <f>120.2787 * CHOOSE(CONTROL!$C$9, $D$9, 100%, $F$9) + CHOOSE(CONTROL!$C$27, 0.0021, 0)</f>
        <v>120.2808</v>
      </c>
      <c r="L712" s="14"/>
    </row>
    <row r="713" spans="1:12" ht="15.75" x14ac:dyDescent="0.25">
      <c r="A713" s="32">
        <v>62639</v>
      </c>
      <c r="B713" s="14">
        <f>122.4172 * CHOOSE(CONTROL!$C$9, $D$9, 100%, $F$9) + CHOOSE(CONTROL!$C$27, 0.0021, 0)</f>
        <v>122.41929999999999</v>
      </c>
      <c r="C713" s="14">
        <f>121.985 * CHOOSE(CONTROL!$C$9, $D$9, 100%, $F$9) + CHOOSE(CONTROL!$C$27, 0.0021, 0)</f>
        <v>121.9871</v>
      </c>
      <c r="D713" s="14">
        <f>121.985 * CHOOSE(CONTROL!$C$9, $D$9, 100%, $F$9) + CHOOSE(CONTROL!$C$27, 0.0021, 0)</f>
        <v>121.9871</v>
      </c>
      <c r="E713" s="14">
        <f>121.8483 * CHOOSE(CONTROL!$C$9, $D$9, 100%, $F$9) + CHOOSE(CONTROL!$C$27, 0.0021, 0)</f>
        <v>121.85039999999999</v>
      </c>
      <c r="F713" s="14">
        <f>121.8483 * CHOOSE(CONTROL!$C$9, $D$9, 100%, $F$9) + CHOOSE(CONTROL!$C$27, 0.0021, 0)</f>
        <v>121.85039999999999</v>
      </c>
      <c r="G713" s="14">
        <f>122.1197 * CHOOSE(CONTROL!$C$9, $D$9, 100%, $F$9) + CHOOSE(CONTROL!$C$27, 0.0021, 0)</f>
        <v>122.12179999999999</v>
      </c>
      <c r="H713" s="14">
        <f>121.985 * CHOOSE(CONTROL!$C$9, $D$9, 100%, $F$9) + CHOOSE(CONTROL!$C$27, 0.0021, 0)</f>
        <v>121.9871</v>
      </c>
      <c r="I713" s="14">
        <f>121.985 * CHOOSE(CONTROL!$C$9, $D$9, 100%, $F$9) + CHOOSE(CONTROL!$C$27, 0.0021, 0)</f>
        <v>121.9871</v>
      </c>
      <c r="J713" s="14">
        <f>121.985 * CHOOSE(CONTROL!$C$9, $D$9, 100%, $F$9) + CHOOSE(CONTROL!$C$27, 0.0021, 0)</f>
        <v>121.9871</v>
      </c>
      <c r="K713" s="14">
        <f>121.985 * CHOOSE(CONTROL!$C$9, $D$9, 100%, $F$9) + CHOOSE(CONTROL!$C$27, 0.0021, 0)</f>
        <v>121.9871</v>
      </c>
      <c r="L713" s="14"/>
    </row>
    <row r="714" spans="1:12" ht="15.75" x14ac:dyDescent="0.25">
      <c r="A714" s="32">
        <v>62670</v>
      </c>
      <c r="B714" s="14">
        <f>121.8554 * CHOOSE(CONTROL!$C$9, $D$9, 100%, $F$9) + CHOOSE(CONTROL!$C$27, 0.0021, 0)</f>
        <v>121.8575</v>
      </c>
      <c r="C714" s="14">
        <f>121.4232 * CHOOSE(CONTROL!$C$9, $D$9, 100%, $F$9) + CHOOSE(CONTROL!$C$27, 0.0021, 0)</f>
        <v>121.42529999999999</v>
      </c>
      <c r="D714" s="14">
        <f>121.4232 * CHOOSE(CONTROL!$C$9, $D$9, 100%, $F$9) + CHOOSE(CONTROL!$C$27, 0.0021, 0)</f>
        <v>121.42529999999999</v>
      </c>
      <c r="E714" s="14">
        <f>121.2865 * CHOOSE(CONTROL!$C$9, $D$9, 100%, $F$9) + CHOOSE(CONTROL!$C$27, 0.0021, 0)</f>
        <v>121.2886</v>
      </c>
      <c r="F714" s="14">
        <f>121.2865 * CHOOSE(CONTROL!$C$9, $D$9, 100%, $F$9) + CHOOSE(CONTROL!$C$27, 0.0021, 0)</f>
        <v>121.2886</v>
      </c>
      <c r="G714" s="14">
        <f>121.5579 * CHOOSE(CONTROL!$C$9, $D$9, 100%, $F$9) + CHOOSE(CONTROL!$C$27, 0.0021, 0)</f>
        <v>121.56</v>
      </c>
      <c r="H714" s="14">
        <f>121.4232 * CHOOSE(CONTROL!$C$9, $D$9, 100%, $F$9) + CHOOSE(CONTROL!$C$27, 0.0021, 0)</f>
        <v>121.42529999999999</v>
      </c>
      <c r="I714" s="14">
        <f>121.4232 * CHOOSE(CONTROL!$C$9, $D$9, 100%, $F$9) + CHOOSE(CONTROL!$C$27, 0.0021, 0)</f>
        <v>121.42529999999999</v>
      </c>
      <c r="J714" s="14">
        <f>121.4232 * CHOOSE(CONTROL!$C$9, $D$9, 100%, $F$9) + CHOOSE(CONTROL!$C$27, 0.0021, 0)</f>
        <v>121.42529999999999</v>
      </c>
      <c r="K714" s="14">
        <f>121.4232 * CHOOSE(CONTROL!$C$9, $D$9, 100%, $F$9) + CHOOSE(CONTROL!$C$27, 0.0021, 0)</f>
        <v>121.42529999999999</v>
      </c>
      <c r="L714" s="14"/>
    </row>
    <row r="715" spans="1:12" ht="15.75" x14ac:dyDescent="0.25">
      <c r="A715" s="32">
        <v>62701</v>
      </c>
      <c r="B715" s="14">
        <f>119.0721 * CHOOSE(CONTROL!$C$9, $D$9, 100%, $F$9) + CHOOSE(CONTROL!$C$27, 0.0021, 0)</f>
        <v>119.0742</v>
      </c>
      <c r="C715" s="14">
        <f>118.6398 * CHOOSE(CONTROL!$C$9, $D$9, 100%, $F$9) + CHOOSE(CONTROL!$C$27, 0.0021, 0)</f>
        <v>118.64189999999999</v>
      </c>
      <c r="D715" s="14">
        <f>118.6398 * CHOOSE(CONTROL!$C$9, $D$9, 100%, $F$9) + CHOOSE(CONTROL!$C$27, 0.0021, 0)</f>
        <v>118.64189999999999</v>
      </c>
      <c r="E715" s="14">
        <f>118.5032 * CHOOSE(CONTROL!$C$9, $D$9, 100%, $F$9) + CHOOSE(CONTROL!$C$27, 0.0021, 0)</f>
        <v>118.50530000000001</v>
      </c>
      <c r="F715" s="14">
        <f>118.5032 * CHOOSE(CONTROL!$C$9, $D$9, 100%, $F$9) + CHOOSE(CONTROL!$C$27, 0.0021, 0)</f>
        <v>118.50530000000001</v>
      </c>
      <c r="G715" s="14">
        <f>118.7745 * CHOOSE(CONTROL!$C$9, $D$9, 100%, $F$9) + CHOOSE(CONTROL!$C$27, 0.0021, 0)</f>
        <v>118.7766</v>
      </c>
      <c r="H715" s="14">
        <f>118.6398 * CHOOSE(CONTROL!$C$9, $D$9, 100%, $F$9) + CHOOSE(CONTROL!$C$27, 0.0021, 0)</f>
        <v>118.64189999999999</v>
      </c>
      <c r="I715" s="14">
        <f>118.6398 * CHOOSE(CONTROL!$C$9, $D$9, 100%, $F$9) + CHOOSE(CONTROL!$C$27, 0.0021, 0)</f>
        <v>118.64189999999999</v>
      </c>
      <c r="J715" s="14">
        <f>118.6398 * CHOOSE(CONTROL!$C$9, $D$9, 100%, $F$9) + CHOOSE(CONTROL!$C$27, 0.0021, 0)</f>
        <v>118.64189999999999</v>
      </c>
      <c r="K715" s="14">
        <f>118.6398 * CHOOSE(CONTROL!$C$9, $D$9, 100%, $F$9) + CHOOSE(CONTROL!$C$27, 0.0021, 0)</f>
        <v>118.64189999999999</v>
      </c>
      <c r="L715" s="14"/>
    </row>
    <row r="716" spans="1:12" ht="15.75" x14ac:dyDescent="0.25">
      <c r="A716" s="32">
        <v>62731</v>
      </c>
      <c r="B716" s="14">
        <f>115.1905 * CHOOSE(CONTROL!$C$9, $D$9, 100%, $F$9) + CHOOSE(CONTROL!$C$27, 0.0021, 0)</f>
        <v>115.1926</v>
      </c>
      <c r="C716" s="14">
        <f>114.7583 * CHOOSE(CONTROL!$C$9, $D$9, 100%, $F$9) + CHOOSE(CONTROL!$C$27, 0.0021, 0)</f>
        <v>114.7604</v>
      </c>
      <c r="D716" s="14">
        <f>114.7583 * CHOOSE(CONTROL!$C$9, $D$9, 100%, $F$9) + CHOOSE(CONTROL!$C$27, 0.0021, 0)</f>
        <v>114.7604</v>
      </c>
      <c r="E716" s="14">
        <f>114.6216 * CHOOSE(CONTROL!$C$9, $D$9, 100%, $F$9) + CHOOSE(CONTROL!$C$27, 0.0021, 0)</f>
        <v>114.6237</v>
      </c>
      <c r="F716" s="14">
        <f>114.6216 * CHOOSE(CONTROL!$C$9, $D$9, 100%, $F$9) + CHOOSE(CONTROL!$C$27, 0.0021, 0)</f>
        <v>114.6237</v>
      </c>
      <c r="G716" s="14">
        <f>114.893 * CHOOSE(CONTROL!$C$9, $D$9, 100%, $F$9) + CHOOSE(CONTROL!$C$27, 0.0021, 0)</f>
        <v>114.8951</v>
      </c>
      <c r="H716" s="14">
        <f>114.7583 * CHOOSE(CONTROL!$C$9, $D$9, 100%, $F$9) + CHOOSE(CONTROL!$C$27, 0.0021, 0)</f>
        <v>114.7604</v>
      </c>
      <c r="I716" s="14">
        <f>114.7583 * CHOOSE(CONTROL!$C$9, $D$9, 100%, $F$9) + CHOOSE(CONTROL!$C$27, 0.0021, 0)</f>
        <v>114.7604</v>
      </c>
      <c r="J716" s="14">
        <f>114.7583 * CHOOSE(CONTROL!$C$9, $D$9, 100%, $F$9) + CHOOSE(CONTROL!$C$27, 0.0021, 0)</f>
        <v>114.7604</v>
      </c>
      <c r="K716" s="14">
        <f>114.7583 * CHOOSE(CONTROL!$C$9, $D$9, 100%, $F$9) + CHOOSE(CONTROL!$C$27, 0.0021, 0)</f>
        <v>114.7604</v>
      </c>
      <c r="L716" s="14"/>
    </row>
    <row r="717" spans="1:12" ht="15.75" x14ac:dyDescent="0.25">
      <c r="A717" s="32">
        <v>62762</v>
      </c>
      <c r="B717" s="14">
        <f>111.2864 * CHOOSE(CONTROL!$C$9, $D$9, 100%, $F$9) + CHOOSE(CONTROL!$C$27, 0.0021, 0)</f>
        <v>111.2885</v>
      </c>
      <c r="C717" s="14">
        <f>110.8541 * CHOOSE(CONTROL!$C$9, $D$9, 100%, $F$9) + CHOOSE(CONTROL!$C$27, 0.0021, 0)</f>
        <v>110.8562</v>
      </c>
      <c r="D717" s="14">
        <f>110.8541 * CHOOSE(CONTROL!$C$9, $D$9, 100%, $F$9) + CHOOSE(CONTROL!$C$27, 0.0021, 0)</f>
        <v>110.8562</v>
      </c>
      <c r="E717" s="14">
        <f>110.7175 * CHOOSE(CONTROL!$C$9, $D$9, 100%, $F$9) + CHOOSE(CONTROL!$C$27, 0.0021, 0)</f>
        <v>110.7196</v>
      </c>
      <c r="F717" s="14">
        <f>110.7175 * CHOOSE(CONTROL!$C$9, $D$9, 100%, $F$9) + CHOOSE(CONTROL!$C$27, 0.0021, 0)</f>
        <v>110.7196</v>
      </c>
      <c r="G717" s="14">
        <f>110.9888 * CHOOSE(CONTROL!$C$9, $D$9, 100%, $F$9) + CHOOSE(CONTROL!$C$27, 0.0021, 0)</f>
        <v>110.9909</v>
      </c>
      <c r="H717" s="14">
        <f>110.8541 * CHOOSE(CONTROL!$C$9, $D$9, 100%, $F$9) + CHOOSE(CONTROL!$C$27, 0.0021, 0)</f>
        <v>110.8562</v>
      </c>
      <c r="I717" s="14">
        <f>110.8541 * CHOOSE(CONTROL!$C$9, $D$9, 100%, $F$9) + CHOOSE(CONTROL!$C$27, 0.0021, 0)</f>
        <v>110.8562</v>
      </c>
      <c r="J717" s="14">
        <f>110.8541 * CHOOSE(CONTROL!$C$9, $D$9, 100%, $F$9) + CHOOSE(CONTROL!$C$27, 0.0021, 0)</f>
        <v>110.8562</v>
      </c>
      <c r="K717" s="14">
        <f>110.8541 * CHOOSE(CONTROL!$C$9, $D$9, 100%, $F$9) + CHOOSE(CONTROL!$C$27, 0.0021, 0)</f>
        <v>110.8562</v>
      </c>
      <c r="L717" s="14"/>
    </row>
    <row r="718" spans="1:12" ht="15.75" x14ac:dyDescent="0.25">
      <c r="A718" s="32">
        <v>62792</v>
      </c>
      <c r="B718" s="14">
        <f>110.5098 * CHOOSE(CONTROL!$C$9, $D$9, 100%, $F$9) + CHOOSE(CONTROL!$C$27, 0.0021, 0)</f>
        <v>110.5119</v>
      </c>
      <c r="C718" s="14">
        <f>110.0775 * CHOOSE(CONTROL!$C$9, $D$9, 100%, $F$9) + CHOOSE(CONTROL!$C$27, 0.0021, 0)</f>
        <v>110.0796</v>
      </c>
      <c r="D718" s="14">
        <f>110.0775 * CHOOSE(CONTROL!$C$9, $D$9, 100%, $F$9) + CHOOSE(CONTROL!$C$27, 0.0021, 0)</f>
        <v>110.0796</v>
      </c>
      <c r="E718" s="14">
        <f>109.9409 * CHOOSE(CONTROL!$C$9, $D$9, 100%, $F$9) + CHOOSE(CONTROL!$C$27, 0.0021, 0)</f>
        <v>109.943</v>
      </c>
      <c r="F718" s="14">
        <f>109.9409 * CHOOSE(CONTROL!$C$9, $D$9, 100%, $F$9) + CHOOSE(CONTROL!$C$27, 0.0021, 0)</f>
        <v>109.943</v>
      </c>
      <c r="G718" s="14">
        <f>110.2122 * CHOOSE(CONTROL!$C$9, $D$9, 100%, $F$9) + CHOOSE(CONTROL!$C$27, 0.0021, 0)</f>
        <v>110.21429999999999</v>
      </c>
      <c r="H718" s="14">
        <f>110.0775 * CHOOSE(CONTROL!$C$9, $D$9, 100%, $F$9) + CHOOSE(CONTROL!$C$27, 0.0021, 0)</f>
        <v>110.0796</v>
      </c>
      <c r="I718" s="14">
        <f>110.0775 * CHOOSE(CONTROL!$C$9, $D$9, 100%, $F$9) + CHOOSE(CONTROL!$C$27, 0.0021, 0)</f>
        <v>110.0796</v>
      </c>
      <c r="J718" s="14">
        <f>110.0775 * CHOOSE(CONTROL!$C$9, $D$9, 100%, $F$9) + CHOOSE(CONTROL!$C$27, 0.0021, 0)</f>
        <v>110.0796</v>
      </c>
      <c r="K718" s="14">
        <f>110.0775 * CHOOSE(CONTROL!$C$9, $D$9, 100%, $F$9) + CHOOSE(CONTROL!$C$27, 0.0021, 0)</f>
        <v>110.0796</v>
      </c>
      <c r="L718" s="14"/>
    </row>
    <row r="719" spans="1:12" ht="15.75" x14ac:dyDescent="0.25">
      <c r="A719" s="32">
        <v>62823</v>
      </c>
      <c r="B719" s="14">
        <f>107.2984 * CHOOSE(CONTROL!$C$9, $D$9, 100%, $F$9) + CHOOSE(CONTROL!$C$27, 0.0021, 0)</f>
        <v>107.3005</v>
      </c>
      <c r="C719" s="14">
        <f>106.8662 * CHOOSE(CONTROL!$C$9, $D$9, 100%, $F$9) + CHOOSE(CONTROL!$C$27, 0.0021, 0)</f>
        <v>106.8683</v>
      </c>
      <c r="D719" s="14">
        <f>106.8662 * CHOOSE(CONTROL!$C$9, $D$9, 100%, $F$9) + CHOOSE(CONTROL!$C$27, 0.0021, 0)</f>
        <v>106.8683</v>
      </c>
      <c r="E719" s="14">
        <f>106.7295 * CHOOSE(CONTROL!$C$9, $D$9, 100%, $F$9) + CHOOSE(CONTROL!$C$27, 0.0021, 0)</f>
        <v>106.7316</v>
      </c>
      <c r="F719" s="14">
        <f>106.7295 * CHOOSE(CONTROL!$C$9, $D$9, 100%, $F$9) + CHOOSE(CONTROL!$C$27, 0.0021, 0)</f>
        <v>106.7316</v>
      </c>
      <c r="G719" s="14">
        <f>107.0009 * CHOOSE(CONTROL!$C$9, $D$9, 100%, $F$9) + CHOOSE(CONTROL!$C$27, 0.0021, 0)</f>
        <v>107.003</v>
      </c>
      <c r="H719" s="14">
        <f>106.8662 * CHOOSE(CONTROL!$C$9, $D$9, 100%, $F$9) + CHOOSE(CONTROL!$C$27, 0.0021, 0)</f>
        <v>106.8683</v>
      </c>
      <c r="I719" s="14">
        <f>106.8662 * CHOOSE(CONTROL!$C$9, $D$9, 100%, $F$9) + CHOOSE(CONTROL!$C$27, 0.0021, 0)</f>
        <v>106.8683</v>
      </c>
      <c r="J719" s="14">
        <f>106.8662 * CHOOSE(CONTROL!$C$9, $D$9, 100%, $F$9) + CHOOSE(CONTROL!$C$27, 0.0021, 0)</f>
        <v>106.8683</v>
      </c>
      <c r="K719" s="14">
        <f>106.8662 * CHOOSE(CONTROL!$C$9, $D$9, 100%, $F$9) + CHOOSE(CONTROL!$C$27, 0.0021, 0)</f>
        <v>106.8683</v>
      </c>
      <c r="L719" s="14"/>
    </row>
    <row r="720" spans="1:12" ht="15.75" x14ac:dyDescent="0.25">
      <c r="A720" s="32">
        <v>62854</v>
      </c>
      <c r="B720" s="14">
        <f>106.6732 * CHOOSE(CONTROL!$C$9, $D$9, 100%, $F$9) + CHOOSE(CONTROL!$C$27, 0.0021, 0)</f>
        <v>106.67529999999999</v>
      </c>
      <c r="C720" s="14">
        <f>106.2409 * CHOOSE(CONTROL!$C$9, $D$9, 100%, $F$9) + CHOOSE(CONTROL!$C$27, 0.0021, 0)</f>
        <v>106.24299999999999</v>
      </c>
      <c r="D720" s="14">
        <f>106.2409 * CHOOSE(CONTROL!$C$9, $D$9, 100%, $F$9) + CHOOSE(CONTROL!$C$27, 0.0021, 0)</f>
        <v>106.24299999999999</v>
      </c>
      <c r="E720" s="14">
        <f>106.1043 * CHOOSE(CONTROL!$C$9, $D$9, 100%, $F$9) + CHOOSE(CONTROL!$C$27, 0.0021, 0)</f>
        <v>106.10639999999999</v>
      </c>
      <c r="F720" s="14">
        <f>106.1043 * CHOOSE(CONTROL!$C$9, $D$9, 100%, $F$9) + CHOOSE(CONTROL!$C$27, 0.0021, 0)</f>
        <v>106.10639999999999</v>
      </c>
      <c r="G720" s="14">
        <f>106.3757 * CHOOSE(CONTROL!$C$9, $D$9, 100%, $F$9) + CHOOSE(CONTROL!$C$27, 0.0021, 0)</f>
        <v>106.37779999999999</v>
      </c>
      <c r="H720" s="14">
        <f>106.2409 * CHOOSE(CONTROL!$C$9, $D$9, 100%, $F$9) + CHOOSE(CONTROL!$C$27, 0.0021, 0)</f>
        <v>106.24299999999999</v>
      </c>
      <c r="I720" s="14">
        <f>106.2409 * CHOOSE(CONTROL!$C$9, $D$9, 100%, $F$9) + CHOOSE(CONTROL!$C$27, 0.0021, 0)</f>
        <v>106.24299999999999</v>
      </c>
      <c r="J720" s="14">
        <f>106.2409 * CHOOSE(CONTROL!$C$9, $D$9, 100%, $F$9) + CHOOSE(CONTROL!$C$27, 0.0021, 0)</f>
        <v>106.24299999999999</v>
      </c>
      <c r="K720" s="14">
        <f>106.2409 * CHOOSE(CONTROL!$C$9, $D$9, 100%, $F$9) + CHOOSE(CONTROL!$C$27, 0.0021, 0)</f>
        <v>106.24299999999999</v>
      </c>
      <c r="L720" s="14"/>
    </row>
    <row r="721" spans="1:12" ht="15.75" x14ac:dyDescent="0.25">
      <c r="A721" s="32">
        <v>62883</v>
      </c>
      <c r="B721" s="14">
        <f>106.383 * CHOOSE(CONTROL!$C$9, $D$9, 100%, $F$9) + CHOOSE(CONTROL!$C$27, 0.0021, 0)</f>
        <v>106.38509999999999</v>
      </c>
      <c r="C721" s="14">
        <f>105.9508 * CHOOSE(CONTROL!$C$9, $D$9, 100%, $F$9) + CHOOSE(CONTROL!$C$27, 0.0021, 0)</f>
        <v>105.9529</v>
      </c>
      <c r="D721" s="14">
        <f>105.9508 * CHOOSE(CONTROL!$C$9, $D$9, 100%, $F$9) + CHOOSE(CONTROL!$C$27, 0.0021, 0)</f>
        <v>105.9529</v>
      </c>
      <c r="E721" s="14">
        <f>105.8141 * CHOOSE(CONTROL!$C$9, $D$9, 100%, $F$9) + CHOOSE(CONTROL!$C$27, 0.0021, 0)</f>
        <v>105.81619999999999</v>
      </c>
      <c r="F721" s="14">
        <f>105.8141 * CHOOSE(CONTROL!$C$9, $D$9, 100%, $F$9) + CHOOSE(CONTROL!$C$27, 0.0021, 0)</f>
        <v>105.81619999999999</v>
      </c>
      <c r="G721" s="14">
        <f>106.0855 * CHOOSE(CONTROL!$C$9, $D$9, 100%, $F$9) + CHOOSE(CONTROL!$C$27, 0.0021, 0)</f>
        <v>106.08759999999999</v>
      </c>
      <c r="H721" s="14">
        <f>105.9508 * CHOOSE(CONTROL!$C$9, $D$9, 100%, $F$9) + CHOOSE(CONTROL!$C$27, 0.0021, 0)</f>
        <v>105.9529</v>
      </c>
      <c r="I721" s="14">
        <f>105.9508 * CHOOSE(CONTROL!$C$9, $D$9, 100%, $F$9) + CHOOSE(CONTROL!$C$27, 0.0021, 0)</f>
        <v>105.9529</v>
      </c>
      <c r="J721" s="14">
        <f>105.9508 * CHOOSE(CONTROL!$C$9, $D$9, 100%, $F$9) + CHOOSE(CONTROL!$C$27, 0.0021, 0)</f>
        <v>105.9529</v>
      </c>
      <c r="K721" s="14">
        <f>105.9508 * CHOOSE(CONTROL!$C$9, $D$9, 100%, $F$9) + CHOOSE(CONTROL!$C$27, 0.0021, 0)</f>
        <v>105.9529</v>
      </c>
      <c r="L721" s="14"/>
    </row>
    <row r="722" spans="1:12" ht="15.75" x14ac:dyDescent="0.25">
      <c r="A722" s="32">
        <v>62914</v>
      </c>
      <c r="B722" s="14">
        <f>111.8692 * CHOOSE(CONTROL!$C$9, $D$9, 100%, $F$9) + CHOOSE(CONTROL!$C$27, 0.0021, 0)</f>
        <v>111.87130000000001</v>
      </c>
      <c r="C722" s="14">
        <f>111.437 * CHOOSE(CONTROL!$C$9, $D$9, 100%, $F$9) + CHOOSE(CONTROL!$C$27, 0.0021, 0)</f>
        <v>111.4391</v>
      </c>
      <c r="D722" s="14">
        <f>111.437 * CHOOSE(CONTROL!$C$9, $D$9, 100%, $F$9) + CHOOSE(CONTROL!$C$27, 0.0021, 0)</f>
        <v>111.4391</v>
      </c>
      <c r="E722" s="14">
        <f>111.3003 * CHOOSE(CONTROL!$C$9, $D$9, 100%, $F$9) + CHOOSE(CONTROL!$C$27, 0.0021, 0)</f>
        <v>111.30239999999999</v>
      </c>
      <c r="F722" s="14">
        <f>111.3003 * CHOOSE(CONTROL!$C$9, $D$9, 100%, $F$9) + CHOOSE(CONTROL!$C$27, 0.0021, 0)</f>
        <v>111.30239999999999</v>
      </c>
      <c r="G722" s="14">
        <f>111.5717 * CHOOSE(CONTROL!$C$9, $D$9, 100%, $F$9) + CHOOSE(CONTROL!$C$27, 0.0021, 0)</f>
        <v>111.57380000000001</v>
      </c>
      <c r="H722" s="14">
        <f>111.437 * CHOOSE(CONTROL!$C$9, $D$9, 100%, $F$9) + CHOOSE(CONTROL!$C$27, 0.0021, 0)</f>
        <v>111.4391</v>
      </c>
      <c r="I722" s="14">
        <f>111.437 * CHOOSE(CONTROL!$C$9, $D$9, 100%, $F$9) + CHOOSE(CONTROL!$C$27, 0.0021, 0)</f>
        <v>111.4391</v>
      </c>
      <c r="J722" s="14">
        <f>111.437 * CHOOSE(CONTROL!$C$9, $D$9, 100%, $F$9) + CHOOSE(CONTROL!$C$27, 0.0021, 0)</f>
        <v>111.4391</v>
      </c>
      <c r="K722" s="14">
        <f>111.437 * CHOOSE(CONTROL!$C$9, $D$9, 100%, $F$9) + CHOOSE(CONTROL!$C$27, 0.0021, 0)</f>
        <v>111.4391</v>
      </c>
      <c r="L722" s="14"/>
    </row>
    <row r="723" spans="1:12" ht="15.75" x14ac:dyDescent="0.25">
      <c r="A723" s="32">
        <v>62944</v>
      </c>
      <c r="B723" s="14">
        <f>118.9835 * CHOOSE(CONTROL!$C$9, $D$9, 100%, $F$9) + CHOOSE(CONTROL!$C$27, 0.0021, 0)</f>
        <v>118.98560000000001</v>
      </c>
      <c r="C723" s="14">
        <f>118.5512 * CHOOSE(CONTROL!$C$9, $D$9, 100%, $F$9) + CHOOSE(CONTROL!$C$27, 0.0021, 0)</f>
        <v>118.55329999999999</v>
      </c>
      <c r="D723" s="14">
        <f>118.5512 * CHOOSE(CONTROL!$C$9, $D$9, 100%, $F$9) + CHOOSE(CONTROL!$C$27, 0.0021, 0)</f>
        <v>118.55329999999999</v>
      </c>
      <c r="E723" s="14">
        <f>118.4146 * CHOOSE(CONTROL!$C$9, $D$9, 100%, $F$9) + CHOOSE(CONTROL!$C$27, 0.0021, 0)</f>
        <v>118.41669999999999</v>
      </c>
      <c r="F723" s="14">
        <f>118.4146 * CHOOSE(CONTROL!$C$9, $D$9, 100%, $F$9) + CHOOSE(CONTROL!$C$27, 0.0021, 0)</f>
        <v>118.41669999999999</v>
      </c>
      <c r="G723" s="14">
        <f>118.686 * CHOOSE(CONTROL!$C$9, $D$9, 100%, $F$9) + CHOOSE(CONTROL!$C$27, 0.0021, 0)</f>
        <v>118.68810000000001</v>
      </c>
      <c r="H723" s="14">
        <f>118.5512 * CHOOSE(CONTROL!$C$9, $D$9, 100%, $F$9) + CHOOSE(CONTROL!$C$27, 0.0021, 0)</f>
        <v>118.55329999999999</v>
      </c>
      <c r="I723" s="14">
        <f>118.5512 * CHOOSE(CONTROL!$C$9, $D$9, 100%, $F$9) + CHOOSE(CONTROL!$C$27, 0.0021, 0)</f>
        <v>118.55329999999999</v>
      </c>
      <c r="J723" s="14">
        <f>118.5512 * CHOOSE(CONTROL!$C$9, $D$9, 100%, $F$9) + CHOOSE(CONTROL!$C$27, 0.0021, 0)</f>
        <v>118.55329999999999</v>
      </c>
      <c r="K723" s="14">
        <f>118.5512 * CHOOSE(CONTROL!$C$9, $D$9, 100%, $F$9) + CHOOSE(CONTROL!$C$27, 0.0021, 0)</f>
        <v>118.55329999999999</v>
      </c>
      <c r="L723" s="14"/>
    </row>
    <row r="724" spans="1:12" ht="15.75" x14ac:dyDescent="0.25">
      <c r="A724" s="32">
        <v>62975</v>
      </c>
      <c r="B724" s="14">
        <f>122.8994 * CHOOSE(CONTROL!$C$9, $D$9, 100%, $F$9) + CHOOSE(CONTROL!$C$27, 0.0021, 0)</f>
        <v>122.9015</v>
      </c>
      <c r="C724" s="14">
        <f>122.4672 * CHOOSE(CONTROL!$C$9, $D$9, 100%, $F$9) + CHOOSE(CONTROL!$C$27, 0.0021, 0)</f>
        <v>122.4693</v>
      </c>
      <c r="D724" s="14">
        <f>122.4672 * CHOOSE(CONTROL!$C$9, $D$9, 100%, $F$9) + CHOOSE(CONTROL!$C$27, 0.0021, 0)</f>
        <v>122.4693</v>
      </c>
      <c r="E724" s="14">
        <f>122.3305 * CHOOSE(CONTROL!$C$9, $D$9, 100%, $F$9) + CHOOSE(CONTROL!$C$27, 0.0021, 0)</f>
        <v>122.3326</v>
      </c>
      <c r="F724" s="14">
        <f>122.3305 * CHOOSE(CONTROL!$C$9, $D$9, 100%, $F$9) + CHOOSE(CONTROL!$C$27, 0.0021, 0)</f>
        <v>122.3326</v>
      </c>
      <c r="G724" s="14">
        <f>122.6019 * CHOOSE(CONTROL!$C$9, $D$9, 100%, $F$9) + CHOOSE(CONTROL!$C$27, 0.0021, 0)</f>
        <v>122.604</v>
      </c>
      <c r="H724" s="14">
        <f>122.4672 * CHOOSE(CONTROL!$C$9, $D$9, 100%, $F$9) + CHOOSE(CONTROL!$C$27, 0.0021, 0)</f>
        <v>122.4693</v>
      </c>
      <c r="I724" s="14">
        <f>122.4672 * CHOOSE(CONTROL!$C$9, $D$9, 100%, $F$9) + CHOOSE(CONTROL!$C$27, 0.0021, 0)</f>
        <v>122.4693</v>
      </c>
      <c r="J724" s="14">
        <f>122.4672 * CHOOSE(CONTROL!$C$9, $D$9, 100%, $F$9) + CHOOSE(CONTROL!$C$27, 0.0021, 0)</f>
        <v>122.4693</v>
      </c>
      <c r="K724" s="14">
        <f>122.4672 * CHOOSE(CONTROL!$C$9, $D$9, 100%, $F$9) + CHOOSE(CONTROL!$C$27, 0.0021, 0)</f>
        <v>122.4693</v>
      </c>
      <c r="L724" s="14"/>
    </row>
    <row r="725" spans="1:12" ht="15.75" x14ac:dyDescent="0.25">
      <c r="A725" s="32">
        <v>63005</v>
      </c>
      <c r="B725" s="14">
        <f>124.6372 * CHOOSE(CONTROL!$C$9, $D$9, 100%, $F$9) + CHOOSE(CONTROL!$C$27, 0.0021, 0)</f>
        <v>124.63930000000001</v>
      </c>
      <c r="C725" s="14">
        <f>124.205 * CHOOSE(CONTROL!$C$9, $D$9, 100%, $F$9) + CHOOSE(CONTROL!$C$27, 0.0021, 0)</f>
        <v>124.2071</v>
      </c>
      <c r="D725" s="14">
        <f>124.205 * CHOOSE(CONTROL!$C$9, $D$9, 100%, $F$9) + CHOOSE(CONTROL!$C$27, 0.0021, 0)</f>
        <v>124.2071</v>
      </c>
      <c r="E725" s="14">
        <f>124.0683 * CHOOSE(CONTROL!$C$9, $D$9, 100%, $F$9) + CHOOSE(CONTROL!$C$27, 0.0021, 0)</f>
        <v>124.07039999999999</v>
      </c>
      <c r="F725" s="14">
        <f>124.0683 * CHOOSE(CONTROL!$C$9, $D$9, 100%, $F$9) + CHOOSE(CONTROL!$C$27, 0.0021, 0)</f>
        <v>124.07039999999999</v>
      </c>
      <c r="G725" s="14">
        <f>124.3397 * CHOOSE(CONTROL!$C$9, $D$9, 100%, $F$9) + CHOOSE(CONTROL!$C$27, 0.0021, 0)</f>
        <v>124.34179999999999</v>
      </c>
      <c r="H725" s="14">
        <f>124.205 * CHOOSE(CONTROL!$C$9, $D$9, 100%, $F$9) + CHOOSE(CONTROL!$C$27, 0.0021, 0)</f>
        <v>124.2071</v>
      </c>
      <c r="I725" s="14">
        <f>124.205 * CHOOSE(CONTROL!$C$9, $D$9, 100%, $F$9) + CHOOSE(CONTROL!$C$27, 0.0021, 0)</f>
        <v>124.2071</v>
      </c>
      <c r="J725" s="14">
        <f>124.205 * CHOOSE(CONTROL!$C$9, $D$9, 100%, $F$9) + CHOOSE(CONTROL!$C$27, 0.0021, 0)</f>
        <v>124.2071</v>
      </c>
      <c r="K725" s="14">
        <f>124.205 * CHOOSE(CONTROL!$C$9, $D$9, 100%, $F$9) + CHOOSE(CONTROL!$C$27, 0.0021, 0)</f>
        <v>124.2071</v>
      </c>
      <c r="L725" s="14"/>
    </row>
    <row r="726" spans="1:12" ht="15.75" x14ac:dyDescent="0.25">
      <c r="A726" s="32">
        <v>63036</v>
      </c>
      <c r="B726" s="14">
        <f>124.0651 * CHOOSE(CONTROL!$C$9, $D$9, 100%, $F$9) + CHOOSE(CONTROL!$C$27, 0.0021, 0)</f>
        <v>124.0672</v>
      </c>
      <c r="C726" s="14">
        <f>123.6328 * CHOOSE(CONTROL!$C$9, $D$9, 100%, $F$9) + CHOOSE(CONTROL!$C$27, 0.0021, 0)</f>
        <v>123.6349</v>
      </c>
      <c r="D726" s="14">
        <f>123.6328 * CHOOSE(CONTROL!$C$9, $D$9, 100%, $F$9) + CHOOSE(CONTROL!$C$27, 0.0021, 0)</f>
        <v>123.6349</v>
      </c>
      <c r="E726" s="14">
        <f>123.4962 * CHOOSE(CONTROL!$C$9, $D$9, 100%, $F$9) + CHOOSE(CONTROL!$C$27, 0.0021, 0)</f>
        <v>123.4983</v>
      </c>
      <c r="F726" s="14">
        <f>123.4962 * CHOOSE(CONTROL!$C$9, $D$9, 100%, $F$9) + CHOOSE(CONTROL!$C$27, 0.0021, 0)</f>
        <v>123.4983</v>
      </c>
      <c r="G726" s="14">
        <f>123.7675 * CHOOSE(CONTROL!$C$9, $D$9, 100%, $F$9) + CHOOSE(CONTROL!$C$27, 0.0021, 0)</f>
        <v>123.7696</v>
      </c>
      <c r="H726" s="14">
        <f>123.6328 * CHOOSE(CONTROL!$C$9, $D$9, 100%, $F$9) + CHOOSE(CONTROL!$C$27, 0.0021, 0)</f>
        <v>123.6349</v>
      </c>
      <c r="I726" s="14">
        <f>123.6328 * CHOOSE(CONTROL!$C$9, $D$9, 100%, $F$9) + CHOOSE(CONTROL!$C$27, 0.0021, 0)</f>
        <v>123.6349</v>
      </c>
      <c r="J726" s="14">
        <f>123.6328 * CHOOSE(CONTROL!$C$9, $D$9, 100%, $F$9) + CHOOSE(CONTROL!$C$27, 0.0021, 0)</f>
        <v>123.6349</v>
      </c>
      <c r="K726" s="14">
        <f>123.6328 * CHOOSE(CONTROL!$C$9, $D$9, 100%, $F$9) + CHOOSE(CONTROL!$C$27, 0.0021, 0)</f>
        <v>123.6349</v>
      </c>
      <c r="L726" s="14"/>
    </row>
    <row r="727" spans="1:12" ht="15.75" x14ac:dyDescent="0.25">
      <c r="A727" s="32">
        <v>63067</v>
      </c>
      <c r="B727" s="14">
        <f>121.2302 * CHOOSE(CONTROL!$C$9, $D$9, 100%, $F$9) + CHOOSE(CONTROL!$C$27, 0.0021, 0)</f>
        <v>121.2323</v>
      </c>
      <c r="C727" s="14">
        <f>120.798 * CHOOSE(CONTROL!$C$9, $D$9, 100%, $F$9) + CHOOSE(CONTROL!$C$27, 0.0021, 0)</f>
        <v>120.8001</v>
      </c>
      <c r="D727" s="14">
        <f>120.798 * CHOOSE(CONTROL!$C$9, $D$9, 100%, $F$9) + CHOOSE(CONTROL!$C$27, 0.0021, 0)</f>
        <v>120.8001</v>
      </c>
      <c r="E727" s="14">
        <f>120.6613 * CHOOSE(CONTROL!$C$9, $D$9, 100%, $F$9) + CHOOSE(CONTROL!$C$27, 0.0021, 0)</f>
        <v>120.6634</v>
      </c>
      <c r="F727" s="14">
        <f>120.6613 * CHOOSE(CONTROL!$C$9, $D$9, 100%, $F$9) + CHOOSE(CONTROL!$C$27, 0.0021, 0)</f>
        <v>120.6634</v>
      </c>
      <c r="G727" s="14">
        <f>120.9327 * CHOOSE(CONTROL!$C$9, $D$9, 100%, $F$9) + CHOOSE(CONTROL!$C$27, 0.0021, 0)</f>
        <v>120.9348</v>
      </c>
      <c r="H727" s="14">
        <f>120.798 * CHOOSE(CONTROL!$C$9, $D$9, 100%, $F$9) + CHOOSE(CONTROL!$C$27, 0.0021, 0)</f>
        <v>120.8001</v>
      </c>
      <c r="I727" s="14">
        <f>120.798 * CHOOSE(CONTROL!$C$9, $D$9, 100%, $F$9) + CHOOSE(CONTROL!$C$27, 0.0021, 0)</f>
        <v>120.8001</v>
      </c>
      <c r="J727" s="14">
        <f>120.798 * CHOOSE(CONTROL!$C$9, $D$9, 100%, $F$9) + CHOOSE(CONTROL!$C$27, 0.0021, 0)</f>
        <v>120.8001</v>
      </c>
      <c r="K727" s="14">
        <f>120.798 * CHOOSE(CONTROL!$C$9, $D$9, 100%, $F$9) + CHOOSE(CONTROL!$C$27, 0.0021, 0)</f>
        <v>120.8001</v>
      </c>
      <c r="L727" s="14"/>
    </row>
    <row r="728" spans="1:12" ht="15.75" x14ac:dyDescent="0.25">
      <c r="A728" s="32">
        <v>63097</v>
      </c>
      <c r="B728" s="14">
        <f>117.277 * CHOOSE(CONTROL!$C$9, $D$9, 100%, $F$9) + CHOOSE(CONTROL!$C$27, 0.0021, 0)</f>
        <v>117.2791</v>
      </c>
      <c r="C728" s="14">
        <f>116.8447 * CHOOSE(CONTROL!$C$9, $D$9, 100%, $F$9) + CHOOSE(CONTROL!$C$27, 0.0021, 0)</f>
        <v>116.8468</v>
      </c>
      <c r="D728" s="14">
        <f>116.8447 * CHOOSE(CONTROL!$C$9, $D$9, 100%, $F$9) + CHOOSE(CONTROL!$C$27, 0.0021, 0)</f>
        <v>116.8468</v>
      </c>
      <c r="E728" s="14">
        <f>116.7081 * CHOOSE(CONTROL!$C$9, $D$9, 100%, $F$9) + CHOOSE(CONTROL!$C$27, 0.0021, 0)</f>
        <v>116.7102</v>
      </c>
      <c r="F728" s="14">
        <f>116.7081 * CHOOSE(CONTROL!$C$9, $D$9, 100%, $F$9) + CHOOSE(CONTROL!$C$27, 0.0021, 0)</f>
        <v>116.7102</v>
      </c>
      <c r="G728" s="14">
        <f>116.9794 * CHOOSE(CONTROL!$C$9, $D$9, 100%, $F$9) + CHOOSE(CONTROL!$C$27, 0.0021, 0)</f>
        <v>116.9815</v>
      </c>
      <c r="H728" s="14">
        <f>116.8447 * CHOOSE(CONTROL!$C$9, $D$9, 100%, $F$9) + CHOOSE(CONTROL!$C$27, 0.0021, 0)</f>
        <v>116.8468</v>
      </c>
      <c r="I728" s="14">
        <f>116.8447 * CHOOSE(CONTROL!$C$9, $D$9, 100%, $F$9) + CHOOSE(CONTROL!$C$27, 0.0021, 0)</f>
        <v>116.8468</v>
      </c>
      <c r="J728" s="14">
        <f>116.8447 * CHOOSE(CONTROL!$C$9, $D$9, 100%, $F$9) + CHOOSE(CONTROL!$C$27, 0.0021, 0)</f>
        <v>116.8468</v>
      </c>
      <c r="K728" s="14">
        <f>116.8447 * CHOOSE(CONTROL!$C$9, $D$9, 100%, $F$9) + CHOOSE(CONTROL!$C$27, 0.0021, 0)</f>
        <v>116.8468</v>
      </c>
      <c r="L728" s="14"/>
    </row>
    <row r="729" spans="1:12" ht="15.75" x14ac:dyDescent="0.25">
      <c r="A729" s="32">
        <v>63128</v>
      </c>
      <c r="B729" s="14">
        <f>113.3007 * CHOOSE(CONTROL!$C$9, $D$9, 100%, $F$9) + CHOOSE(CONTROL!$C$27, 0.0021, 0)</f>
        <v>113.3028</v>
      </c>
      <c r="C729" s="14">
        <f>112.8684 * CHOOSE(CONTROL!$C$9, $D$9, 100%, $F$9) + CHOOSE(CONTROL!$C$27, 0.0021, 0)</f>
        <v>112.87049999999999</v>
      </c>
      <c r="D729" s="14">
        <f>112.8684 * CHOOSE(CONTROL!$C$9, $D$9, 100%, $F$9) + CHOOSE(CONTROL!$C$27, 0.0021, 0)</f>
        <v>112.87049999999999</v>
      </c>
      <c r="E729" s="14">
        <f>112.7318 * CHOOSE(CONTROL!$C$9, $D$9, 100%, $F$9) + CHOOSE(CONTROL!$C$27, 0.0021, 0)</f>
        <v>112.73390000000001</v>
      </c>
      <c r="F729" s="14">
        <f>112.7318 * CHOOSE(CONTROL!$C$9, $D$9, 100%, $F$9) + CHOOSE(CONTROL!$C$27, 0.0021, 0)</f>
        <v>112.73390000000001</v>
      </c>
      <c r="G729" s="14">
        <f>113.0031 * CHOOSE(CONTROL!$C$9, $D$9, 100%, $F$9) + CHOOSE(CONTROL!$C$27, 0.0021, 0)</f>
        <v>113.0052</v>
      </c>
      <c r="H729" s="14">
        <f>112.8684 * CHOOSE(CONTROL!$C$9, $D$9, 100%, $F$9) + CHOOSE(CONTROL!$C$27, 0.0021, 0)</f>
        <v>112.87049999999999</v>
      </c>
      <c r="I729" s="14">
        <f>112.8684 * CHOOSE(CONTROL!$C$9, $D$9, 100%, $F$9) + CHOOSE(CONTROL!$C$27, 0.0021, 0)</f>
        <v>112.87049999999999</v>
      </c>
      <c r="J729" s="14">
        <f>112.8684 * CHOOSE(CONTROL!$C$9, $D$9, 100%, $F$9) + CHOOSE(CONTROL!$C$27, 0.0021, 0)</f>
        <v>112.87049999999999</v>
      </c>
      <c r="K729" s="14">
        <f>112.8684 * CHOOSE(CONTROL!$C$9, $D$9, 100%, $F$9) + CHOOSE(CONTROL!$C$27, 0.0021, 0)</f>
        <v>112.87049999999999</v>
      </c>
      <c r="L729" s="14"/>
    </row>
    <row r="730" spans="1:12" ht="15.75" x14ac:dyDescent="0.25">
      <c r="A730" s="32">
        <v>63158</v>
      </c>
      <c r="B730" s="14">
        <f>112.5097 * CHOOSE(CONTROL!$C$9, $D$9, 100%, $F$9) + CHOOSE(CONTROL!$C$27, 0.0021, 0)</f>
        <v>112.51179999999999</v>
      </c>
      <c r="C730" s="14">
        <f>112.0775 * CHOOSE(CONTROL!$C$9, $D$9, 100%, $F$9) + CHOOSE(CONTROL!$C$27, 0.0021, 0)</f>
        <v>112.0796</v>
      </c>
      <c r="D730" s="14">
        <f>112.0775 * CHOOSE(CONTROL!$C$9, $D$9, 100%, $F$9) + CHOOSE(CONTROL!$C$27, 0.0021, 0)</f>
        <v>112.0796</v>
      </c>
      <c r="E730" s="14">
        <f>111.9408 * CHOOSE(CONTROL!$C$9, $D$9, 100%, $F$9) + CHOOSE(CONTROL!$C$27, 0.0021, 0)</f>
        <v>111.94289999999999</v>
      </c>
      <c r="F730" s="14">
        <f>111.9408 * CHOOSE(CONTROL!$C$9, $D$9, 100%, $F$9) + CHOOSE(CONTROL!$C$27, 0.0021, 0)</f>
        <v>111.94289999999999</v>
      </c>
      <c r="G730" s="14">
        <f>112.2122 * CHOOSE(CONTROL!$C$9, $D$9, 100%, $F$9) + CHOOSE(CONTROL!$C$27, 0.0021, 0)</f>
        <v>112.21429999999999</v>
      </c>
      <c r="H730" s="14">
        <f>112.0775 * CHOOSE(CONTROL!$C$9, $D$9, 100%, $F$9) + CHOOSE(CONTROL!$C$27, 0.0021, 0)</f>
        <v>112.0796</v>
      </c>
      <c r="I730" s="14">
        <f>112.0775 * CHOOSE(CONTROL!$C$9, $D$9, 100%, $F$9) + CHOOSE(CONTROL!$C$27, 0.0021, 0)</f>
        <v>112.0796</v>
      </c>
      <c r="J730" s="14">
        <f>112.0775 * CHOOSE(CONTROL!$C$9, $D$9, 100%, $F$9) + CHOOSE(CONTROL!$C$27, 0.0021, 0)</f>
        <v>112.0796</v>
      </c>
      <c r="K730" s="14">
        <f>112.0775 * CHOOSE(CONTROL!$C$9, $D$9, 100%, $F$9) + CHOOSE(CONTROL!$C$27, 0.0021, 0)</f>
        <v>112.0796</v>
      </c>
      <c r="L730" s="14"/>
    </row>
    <row r="731" spans="1:12" ht="15.75" x14ac:dyDescent="0.25">
      <c r="A731" s="32">
        <v>63189</v>
      </c>
      <c r="B731" s="14">
        <f>109.239 * CHOOSE(CONTROL!$C$9, $D$9, 100%, $F$9) + CHOOSE(CONTROL!$C$27, 0.0021, 0)</f>
        <v>109.2411</v>
      </c>
      <c r="C731" s="14">
        <f>108.8068 * CHOOSE(CONTROL!$C$9, $D$9, 100%, $F$9) + CHOOSE(CONTROL!$C$27, 0.0021, 0)</f>
        <v>108.80889999999999</v>
      </c>
      <c r="D731" s="14">
        <f>108.8068 * CHOOSE(CONTROL!$C$9, $D$9, 100%, $F$9) + CHOOSE(CONTROL!$C$27, 0.0021, 0)</f>
        <v>108.80889999999999</v>
      </c>
      <c r="E731" s="14">
        <f>108.6701 * CHOOSE(CONTROL!$C$9, $D$9, 100%, $F$9) + CHOOSE(CONTROL!$C$27, 0.0021, 0)</f>
        <v>108.6722</v>
      </c>
      <c r="F731" s="14">
        <f>108.6701 * CHOOSE(CONTROL!$C$9, $D$9, 100%, $F$9) + CHOOSE(CONTROL!$C$27, 0.0021, 0)</f>
        <v>108.6722</v>
      </c>
      <c r="G731" s="14">
        <f>108.9415 * CHOOSE(CONTROL!$C$9, $D$9, 100%, $F$9) + CHOOSE(CONTROL!$C$27, 0.0021, 0)</f>
        <v>108.9436</v>
      </c>
      <c r="H731" s="14">
        <f>108.8068 * CHOOSE(CONTROL!$C$9, $D$9, 100%, $F$9) + CHOOSE(CONTROL!$C$27, 0.0021, 0)</f>
        <v>108.80889999999999</v>
      </c>
      <c r="I731" s="14">
        <f>108.8068 * CHOOSE(CONTROL!$C$9, $D$9, 100%, $F$9) + CHOOSE(CONTROL!$C$27, 0.0021, 0)</f>
        <v>108.80889999999999</v>
      </c>
      <c r="J731" s="14">
        <f>108.8068 * CHOOSE(CONTROL!$C$9, $D$9, 100%, $F$9) + CHOOSE(CONTROL!$C$27, 0.0021, 0)</f>
        <v>108.80889999999999</v>
      </c>
      <c r="K731" s="14">
        <f>108.8068 * CHOOSE(CONTROL!$C$9, $D$9, 100%, $F$9) + CHOOSE(CONTROL!$C$27, 0.0021, 0)</f>
        <v>108.80889999999999</v>
      </c>
      <c r="L731" s="14"/>
    </row>
    <row r="732" spans="1:12" ht="15.75" x14ac:dyDescent="0.25">
      <c r="A732" s="32">
        <v>63220</v>
      </c>
      <c r="B732" s="14">
        <f>108.6022 * CHOOSE(CONTROL!$C$9, $D$9, 100%, $F$9) + CHOOSE(CONTROL!$C$27, 0.0021, 0)</f>
        <v>108.60429999999999</v>
      </c>
      <c r="C732" s="14">
        <f>108.17 * CHOOSE(CONTROL!$C$9, $D$9, 100%, $F$9) + CHOOSE(CONTROL!$C$27, 0.0021, 0)</f>
        <v>108.1721</v>
      </c>
      <c r="D732" s="14">
        <f>108.17 * CHOOSE(CONTROL!$C$9, $D$9, 100%, $F$9) + CHOOSE(CONTROL!$C$27, 0.0021, 0)</f>
        <v>108.1721</v>
      </c>
      <c r="E732" s="14">
        <f>108.0333 * CHOOSE(CONTROL!$C$9, $D$9, 100%, $F$9) + CHOOSE(CONTROL!$C$27, 0.0021, 0)</f>
        <v>108.0354</v>
      </c>
      <c r="F732" s="14">
        <f>108.0333 * CHOOSE(CONTROL!$C$9, $D$9, 100%, $F$9) + CHOOSE(CONTROL!$C$27, 0.0021, 0)</f>
        <v>108.0354</v>
      </c>
      <c r="G732" s="14">
        <f>108.3047 * CHOOSE(CONTROL!$C$9, $D$9, 100%, $F$9) + CHOOSE(CONTROL!$C$27, 0.0021, 0)</f>
        <v>108.3068</v>
      </c>
      <c r="H732" s="14">
        <f>108.17 * CHOOSE(CONTROL!$C$9, $D$9, 100%, $F$9) + CHOOSE(CONTROL!$C$27, 0.0021, 0)</f>
        <v>108.1721</v>
      </c>
      <c r="I732" s="14">
        <f>108.17 * CHOOSE(CONTROL!$C$9, $D$9, 100%, $F$9) + CHOOSE(CONTROL!$C$27, 0.0021, 0)</f>
        <v>108.1721</v>
      </c>
      <c r="J732" s="14">
        <f>108.17 * CHOOSE(CONTROL!$C$9, $D$9, 100%, $F$9) + CHOOSE(CONTROL!$C$27, 0.0021, 0)</f>
        <v>108.1721</v>
      </c>
      <c r="K732" s="14">
        <f>108.17 * CHOOSE(CONTROL!$C$9, $D$9, 100%, $F$9) + CHOOSE(CONTROL!$C$27, 0.0021, 0)</f>
        <v>108.1721</v>
      </c>
      <c r="L732" s="14"/>
    </row>
    <row r="733" spans="1:12" ht="15.75" x14ac:dyDescent="0.25">
      <c r="A733" s="32">
        <v>63248</v>
      </c>
      <c r="B733" s="14">
        <f>108.3067 * CHOOSE(CONTROL!$C$9, $D$9, 100%, $F$9) + CHOOSE(CONTROL!$C$27, 0.0021, 0)</f>
        <v>108.30880000000001</v>
      </c>
      <c r="C733" s="14">
        <f>107.8745 * CHOOSE(CONTROL!$C$9, $D$9, 100%, $F$9) + CHOOSE(CONTROL!$C$27, 0.0021, 0)</f>
        <v>107.8766</v>
      </c>
      <c r="D733" s="14">
        <f>107.8745 * CHOOSE(CONTROL!$C$9, $D$9, 100%, $F$9) + CHOOSE(CONTROL!$C$27, 0.0021, 0)</f>
        <v>107.8766</v>
      </c>
      <c r="E733" s="14">
        <f>107.7378 * CHOOSE(CONTROL!$C$9, $D$9, 100%, $F$9) + CHOOSE(CONTROL!$C$27, 0.0021, 0)</f>
        <v>107.73989999999999</v>
      </c>
      <c r="F733" s="14">
        <f>107.7378 * CHOOSE(CONTROL!$C$9, $D$9, 100%, $F$9) + CHOOSE(CONTROL!$C$27, 0.0021, 0)</f>
        <v>107.73989999999999</v>
      </c>
      <c r="G733" s="14">
        <f>108.0092 * CHOOSE(CONTROL!$C$9, $D$9, 100%, $F$9) + CHOOSE(CONTROL!$C$27, 0.0021, 0)</f>
        <v>108.01130000000001</v>
      </c>
      <c r="H733" s="14">
        <f>107.8745 * CHOOSE(CONTROL!$C$9, $D$9, 100%, $F$9) + CHOOSE(CONTROL!$C$27, 0.0021, 0)</f>
        <v>107.8766</v>
      </c>
      <c r="I733" s="14">
        <f>107.8745 * CHOOSE(CONTROL!$C$9, $D$9, 100%, $F$9) + CHOOSE(CONTROL!$C$27, 0.0021, 0)</f>
        <v>107.8766</v>
      </c>
      <c r="J733" s="14">
        <f>107.8745 * CHOOSE(CONTROL!$C$9, $D$9, 100%, $F$9) + CHOOSE(CONTROL!$C$27, 0.0021, 0)</f>
        <v>107.8766</v>
      </c>
      <c r="K733" s="14">
        <f>107.8745 * CHOOSE(CONTROL!$C$9, $D$9, 100%, $F$9) + CHOOSE(CONTROL!$C$27, 0.0021, 0)</f>
        <v>107.8766</v>
      </c>
      <c r="L733" s="14"/>
    </row>
    <row r="734" spans="1:12" ht="15.75" x14ac:dyDescent="0.25">
      <c r="A734" s="32">
        <v>63279</v>
      </c>
      <c r="B734" s="14">
        <f>113.8943 * CHOOSE(CONTROL!$C$9, $D$9, 100%, $F$9) + CHOOSE(CONTROL!$C$27, 0.0021, 0)</f>
        <v>113.8964</v>
      </c>
      <c r="C734" s="14">
        <f>113.462 * CHOOSE(CONTROL!$C$9, $D$9, 100%, $F$9) + CHOOSE(CONTROL!$C$27, 0.0021, 0)</f>
        <v>113.4641</v>
      </c>
      <c r="D734" s="14">
        <f>113.462 * CHOOSE(CONTROL!$C$9, $D$9, 100%, $F$9) + CHOOSE(CONTROL!$C$27, 0.0021, 0)</f>
        <v>113.4641</v>
      </c>
      <c r="E734" s="14">
        <f>113.3254 * CHOOSE(CONTROL!$C$9, $D$9, 100%, $F$9) + CHOOSE(CONTROL!$C$27, 0.0021, 0)</f>
        <v>113.3275</v>
      </c>
      <c r="F734" s="14">
        <f>113.3254 * CHOOSE(CONTROL!$C$9, $D$9, 100%, $F$9) + CHOOSE(CONTROL!$C$27, 0.0021, 0)</f>
        <v>113.3275</v>
      </c>
      <c r="G734" s="14">
        <f>113.5968 * CHOOSE(CONTROL!$C$9, $D$9, 100%, $F$9) + CHOOSE(CONTROL!$C$27, 0.0021, 0)</f>
        <v>113.5989</v>
      </c>
      <c r="H734" s="14">
        <f>113.462 * CHOOSE(CONTROL!$C$9, $D$9, 100%, $F$9) + CHOOSE(CONTROL!$C$27, 0.0021, 0)</f>
        <v>113.4641</v>
      </c>
      <c r="I734" s="14">
        <f>113.462 * CHOOSE(CONTROL!$C$9, $D$9, 100%, $F$9) + CHOOSE(CONTROL!$C$27, 0.0021, 0)</f>
        <v>113.4641</v>
      </c>
      <c r="J734" s="14">
        <f>113.462 * CHOOSE(CONTROL!$C$9, $D$9, 100%, $F$9) + CHOOSE(CONTROL!$C$27, 0.0021, 0)</f>
        <v>113.4641</v>
      </c>
      <c r="K734" s="14">
        <f>113.462 * CHOOSE(CONTROL!$C$9, $D$9, 100%, $F$9) + CHOOSE(CONTROL!$C$27, 0.0021, 0)</f>
        <v>113.4641</v>
      </c>
      <c r="L734" s="14"/>
    </row>
    <row r="735" spans="1:12" ht="15.75" x14ac:dyDescent="0.25">
      <c r="A735" s="32">
        <v>63309</v>
      </c>
      <c r="B735" s="14">
        <f>121.14 * CHOOSE(CONTROL!$C$9, $D$9, 100%, $F$9) + CHOOSE(CONTROL!$C$27, 0.0021, 0)</f>
        <v>121.1421</v>
      </c>
      <c r="C735" s="14">
        <f>120.7078 * CHOOSE(CONTROL!$C$9, $D$9, 100%, $F$9) + CHOOSE(CONTROL!$C$27, 0.0021, 0)</f>
        <v>120.7099</v>
      </c>
      <c r="D735" s="14">
        <f>120.7078 * CHOOSE(CONTROL!$C$9, $D$9, 100%, $F$9) + CHOOSE(CONTROL!$C$27, 0.0021, 0)</f>
        <v>120.7099</v>
      </c>
      <c r="E735" s="14">
        <f>120.5711 * CHOOSE(CONTROL!$C$9, $D$9, 100%, $F$9) + CHOOSE(CONTROL!$C$27, 0.0021, 0)</f>
        <v>120.5732</v>
      </c>
      <c r="F735" s="14">
        <f>120.5711 * CHOOSE(CONTROL!$C$9, $D$9, 100%, $F$9) + CHOOSE(CONTROL!$C$27, 0.0021, 0)</f>
        <v>120.5732</v>
      </c>
      <c r="G735" s="14">
        <f>120.8425 * CHOOSE(CONTROL!$C$9, $D$9, 100%, $F$9) + CHOOSE(CONTROL!$C$27, 0.0021, 0)</f>
        <v>120.8446</v>
      </c>
      <c r="H735" s="14">
        <f>120.7078 * CHOOSE(CONTROL!$C$9, $D$9, 100%, $F$9) + CHOOSE(CONTROL!$C$27, 0.0021, 0)</f>
        <v>120.7099</v>
      </c>
      <c r="I735" s="14">
        <f>120.7078 * CHOOSE(CONTROL!$C$9, $D$9, 100%, $F$9) + CHOOSE(CONTROL!$C$27, 0.0021, 0)</f>
        <v>120.7099</v>
      </c>
      <c r="J735" s="14">
        <f>120.7078 * CHOOSE(CONTROL!$C$9, $D$9, 100%, $F$9) + CHOOSE(CONTROL!$C$27, 0.0021, 0)</f>
        <v>120.7099</v>
      </c>
      <c r="K735" s="14">
        <f>120.7078 * CHOOSE(CONTROL!$C$9, $D$9, 100%, $F$9) + CHOOSE(CONTROL!$C$27, 0.0021, 0)</f>
        <v>120.7099</v>
      </c>
      <c r="L735" s="14"/>
    </row>
    <row r="736" spans="1:12" ht="15.75" x14ac:dyDescent="0.25">
      <c r="A736" s="32">
        <v>63340</v>
      </c>
      <c r="B736" s="14">
        <f>125.1283 * CHOOSE(CONTROL!$C$9, $D$9, 100%, $F$9) + CHOOSE(CONTROL!$C$27, 0.0021, 0)</f>
        <v>125.13039999999999</v>
      </c>
      <c r="C736" s="14">
        <f>124.6961 * CHOOSE(CONTROL!$C$9, $D$9, 100%, $F$9) + CHOOSE(CONTROL!$C$27, 0.0021, 0)</f>
        <v>124.6982</v>
      </c>
      <c r="D736" s="14">
        <f>124.6961 * CHOOSE(CONTROL!$C$9, $D$9, 100%, $F$9) + CHOOSE(CONTROL!$C$27, 0.0021, 0)</f>
        <v>124.6982</v>
      </c>
      <c r="E736" s="14">
        <f>124.5594 * CHOOSE(CONTROL!$C$9, $D$9, 100%, $F$9) + CHOOSE(CONTROL!$C$27, 0.0021, 0)</f>
        <v>124.5615</v>
      </c>
      <c r="F736" s="14">
        <f>124.5594 * CHOOSE(CONTROL!$C$9, $D$9, 100%, $F$9) + CHOOSE(CONTROL!$C$27, 0.0021, 0)</f>
        <v>124.5615</v>
      </c>
      <c r="G736" s="14">
        <f>124.8308 * CHOOSE(CONTROL!$C$9, $D$9, 100%, $F$9) + CHOOSE(CONTROL!$C$27, 0.0021, 0)</f>
        <v>124.8329</v>
      </c>
      <c r="H736" s="14">
        <f>124.6961 * CHOOSE(CONTROL!$C$9, $D$9, 100%, $F$9) + CHOOSE(CONTROL!$C$27, 0.0021, 0)</f>
        <v>124.6982</v>
      </c>
      <c r="I736" s="14">
        <f>124.6961 * CHOOSE(CONTROL!$C$9, $D$9, 100%, $F$9) + CHOOSE(CONTROL!$C$27, 0.0021, 0)</f>
        <v>124.6982</v>
      </c>
      <c r="J736" s="14">
        <f>124.6961 * CHOOSE(CONTROL!$C$9, $D$9, 100%, $F$9) + CHOOSE(CONTROL!$C$27, 0.0021, 0)</f>
        <v>124.6982</v>
      </c>
      <c r="K736" s="14">
        <f>124.6961 * CHOOSE(CONTROL!$C$9, $D$9, 100%, $F$9) + CHOOSE(CONTROL!$C$27, 0.0021, 0)</f>
        <v>124.6982</v>
      </c>
      <c r="L736" s="14"/>
    </row>
    <row r="737" spans="1:12" ht="15.75" x14ac:dyDescent="0.25">
      <c r="A737" s="32">
        <v>63370</v>
      </c>
      <c r="B737" s="14">
        <f>126.8983 * CHOOSE(CONTROL!$C$9, $D$9, 100%, $F$9) + CHOOSE(CONTROL!$C$27, 0.0021, 0)</f>
        <v>126.9004</v>
      </c>
      <c r="C737" s="14">
        <f>126.466 * CHOOSE(CONTROL!$C$9, $D$9, 100%, $F$9) + CHOOSE(CONTROL!$C$27, 0.0021, 0)</f>
        <v>126.46809999999999</v>
      </c>
      <c r="D737" s="14">
        <f>126.466 * CHOOSE(CONTROL!$C$9, $D$9, 100%, $F$9) + CHOOSE(CONTROL!$C$27, 0.0021, 0)</f>
        <v>126.46809999999999</v>
      </c>
      <c r="E737" s="14">
        <f>126.3294 * CHOOSE(CONTROL!$C$9, $D$9, 100%, $F$9) + CHOOSE(CONTROL!$C$27, 0.0021, 0)</f>
        <v>126.33150000000001</v>
      </c>
      <c r="F737" s="14">
        <f>126.3294 * CHOOSE(CONTROL!$C$9, $D$9, 100%, $F$9) + CHOOSE(CONTROL!$C$27, 0.0021, 0)</f>
        <v>126.33150000000001</v>
      </c>
      <c r="G737" s="14">
        <f>126.6007 * CHOOSE(CONTROL!$C$9, $D$9, 100%, $F$9) + CHOOSE(CONTROL!$C$27, 0.0021, 0)</f>
        <v>126.6028</v>
      </c>
      <c r="H737" s="14">
        <f>126.466 * CHOOSE(CONTROL!$C$9, $D$9, 100%, $F$9) + CHOOSE(CONTROL!$C$27, 0.0021, 0)</f>
        <v>126.46809999999999</v>
      </c>
      <c r="I737" s="14">
        <f>126.466 * CHOOSE(CONTROL!$C$9, $D$9, 100%, $F$9) + CHOOSE(CONTROL!$C$27, 0.0021, 0)</f>
        <v>126.46809999999999</v>
      </c>
      <c r="J737" s="14">
        <f>126.466 * CHOOSE(CONTROL!$C$9, $D$9, 100%, $F$9) + CHOOSE(CONTROL!$C$27, 0.0021, 0)</f>
        <v>126.46809999999999</v>
      </c>
      <c r="K737" s="14">
        <f>126.466 * CHOOSE(CONTROL!$C$9, $D$9, 100%, $F$9) + CHOOSE(CONTROL!$C$27, 0.0021, 0)</f>
        <v>126.46809999999999</v>
      </c>
      <c r="L737" s="14"/>
    </row>
    <row r="738" spans="1:12" ht="15.75" x14ac:dyDescent="0.25">
      <c r="A738" s="32">
        <v>63401</v>
      </c>
      <c r="B738" s="14">
        <f>126.3155 * CHOOSE(CONTROL!$C$9, $D$9, 100%, $F$9) + CHOOSE(CONTROL!$C$27, 0.0021, 0)</f>
        <v>126.3176</v>
      </c>
      <c r="C738" s="14">
        <f>125.8833 * CHOOSE(CONTROL!$C$9, $D$9, 100%, $F$9) + CHOOSE(CONTROL!$C$27, 0.0021, 0)</f>
        <v>125.8854</v>
      </c>
      <c r="D738" s="14">
        <f>125.8833 * CHOOSE(CONTROL!$C$9, $D$9, 100%, $F$9) + CHOOSE(CONTROL!$C$27, 0.0021, 0)</f>
        <v>125.8854</v>
      </c>
      <c r="E738" s="14">
        <f>125.7466 * CHOOSE(CONTROL!$C$9, $D$9, 100%, $F$9) + CHOOSE(CONTROL!$C$27, 0.0021, 0)</f>
        <v>125.7487</v>
      </c>
      <c r="F738" s="14">
        <f>125.7466 * CHOOSE(CONTROL!$C$9, $D$9, 100%, $F$9) + CHOOSE(CONTROL!$C$27, 0.0021, 0)</f>
        <v>125.7487</v>
      </c>
      <c r="G738" s="14">
        <f>126.018 * CHOOSE(CONTROL!$C$9, $D$9, 100%, $F$9) + CHOOSE(CONTROL!$C$27, 0.0021, 0)</f>
        <v>126.0201</v>
      </c>
      <c r="H738" s="14">
        <f>125.8833 * CHOOSE(CONTROL!$C$9, $D$9, 100%, $F$9) + CHOOSE(CONTROL!$C$27, 0.0021, 0)</f>
        <v>125.8854</v>
      </c>
      <c r="I738" s="14">
        <f>125.8833 * CHOOSE(CONTROL!$C$9, $D$9, 100%, $F$9) + CHOOSE(CONTROL!$C$27, 0.0021, 0)</f>
        <v>125.8854</v>
      </c>
      <c r="J738" s="14">
        <f>125.8833 * CHOOSE(CONTROL!$C$9, $D$9, 100%, $F$9) + CHOOSE(CONTROL!$C$27, 0.0021, 0)</f>
        <v>125.8854</v>
      </c>
      <c r="K738" s="14">
        <f>125.8833 * CHOOSE(CONTROL!$C$9, $D$9, 100%, $F$9) + CHOOSE(CONTROL!$C$27, 0.0021, 0)</f>
        <v>125.8854</v>
      </c>
      <c r="L738" s="14"/>
    </row>
    <row r="739" spans="1:12" ht="15.75" x14ac:dyDescent="0.25">
      <c r="A739" s="32">
        <v>63432</v>
      </c>
      <c r="B739" s="14">
        <f>123.4283 * CHOOSE(CONTROL!$C$9, $D$9, 100%, $F$9) + CHOOSE(CONTROL!$C$27, 0.0021, 0)</f>
        <v>123.43039999999999</v>
      </c>
      <c r="C739" s="14">
        <f>122.9961 * CHOOSE(CONTROL!$C$9, $D$9, 100%, $F$9) + CHOOSE(CONTROL!$C$27, 0.0021, 0)</f>
        <v>122.9982</v>
      </c>
      <c r="D739" s="14">
        <f>122.9961 * CHOOSE(CONTROL!$C$9, $D$9, 100%, $F$9) + CHOOSE(CONTROL!$C$27, 0.0021, 0)</f>
        <v>122.9982</v>
      </c>
      <c r="E739" s="14">
        <f>122.8594 * CHOOSE(CONTROL!$C$9, $D$9, 100%, $F$9) + CHOOSE(CONTROL!$C$27, 0.0021, 0)</f>
        <v>122.86149999999999</v>
      </c>
      <c r="F739" s="14">
        <f>122.8594 * CHOOSE(CONTROL!$C$9, $D$9, 100%, $F$9) + CHOOSE(CONTROL!$C$27, 0.0021, 0)</f>
        <v>122.86149999999999</v>
      </c>
      <c r="G739" s="14">
        <f>123.1308 * CHOOSE(CONTROL!$C$9, $D$9, 100%, $F$9) + CHOOSE(CONTROL!$C$27, 0.0021, 0)</f>
        <v>123.13289999999999</v>
      </c>
      <c r="H739" s="14">
        <f>122.9961 * CHOOSE(CONTROL!$C$9, $D$9, 100%, $F$9) + CHOOSE(CONTROL!$C$27, 0.0021, 0)</f>
        <v>122.9982</v>
      </c>
      <c r="I739" s="14">
        <f>122.9961 * CHOOSE(CONTROL!$C$9, $D$9, 100%, $F$9) + CHOOSE(CONTROL!$C$27, 0.0021, 0)</f>
        <v>122.9982</v>
      </c>
      <c r="J739" s="14">
        <f>122.9961 * CHOOSE(CONTROL!$C$9, $D$9, 100%, $F$9) + CHOOSE(CONTROL!$C$27, 0.0021, 0)</f>
        <v>122.9982</v>
      </c>
      <c r="K739" s="14">
        <f>122.9961 * CHOOSE(CONTROL!$C$9, $D$9, 100%, $F$9) + CHOOSE(CONTROL!$C$27, 0.0021, 0)</f>
        <v>122.9982</v>
      </c>
      <c r="L739" s="14"/>
    </row>
    <row r="740" spans="1:12" ht="15.75" x14ac:dyDescent="0.25">
      <c r="A740" s="32">
        <v>63462</v>
      </c>
      <c r="B740" s="14">
        <f>119.402 * CHOOSE(CONTROL!$C$9, $D$9, 100%, $F$9) + CHOOSE(CONTROL!$C$27, 0.0021, 0)</f>
        <v>119.4041</v>
      </c>
      <c r="C740" s="14">
        <f>118.9697 * CHOOSE(CONTROL!$C$9, $D$9, 100%, $F$9) + CHOOSE(CONTROL!$C$27, 0.0021, 0)</f>
        <v>118.9718</v>
      </c>
      <c r="D740" s="14">
        <f>118.9697 * CHOOSE(CONTROL!$C$9, $D$9, 100%, $F$9) + CHOOSE(CONTROL!$C$27, 0.0021, 0)</f>
        <v>118.9718</v>
      </c>
      <c r="E740" s="14">
        <f>118.8331 * CHOOSE(CONTROL!$C$9, $D$9, 100%, $F$9) + CHOOSE(CONTROL!$C$27, 0.0021, 0)</f>
        <v>118.8352</v>
      </c>
      <c r="F740" s="14">
        <f>118.8331 * CHOOSE(CONTROL!$C$9, $D$9, 100%, $F$9) + CHOOSE(CONTROL!$C$27, 0.0021, 0)</f>
        <v>118.8352</v>
      </c>
      <c r="G740" s="14">
        <f>119.1044 * CHOOSE(CONTROL!$C$9, $D$9, 100%, $F$9) + CHOOSE(CONTROL!$C$27, 0.0021, 0)</f>
        <v>119.1065</v>
      </c>
      <c r="H740" s="14">
        <f>118.9697 * CHOOSE(CONTROL!$C$9, $D$9, 100%, $F$9) + CHOOSE(CONTROL!$C$27, 0.0021, 0)</f>
        <v>118.9718</v>
      </c>
      <c r="I740" s="14">
        <f>118.9697 * CHOOSE(CONTROL!$C$9, $D$9, 100%, $F$9) + CHOOSE(CONTROL!$C$27, 0.0021, 0)</f>
        <v>118.9718</v>
      </c>
      <c r="J740" s="14">
        <f>118.9697 * CHOOSE(CONTROL!$C$9, $D$9, 100%, $F$9) + CHOOSE(CONTROL!$C$27, 0.0021, 0)</f>
        <v>118.9718</v>
      </c>
      <c r="K740" s="14">
        <f>118.9697 * CHOOSE(CONTROL!$C$9, $D$9, 100%, $F$9) + CHOOSE(CONTROL!$C$27, 0.0021, 0)</f>
        <v>118.9718</v>
      </c>
      <c r="L740" s="14"/>
    </row>
    <row r="741" spans="1:12" ht="15.75" x14ac:dyDescent="0.25">
      <c r="A741" s="32">
        <v>63493</v>
      </c>
      <c r="B741" s="14">
        <f>115.3522 * CHOOSE(CONTROL!$C$9, $D$9, 100%, $F$9) + CHOOSE(CONTROL!$C$27, 0.0021, 0)</f>
        <v>115.35429999999999</v>
      </c>
      <c r="C741" s="14">
        <f>114.9199 * CHOOSE(CONTROL!$C$9, $D$9, 100%, $F$9) + CHOOSE(CONTROL!$C$27, 0.0021, 0)</f>
        <v>114.922</v>
      </c>
      <c r="D741" s="14">
        <f>114.9199 * CHOOSE(CONTROL!$C$9, $D$9, 100%, $F$9) + CHOOSE(CONTROL!$C$27, 0.0021, 0)</f>
        <v>114.922</v>
      </c>
      <c r="E741" s="14">
        <f>114.7833 * CHOOSE(CONTROL!$C$9, $D$9, 100%, $F$9) + CHOOSE(CONTROL!$C$27, 0.0021, 0)</f>
        <v>114.7854</v>
      </c>
      <c r="F741" s="14">
        <f>114.7833 * CHOOSE(CONTROL!$C$9, $D$9, 100%, $F$9) + CHOOSE(CONTROL!$C$27, 0.0021, 0)</f>
        <v>114.7854</v>
      </c>
      <c r="G741" s="14">
        <f>115.0547 * CHOOSE(CONTROL!$C$9, $D$9, 100%, $F$9) + CHOOSE(CONTROL!$C$27, 0.0021, 0)</f>
        <v>115.0568</v>
      </c>
      <c r="H741" s="14">
        <f>114.9199 * CHOOSE(CONTROL!$C$9, $D$9, 100%, $F$9) + CHOOSE(CONTROL!$C$27, 0.0021, 0)</f>
        <v>114.922</v>
      </c>
      <c r="I741" s="14">
        <f>114.9199 * CHOOSE(CONTROL!$C$9, $D$9, 100%, $F$9) + CHOOSE(CONTROL!$C$27, 0.0021, 0)</f>
        <v>114.922</v>
      </c>
      <c r="J741" s="14">
        <f>114.9199 * CHOOSE(CONTROL!$C$9, $D$9, 100%, $F$9) + CHOOSE(CONTROL!$C$27, 0.0021, 0)</f>
        <v>114.922</v>
      </c>
      <c r="K741" s="14">
        <f>114.9199 * CHOOSE(CONTROL!$C$9, $D$9, 100%, $F$9) + CHOOSE(CONTROL!$C$27, 0.0021, 0)</f>
        <v>114.922</v>
      </c>
      <c r="L741" s="14"/>
    </row>
    <row r="742" spans="1:12" ht="15.75" x14ac:dyDescent="0.25">
      <c r="A742" s="32">
        <v>63523</v>
      </c>
      <c r="B742" s="14">
        <f>114.5466 * CHOOSE(CONTROL!$C$9, $D$9, 100%, $F$9) + CHOOSE(CONTROL!$C$27, 0.0021, 0)</f>
        <v>114.5487</v>
      </c>
      <c r="C742" s="14">
        <f>114.1144 * CHOOSE(CONTROL!$C$9, $D$9, 100%, $F$9) + CHOOSE(CONTROL!$C$27, 0.0021, 0)</f>
        <v>114.1165</v>
      </c>
      <c r="D742" s="14">
        <f>114.1144 * CHOOSE(CONTROL!$C$9, $D$9, 100%, $F$9) + CHOOSE(CONTROL!$C$27, 0.0021, 0)</f>
        <v>114.1165</v>
      </c>
      <c r="E742" s="14">
        <f>113.9777 * CHOOSE(CONTROL!$C$9, $D$9, 100%, $F$9) + CHOOSE(CONTROL!$C$27, 0.0021, 0)</f>
        <v>113.9798</v>
      </c>
      <c r="F742" s="14">
        <f>113.9777 * CHOOSE(CONTROL!$C$9, $D$9, 100%, $F$9) + CHOOSE(CONTROL!$C$27, 0.0021, 0)</f>
        <v>113.9798</v>
      </c>
      <c r="G742" s="14">
        <f>114.2491 * CHOOSE(CONTROL!$C$9, $D$9, 100%, $F$9) + CHOOSE(CONTROL!$C$27, 0.0021, 0)</f>
        <v>114.2512</v>
      </c>
      <c r="H742" s="14">
        <f>114.1144 * CHOOSE(CONTROL!$C$9, $D$9, 100%, $F$9) + CHOOSE(CONTROL!$C$27, 0.0021, 0)</f>
        <v>114.1165</v>
      </c>
      <c r="I742" s="14">
        <f>114.1144 * CHOOSE(CONTROL!$C$9, $D$9, 100%, $F$9) + CHOOSE(CONTROL!$C$27, 0.0021, 0)</f>
        <v>114.1165</v>
      </c>
      <c r="J742" s="14">
        <f>114.1144 * CHOOSE(CONTROL!$C$9, $D$9, 100%, $F$9) + CHOOSE(CONTROL!$C$27, 0.0021, 0)</f>
        <v>114.1165</v>
      </c>
      <c r="K742" s="14">
        <f>114.1144 * CHOOSE(CONTROL!$C$9, $D$9, 100%, $F$9) + CHOOSE(CONTROL!$C$27, 0.0021, 0)</f>
        <v>114.1165</v>
      </c>
      <c r="L742" s="14"/>
    </row>
    <row r="743" spans="1:12" ht="15.75" x14ac:dyDescent="0.25">
      <c r="A743" s="32">
        <v>63554</v>
      </c>
      <c r="B743" s="14">
        <f>111.2155 * CHOOSE(CONTROL!$C$9, $D$9, 100%, $F$9) + CHOOSE(CONTROL!$C$27, 0.0021, 0)</f>
        <v>111.2176</v>
      </c>
      <c r="C743" s="14">
        <f>110.7832 * CHOOSE(CONTROL!$C$9, $D$9, 100%, $F$9) + CHOOSE(CONTROL!$C$27, 0.0021, 0)</f>
        <v>110.78529999999999</v>
      </c>
      <c r="D743" s="14">
        <f>110.7832 * CHOOSE(CONTROL!$C$9, $D$9, 100%, $F$9) + CHOOSE(CONTROL!$C$27, 0.0021, 0)</f>
        <v>110.78529999999999</v>
      </c>
      <c r="E743" s="14">
        <f>110.6465 * CHOOSE(CONTROL!$C$9, $D$9, 100%, $F$9) + CHOOSE(CONTROL!$C$27, 0.0021, 0)</f>
        <v>110.6486</v>
      </c>
      <c r="F743" s="14">
        <f>110.6465 * CHOOSE(CONTROL!$C$9, $D$9, 100%, $F$9) + CHOOSE(CONTROL!$C$27, 0.0021, 0)</f>
        <v>110.6486</v>
      </c>
      <c r="G743" s="14">
        <f>110.9179 * CHOOSE(CONTROL!$C$9, $D$9, 100%, $F$9) + CHOOSE(CONTROL!$C$27, 0.0021, 0)</f>
        <v>110.92</v>
      </c>
      <c r="H743" s="14">
        <f>110.7832 * CHOOSE(CONTROL!$C$9, $D$9, 100%, $F$9) + CHOOSE(CONTROL!$C$27, 0.0021, 0)</f>
        <v>110.78529999999999</v>
      </c>
      <c r="I743" s="14">
        <f>110.7832 * CHOOSE(CONTROL!$C$9, $D$9, 100%, $F$9) + CHOOSE(CONTROL!$C$27, 0.0021, 0)</f>
        <v>110.78529999999999</v>
      </c>
      <c r="J743" s="14">
        <f>110.7832 * CHOOSE(CONTROL!$C$9, $D$9, 100%, $F$9) + CHOOSE(CONTROL!$C$27, 0.0021, 0)</f>
        <v>110.78529999999999</v>
      </c>
      <c r="K743" s="14">
        <f>110.7832 * CHOOSE(CONTROL!$C$9, $D$9, 100%, $F$9) + CHOOSE(CONTROL!$C$27, 0.0021, 0)</f>
        <v>110.78529999999999</v>
      </c>
      <c r="L743" s="14"/>
    </row>
    <row r="744" spans="1:12" ht="15.75" x14ac:dyDescent="0.25">
      <c r="A744" s="32">
        <v>63585</v>
      </c>
      <c r="B744" s="14">
        <f>110.5669 * CHOOSE(CONTROL!$C$9, $D$9, 100%, $F$9) + CHOOSE(CONTROL!$C$27, 0.0021, 0)</f>
        <v>110.569</v>
      </c>
      <c r="C744" s="14">
        <f>110.1347 * CHOOSE(CONTROL!$C$9, $D$9, 100%, $F$9) + CHOOSE(CONTROL!$C$27, 0.0021, 0)</f>
        <v>110.13679999999999</v>
      </c>
      <c r="D744" s="14">
        <f>110.1347 * CHOOSE(CONTROL!$C$9, $D$9, 100%, $F$9) + CHOOSE(CONTROL!$C$27, 0.0021, 0)</f>
        <v>110.13679999999999</v>
      </c>
      <c r="E744" s="14">
        <f>109.998 * CHOOSE(CONTROL!$C$9, $D$9, 100%, $F$9) + CHOOSE(CONTROL!$C$27, 0.0021, 0)</f>
        <v>110.0001</v>
      </c>
      <c r="F744" s="14">
        <f>109.998 * CHOOSE(CONTROL!$C$9, $D$9, 100%, $F$9) + CHOOSE(CONTROL!$C$27, 0.0021, 0)</f>
        <v>110.0001</v>
      </c>
      <c r="G744" s="14">
        <f>110.2694 * CHOOSE(CONTROL!$C$9, $D$9, 100%, $F$9) + CHOOSE(CONTROL!$C$27, 0.0021, 0)</f>
        <v>110.2715</v>
      </c>
      <c r="H744" s="14">
        <f>110.1347 * CHOOSE(CONTROL!$C$9, $D$9, 100%, $F$9) + CHOOSE(CONTROL!$C$27, 0.0021, 0)</f>
        <v>110.13679999999999</v>
      </c>
      <c r="I744" s="14">
        <f>110.1347 * CHOOSE(CONTROL!$C$9, $D$9, 100%, $F$9) + CHOOSE(CONTROL!$C$27, 0.0021, 0)</f>
        <v>110.13679999999999</v>
      </c>
      <c r="J744" s="14">
        <f>110.1347 * CHOOSE(CONTROL!$C$9, $D$9, 100%, $F$9) + CHOOSE(CONTROL!$C$27, 0.0021, 0)</f>
        <v>110.13679999999999</v>
      </c>
      <c r="K744" s="14">
        <f>110.1347 * CHOOSE(CONTROL!$C$9, $D$9, 100%, $F$9) + CHOOSE(CONTROL!$C$27, 0.0021, 0)</f>
        <v>110.13679999999999</v>
      </c>
      <c r="L744" s="14"/>
    </row>
    <row r="745" spans="1:12" ht="15.75" x14ac:dyDescent="0.25">
      <c r="A745" s="32">
        <v>63613</v>
      </c>
      <c r="B745" s="14">
        <f>110.2659 * CHOOSE(CONTROL!$C$9, $D$9, 100%, $F$9) + CHOOSE(CONTROL!$C$27, 0.0021, 0)</f>
        <v>110.268</v>
      </c>
      <c r="C745" s="14">
        <f>109.8337 * CHOOSE(CONTROL!$C$9, $D$9, 100%, $F$9) + CHOOSE(CONTROL!$C$27, 0.0021, 0)</f>
        <v>109.83579999999999</v>
      </c>
      <c r="D745" s="14">
        <f>109.8337 * CHOOSE(CONTROL!$C$9, $D$9, 100%, $F$9) + CHOOSE(CONTROL!$C$27, 0.0021, 0)</f>
        <v>109.83579999999999</v>
      </c>
      <c r="E745" s="14">
        <f>109.697 * CHOOSE(CONTROL!$C$9, $D$9, 100%, $F$9) + CHOOSE(CONTROL!$C$27, 0.0021, 0)</f>
        <v>109.6991</v>
      </c>
      <c r="F745" s="14">
        <f>109.697 * CHOOSE(CONTROL!$C$9, $D$9, 100%, $F$9) + CHOOSE(CONTROL!$C$27, 0.0021, 0)</f>
        <v>109.6991</v>
      </c>
      <c r="G745" s="14">
        <f>109.9684 * CHOOSE(CONTROL!$C$9, $D$9, 100%, $F$9) + CHOOSE(CONTROL!$C$27, 0.0021, 0)</f>
        <v>109.9705</v>
      </c>
      <c r="H745" s="14">
        <f>109.8337 * CHOOSE(CONTROL!$C$9, $D$9, 100%, $F$9) + CHOOSE(CONTROL!$C$27, 0.0021, 0)</f>
        <v>109.83579999999999</v>
      </c>
      <c r="I745" s="14">
        <f>109.8337 * CHOOSE(CONTROL!$C$9, $D$9, 100%, $F$9) + CHOOSE(CONTROL!$C$27, 0.0021, 0)</f>
        <v>109.83579999999999</v>
      </c>
      <c r="J745" s="14">
        <f>109.8337 * CHOOSE(CONTROL!$C$9, $D$9, 100%, $F$9) + CHOOSE(CONTROL!$C$27, 0.0021, 0)</f>
        <v>109.83579999999999</v>
      </c>
      <c r="K745" s="14">
        <f>109.8337 * CHOOSE(CONTROL!$C$9, $D$9, 100%, $F$9) + CHOOSE(CONTROL!$C$27, 0.0021, 0)</f>
        <v>109.83579999999999</v>
      </c>
      <c r="L745" s="14"/>
    </row>
    <row r="746" spans="1:12" ht="15.75" x14ac:dyDescent="0.25">
      <c r="A746" s="32">
        <v>63644</v>
      </c>
      <c r="B746" s="14">
        <f>115.9568 * CHOOSE(CONTROL!$C$9, $D$9, 100%, $F$9) + CHOOSE(CONTROL!$C$27, 0.0021, 0)</f>
        <v>115.9589</v>
      </c>
      <c r="C746" s="14">
        <f>115.5245 * CHOOSE(CONTROL!$C$9, $D$9, 100%, $F$9) + CHOOSE(CONTROL!$C$27, 0.0021, 0)</f>
        <v>115.5266</v>
      </c>
      <c r="D746" s="14">
        <f>115.5245 * CHOOSE(CONTROL!$C$9, $D$9, 100%, $F$9) + CHOOSE(CONTROL!$C$27, 0.0021, 0)</f>
        <v>115.5266</v>
      </c>
      <c r="E746" s="14">
        <f>115.3879 * CHOOSE(CONTROL!$C$9, $D$9, 100%, $F$9) + CHOOSE(CONTROL!$C$27, 0.0021, 0)</f>
        <v>115.39</v>
      </c>
      <c r="F746" s="14">
        <f>115.3879 * CHOOSE(CONTROL!$C$9, $D$9, 100%, $F$9) + CHOOSE(CONTROL!$C$27, 0.0021, 0)</f>
        <v>115.39</v>
      </c>
      <c r="G746" s="14">
        <f>115.6592 * CHOOSE(CONTROL!$C$9, $D$9, 100%, $F$9) + CHOOSE(CONTROL!$C$27, 0.0021, 0)</f>
        <v>115.6613</v>
      </c>
      <c r="H746" s="14">
        <f>115.5245 * CHOOSE(CONTROL!$C$9, $D$9, 100%, $F$9) + CHOOSE(CONTROL!$C$27, 0.0021, 0)</f>
        <v>115.5266</v>
      </c>
      <c r="I746" s="14">
        <f>115.5245 * CHOOSE(CONTROL!$C$9, $D$9, 100%, $F$9) + CHOOSE(CONTROL!$C$27, 0.0021, 0)</f>
        <v>115.5266</v>
      </c>
      <c r="J746" s="14">
        <f>115.5245 * CHOOSE(CONTROL!$C$9, $D$9, 100%, $F$9) + CHOOSE(CONTROL!$C$27, 0.0021, 0)</f>
        <v>115.5266</v>
      </c>
      <c r="K746" s="14">
        <f>115.5245 * CHOOSE(CONTROL!$C$9, $D$9, 100%, $F$9) + CHOOSE(CONTROL!$C$27, 0.0021, 0)</f>
        <v>115.5266</v>
      </c>
      <c r="L746" s="14"/>
    </row>
    <row r="747" spans="1:12" ht="15.75" x14ac:dyDescent="0.25">
      <c r="A747" s="32">
        <v>63674</v>
      </c>
      <c r="B747" s="14">
        <f>123.3364 * CHOOSE(CONTROL!$C$9, $D$9, 100%, $F$9) + CHOOSE(CONTROL!$C$27, 0.0021, 0)</f>
        <v>123.3385</v>
      </c>
      <c r="C747" s="14">
        <f>122.9042 * CHOOSE(CONTROL!$C$9, $D$9, 100%, $F$9) + CHOOSE(CONTROL!$C$27, 0.0021, 0)</f>
        <v>122.9063</v>
      </c>
      <c r="D747" s="14">
        <f>122.9042 * CHOOSE(CONTROL!$C$9, $D$9, 100%, $F$9) + CHOOSE(CONTROL!$C$27, 0.0021, 0)</f>
        <v>122.9063</v>
      </c>
      <c r="E747" s="14">
        <f>122.7675 * CHOOSE(CONTROL!$C$9, $D$9, 100%, $F$9) + CHOOSE(CONTROL!$C$27, 0.0021, 0)</f>
        <v>122.7696</v>
      </c>
      <c r="F747" s="14">
        <f>122.7675 * CHOOSE(CONTROL!$C$9, $D$9, 100%, $F$9) + CHOOSE(CONTROL!$C$27, 0.0021, 0)</f>
        <v>122.7696</v>
      </c>
      <c r="G747" s="14">
        <f>123.0389 * CHOOSE(CONTROL!$C$9, $D$9, 100%, $F$9) + CHOOSE(CONTROL!$C$27, 0.0021, 0)</f>
        <v>123.041</v>
      </c>
      <c r="H747" s="14">
        <f>122.9042 * CHOOSE(CONTROL!$C$9, $D$9, 100%, $F$9) + CHOOSE(CONTROL!$C$27, 0.0021, 0)</f>
        <v>122.9063</v>
      </c>
      <c r="I747" s="14">
        <f>122.9042 * CHOOSE(CONTROL!$C$9, $D$9, 100%, $F$9) + CHOOSE(CONTROL!$C$27, 0.0021, 0)</f>
        <v>122.9063</v>
      </c>
      <c r="J747" s="14">
        <f>122.9042 * CHOOSE(CONTROL!$C$9, $D$9, 100%, $F$9) + CHOOSE(CONTROL!$C$27, 0.0021, 0)</f>
        <v>122.9063</v>
      </c>
      <c r="K747" s="14">
        <f>122.9042 * CHOOSE(CONTROL!$C$9, $D$9, 100%, $F$9) + CHOOSE(CONTROL!$C$27, 0.0021, 0)</f>
        <v>122.9063</v>
      </c>
      <c r="L747" s="14"/>
    </row>
    <row r="748" spans="1:12" ht="15.75" x14ac:dyDescent="0.25">
      <c r="A748" s="32">
        <v>63705</v>
      </c>
      <c r="B748" s="14">
        <f>127.3984 * CHOOSE(CONTROL!$C$9, $D$9, 100%, $F$9) + CHOOSE(CONTROL!$C$27, 0.0021, 0)</f>
        <v>127.40049999999999</v>
      </c>
      <c r="C748" s="14">
        <f>126.9662 * CHOOSE(CONTROL!$C$9, $D$9, 100%, $F$9) + CHOOSE(CONTROL!$C$27, 0.0021, 0)</f>
        <v>126.9683</v>
      </c>
      <c r="D748" s="14">
        <f>126.9662 * CHOOSE(CONTROL!$C$9, $D$9, 100%, $F$9) + CHOOSE(CONTROL!$C$27, 0.0021, 0)</f>
        <v>126.9683</v>
      </c>
      <c r="E748" s="14">
        <f>126.8295 * CHOOSE(CONTROL!$C$9, $D$9, 100%, $F$9) + CHOOSE(CONTROL!$C$27, 0.0021, 0)</f>
        <v>126.83159999999999</v>
      </c>
      <c r="F748" s="14">
        <f>126.8295 * CHOOSE(CONTROL!$C$9, $D$9, 100%, $F$9) + CHOOSE(CONTROL!$C$27, 0.0021, 0)</f>
        <v>126.83159999999999</v>
      </c>
      <c r="G748" s="14">
        <f>127.1009 * CHOOSE(CONTROL!$C$9, $D$9, 100%, $F$9) + CHOOSE(CONTROL!$C$27, 0.0021, 0)</f>
        <v>127.10299999999999</v>
      </c>
      <c r="H748" s="14">
        <f>126.9662 * CHOOSE(CONTROL!$C$9, $D$9, 100%, $F$9) + CHOOSE(CONTROL!$C$27, 0.0021, 0)</f>
        <v>126.9683</v>
      </c>
      <c r="I748" s="14">
        <f>126.9662 * CHOOSE(CONTROL!$C$9, $D$9, 100%, $F$9) + CHOOSE(CONTROL!$C$27, 0.0021, 0)</f>
        <v>126.9683</v>
      </c>
      <c r="J748" s="14">
        <f>126.9662 * CHOOSE(CONTROL!$C$9, $D$9, 100%, $F$9) + CHOOSE(CONTROL!$C$27, 0.0021, 0)</f>
        <v>126.9683</v>
      </c>
      <c r="K748" s="14">
        <f>126.9662 * CHOOSE(CONTROL!$C$9, $D$9, 100%, $F$9) + CHOOSE(CONTROL!$C$27, 0.0021, 0)</f>
        <v>126.9683</v>
      </c>
      <c r="L748" s="14"/>
    </row>
    <row r="749" spans="1:12" ht="15.75" x14ac:dyDescent="0.25">
      <c r="A749" s="32">
        <v>63735</v>
      </c>
      <c r="B749" s="14">
        <f>129.2011 * CHOOSE(CONTROL!$C$9, $D$9, 100%, $F$9) + CHOOSE(CONTROL!$C$27, 0.0021, 0)</f>
        <v>129.20320000000001</v>
      </c>
      <c r="C749" s="14">
        <f>128.7688 * CHOOSE(CONTROL!$C$9, $D$9, 100%, $F$9) + CHOOSE(CONTROL!$C$27, 0.0021, 0)</f>
        <v>128.77090000000001</v>
      </c>
      <c r="D749" s="14">
        <f>128.7688 * CHOOSE(CONTROL!$C$9, $D$9, 100%, $F$9) + CHOOSE(CONTROL!$C$27, 0.0021, 0)</f>
        <v>128.77090000000001</v>
      </c>
      <c r="E749" s="14">
        <f>128.6322 * CHOOSE(CONTROL!$C$9, $D$9, 100%, $F$9) + CHOOSE(CONTROL!$C$27, 0.0021, 0)</f>
        <v>128.63430000000002</v>
      </c>
      <c r="F749" s="14">
        <f>128.6322 * CHOOSE(CONTROL!$C$9, $D$9, 100%, $F$9) + CHOOSE(CONTROL!$C$27, 0.0021, 0)</f>
        <v>128.63430000000002</v>
      </c>
      <c r="G749" s="14">
        <f>128.9035 * CHOOSE(CONTROL!$C$9, $D$9, 100%, $F$9) + CHOOSE(CONTROL!$C$27, 0.0021, 0)</f>
        <v>128.90560000000002</v>
      </c>
      <c r="H749" s="14">
        <f>128.7688 * CHOOSE(CONTROL!$C$9, $D$9, 100%, $F$9) + CHOOSE(CONTROL!$C$27, 0.0021, 0)</f>
        <v>128.77090000000001</v>
      </c>
      <c r="I749" s="14">
        <f>128.7688 * CHOOSE(CONTROL!$C$9, $D$9, 100%, $F$9) + CHOOSE(CONTROL!$C$27, 0.0021, 0)</f>
        <v>128.77090000000001</v>
      </c>
      <c r="J749" s="14">
        <f>128.7688 * CHOOSE(CONTROL!$C$9, $D$9, 100%, $F$9) + CHOOSE(CONTROL!$C$27, 0.0021, 0)</f>
        <v>128.77090000000001</v>
      </c>
      <c r="K749" s="14">
        <f>128.7688 * CHOOSE(CONTROL!$C$9, $D$9, 100%, $F$9) + CHOOSE(CONTROL!$C$27, 0.0021, 0)</f>
        <v>128.77090000000001</v>
      </c>
      <c r="L749" s="14"/>
    </row>
    <row r="750" spans="1:12" ht="15.75" x14ac:dyDescent="0.25">
      <c r="A750" s="32">
        <v>63766</v>
      </c>
      <c r="B750" s="14">
        <f>128.6076 * CHOOSE(CONTROL!$C$9, $D$9, 100%, $F$9) + CHOOSE(CONTROL!$C$27, 0.0021, 0)</f>
        <v>128.6097</v>
      </c>
      <c r="C750" s="14">
        <f>128.1753 * CHOOSE(CONTROL!$C$9, $D$9, 100%, $F$9) + CHOOSE(CONTROL!$C$27, 0.0021, 0)</f>
        <v>128.17740000000001</v>
      </c>
      <c r="D750" s="14">
        <f>128.1753 * CHOOSE(CONTROL!$C$9, $D$9, 100%, $F$9) + CHOOSE(CONTROL!$C$27, 0.0021, 0)</f>
        <v>128.17740000000001</v>
      </c>
      <c r="E750" s="14">
        <f>128.0387 * CHOOSE(CONTROL!$C$9, $D$9, 100%, $F$9) + CHOOSE(CONTROL!$C$27, 0.0021, 0)</f>
        <v>128.04080000000002</v>
      </c>
      <c r="F750" s="14">
        <f>128.0387 * CHOOSE(CONTROL!$C$9, $D$9, 100%, $F$9) + CHOOSE(CONTROL!$C$27, 0.0021, 0)</f>
        <v>128.04080000000002</v>
      </c>
      <c r="G750" s="14">
        <f>128.31 * CHOOSE(CONTROL!$C$9, $D$9, 100%, $F$9) + CHOOSE(CONTROL!$C$27, 0.0021, 0)</f>
        <v>128.31210000000002</v>
      </c>
      <c r="H750" s="14">
        <f>128.1753 * CHOOSE(CONTROL!$C$9, $D$9, 100%, $F$9) + CHOOSE(CONTROL!$C$27, 0.0021, 0)</f>
        <v>128.17740000000001</v>
      </c>
      <c r="I750" s="14">
        <f>128.1753 * CHOOSE(CONTROL!$C$9, $D$9, 100%, $F$9) + CHOOSE(CONTROL!$C$27, 0.0021, 0)</f>
        <v>128.17740000000001</v>
      </c>
      <c r="J750" s="14">
        <f>128.1753 * CHOOSE(CONTROL!$C$9, $D$9, 100%, $F$9) + CHOOSE(CONTROL!$C$27, 0.0021, 0)</f>
        <v>128.17740000000001</v>
      </c>
      <c r="K750" s="14">
        <f>128.1753 * CHOOSE(CONTROL!$C$9, $D$9, 100%, $F$9) + CHOOSE(CONTROL!$C$27, 0.0021, 0)</f>
        <v>128.17740000000001</v>
      </c>
      <c r="L750" s="14"/>
    </row>
    <row r="751" spans="1:12" ht="15.75" x14ac:dyDescent="0.25">
      <c r="A751" s="32">
        <v>63797</v>
      </c>
      <c r="B751" s="14">
        <f>125.667 * CHOOSE(CONTROL!$C$9, $D$9, 100%, $F$9) + CHOOSE(CONTROL!$C$27, 0.0021, 0)</f>
        <v>125.6691</v>
      </c>
      <c r="C751" s="14">
        <f>125.2347 * CHOOSE(CONTROL!$C$9, $D$9, 100%, $F$9) + CHOOSE(CONTROL!$C$27, 0.0021, 0)</f>
        <v>125.2368</v>
      </c>
      <c r="D751" s="14">
        <f>125.2347 * CHOOSE(CONTROL!$C$9, $D$9, 100%, $F$9) + CHOOSE(CONTROL!$C$27, 0.0021, 0)</f>
        <v>125.2368</v>
      </c>
      <c r="E751" s="14">
        <f>125.0981 * CHOOSE(CONTROL!$C$9, $D$9, 100%, $F$9) + CHOOSE(CONTROL!$C$27, 0.0021, 0)</f>
        <v>125.1002</v>
      </c>
      <c r="F751" s="14">
        <f>125.0981 * CHOOSE(CONTROL!$C$9, $D$9, 100%, $F$9) + CHOOSE(CONTROL!$C$27, 0.0021, 0)</f>
        <v>125.1002</v>
      </c>
      <c r="G751" s="14">
        <f>125.3695 * CHOOSE(CONTROL!$C$9, $D$9, 100%, $F$9) + CHOOSE(CONTROL!$C$27, 0.0021, 0)</f>
        <v>125.3716</v>
      </c>
      <c r="H751" s="14">
        <f>125.2347 * CHOOSE(CONTROL!$C$9, $D$9, 100%, $F$9) + CHOOSE(CONTROL!$C$27, 0.0021, 0)</f>
        <v>125.2368</v>
      </c>
      <c r="I751" s="14">
        <f>125.2347 * CHOOSE(CONTROL!$C$9, $D$9, 100%, $F$9) + CHOOSE(CONTROL!$C$27, 0.0021, 0)</f>
        <v>125.2368</v>
      </c>
      <c r="J751" s="14">
        <f>125.2347 * CHOOSE(CONTROL!$C$9, $D$9, 100%, $F$9) + CHOOSE(CONTROL!$C$27, 0.0021, 0)</f>
        <v>125.2368</v>
      </c>
      <c r="K751" s="14">
        <f>125.2347 * CHOOSE(CONTROL!$C$9, $D$9, 100%, $F$9) + CHOOSE(CONTROL!$C$27, 0.0021, 0)</f>
        <v>125.2368</v>
      </c>
      <c r="L751" s="14"/>
    </row>
    <row r="752" spans="1:12" ht="15.75" x14ac:dyDescent="0.25">
      <c r="A752" s="32">
        <v>63827</v>
      </c>
      <c r="B752" s="14">
        <f>121.5662 * CHOOSE(CONTROL!$C$9, $D$9, 100%, $F$9) + CHOOSE(CONTROL!$C$27, 0.0021, 0)</f>
        <v>121.56829999999999</v>
      </c>
      <c r="C752" s="14">
        <f>121.134 * CHOOSE(CONTROL!$C$9, $D$9, 100%, $F$9) + CHOOSE(CONTROL!$C$27, 0.0021, 0)</f>
        <v>121.1361</v>
      </c>
      <c r="D752" s="14">
        <f>121.134 * CHOOSE(CONTROL!$C$9, $D$9, 100%, $F$9) + CHOOSE(CONTROL!$C$27, 0.0021, 0)</f>
        <v>121.1361</v>
      </c>
      <c r="E752" s="14">
        <f>120.9973 * CHOOSE(CONTROL!$C$9, $D$9, 100%, $F$9) + CHOOSE(CONTROL!$C$27, 0.0021, 0)</f>
        <v>120.99939999999999</v>
      </c>
      <c r="F752" s="14">
        <f>120.9973 * CHOOSE(CONTROL!$C$9, $D$9, 100%, $F$9) + CHOOSE(CONTROL!$C$27, 0.0021, 0)</f>
        <v>120.99939999999999</v>
      </c>
      <c r="G752" s="14">
        <f>121.2687 * CHOOSE(CONTROL!$C$9, $D$9, 100%, $F$9) + CHOOSE(CONTROL!$C$27, 0.0021, 0)</f>
        <v>121.27079999999999</v>
      </c>
      <c r="H752" s="14">
        <f>121.134 * CHOOSE(CONTROL!$C$9, $D$9, 100%, $F$9) + CHOOSE(CONTROL!$C$27, 0.0021, 0)</f>
        <v>121.1361</v>
      </c>
      <c r="I752" s="14">
        <f>121.134 * CHOOSE(CONTROL!$C$9, $D$9, 100%, $F$9) + CHOOSE(CONTROL!$C$27, 0.0021, 0)</f>
        <v>121.1361</v>
      </c>
      <c r="J752" s="14">
        <f>121.134 * CHOOSE(CONTROL!$C$9, $D$9, 100%, $F$9) + CHOOSE(CONTROL!$C$27, 0.0021, 0)</f>
        <v>121.1361</v>
      </c>
      <c r="K752" s="14">
        <f>121.134 * CHOOSE(CONTROL!$C$9, $D$9, 100%, $F$9) + CHOOSE(CONTROL!$C$27, 0.0021, 0)</f>
        <v>121.1361</v>
      </c>
      <c r="L752" s="14"/>
    </row>
    <row r="753" spans="1:12" ht="15.75" x14ac:dyDescent="0.25">
      <c r="A753" s="32">
        <v>63858</v>
      </c>
      <c r="B753" s="14">
        <f>117.4416 * CHOOSE(CONTROL!$C$9, $D$9, 100%, $F$9) + CHOOSE(CONTROL!$C$27, 0.0021, 0)</f>
        <v>117.44369999999999</v>
      </c>
      <c r="C753" s="14">
        <f>117.0094 * CHOOSE(CONTROL!$C$9, $D$9, 100%, $F$9) + CHOOSE(CONTROL!$C$27, 0.0021, 0)</f>
        <v>117.0115</v>
      </c>
      <c r="D753" s="14">
        <f>117.0094 * CHOOSE(CONTROL!$C$9, $D$9, 100%, $F$9) + CHOOSE(CONTROL!$C$27, 0.0021, 0)</f>
        <v>117.0115</v>
      </c>
      <c r="E753" s="14">
        <f>116.8727 * CHOOSE(CONTROL!$C$9, $D$9, 100%, $F$9) + CHOOSE(CONTROL!$C$27, 0.0021, 0)</f>
        <v>116.87479999999999</v>
      </c>
      <c r="F753" s="14">
        <f>116.8727 * CHOOSE(CONTROL!$C$9, $D$9, 100%, $F$9) + CHOOSE(CONTROL!$C$27, 0.0021, 0)</f>
        <v>116.87479999999999</v>
      </c>
      <c r="G753" s="14">
        <f>117.1441 * CHOOSE(CONTROL!$C$9, $D$9, 100%, $F$9) + CHOOSE(CONTROL!$C$27, 0.0021, 0)</f>
        <v>117.14619999999999</v>
      </c>
      <c r="H753" s="14">
        <f>117.0094 * CHOOSE(CONTROL!$C$9, $D$9, 100%, $F$9) + CHOOSE(CONTROL!$C$27, 0.0021, 0)</f>
        <v>117.0115</v>
      </c>
      <c r="I753" s="14">
        <f>117.0094 * CHOOSE(CONTROL!$C$9, $D$9, 100%, $F$9) + CHOOSE(CONTROL!$C$27, 0.0021, 0)</f>
        <v>117.0115</v>
      </c>
      <c r="J753" s="14">
        <f>117.0094 * CHOOSE(CONTROL!$C$9, $D$9, 100%, $F$9) + CHOOSE(CONTROL!$C$27, 0.0021, 0)</f>
        <v>117.0115</v>
      </c>
      <c r="K753" s="14">
        <f>117.0094 * CHOOSE(CONTROL!$C$9, $D$9, 100%, $F$9) + CHOOSE(CONTROL!$C$27, 0.0021, 0)</f>
        <v>117.0115</v>
      </c>
      <c r="L753" s="14"/>
    </row>
    <row r="754" spans="1:12" ht="15.75" x14ac:dyDescent="0.25">
      <c r="A754" s="32">
        <v>63888</v>
      </c>
      <c r="B754" s="14">
        <f>116.6212 * CHOOSE(CONTROL!$C$9, $D$9, 100%, $F$9) + CHOOSE(CONTROL!$C$27, 0.0021, 0)</f>
        <v>116.6233</v>
      </c>
      <c r="C754" s="14">
        <f>116.1889 * CHOOSE(CONTROL!$C$9, $D$9, 100%, $F$9) + CHOOSE(CONTROL!$C$27, 0.0021, 0)</f>
        <v>116.191</v>
      </c>
      <c r="D754" s="14">
        <f>116.1889 * CHOOSE(CONTROL!$C$9, $D$9, 100%, $F$9) + CHOOSE(CONTROL!$C$27, 0.0021, 0)</f>
        <v>116.191</v>
      </c>
      <c r="E754" s="14">
        <f>116.0522 * CHOOSE(CONTROL!$C$9, $D$9, 100%, $F$9) + CHOOSE(CONTROL!$C$27, 0.0021, 0)</f>
        <v>116.0543</v>
      </c>
      <c r="F754" s="14">
        <f>116.0522 * CHOOSE(CONTROL!$C$9, $D$9, 100%, $F$9) + CHOOSE(CONTROL!$C$27, 0.0021, 0)</f>
        <v>116.0543</v>
      </c>
      <c r="G754" s="14">
        <f>116.3236 * CHOOSE(CONTROL!$C$9, $D$9, 100%, $F$9) + CHOOSE(CONTROL!$C$27, 0.0021, 0)</f>
        <v>116.3257</v>
      </c>
      <c r="H754" s="14">
        <f>116.1889 * CHOOSE(CONTROL!$C$9, $D$9, 100%, $F$9) + CHOOSE(CONTROL!$C$27, 0.0021, 0)</f>
        <v>116.191</v>
      </c>
      <c r="I754" s="14">
        <f>116.1889 * CHOOSE(CONTROL!$C$9, $D$9, 100%, $F$9) + CHOOSE(CONTROL!$C$27, 0.0021, 0)</f>
        <v>116.191</v>
      </c>
      <c r="J754" s="14">
        <f>116.1889 * CHOOSE(CONTROL!$C$9, $D$9, 100%, $F$9) + CHOOSE(CONTROL!$C$27, 0.0021, 0)</f>
        <v>116.191</v>
      </c>
      <c r="K754" s="14">
        <f>116.1889 * CHOOSE(CONTROL!$C$9, $D$9, 100%, $F$9) + CHOOSE(CONTROL!$C$27, 0.0021, 0)</f>
        <v>116.191</v>
      </c>
      <c r="L754" s="14"/>
    </row>
    <row r="755" spans="1:12" ht="15.75" x14ac:dyDescent="0.25">
      <c r="A755" s="32">
        <v>63919</v>
      </c>
      <c r="B755" s="14">
        <f>113.2284 * CHOOSE(CONTROL!$C$9, $D$9, 100%, $F$9) + CHOOSE(CONTROL!$C$27, 0.0021, 0)</f>
        <v>113.23049999999999</v>
      </c>
      <c r="C755" s="14">
        <f>112.7962 * CHOOSE(CONTROL!$C$9, $D$9, 100%, $F$9) + CHOOSE(CONTROL!$C$27, 0.0021, 0)</f>
        <v>112.7983</v>
      </c>
      <c r="D755" s="14">
        <f>112.7962 * CHOOSE(CONTROL!$C$9, $D$9, 100%, $F$9) + CHOOSE(CONTROL!$C$27, 0.0021, 0)</f>
        <v>112.7983</v>
      </c>
      <c r="E755" s="14">
        <f>112.6595 * CHOOSE(CONTROL!$C$9, $D$9, 100%, $F$9) + CHOOSE(CONTROL!$C$27, 0.0021, 0)</f>
        <v>112.66159999999999</v>
      </c>
      <c r="F755" s="14">
        <f>112.6595 * CHOOSE(CONTROL!$C$9, $D$9, 100%, $F$9) + CHOOSE(CONTROL!$C$27, 0.0021, 0)</f>
        <v>112.66159999999999</v>
      </c>
      <c r="G755" s="14">
        <f>112.9309 * CHOOSE(CONTROL!$C$9, $D$9, 100%, $F$9) + CHOOSE(CONTROL!$C$27, 0.0021, 0)</f>
        <v>112.93299999999999</v>
      </c>
      <c r="H755" s="14">
        <f>112.7962 * CHOOSE(CONTROL!$C$9, $D$9, 100%, $F$9) + CHOOSE(CONTROL!$C$27, 0.0021, 0)</f>
        <v>112.7983</v>
      </c>
      <c r="I755" s="14">
        <f>112.7962 * CHOOSE(CONTROL!$C$9, $D$9, 100%, $F$9) + CHOOSE(CONTROL!$C$27, 0.0021, 0)</f>
        <v>112.7983</v>
      </c>
      <c r="J755" s="14">
        <f>112.7962 * CHOOSE(CONTROL!$C$9, $D$9, 100%, $F$9) + CHOOSE(CONTROL!$C$27, 0.0021, 0)</f>
        <v>112.7983</v>
      </c>
      <c r="K755" s="14">
        <f>112.7962 * CHOOSE(CONTROL!$C$9, $D$9, 100%, $F$9) + CHOOSE(CONTROL!$C$27, 0.0021, 0)</f>
        <v>112.7983</v>
      </c>
      <c r="L755" s="14"/>
    </row>
    <row r="756" spans="1:12" ht="15.75" x14ac:dyDescent="0.25">
      <c r="A756" s="32">
        <v>63950</v>
      </c>
      <c r="B756" s="14">
        <f>112.5679 * CHOOSE(CONTROL!$C$9, $D$9, 100%, $F$9) + CHOOSE(CONTROL!$C$27, 0.0021, 0)</f>
        <v>112.57</v>
      </c>
      <c r="C756" s="14">
        <f>112.1357 * CHOOSE(CONTROL!$C$9, $D$9, 100%, $F$9) + CHOOSE(CONTROL!$C$27, 0.0021, 0)</f>
        <v>112.1378</v>
      </c>
      <c r="D756" s="14">
        <f>112.1357 * CHOOSE(CONTROL!$C$9, $D$9, 100%, $F$9) + CHOOSE(CONTROL!$C$27, 0.0021, 0)</f>
        <v>112.1378</v>
      </c>
      <c r="E756" s="14">
        <f>111.999 * CHOOSE(CONTROL!$C$9, $D$9, 100%, $F$9) + CHOOSE(CONTROL!$C$27, 0.0021, 0)</f>
        <v>112.00109999999999</v>
      </c>
      <c r="F756" s="14">
        <f>111.999 * CHOOSE(CONTROL!$C$9, $D$9, 100%, $F$9) + CHOOSE(CONTROL!$C$27, 0.0021, 0)</f>
        <v>112.00109999999999</v>
      </c>
      <c r="G756" s="14">
        <f>112.2704 * CHOOSE(CONTROL!$C$9, $D$9, 100%, $F$9) + CHOOSE(CONTROL!$C$27, 0.0021, 0)</f>
        <v>112.27249999999999</v>
      </c>
      <c r="H756" s="14">
        <f>112.1357 * CHOOSE(CONTROL!$C$9, $D$9, 100%, $F$9) + CHOOSE(CONTROL!$C$27, 0.0021, 0)</f>
        <v>112.1378</v>
      </c>
      <c r="I756" s="14">
        <f>112.1357 * CHOOSE(CONTROL!$C$9, $D$9, 100%, $F$9) + CHOOSE(CONTROL!$C$27, 0.0021, 0)</f>
        <v>112.1378</v>
      </c>
      <c r="J756" s="14">
        <f>112.1357 * CHOOSE(CONTROL!$C$9, $D$9, 100%, $F$9) + CHOOSE(CONTROL!$C$27, 0.0021, 0)</f>
        <v>112.1378</v>
      </c>
      <c r="K756" s="14">
        <f>112.1357 * CHOOSE(CONTROL!$C$9, $D$9, 100%, $F$9) + CHOOSE(CONTROL!$C$27, 0.0021, 0)</f>
        <v>112.1378</v>
      </c>
      <c r="L756" s="14"/>
    </row>
    <row r="757" spans="1:12" ht="15.75" x14ac:dyDescent="0.25">
      <c r="A757" s="32">
        <v>63978</v>
      </c>
      <c r="B757" s="14">
        <f>112.2614 * CHOOSE(CONTROL!$C$9, $D$9, 100%, $F$9) + CHOOSE(CONTROL!$C$27, 0.0021, 0)</f>
        <v>112.26349999999999</v>
      </c>
      <c r="C757" s="14">
        <f>111.8291 * CHOOSE(CONTROL!$C$9, $D$9, 100%, $F$9) + CHOOSE(CONTROL!$C$27, 0.0021, 0)</f>
        <v>111.8312</v>
      </c>
      <c r="D757" s="14">
        <f>111.8291 * CHOOSE(CONTROL!$C$9, $D$9, 100%, $F$9) + CHOOSE(CONTROL!$C$27, 0.0021, 0)</f>
        <v>111.8312</v>
      </c>
      <c r="E757" s="14">
        <f>111.6925 * CHOOSE(CONTROL!$C$9, $D$9, 100%, $F$9) + CHOOSE(CONTROL!$C$27, 0.0021, 0)</f>
        <v>111.69459999999999</v>
      </c>
      <c r="F757" s="14">
        <f>111.6925 * CHOOSE(CONTROL!$C$9, $D$9, 100%, $F$9) + CHOOSE(CONTROL!$C$27, 0.0021, 0)</f>
        <v>111.69459999999999</v>
      </c>
      <c r="G757" s="14">
        <f>111.9638 * CHOOSE(CONTROL!$C$9, $D$9, 100%, $F$9) + CHOOSE(CONTROL!$C$27, 0.0021, 0)</f>
        <v>111.9659</v>
      </c>
      <c r="H757" s="14">
        <f>111.8291 * CHOOSE(CONTROL!$C$9, $D$9, 100%, $F$9) + CHOOSE(CONTROL!$C$27, 0.0021, 0)</f>
        <v>111.8312</v>
      </c>
      <c r="I757" s="14">
        <f>111.8291 * CHOOSE(CONTROL!$C$9, $D$9, 100%, $F$9) + CHOOSE(CONTROL!$C$27, 0.0021, 0)</f>
        <v>111.8312</v>
      </c>
      <c r="J757" s="14">
        <f>111.8291 * CHOOSE(CONTROL!$C$9, $D$9, 100%, $F$9) + CHOOSE(CONTROL!$C$27, 0.0021, 0)</f>
        <v>111.8312</v>
      </c>
      <c r="K757" s="14">
        <f>111.8291 * CHOOSE(CONTROL!$C$9, $D$9, 100%, $F$9) + CHOOSE(CONTROL!$C$27, 0.0021, 0)</f>
        <v>111.8312</v>
      </c>
      <c r="L757" s="14"/>
    </row>
    <row r="758" spans="1:12" ht="15.75" x14ac:dyDescent="0.25">
      <c r="A758" s="32">
        <v>64009</v>
      </c>
      <c r="B758" s="14">
        <f>118.0574 * CHOOSE(CONTROL!$C$9, $D$9, 100%, $F$9) + CHOOSE(CONTROL!$C$27, 0.0021, 0)</f>
        <v>118.0595</v>
      </c>
      <c r="C758" s="14">
        <f>117.6251 * CHOOSE(CONTROL!$C$9, $D$9, 100%, $F$9) + CHOOSE(CONTROL!$C$27, 0.0021, 0)</f>
        <v>117.6272</v>
      </c>
      <c r="D758" s="14">
        <f>117.6251 * CHOOSE(CONTROL!$C$9, $D$9, 100%, $F$9) + CHOOSE(CONTROL!$C$27, 0.0021, 0)</f>
        <v>117.6272</v>
      </c>
      <c r="E758" s="14">
        <f>117.4885 * CHOOSE(CONTROL!$C$9, $D$9, 100%, $F$9) + CHOOSE(CONTROL!$C$27, 0.0021, 0)</f>
        <v>117.4906</v>
      </c>
      <c r="F758" s="14">
        <f>117.4885 * CHOOSE(CONTROL!$C$9, $D$9, 100%, $F$9) + CHOOSE(CONTROL!$C$27, 0.0021, 0)</f>
        <v>117.4906</v>
      </c>
      <c r="G758" s="14">
        <f>117.7599 * CHOOSE(CONTROL!$C$9, $D$9, 100%, $F$9) + CHOOSE(CONTROL!$C$27, 0.0021, 0)</f>
        <v>117.762</v>
      </c>
      <c r="H758" s="14">
        <f>117.6251 * CHOOSE(CONTROL!$C$9, $D$9, 100%, $F$9) + CHOOSE(CONTROL!$C$27, 0.0021, 0)</f>
        <v>117.6272</v>
      </c>
      <c r="I758" s="14">
        <f>117.6251 * CHOOSE(CONTROL!$C$9, $D$9, 100%, $F$9) + CHOOSE(CONTROL!$C$27, 0.0021, 0)</f>
        <v>117.6272</v>
      </c>
      <c r="J758" s="14">
        <f>117.6251 * CHOOSE(CONTROL!$C$9, $D$9, 100%, $F$9) + CHOOSE(CONTROL!$C$27, 0.0021, 0)</f>
        <v>117.6272</v>
      </c>
      <c r="K758" s="14">
        <f>117.6251 * CHOOSE(CONTROL!$C$9, $D$9, 100%, $F$9) + CHOOSE(CONTROL!$C$27, 0.0021, 0)</f>
        <v>117.6272</v>
      </c>
      <c r="L758" s="14"/>
    </row>
    <row r="759" spans="1:12" ht="15.75" x14ac:dyDescent="0.25">
      <c r="A759" s="32">
        <v>64039</v>
      </c>
      <c r="B759" s="14">
        <f>125.5734 * CHOOSE(CONTROL!$C$9, $D$9, 100%, $F$9) + CHOOSE(CONTROL!$C$27, 0.0021, 0)</f>
        <v>125.57550000000001</v>
      </c>
      <c r="C759" s="14">
        <f>125.1412 * CHOOSE(CONTROL!$C$9, $D$9, 100%, $F$9) + CHOOSE(CONTROL!$C$27, 0.0021, 0)</f>
        <v>125.1433</v>
      </c>
      <c r="D759" s="14">
        <f>125.1412 * CHOOSE(CONTROL!$C$9, $D$9, 100%, $F$9) + CHOOSE(CONTROL!$C$27, 0.0021, 0)</f>
        <v>125.1433</v>
      </c>
      <c r="E759" s="14">
        <f>125.0045 * CHOOSE(CONTROL!$C$9, $D$9, 100%, $F$9) + CHOOSE(CONTROL!$C$27, 0.0021, 0)</f>
        <v>125.00659999999999</v>
      </c>
      <c r="F759" s="14">
        <f>125.0045 * CHOOSE(CONTROL!$C$9, $D$9, 100%, $F$9) + CHOOSE(CONTROL!$C$27, 0.0021, 0)</f>
        <v>125.00659999999999</v>
      </c>
      <c r="G759" s="14">
        <f>125.2759 * CHOOSE(CONTROL!$C$9, $D$9, 100%, $F$9) + CHOOSE(CONTROL!$C$27, 0.0021, 0)</f>
        <v>125.27799999999999</v>
      </c>
      <c r="H759" s="14">
        <f>125.1412 * CHOOSE(CONTROL!$C$9, $D$9, 100%, $F$9) + CHOOSE(CONTROL!$C$27, 0.0021, 0)</f>
        <v>125.1433</v>
      </c>
      <c r="I759" s="14">
        <f>125.1412 * CHOOSE(CONTROL!$C$9, $D$9, 100%, $F$9) + CHOOSE(CONTROL!$C$27, 0.0021, 0)</f>
        <v>125.1433</v>
      </c>
      <c r="J759" s="14">
        <f>125.1412 * CHOOSE(CONTROL!$C$9, $D$9, 100%, $F$9) + CHOOSE(CONTROL!$C$27, 0.0021, 0)</f>
        <v>125.1433</v>
      </c>
      <c r="K759" s="14">
        <f>125.1412 * CHOOSE(CONTROL!$C$9, $D$9, 100%, $F$9) + CHOOSE(CONTROL!$C$27, 0.0021, 0)</f>
        <v>125.1433</v>
      </c>
      <c r="L759" s="14"/>
    </row>
    <row r="760" spans="1:12" ht="15.75" x14ac:dyDescent="0.25">
      <c r="A760" s="32">
        <v>64070</v>
      </c>
      <c r="B760" s="14">
        <f>129.7105 * CHOOSE(CONTROL!$C$9, $D$9, 100%, $F$9) + CHOOSE(CONTROL!$C$27, 0.0021, 0)</f>
        <v>129.71260000000001</v>
      </c>
      <c r="C760" s="14">
        <f>129.2782 * CHOOSE(CONTROL!$C$9, $D$9, 100%, $F$9) + CHOOSE(CONTROL!$C$27, 0.0021, 0)</f>
        <v>129.28030000000001</v>
      </c>
      <c r="D760" s="14">
        <f>129.2782 * CHOOSE(CONTROL!$C$9, $D$9, 100%, $F$9) + CHOOSE(CONTROL!$C$27, 0.0021, 0)</f>
        <v>129.28030000000001</v>
      </c>
      <c r="E760" s="14">
        <f>129.1416 * CHOOSE(CONTROL!$C$9, $D$9, 100%, $F$9) + CHOOSE(CONTROL!$C$27, 0.0021, 0)</f>
        <v>129.14370000000002</v>
      </c>
      <c r="F760" s="14">
        <f>129.1416 * CHOOSE(CONTROL!$C$9, $D$9, 100%, $F$9) + CHOOSE(CONTROL!$C$27, 0.0021, 0)</f>
        <v>129.14370000000002</v>
      </c>
      <c r="G760" s="14">
        <f>129.413 * CHOOSE(CONTROL!$C$9, $D$9, 100%, $F$9) + CHOOSE(CONTROL!$C$27, 0.0021, 0)</f>
        <v>129.41510000000002</v>
      </c>
      <c r="H760" s="14">
        <f>129.2782 * CHOOSE(CONTROL!$C$9, $D$9, 100%, $F$9) + CHOOSE(CONTROL!$C$27, 0.0021, 0)</f>
        <v>129.28030000000001</v>
      </c>
      <c r="I760" s="14">
        <f>129.2782 * CHOOSE(CONTROL!$C$9, $D$9, 100%, $F$9) + CHOOSE(CONTROL!$C$27, 0.0021, 0)</f>
        <v>129.28030000000001</v>
      </c>
      <c r="J760" s="14">
        <f>129.2782 * CHOOSE(CONTROL!$C$9, $D$9, 100%, $F$9) + CHOOSE(CONTROL!$C$27, 0.0021, 0)</f>
        <v>129.28030000000001</v>
      </c>
      <c r="K760" s="14">
        <f>129.2782 * CHOOSE(CONTROL!$C$9, $D$9, 100%, $F$9) + CHOOSE(CONTROL!$C$27, 0.0021, 0)</f>
        <v>129.28030000000001</v>
      </c>
      <c r="L760" s="14"/>
    </row>
    <row r="761" spans="1:12" ht="15.75" x14ac:dyDescent="0.25">
      <c r="A761" s="32">
        <v>64100</v>
      </c>
      <c r="B761" s="14">
        <f>131.5464 * CHOOSE(CONTROL!$C$9, $D$9, 100%, $F$9) + CHOOSE(CONTROL!$C$27, 0.0021, 0)</f>
        <v>131.54850000000002</v>
      </c>
      <c r="C761" s="14">
        <f>131.1142 * CHOOSE(CONTROL!$C$9, $D$9, 100%, $F$9) + CHOOSE(CONTROL!$C$27, 0.0021, 0)</f>
        <v>131.11630000000002</v>
      </c>
      <c r="D761" s="14">
        <f>131.1142 * CHOOSE(CONTROL!$C$9, $D$9, 100%, $F$9) + CHOOSE(CONTROL!$C$27, 0.0021, 0)</f>
        <v>131.11630000000002</v>
      </c>
      <c r="E761" s="14">
        <f>130.9775 * CHOOSE(CONTROL!$C$9, $D$9, 100%, $F$9) + CHOOSE(CONTROL!$C$27, 0.0021, 0)</f>
        <v>130.9796</v>
      </c>
      <c r="F761" s="14">
        <f>130.9775 * CHOOSE(CONTROL!$C$9, $D$9, 100%, $F$9) + CHOOSE(CONTROL!$C$27, 0.0021, 0)</f>
        <v>130.9796</v>
      </c>
      <c r="G761" s="14">
        <f>131.2489 * CHOOSE(CONTROL!$C$9, $D$9, 100%, $F$9) + CHOOSE(CONTROL!$C$27, 0.0021, 0)</f>
        <v>131.251</v>
      </c>
      <c r="H761" s="14">
        <f>131.1142 * CHOOSE(CONTROL!$C$9, $D$9, 100%, $F$9) + CHOOSE(CONTROL!$C$27, 0.0021, 0)</f>
        <v>131.11630000000002</v>
      </c>
      <c r="I761" s="14">
        <f>131.1142 * CHOOSE(CONTROL!$C$9, $D$9, 100%, $F$9) + CHOOSE(CONTROL!$C$27, 0.0021, 0)</f>
        <v>131.11630000000002</v>
      </c>
      <c r="J761" s="14">
        <f>131.1142 * CHOOSE(CONTROL!$C$9, $D$9, 100%, $F$9) + CHOOSE(CONTROL!$C$27, 0.0021, 0)</f>
        <v>131.11630000000002</v>
      </c>
      <c r="K761" s="14">
        <f>131.1142 * CHOOSE(CONTROL!$C$9, $D$9, 100%, $F$9) + CHOOSE(CONTROL!$C$27, 0.0021, 0)</f>
        <v>131.11630000000002</v>
      </c>
      <c r="L761" s="14"/>
    </row>
    <row r="762" spans="1:12" ht="15.75" x14ac:dyDescent="0.25">
      <c r="A762" s="32">
        <v>64131</v>
      </c>
      <c r="B762" s="14">
        <f>130.942 * CHOOSE(CONTROL!$C$9, $D$9, 100%, $F$9) + CHOOSE(CONTROL!$C$27, 0.0021, 0)</f>
        <v>130.94410000000002</v>
      </c>
      <c r="C762" s="14">
        <f>130.5097 * CHOOSE(CONTROL!$C$9, $D$9, 100%, $F$9) + CHOOSE(CONTROL!$C$27, 0.0021, 0)</f>
        <v>130.51180000000002</v>
      </c>
      <c r="D762" s="14">
        <f>130.5097 * CHOOSE(CONTROL!$C$9, $D$9, 100%, $F$9) + CHOOSE(CONTROL!$C$27, 0.0021, 0)</f>
        <v>130.51180000000002</v>
      </c>
      <c r="E762" s="14">
        <f>130.3731 * CHOOSE(CONTROL!$C$9, $D$9, 100%, $F$9) + CHOOSE(CONTROL!$C$27, 0.0021, 0)</f>
        <v>130.37520000000001</v>
      </c>
      <c r="F762" s="14">
        <f>130.3731 * CHOOSE(CONTROL!$C$9, $D$9, 100%, $F$9) + CHOOSE(CONTROL!$C$27, 0.0021, 0)</f>
        <v>130.37520000000001</v>
      </c>
      <c r="G762" s="14">
        <f>130.6444 * CHOOSE(CONTROL!$C$9, $D$9, 100%, $F$9) + CHOOSE(CONTROL!$C$27, 0.0021, 0)</f>
        <v>130.6465</v>
      </c>
      <c r="H762" s="14">
        <f>130.5097 * CHOOSE(CONTROL!$C$9, $D$9, 100%, $F$9) + CHOOSE(CONTROL!$C$27, 0.0021, 0)</f>
        <v>130.51180000000002</v>
      </c>
      <c r="I762" s="14">
        <f>130.5097 * CHOOSE(CONTROL!$C$9, $D$9, 100%, $F$9) + CHOOSE(CONTROL!$C$27, 0.0021, 0)</f>
        <v>130.51180000000002</v>
      </c>
      <c r="J762" s="14">
        <f>130.5097 * CHOOSE(CONTROL!$C$9, $D$9, 100%, $F$9) + CHOOSE(CONTROL!$C$27, 0.0021, 0)</f>
        <v>130.51180000000002</v>
      </c>
      <c r="K762" s="14">
        <f>130.5097 * CHOOSE(CONTROL!$C$9, $D$9, 100%, $F$9) + CHOOSE(CONTROL!$C$27, 0.0021, 0)</f>
        <v>130.51180000000002</v>
      </c>
      <c r="L762" s="14"/>
    </row>
    <row r="763" spans="1:12" ht="15.75" x14ac:dyDescent="0.25">
      <c r="A763" s="32">
        <v>64162</v>
      </c>
      <c r="B763" s="14">
        <f>127.947 * CHOOSE(CONTROL!$C$9, $D$9, 100%, $F$9) + CHOOSE(CONTROL!$C$27, 0.0021, 0)</f>
        <v>127.9491</v>
      </c>
      <c r="C763" s="14">
        <f>127.5148 * CHOOSE(CONTROL!$C$9, $D$9, 100%, $F$9) + CHOOSE(CONTROL!$C$27, 0.0021, 0)</f>
        <v>127.51689999999999</v>
      </c>
      <c r="D763" s="14">
        <f>127.5148 * CHOOSE(CONTROL!$C$9, $D$9, 100%, $F$9) + CHOOSE(CONTROL!$C$27, 0.0021, 0)</f>
        <v>127.51689999999999</v>
      </c>
      <c r="E763" s="14">
        <f>127.3781 * CHOOSE(CONTROL!$C$9, $D$9, 100%, $F$9) + CHOOSE(CONTROL!$C$27, 0.0021, 0)</f>
        <v>127.3802</v>
      </c>
      <c r="F763" s="14">
        <f>127.3781 * CHOOSE(CONTROL!$C$9, $D$9, 100%, $F$9) + CHOOSE(CONTROL!$C$27, 0.0021, 0)</f>
        <v>127.3802</v>
      </c>
      <c r="G763" s="14">
        <f>127.6495 * CHOOSE(CONTROL!$C$9, $D$9, 100%, $F$9) + CHOOSE(CONTROL!$C$27, 0.0021, 0)</f>
        <v>127.6516</v>
      </c>
      <c r="H763" s="14">
        <f>127.5148 * CHOOSE(CONTROL!$C$9, $D$9, 100%, $F$9) + CHOOSE(CONTROL!$C$27, 0.0021, 0)</f>
        <v>127.51689999999999</v>
      </c>
      <c r="I763" s="14">
        <f>127.5148 * CHOOSE(CONTROL!$C$9, $D$9, 100%, $F$9) + CHOOSE(CONTROL!$C$27, 0.0021, 0)</f>
        <v>127.51689999999999</v>
      </c>
      <c r="J763" s="14">
        <f>127.5148 * CHOOSE(CONTROL!$C$9, $D$9, 100%, $F$9) + CHOOSE(CONTROL!$C$27, 0.0021, 0)</f>
        <v>127.51689999999999</v>
      </c>
      <c r="K763" s="14">
        <f>127.5148 * CHOOSE(CONTROL!$C$9, $D$9, 100%, $F$9) + CHOOSE(CONTROL!$C$27, 0.0021, 0)</f>
        <v>127.51689999999999</v>
      </c>
      <c r="L763" s="14"/>
    </row>
    <row r="764" spans="1:12" ht="15.75" x14ac:dyDescent="0.25">
      <c r="A764" s="32">
        <v>64192</v>
      </c>
      <c r="B764" s="14">
        <f>123.7705 * CHOOSE(CONTROL!$C$9, $D$9, 100%, $F$9) + CHOOSE(CONTROL!$C$27, 0.0021, 0)</f>
        <v>123.7726</v>
      </c>
      <c r="C764" s="14">
        <f>123.3383 * CHOOSE(CONTROL!$C$9, $D$9, 100%, $F$9) + CHOOSE(CONTROL!$C$27, 0.0021, 0)</f>
        <v>123.3404</v>
      </c>
      <c r="D764" s="14">
        <f>123.3383 * CHOOSE(CONTROL!$C$9, $D$9, 100%, $F$9) + CHOOSE(CONTROL!$C$27, 0.0021, 0)</f>
        <v>123.3404</v>
      </c>
      <c r="E764" s="14">
        <f>123.2016 * CHOOSE(CONTROL!$C$9, $D$9, 100%, $F$9) + CHOOSE(CONTROL!$C$27, 0.0021, 0)</f>
        <v>123.2037</v>
      </c>
      <c r="F764" s="14">
        <f>123.2016 * CHOOSE(CONTROL!$C$9, $D$9, 100%, $F$9) + CHOOSE(CONTROL!$C$27, 0.0021, 0)</f>
        <v>123.2037</v>
      </c>
      <c r="G764" s="14">
        <f>123.473 * CHOOSE(CONTROL!$C$9, $D$9, 100%, $F$9) + CHOOSE(CONTROL!$C$27, 0.0021, 0)</f>
        <v>123.4751</v>
      </c>
      <c r="H764" s="14">
        <f>123.3383 * CHOOSE(CONTROL!$C$9, $D$9, 100%, $F$9) + CHOOSE(CONTROL!$C$27, 0.0021, 0)</f>
        <v>123.3404</v>
      </c>
      <c r="I764" s="14">
        <f>123.3383 * CHOOSE(CONTROL!$C$9, $D$9, 100%, $F$9) + CHOOSE(CONTROL!$C$27, 0.0021, 0)</f>
        <v>123.3404</v>
      </c>
      <c r="J764" s="14">
        <f>123.3383 * CHOOSE(CONTROL!$C$9, $D$9, 100%, $F$9) + CHOOSE(CONTROL!$C$27, 0.0021, 0)</f>
        <v>123.3404</v>
      </c>
      <c r="K764" s="14">
        <f>123.3383 * CHOOSE(CONTROL!$C$9, $D$9, 100%, $F$9) + CHOOSE(CONTROL!$C$27, 0.0021, 0)</f>
        <v>123.3404</v>
      </c>
      <c r="L764" s="14"/>
    </row>
    <row r="765" spans="1:12" ht="15.75" x14ac:dyDescent="0.25">
      <c r="A765" s="32">
        <v>64223</v>
      </c>
      <c r="B765" s="14">
        <f>119.5697 * CHOOSE(CONTROL!$C$9, $D$9, 100%, $F$9) + CHOOSE(CONTROL!$C$27, 0.0021, 0)</f>
        <v>119.5718</v>
      </c>
      <c r="C765" s="14">
        <f>119.1374 * CHOOSE(CONTROL!$C$9, $D$9, 100%, $F$9) + CHOOSE(CONTROL!$C$27, 0.0021, 0)</f>
        <v>119.1395</v>
      </c>
      <c r="D765" s="14">
        <f>119.1374 * CHOOSE(CONTROL!$C$9, $D$9, 100%, $F$9) + CHOOSE(CONTROL!$C$27, 0.0021, 0)</f>
        <v>119.1395</v>
      </c>
      <c r="E765" s="14">
        <f>119.0008 * CHOOSE(CONTROL!$C$9, $D$9, 100%, $F$9) + CHOOSE(CONTROL!$C$27, 0.0021, 0)</f>
        <v>119.0029</v>
      </c>
      <c r="F765" s="14">
        <f>119.0008 * CHOOSE(CONTROL!$C$9, $D$9, 100%, $F$9) + CHOOSE(CONTROL!$C$27, 0.0021, 0)</f>
        <v>119.0029</v>
      </c>
      <c r="G765" s="14">
        <f>119.2721 * CHOOSE(CONTROL!$C$9, $D$9, 100%, $F$9) + CHOOSE(CONTROL!$C$27, 0.0021, 0)</f>
        <v>119.27419999999999</v>
      </c>
      <c r="H765" s="14">
        <f>119.1374 * CHOOSE(CONTROL!$C$9, $D$9, 100%, $F$9) + CHOOSE(CONTROL!$C$27, 0.0021, 0)</f>
        <v>119.1395</v>
      </c>
      <c r="I765" s="14">
        <f>119.1374 * CHOOSE(CONTROL!$C$9, $D$9, 100%, $F$9) + CHOOSE(CONTROL!$C$27, 0.0021, 0)</f>
        <v>119.1395</v>
      </c>
      <c r="J765" s="14">
        <f>119.1374 * CHOOSE(CONTROL!$C$9, $D$9, 100%, $F$9) + CHOOSE(CONTROL!$C$27, 0.0021, 0)</f>
        <v>119.1395</v>
      </c>
      <c r="K765" s="14">
        <f>119.1374 * CHOOSE(CONTROL!$C$9, $D$9, 100%, $F$9) + CHOOSE(CONTROL!$C$27, 0.0021, 0)</f>
        <v>119.1395</v>
      </c>
      <c r="L765" s="14"/>
    </row>
    <row r="766" spans="1:12" ht="15.75" x14ac:dyDescent="0.25">
      <c r="A766" s="32">
        <v>64253</v>
      </c>
      <c r="B766" s="14">
        <f>118.734 * CHOOSE(CONTROL!$C$9, $D$9, 100%, $F$9) + CHOOSE(CONTROL!$C$27, 0.0021, 0)</f>
        <v>118.73609999999999</v>
      </c>
      <c r="C766" s="14">
        <f>118.3018 * CHOOSE(CONTROL!$C$9, $D$9, 100%, $F$9) + CHOOSE(CONTROL!$C$27, 0.0021, 0)</f>
        <v>118.3039</v>
      </c>
      <c r="D766" s="14">
        <f>118.3018 * CHOOSE(CONTROL!$C$9, $D$9, 100%, $F$9) + CHOOSE(CONTROL!$C$27, 0.0021, 0)</f>
        <v>118.3039</v>
      </c>
      <c r="E766" s="14">
        <f>118.1651 * CHOOSE(CONTROL!$C$9, $D$9, 100%, $F$9) + CHOOSE(CONTROL!$C$27, 0.0021, 0)</f>
        <v>118.16719999999999</v>
      </c>
      <c r="F766" s="14">
        <f>118.1651 * CHOOSE(CONTROL!$C$9, $D$9, 100%, $F$9) + CHOOSE(CONTROL!$C$27, 0.0021, 0)</f>
        <v>118.16719999999999</v>
      </c>
      <c r="G766" s="14">
        <f>118.4365 * CHOOSE(CONTROL!$C$9, $D$9, 100%, $F$9) + CHOOSE(CONTROL!$C$27, 0.0021, 0)</f>
        <v>118.43859999999999</v>
      </c>
      <c r="H766" s="14">
        <f>118.3018 * CHOOSE(CONTROL!$C$9, $D$9, 100%, $F$9) + CHOOSE(CONTROL!$C$27, 0.0021, 0)</f>
        <v>118.3039</v>
      </c>
      <c r="I766" s="14">
        <f>118.3018 * CHOOSE(CONTROL!$C$9, $D$9, 100%, $F$9) + CHOOSE(CONTROL!$C$27, 0.0021, 0)</f>
        <v>118.3039</v>
      </c>
      <c r="J766" s="14">
        <f>118.3018 * CHOOSE(CONTROL!$C$9, $D$9, 100%, $F$9) + CHOOSE(CONTROL!$C$27, 0.0021, 0)</f>
        <v>118.3039</v>
      </c>
      <c r="K766" s="14">
        <f>118.3018 * CHOOSE(CONTROL!$C$9, $D$9, 100%, $F$9) + CHOOSE(CONTROL!$C$27, 0.0021, 0)</f>
        <v>118.3039</v>
      </c>
      <c r="L766" s="14"/>
    </row>
    <row r="767" spans="1:12" ht="15.75" x14ac:dyDescent="0.25">
      <c r="A767" s="32">
        <v>64284</v>
      </c>
      <c r="B767" s="14">
        <f>115.2786 * CHOOSE(CONTROL!$C$9, $D$9, 100%, $F$9) + CHOOSE(CONTROL!$C$27, 0.0021, 0)</f>
        <v>115.2807</v>
      </c>
      <c r="C767" s="14">
        <f>114.8464 * CHOOSE(CONTROL!$C$9, $D$9, 100%, $F$9) + CHOOSE(CONTROL!$C$27, 0.0021, 0)</f>
        <v>114.8485</v>
      </c>
      <c r="D767" s="14">
        <f>114.8464 * CHOOSE(CONTROL!$C$9, $D$9, 100%, $F$9) + CHOOSE(CONTROL!$C$27, 0.0021, 0)</f>
        <v>114.8485</v>
      </c>
      <c r="E767" s="14">
        <f>114.7097 * CHOOSE(CONTROL!$C$9, $D$9, 100%, $F$9) + CHOOSE(CONTROL!$C$27, 0.0021, 0)</f>
        <v>114.7118</v>
      </c>
      <c r="F767" s="14">
        <f>114.7097 * CHOOSE(CONTROL!$C$9, $D$9, 100%, $F$9) + CHOOSE(CONTROL!$C$27, 0.0021, 0)</f>
        <v>114.7118</v>
      </c>
      <c r="G767" s="14">
        <f>114.9811 * CHOOSE(CONTROL!$C$9, $D$9, 100%, $F$9) + CHOOSE(CONTROL!$C$27, 0.0021, 0)</f>
        <v>114.9832</v>
      </c>
      <c r="H767" s="14">
        <f>114.8464 * CHOOSE(CONTROL!$C$9, $D$9, 100%, $F$9) + CHOOSE(CONTROL!$C$27, 0.0021, 0)</f>
        <v>114.8485</v>
      </c>
      <c r="I767" s="14">
        <f>114.8464 * CHOOSE(CONTROL!$C$9, $D$9, 100%, $F$9) + CHOOSE(CONTROL!$C$27, 0.0021, 0)</f>
        <v>114.8485</v>
      </c>
      <c r="J767" s="14">
        <f>114.8464 * CHOOSE(CONTROL!$C$9, $D$9, 100%, $F$9) + CHOOSE(CONTROL!$C$27, 0.0021, 0)</f>
        <v>114.8485</v>
      </c>
      <c r="K767" s="14">
        <f>114.8464 * CHOOSE(CONTROL!$C$9, $D$9, 100%, $F$9) + CHOOSE(CONTROL!$C$27, 0.0021, 0)</f>
        <v>114.8485</v>
      </c>
      <c r="L767" s="14"/>
    </row>
    <row r="768" spans="1:12" ht="15.75" x14ac:dyDescent="0.25">
      <c r="A768" s="32">
        <v>64315</v>
      </c>
      <c r="B768" s="14">
        <f>114.6059 * CHOOSE(CONTROL!$C$9, $D$9, 100%, $F$9) + CHOOSE(CONTROL!$C$27, 0.0021, 0)</f>
        <v>114.608</v>
      </c>
      <c r="C768" s="14">
        <f>114.1736 * CHOOSE(CONTROL!$C$9, $D$9, 100%, $F$9) + CHOOSE(CONTROL!$C$27, 0.0021, 0)</f>
        <v>114.17569999999999</v>
      </c>
      <c r="D768" s="14">
        <f>114.1736 * CHOOSE(CONTROL!$C$9, $D$9, 100%, $F$9) + CHOOSE(CONTROL!$C$27, 0.0021, 0)</f>
        <v>114.17569999999999</v>
      </c>
      <c r="E768" s="14">
        <f>114.037 * CHOOSE(CONTROL!$C$9, $D$9, 100%, $F$9) + CHOOSE(CONTROL!$C$27, 0.0021, 0)</f>
        <v>114.0391</v>
      </c>
      <c r="F768" s="14">
        <f>114.037 * CHOOSE(CONTROL!$C$9, $D$9, 100%, $F$9) + CHOOSE(CONTROL!$C$27, 0.0021, 0)</f>
        <v>114.0391</v>
      </c>
      <c r="G768" s="14">
        <f>114.3084 * CHOOSE(CONTROL!$C$9, $D$9, 100%, $F$9) + CHOOSE(CONTROL!$C$27, 0.0021, 0)</f>
        <v>114.3105</v>
      </c>
      <c r="H768" s="14">
        <f>114.1736 * CHOOSE(CONTROL!$C$9, $D$9, 100%, $F$9) + CHOOSE(CONTROL!$C$27, 0.0021, 0)</f>
        <v>114.17569999999999</v>
      </c>
      <c r="I768" s="14">
        <f>114.1736 * CHOOSE(CONTROL!$C$9, $D$9, 100%, $F$9) + CHOOSE(CONTROL!$C$27, 0.0021, 0)</f>
        <v>114.17569999999999</v>
      </c>
      <c r="J768" s="14">
        <f>114.1736 * CHOOSE(CONTROL!$C$9, $D$9, 100%, $F$9) + CHOOSE(CONTROL!$C$27, 0.0021, 0)</f>
        <v>114.17569999999999</v>
      </c>
      <c r="K768" s="14">
        <f>114.1736 * CHOOSE(CONTROL!$C$9, $D$9, 100%, $F$9) + CHOOSE(CONTROL!$C$27, 0.0021, 0)</f>
        <v>114.17569999999999</v>
      </c>
      <c r="L768" s="14"/>
    </row>
    <row r="769" spans="1:12" ht="15.75" x14ac:dyDescent="0.25">
      <c r="A769" s="32">
        <v>64344</v>
      </c>
      <c r="B769" s="14">
        <f>114.2937 * CHOOSE(CONTROL!$C$9, $D$9, 100%, $F$9) + CHOOSE(CONTROL!$C$27, 0.0021, 0)</f>
        <v>114.2958</v>
      </c>
      <c r="C769" s="14">
        <f>113.8614 * CHOOSE(CONTROL!$C$9, $D$9, 100%, $F$9) + CHOOSE(CONTROL!$C$27, 0.0021, 0)</f>
        <v>113.8635</v>
      </c>
      <c r="D769" s="14">
        <f>113.8614 * CHOOSE(CONTROL!$C$9, $D$9, 100%, $F$9) + CHOOSE(CONTROL!$C$27, 0.0021, 0)</f>
        <v>113.8635</v>
      </c>
      <c r="E769" s="14">
        <f>113.7248 * CHOOSE(CONTROL!$C$9, $D$9, 100%, $F$9) + CHOOSE(CONTROL!$C$27, 0.0021, 0)</f>
        <v>113.7269</v>
      </c>
      <c r="F769" s="14">
        <f>113.7248 * CHOOSE(CONTROL!$C$9, $D$9, 100%, $F$9) + CHOOSE(CONTROL!$C$27, 0.0021, 0)</f>
        <v>113.7269</v>
      </c>
      <c r="G769" s="14">
        <f>113.9962 * CHOOSE(CONTROL!$C$9, $D$9, 100%, $F$9) + CHOOSE(CONTROL!$C$27, 0.0021, 0)</f>
        <v>113.9983</v>
      </c>
      <c r="H769" s="14">
        <f>113.8614 * CHOOSE(CONTROL!$C$9, $D$9, 100%, $F$9) + CHOOSE(CONTROL!$C$27, 0.0021, 0)</f>
        <v>113.8635</v>
      </c>
      <c r="I769" s="14">
        <f>113.8614 * CHOOSE(CONTROL!$C$9, $D$9, 100%, $F$9) + CHOOSE(CONTROL!$C$27, 0.0021, 0)</f>
        <v>113.8635</v>
      </c>
      <c r="J769" s="14">
        <f>113.8614 * CHOOSE(CONTROL!$C$9, $D$9, 100%, $F$9) + CHOOSE(CONTROL!$C$27, 0.0021, 0)</f>
        <v>113.8635</v>
      </c>
      <c r="K769" s="14">
        <f>113.8614 * CHOOSE(CONTROL!$C$9, $D$9, 100%, $F$9) + CHOOSE(CONTROL!$C$27, 0.0021, 0)</f>
        <v>113.8635</v>
      </c>
      <c r="L769" s="14"/>
    </row>
    <row r="770" spans="1:12" ht="15.75" x14ac:dyDescent="0.25">
      <c r="A770" s="32">
        <v>64375</v>
      </c>
      <c r="B770" s="14">
        <f>120.1968 * CHOOSE(CONTROL!$C$9, $D$9, 100%, $F$9) + CHOOSE(CONTROL!$C$27, 0.0021, 0)</f>
        <v>120.19889999999999</v>
      </c>
      <c r="C770" s="14">
        <f>119.7646 * CHOOSE(CONTROL!$C$9, $D$9, 100%, $F$9) + CHOOSE(CONTROL!$C$27, 0.0021, 0)</f>
        <v>119.7667</v>
      </c>
      <c r="D770" s="14">
        <f>119.7646 * CHOOSE(CONTROL!$C$9, $D$9, 100%, $F$9) + CHOOSE(CONTROL!$C$27, 0.0021, 0)</f>
        <v>119.7667</v>
      </c>
      <c r="E770" s="14">
        <f>119.6279 * CHOOSE(CONTROL!$C$9, $D$9, 100%, $F$9) + CHOOSE(CONTROL!$C$27, 0.0021, 0)</f>
        <v>119.63</v>
      </c>
      <c r="F770" s="14">
        <f>119.6279 * CHOOSE(CONTROL!$C$9, $D$9, 100%, $F$9) + CHOOSE(CONTROL!$C$27, 0.0021, 0)</f>
        <v>119.63</v>
      </c>
      <c r="G770" s="14">
        <f>119.8993 * CHOOSE(CONTROL!$C$9, $D$9, 100%, $F$9) + CHOOSE(CONTROL!$C$27, 0.0021, 0)</f>
        <v>119.9014</v>
      </c>
      <c r="H770" s="14">
        <f>119.7646 * CHOOSE(CONTROL!$C$9, $D$9, 100%, $F$9) + CHOOSE(CONTROL!$C$27, 0.0021, 0)</f>
        <v>119.7667</v>
      </c>
      <c r="I770" s="14">
        <f>119.7646 * CHOOSE(CONTROL!$C$9, $D$9, 100%, $F$9) + CHOOSE(CONTROL!$C$27, 0.0021, 0)</f>
        <v>119.7667</v>
      </c>
      <c r="J770" s="14">
        <f>119.7646 * CHOOSE(CONTROL!$C$9, $D$9, 100%, $F$9) + CHOOSE(CONTROL!$C$27, 0.0021, 0)</f>
        <v>119.7667</v>
      </c>
      <c r="K770" s="14">
        <f>119.7646 * CHOOSE(CONTROL!$C$9, $D$9, 100%, $F$9) + CHOOSE(CONTROL!$C$27, 0.0021, 0)</f>
        <v>119.7667</v>
      </c>
      <c r="L770" s="14"/>
    </row>
    <row r="771" spans="1:12" ht="15.75" x14ac:dyDescent="0.25">
      <c r="A771" s="32">
        <v>64405</v>
      </c>
      <c r="B771" s="14">
        <f>127.8517 * CHOOSE(CONTROL!$C$9, $D$9, 100%, $F$9) + CHOOSE(CONTROL!$C$27, 0.0021, 0)</f>
        <v>127.85379999999999</v>
      </c>
      <c r="C771" s="14">
        <f>127.4195 * CHOOSE(CONTROL!$C$9, $D$9, 100%, $F$9) + CHOOSE(CONTROL!$C$27, 0.0021, 0)</f>
        <v>127.4216</v>
      </c>
      <c r="D771" s="14">
        <f>127.4195 * CHOOSE(CONTROL!$C$9, $D$9, 100%, $F$9) + CHOOSE(CONTROL!$C$27, 0.0021, 0)</f>
        <v>127.4216</v>
      </c>
      <c r="E771" s="14">
        <f>127.2828 * CHOOSE(CONTROL!$C$9, $D$9, 100%, $F$9) + CHOOSE(CONTROL!$C$27, 0.0021, 0)</f>
        <v>127.28489999999999</v>
      </c>
      <c r="F771" s="14">
        <f>127.2828 * CHOOSE(CONTROL!$C$9, $D$9, 100%, $F$9) + CHOOSE(CONTROL!$C$27, 0.0021, 0)</f>
        <v>127.28489999999999</v>
      </c>
      <c r="G771" s="14">
        <f>127.5542 * CHOOSE(CONTROL!$C$9, $D$9, 100%, $F$9) + CHOOSE(CONTROL!$C$27, 0.0021, 0)</f>
        <v>127.55629999999999</v>
      </c>
      <c r="H771" s="14">
        <f>127.4195 * CHOOSE(CONTROL!$C$9, $D$9, 100%, $F$9) + CHOOSE(CONTROL!$C$27, 0.0021, 0)</f>
        <v>127.4216</v>
      </c>
      <c r="I771" s="14">
        <f>127.4195 * CHOOSE(CONTROL!$C$9, $D$9, 100%, $F$9) + CHOOSE(CONTROL!$C$27, 0.0021, 0)</f>
        <v>127.4216</v>
      </c>
      <c r="J771" s="14">
        <f>127.4195 * CHOOSE(CONTROL!$C$9, $D$9, 100%, $F$9) + CHOOSE(CONTROL!$C$27, 0.0021, 0)</f>
        <v>127.4216</v>
      </c>
      <c r="K771" s="14">
        <f>127.4195 * CHOOSE(CONTROL!$C$9, $D$9, 100%, $F$9) + CHOOSE(CONTROL!$C$27, 0.0021, 0)</f>
        <v>127.4216</v>
      </c>
      <c r="L771" s="14"/>
    </row>
    <row r="772" spans="1:12" ht="15.75" x14ac:dyDescent="0.25">
      <c r="A772" s="32">
        <v>64436</v>
      </c>
      <c r="B772" s="14">
        <f>132.0653 * CHOOSE(CONTROL!$C$9, $D$9, 100%, $F$9) + CHOOSE(CONTROL!$C$27, 0.0021, 0)</f>
        <v>132.06740000000002</v>
      </c>
      <c r="C772" s="14">
        <f>131.633 * CHOOSE(CONTROL!$C$9, $D$9, 100%, $F$9) + CHOOSE(CONTROL!$C$27, 0.0021, 0)</f>
        <v>131.63510000000002</v>
      </c>
      <c r="D772" s="14">
        <f>131.633 * CHOOSE(CONTROL!$C$9, $D$9, 100%, $F$9) + CHOOSE(CONTROL!$C$27, 0.0021, 0)</f>
        <v>131.63510000000002</v>
      </c>
      <c r="E772" s="14">
        <f>131.4964 * CHOOSE(CONTROL!$C$9, $D$9, 100%, $F$9) + CHOOSE(CONTROL!$C$27, 0.0021, 0)</f>
        <v>131.49850000000001</v>
      </c>
      <c r="F772" s="14">
        <f>131.4964 * CHOOSE(CONTROL!$C$9, $D$9, 100%, $F$9) + CHOOSE(CONTROL!$C$27, 0.0021, 0)</f>
        <v>131.49850000000001</v>
      </c>
      <c r="G772" s="14">
        <f>131.7677 * CHOOSE(CONTROL!$C$9, $D$9, 100%, $F$9) + CHOOSE(CONTROL!$C$27, 0.0021, 0)</f>
        <v>131.7698</v>
      </c>
      <c r="H772" s="14">
        <f>131.633 * CHOOSE(CONTROL!$C$9, $D$9, 100%, $F$9) + CHOOSE(CONTROL!$C$27, 0.0021, 0)</f>
        <v>131.63510000000002</v>
      </c>
      <c r="I772" s="14">
        <f>131.633 * CHOOSE(CONTROL!$C$9, $D$9, 100%, $F$9) + CHOOSE(CONTROL!$C$27, 0.0021, 0)</f>
        <v>131.63510000000002</v>
      </c>
      <c r="J772" s="14">
        <f>131.633 * CHOOSE(CONTROL!$C$9, $D$9, 100%, $F$9) + CHOOSE(CONTROL!$C$27, 0.0021, 0)</f>
        <v>131.63510000000002</v>
      </c>
      <c r="K772" s="14">
        <f>131.633 * CHOOSE(CONTROL!$C$9, $D$9, 100%, $F$9) + CHOOSE(CONTROL!$C$27, 0.0021, 0)</f>
        <v>131.63510000000002</v>
      </c>
      <c r="L772" s="14"/>
    </row>
    <row r="773" spans="1:12" ht="15.75" x14ac:dyDescent="0.25">
      <c r="A773" s="32">
        <v>64466</v>
      </c>
      <c r="B773" s="14">
        <f>133.9352 * CHOOSE(CONTROL!$C$9, $D$9, 100%, $F$9) + CHOOSE(CONTROL!$C$27, 0.0021, 0)</f>
        <v>133.93730000000002</v>
      </c>
      <c r="C773" s="14">
        <f>133.5029 * CHOOSE(CONTROL!$C$9, $D$9, 100%, $F$9) + CHOOSE(CONTROL!$C$27, 0.0021, 0)</f>
        <v>133.50500000000002</v>
      </c>
      <c r="D773" s="14">
        <f>133.5029 * CHOOSE(CONTROL!$C$9, $D$9, 100%, $F$9) + CHOOSE(CONTROL!$C$27, 0.0021, 0)</f>
        <v>133.50500000000002</v>
      </c>
      <c r="E773" s="14">
        <f>133.3662 * CHOOSE(CONTROL!$C$9, $D$9, 100%, $F$9) + CHOOSE(CONTROL!$C$27, 0.0021, 0)</f>
        <v>133.3683</v>
      </c>
      <c r="F773" s="14">
        <f>133.3662 * CHOOSE(CONTROL!$C$9, $D$9, 100%, $F$9) + CHOOSE(CONTROL!$C$27, 0.0021, 0)</f>
        <v>133.3683</v>
      </c>
      <c r="G773" s="14">
        <f>133.6376 * CHOOSE(CONTROL!$C$9, $D$9, 100%, $F$9) + CHOOSE(CONTROL!$C$27, 0.0021, 0)</f>
        <v>133.6397</v>
      </c>
      <c r="H773" s="14">
        <f>133.5029 * CHOOSE(CONTROL!$C$9, $D$9, 100%, $F$9) + CHOOSE(CONTROL!$C$27, 0.0021, 0)</f>
        <v>133.50500000000002</v>
      </c>
      <c r="I773" s="14">
        <f>133.5029 * CHOOSE(CONTROL!$C$9, $D$9, 100%, $F$9) + CHOOSE(CONTROL!$C$27, 0.0021, 0)</f>
        <v>133.50500000000002</v>
      </c>
      <c r="J773" s="14">
        <f>133.5029 * CHOOSE(CONTROL!$C$9, $D$9, 100%, $F$9) + CHOOSE(CONTROL!$C$27, 0.0021, 0)</f>
        <v>133.50500000000002</v>
      </c>
      <c r="K773" s="14">
        <f>133.5029 * CHOOSE(CONTROL!$C$9, $D$9, 100%, $F$9) + CHOOSE(CONTROL!$C$27, 0.0021, 0)</f>
        <v>133.50500000000002</v>
      </c>
      <c r="L773" s="14"/>
    </row>
    <row r="774" spans="1:12" ht="15.75" x14ac:dyDescent="0.25">
      <c r="A774" s="32">
        <v>64497</v>
      </c>
      <c r="B774" s="14">
        <f>133.3195 * CHOOSE(CONTROL!$C$9, $D$9, 100%, $F$9) + CHOOSE(CONTROL!$C$27, 0.0021, 0)</f>
        <v>133.32160000000002</v>
      </c>
      <c r="C774" s="14">
        <f>132.8873 * CHOOSE(CONTROL!$C$9, $D$9, 100%, $F$9) + CHOOSE(CONTROL!$C$27, 0.0021, 0)</f>
        <v>132.88940000000002</v>
      </c>
      <c r="D774" s="14">
        <f>132.8873 * CHOOSE(CONTROL!$C$9, $D$9, 100%, $F$9) + CHOOSE(CONTROL!$C$27, 0.0021, 0)</f>
        <v>132.88940000000002</v>
      </c>
      <c r="E774" s="14">
        <f>132.7506 * CHOOSE(CONTROL!$C$9, $D$9, 100%, $F$9) + CHOOSE(CONTROL!$C$27, 0.0021, 0)</f>
        <v>132.7527</v>
      </c>
      <c r="F774" s="14">
        <f>132.7506 * CHOOSE(CONTROL!$C$9, $D$9, 100%, $F$9) + CHOOSE(CONTROL!$C$27, 0.0021, 0)</f>
        <v>132.7527</v>
      </c>
      <c r="G774" s="14">
        <f>133.022 * CHOOSE(CONTROL!$C$9, $D$9, 100%, $F$9) + CHOOSE(CONTROL!$C$27, 0.0021, 0)</f>
        <v>133.0241</v>
      </c>
      <c r="H774" s="14">
        <f>132.8873 * CHOOSE(CONTROL!$C$9, $D$9, 100%, $F$9) + CHOOSE(CONTROL!$C$27, 0.0021, 0)</f>
        <v>132.88940000000002</v>
      </c>
      <c r="I774" s="14">
        <f>132.8873 * CHOOSE(CONTROL!$C$9, $D$9, 100%, $F$9) + CHOOSE(CONTROL!$C$27, 0.0021, 0)</f>
        <v>132.88940000000002</v>
      </c>
      <c r="J774" s="14">
        <f>132.8873 * CHOOSE(CONTROL!$C$9, $D$9, 100%, $F$9) + CHOOSE(CONTROL!$C$27, 0.0021, 0)</f>
        <v>132.88940000000002</v>
      </c>
      <c r="K774" s="14">
        <f>132.8873 * CHOOSE(CONTROL!$C$9, $D$9, 100%, $F$9) + CHOOSE(CONTROL!$C$27, 0.0021, 0)</f>
        <v>132.88940000000002</v>
      </c>
      <c r="L774" s="14"/>
    </row>
    <row r="775" spans="1:12" ht="15.75" x14ac:dyDescent="0.25">
      <c r="A775" s="32">
        <v>64528</v>
      </c>
      <c r="B775" s="14">
        <f>130.2692 * CHOOSE(CONTROL!$C$9, $D$9, 100%, $F$9) + CHOOSE(CONTROL!$C$27, 0.0021, 0)</f>
        <v>130.27130000000002</v>
      </c>
      <c r="C775" s="14">
        <f>129.837 * CHOOSE(CONTROL!$C$9, $D$9, 100%, $F$9) + CHOOSE(CONTROL!$C$27, 0.0021, 0)</f>
        <v>129.8391</v>
      </c>
      <c r="D775" s="14">
        <f>129.837 * CHOOSE(CONTROL!$C$9, $D$9, 100%, $F$9) + CHOOSE(CONTROL!$C$27, 0.0021, 0)</f>
        <v>129.8391</v>
      </c>
      <c r="E775" s="14">
        <f>129.7003 * CHOOSE(CONTROL!$C$9, $D$9, 100%, $F$9) + CHOOSE(CONTROL!$C$27, 0.0021, 0)</f>
        <v>129.70240000000001</v>
      </c>
      <c r="F775" s="14">
        <f>129.7003 * CHOOSE(CONTROL!$C$9, $D$9, 100%, $F$9) + CHOOSE(CONTROL!$C$27, 0.0021, 0)</f>
        <v>129.70240000000001</v>
      </c>
      <c r="G775" s="14">
        <f>129.9717 * CHOOSE(CONTROL!$C$9, $D$9, 100%, $F$9) + CHOOSE(CONTROL!$C$27, 0.0021, 0)</f>
        <v>129.97380000000001</v>
      </c>
      <c r="H775" s="14">
        <f>129.837 * CHOOSE(CONTROL!$C$9, $D$9, 100%, $F$9) + CHOOSE(CONTROL!$C$27, 0.0021, 0)</f>
        <v>129.8391</v>
      </c>
      <c r="I775" s="14">
        <f>129.837 * CHOOSE(CONTROL!$C$9, $D$9, 100%, $F$9) + CHOOSE(CONTROL!$C$27, 0.0021, 0)</f>
        <v>129.8391</v>
      </c>
      <c r="J775" s="14">
        <f>129.837 * CHOOSE(CONTROL!$C$9, $D$9, 100%, $F$9) + CHOOSE(CONTROL!$C$27, 0.0021, 0)</f>
        <v>129.8391</v>
      </c>
      <c r="K775" s="14">
        <f>129.837 * CHOOSE(CONTROL!$C$9, $D$9, 100%, $F$9) + CHOOSE(CONTROL!$C$27, 0.0021, 0)</f>
        <v>129.8391</v>
      </c>
      <c r="L775" s="14"/>
    </row>
    <row r="776" spans="1:12" ht="15.75" x14ac:dyDescent="0.25">
      <c r="A776" s="32">
        <v>64558</v>
      </c>
      <c r="B776" s="14">
        <f>126.0155 * CHOOSE(CONTROL!$C$9, $D$9, 100%, $F$9) + CHOOSE(CONTROL!$C$27, 0.0021, 0)</f>
        <v>126.0176</v>
      </c>
      <c r="C776" s="14">
        <f>125.5833 * CHOOSE(CONTROL!$C$9, $D$9, 100%, $F$9) + CHOOSE(CONTROL!$C$27, 0.0021, 0)</f>
        <v>125.58539999999999</v>
      </c>
      <c r="D776" s="14">
        <f>125.5833 * CHOOSE(CONTROL!$C$9, $D$9, 100%, $F$9) + CHOOSE(CONTROL!$C$27, 0.0021, 0)</f>
        <v>125.58539999999999</v>
      </c>
      <c r="E776" s="14">
        <f>125.4466 * CHOOSE(CONTROL!$C$9, $D$9, 100%, $F$9) + CHOOSE(CONTROL!$C$27, 0.0021, 0)</f>
        <v>125.4487</v>
      </c>
      <c r="F776" s="14">
        <f>125.4466 * CHOOSE(CONTROL!$C$9, $D$9, 100%, $F$9) + CHOOSE(CONTROL!$C$27, 0.0021, 0)</f>
        <v>125.4487</v>
      </c>
      <c r="G776" s="14">
        <f>125.718 * CHOOSE(CONTROL!$C$9, $D$9, 100%, $F$9) + CHOOSE(CONTROL!$C$27, 0.0021, 0)</f>
        <v>125.7201</v>
      </c>
      <c r="H776" s="14">
        <f>125.5833 * CHOOSE(CONTROL!$C$9, $D$9, 100%, $F$9) + CHOOSE(CONTROL!$C$27, 0.0021, 0)</f>
        <v>125.58539999999999</v>
      </c>
      <c r="I776" s="14">
        <f>125.5833 * CHOOSE(CONTROL!$C$9, $D$9, 100%, $F$9) + CHOOSE(CONTROL!$C$27, 0.0021, 0)</f>
        <v>125.58539999999999</v>
      </c>
      <c r="J776" s="14">
        <f>125.5833 * CHOOSE(CONTROL!$C$9, $D$9, 100%, $F$9) + CHOOSE(CONTROL!$C$27, 0.0021, 0)</f>
        <v>125.58539999999999</v>
      </c>
      <c r="K776" s="14">
        <f>125.5833 * CHOOSE(CONTROL!$C$9, $D$9, 100%, $F$9) + CHOOSE(CONTROL!$C$27, 0.0021, 0)</f>
        <v>125.58539999999999</v>
      </c>
      <c r="L776" s="14"/>
    </row>
    <row r="777" spans="1:12" ht="15.75" x14ac:dyDescent="0.25">
      <c r="A777" s="32">
        <v>64589</v>
      </c>
      <c r="B777" s="14">
        <f>121.737 * CHOOSE(CONTROL!$C$9, $D$9, 100%, $F$9) + CHOOSE(CONTROL!$C$27, 0.0021, 0)</f>
        <v>121.73909999999999</v>
      </c>
      <c r="C777" s="14">
        <f>121.3048 * CHOOSE(CONTROL!$C$9, $D$9, 100%, $F$9) + CHOOSE(CONTROL!$C$27, 0.0021, 0)</f>
        <v>121.3069</v>
      </c>
      <c r="D777" s="14">
        <f>121.3048 * CHOOSE(CONTROL!$C$9, $D$9, 100%, $F$9) + CHOOSE(CONTROL!$C$27, 0.0021, 0)</f>
        <v>121.3069</v>
      </c>
      <c r="E777" s="14">
        <f>121.1681 * CHOOSE(CONTROL!$C$9, $D$9, 100%, $F$9) + CHOOSE(CONTROL!$C$27, 0.0021, 0)</f>
        <v>121.17019999999999</v>
      </c>
      <c r="F777" s="14">
        <f>121.1681 * CHOOSE(CONTROL!$C$9, $D$9, 100%, $F$9) + CHOOSE(CONTROL!$C$27, 0.0021, 0)</f>
        <v>121.17019999999999</v>
      </c>
      <c r="G777" s="14">
        <f>121.4395 * CHOOSE(CONTROL!$C$9, $D$9, 100%, $F$9) + CHOOSE(CONTROL!$C$27, 0.0021, 0)</f>
        <v>121.44159999999999</v>
      </c>
      <c r="H777" s="14">
        <f>121.3048 * CHOOSE(CONTROL!$C$9, $D$9, 100%, $F$9) + CHOOSE(CONTROL!$C$27, 0.0021, 0)</f>
        <v>121.3069</v>
      </c>
      <c r="I777" s="14">
        <f>121.3048 * CHOOSE(CONTROL!$C$9, $D$9, 100%, $F$9) + CHOOSE(CONTROL!$C$27, 0.0021, 0)</f>
        <v>121.3069</v>
      </c>
      <c r="J777" s="14">
        <f>121.3048 * CHOOSE(CONTROL!$C$9, $D$9, 100%, $F$9) + CHOOSE(CONTROL!$C$27, 0.0021, 0)</f>
        <v>121.3069</v>
      </c>
      <c r="K777" s="14">
        <f>121.3048 * CHOOSE(CONTROL!$C$9, $D$9, 100%, $F$9) + CHOOSE(CONTROL!$C$27, 0.0021, 0)</f>
        <v>121.3069</v>
      </c>
      <c r="L777" s="14"/>
    </row>
    <row r="778" spans="1:12" ht="15.75" x14ac:dyDescent="0.25">
      <c r="A778" s="32">
        <v>64619</v>
      </c>
      <c r="B778" s="14">
        <f>120.886 * CHOOSE(CONTROL!$C$9, $D$9, 100%, $F$9) + CHOOSE(CONTROL!$C$27, 0.0021, 0)</f>
        <v>120.88809999999999</v>
      </c>
      <c r="C778" s="14">
        <f>120.4537 * CHOOSE(CONTROL!$C$9, $D$9, 100%, $F$9) + CHOOSE(CONTROL!$C$27, 0.0021, 0)</f>
        <v>120.4558</v>
      </c>
      <c r="D778" s="14">
        <f>120.4537 * CHOOSE(CONTROL!$C$9, $D$9, 100%, $F$9) + CHOOSE(CONTROL!$C$27, 0.0021, 0)</f>
        <v>120.4558</v>
      </c>
      <c r="E778" s="14">
        <f>120.3171 * CHOOSE(CONTROL!$C$9, $D$9, 100%, $F$9) + CHOOSE(CONTROL!$C$27, 0.0021, 0)</f>
        <v>120.3192</v>
      </c>
      <c r="F778" s="14">
        <f>120.3171 * CHOOSE(CONTROL!$C$9, $D$9, 100%, $F$9) + CHOOSE(CONTROL!$C$27, 0.0021, 0)</f>
        <v>120.3192</v>
      </c>
      <c r="G778" s="14">
        <f>120.5884 * CHOOSE(CONTROL!$C$9, $D$9, 100%, $F$9) + CHOOSE(CONTROL!$C$27, 0.0021, 0)</f>
        <v>120.59049999999999</v>
      </c>
      <c r="H778" s="14">
        <f>120.4537 * CHOOSE(CONTROL!$C$9, $D$9, 100%, $F$9) + CHOOSE(CONTROL!$C$27, 0.0021, 0)</f>
        <v>120.4558</v>
      </c>
      <c r="I778" s="14">
        <f>120.4537 * CHOOSE(CONTROL!$C$9, $D$9, 100%, $F$9) + CHOOSE(CONTROL!$C$27, 0.0021, 0)</f>
        <v>120.4558</v>
      </c>
      <c r="J778" s="14">
        <f>120.4537 * CHOOSE(CONTROL!$C$9, $D$9, 100%, $F$9) + CHOOSE(CONTROL!$C$27, 0.0021, 0)</f>
        <v>120.4558</v>
      </c>
      <c r="K778" s="14">
        <f>120.4537 * CHOOSE(CONTROL!$C$9, $D$9, 100%, $F$9) + CHOOSE(CONTROL!$C$27, 0.0021, 0)</f>
        <v>120.4558</v>
      </c>
      <c r="L778" s="14"/>
    </row>
    <row r="779" spans="1:12" ht="15.75" x14ac:dyDescent="0.25">
      <c r="A779" s="32">
        <v>64650</v>
      </c>
      <c r="B779" s="14">
        <f>117.3667 * CHOOSE(CONTROL!$C$9, $D$9, 100%, $F$9) + CHOOSE(CONTROL!$C$27, 0.0021, 0)</f>
        <v>117.36879999999999</v>
      </c>
      <c r="C779" s="14">
        <f>116.9344 * CHOOSE(CONTROL!$C$9, $D$9, 100%, $F$9) + CHOOSE(CONTROL!$C$27, 0.0021, 0)</f>
        <v>116.9365</v>
      </c>
      <c r="D779" s="14">
        <f>116.9344 * CHOOSE(CONTROL!$C$9, $D$9, 100%, $F$9) + CHOOSE(CONTROL!$C$27, 0.0021, 0)</f>
        <v>116.9365</v>
      </c>
      <c r="E779" s="14">
        <f>116.7978 * CHOOSE(CONTROL!$C$9, $D$9, 100%, $F$9) + CHOOSE(CONTROL!$C$27, 0.0021, 0)</f>
        <v>116.79989999999999</v>
      </c>
      <c r="F779" s="14">
        <f>116.7978 * CHOOSE(CONTROL!$C$9, $D$9, 100%, $F$9) + CHOOSE(CONTROL!$C$27, 0.0021, 0)</f>
        <v>116.79989999999999</v>
      </c>
      <c r="G779" s="14">
        <f>117.0692 * CHOOSE(CONTROL!$C$9, $D$9, 100%, $F$9) + CHOOSE(CONTROL!$C$27, 0.0021, 0)</f>
        <v>117.07129999999999</v>
      </c>
      <c r="H779" s="14">
        <f>116.9344 * CHOOSE(CONTROL!$C$9, $D$9, 100%, $F$9) + CHOOSE(CONTROL!$C$27, 0.0021, 0)</f>
        <v>116.9365</v>
      </c>
      <c r="I779" s="14">
        <f>116.9344 * CHOOSE(CONTROL!$C$9, $D$9, 100%, $F$9) + CHOOSE(CONTROL!$C$27, 0.0021, 0)</f>
        <v>116.9365</v>
      </c>
      <c r="J779" s="14">
        <f>116.9344 * CHOOSE(CONTROL!$C$9, $D$9, 100%, $F$9) + CHOOSE(CONTROL!$C$27, 0.0021, 0)</f>
        <v>116.9365</v>
      </c>
      <c r="K779" s="14">
        <f>116.9344 * CHOOSE(CONTROL!$C$9, $D$9, 100%, $F$9) + CHOOSE(CONTROL!$C$27, 0.0021, 0)</f>
        <v>116.9365</v>
      </c>
      <c r="L779" s="14"/>
    </row>
    <row r="780" spans="1:12" ht="15.75" x14ac:dyDescent="0.25">
      <c r="A780" s="32">
        <v>64681</v>
      </c>
      <c r="B780" s="14">
        <f>116.6815 * CHOOSE(CONTROL!$C$9, $D$9, 100%, $F$9) + CHOOSE(CONTROL!$C$27, 0.0021, 0)</f>
        <v>116.6836</v>
      </c>
      <c r="C780" s="14">
        <f>116.2493 * CHOOSE(CONTROL!$C$9, $D$9, 100%, $F$9) + CHOOSE(CONTROL!$C$27, 0.0021, 0)</f>
        <v>116.2514</v>
      </c>
      <c r="D780" s="14">
        <f>116.2493 * CHOOSE(CONTROL!$C$9, $D$9, 100%, $F$9) + CHOOSE(CONTROL!$C$27, 0.0021, 0)</f>
        <v>116.2514</v>
      </c>
      <c r="E780" s="14">
        <f>116.1126 * CHOOSE(CONTROL!$C$9, $D$9, 100%, $F$9) + CHOOSE(CONTROL!$C$27, 0.0021, 0)</f>
        <v>116.1147</v>
      </c>
      <c r="F780" s="14">
        <f>116.1126 * CHOOSE(CONTROL!$C$9, $D$9, 100%, $F$9) + CHOOSE(CONTROL!$C$27, 0.0021, 0)</f>
        <v>116.1147</v>
      </c>
      <c r="G780" s="14">
        <f>116.384 * CHOOSE(CONTROL!$C$9, $D$9, 100%, $F$9) + CHOOSE(CONTROL!$C$27, 0.0021, 0)</f>
        <v>116.3861</v>
      </c>
      <c r="H780" s="14">
        <f>116.2493 * CHOOSE(CONTROL!$C$9, $D$9, 100%, $F$9) + CHOOSE(CONTROL!$C$27, 0.0021, 0)</f>
        <v>116.2514</v>
      </c>
      <c r="I780" s="14">
        <f>116.2493 * CHOOSE(CONTROL!$C$9, $D$9, 100%, $F$9) + CHOOSE(CONTROL!$C$27, 0.0021, 0)</f>
        <v>116.2514</v>
      </c>
      <c r="J780" s="14">
        <f>116.2493 * CHOOSE(CONTROL!$C$9, $D$9, 100%, $F$9) + CHOOSE(CONTROL!$C$27, 0.0021, 0)</f>
        <v>116.2514</v>
      </c>
      <c r="K780" s="14">
        <f>116.2493 * CHOOSE(CONTROL!$C$9, $D$9, 100%, $F$9) + CHOOSE(CONTROL!$C$27, 0.0021, 0)</f>
        <v>116.2514</v>
      </c>
      <c r="L780" s="14"/>
    </row>
    <row r="781" spans="1:12" ht="15.75" x14ac:dyDescent="0.25">
      <c r="A781" s="32">
        <v>64709</v>
      </c>
      <c r="B781" s="14">
        <f>116.3636 * CHOOSE(CONTROL!$C$9, $D$9, 100%, $F$9) + CHOOSE(CONTROL!$C$27, 0.0021, 0)</f>
        <v>116.3657</v>
      </c>
      <c r="C781" s="14">
        <f>115.9313 * CHOOSE(CONTROL!$C$9, $D$9, 100%, $F$9) + CHOOSE(CONTROL!$C$27, 0.0021, 0)</f>
        <v>115.93339999999999</v>
      </c>
      <c r="D781" s="14">
        <f>115.9313 * CHOOSE(CONTROL!$C$9, $D$9, 100%, $F$9) + CHOOSE(CONTROL!$C$27, 0.0021, 0)</f>
        <v>115.93339999999999</v>
      </c>
      <c r="E781" s="14">
        <f>115.7947 * CHOOSE(CONTROL!$C$9, $D$9, 100%, $F$9) + CHOOSE(CONTROL!$C$27, 0.0021, 0)</f>
        <v>115.7968</v>
      </c>
      <c r="F781" s="14">
        <f>115.7947 * CHOOSE(CONTROL!$C$9, $D$9, 100%, $F$9) + CHOOSE(CONTROL!$C$27, 0.0021, 0)</f>
        <v>115.7968</v>
      </c>
      <c r="G781" s="14">
        <f>116.066 * CHOOSE(CONTROL!$C$9, $D$9, 100%, $F$9) + CHOOSE(CONTROL!$C$27, 0.0021, 0)</f>
        <v>116.0681</v>
      </c>
      <c r="H781" s="14">
        <f>115.9313 * CHOOSE(CONTROL!$C$9, $D$9, 100%, $F$9) + CHOOSE(CONTROL!$C$27, 0.0021, 0)</f>
        <v>115.93339999999999</v>
      </c>
      <c r="I781" s="14">
        <f>115.9313 * CHOOSE(CONTROL!$C$9, $D$9, 100%, $F$9) + CHOOSE(CONTROL!$C$27, 0.0021, 0)</f>
        <v>115.93339999999999</v>
      </c>
      <c r="J781" s="14">
        <f>115.9313 * CHOOSE(CONTROL!$C$9, $D$9, 100%, $F$9) + CHOOSE(CONTROL!$C$27, 0.0021, 0)</f>
        <v>115.93339999999999</v>
      </c>
      <c r="K781" s="14">
        <f>115.9313 * CHOOSE(CONTROL!$C$9, $D$9, 100%, $F$9) + CHOOSE(CONTROL!$C$27, 0.0021, 0)</f>
        <v>115.93339999999999</v>
      </c>
      <c r="L781" s="14"/>
    </row>
    <row r="782" spans="1:12" ht="15.75" x14ac:dyDescent="0.25">
      <c r="A782" s="32">
        <v>64740</v>
      </c>
      <c r="B782" s="14">
        <f>122.3758 * CHOOSE(CONTROL!$C$9, $D$9, 100%, $F$9) + CHOOSE(CONTROL!$C$27, 0.0021, 0)</f>
        <v>122.3779</v>
      </c>
      <c r="C782" s="14">
        <f>121.9435 * CHOOSE(CONTROL!$C$9, $D$9, 100%, $F$9) + CHOOSE(CONTROL!$C$27, 0.0021, 0)</f>
        <v>121.9456</v>
      </c>
      <c r="D782" s="14">
        <f>121.9435 * CHOOSE(CONTROL!$C$9, $D$9, 100%, $F$9) + CHOOSE(CONTROL!$C$27, 0.0021, 0)</f>
        <v>121.9456</v>
      </c>
      <c r="E782" s="14">
        <f>121.8069 * CHOOSE(CONTROL!$C$9, $D$9, 100%, $F$9) + CHOOSE(CONTROL!$C$27, 0.0021, 0)</f>
        <v>121.809</v>
      </c>
      <c r="F782" s="14">
        <f>121.8069 * CHOOSE(CONTROL!$C$9, $D$9, 100%, $F$9) + CHOOSE(CONTROL!$C$27, 0.0021, 0)</f>
        <v>121.809</v>
      </c>
      <c r="G782" s="14">
        <f>122.0782 * CHOOSE(CONTROL!$C$9, $D$9, 100%, $F$9) + CHOOSE(CONTROL!$C$27, 0.0021, 0)</f>
        <v>122.08029999999999</v>
      </c>
      <c r="H782" s="14">
        <f>121.9435 * CHOOSE(CONTROL!$C$9, $D$9, 100%, $F$9) + CHOOSE(CONTROL!$C$27, 0.0021, 0)</f>
        <v>121.9456</v>
      </c>
      <c r="I782" s="14">
        <f>121.9435 * CHOOSE(CONTROL!$C$9, $D$9, 100%, $F$9) + CHOOSE(CONTROL!$C$27, 0.0021, 0)</f>
        <v>121.9456</v>
      </c>
      <c r="J782" s="14">
        <f>121.9435 * CHOOSE(CONTROL!$C$9, $D$9, 100%, $F$9) + CHOOSE(CONTROL!$C$27, 0.0021, 0)</f>
        <v>121.9456</v>
      </c>
      <c r="K782" s="14">
        <f>121.9435 * CHOOSE(CONTROL!$C$9, $D$9, 100%, $F$9) + CHOOSE(CONTROL!$C$27, 0.0021, 0)</f>
        <v>121.9456</v>
      </c>
      <c r="L782" s="14"/>
    </row>
    <row r="783" spans="1:12" ht="15.75" x14ac:dyDescent="0.25">
      <c r="A783" s="32">
        <v>64770</v>
      </c>
      <c r="B783" s="14">
        <f>130.1722 * CHOOSE(CONTROL!$C$9, $D$9, 100%, $F$9) + CHOOSE(CONTROL!$C$27, 0.0021, 0)</f>
        <v>130.17430000000002</v>
      </c>
      <c r="C783" s="14">
        <f>129.7399 * CHOOSE(CONTROL!$C$9, $D$9, 100%, $F$9) + CHOOSE(CONTROL!$C$27, 0.0021, 0)</f>
        <v>129.74200000000002</v>
      </c>
      <c r="D783" s="14">
        <f>129.7399 * CHOOSE(CONTROL!$C$9, $D$9, 100%, $F$9) + CHOOSE(CONTROL!$C$27, 0.0021, 0)</f>
        <v>129.74200000000002</v>
      </c>
      <c r="E783" s="14">
        <f>129.6033 * CHOOSE(CONTROL!$C$9, $D$9, 100%, $F$9) + CHOOSE(CONTROL!$C$27, 0.0021, 0)</f>
        <v>129.6054</v>
      </c>
      <c r="F783" s="14">
        <f>129.6033 * CHOOSE(CONTROL!$C$9, $D$9, 100%, $F$9) + CHOOSE(CONTROL!$C$27, 0.0021, 0)</f>
        <v>129.6054</v>
      </c>
      <c r="G783" s="14">
        <f>129.8746 * CHOOSE(CONTROL!$C$9, $D$9, 100%, $F$9) + CHOOSE(CONTROL!$C$27, 0.0021, 0)</f>
        <v>129.8767</v>
      </c>
      <c r="H783" s="14">
        <f>129.7399 * CHOOSE(CONTROL!$C$9, $D$9, 100%, $F$9) + CHOOSE(CONTROL!$C$27, 0.0021, 0)</f>
        <v>129.74200000000002</v>
      </c>
      <c r="I783" s="14">
        <f>129.7399 * CHOOSE(CONTROL!$C$9, $D$9, 100%, $F$9) + CHOOSE(CONTROL!$C$27, 0.0021, 0)</f>
        <v>129.74200000000002</v>
      </c>
      <c r="J783" s="14">
        <f>129.7399 * CHOOSE(CONTROL!$C$9, $D$9, 100%, $F$9) + CHOOSE(CONTROL!$C$27, 0.0021, 0)</f>
        <v>129.74200000000002</v>
      </c>
      <c r="K783" s="14">
        <f>129.7399 * CHOOSE(CONTROL!$C$9, $D$9, 100%, $F$9) + CHOOSE(CONTROL!$C$27, 0.0021, 0)</f>
        <v>129.74200000000002</v>
      </c>
      <c r="L783" s="14"/>
    </row>
    <row r="784" spans="1:12" ht="15.75" x14ac:dyDescent="0.25">
      <c r="A784" s="32">
        <v>64801</v>
      </c>
      <c r="B784" s="14">
        <f>134.4636 * CHOOSE(CONTROL!$C$9, $D$9, 100%, $F$9) + CHOOSE(CONTROL!$C$27, 0.0021, 0)</f>
        <v>134.46570000000003</v>
      </c>
      <c r="C784" s="14">
        <f>134.0313 * CHOOSE(CONTROL!$C$9, $D$9, 100%, $F$9) + CHOOSE(CONTROL!$C$27, 0.0021, 0)</f>
        <v>134.0334</v>
      </c>
      <c r="D784" s="14">
        <f>134.0313 * CHOOSE(CONTROL!$C$9, $D$9, 100%, $F$9) + CHOOSE(CONTROL!$C$27, 0.0021, 0)</f>
        <v>134.0334</v>
      </c>
      <c r="E784" s="14">
        <f>133.8947 * CHOOSE(CONTROL!$C$9, $D$9, 100%, $F$9) + CHOOSE(CONTROL!$C$27, 0.0021, 0)</f>
        <v>133.89680000000001</v>
      </c>
      <c r="F784" s="14">
        <f>133.8947 * CHOOSE(CONTROL!$C$9, $D$9, 100%, $F$9) + CHOOSE(CONTROL!$C$27, 0.0021, 0)</f>
        <v>133.89680000000001</v>
      </c>
      <c r="G784" s="14">
        <f>134.166 * CHOOSE(CONTROL!$C$9, $D$9, 100%, $F$9) + CHOOSE(CONTROL!$C$27, 0.0021, 0)</f>
        <v>134.16810000000001</v>
      </c>
      <c r="H784" s="14">
        <f>134.0313 * CHOOSE(CONTROL!$C$9, $D$9, 100%, $F$9) + CHOOSE(CONTROL!$C$27, 0.0021, 0)</f>
        <v>134.0334</v>
      </c>
      <c r="I784" s="14">
        <f>134.0313 * CHOOSE(CONTROL!$C$9, $D$9, 100%, $F$9) + CHOOSE(CONTROL!$C$27, 0.0021, 0)</f>
        <v>134.0334</v>
      </c>
      <c r="J784" s="14">
        <f>134.0313 * CHOOSE(CONTROL!$C$9, $D$9, 100%, $F$9) + CHOOSE(CONTROL!$C$27, 0.0021, 0)</f>
        <v>134.0334</v>
      </c>
      <c r="K784" s="14">
        <f>134.0313 * CHOOSE(CONTROL!$C$9, $D$9, 100%, $F$9) + CHOOSE(CONTROL!$C$27, 0.0021, 0)</f>
        <v>134.0334</v>
      </c>
      <c r="L784" s="14"/>
    </row>
    <row r="785" spans="1:12" ht="15.75" x14ac:dyDescent="0.25">
      <c r="A785" s="32">
        <v>64831</v>
      </c>
      <c r="B785" s="14">
        <f>136.368 * CHOOSE(CONTROL!$C$9, $D$9, 100%, $F$9) + CHOOSE(CONTROL!$C$27, 0.0021, 0)</f>
        <v>136.37010000000001</v>
      </c>
      <c r="C785" s="14">
        <f>135.9358 * CHOOSE(CONTROL!$C$9, $D$9, 100%, $F$9) + CHOOSE(CONTROL!$C$27, 0.0021, 0)</f>
        <v>135.93790000000001</v>
      </c>
      <c r="D785" s="14">
        <f>135.9358 * CHOOSE(CONTROL!$C$9, $D$9, 100%, $F$9) + CHOOSE(CONTROL!$C$27, 0.0021, 0)</f>
        <v>135.93790000000001</v>
      </c>
      <c r="E785" s="14">
        <f>135.7991 * CHOOSE(CONTROL!$C$9, $D$9, 100%, $F$9) + CHOOSE(CONTROL!$C$27, 0.0021, 0)</f>
        <v>135.80120000000002</v>
      </c>
      <c r="F785" s="14">
        <f>135.7991 * CHOOSE(CONTROL!$C$9, $D$9, 100%, $F$9) + CHOOSE(CONTROL!$C$27, 0.0021, 0)</f>
        <v>135.80120000000002</v>
      </c>
      <c r="G785" s="14">
        <f>136.0705 * CHOOSE(CONTROL!$C$9, $D$9, 100%, $F$9) + CHOOSE(CONTROL!$C$27, 0.0021, 0)</f>
        <v>136.07260000000002</v>
      </c>
      <c r="H785" s="14">
        <f>135.9358 * CHOOSE(CONTROL!$C$9, $D$9, 100%, $F$9) + CHOOSE(CONTROL!$C$27, 0.0021, 0)</f>
        <v>135.93790000000001</v>
      </c>
      <c r="I785" s="14">
        <f>135.9358 * CHOOSE(CONTROL!$C$9, $D$9, 100%, $F$9) + CHOOSE(CONTROL!$C$27, 0.0021, 0)</f>
        <v>135.93790000000001</v>
      </c>
      <c r="J785" s="14">
        <f>135.9358 * CHOOSE(CONTROL!$C$9, $D$9, 100%, $F$9) + CHOOSE(CONTROL!$C$27, 0.0021, 0)</f>
        <v>135.93790000000001</v>
      </c>
      <c r="K785" s="14">
        <f>135.9358 * CHOOSE(CONTROL!$C$9, $D$9, 100%, $F$9) + CHOOSE(CONTROL!$C$27, 0.0021, 0)</f>
        <v>135.93790000000001</v>
      </c>
      <c r="L785" s="14"/>
    </row>
    <row r="786" spans="1:12" ht="15.75" x14ac:dyDescent="0.25">
      <c r="A786" s="32">
        <v>64862</v>
      </c>
      <c r="B786" s="14">
        <f>135.741 * CHOOSE(CONTROL!$C$9, $D$9, 100%, $F$9) + CHOOSE(CONTROL!$C$27, 0.0021, 0)</f>
        <v>135.74310000000003</v>
      </c>
      <c r="C786" s="14">
        <f>135.3087 * CHOOSE(CONTROL!$C$9, $D$9, 100%, $F$9) + CHOOSE(CONTROL!$C$27, 0.0021, 0)</f>
        <v>135.3108</v>
      </c>
      <c r="D786" s="14">
        <f>135.3087 * CHOOSE(CONTROL!$C$9, $D$9, 100%, $F$9) + CHOOSE(CONTROL!$C$27, 0.0021, 0)</f>
        <v>135.3108</v>
      </c>
      <c r="E786" s="14">
        <f>135.1721 * CHOOSE(CONTROL!$C$9, $D$9, 100%, $F$9) + CHOOSE(CONTROL!$C$27, 0.0021, 0)</f>
        <v>135.17420000000001</v>
      </c>
      <c r="F786" s="14">
        <f>135.1721 * CHOOSE(CONTROL!$C$9, $D$9, 100%, $F$9) + CHOOSE(CONTROL!$C$27, 0.0021, 0)</f>
        <v>135.17420000000001</v>
      </c>
      <c r="G786" s="14">
        <f>135.4434 * CHOOSE(CONTROL!$C$9, $D$9, 100%, $F$9) + CHOOSE(CONTROL!$C$27, 0.0021, 0)</f>
        <v>135.44550000000001</v>
      </c>
      <c r="H786" s="14">
        <f>135.3087 * CHOOSE(CONTROL!$C$9, $D$9, 100%, $F$9) + CHOOSE(CONTROL!$C$27, 0.0021, 0)</f>
        <v>135.3108</v>
      </c>
      <c r="I786" s="14">
        <f>135.3087 * CHOOSE(CONTROL!$C$9, $D$9, 100%, $F$9) + CHOOSE(CONTROL!$C$27, 0.0021, 0)</f>
        <v>135.3108</v>
      </c>
      <c r="J786" s="14">
        <f>135.3087 * CHOOSE(CONTROL!$C$9, $D$9, 100%, $F$9) + CHOOSE(CONTROL!$C$27, 0.0021, 0)</f>
        <v>135.3108</v>
      </c>
      <c r="K786" s="14">
        <f>135.3087 * CHOOSE(CONTROL!$C$9, $D$9, 100%, $F$9) + CHOOSE(CONTROL!$C$27, 0.0021, 0)</f>
        <v>135.3108</v>
      </c>
      <c r="L786" s="14"/>
    </row>
    <row r="787" spans="1:12" ht="15.75" x14ac:dyDescent="0.25">
      <c r="A787" s="32">
        <v>64893</v>
      </c>
      <c r="B787" s="14">
        <f>132.6344 * CHOOSE(CONTROL!$C$9, $D$9, 100%, $F$9) + CHOOSE(CONTROL!$C$27, 0.0021, 0)</f>
        <v>132.63650000000001</v>
      </c>
      <c r="C787" s="14">
        <f>132.2021 * CHOOSE(CONTROL!$C$9, $D$9, 100%, $F$9) + CHOOSE(CONTROL!$C$27, 0.0021, 0)</f>
        <v>132.20420000000001</v>
      </c>
      <c r="D787" s="14">
        <f>132.2021 * CHOOSE(CONTROL!$C$9, $D$9, 100%, $F$9) + CHOOSE(CONTROL!$C$27, 0.0021, 0)</f>
        <v>132.20420000000001</v>
      </c>
      <c r="E787" s="14">
        <f>132.0654 * CHOOSE(CONTROL!$C$9, $D$9, 100%, $F$9) + CHOOSE(CONTROL!$C$27, 0.0021, 0)</f>
        <v>132.06750000000002</v>
      </c>
      <c r="F787" s="14">
        <f>132.0654 * CHOOSE(CONTROL!$C$9, $D$9, 100%, $F$9) + CHOOSE(CONTROL!$C$27, 0.0021, 0)</f>
        <v>132.06750000000002</v>
      </c>
      <c r="G787" s="14">
        <f>132.3368 * CHOOSE(CONTROL!$C$9, $D$9, 100%, $F$9) + CHOOSE(CONTROL!$C$27, 0.0021, 0)</f>
        <v>132.33890000000002</v>
      </c>
      <c r="H787" s="14">
        <f>132.2021 * CHOOSE(CONTROL!$C$9, $D$9, 100%, $F$9) + CHOOSE(CONTROL!$C$27, 0.0021, 0)</f>
        <v>132.20420000000001</v>
      </c>
      <c r="I787" s="14">
        <f>132.2021 * CHOOSE(CONTROL!$C$9, $D$9, 100%, $F$9) + CHOOSE(CONTROL!$C$27, 0.0021, 0)</f>
        <v>132.20420000000001</v>
      </c>
      <c r="J787" s="14">
        <f>132.2021 * CHOOSE(CONTROL!$C$9, $D$9, 100%, $F$9) + CHOOSE(CONTROL!$C$27, 0.0021, 0)</f>
        <v>132.20420000000001</v>
      </c>
      <c r="K787" s="14">
        <f>132.2021 * CHOOSE(CONTROL!$C$9, $D$9, 100%, $F$9) + CHOOSE(CONTROL!$C$27, 0.0021, 0)</f>
        <v>132.20420000000001</v>
      </c>
      <c r="L787" s="14"/>
    </row>
    <row r="788" spans="1:12" ht="15.75" x14ac:dyDescent="0.25">
      <c r="A788" s="32">
        <v>64923</v>
      </c>
      <c r="B788" s="14">
        <f>128.302 * CHOOSE(CONTROL!$C$9, $D$9, 100%, $F$9) + CHOOSE(CONTROL!$C$27, 0.0021, 0)</f>
        <v>128.30410000000001</v>
      </c>
      <c r="C788" s="14">
        <f>127.8698 * CHOOSE(CONTROL!$C$9, $D$9, 100%, $F$9) + CHOOSE(CONTROL!$C$27, 0.0021, 0)</f>
        <v>127.8719</v>
      </c>
      <c r="D788" s="14">
        <f>127.8698 * CHOOSE(CONTROL!$C$9, $D$9, 100%, $F$9) + CHOOSE(CONTROL!$C$27, 0.0021, 0)</f>
        <v>127.8719</v>
      </c>
      <c r="E788" s="14">
        <f>127.7331 * CHOOSE(CONTROL!$C$9, $D$9, 100%, $F$9) + CHOOSE(CONTROL!$C$27, 0.0021, 0)</f>
        <v>127.73519999999999</v>
      </c>
      <c r="F788" s="14">
        <f>127.7331 * CHOOSE(CONTROL!$C$9, $D$9, 100%, $F$9) + CHOOSE(CONTROL!$C$27, 0.0021, 0)</f>
        <v>127.73519999999999</v>
      </c>
      <c r="G788" s="14">
        <f>128.0045 * CHOOSE(CONTROL!$C$9, $D$9, 100%, $F$9) + CHOOSE(CONTROL!$C$27, 0.0021, 0)</f>
        <v>128.00660000000002</v>
      </c>
      <c r="H788" s="14">
        <f>127.8698 * CHOOSE(CONTROL!$C$9, $D$9, 100%, $F$9) + CHOOSE(CONTROL!$C$27, 0.0021, 0)</f>
        <v>127.8719</v>
      </c>
      <c r="I788" s="14">
        <f>127.8698 * CHOOSE(CONTROL!$C$9, $D$9, 100%, $F$9) + CHOOSE(CONTROL!$C$27, 0.0021, 0)</f>
        <v>127.8719</v>
      </c>
      <c r="J788" s="14">
        <f>127.8698 * CHOOSE(CONTROL!$C$9, $D$9, 100%, $F$9) + CHOOSE(CONTROL!$C$27, 0.0021, 0)</f>
        <v>127.8719</v>
      </c>
      <c r="K788" s="14">
        <f>127.8698 * CHOOSE(CONTROL!$C$9, $D$9, 100%, $F$9) + CHOOSE(CONTROL!$C$27, 0.0021, 0)</f>
        <v>127.8719</v>
      </c>
      <c r="L788" s="14"/>
    </row>
    <row r="789" spans="1:12" ht="15.75" x14ac:dyDescent="0.25">
      <c r="A789" s="32">
        <v>64954</v>
      </c>
      <c r="B789" s="14">
        <f>123.9445 * CHOOSE(CONTROL!$C$9, $D$9, 100%, $F$9) + CHOOSE(CONTROL!$C$27, 0.0021, 0)</f>
        <v>123.9466</v>
      </c>
      <c r="C789" s="14">
        <f>123.5122 * CHOOSE(CONTROL!$C$9, $D$9, 100%, $F$9) + CHOOSE(CONTROL!$C$27, 0.0021, 0)</f>
        <v>123.51430000000001</v>
      </c>
      <c r="D789" s="14">
        <f>123.5122 * CHOOSE(CONTROL!$C$9, $D$9, 100%, $F$9) + CHOOSE(CONTROL!$C$27, 0.0021, 0)</f>
        <v>123.51430000000001</v>
      </c>
      <c r="E789" s="14">
        <f>123.3756 * CHOOSE(CONTROL!$C$9, $D$9, 100%, $F$9) + CHOOSE(CONTROL!$C$27, 0.0021, 0)</f>
        <v>123.3777</v>
      </c>
      <c r="F789" s="14">
        <f>123.3756 * CHOOSE(CONTROL!$C$9, $D$9, 100%, $F$9) + CHOOSE(CONTROL!$C$27, 0.0021, 0)</f>
        <v>123.3777</v>
      </c>
      <c r="G789" s="14">
        <f>123.6469 * CHOOSE(CONTROL!$C$9, $D$9, 100%, $F$9) + CHOOSE(CONTROL!$C$27, 0.0021, 0)</f>
        <v>123.649</v>
      </c>
      <c r="H789" s="14">
        <f>123.5122 * CHOOSE(CONTROL!$C$9, $D$9, 100%, $F$9) + CHOOSE(CONTROL!$C$27, 0.0021, 0)</f>
        <v>123.51430000000001</v>
      </c>
      <c r="I789" s="14">
        <f>123.5122 * CHOOSE(CONTROL!$C$9, $D$9, 100%, $F$9) + CHOOSE(CONTROL!$C$27, 0.0021, 0)</f>
        <v>123.51430000000001</v>
      </c>
      <c r="J789" s="14">
        <f>123.5122 * CHOOSE(CONTROL!$C$9, $D$9, 100%, $F$9) + CHOOSE(CONTROL!$C$27, 0.0021, 0)</f>
        <v>123.51430000000001</v>
      </c>
      <c r="K789" s="14">
        <f>123.5122 * CHOOSE(CONTROL!$C$9, $D$9, 100%, $F$9) + CHOOSE(CONTROL!$C$27, 0.0021, 0)</f>
        <v>123.51430000000001</v>
      </c>
      <c r="L789" s="14"/>
    </row>
    <row r="790" spans="1:12" ht="15.75" x14ac:dyDescent="0.25">
      <c r="A790" s="32">
        <v>64984</v>
      </c>
      <c r="B790" s="14">
        <f>123.0777 * CHOOSE(CONTROL!$C$9, $D$9, 100%, $F$9) + CHOOSE(CONTROL!$C$27, 0.0021, 0)</f>
        <v>123.07979999999999</v>
      </c>
      <c r="C790" s="14">
        <f>122.6454 * CHOOSE(CONTROL!$C$9, $D$9, 100%, $F$9) + CHOOSE(CONTROL!$C$27, 0.0021, 0)</f>
        <v>122.64749999999999</v>
      </c>
      <c r="D790" s="14">
        <f>122.6454 * CHOOSE(CONTROL!$C$9, $D$9, 100%, $F$9) + CHOOSE(CONTROL!$C$27, 0.0021, 0)</f>
        <v>122.64749999999999</v>
      </c>
      <c r="E790" s="14">
        <f>122.5088 * CHOOSE(CONTROL!$C$9, $D$9, 100%, $F$9) + CHOOSE(CONTROL!$C$27, 0.0021, 0)</f>
        <v>122.51089999999999</v>
      </c>
      <c r="F790" s="14">
        <f>122.5088 * CHOOSE(CONTROL!$C$9, $D$9, 100%, $F$9) + CHOOSE(CONTROL!$C$27, 0.0021, 0)</f>
        <v>122.51089999999999</v>
      </c>
      <c r="G790" s="14">
        <f>122.7801 * CHOOSE(CONTROL!$C$9, $D$9, 100%, $F$9) + CHOOSE(CONTROL!$C$27, 0.0021, 0)</f>
        <v>122.7822</v>
      </c>
      <c r="H790" s="14">
        <f>122.6454 * CHOOSE(CONTROL!$C$9, $D$9, 100%, $F$9) + CHOOSE(CONTROL!$C$27, 0.0021, 0)</f>
        <v>122.64749999999999</v>
      </c>
      <c r="I790" s="14">
        <f>122.6454 * CHOOSE(CONTROL!$C$9, $D$9, 100%, $F$9) + CHOOSE(CONTROL!$C$27, 0.0021, 0)</f>
        <v>122.64749999999999</v>
      </c>
      <c r="J790" s="14">
        <f>122.6454 * CHOOSE(CONTROL!$C$9, $D$9, 100%, $F$9) + CHOOSE(CONTROL!$C$27, 0.0021, 0)</f>
        <v>122.64749999999999</v>
      </c>
      <c r="K790" s="14">
        <f>122.6454 * CHOOSE(CONTROL!$C$9, $D$9, 100%, $F$9) + CHOOSE(CONTROL!$C$27, 0.0021, 0)</f>
        <v>122.64749999999999</v>
      </c>
      <c r="L790" s="14"/>
    </row>
    <row r="791" spans="1:12" ht="15.75" x14ac:dyDescent="0.25">
      <c r="A791" s="32">
        <v>65015</v>
      </c>
      <c r="B791" s="14">
        <f>119.4933 * CHOOSE(CONTROL!$C$9, $D$9, 100%, $F$9) + CHOOSE(CONTROL!$C$27, 0.0021, 0)</f>
        <v>119.4954</v>
      </c>
      <c r="C791" s="14">
        <f>119.0611 * CHOOSE(CONTROL!$C$9, $D$9, 100%, $F$9) + CHOOSE(CONTROL!$C$27, 0.0021, 0)</f>
        <v>119.06319999999999</v>
      </c>
      <c r="D791" s="14">
        <f>119.0611 * CHOOSE(CONTROL!$C$9, $D$9, 100%, $F$9) + CHOOSE(CONTROL!$C$27, 0.0021, 0)</f>
        <v>119.06319999999999</v>
      </c>
      <c r="E791" s="14">
        <f>118.9244 * CHOOSE(CONTROL!$C$9, $D$9, 100%, $F$9) + CHOOSE(CONTROL!$C$27, 0.0021, 0)</f>
        <v>118.9265</v>
      </c>
      <c r="F791" s="14">
        <f>118.9244 * CHOOSE(CONTROL!$C$9, $D$9, 100%, $F$9) + CHOOSE(CONTROL!$C$27, 0.0021, 0)</f>
        <v>118.9265</v>
      </c>
      <c r="G791" s="14">
        <f>119.1958 * CHOOSE(CONTROL!$C$9, $D$9, 100%, $F$9) + CHOOSE(CONTROL!$C$27, 0.0021, 0)</f>
        <v>119.1979</v>
      </c>
      <c r="H791" s="14">
        <f>119.0611 * CHOOSE(CONTROL!$C$9, $D$9, 100%, $F$9) + CHOOSE(CONTROL!$C$27, 0.0021, 0)</f>
        <v>119.06319999999999</v>
      </c>
      <c r="I791" s="14">
        <f>119.0611 * CHOOSE(CONTROL!$C$9, $D$9, 100%, $F$9) + CHOOSE(CONTROL!$C$27, 0.0021, 0)</f>
        <v>119.06319999999999</v>
      </c>
      <c r="J791" s="14">
        <f>119.0611 * CHOOSE(CONTROL!$C$9, $D$9, 100%, $F$9) + CHOOSE(CONTROL!$C$27, 0.0021, 0)</f>
        <v>119.06319999999999</v>
      </c>
      <c r="K791" s="14">
        <f>119.0611 * CHOOSE(CONTROL!$C$9, $D$9, 100%, $F$9) + CHOOSE(CONTROL!$C$27, 0.0021, 0)</f>
        <v>119.06319999999999</v>
      </c>
      <c r="L791" s="14"/>
    </row>
    <row r="792" spans="1:12" ht="15.75" x14ac:dyDescent="0.25">
      <c r="A792" s="32">
        <v>65046</v>
      </c>
      <c r="B792" s="14">
        <f>118.7955 * CHOOSE(CONTROL!$C$9, $D$9, 100%, $F$9) + CHOOSE(CONTROL!$C$27, 0.0021, 0)</f>
        <v>118.7976</v>
      </c>
      <c r="C792" s="14">
        <f>118.3633 * CHOOSE(CONTROL!$C$9, $D$9, 100%, $F$9) + CHOOSE(CONTROL!$C$27, 0.0021, 0)</f>
        <v>118.36539999999999</v>
      </c>
      <c r="D792" s="14">
        <f>118.3633 * CHOOSE(CONTROL!$C$9, $D$9, 100%, $F$9) + CHOOSE(CONTROL!$C$27, 0.0021, 0)</f>
        <v>118.36539999999999</v>
      </c>
      <c r="E792" s="14">
        <f>118.2266 * CHOOSE(CONTROL!$C$9, $D$9, 100%, $F$9) + CHOOSE(CONTROL!$C$27, 0.0021, 0)</f>
        <v>118.2287</v>
      </c>
      <c r="F792" s="14">
        <f>118.2266 * CHOOSE(CONTROL!$C$9, $D$9, 100%, $F$9) + CHOOSE(CONTROL!$C$27, 0.0021, 0)</f>
        <v>118.2287</v>
      </c>
      <c r="G792" s="14">
        <f>118.498 * CHOOSE(CONTROL!$C$9, $D$9, 100%, $F$9) + CHOOSE(CONTROL!$C$27, 0.0021, 0)</f>
        <v>118.5001</v>
      </c>
      <c r="H792" s="14">
        <f>118.3633 * CHOOSE(CONTROL!$C$9, $D$9, 100%, $F$9) + CHOOSE(CONTROL!$C$27, 0.0021, 0)</f>
        <v>118.36539999999999</v>
      </c>
      <c r="I792" s="14">
        <f>118.3633 * CHOOSE(CONTROL!$C$9, $D$9, 100%, $F$9) + CHOOSE(CONTROL!$C$27, 0.0021, 0)</f>
        <v>118.36539999999999</v>
      </c>
      <c r="J792" s="14">
        <f>118.3633 * CHOOSE(CONTROL!$C$9, $D$9, 100%, $F$9) + CHOOSE(CONTROL!$C$27, 0.0021, 0)</f>
        <v>118.36539999999999</v>
      </c>
      <c r="K792" s="14">
        <f>118.3633 * CHOOSE(CONTROL!$C$9, $D$9, 100%, $F$9) + CHOOSE(CONTROL!$C$27, 0.0021, 0)</f>
        <v>118.36539999999999</v>
      </c>
      <c r="L792" s="14"/>
    </row>
    <row r="793" spans="1:12" ht="15.75" x14ac:dyDescent="0.25">
      <c r="A793" s="32">
        <v>65074</v>
      </c>
      <c r="B793" s="14">
        <f>118.4717 * CHOOSE(CONTROL!$C$9, $D$9, 100%, $F$9) + CHOOSE(CONTROL!$C$27, 0.0021, 0)</f>
        <v>118.4738</v>
      </c>
      <c r="C793" s="14">
        <f>118.0394 * CHOOSE(CONTROL!$C$9, $D$9, 100%, $F$9) + CHOOSE(CONTROL!$C$27, 0.0021, 0)</f>
        <v>118.0415</v>
      </c>
      <c r="D793" s="14">
        <f>118.0394 * CHOOSE(CONTROL!$C$9, $D$9, 100%, $F$9) + CHOOSE(CONTROL!$C$27, 0.0021, 0)</f>
        <v>118.0415</v>
      </c>
      <c r="E793" s="14">
        <f>117.9028 * CHOOSE(CONTROL!$C$9, $D$9, 100%, $F$9) + CHOOSE(CONTROL!$C$27, 0.0021, 0)</f>
        <v>117.9049</v>
      </c>
      <c r="F793" s="14">
        <f>117.9028 * CHOOSE(CONTROL!$C$9, $D$9, 100%, $F$9) + CHOOSE(CONTROL!$C$27, 0.0021, 0)</f>
        <v>117.9049</v>
      </c>
      <c r="G793" s="14">
        <f>118.1741 * CHOOSE(CONTROL!$C$9, $D$9, 100%, $F$9) + CHOOSE(CONTROL!$C$27, 0.0021, 0)</f>
        <v>118.17619999999999</v>
      </c>
      <c r="H793" s="14">
        <f>118.0394 * CHOOSE(CONTROL!$C$9, $D$9, 100%, $F$9) + CHOOSE(CONTROL!$C$27, 0.0021, 0)</f>
        <v>118.0415</v>
      </c>
      <c r="I793" s="14">
        <f>118.0394 * CHOOSE(CONTROL!$C$9, $D$9, 100%, $F$9) + CHOOSE(CONTROL!$C$27, 0.0021, 0)</f>
        <v>118.0415</v>
      </c>
      <c r="J793" s="14">
        <f>118.0394 * CHOOSE(CONTROL!$C$9, $D$9, 100%, $F$9) + CHOOSE(CONTROL!$C$27, 0.0021, 0)</f>
        <v>118.0415</v>
      </c>
      <c r="K793" s="14">
        <f>118.0394 * CHOOSE(CONTROL!$C$9, $D$9, 100%, $F$9) + CHOOSE(CONTROL!$C$27, 0.0021, 0)</f>
        <v>118.0415</v>
      </c>
      <c r="L793" s="14"/>
    </row>
    <row r="794" spans="1:12" ht="15.75" x14ac:dyDescent="0.25">
      <c r="A794" s="32">
        <v>65105</v>
      </c>
      <c r="B794" s="14">
        <f>124.595 * CHOOSE(CONTROL!$C$9, $D$9, 100%, $F$9) + CHOOSE(CONTROL!$C$27, 0.0021, 0)</f>
        <v>124.5971</v>
      </c>
      <c r="C794" s="14">
        <f>124.1628 * CHOOSE(CONTROL!$C$9, $D$9, 100%, $F$9) + CHOOSE(CONTROL!$C$27, 0.0021, 0)</f>
        <v>124.1649</v>
      </c>
      <c r="D794" s="14">
        <f>124.1628 * CHOOSE(CONTROL!$C$9, $D$9, 100%, $F$9) + CHOOSE(CONTROL!$C$27, 0.0021, 0)</f>
        <v>124.1649</v>
      </c>
      <c r="E794" s="14">
        <f>124.0261 * CHOOSE(CONTROL!$C$9, $D$9, 100%, $F$9) + CHOOSE(CONTROL!$C$27, 0.0021, 0)</f>
        <v>124.0282</v>
      </c>
      <c r="F794" s="14">
        <f>124.0261 * CHOOSE(CONTROL!$C$9, $D$9, 100%, $F$9) + CHOOSE(CONTROL!$C$27, 0.0021, 0)</f>
        <v>124.0282</v>
      </c>
      <c r="G794" s="14">
        <f>124.2975 * CHOOSE(CONTROL!$C$9, $D$9, 100%, $F$9) + CHOOSE(CONTROL!$C$27, 0.0021, 0)</f>
        <v>124.2996</v>
      </c>
      <c r="H794" s="14">
        <f>124.1628 * CHOOSE(CONTROL!$C$9, $D$9, 100%, $F$9) + CHOOSE(CONTROL!$C$27, 0.0021, 0)</f>
        <v>124.1649</v>
      </c>
      <c r="I794" s="14">
        <f>124.1628 * CHOOSE(CONTROL!$C$9, $D$9, 100%, $F$9) + CHOOSE(CONTROL!$C$27, 0.0021, 0)</f>
        <v>124.1649</v>
      </c>
      <c r="J794" s="14">
        <f>124.1628 * CHOOSE(CONTROL!$C$9, $D$9, 100%, $F$9) + CHOOSE(CONTROL!$C$27, 0.0021, 0)</f>
        <v>124.1649</v>
      </c>
      <c r="K794" s="14">
        <f>124.1628 * CHOOSE(CONTROL!$C$9, $D$9, 100%, $F$9) + CHOOSE(CONTROL!$C$27, 0.0021, 0)</f>
        <v>124.1649</v>
      </c>
      <c r="L794" s="14"/>
    </row>
    <row r="795" spans="1:12" ht="15.75" x14ac:dyDescent="0.25">
      <c r="A795" s="32">
        <v>65135</v>
      </c>
      <c r="B795" s="14">
        <f>132.5355 * CHOOSE(CONTROL!$C$9, $D$9, 100%, $F$9) + CHOOSE(CONTROL!$C$27, 0.0021, 0)</f>
        <v>132.53760000000003</v>
      </c>
      <c r="C795" s="14">
        <f>132.1032 * CHOOSE(CONTROL!$C$9, $D$9, 100%, $F$9) + CHOOSE(CONTROL!$C$27, 0.0021, 0)</f>
        <v>132.1053</v>
      </c>
      <c r="D795" s="14">
        <f>132.1032 * CHOOSE(CONTROL!$C$9, $D$9, 100%, $F$9) + CHOOSE(CONTROL!$C$27, 0.0021, 0)</f>
        <v>132.1053</v>
      </c>
      <c r="E795" s="14">
        <f>131.9666 * CHOOSE(CONTROL!$C$9, $D$9, 100%, $F$9) + CHOOSE(CONTROL!$C$27, 0.0021, 0)</f>
        <v>131.96870000000001</v>
      </c>
      <c r="F795" s="14">
        <f>131.9666 * CHOOSE(CONTROL!$C$9, $D$9, 100%, $F$9) + CHOOSE(CONTROL!$C$27, 0.0021, 0)</f>
        <v>131.96870000000001</v>
      </c>
      <c r="G795" s="14">
        <f>132.238 * CHOOSE(CONTROL!$C$9, $D$9, 100%, $F$9) + CHOOSE(CONTROL!$C$27, 0.0021, 0)</f>
        <v>132.24010000000001</v>
      </c>
      <c r="H795" s="14">
        <f>132.1032 * CHOOSE(CONTROL!$C$9, $D$9, 100%, $F$9) + CHOOSE(CONTROL!$C$27, 0.0021, 0)</f>
        <v>132.1053</v>
      </c>
      <c r="I795" s="14">
        <f>132.1032 * CHOOSE(CONTROL!$C$9, $D$9, 100%, $F$9) + CHOOSE(CONTROL!$C$27, 0.0021, 0)</f>
        <v>132.1053</v>
      </c>
      <c r="J795" s="14">
        <f>132.1032 * CHOOSE(CONTROL!$C$9, $D$9, 100%, $F$9) + CHOOSE(CONTROL!$C$27, 0.0021, 0)</f>
        <v>132.1053</v>
      </c>
      <c r="K795" s="14">
        <f>132.1032 * CHOOSE(CONTROL!$C$9, $D$9, 100%, $F$9) + CHOOSE(CONTROL!$C$27, 0.0021, 0)</f>
        <v>132.1053</v>
      </c>
      <c r="L795" s="14"/>
    </row>
    <row r="796" spans="1:12" ht="15.75" x14ac:dyDescent="0.25">
      <c r="A796" s="32">
        <v>65166</v>
      </c>
      <c r="B796" s="14">
        <f>136.9062 * CHOOSE(CONTROL!$C$9, $D$9, 100%, $F$9) + CHOOSE(CONTROL!$C$27, 0.0021, 0)</f>
        <v>136.90830000000003</v>
      </c>
      <c r="C796" s="14">
        <f>136.4739 * CHOOSE(CONTROL!$C$9, $D$9, 100%, $F$9) + CHOOSE(CONTROL!$C$27, 0.0021, 0)</f>
        <v>136.476</v>
      </c>
      <c r="D796" s="14">
        <f>136.4739 * CHOOSE(CONTROL!$C$9, $D$9, 100%, $F$9) + CHOOSE(CONTROL!$C$27, 0.0021, 0)</f>
        <v>136.476</v>
      </c>
      <c r="E796" s="14">
        <f>136.3373 * CHOOSE(CONTROL!$C$9, $D$9, 100%, $F$9) + CHOOSE(CONTROL!$C$27, 0.0021, 0)</f>
        <v>136.33940000000001</v>
      </c>
      <c r="F796" s="14">
        <f>136.3373 * CHOOSE(CONTROL!$C$9, $D$9, 100%, $F$9) + CHOOSE(CONTROL!$C$27, 0.0021, 0)</f>
        <v>136.33940000000001</v>
      </c>
      <c r="G796" s="14">
        <f>136.6087 * CHOOSE(CONTROL!$C$9, $D$9, 100%, $F$9) + CHOOSE(CONTROL!$C$27, 0.0021, 0)</f>
        <v>136.61080000000001</v>
      </c>
      <c r="H796" s="14">
        <f>136.4739 * CHOOSE(CONTROL!$C$9, $D$9, 100%, $F$9) + CHOOSE(CONTROL!$C$27, 0.0021, 0)</f>
        <v>136.476</v>
      </c>
      <c r="I796" s="14">
        <f>136.4739 * CHOOSE(CONTROL!$C$9, $D$9, 100%, $F$9) + CHOOSE(CONTROL!$C$27, 0.0021, 0)</f>
        <v>136.476</v>
      </c>
      <c r="J796" s="14">
        <f>136.4739 * CHOOSE(CONTROL!$C$9, $D$9, 100%, $F$9) + CHOOSE(CONTROL!$C$27, 0.0021, 0)</f>
        <v>136.476</v>
      </c>
      <c r="K796" s="14">
        <f>136.4739 * CHOOSE(CONTROL!$C$9, $D$9, 100%, $F$9) + CHOOSE(CONTROL!$C$27, 0.0021, 0)</f>
        <v>136.476</v>
      </c>
      <c r="L796" s="14"/>
    </row>
    <row r="797" spans="1:12" ht="15.75" x14ac:dyDescent="0.25">
      <c r="A797" s="32">
        <v>65196</v>
      </c>
      <c r="B797" s="14">
        <f>138.8458 * CHOOSE(CONTROL!$C$9, $D$9, 100%, $F$9) + CHOOSE(CONTROL!$C$27, 0.0021, 0)</f>
        <v>138.84790000000001</v>
      </c>
      <c r="C797" s="14">
        <f>138.4136 * CHOOSE(CONTROL!$C$9, $D$9, 100%, $F$9) + CHOOSE(CONTROL!$C$27, 0.0021, 0)</f>
        <v>138.41570000000002</v>
      </c>
      <c r="D797" s="14">
        <f>138.4136 * CHOOSE(CONTROL!$C$9, $D$9, 100%, $F$9) + CHOOSE(CONTROL!$C$27, 0.0021, 0)</f>
        <v>138.41570000000002</v>
      </c>
      <c r="E797" s="14">
        <f>138.2769 * CHOOSE(CONTROL!$C$9, $D$9, 100%, $F$9) + CHOOSE(CONTROL!$C$27, 0.0021, 0)</f>
        <v>138.27900000000002</v>
      </c>
      <c r="F797" s="14">
        <f>138.2769 * CHOOSE(CONTROL!$C$9, $D$9, 100%, $F$9) + CHOOSE(CONTROL!$C$27, 0.0021, 0)</f>
        <v>138.27900000000002</v>
      </c>
      <c r="G797" s="14">
        <f>138.5483 * CHOOSE(CONTROL!$C$9, $D$9, 100%, $F$9) + CHOOSE(CONTROL!$C$27, 0.0021, 0)</f>
        <v>138.55040000000002</v>
      </c>
      <c r="H797" s="14">
        <f>138.4136 * CHOOSE(CONTROL!$C$9, $D$9, 100%, $F$9) + CHOOSE(CONTROL!$C$27, 0.0021, 0)</f>
        <v>138.41570000000002</v>
      </c>
      <c r="I797" s="14">
        <f>138.4136 * CHOOSE(CONTROL!$C$9, $D$9, 100%, $F$9) + CHOOSE(CONTROL!$C$27, 0.0021, 0)</f>
        <v>138.41570000000002</v>
      </c>
      <c r="J797" s="14">
        <f>138.4136 * CHOOSE(CONTROL!$C$9, $D$9, 100%, $F$9) + CHOOSE(CONTROL!$C$27, 0.0021, 0)</f>
        <v>138.41570000000002</v>
      </c>
      <c r="K797" s="14">
        <f>138.4136 * CHOOSE(CONTROL!$C$9, $D$9, 100%, $F$9) + CHOOSE(CONTROL!$C$27, 0.0021, 0)</f>
        <v>138.41570000000002</v>
      </c>
      <c r="L797" s="14"/>
    </row>
    <row r="798" spans="1:12" ht="15.75" x14ac:dyDescent="0.25">
      <c r="A798" s="32">
        <v>65227</v>
      </c>
      <c r="B798" s="14">
        <f>138.2072 * CHOOSE(CONTROL!$C$9, $D$9, 100%, $F$9) + CHOOSE(CONTROL!$C$27, 0.0021, 0)</f>
        <v>138.20930000000001</v>
      </c>
      <c r="C798" s="14">
        <f>137.775 * CHOOSE(CONTROL!$C$9, $D$9, 100%, $F$9) + CHOOSE(CONTROL!$C$27, 0.0021, 0)</f>
        <v>137.77710000000002</v>
      </c>
      <c r="D798" s="14">
        <f>137.775 * CHOOSE(CONTROL!$C$9, $D$9, 100%, $F$9) + CHOOSE(CONTROL!$C$27, 0.0021, 0)</f>
        <v>137.77710000000002</v>
      </c>
      <c r="E798" s="14">
        <f>137.6383 * CHOOSE(CONTROL!$C$9, $D$9, 100%, $F$9) + CHOOSE(CONTROL!$C$27, 0.0021, 0)</f>
        <v>137.6404</v>
      </c>
      <c r="F798" s="14">
        <f>137.6383 * CHOOSE(CONTROL!$C$9, $D$9, 100%, $F$9) + CHOOSE(CONTROL!$C$27, 0.0021, 0)</f>
        <v>137.6404</v>
      </c>
      <c r="G798" s="14">
        <f>137.9097 * CHOOSE(CONTROL!$C$9, $D$9, 100%, $F$9) + CHOOSE(CONTROL!$C$27, 0.0021, 0)</f>
        <v>137.9118</v>
      </c>
      <c r="H798" s="14">
        <f>137.775 * CHOOSE(CONTROL!$C$9, $D$9, 100%, $F$9) + CHOOSE(CONTROL!$C$27, 0.0021, 0)</f>
        <v>137.77710000000002</v>
      </c>
      <c r="I798" s="14">
        <f>137.775 * CHOOSE(CONTROL!$C$9, $D$9, 100%, $F$9) + CHOOSE(CONTROL!$C$27, 0.0021, 0)</f>
        <v>137.77710000000002</v>
      </c>
      <c r="J798" s="14">
        <f>137.775 * CHOOSE(CONTROL!$C$9, $D$9, 100%, $F$9) + CHOOSE(CONTROL!$C$27, 0.0021, 0)</f>
        <v>137.77710000000002</v>
      </c>
      <c r="K798" s="14">
        <f>137.775 * CHOOSE(CONTROL!$C$9, $D$9, 100%, $F$9) + CHOOSE(CONTROL!$C$27, 0.0021, 0)</f>
        <v>137.77710000000002</v>
      </c>
      <c r="L798" s="14"/>
    </row>
    <row r="799" spans="1:12" ht="15.75" x14ac:dyDescent="0.25">
      <c r="A799" s="32">
        <v>65258</v>
      </c>
      <c r="B799" s="14">
        <f>135.0432 * CHOOSE(CONTROL!$C$9, $D$9, 100%, $F$9) + CHOOSE(CONTROL!$C$27, 0.0021, 0)</f>
        <v>135.04530000000003</v>
      </c>
      <c r="C799" s="14">
        <f>134.6109 * CHOOSE(CONTROL!$C$9, $D$9, 100%, $F$9) + CHOOSE(CONTROL!$C$27, 0.0021, 0)</f>
        <v>134.613</v>
      </c>
      <c r="D799" s="14">
        <f>134.6109 * CHOOSE(CONTROL!$C$9, $D$9, 100%, $F$9) + CHOOSE(CONTROL!$C$27, 0.0021, 0)</f>
        <v>134.613</v>
      </c>
      <c r="E799" s="14">
        <f>134.4743 * CHOOSE(CONTROL!$C$9, $D$9, 100%, $F$9) + CHOOSE(CONTROL!$C$27, 0.0021, 0)</f>
        <v>134.47640000000001</v>
      </c>
      <c r="F799" s="14">
        <f>134.4743 * CHOOSE(CONTROL!$C$9, $D$9, 100%, $F$9) + CHOOSE(CONTROL!$C$27, 0.0021, 0)</f>
        <v>134.47640000000001</v>
      </c>
      <c r="G799" s="14">
        <f>134.7456 * CHOOSE(CONTROL!$C$9, $D$9, 100%, $F$9) + CHOOSE(CONTROL!$C$27, 0.0021, 0)</f>
        <v>134.74770000000001</v>
      </c>
      <c r="H799" s="14">
        <f>134.6109 * CHOOSE(CONTROL!$C$9, $D$9, 100%, $F$9) + CHOOSE(CONTROL!$C$27, 0.0021, 0)</f>
        <v>134.613</v>
      </c>
      <c r="I799" s="14">
        <f>134.6109 * CHOOSE(CONTROL!$C$9, $D$9, 100%, $F$9) + CHOOSE(CONTROL!$C$27, 0.0021, 0)</f>
        <v>134.613</v>
      </c>
      <c r="J799" s="14">
        <f>134.6109 * CHOOSE(CONTROL!$C$9, $D$9, 100%, $F$9) + CHOOSE(CONTROL!$C$27, 0.0021, 0)</f>
        <v>134.613</v>
      </c>
      <c r="K799" s="14">
        <f>134.6109 * CHOOSE(CONTROL!$C$9, $D$9, 100%, $F$9) + CHOOSE(CONTROL!$C$27, 0.0021, 0)</f>
        <v>134.613</v>
      </c>
      <c r="L799" s="14"/>
    </row>
    <row r="800" spans="1:12" ht="15.75" x14ac:dyDescent="0.25">
      <c r="A800" s="32">
        <v>65288</v>
      </c>
      <c r="B800" s="14">
        <f>130.6308 * CHOOSE(CONTROL!$C$9, $D$9, 100%, $F$9) + CHOOSE(CONTROL!$C$27, 0.0021, 0)</f>
        <v>130.63290000000001</v>
      </c>
      <c r="C800" s="14">
        <f>130.1985 * CHOOSE(CONTROL!$C$9, $D$9, 100%, $F$9) + CHOOSE(CONTROL!$C$27, 0.0021, 0)</f>
        <v>130.20060000000001</v>
      </c>
      <c r="D800" s="14">
        <f>130.1985 * CHOOSE(CONTROL!$C$9, $D$9, 100%, $F$9) + CHOOSE(CONTROL!$C$27, 0.0021, 0)</f>
        <v>130.20060000000001</v>
      </c>
      <c r="E800" s="14">
        <f>130.0619 * CHOOSE(CONTROL!$C$9, $D$9, 100%, $F$9) + CHOOSE(CONTROL!$C$27, 0.0021, 0)</f>
        <v>130.06400000000002</v>
      </c>
      <c r="F800" s="14">
        <f>130.0619 * CHOOSE(CONTROL!$C$9, $D$9, 100%, $F$9) + CHOOSE(CONTROL!$C$27, 0.0021, 0)</f>
        <v>130.06400000000002</v>
      </c>
      <c r="G800" s="14">
        <f>130.3332 * CHOOSE(CONTROL!$C$9, $D$9, 100%, $F$9) + CHOOSE(CONTROL!$C$27, 0.0021, 0)</f>
        <v>130.33530000000002</v>
      </c>
      <c r="H800" s="14">
        <f>130.1985 * CHOOSE(CONTROL!$C$9, $D$9, 100%, $F$9) + CHOOSE(CONTROL!$C$27, 0.0021, 0)</f>
        <v>130.20060000000001</v>
      </c>
      <c r="I800" s="14">
        <f>130.1985 * CHOOSE(CONTROL!$C$9, $D$9, 100%, $F$9) + CHOOSE(CONTROL!$C$27, 0.0021, 0)</f>
        <v>130.20060000000001</v>
      </c>
      <c r="J800" s="14">
        <f>130.1985 * CHOOSE(CONTROL!$C$9, $D$9, 100%, $F$9) + CHOOSE(CONTROL!$C$27, 0.0021, 0)</f>
        <v>130.20060000000001</v>
      </c>
      <c r="K800" s="14">
        <f>130.1985 * CHOOSE(CONTROL!$C$9, $D$9, 100%, $F$9) + CHOOSE(CONTROL!$C$27, 0.0021, 0)</f>
        <v>130.20060000000001</v>
      </c>
      <c r="L800" s="14"/>
    </row>
    <row r="801" spans="1:12" ht="15.75" x14ac:dyDescent="0.25">
      <c r="A801" s="32">
        <v>65319</v>
      </c>
      <c r="B801" s="14">
        <f>126.1927 * CHOOSE(CONTROL!$C$9, $D$9, 100%, $F$9) + CHOOSE(CONTROL!$C$27, 0.0021, 0)</f>
        <v>126.1948</v>
      </c>
      <c r="C801" s="14">
        <f>125.7604 * CHOOSE(CONTROL!$C$9, $D$9, 100%, $F$9) + CHOOSE(CONTROL!$C$27, 0.0021, 0)</f>
        <v>125.7625</v>
      </c>
      <c r="D801" s="14">
        <f>125.7604 * CHOOSE(CONTROL!$C$9, $D$9, 100%, $F$9) + CHOOSE(CONTROL!$C$27, 0.0021, 0)</f>
        <v>125.7625</v>
      </c>
      <c r="E801" s="14">
        <f>125.6238 * CHOOSE(CONTROL!$C$9, $D$9, 100%, $F$9) + CHOOSE(CONTROL!$C$27, 0.0021, 0)</f>
        <v>125.6259</v>
      </c>
      <c r="F801" s="14">
        <f>125.6238 * CHOOSE(CONTROL!$C$9, $D$9, 100%, $F$9) + CHOOSE(CONTROL!$C$27, 0.0021, 0)</f>
        <v>125.6259</v>
      </c>
      <c r="G801" s="14">
        <f>125.8952 * CHOOSE(CONTROL!$C$9, $D$9, 100%, $F$9) + CHOOSE(CONTROL!$C$27, 0.0021, 0)</f>
        <v>125.8973</v>
      </c>
      <c r="H801" s="14">
        <f>125.7604 * CHOOSE(CONTROL!$C$9, $D$9, 100%, $F$9) + CHOOSE(CONTROL!$C$27, 0.0021, 0)</f>
        <v>125.7625</v>
      </c>
      <c r="I801" s="14">
        <f>125.7604 * CHOOSE(CONTROL!$C$9, $D$9, 100%, $F$9) + CHOOSE(CONTROL!$C$27, 0.0021, 0)</f>
        <v>125.7625</v>
      </c>
      <c r="J801" s="14">
        <f>125.7604 * CHOOSE(CONTROL!$C$9, $D$9, 100%, $F$9) + CHOOSE(CONTROL!$C$27, 0.0021, 0)</f>
        <v>125.7625</v>
      </c>
      <c r="K801" s="14">
        <f>125.7604 * CHOOSE(CONTROL!$C$9, $D$9, 100%, $F$9) + CHOOSE(CONTROL!$C$27, 0.0021, 0)</f>
        <v>125.7625</v>
      </c>
      <c r="L801" s="14"/>
    </row>
    <row r="802" spans="1:12" ht="15.75" x14ac:dyDescent="0.25">
      <c r="A802" s="32">
        <v>65349</v>
      </c>
      <c r="B802" s="14">
        <f>125.3099 * CHOOSE(CONTROL!$C$9, $D$9, 100%, $F$9) + CHOOSE(CONTROL!$C$27, 0.0021, 0)</f>
        <v>125.312</v>
      </c>
      <c r="C802" s="14">
        <f>124.8776 * CHOOSE(CONTROL!$C$9, $D$9, 100%, $F$9) + CHOOSE(CONTROL!$C$27, 0.0021, 0)</f>
        <v>124.8797</v>
      </c>
      <c r="D802" s="14">
        <f>124.8776 * CHOOSE(CONTROL!$C$9, $D$9, 100%, $F$9) + CHOOSE(CONTROL!$C$27, 0.0021, 0)</f>
        <v>124.8797</v>
      </c>
      <c r="E802" s="14">
        <f>124.741 * CHOOSE(CONTROL!$C$9, $D$9, 100%, $F$9) + CHOOSE(CONTROL!$C$27, 0.0021, 0)</f>
        <v>124.7431</v>
      </c>
      <c r="F802" s="14">
        <f>124.741 * CHOOSE(CONTROL!$C$9, $D$9, 100%, $F$9) + CHOOSE(CONTROL!$C$27, 0.0021, 0)</f>
        <v>124.7431</v>
      </c>
      <c r="G802" s="14">
        <f>125.0123 * CHOOSE(CONTROL!$C$9, $D$9, 100%, $F$9) + CHOOSE(CONTROL!$C$27, 0.0021, 0)</f>
        <v>125.01439999999999</v>
      </c>
      <c r="H802" s="14">
        <f>124.8776 * CHOOSE(CONTROL!$C$9, $D$9, 100%, $F$9) + CHOOSE(CONTROL!$C$27, 0.0021, 0)</f>
        <v>124.8797</v>
      </c>
      <c r="I802" s="14">
        <f>124.8776 * CHOOSE(CONTROL!$C$9, $D$9, 100%, $F$9) + CHOOSE(CONTROL!$C$27, 0.0021, 0)</f>
        <v>124.8797</v>
      </c>
      <c r="J802" s="14">
        <f>124.8776 * CHOOSE(CONTROL!$C$9, $D$9, 100%, $F$9) + CHOOSE(CONTROL!$C$27, 0.0021, 0)</f>
        <v>124.8797</v>
      </c>
      <c r="K802" s="14">
        <f>124.8776 * CHOOSE(CONTROL!$C$9, $D$9, 100%, $F$9) + CHOOSE(CONTROL!$C$27, 0.0021, 0)</f>
        <v>124.8797</v>
      </c>
      <c r="L802" s="14"/>
    </row>
    <row r="803" spans="1:12" ht="15.75" x14ac:dyDescent="0.25">
      <c r="A803" s="32">
        <v>65380</v>
      </c>
      <c r="B803" s="14">
        <f>121.6593 * CHOOSE(CONTROL!$C$9, $D$9, 100%, $F$9) + CHOOSE(CONTROL!$C$27, 0.0021, 0)</f>
        <v>121.6614</v>
      </c>
      <c r="C803" s="14">
        <f>121.2271 * CHOOSE(CONTROL!$C$9, $D$9, 100%, $F$9) + CHOOSE(CONTROL!$C$27, 0.0021, 0)</f>
        <v>121.22919999999999</v>
      </c>
      <c r="D803" s="14">
        <f>121.2271 * CHOOSE(CONTROL!$C$9, $D$9, 100%, $F$9) + CHOOSE(CONTROL!$C$27, 0.0021, 0)</f>
        <v>121.22919999999999</v>
      </c>
      <c r="E803" s="14">
        <f>121.0904 * CHOOSE(CONTROL!$C$9, $D$9, 100%, $F$9) + CHOOSE(CONTROL!$C$27, 0.0021, 0)</f>
        <v>121.0925</v>
      </c>
      <c r="F803" s="14">
        <f>121.0904 * CHOOSE(CONTROL!$C$9, $D$9, 100%, $F$9) + CHOOSE(CONTROL!$C$27, 0.0021, 0)</f>
        <v>121.0925</v>
      </c>
      <c r="G803" s="14">
        <f>121.3618 * CHOOSE(CONTROL!$C$9, $D$9, 100%, $F$9) + CHOOSE(CONTROL!$C$27, 0.0021, 0)</f>
        <v>121.3639</v>
      </c>
      <c r="H803" s="14">
        <f>121.2271 * CHOOSE(CONTROL!$C$9, $D$9, 100%, $F$9) + CHOOSE(CONTROL!$C$27, 0.0021, 0)</f>
        <v>121.22919999999999</v>
      </c>
      <c r="I803" s="14">
        <f>121.2271 * CHOOSE(CONTROL!$C$9, $D$9, 100%, $F$9) + CHOOSE(CONTROL!$C$27, 0.0021, 0)</f>
        <v>121.22919999999999</v>
      </c>
      <c r="J803" s="14">
        <f>121.2271 * CHOOSE(CONTROL!$C$9, $D$9, 100%, $F$9) + CHOOSE(CONTROL!$C$27, 0.0021, 0)</f>
        <v>121.22919999999999</v>
      </c>
      <c r="K803" s="14">
        <f>121.2271 * CHOOSE(CONTROL!$C$9, $D$9, 100%, $F$9) + CHOOSE(CONTROL!$C$27, 0.0021, 0)</f>
        <v>121.22919999999999</v>
      </c>
      <c r="L803" s="14"/>
    </row>
    <row r="804" spans="1:12" ht="15.75" x14ac:dyDescent="0.25">
      <c r="A804" s="32">
        <v>65411</v>
      </c>
      <c r="B804" s="14">
        <f>120.9486 * CHOOSE(CONTROL!$C$9, $D$9, 100%, $F$9) + CHOOSE(CONTROL!$C$27, 0.0021, 0)</f>
        <v>120.9507</v>
      </c>
      <c r="C804" s="14">
        <f>120.5163 * CHOOSE(CONTROL!$C$9, $D$9, 100%, $F$9) + CHOOSE(CONTROL!$C$27, 0.0021, 0)</f>
        <v>120.5184</v>
      </c>
      <c r="D804" s="14">
        <f>120.5163 * CHOOSE(CONTROL!$C$9, $D$9, 100%, $F$9) + CHOOSE(CONTROL!$C$27, 0.0021, 0)</f>
        <v>120.5184</v>
      </c>
      <c r="E804" s="14">
        <f>120.3797 * CHOOSE(CONTROL!$C$9, $D$9, 100%, $F$9) + CHOOSE(CONTROL!$C$27, 0.0021, 0)</f>
        <v>120.3818</v>
      </c>
      <c r="F804" s="14">
        <f>120.3797 * CHOOSE(CONTROL!$C$9, $D$9, 100%, $F$9) + CHOOSE(CONTROL!$C$27, 0.0021, 0)</f>
        <v>120.3818</v>
      </c>
      <c r="G804" s="14">
        <f>120.6511 * CHOOSE(CONTROL!$C$9, $D$9, 100%, $F$9) + CHOOSE(CONTROL!$C$27, 0.0021, 0)</f>
        <v>120.6532</v>
      </c>
      <c r="H804" s="14">
        <f>120.5163 * CHOOSE(CONTROL!$C$9, $D$9, 100%, $F$9) + CHOOSE(CONTROL!$C$27, 0.0021, 0)</f>
        <v>120.5184</v>
      </c>
      <c r="I804" s="14">
        <f>120.5163 * CHOOSE(CONTROL!$C$9, $D$9, 100%, $F$9) + CHOOSE(CONTROL!$C$27, 0.0021, 0)</f>
        <v>120.5184</v>
      </c>
      <c r="J804" s="14">
        <f>120.5163 * CHOOSE(CONTROL!$C$9, $D$9, 100%, $F$9) + CHOOSE(CONTROL!$C$27, 0.0021, 0)</f>
        <v>120.5184</v>
      </c>
      <c r="K804" s="14">
        <f>120.5163 * CHOOSE(CONTROL!$C$9, $D$9, 100%, $F$9) + CHOOSE(CONTROL!$C$27, 0.0021, 0)</f>
        <v>120.5184</v>
      </c>
      <c r="L804" s="14"/>
    </row>
    <row r="805" spans="1:12" ht="15.75" x14ac:dyDescent="0.25">
      <c r="A805" s="32">
        <v>65439</v>
      </c>
      <c r="B805" s="14">
        <f>120.6188 * CHOOSE(CONTROL!$C$9, $D$9, 100%, $F$9) + CHOOSE(CONTROL!$C$27, 0.0021, 0)</f>
        <v>120.62089999999999</v>
      </c>
      <c r="C805" s="14">
        <f>120.1865 * CHOOSE(CONTROL!$C$9, $D$9, 100%, $F$9) + CHOOSE(CONTROL!$C$27, 0.0021, 0)</f>
        <v>120.18859999999999</v>
      </c>
      <c r="D805" s="14">
        <f>120.1865 * CHOOSE(CONTROL!$C$9, $D$9, 100%, $F$9) + CHOOSE(CONTROL!$C$27, 0.0021, 0)</f>
        <v>120.18859999999999</v>
      </c>
      <c r="E805" s="14">
        <f>120.0499 * CHOOSE(CONTROL!$C$9, $D$9, 100%, $F$9) + CHOOSE(CONTROL!$C$27, 0.0021, 0)</f>
        <v>120.05199999999999</v>
      </c>
      <c r="F805" s="14">
        <f>120.0499 * CHOOSE(CONTROL!$C$9, $D$9, 100%, $F$9) + CHOOSE(CONTROL!$C$27, 0.0021, 0)</f>
        <v>120.05199999999999</v>
      </c>
      <c r="G805" s="14">
        <f>120.3212 * CHOOSE(CONTROL!$C$9, $D$9, 100%, $F$9) + CHOOSE(CONTROL!$C$27, 0.0021, 0)</f>
        <v>120.3233</v>
      </c>
      <c r="H805" s="14">
        <f>120.1865 * CHOOSE(CONTROL!$C$9, $D$9, 100%, $F$9) + CHOOSE(CONTROL!$C$27, 0.0021, 0)</f>
        <v>120.18859999999999</v>
      </c>
      <c r="I805" s="14">
        <f>120.1865 * CHOOSE(CONTROL!$C$9, $D$9, 100%, $F$9) + CHOOSE(CONTROL!$C$27, 0.0021, 0)</f>
        <v>120.18859999999999</v>
      </c>
      <c r="J805" s="14">
        <f>120.1865 * CHOOSE(CONTROL!$C$9, $D$9, 100%, $F$9) + CHOOSE(CONTROL!$C$27, 0.0021, 0)</f>
        <v>120.18859999999999</v>
      </c>
      <c r="K805" s="14">
        <f>120.1865 * CHOOSE(CONTROL!$C$9, $D$9, 100%, $F$9) + CHOOSE(CONTROL!$C$27, 0.0021, 0)</f>
        <v>120.18859999999999</v>
      </c>
      <c r="L805" s="14"/>
    </row>
    <row r="806" spans="1:12" ht="15.75" x14ac:dyDescent="0.25">
      <c r="A806" s="32">
        <v>65470</v>
      </c>
      <c r="B806" s="14">
        <f>126.8552 * CHOOSE(CONTROL!$C$9, $D$9, 100%, $F$9) + CHOOSE(CONTROL!$C$27, 0.0021, 0)</f>
        <v>126.8573</v>
      </c>
      <c r="C806" s="14">
        <f>126.423 * CHOOSE(CONTROL!$C$9, $D$9, 100%, $F$9) + CHOOSE(CONTROL!$C$27, 0.0021, 0)</f>
        <v>126.4251</v>
      </c>
      <c r="D806" s="14">
        <f>126.423 * CHOOSE(CONTROL!$C$9, $D$9, 100%, $F$9) + CHOOSE(CONTROL!$C$27, 0.0021, 0)</f>
        <v>126.4251</v>
      </c>
      <c r="E806" s="14">
        <f>126.2863 * CHOOSE(CONTROL!$C$9, $D$9, 100%, $F$9) + CHOOSE(CONTROL!$C$27, 0.0021, 0)</f>
        <v>126.2884</v>
      </c>
      <c r="F806" s="14">
        <f>126.2863 * CHOOSE(CONTROL!$C$9, $D$9, 100%, $F$9) + CHOOSE(CONTROL!$C$27, 0.0021, 0)</f>
        <v>126.2884</v>
      </c>
      <c r="G806" s="14">
        <f>126.5577 * CHOOSE(CONTROL!$C$9, $D$9, 100%, $F$9) + CHOOSE(CONTROL!$C$27, 0.0021, 0)</f>
        <v>126.5598</v>
      </c>
      <c r="H806" s="14">
        <f>126.423 * CHOOSE(CONTROL!$C$9, $D$9, 100%, $F$9) + CHOOSE(CONTROL!$C$27, 0.0021, 0)</f>
        <v>126.4251</v>
      </c>
      <c r="I806" s="14">
        <f>126.423 * CHOOSE(CONTROL!$C$9, $D$9, 100%, $F$9) + CHOOSE(CONTROL!$C$27, 0.0021, 0)</f>
        <v>126.4251</v>
      </c>
      <c r="J806" s="14">
        <f>126.423 * CHOOSE(CONTROL!$C$9, $D$9, 100%, $F$9) + CHOOSE(CONTROL!$C$27, 0.0021, 0)</f>
        <v>126.4251</v>
      </c>
      <c r="K806" s="14">
        <f>126.423 * CHOOSE(CONTROL!$C$9, $D$9, 100%, $F$9) + CHOOSE(CONTROL!$C$27, 0.0021, 0)</f>
        <v>126.4251</v>
      </c>
      <c r="L806" s="14"/>
    </row>
    <row r="807" spans="1:12" ht="15.75" x14ac:dyDescent="0.25">
      <c r="A807" s="32">
        <v>65500</v>
      </c>
      <c r="B807" s="14">
        <f>134.9425 * CHOOSE(CONTROL!$C$9, $D$9, 100%, $F$9) + CHOOSE(CONTROL!$C$27, 0.0021, 0)</f>
        <v>134.94460000000001</v>
      </c>
      <c r="C807" s="14">
        <f>134.5102 * CHOOSE(CONTROL!$C$9, $D$9, 100%, $F$9) + CHOOSE(CONTROL!$C$27, 0.0021, 0)</f>
        <v>134.51230000000001</v>
      </c>
      <c r="D807" s="14">
        <f>134.5102 * CHOOSE(CONTROL!$C$9, $D$9, 100%, $F$9) + CHOOSE(CONTROL!$C$27, 0.0021, 0)</f>
        <v>134.51230000000001</v>
      </c>
      <c r="E807" s="14">
        <f>134.3736 * CHOOSE(CONTROL!$C$9, $D$9, 100%, $F$9) + CHOOSE(CONTROL!$C$27, 0.0021, 0)</f>
        <v>134.37570000000002</v>
      </c>
      <c r="F807" s="14">
        <f>134.3736 * CHOOSE(CONTROL!$C$9, $D$9, 100%, $F$9) + CHOOSE(CONTROL!$C$27, 0.0021, 0)</f>
        <v>134.37570000000002</v>
      </c>
      <c r="G807" s="14">
        <f>134.6449 * CHOOSE(CONTROL!$C$9, $D$9, 100%, $F$9) + CHOOSE(CONTROL!$C$27, 0.0021, 0)</f>
        <v>134.64700000000002</v>
      </c>
      <c r="H807" s="14">
        <f>134.5102 * CHOOSE(CONTROL!$C$9, $D$9, 100%, $F$9) + CHOOSE(CONTROL!$C$27, 0.0021, 0)</f>
        <v>134.51230000000001</v>
      </c>
      <c r="I807" s="14">
        <f>134.5102 * CHOOSE(CONTROL!$C$9, $D$9, 100%, $F$9) + CHOOSE(CONTROL!$C$27, 0.0021, 0)</f>
        <v>134.51230000000001</v>
      </c>
      <c r="J807" s="14">
        <f>134.5102 * CHOOSE(CONTROL!$C$9, $D$9, 100%, $F$9) + CHOOSE(CONTROL!$C$27, 0.0021, 0)</f>
        <v>134.51230000000001</v>
      </c>
      <c r="K807" s="14">
        <f>134.5102 * CHOOSE(CONTROL!$C$9, $D$9, 100%, $F$9) + CHOOSE(CONTROL!$C$27, 0.0021, 0)</f>
        <v>134.51230000000001</v>
      </c>
      <c r="L807" s="14"/>
    </row>
    <row r="808" spans="1:12" ht="15.75" x14ac:dyDescent="0.25">
      <c r="A808" s="32">
        <v>65531</v>
      </c>
      <c r="B808" s="14">
        <f>139.394 * CHOOSE(CONTROL!$C$9, $D$9, 100%, $F$9) + CHOOSE(CONTROL!$C$27, 0.0021, 0)</f>
        <v>139.39610000000002</v>
      </c>
      <c r="C808" s="14">
        <f>138.9617 * CHOOSE(CONTROL!$C$9, $D$9, 100%, $F$9) + CHOOSE(CONTROL!$C$27, 0.0021, 0)</f>
        <v>138.96380000000002</v>
      </c>
      <c r="D808" s="14">
        <f>138.9617 * CHOOSE(CONTROL!$C$9, $D$9, 100%, $F$9) + CHOOSE(CONTROL!$C$27, 0.0021, 0)</f>
        <v>138.96380000000002</v>
      </c>
      <c r="E808" s="14">
        <f>138.825 * CHOOSE(CONTROL!$C$9, $D$9, 100%, $F$9) + CHOOSE(CONTROL!$C$27, 0.0021, 0)</f>
        <v>138.8271</v>
      </c>
      <c r="F808" s="14">
        <f>138.825 * CHOOSE(CONTROL!$C$9, $D$9, 100%, $F$9) + CHOOSE(CONTROL!$C$27, 0.0021, 0)</f>
        <v>138.8271</v>
      </c>
      <c r="G808" s="14">
        <f>139.0964 * CHOOSE(CONTROL!$C$9, $D$9, 100%, $F$9) + CHOOSE(CONTROL!$C$27, 0.0021, 0)</f>
        <v>139.0985</v>
      </c>
      <c r="H808" s="14">
        <f>138.9617 * CHOOSE(CONTROL!$C$9, $D$9, 100%, $F$9) + CHOOSE(CONTROL!$C$27, 0.0021, 0)</f>
        <v>138.96380000000002</v>
      </c>
      <c r="I808" s="14">
        <f>138.9617 * CHOOSE(CONTROL!$C$9, $D$9, 100%, $F$9) + CHOOSE(CONTROL!$C$27, 0.0021, 0)</f>
        <v>138.96380000000002</v>
      </c>
      <c r="J808" s="14">
        <f>138.9617 * CHOOSE(CONTROL!$C$9, $D$9, 100%, $F$9) + CHOOSE(CONTROL!$C$27, 0.0021, 0)</f>
        <v>138.96380000000002</v>
      </c>
      <c r="K808" s="14">
        <f>138.9617 * CHOOSE(CONTROL!$C$9, $D$9, 100%, $F$9) + CHOOSE(CONTROL!$C$27, 0.0021, 0)</f>
        <v>138.96380000000002</v>
      </c>
      <c r="L808" s="14"/>
    </row>
    <row r="809" spans="1:12" ht="15.75" x14ac:dyDescent="0.25">
      <c r="A809" s="32">
        <v>65561</v>
      </c>
      <c r="B809" s="14">
        <f>141.3694 * CHOOSE(CONTROL!$C$9, $D$9, 100%, $F$9) + CHOOSE(CONTROL!$C$27, 0.0021, 0)</f>
        <v>141.37150000000003</v>
      </c>
      <c r="C809" s="14">
        <f>140.9372 * CHOOSE(CONTROL!$C$9, $D$9, 100%, $F$9) + CHOOSE(CONTROL!$C$27, 0.0021, 0)</f>
        <v>140.9393</v>
      </c>
      <c r="D809" s="14">
        <f>140.9372 * CHOOSE(CONTROL!$C$9, $D$9, 100%, $F$9) + CHOOSE(CONTROL!$C$27, 0.0021, 0)</f>
        <v>140.9393</v>
      </c>
      <c r="E809" s="14">
        <f>140.8005 * CHOOSE(CONTROL!$C$9, $D$9, 100%, $F$9) + CHOOSE(CONTROL!$C$27, 0.0021, 0)</f>
        <v>140.80260000000001</v>
      </c>
      <c r="F809" s="14">
        <f>140.8005 * CHOOSE(CONTROL!$C$9, $D$9, 100%, $F$9) + CHOOSE(CONTROL!$C$27, 0.0021, 0)</f>
        <v>140.80260000000001</v>
      </c>
      <c r="G809" s="14">
        <f>141.0719 * CHOOSE(CONTROL!$C$9, $D$9, 100%, $F$9) + CHOOSE(CONTROL!$C$27, 0.0021, 0)</f>
        <v>141.07400000000001</v>
      </c>
      <c r="H809" s="14">
        <f>140.9372 * CHOOSE(CONTROL!$C$9, $D$9, 100%, $F$9) + CHOOSE(CONTROL!$C$27, 0.0021, 0)</f>
        <v>140.9393</v>
      </c>
      <c r="I809" s="14">
        <f>140.9372 * CHOOSE(CONTROL!$C$9, $D$9, 100%, $F$9) + CHOOSE(CONTROL!$C$27, 0.0021, 0)</f>
        <v>140.9393</v>
      </c>
      <c r="J809" s="14">
        <f>140.9372 * CHOOSE(CONTROL!$C$9, $D$9, 100%, $F$9) + CHOOSE(CONTROL!$C$27, 0.0021, 0)</f>
        <v>140.9393</v>
      </c>
      <c r="K809" s="14">
        <f>140.9372 * CHOOSE(CONTROL!$C$9, $D$9, 100%, $F$9) + CHOOSE(CONTROL!$C$27, 0.0021, 0)</f>
        <v>140.9393</v>
      </c>
      <c r="L809" s="14"/>
    </row>
    <row r="810" spans="1:12" ht="15.75" x14ac:dyDescent="0.25">
      <c r="A810" s="32">
        <v>65592</v>
      </c>
      <c r="B810" s="14">
        <f>140.719 * CHOOSE(CONTROL!$C$9, $D$9, 100%, $F$9) + CHOOSE(CONTROL!$C$27, 0.0021, 0)</f>
        <v>140.72110000000001</v>
      </c>
      <c r="C810" s="14">
        <f>140.2868 * CHOOSE(CONTROL!$C$9, $D$9, 100%, $F$9) + CHOOSE(CONTROL!$C$27, 0.0021, 0)</f>
        <v>140.28890000000001</v>
      </c>
      <c r="D810" s="14">
        <f>140.2868 * CHOOSE(CONTROL!$C$9, $D$9, 100%, $F$9) + CHOOSE(CONTROL!$C$27, 0.0021, 0)</f>
        <v>140.28890000000001</v>
      </c>
      <c r="E810" s="14">
        <f>140.1501 * CHOOSE(CONTROL!$C$9, $D$9, 100%, $F$9) + CHOOSE(CONTROL!$C$27, 0.0021, 0)</f>
        <v>140.15220000000002</v>
      </c>
      <c r="F810" s="14">
        <f>140.1501 * CHOOSE(CONTROL!$C$9, $D$9, 100%, $F$9) + CHOOSE(CONTROL!$C$27, 0.0021, 0)</f>
        <v>140.15220000000002</v>
      </c>
      <c r="G810" s="14">
        <f>140.4215 * CHOOSE(CONTROL!$C$9, $D$9, 100%, $F$9) + CHOOSE(CONTROL!$C$27, 0.0021, 0)</f>
        <v>140.42360000000002</v>
      </c>
      <c r="H810" s="14">
        <f>140.2868 * CHOOSE(CONTROL!$C$9, $D$9, 100%, $F$9) + CHOOSE(CONTROL!$C$27, 0.0021, 0)</f>
        <v>140.28890000000001</v>
      </c>
      <c r="I810" s="14">
        <f>140.2868 * CHOOSE(CONTROL!$C$9, $D$9, 100%, $F$9) + CHOOSE(CONTROL!$C$27, 0.0021, 0)</f>
        <v>140.28890000000001</v>
      </c>
      <c r="J810" s="14">
        <f>140.2868 * CHOOSE(CONTROL!$C$9, $D$9, 100%, $F$9) + CHOOSE(CONTROL!$C$27, 0.0021, 0)</f>
        <v>140.28890000000001</v>
      </c>
      <c r="K810" s="14">
        <f>140.2868 * CHOOSE(CONTROL!$C$9, $D$9, 100%, $F$9) + CHOOSE(CONTROL!$C$27, 0.0021, 0)</f>
        <v>140.28890000000001</v>
      </c>
      <c r="L810" s="14"/>
    </row>
    <row r="811" spans="1:12" ht="15.75" x14ac:dyDescent="0.25">
      <c r="A811" s="32">
        <v>65623</v>
      </c>
      <c r="B811" s="14">
        <f>137.4965 * CHOOSE(CONTROL!$C$9, $D$9, 100%, $F$9) + CHOOSE(CONTROL!$C$27, 0.0021, 0)</f>
        <v>137.49860000000001</v>
      </c>
      <c r="C811" s="14">
        <f>137.0643 * CHOOSE(CONTROL!$C$9, $D$9, 100%, $F$9) + CHOOSE(CONTROL!$C$27, 0.0021, 0)</f>
        <v>137.06640000000002</v>
      </c>
      <c r="D811" s="14">
        <f>137.0643 * CHOOSE(CONTROL!$C$9, $D$9, 100%, $F$9) + CHOOSE(CONTROL!$C$27, 0.0021, 0)</f>
        <v>137.06640000000002</v>
      </c>
      <c r="E811" s="14">
        <f>136.9276 * CHOOSE(CONTROL!$C$9, $D$9, 100%, $F$9) + CHOOSE(CONTROL!$C$27, 0.0021, 0)</f>
        <v>136.92970000000003</v>
      </c>
      <c r="F811" s="14">
        <f>136.9276 * CHOOSE(CONTROL!$C$9, $D$9, 100%, $F$9) + CHOOSE(CONTROL!$C$27, 0.0021, 0)</f>
        <v>136.92970000000003</v>
      </c>
      <c r="G811" s="14">
        <f>137.199 * CHOOSE(CONTROL!$C$9, $D$9, 100%, $F$9) + CHOOSE(CONTROL!$C$27, 0.0021, 0)</f>
        <v>137.20110000000003</v>
      </c>
      <c r="H811" s="14">
        <f>137.0643 * CHOOSE(CONTROL!$C$9, $D$9, 100%, $F$9) + CHOOSE(CONTROL!$C$27, 0.0021, 0)</f>
        <v>137.06640000000002</v>
      </c>
      <c r="I811" s="14">
        <f>137.0643 * CHOOSE(CONTROL!$C$9, $D$9, 100%, $F$9) + CHOOSE(CONTROL!$C$27, 0.0021, 0)</f>
        <v>137.06640000000002</v>
      </c>
      <c r="J811" s="14">
        <f>137.0643 * CHOOSE(CONTROL!$C$9, $D$9, 100%, $F$9) + CHOOSE(CONTROL!$C$27, 0.0021, 0)</f>
        <v>137.06640000000002</v>
      </c>
      <c r="K811" s="14">
        <f>137.0643 * CHOOSE(CONTROL!$C$9, $D$9, 100%, $F$9) + CHOOSE(CONTROL!$C$27, 0.0021, 0)</f>
        <v>137.06640000000002</v>
      </c>
      <c r="L811" s="14"/>
    </row>
    <row r="812" spans="1:12" ht="15.75" x14ac:dyDescent="0.25">
      <c r="A812" s="32">
        <v>65653</v>
      </c>
      <c r="B812" s="14">
        <f>133.0026 * CHOOSE(CONTROL!$C$9, $D$9, 100%, $F$9) + CHOOSE(CONTROL!$C$27, 0.0021, 0)</f>
        <v>133.00470000000001</v>
      </c>
      <c r="C812" s="14">
        <f>132.5703 * CHOOSE(CONTROL!$C$9, $D$9, 100%, $F$9) + CHOOSE(CONTROL!$C$27, 0.0021, 0)</f>
        <v>132.57240000000002</v>
      </c>
      <c r="D812" s="14">
        <f>132.5703 * CHOOSE(CONTROL!$C$9, $D$9, 100%, $F$9) + CHOOSE(CONTROL!$C$27, 0.0021, 0)</f>
        <v>132.57240000000002</v>
      </c>
      <c r="E812" s="14">
        <f>132.4336 * CHOOSE(CONTROL!$C$9, $D$9, 100%, $F$9) + CHOOSE(CONTROL!$C$27, 0.0021, 0)</f>
        <v>132.43570000000003</v>
      </c>
      <c r="F812" s="14">
        <f>132.4336 * CHOOSE(CONTROL!$C$9, $D$9, 100%, $F$9) + CHOOSE(CONTROL!$C$27, 0.0021, 0)</f>
        <v>132.43570000000003</v>
      </c>
      <c r="G812" s="14">
        <f>132.705 * CHOOSE(CONTROL!$C$9, $D$9, 100%, $F$9) + CHOOSE(CONTROL!$C$27, 0.0021, 0)</f>
        <v>132.70710000000003</v>
      </c>
      <c r="H812" s="14">
        <f>132.5703 * CHOOSE(CONTROL!$C$9, $D$9, 100%, $F$9) + CHOOSE(CONTROL!$C$27, 0.0021, 0)</f>
        <v>132.57240000000002</v>
      </c>
      <c r="I812" s="14">
        <f>132.5703 * CHOOSE(CONTROL!$C$9, $D$9, 100%, $F$9) + CHOOSE(CONTROL!$C$27, 0.0021, 0)</f>
        <v>132.57240000000002</v>
      </c>
      <c r="J812" s="14">
        <f>132.5703 * CHOOSE(CONTROL!$C$9, $D$9, 100%, $F$9) + CHOOSE(CONTROL!$C$27, 0.0021, 0)</f>
        <v>132.57240000000002</v>
      </c>
      <c r="K812" s="14">
        <f>132.5703 * CHOOSE(CONTROL!$C$9, $D$9, 100%, $F$9) + CHOOSE(CONTROL!$C$27, 0.0021, 0)</f>
        <v>132.57240000000002</v>
      </c>
      <c r="L812" s="14"/>
    </row>
    <row r="813" spans="1:12" ht="15.75" x14ac:dyDescent="0.25">
      <c r="A813" s="32">
        <v>65684</v>
      </c>
      <c r="B813" s="14">
        <f>128.4825 * CHOOSE(CONTROL!$C$9, $D$9, 100%, $F$9) + CHOOSE(CONTROL!$C$27, 0.0021, 0)</f>
        <v>128.4846</v>
      </c>
      <c r="C813" s="14">
        <f>128.0502 * CHOOSE(CONTROL!$C$9, $D$9, 100%, $F$9) + CHOOSE(CONTROL!$C$27, 0.0021, 0)</f>
        <v>128.0523</v>
      </c>
      <c r="D813" s="14">
        <f>128.0502 * CHOOSE(CONTROL!$C$9, $D$9, 100%, $F$9) + CHOOSE(CONTROL!$C$27, 0.0021, 0)</f>
        <v>128.0523</v>
      </c>
      <c r="E813" s="14">
        <f>127.9136 * CHOOSE(CONTROL!$C$9, $D$9, 100%, $F$9) + CHOOSE(CONTROL!$C$27, 0.0021, 0)</f>
        <v>127.9157</v>
      </c>
      <c r="F813" s="14">
        <f>127.9136 * CHOOSE(CONTROL!$C$9, $D$9, 100%, $F$9) + CHOOSE(CONTROL!$C$27, 0.0021, 0)</f>
        <v>127.9157</v>
      </c>
      <c r="G813" s="14">
        <f>128.1849 * CHOOSE(CONTROL!$C$9, $D$9, 100%, $F$9) + CHOOSE(CONTROL!$C$27, 0.0021, 0)</f>
        <v>128.18700000000001</v>
      </c>
      <c r="H813" s="14">
        <f>128.0502 * CHOOSE(CONTROL!$C$9, $D$9, 100%, $F$9) + CHOOSE(CONTROL!$C$27, 0.0021, 0)</f>
        <v>128.0523</v>
      </c>
      <c r="I813" s="14">
        <f>128.0502 * CHOOSE(CONTROL!$C$9, $D$9, 100%, $F$9) + CHOOSE(CONTROL!$C$27, 0.0021, 0)</f>
        <v>128.0523</v>
      </c>
      <c r="J813" s="14">
        <f>128.0502 * CHOOSE(CONTROL!$C$9, $D$9, 100%, $F$9) + CHOOSE(CONTROL!$C$27, 0.0021, 0)</f>
        <v>128.0523</v>
      </c>
      <c r="K813" s="14">
        <f>128.0502 * CHOOSE(CONTROL!$C$9, $D$9, 100%, $F$9) + CHOOSE(CONTROL!$C$27, 0.0021, 0)</f>
        <v>128.0523</v>
      </c>
      <c r="L813" s="14"/>
    </row>
    <row r="814" spans="1:12" ht="15.75" x14ac:dyDescent="0.25">
      <c r="A814" s="32">
        <v>65714</v>
      </c>
      <c r="B814" s="14">
        <f>127.5833 * CHOOSE(CONTROL!$C$9, $D$9, 100%, $F$9) + CHOOSE(CONTROL!$C$27, 0.0021, 0)</f>
        <v>127.58539999999999</v>
      </c>
      <c r="C814" s="14">
        <f>127.1511 * CHOOSE(CONTROL!$C$9, $D$9, 100%, $F$9) + CHOOSE(CONTROL!$C$27, 0.0021, 0)</f>
        <v>127.1532</v>
      </c>
      <c r="D814" s="14">
        <f>127.1511 * CHOOSE(CONTROL!$C$9, $D$9, 100%, $F$9) + CHOOSE(CONTROL!$C$27, 0.0021, 0)</f>
        <v>127.1532</v>
      </c>
      <c r="E814" s="14">
        <f>127.0144 * CHOOSE(CONTROL!$C$9, $D$9, 100%, $F$9) + CHOOSE(CONTROL!$C$27, 0.0021, 0)</f>
        <v>127.01649999999999</v>
      </c>
      <c r="F814" s="14">
        <f>127.0144 * CHOOSE(CONTROL!$C$9, $D$9, 100%, $F$9) + CHOOSE(CONTROL!$C$27, 0.0021, 0)</f>
        <v>127.01649999999999</v>
      </c>
      <c r="G814" s="14">
        <f>127.2858 * CHOOSE(CONTROL!$C$9, $D$9, 100%, $F$9) + CHOOSE(CONTROL!$C$27, 0.0021, 0)</f>
        <v>127.28789999999999</v>
      </c>
      <c r="H814" s="14">
        <f>127.1511 * CHOOSE(CONTROL!$C$9, $D$9, 100%, $F$9) + CHOOSE(CONTROL!$C$27, 0.0021, 0)</f>
        <v>127.1532</v>
      </c>
      <c r="I814" s="14">
        <f>127.1511 * CHOOSE(CONTROL!$C$9, $D$9, 100%, $F$9) + CHOOSE(CONTROL!$C$27, 0.0021, 0)</f>
        <v>127.1532</v>
      </c>
      <c r="J814" s="14">
        <f>127.1511 * CHOOSE(CONTROL!$C$9, $D$9, 100%, $F$9) + CHOOSE(CONTROL!$C$27, 0.0021, 0)</f>
        <v>127.1532</v>
      </c>
      <c r="K814" s="14">
        <f>127.1511 * CHOOSE(CONTROL!$C$9, $D$9, 100%, $F$9) + CHOOSE(CONTROL!$C$27, 0.0021, 0)</f>
        <v>127.1532</v>
      </c>
      <c r="L814" s="14"/>
    </row>
    <row r="815" spans="1:12" ht="15.75" x14ac:dyDescent="0.25">
      <c r="A815" s="32">
        <v>65745</v>
      </c>
      <c r="B815" s="14">
        <f>123.8653 * CHOOSE(CONTROL!$C$9, $D$9, 100%, $F$9) + CHOOSE(CONTROL!$C$27, 0.0021, 0)</f>
        <v>123.8674</v>
      </c>
      <c r="C815" s="14">
        <f>123.4331 * CHOOSE(CONTROL!$C$9, $D$9, 100%, $F$9) + CHOOSE(CONTROL!$C$27, 0.0021, 0)</f>
        <v>123.43519999999999</v>
      </c>
      <c r="D815" s="14">
        <f>123.4331 * CHOOSE(CONTROL!$C$9, $D$9, 100%, $F$9) + CHOOSE(CONTROL!$C$27, 0.0021, 0)</f>
        <v>123.43519999999999</v>
      </c>
      <c r="E815" s="14">
        <f>123.2964 * CHOOSE(CONTROL!$C$9, $D$9, 100%, $F$9) + CHOOSE(CONTROL!$C$27, 0.0021, 0)</f>
        <v>123.2985</v>
      </c>
      <c r="F815" s="14">
        <f>123.2964 * CHOOSE(CONTROL!$C$9, $D$9, 100%, $F$9) + CHOOSE(CONTROL!$C$27, 0.0021, 0)</f>
        <v>123.2985</v>
      </c>
      <c r="G815" s="14">
        <f>123.5678 * CHOOSE(CONTROL!$C$9, $D$9, 100%, $F$9) + CHOOSE(CONTROL!$C$27, 0.0021, 0)</f>
        <v>123.5699</v>
      </c>
      <c r="H815" s="14">
        <f>123.4331 * CHOOSE(CONTROL!$C$9, $D$9, 100%, $F$9) + CHOOSE(CONTROL!$C$27, 0.0021, 0)</f>
        <v>123.43519999999999</v>
      </c>
      <c r="I815" s="14">
        <f>123.4331 * CHOOSE(CONTROL!$C$9, $D$9, 100%, $F$9) + CHOOSE(CONTROL!$C$27, 0.0021, 0)</f>
        <v>123.43519999999999</v>
      </c>
      <c r="J815" s="14">
        <f>123.4331 * CHOOSE(CONTROL!$C$9, $D$9, 100%, $F$9) + CHOOSE(CONTROL!$C$27, 0.0021, 0)</f>
        <v>123.43519999999999</v>
      </c>
      <c r="K815" s="14">
        <f>123.4331 * CHOOSE(CONTROL!$C$9, $D$9, 100%, $F$9) + CHOOSE(CONTROL!$C$27, 0.0021, 0)</f>
        <v>123.43519999999999</v>
      </c>
      <c r="L815" s="14"/>
    </row>
    <row r="816" spans="1:12" ht="15.75" x14ac:dyDescent="0.25">
      <c r="A816" s="32">
        <v>65776</v>
      </c>
      <c r="B816" s="14">
        <f>123.1414 * CHOOSE(CONTROL!$C$9, $D$9, 100%, $F$9) + CHOOSE(CONTROL!$C$27, 0.0021, 0)</f>
        <v>123.1435</v>
      </c>
      <c r="C816" s="14">
        <f>122.7092 * CHOOSE(CONTROL!$C$9, $D$9, 100%, $F$9) + CHOOSE(CONTROL!$C$27, 0.0021, 0)</f>
        <v>122.71129999999999</v>
      </c>
      <c r="D816" s="14">
        <f>122.7092 * CHOOSE(CONTROL!$C$9, $D$9, 100%, $F$9) + CHOOSE(CONTROL!$C$27, 0.0021, 0)</f>
        <v>122.71129999999999</v>
      </c>
      <c r="E816" s="14">
        <f>122.5725 * CHOOSE(CONTROL!$C$9, $D$9, 100%, $F$9) + CHOOSE(CONTROL!$C$27, 0.0021, 0)</f>
        <v>122.5746</v>
      </c>
      <c r="F816" s="14">
        <f>122.5725 * CHOOSE(CONTROL!$C$9, $D$9, 100%, $F$9) + CHOOSE(CONTROL!$C$27, 0.0021, 0)</f>
        <v>122.5746</v>
      </c>
      <c r="G816" s="14">
        <f>122.8439 * CHOOSE(CONTROL!$C$9, $D$9, 100%, $F$9) + CHOOSE(CONTROL!$C$27, 0.0021, 0)</f>
        <v>122.846</v>
      </c>
      <c r="H816" s="14">
        <f>122.7092 * CHOOSE(CONTROL!$C$9, $D$9, 100%, $F$9) + CHOOSE(CONTROL!$C$27, 0.0021, 0)</f>
        <v>122.71129999999999</v>
      </c>
      <c r="I816" s="14">
        <f>122.7092 * CHOOSE(CONTROL!$C$9, $D$9, 100%, $F$9) + CHOOSE(CONTROL!$C$27, 0.0021, 0)</f>
        <v>122.71129999999999</v>
      </c>
      <c r="J816" s="14">
        <f>122.7092 * CHOOSE(CONTROL!$C$9, $D$9, 100%, $F$9) + CHOOSE(CONTROL!$C$27, 0.0021, 0)</f>
        <v>122.71129999999999</v>
      </c>
      <c r="K816" s="14">
        <f>122.7092 * CHOOSE(CONTROL!$C$9, $D$9, 100%, $F$9) + CHOOSE(CONTROL!$C$27, 0.0021, 0)</f>
        <v>122.71129999999999</v>
      </c>
      <c r="L816" s="14"/>
    </row>
    <row r="817" spans="1:12" ht="15.75" x14ac:dyDescent="0.25">
      <c r="A817" s="32">
        <v>65805</v>
      </c>
      <c r="B817" s="14">
        <f>122.8055 * CHOOSE(CONTROL!$C$9, $D$9, 100%, $F$9) + CHOOSE(CONTROL!$C$27, 0.0021, 0)</f>
        <v>122.80759999999999</v>
      </c>
      <c r="C817" s="14">
        <f>122.3733 * CHOOSE(CONTROL!$C$9, $D$9, 100%, $F$9) + CHOOSE(CONTROL!$C$27, 0.0021, 0)</f>
        <v>122.3754</v>
      </c>
      <c r="D817" s="14">
        <f>122.3733 * CHOOSE(CONTROL!$C$9, $D$9, 100%, $F$9) + CHOOSE(CONTROL!$C$27, 0.0021, 0)</f>
        <v>122.3754</v>
      </c>
      <c r="E817" s="14">
        <f>122.2366 * CHOOSE(CONTROL!$C$9, $D$9, 100%, $F$9) + CHOOSE(CONTROL!$C$27, 0.0021, 0)</f>
        <v>122.23869999999999</v>
      </c>
      <c r="F817" s="14">
        <f>122.2366 * CHOOSE(CONTROL!$C$9, $D$9, 100%, $F$9) + CHOOSE(CONTROL!$C$27, 0.0021, 0)</f>
        <v>122.23869999999999</v>
      </c>
      <c r="G817" s="14">
        <f>122.508 * CHOOSE(CONTROL!$C$9, $D$9, 100%, $F$9) + CHOOSE(CONTROL!$C$27, 0.0021, 0)</f>
        <v>122.51009999999999</v>
      </c>
      <c r="H817" s="14">
        <f>122.3733 * CHOOSE(CONTROL!$C$9, $D$9, 100%, $F$9) + CHOOSE(CONTROL!$C$27, 0.0021, 0)</f>
        <v>122.3754</v>
      </c>
      <c r="I817" s="14">
        <f>122.3733 * CHOOSE(CONTROL!$C$9, $D$9, 100%, $F$9) + CHOOSE(CONTROL!$C$27, 0.0021, 0)</f>
        <v>122.3754</v>
      </c>
      <c r="J817" s="14">
        <f>122.3733 * CHOOSE(CONTROL!$C$9, $D$9, 100%, $F$9) + CHOOSE(CONTROL!$C$27, 0.0021, 0)</f>
        <v>122.3754</v>
      </c>
      <c r="K817" s="14">
        <f>122.3733 * CHOOSE(CONTROL!$C$9, $D$9, 100%, $F$9) + CHOOSE(CONTROL!$C$27, 0.0021, 0)</f>
        <v>122.3754</v>
      </c>
      <c r="L817" s="14"/>
    </row>
    <row r="818" spans="1:12" ht="15.75" x14ac:dyDescent="0.25">
      <c r="A818" s="32">
        <v>65836</v>
      </c>
      <c r="B818" s="14">
        <f>129.1573 * CHOOSE(CONTROL!$C$9, $D$9, 100%, $F$9) + CHOOSE(CONTROL!$C$27, 0.0021, 0)</f>
        <v>129.15940000000001</v>
      </c>
      <c r="C818" s="14">
        <f>128.725 * CHOOSE(CONTROL!$C$9, $D$9, 100%, $F$9) + CHOOSE(CONTROL!$C$27, 0.0021, 0)</f>
        <v>128.72710000000001</v>
      </c>
      <c r="D818" s="14">
        <f>128.725 * CHOOSE(CONTROL!$C$9, $D$9, 100%, $F$9) + CHOOSE(CONTROL!$C$27, 0.0021, 0)</f>
        <v>128.72710000000001</v>
      </c>
      <c r="E818" s="14">
        <f>128.5884 * CHOOSE(CONTROL!$C$9, $D$9, 100%, $F$9) + CHOOSE(CONTROL!$C$27, 0.0021, 0)</f>
        <v>128.59050000000002</v>
      </c>
      <c r="F818" s="14">
        <f>128.5884 * CHOOSE(CONTROL!$C$9, $D$9, 100%, $F$9) + CHOOSE(CONTROL!$C$27, 0.0021, 0)</f>
        <v>128.59050000000002</v>
      </c>
      <c r="G818" s="14">
        <f>128.8597 * CHOOSE(CONTROL!$C$9, $D$9, 100%, $F$9) + CHOOSE(CONTROL!$C$27, 0.0021, 0)</f>
        <v>128.86180000000002</v>
      </c>
      <c r="H818" s="14">
        <f>128.725 * CHOOSE(CONTROL!$C$9, $D$9, 100%, $F$9) + CHOOSE(CONTROL!$C$27, 0.0021, 0)</f>
        <v>128.72710000000001</v>
      </c>
      <c r="I818" s="14">
        <f>128.725 * CHOOSE(CONTROL!$C$9, $D$9, 100%, $F$9) + CHOOSE(CONTROL!$C$27, 0.0021, 0)</f>
        <v>128.72710000000001</v>
      </c>
      <c r="J818" s="14">
        <f>128.725 * CHOOSE(CONTROL!$C$9, $D$9, 100%, $F$9) + CHOOSE(CONTROL!$C$27, 0.0021, 0)</f>
        <v>128.72710000000001</v>
      </c>
      <c r="K818" s="14">
        <f>128.725 * CHOOSE(CONTROL!$C$9, $D$9, 100%, $F$9) + CHOOSE(CONTROL!$C$27, 0.0021, 0)</f>
        <v>128.72710000000001</v>
      </c>
      <c r="L818" s="14"/>
    </row>
    <row r="819" spans="1:12" ht="15.75" x14ac:dyDescent="0.25">
      <c r="A819" s="32">
        <v>65866</v>
      </c>
      <c r="B819" s="14">
        <f>137.394 * CHOOSE(CONTROL!$C$9, $D$9, 100%, $F$9) + CHOOSE(CONTROL!$C$27, 0.0021, 0)</f>
        <v>137.39610000000002</v>
      </c>
      <c r="C819" s="14">
        <f>136.9617 * CHOOSE(CONTROL!$C$9, $D$9, 100%, $F$9) + CHOOSE(CONTROL!$C$27, 0.0021, 0)</f>
        <v>136.96380000000002</v>
      </c>
      <c r="D819" s="14">
        <f>136.9617 * CHOOSE(CONTROL!$C$9, $D$9, 100%, $F$9) + CHOOSE(CONTROL!$C$27, 0.0021, 0)</f>
        <v>136.96380000000002</v>
      </c>
      <c r="E819" s="14">
        <f>136.825 * CHOOSE(CONTROL!$C$9, $D$9, 100%, $F$9) + CHOOSE(CONTROL!$C$27, 0.0021, 0)</f>
        <v>136.8271</v>
      </c>
      <c r="F819" s="14">
        <f>136.825 * CHOOSE(CONTROL!$C$9, $D$9, 100%, $F$9) + CHOOSE(CONTROL!$C$27, 0.0021, 0)</f>
        <v>136.8271</v>
      </c>
      <c r="G819" s="14">
        <f>137.0964 * CHOOSE(CONTROL!$C$9, $D$9, 100%, $F$9) + CHOOSE(CONTROL!$C$27, 0.0021, 0)</f>
        <v>137.0985</v>
      </c>
      <c r="H819" s="14">
        <f>136.9617 * CHOOSE(CONTROL!$C$9, $D$9, 100%, $F$9) + CHOOSE(CONTROL!$C$27, 0.0021, 0)</f>
        <v>136.96380000000002</v>
      </c>
      <c r="I819" s="14">
        <f>136.9617 * CHOOSE(CONTROL!$C$9, $D$9, 100%, $F$9) + CHOOSE(CONTROL!$C$27, 0.0021, 0)</f>
        <v>136.96380000000002</v>
      </c>
      <c r="J819" s="14">
        <f>136.9617 * CHOOSE(CONTROL!$C$9, $D$9, 100%, $F$9) + CHOOSE(CONTROL!$C$27, 0.0021, 0)</f>
        <v>136.96380000000002</v>
      </c>
      <c r="K819" s="14">
        <f>136.9617 * CHOOSE(CONTROL!$C$9, $D$9, 100%, $F$9) + CHOOSE(CONTROL!$C$27, 0.0021, 0)</f>
        <v>136.96380000000002</v>
      </c>
      <c r="L819" s="14"/>
    </row>
    <row r="820" spans="1:12" ht="15.75" x14ac:dyDescent="0.25">
      <c r="A820" s="32">
        <v>65897</v>
      </c>
      <c r="B820" s="14">
        <f>141.9277 * CHOOSE(CONTROL!$C$9, $D$9, 100%, $F$9) + CHOOSE(CONTROL!$C$27, 0.0021, 0)</f>
        <v>141.9298</v>
      </c>
      <c r="C820" s="14">
        <f>141.4954 * CHOOSE(CONTROL!$C$9, $D$9, 100%, $F$9) + CHOOSE(CONTROL!$C$27, 0.0021, 0)</f>
        <v>141.4975</v>
      </c>
      <c r="D820" s="14">
        <f>141.4954 * CHOOSE(CONTROL!$C$9, $D$9, 100%, $F$9) + CHOOSE(CONTROL!$C$27, 0.0021, 0)</f>
        <v>141.4975</v>
      </c>
      <c r="E820" s="14">
        <f>141.3588 * CHOOSE(CONTROL!$C$9, $D$9, 100%, $F$9) + CHOOSE(CONTROL!$C$27, 0.0021, 0)</f>
        <v>141.36090000000002</v>
      </c>
      <c r="F820" s="14">
        <f>141.3588 * CHOOSE(CONTROL!$C$9, $D$9, 100%, $F$9) + CHOOSE(CONTROL!$C$27, 0.0021, 0)</f>
        <v>141.36090000000002</v>
      </c>
      <c r="G820" s="14">
        <f>141.6302 * CHOOSE(CONTROL!$C$9, $D$9, 100%, $F$9) + CHOOSE(CONTROL!$C$27, 0.0021, 0)</f>
        <v>141.63230000000001</v>
      </c>
      <c r="H820" s="14">
        <f>141.4954 * CHOOSE(CONTROL!$C$9, $D$9, 100%, $F$9) + CHOOSE(CONTROL!$C$27, 0.0021, 0)</f>
        <v>141.4975</v>
      </c>
      <c r="I820" s="14">
        <f>141.4954 * CHOOSE(CONTROL!$C$9, $D$9, 100%, $F$9) + CHOOSE(CONTROL!$C$27, 0.0021, 0)</f>
        <v>141.4975</v>
      </c>
      <c r="J820" s="14">
        <f>141.4954 * CHOOSE(CONTROL!$C$9, $D$9, 100%, $F$9) + CHOOSE(CONTROL!$C$27, 0.0021, 0)</f>
        <v>141.4975</v>
      </c>
      <c r="K820" s="14">
        <f>141.4954 * CHOOSE(CONTROL!$C$9, $D$9, 100%, $F$9) + CHOOSE(CONTROL!$C$27, 0.0021, 0)</f>
        <v>141.4975</v>
      </c>
      <c r="L820" s="14"/>
    </row>
    <row r="821" spans="1:12" ht="15.75" x14ac:dyDescent="0.25">
      <c r="A821" s="32">
        <v>65927</v>
      </c>
      <c r="B821" s="14">
        <f>143.9397 * CHOOSE(CONTROL!$C$9, $D$9, 100%, $F$9) + CHOOSE(CONTROL!$C$27, 0.0021, 0)</f>
        <v>143.9418</v>
      </c>
      <c r="C821" s="14">
        <f>143.5074 * CHOOSE(CONTROL!$C$9, $D$9, 100%, $F$9) + CHOOSE(CONTROL!$C$27, 0.0021, 0)</f>
        <v>143.5095</v>
      </c>
      <c r="D821" s="14">
        <f>143.5074 * CHOOSE(CONTROL!$C$9, $D$9, 100%, $F$9) + CHOOSE(CONTROL!$C$27, 0.0021, 0)</f>
        <v>143.5095</v>
      </c>
      <c r="E821" s="14">
        <f>143.3708 * CHOOSE(CONTROL!$C$9, $D$9, 100%, $F$9) + CHOOSE(CONTROL!$C$27, 0.0021, 0)</f>
        <v>143.37290000000002</v>
      </c>
      <c r="F821" s="14">
        <f>143.3708 * CHOOSE(CONTROL!$C$9, $D$9, 100%, $F$9) + CHOOSE(CONTROL!$C$27, 0.0021, 0)</f>
        <v>143.37290000000002</v>
      </c>
      <c r="G821" s="14">
        <f>143.6422 * CHOOSE(CONTROL!$C$9, $D$9, 100%, $F$9) + CHOOSE(CONTROL!$C$27, 0.0021, 0)</f>
        <v>143.64430000000002</v>
      </c>
      <c r="H821" s="14">
        <f>143.5074 * CHOOSE(CONTROL!$C$9, $D$9, 100%, $F$9) + CHOOSE(CONTROL!$C$27, 0.0021, 0)</f>
        <v>143.5095</v>
      </c>
      <c r="I821" s="14">
        <f>143.5074 * CHOOSE(CONTROL!$C$9, $D$9, 100%, $F$9) + CHOOSE(CONTROL!$C$27, 0.0021, 0)</f>
        <v>143.5095</v>
      </c>
      <c r="J821" s="14">
        <f>143.5074 * CHOOSE(CONTROL!$C$9, $D$9, 100%, $F$9) + CHOOSE(CONTROL!$C$27, 0.0021, 0)</f>
        <v>143.5095</v>
      </c>
      <c r="K821" s="14">
        <f>143.5074 * CHOOSE(CONTROL!$C$9, $D$9, 100%, $F$9) + CHOOSE(CONTROL!$C$27, 0.0021, 0)</f>
        <v>143.5095</v>
      </c>
      <c r="L821" s="14"/>
    </row>
    <row r="822" spans="1:12" ht="15.75" x14ac:dyDescent="0.25">
      <c r="A822" s="32">
        <v>65958</v>
      </c>
      <c r="B822" s="14">
        <f>143.2772 * CHOOSE(CONTROL!$C$9, $D$9, 100%, $F$9) + CHOOSE(CONTROL!$C$27, 0.0021, 0)</f>
        <v>143.27930000000001</v>
      </c>
      <c r="C822" s="14">
        <f>142.845 * CHOOSE(CONTROL!$C$9, $D$9, 100%, $F$9) + CHOOSE(CONTROL!$C$27, 0.0021, 0)</f>
        <v>142.84710000000001</v>
      </c>
      <c r="D822" s="14">
        <f>142.845 * CHOOSE(CONTROL!$C$9, $D$9, 100%, $F$9) + CHOOSE(CONTROL!$C$27, 0.0021, 0)</f>
        <v>142.84710000000001</v>
      </c>
      <c r="E822" s="14">
        <f>142.7083 * CHOOSE(CONTROL!$C$9, $D$9, 100%, $F$9) + CHOOSE(CONTROL!$C$27, 0.0021, 0)</f>
        <v>142.71040000000002</v>
      </c>
      <c r="F822" s="14">
        <f>142.7083 * CHOOSE(CONTROL!$C$9, $D$9, 100%, $F$9) + CHOOSE(CONTROL!$C$27, 0.0021, 0)</f>
        <v>142.71040000000002</v>
      </c>
      <c r="G822" s="14">
        <f>142.9797 * CHOOSE(CONTROL!$C$9, $D$9, 100%, $F$9) + CHOOSE(CONTROL!$C$27, 0.0021, 0)</f>
        <v>142.98180000000002</v>
      </c>
      <c r="H822" s="14">
        <f>142.845 * CHOOSE(CONTROL!$C$9, $D$9, 100%, $F$9) + CHOOSE(CONTROL!$C$27, 0.0021, 0)</f>
        <v>142.84710000000001</v>
      </c>
      <c r="I822" s="14">
        <f>142.845 * CHOOSE(CONTROL!$C$9, $D$9, 100%, $F$9) + CHOOSE(CONTROL!$C$27, 0.0021, 0)</f>
        <v>142.84710000000001</v>
      </c>
      <c r="J822" s="14">
        <f>142.845 * CHOOSE(CONTROL!$C$9, $D$9, 100%, $F$9) + CHOOSE(CONTROL!$C$27, 0.0021, 0)</f>
        <v>142.84710000000001</v>
      </c>
      <c r="K822" s="14">
        <f>142.845 * CHOOSE(CONTROL!$C$9, $D$9, 100%, $F$9) + CHOOSE(CONTROL!$C$27, 0.0021, 0)</f>
        <v>142.84710000000001</v>
      </c>
      <c r="L822" s="14"/>
    </row>
    <row r="823" spans="1:12" ht="15.75" x14ac:dyDescent="0.25">
      <c r="A823" s="32">
        <v>65989</v>
      </c>
      <c r="B823" s="14">
        <f>139.9952 * CHOOSE(CONTROL!$C$9, $D$9, 100%, $F$9) + CHOOSE(CONTROL!$C$27, 0.0021, 0)</f>
        <v>139.99730000000002</v>
      </c>
      <c r="C823" s="14">
        <f>139.5629 * CHOOSE(CONTROL!$C$9, $D$9, 100%, $F$9) + CHOOSE(CONTROL!$C$27, 0.0021, 0)</f>
        <v>139.56500000000003</v>
      </c>
      <c r="D823" s="14">
        <f>139.5629 * CHOOSE(CONTROL!$C$9, $D$9, 100%, $F$9) + CHOOSE(CONTROL!$C$27, 0.0021, 0)</f>
        <v>139.56500000000003</v>
      </c>
      <c r="E823" s="14">
        <f>139.4263 * CHOOSE(CONTROL!$C$9, $D$9, 100%, $F$9) + CHOOSE(CONTROL!$C$27, 0.0021, 0)</f>
        <v>139.42840000000001</v>
      </c>
      <c r="F823" s="14">
        <f>139.4263 * CHOOSE(CONTROL!$C$9, $D$9, 100%, $F$9) + CHOOSE(CONTROL!$C$27, 0.0021, 0)</f>
        <v>139.42840000000001</v>
      </c>
      <c r="G823" s="14">
        <f>139.6976 * CHOOSE(CONTROL!$C$9, $D$9, 100%, $F$9) + CHOOSE(CONTROL!$C$27, 0.0021, 0)</f>
        <v>139.69970000000001</v>
      </c>
      <c r="H823" s="14">
        <f>139.5629 * CHOOSE(CONTROL!$C$9, $D$9, 100%, $F$9) + CHOOSE(CONTROL!$C$27, 0.0021, 0)</f>
        <v>139.56500000000003</v>
      </c>
      <c r="I823" s="14">
        <f>139.5629 * CHOOSE(CONTROL!$C$9, $D$9, 100%, $F$9) + CHOOSE(CONTROL!$C$27, 0.0021, 0)</f>
        <v>139.56500000000003</v>
      </c>
      <c r="J823" s="14">
        <f>139.5629 * CHOOSE(CONTROL!$C$9, $D$9, 100%, $F$9) + CHOOSE(CONTROL!$C$27, 0.0021, 0)</f>
        <v>139.56500000000003</v>
      </c>
      <c r="K823" s="14">
        <f>139.5629 * CHOOSE(CONTROL!$C$9, $D$9, 100%, $F$9) + CHOOSE(CONTROL!$C$27, 0.0021, 0)</f>
        <v>139.56500000000003</v>
      </c>
      <c r="L823" s="14"/>
    </row>
    <row r="824" spans="1:12" ht="15.75" x14ac:dyDescent="0.25">
      <c r="A824" s="32">
        <v>66019</v>
      </c>
      <c r="B824" s="14">
        <f>135.4182 * CHOOSE(CONTROL!$C$9, $D$9, 100%, $F$9) + CHOOSE(CONTROL!$C$27, 0.0021, 0)</f>
        <v>135.42030000000003</v>
      </c>
      <c r="C824" s="14">
        <f>134.9859 * CHOOSE(CONTROL!$C$9, $D$9, 100%, $F$9) + CHOOSE(CONTROL!$C$27, 0.0021, 0)</f>
        <v>134.988</v>
      </c>
      <c r="D824" s="14">
        <f>134.9859 * CHOOSE(CONTROL!$C$9, $D$9, 100%, $F$9) + CHOOSE(CONTROL!$C$27, 0.0021, 0)</f>
        <v>134.988</v>
      </c>
      <c r="E824" s="14">
        <f>134.8493 * CHOOSE(CONTROL!$C$9, $D$9, 100%, $F$9) + CHOOSE(CONTROL!$C$27, 0.0021, 0)</f>
        <v>134.85140000000001</v>
      </c>
      <c r="F824" s="14">
        <f>134.8493 * CHOOSE(CONTROL!$C$9, $D$9, 100%, $F$9) + CHOOSE(CONTROL!$C$27, 0.0021, 0)</f>
        <v>134.85140000000001</v>
      </c>
      <c r="G824" s="14">
        <f>135.1206 * CHOOSE(CONTROL!$C$9, $D$9, 100%, $F$9) + CHOOSE(CONTROL!$C$27, 0.0021, 0)</f>
        <v>135.12270000000001</v>
      </c>
      <c r="H824" s="14">
        <f>134.9859 * CHOOSE(CONTROL!$C$9, $D$9, 100%, $F$9) + CHOOSE(CONTROL!$C$27, 0.0021, 0)</f>
        <v>134.988</v>
      </c>
      <c r="I824" s="14">
        <f>134.9859 * CHOOSE(CONTROL!$C$9, $D$9, 100%, $F$9) + CHOOSE(CONTROL!$C$27, 0.0021, 0)</f>
        <v>134.988</v>
      </c>
      <c r="J824" s="14">
        <f>134.9859 * CHOOSE(CONTROL!$C$9, $D$9, 100%, $F$9) + CHOOSE(CONTROL!$C$27, 0.0021, 0)</f>
        <v>134.988</v>
      </c>
      <c r="K824" s="14">
        <f>134.9859 * CHOOSE(CONTROL!$C$9, $D$9, 100%, $F$9) + CHOOSE(CONTROL!$C$27, 0.0021, 0)</f>
        <v>134.988</v>
      </c>
      <c r="L824" s="14"/>
    </row>
    <row r="825" spans="1:12" ht="15.75" x14ac:dyDescent="0.25">
      <c r="A825" s="32">
        <v>66050</v>
      </c>
      <c r="B825" s="14">
        <f>130.8145 * CHOOSE(CONTROL!$C$9, $D$9, 100%, $F$9) + CHOOSE(CONTROL!$C$27, 0.0021, 0)</f>
        <v>130.81660000000002</v>
      </c>
      <c r="C825" s="14">
        <f>130.3823 * CHOOSE(CONTROL!$C$9, $D$9, 100%, $F$9) + CHOOSE(CONTROL!$C$27, 0.0021, 0)</f>
        <v>130.3844</v>
      </c>
      <c r="D825" s="14">
        <f>130.3823 * CHOOSE(CONTROL!$C$9, $D$9, 100%, $F$9) + CHOOSE(CONTROL!$C$27, 0.0021, 0)</f>
        <v>130.3844</v>
      </c>
      <c r="E825" s="14">
        <f>130.2456 * CHOOSE(CONTROL!$C$9, $D$9, 100%, $F$9) + CHOOSE(CONTROL!$C$27, 0.0021, 0)</f>
        <v>130.24770000000001</v>
      </c>
      <c r="F825" s="14">
        <f>130.2456 * CHOOSE(CONTROL!$C$9, $D$9, 100%, $F$9) + CHOOSE(CONTROL!$C$27, 0.0021, 0)</f>
        <v>130.24770000000001</v>
      </c>
      <c r="G825" s="14">
        <f>130.517 * CHOOSE(CONTROL!$C$9, $D$9, 100%, $F$9) + CHOOSE(CONTROL!$C$27, 0.0021, 0)</f>
        <v>130.51910000000001</v>
      </c>
      <c r="H825" s="14">
        <f>130.3823 * CHOOSE(CONTROL!$C$9, $D$9, 100%, $F$9) + CHOOSE(CONTROL!$C$27, 0.0021, 0)</f>
        <v>130.3844</v>
      </c>
      <c r="I825" s="14">
        <f>130.3823 * CHOOSE(CONTROL!$C$9, $D$9, 100%, $F$9) + CHOOSE(CONTROL!$C$27, 0.0021, 0)</f>
        <v>130.3844</v>
      </c>
      <c r="J825" s="14">
        <f>130.3823 * CHOOSE(CONTROL!$C$9, $D$9, 100%, $F$9) + CHOOSE(CONTROL!$C$27, 0.0021, 0)</f>
        <v>130.3844</v>
      </c>
      <c r="K825" s="14">
        <f>130.3823 * CHOOSE(CONTROL!$C$9, $D$9, 100%, $F$9) + CHOOSE(CONTROL!$C$27, 0.0021, 0)</f>
        <v>130.3844</v>
      </c>
      <c r="L825" s="14"/>
    </row>
    <row r="826" spans="1:12" ht="15.75" x14ac:dyDescent="0.25">
      <c r="A826" s="32">
        <v>66080</v>
      </c>
      <c r="B826" s="14">
        <f>129.8988 * CHOOSE(CONTROL!$C$9, $D$9, 100%, $F$9) + CHOOSE(CONTROL!$C$27, 0.0021, 0)</f>
        <v>129.90090000000001</v>
      </c>
      <c r="C826" s="14">
        <f>129.4665 * CHOOSE(CONTROL!$C$9, $D$9, 100%, $F$9) + CHOOSE(CONTROL!$C$27, 0.0021, 0)</f>
        <v>129.46860000000001</v>
      </c>
      <c r="D826" s="14">
        <f>129.4665 * CHOOSE(CONTROL!$C$9, $D$9, 100%, $F$9) + CHOOSE(CONTROL!$C$27, 0.0021, 0)</f>
        <v>129.46860000000001</v>
      </c>
      <c r="E826" s="14">
        <f>129.3299 * CHOOSE(CONTROL!$C$9, $D$9, 100%, $F$9) + CHOOSE(CONTROL!$C$27, 0.0021, 0)</f>
        <v>129.33200000000002</v>
      </c>
      <c r="F826" s="14">
        <f>129.3299 * CHOOSE(CONTROL!$C$9, $D$9, 100%, $F$9) + CHOOSE(CONTROL!$C$27, 0.0021, 0)</f>
        <v>129.33200000000002</v>
      </c>
      <c r="G826" s="14">
        <f>129.6013 * CHOOSE(CONTROL!$C$9, $D$9, 100%, $F$9) + CHOOSE(CONTROL!$C$27, 0.0021, 0)</f>
        <v>129.60340000000002</v>
      </c>
      <c r="H826" s="14">
        <f>129.4665 * CHOOSE(CONTROL!$C$9, $D$9, 100%, $F$9) + CHOOSE(CONTROL!$C$27, 0.0021, 0)</f>
        <v>129.46860000000001</v>
      </c>
      <c r="I826" s="14">
        <f>129.4665 * CHOOSE(CONTROL!$C$9, $D$9, 100%, $F$9) + CHOOSE(CONTROL!$C$27, 0.0021, 0)</f>
        <v>129.46860000000001</v>
      </c>
      <c r="J826" s="14">
        <f>129.4665 * CHOOSE(CONTROL!$C$9, $D$9, 100%, $F$9) + CHOOSE(CONTROL!$C$27, 0.0021, 0)</f>
        <v>129.46860000000001</v>
      </c>
      <c r="K826" s="14">
        <f>129.4665 * CHOOSE(CONTROL!$C$9, $D$9, 100%, $F$9) + CHOOSE(CONTROL!$C$27, 0.0021, 0)</f>
        <v>129.46860000000001</v>
      </c>
      <c r="L826" s="14"/>
    </row>
    <row r="827" spans="1:12" ht="15.75" x14ac:dyDescent="0.25">
      <c r="A827" s="32">
        <v>66111</v>
      </c>
      <c r="B827" s="14">
        <f>126.1121 * CHOOSE(CONTROL!$C$9, $D$9, 100%, $F$9) + CHOOSE(CONTROL!$C$27, 0.0021, 0)</f>
        <v>126.1142</v>
      </c>
      <c r="C827" s="14">
        <f>125.6798 * CHOOSE(CONTROL!$C$9, $D$9, 100%, $F$9) + CHOOSE(CONTROL!$C$27, 0.0021, 0)</f>
        <v>125.6819</v>
      </c>
      <c r="D827" s="14">
        <f>125.6798 * CHOOSE(CONTROL!$C$9, $D$9, 100%, $F$9) + CHOOSE(CONTROL!$C$27, 0.0021, 0)</f>
        <v>125.6819</v>
      </c>
      <c r="E827" s="14">
        <f>125.5432 * CHOOSE(CONTROL!$C$9, $D$9, 100%, $F$9) + CHOOSE(CONTROL!$C$27, 0.0021, 0)</f>
        <v>125.5453</v>
      </c>
      <c r="F827" s="14">
        <f>125.5432 * CHOOSE(CONTROL!$C$9, $D$9, 100%, $F$9) + CHOOSE(CONTROL!$C$27, 0.0021, 0)</f>
        <v>125.5453</v>
      </c>
      <c r="G827" s="14">
        <f>125.8145 * CHOOSE(CONTROL!$C$9, $D$9, 100%, $F$9) + CHOOSE(CONTROL!$C$27, 0.0021, 0)</f>
        <v>125.81659999999999</v>
      </c>
      <c r="H827" s="14">
        <f>125.6798 * CHOOSE(CONTROL!$C$9, $D$9, 100%, $F$9) + CHOOSE(CONTROL!$C$27, 0.0021, 0)</f>
        <v>125.6819</v>
      </c>
      <c r="I827" s="14">
        <f>125.6798 * CHOOSE(CONTROL!$C$9, $D$9, 100%, $F$9) + CHOOSE(CONTROL!$C$27, 0.0021, 0)</f>
        <v>125.6819</v>
      </c>
      <c r="J827" s="14">
        <f>125.6798 * CHOOSE(CONTROL!$C$9, $D$9, 100%, $F$9) + CHOOSE(CONTROL!$C$27, 0.0021, 0)</f>
        <v>125.6819</v>
      </c>
      <c r="K827" s="14">
        <f>125.6798 * CHOOSE(CONTROL!$C$9, $D$9, 100%, $F$9) + CHOOSE(CONTROL!$C$27, 0.0021, 0)</f>
        <v>125.6819</v>
      </c>
      <c r="L827" s="14"/>
    </row>
    <row r="828" spans="1:12" ht="15.75" x14ac:dyDescent="0.25">
      <c r="A828" s="32">
        <v>66142</v>
      </c>
      <c r="B828" s="14">
        <f>125.3748 * CHOOSE(CONTROL!$C$9, $D$9, 100%, $F$9) + CHOOSE(CONTROL!$C$27, 0.0021, 0)</f>
        <v>125.37689999999999</v>
      </c>
      <c r="C828" s="14">
        <f>124.9426 * CHOOSE(CONTROL!$C$9, $D$9, 100%, $F$9) + CHOOSE(CONTROL!$C$27, 0.0021, 0)</f>
        <v>124.9447</v>
      </c>
      <c r="D828" s="14">
        <f>124.9426 * CHOOSE(CONTROL!$C$9, $D$9, 100%, $F$9) + CHOOSE(CONTROL!$C$27, 0.0021, 0)</f>
        <v>124.9447</v>
      </c>
      <c r="E828" s="14">
        <f>124.8059 * CHOOSE(CONTROL!$C$9, $D$9, 100%, $F$9) + CHOOSE(CONTROL!$C$27, 0.0021, 0)</f>
        <v>124.80799999999999</v>
      </c>
      <c r="F828" s="14">
        <f>124.8059 * CHOOSE(CONTROL!$C$9, $D$9, 100%, $F$9) + CHOOSE(CONTROL!$C$27, 0.0021, 0)</f>
        <v>124.80799999999999</v>
      </c>
      <c r="G828" s="14">
        <f>125.0773 * CHOOSE(CONTROL!$C$9, $D$9, 100%, $F$9) + CHOOSE(CONTROL!$C$27, 0.0021, 0)</f>
        <v>125.07939999999999</v>
      </c>
      <c r="H828" s="14">
        <f>124.9426 * CHOOSE(CONTROL!$C$9, $D$9, 100%, $F$9) + CHOOSE(CONTROL!$C$27, 0.0021, 0)</f>
        <v>124.9447</v>
      </c>
      <c r="I828" s="14">
        <f>124.9426 * CHOOSE(CONTROL!$C$9, $D$9, 100%, $F$9) + CHOOSE(CONTROL!$C$27, 0.0021, 0)</f>
        <v>124.9447</v>
      </c>
      <c r="J828" s="14">
        <f>124.9426 * CHOOSE(CONTROL!$C$9, $D$9, 100%, $F$9) + CHOOSE(CONTROL!$C$27, 0.0021, 0)</f>
        <v>124.9447</v>
      </c>
      <c r="K828" s="14">
        <f>124.9426 * CHOOSE(CONTROL!$C$9, $D$9, 100%, $F$9) + CHOOSE(CONTROL!$C$27, 0.0021, 0)</f>
        <v>124.9447</v>
      </c>
      <c r="L828" s="14"/>
    </row>
    <row r="829" spans="1:12" ht="15.75" x14ac:dyDescent="0.25">
      <c r="A829" s="32">
        <v>66170</v>
      </c>
      <c r="B829" s="14">
        <f>125.0327 * CHOOSE(CONTROL!$C$9, $D$9, 100%, $F$9) + CHOOSE(CONTROL!$C$27, 0.0021, 0)</f>
        <v>125.0348</v>
      </c>
      <c r="C829" s="14">
        <f>124.6004 * CHOOSE(CONTROL!$C$9, $D$9, 100%, $F$9) + CHOOSE(CONTROL!$C$27, 0.0021, 0)</f>
        <v>124.60249999999999</v>
      </c>
      <c r="D829" s="14">
        <f>124.6004 * CHOOSE(CONTROL!$C$9, $D$9, 100%, $F$9) + CHOOSE(CONTROL!$C$27, 0.0021, 0)</f>
        <v>124.60249999999999</v>
      </c>
      <c r="E829" s="14">
        <f>124.4638 * CHOOSE(CONTROL!$C$9, $D$9, 100%, $F$9) + CHOOSE(CONTROL!$C$27, 0.0021, 0)</f>
        <v>124.4659</v>
      </c>
      <c r="F829" s="14">
        <f>124.4638 * CHOOSE(CONTROL!$C$9, $D$9, 100%, $F$9) + CHOOSE(CONTROL!$C$27, 0.0021, 0)</f>
        <v>124.4659</v>
      </c>
      <c r="G829" s="14">
        <f>124.7352 * CHOOSE(CONTROL!$C$9, $D$9, 100%, $F$9) + CHOOSE(CONTROL!$C$27, 0.0021, 0)</f>
        <v>124.7373</v>
      </c>
      <c r="H829" s="14">
        <f>124.6004 * CHOOSE(CONTROL!$C$9, $D$9, 100%, $F$9) + CHOOSE(CONTROL!$C$27, 0.0021, 0)</f>
        <v>124.60249999999999</v>
      </c>
      <c r="I829" s="14">
        <f>124.6004 * CHOOSE(CONTROL!$C$9, $D$9, 100%, $F$9) + CHOOSE(CONTROL!$C$27, 0.0021, 0)</f>
        <v>124.60249999999999</v>
      </c>
      <c r="J829" s="14">
        <f>124.6004 * CHOOSE(CONTROL!$C$9, $D$9, 100%, $F$9) + CHOOSE(CONTROL!$C$27, 0.0021, 0)</f>
        <v>124.60249999999999</v>
      </c>
      <c r="K829" s="14">
        <f>124.6004 * CHOOSE(CONTROL!$C$9, $D$9, 100%, $F$9) + CHOOSE(CONTROL!$C$27, 0.0021, 0)</f>
        <v>124.60249999999999</v>
      </c>
      <c r="L829" s="14"/>
    </row>
    <row r="830" spans="1:12" ht="15.75" x14ac:dyDescent="0.25">
      <c r="A830" s="32">
        <v>66201</v>
      </c>
      <c r="B830" s="14">
        <f>131.5018 * CHOOSE(CONTROL!$C$9, $D$9, 100%, $F$9) + CHOOSE(CONTROL!$C$27, 0.0021, 0)</f>
        <v>131.50390000000002</v>
      </c>
      <c r="C830" s="14">
        <f>131.0696 * CHOOSE(CONTROL!$C$9, $D$9, 100%, $F$9) + CHOOSE(CONTROL!$C$27, 0.0021, 0)</f>
        <v>131.07170000000002</v>
      </c>
      <c r="D830" s="14">
        <f>131.0696 * CHOOSE(CONTROL!$C$9, $D$9, 100%, $F$9) + CHOOSE(CONTROL!$C$27, 0.0021, 0)</f>
        <v>131.07170000000002</v>
      </c>
      <c r="E830" s="14">
        <f>130.9329 * CHOOSE(CONTROL!$C$9, $D$9, 100%, $F$9) + CHOOSE(CONTROL!$C$27, 0.0021, 0)</f>
        <v>130.935</v>
      </c>
      <c r="F830" s="14">
        <f>130.9329 * CHOOSE(CONTROL!$C$9, $D$9, 100%, $F$9) + CHOOSE(CONTROL!$C$27, 0.0021, 0)</f>
        <v>130.935</v>
      </c>
      <c r="G830" s="14">
        <f>131.2043 * CHOOSE(CONTROL!$C$9, $D$9, 100%, $F$9) + CHOOSE(CONTROL!$C$27, 0.0021, 0)</f>
        <v>131.2064</v>
      </c>
      <c r="H830" s="14">
        <f>131.0696 * CHOOSE(CONTROL!$C$9, $D$9, 100%, $F$9) + CHOOSE(CONTROL!$C$27, 0.0021, 0)</f>
        <v>131.07170000000002</v>
      </c>
      <c r="I830" s="14">
        <f>131.0696 * CHOOSE(CONTROL!$C$9, $D$9, 100%, $F$9) + CHOOSE(CONTROL!$C$27, 0.0021, 0)</f>
        <v>131.07170000000002</v>
      </c>
      <c r="J830" s="14">
        <f>131.0696 * CHOOSE(CONTROL!$C$9, $D$9, 100%, $F$9) + CHOOSE(CONTROL!$C$27, 0.0021, 0)</f>
        <v>131.07170000000002</v>
      </c>
      <c r="K830" s="14">
        <f>131.0696 * CHOOSE(CONTROL!$C$9, $D$9, 100%, $F$9) + CHOOSE(CONTROL!$C$27, 0.0021, 0)</f>
        <v>131.07170000000002</v>
      </c>
      <c r="L830" s="14"/>
    </row>
    <row r="831" spans="1:12" ht="15.75" x14ac:dyDescent="0.25">
      <c r="A831" s="32">
        <v>66231</v>
      </c>
      <c r="B831" s="14">
        <f>139.8907 * CHOOSE(CONTROL!$C$9, $D$9, 100%, $F$9) + CHOOSE(CONTROL!$C$27, 0.0021, 0)</f>
        <v>139.89280000000002</v>
      </c>
      <c r="C831" s="14">
        <f>139.4585 * CHOOSE(CONTROL!$C$9, $D$9, 100%, $F$9) + CHOOSE(CONTROL!$C$27, 0.0021, 0)</f>
        <v>139.4606</v>
      </c>
      <c r="D831" s="14">
        <f>139.4585 * CHOOSE(CONTROL!$C$9, $D$9, 100%, $F$9) + CHOOSE(CONTROL!$C$27, 0.0021, 0)</f>
        <v>139.4606</v>
      </c>
      <c r="E831" s="14">
        <f>139.3218 * CHOOSE(CONTROL!$C$9, $D$9, 100%, $F$9) + CHOOSE(CONTROL!$C$27, 0.0021, 0)</f>
        <v>139.32390000000001</v>
      </c>
      <c r="F831" s="14">
        <f>139.3218 * CHOOSE(CONTROL!$C$9, $D$9, 100%, $F$9) + CHOOSE(CONTROL!$C$27, 0.0021, 0)</f>
        <v>139.32390000000001</v>
      </c>
      <c r="G831" s="14">
        <f>139.5932 * CHOOSE(CONTROL!$C$9, $D$9, 100%, $F$9) + CHOOSE(CONTROL!$C$27, 0.0021, 0)</f>
        <v>139.59530000000001</v>
      </c>
      <c r="H831" s="14">
        <f>139.4585 * CHOOSE(CONTROL!$C$9, $D$9, 100%, $F$9) + CHOOSE(CONTROL!$C$27, 0.0021, 0)</f>
        <v>139.4606</v>
      </c>
      <c r="I831" s="14">
        <f>139.4585 * CHOOSE(CONTROL!$C$9, $D$9, 100%, $F$9) + CHOOSE(CONTROL!$C$27, 0.0021, 0)</f>
        <v>139.4606</v>
      </c>
      <c r="J831" s="14">
        <f>139.4585 * CHOOSE(CONTROL!$C$9, $D$9, 100%, $F$9) + CHOOSE(CONTROL!$C$27, 0.0021, 0)</f>
        <v>139.4606</v>
      </c>
      <c r="K831" s="14">
        <f>139.4585 * CHOOSE(CONTROL!$C$9, $D$9, 100%, $F$9) + CHOOSE(CONTROL!$C$27, 0.0021, 0)</f>
        <v>139.4606</v>
      </c>
      <c r="L831" s="14"/>
    </row>
    <row r="832" spans="1:12" ht="15.75" x14ac:dyDescent="0.25">
      <c r="A832" s="32">
        <v>66262</v>
      </c>
      <c r="B832" s="14">
        <f>144.5083 * CHOOSE(CONTROL!$C$9, $D$9, 100%, $F$9) + CHOOSE(CONTROL!$C$27, 0.0021, 0)</f>
        <v>144.5104</v>
      </c>
      <c r="C832" s="14">
        <f>144.076 * CHOOSE(CONTROL!$C$9, $D$9, 100%, $F$9) + CHOOSE(CONTROL!$C$27, 0.0021, 0)</f>
        <v>144.07810000000001</v>
      </c>
      <c r="D832" s="14">
        <f>144.076 * CHOOSE(CONTROL!$C$9, $D$9, 100%, $F$9) + CHOOSE(CONTROL!$C$27, 0.0021, 0)</f>
        <v>144.07810000000001</v>
      </c>
      <c r="E832" s="14">
        <f>143.9394 * CHOOSE(CONTROL!$C$9, $D$9, 100%, $F$9) + CHOOSE(CONTROL!$C$27, 0.0021, 0)</f>
        <v>143.94150000000002</v>
      </c>
      <c r="F832" s="14">
        <f>143.9394 * CHOOSE(CONTROL!$C$9, $D$9, 100%, $F$9) + CHOOSE(CONTROL!$C$27, 0.0021, 0)</f>
        <v>143.94150000000002</v>
      </c>
      <c r="G832" s="14">
        <f>144.2107 * CHOOSE(CONTROL!$C$9, $D$9, 100%, $F$9) + CHOOSE(CONTROL!$C$27, 0.0021, 0)</f>
        <v>144.21280000000002</v>
      </c>
      <c r="H832" s="14">
        <f>144.076 * CHOOSE(CONTROL!$C$9, $D$9, 100%, $F$9) + CHOOSE(CONTROL!$C$27, 0.0021, 0)</f>
        <v>144.07810000000001</v>
      </c>
      <c r="I832" s="14">
        <f>144.076 * CHOOSE(CONTROL!$C$9, $D$9, 100%, $F$9) + CHOOSE(CONTROL!$C$27, 0.0021, 0)</f>
        <v>144.07810000000001</v>
      </c>
      <c r="J832" s="14">
        <f>144.076 * CHOOSE(CONTROL!$C$9, $D$9, 100%, $F$9) + CHOOSE(CONTROL!$C$27, 0.0021, 0)</f>
        <v>144.07810000000001</v>
      </c>
      <c r="K832" s="14">
        <f>144.076 * CHOOSE(CONTROL!$C$9, $D$9, 100%, $F$9) + CHOOSE(CONTROL!$C$27, 0.0021, 0)</f>
        <v>144.07810000000001</v>
      </c>
      <c r="L832" s="14"/>
    </row>
    <row r="833" spans="1:12" ht="15.75" x14ac:dyDescent="0.25">
      <c r="A833" s="32">
        <v>66292</v>
      </c>
      <c r="B833" s="14">
        <f>146.5574 * CHOOSE(CONTROL!$C$9, $D$9, 100%, $F$9) + CHOOSE(CONTROL!$C$27, 0.0021, 0)</f>
        <v>146.55950000000001</v>
      </c>
      <c r="C833" s="14">
        <f>146.1252 * CHOOSE(CONTROL!$C$9, $D$9, 100%, $F$9) + CHOOSE(CONTROL!$C$27, 0.0021, 0)</f>
        <v>146.12730000000002</v>
      </c>
      <c r="D833" s="14">
        <f>146.1252 * CHOOSE(CONTROL!$C$9, $D$9, 100%, $F$9) + CHOOSE(CONTROL!$C$27, 0.0021, 0)</f>
        <v>146.12730000000002</v>
      </c>
      <c r="E833" s="14">
        <f>145.9885 * CHOOSE(CONTROL!$C$9, $D$9, 100%, $F$9) + CHOOSE(CONTROL!$C$27, 0.0021, 0)</f>
        <v>145.9906</v>
      </c>
      <c r="F833" s="14">
        <f>145.9885 * CHOOSE(CONTROL!$C$9, $D$9, 100%, $F$9) + CHOOSE(CONTROL!$C$27, 0.0021, 0)</f>
        <v>145.9906</v>
      </c>
      <c r="G833" s="14">
        <f>146.2599 * CHOOSE(CONTROL!$C$9, $D$9, 100%, $F$9) + CHOOSE(CONTROL!$C$27, 0.0021, 0)</f>
        <v>146.262</v>
      </c>
      <c r="H833" s="14">
        <f>146.1252 * CHOOSE(CONTROL!$C$9, $D$9, 100%, $F$9) + CHOOSE(CONTROL!$C$27, 0.0021, 0)</f>
        <v>146.12730000000002</v>
      </c>
      <c r="I833" s="14">
        <f>146.1252 * CHOOSE(CONTROL!$C$9, $D$9, 100%, $F$9) + CHOOSE(CONTROL!$C$27, 0.0021, 0)</f>
        <v>146.12730000000002</v>
      </c>
      <c r="J833" s="14">
        <f>146.1252 * CHOOSE(CONTROL!$C$9, $D$9, 100%, $F$9) + CHOOSE(CONTROL!$C$27, 0.0021, 0)</f>
        <v>146.12730000000002</v>
      </c>
      <c r="K833" s="14">
        <f>146.1252 * CHOOSE(CONTROL!$C$9, $D$9, 100%, $F$9) + CHOOSE(CONTROL!$C$27, 0.0021, 0)</f>
        <v>146.12730000000002</v>
      </c>
      <c r="L833" s="14"/>
    </row>
    <row r="834" spans="1:12" ht="15.75" x14ac:dyDescent="0.25">
      <c r="A834" s="32">
        <v>66323</v>
      </c>
      <c r="B834" s="14">
        <f>145.8828 * CHOOSE(CONTROL!$C$9, $D$9, 100%, $F$9) + CHOOSE(CONTROL!$C$27, 0.0021, 0)</f>
        <v>145.88490000000002</v>
      </c>
      <c r="C834" s="14">
        <f>145.4505 * CHOOSE(CONTROL!$C$9, $D$9, 100%, $F$9) + CHOOSE(CONTROL!$C$27, 0.0021, 0)</f>
        <v>145.45260000000002</v>
      </c>
      <c r="D834" s="14">
        <f>145.4505 * CHOOSE(CONTROL!$C$9, $D$9, 100%, $F$9) + CHOOSE(CONTROL!$C$27, 0.0021, 0)</f>
        <v>145.45260000000002</v>
      </c>
      <c r="E834" s="14">
        <f>145.3138 * CHOOSE(CONTROL!$C$9, $D$9, 100%, $F$9) + CHOOSE(CONTROL!$C$27, 0.0021, 0)</f>
        <v>145.3159</v>
      </c>
      <c r="F834" s="14">
        <f>145.3138 * CHOOSE(CONTROL!$C$9, $D$9, 100%, $F$9) + CHOOSE(CONTROL!$C$27, 0.0021, 0)</f>
        <v>145.3159</v>
      </c>
      <c r="G834" s="14">
        <f>145.5852 * CHOOSE(CONTROL!$C$9, $D$9, 100%, $F$9) + CHOOSE(CONTROL!$C$27, 0.0021, 0)</f>
        <v>145.5873</v>
      </c>
      <c r="H834" s="14">
        <f>145.4505 * CHOOSE(CONTROL!$C$9, $D$9, 100%, $F$9) + CHOOSE(CONTROL!$C$27, 0.0021, 0)</f>
        <v>145.45260000000002</v>
      </c>
      <c r="I834" s="14">
        <f>145.4505 * CHOOSE(CONTROL!$C$9, $D$9, 100%, $F$9) + CHOOSE(CONTROL!$C$27, 0.0021, 0)</f>
        <v>145.45260000000002</v>
      </c>
      <c r="J834" s="14">
        <f>145.4505 * CHOOSE(CONTROL!$C$9, $D$9, 100%, $F$9) + CHOOSE(CONTROL!$C$27, 0.0021, 0)</f>
        <v>145.45260000000002</v>
      </c>
      <c r="K834" s="14">
        <f>145.4505 * CHOOSE(CONTROL!$C$9, $D$9, 100%, $F$9) + CHOOSE(CONTROL!$C$27, 0.0021, 0)</f>
        <v>145.45260000000002</v>
      </c>
      <c r="L834" s="14"/>
    </row>
    <row r="835" spans="1:12" ht="15.75" x14ac:dyDescent="0.25">
      <c r="A835" s="32">
        <v>66354</v>
      </c>
      <c r="B835" s="14">
        <f>142.54 * CHOOSE(CONTROL!$C$9, $D$9, 100%, $F$9) + CHOOSE(CONTROL!$C$27, 0.0021, 0)</f>
        <v>142.5421</v>
      </c>
      <c r="C835" s="14">
        <f>142.1078 * CHOOSE(CONTROL!$C$9, $D$9, 100%, $F$9) + CHOOSE(CONTROL!$C$27, 0.0021, 0)</f>
        <v>142.10990000000001</v>
      </c>
      <c r="D835" s="14">
        <f>142.1078 * CHOOSE(CONTROL!$C$9, $D$9, 100%, $F$9) + CHOOSE(CONTROL!$C$27, 0.0021, 0)</f>
        <v>142.10990000000001</v>
      </c>
      <c r="E835" s="14">
        <f>141.9711 * CHOOSE(CONTROL!$C$9, $D$9, 100%, $F$9) + CHOOSE(CONTROL!$C$27, 0.0021, 0)</f>
        <v>141.97320000000002</v>
      </c>
      <c r="F835" s="14">
        <f>141.9711 * CHOOSE(CONTROL!$C$9, $D$9, 100%, $F$9) + CHOOSE(CONTROL!$C$27, 0.0021, 0)</f>
        <v>141.97320000000002</v>
      </c>
      <c r="G835" s="14">
        <f>142.2425 * CHOOSE(CONTROL!$C$9, $D$9, 100%, $F$9) + CHOOSE(CONTROL!$C$27, 0.0021, 0)</f>
        <v>142.24460000000002</v>
      </c>
      <c r="H835" s="14">
        <f>142.1078 * CHOOSE(CONTROL!$C$9, $D$9, 100%, $F$9) + CHOOSE(CONTROL!$C$27, 0.0021, 0)</f>
        <v>142.10990000000001</v>
      </c>
      <c r="I835" s="14">
        <f>142.1078 * CHOOSE(CONTROL!$C$9, $D$9, 100%, $F$9) + CHOOSE(CONTROL!$C$27, 0.0021, 0)</f>
        <v>142.10990000000001</v>
      </c>
      <c r="J835" s="14">
        <f>142.1078 * CHOOSE(CONTROL!$C$9, $D$9, 100%, $F$9) + CHOOSE(CONTROL!$C$27, 0.0021, 0)</f>
        <v>142.10990000000001</v>
      </c>
      <c r="K835" s="14">
        <f>142.1078 * CHOOSE(CONTROL!$C$9, $D$9, 100%, $F$9) + CHOOSE(CONTROL!$C$27, 0.0021, 0)</f>
        <v>142.10990000000001</v>
      </c>
      <c r="L835" s="14"/>
    </row>
    <row r="836" spans="1:12" ht="15.75" x14ac:dyDescent="0.25">
      <c r="A836" s="32">
        <v>66384</v>
      </c>
      <c r="B836" s="14">
        <f>137.8784 * CHOOSE(CONTROL!$C$9, $D$9, 100%, $F$9) + CHOOSE(CONTROL!$C$27, 0.0021, 0)</f>
        <v>137.88050000000001</v>
      </c>
      <c r="C836" s="14">
        <f>137.4462 * CHOOSE(CONTROL!$C$9, $D$9, 100%, $F$9) + CHOOSE(CONTROL!$C$27, 0.0021, 0)</f>
        <v>137.44830000000002</v>
      </c>
      <c r="D836" s="14">
        <f>137.4462 * CHOOSE(CONTROL!$C$9, $D$9, 100%, $F$9) + CHOOSE(CONTROL!$C$27, 0.0021, 0)</f>
        <v>137.44830000000002</v>
      </c>
      <c r="E836" s="14">
        <f>137.3095 * CHOOSE(CONTROL!$C$9, $D$9, 100%, $F$9) + CHOOSE(CONTROL!$C$27, 0.0021, 0)</f>
        <v>137.31160000000003</v>
      </c>
      <c r="F836" s="14">
        <f>137.3095 * CHOOSE(CONTROL!$C$9, $D$9, 100%, $F$9) + CHOOSE(CONTROL!$C$27, 0.0021, 0)</f>
        <v>137.31160000000003</v>
      </c>
      <c r="G836" s="14">
        <f>137.5809 * CHOOSE(CONTROL!$C$9, $D$9, 100%, $F$9) + CHOOSE(CONTROL!$C$27, 0.0021, 0)</f>
        <v>137.58300000000003</v>
      </c>
      <c r="H836" s="14">
        <f>137.4462 * CHOOSE(CONTROL!$C$9, $D$9, 100%, $F$9) + CHOOSE(CONTROL!$C$27, 0.0021, 0)</f>
        <v>137.44830000000002</v>
      </c>
      <c r="I836" s="14">
        <f>137.4462 * CHOOSE(CONTROL!$C$9, $D$9, 100%, $F$9) + CHOOSE(CONTROL!$C$27, 0.0021, 0)</f>
        <v>137.44830000000002</v>
      </c>
      <c r="J836" s="14">
        <f>137.4462 * CHOOSE(CONTROL!$C$9, $D$9, 100%, $F$9) + CHOOSE(CONTROL!$C$27, 0.0021, 0)</f>
        <v>137.44830000000002</v>
      </c>
      <c r="K836" s="14">
        <f>137.4462 * CHOOSE(CONTROL!$C$9, $D$9, 100%, $F$9) + CHOOSE(CONTROL!$C$27, 0.0021, 0)</f>
        <v>137.44830000000002</v>
      </c>
      <c r="L836" s="14"/>
    </row>
    <row r="837" spans="1:12" ht="15.75" x14ac:dyDescent="0.25">
      <c r="A837" s="32">
        <v>66415</v>
      </c>
      <c r="B837" s="14">
        <f>133.1897 * CHOOSE(CONTROL!$C$9, $D$9, 100%, $F$9) + CHOOSE(CONTROL!$C$27, 0.0021, 0)</f>
        <v>133.1918</v>
      </c>
      <c r="C837" s="14">
        <f>132.7575 * CHOOSE(CONTROL!$C$9, $D$9, 100%, $F$9) + CHOOSE(CONTROL!$C$27, 0.0021, 0)</f>
        <v>132.75960000000001</v>
      </c>
      <c r="D837" s="14">
        <f>132.7575 * CHOOSE(CONTROL!$C$9, $D$9, 100%, $F$9) + CHOOSE(CONTROL!$C$27, 0.0021, 0)</f>
        <v>132.75960000000001</v>
      </c>
      <c r="E837" s="14">
        <f>132.6208 * CHOOSE(CONTROL!$C$9, $D$9, 100%, $F$9) + CHOOSE(CONTROL!$C$27, 0.0021, 0)</f>
        <v>132.62290000000002</v>
      </c>
      <c r="F837" s="14">
        <f>132.6208 * CHOOSE(CONTROL!$C$9, $D$9, 100%, $F$9) + CHOOSE(CONTROL!$C$27, 0.0021, 0)</f>
        <v>132.62290000000002</v>
      </c>
      <c r="G837" s="14">
        <f>132.8922 * CHOOSE(CONTROL!$C$9, $D$9, 100%, $F$9) + CHOOSE(CONTROL!$C$27, 0.0021, 0)</f>
        <v>132.89430000000002</v>
      </c>
      <c r="H837" s="14">
        <f>132.7575 * CHOOSE(CONTROL!$C$9, $D$9, 100%, $F$9) + CHOOSE(CONTROL!$C$27, 0.0021, 0)</f>
        <v>132.75960000000001</v>
      </c>
      <c r="I837" s="14">
        <f>132.7575 * CHOOSE(CONTROL!$C$9, $D$9, 100%, $F$9) + CHOOSE(CONTROL!$C$27, 0.0021, 0)</f>
        <v>132.75960000000001</v>
      </c>
      <c r="J837" s="14">
        <f>132.7575 * CHOOSE(CONTROL!$C$9, $D$9, 100%, $F$9) + CHOOSE(CONTROL!$C$27, 0.0021, 0)</f>
        <v>132.75960000000001</v>
      </c>
      <c r="K837" s="14">
        <f>132.7575 * CHOOSE(CONTROL!$C$9, $D$9, 100%, $F$9) + CHOOSE(CONTROL!$C$27, 0.0021, 0)</f>
        <v>132.75960000000001</v>
      </c>
      <c r="L837" s="14"/>
    </row>
    <row r="838" spans="1:12" ht="15.75" x14ac:dyDescent="0.25">
      <c r="A838" s="32">
        <v>66445</v>
      </c>
      <c r="B838" s="14">
        <f>132.2571 * CHOOSE(CONTROL!$C$9, $D$9, 100%, $F$9) + CHOOSE(CONTROL!$C$27, 0.0021, 0)</f>
        <v>132.25920000000002</v>
      </c>
      <c r="C838" s="14">
        <f>131.8248 * CHOOSE(CONTROL!$C$9, $D$9, 100%, $F$9) + CHOOSE(CONTROL!$C$27, 0.0021, 0)</f>
        <v>131.82690000000002</v>
      </c>
      <c r="D838" s="14">
        <f>131.8248 * CHOOSE(CONTROL!$C$9, $D$9, 100%, $F$9) + CHOOSE(CONTROL!$C$27, 0.0021, 0)</f>
        <v>131.82690000000002</v>
      </c>
      <c r="E838" s="14">
        <f>131.6881 * CHOOSE(CONTROL!$C$9, $D$9, 100%, $F$9) + CHOOSE(CONTROL!$C$27, 0.0021, 0)</f>
        <v>131.6902</v>
      </c>
      <c r="F838" s="14">
        <f>131.6881 * CHOOSE(CONTROL!$C$9, $D$9, 100%, $F$9) + CHOOSE(CONTROL!$C$27, 0.0021, 0)</f>
        <v>131.6902</v>
      </c>
      <c r="G838" s="14">
        <f>131.9595 * CHOOSE(CONTROL!$C$9, $D$9, 100%, $F$9) + CHOOSE(CONTROL!$C$27, 0.0021, 0)</f>
        <v>131.9616</v>
      </c>
      <c r="H838" s="14">
        <f>131.8248 * CHOOSE(CONTROL!$C$9, $D$9, 100%, $F$9) + CHOOSE(CONTROL!$C$27, 0.0021, 0)</f>
        <v>131.82690000000002</v>
      </c>
      <c r="I838" s="14">
        <f>131.8248 * CHOOSE(CONTROL!$C$9, $D$9, 100%, $F$9) + CHOOSE(CONTROL!$C$27, 0.0021, 0)</f>
        <v>131.82690000000002</v>
      </c>
      <c r="J838" s="14">
        <f>131.8248 * CHOOSE(CONTROL!$C$9, $D$9, 100%, $F$9) + CHOOSE(CONTROL!$C$27, 0.0021, 0)</f>
        <v>131.82690000000002</v>
      </c>
      <c r="K838" s="14">
        <f>131.8248 * CHOOSE(CONTROL!$C$9, $D$9, 100%, $F$9) + CHOOSE(CONTROL!$C$27, 0.0021, 0)</f>
        <v>131.82690000000002</v>
      </c>
      <c r="L838" s="14"/>
    </row>
    <row r="839" spans="1:12" ht="15.75" x14ac:dyDescent="0.25">
      <c r="A839" s="32">
        <v>66476</v>
      </c>
      <c r="B839" s="14">
        <f>128.4003 * CHOOSE(CONTROL!$C$9, $D$9, 100%, $F$9) + CHOOSE(CONTROL!$C$27, 0.0021, 0)</f>
        <v>128.4024</v>
      </c>
      <c r="C839" s="14">
        <f>127.9681 * CHOOSE(CONTROL!$C$9, $D$9, 100%, $F$9) + CHOOSE(CONTROL!$C$27, 0.0021, 0)</f>
        <v>127.97020000000001</v>
      </c>
      <c r="D839" s="14">
        <f>127.9681 * CHOOSE(CONTROL!$C$9, $D$9, 100%, $F$9) + CHOOSE(CONTROL!$C$27, 0.0021, 0)</f>
        <v>127.97020000000001</v>
      </c>
      <c r="E839" s="14">
        <f>127.8314 * CHOOSE(CONTROL!$C$9, $D$9, 100%, $F$9) + CHOOSE(CONTROL!$C$27, 0.0021, 0)</f>
        <v>127.8335</v>
      </c>
      <c r="F839" s="14">
        <f>127.8314 * CHOOSE(CONTROL!$C$9, $D$9, 100%, $F$9) + CHOOSE(CONTROL!$C$27, 0.0021, 0)</f>
        <v>127.8335</v>
      </c>
      <c r="G839" s="14">
        <f>128.1028 * CHOOSE(CONTROL!$C$9, $D$9, 100%, $F$9) + CHOOSE(CONTROL!$C$27, 0.0021, 0)</f>
        <v>128.10490000000001</v>
      </c>
      <c r="H839" s="14">
        <f>127.9681 * CHOOSE(CONTROL!$C$9, $D$9, 100%, $F$9) + CHOOSE(CONTROL!$C$27, 0.0021, 0)</f>
        <v>127.97020000000001</v>
      </c>
      <c r="I839" s="14">
        <f>127.9681 * CHOOSE(CONTROL!$C$9, $D$9, 100%, $F$9) + CHOOSE(CONTROL!$C$27, 0.0021, 0)</f>
        <v>127.97020000000001</v>
      </c>
      <c r="J839" s="14">
        <f>127.9681 * CHOOSE(CONTROL!$C$9, $D$9, 100%, $F$9) + CHOOSE(CONTROL!$C$27, 0.0021, 0)</f>
        <v>127.97020000000001</v>
      </c>
      <c r="K839" s="14">
        <f>127.9681 * CHOOSE(CONTROL!$C$9, $D$9, 100%, $F$9) + CHOOSE(CONTROL!$C$27, 0.0021, 0)</f>
        <v>127.97020000000001</v>
      </c>
      <c r="L839" s="14"/>
    </row>
    <row r="840" spans="1:12" ht="15.75" x14ac:dyDescent="0.25">
      <c r="A840" s="32">
        <v>66507</v>
      </c>
      <c r="B840" s="14">
        <f>127.6495 * CHOOSE(CONTROL!$C$9, $D$9, 100%, $F$9) + CHOOSE(CONTROL!$C$27, 0.0021, 0)</f>
        <v>127.6516</v>
      </c>
      <c r="C840" s="14">
        <f>127.2172 * CHOOSE(CONTROL!$C$9, $D$9, 100%, $F$9) + CHOOSE(CONTROL!$C$27, 0.0021, 0)</f>
        <v>127.2193</v>
      </c>
      <c r="D840" s="14">
        <f>127.2172 * CHOOSE(CONTROL!$C$9, $D$9, 100%, $F$9) + CHOOSE(CONTROL!$C$27, 0.0021, 0)</f>
        <v>127.2193</v>
      </c>
      <c r="E840" s="14">
        <f>127.0806 * CHOOSE(CONTROL!$C$9, $D$9, 100%, $F$9) + CHOOSE(CONTROL!$C$27, 0.0021, 0)</f>
        <v>127.0827</v>
      </c>
      <c r="F840" s="14">
        <f>127.0806 * CHOOSE(CONTROL!$C$9, $D$9, 100%, $F$9) + CHOOSE(CONTROL!$C$27, 0.0021, 0)</f>
        <v>127.0827</v>
      </c>
      <c r="G840" s="14">
        <f>127.3519 * CHOOSE(CONTROL!$C$9, $D$9, 100%, $F$9) + CHOOSE(CONTROL!$C$27, 0.0021, 0)</f>
        <v>127.354</v>
      </c>
      <c r="H840" s="14">
        <f>127.2172 * CHOOSE(CONTROL!$C$9, $D$9, 100%, $F$9) + CHOOSE(CONTROL!$C$27, 0.0021, 0)</f>
        <v>127.2193</v>
      </c>
      <c r="I840" s="14">
        <f>127.2172 * CHOOSE(CONTROL!$C$9, $D$9, 100%, $F$9) + CHOOSE(CONTROL!$C$27, 0.0021, 0)</f>
        <v>127.2193</v>
      </c>
      <c r="J840" s="14">
        <f>127.2172 * CHOOSE(CONTROL!$C$9, $D$9, 100%, $F$9) + CHOOSE(CONTROL!$C$27, 0.0021, 0)</f>
        <v>127.2193</v>
      </c>
      <c r="K840" s="14">
        <f>127.2172 * CHOOSE(CONTROL!$C$9, $D$9, 100%, $F$9) + CHOOSE(CONTROL!$C$27, 0.0021, 0)</f>
        <v>127.2193</v>
      </c>
      <c r="L840" s="14"/>
    </row>
    <row r="841" spans="1:12" ht="15.75" x14ac:dyDescent="0.25">
      <c r="A841" s="32">
        <v>66535</v>
      </c>
      <c r="B841" s="14">
        <f>127.301 * CHOOSE(CONTROL!$C$9, $D$9, 100%, $F$9) + CHOOSE(CONTROL!$C$27, 0.0021, 0)</f>
        <v>127.3031</v>
      </c>
      <c r="C841" s="14">
        <f>126.8688 * CHOOSE(CONTROL!$C$9, $D$9, 100%, $F$9) + CHOOSE(CONTROL!$C$27, 0.0021, 0)</f>
        <v>126.87089999999999</v>
      </c>
      <c r="D841" s="14">
        <f>126.8688 * CHOOSE(CONTROL!$C$9, $D$9, 100%, $F$9) + CHOOSE(CONTROL!$C$27, 0.0021, 0)</f>
        <v>126.87089999999999</v>
      </c>
      <c r="E841" s="14">
        <f>126.7321 * CHOOSE(CONTROL!$C$9, $D$9, 100%, $F$9) + CHOOSE(CONTROL!$C$27, 0.0021, 0)</f>
        <v>126.7342</v>
      </c>
      <c r="F841" s="14">
        <f>126.7321 * CHOOSE(CONTROL!$C$9, $D$9, 100%, $F$9) + CHOOSE(CONTROL!$C$27, 0.0021, 0)</f>
        <v>126.7342</v>
      </c>
      <c r="G841" s="14">
        <f>127.0035 * CHOOSE(CONTROL!$C$9, $D$9, 100%, $F$9) + CHOOSE(CONTROL!$C$27, 0.0021, 0)</f>
        <v>127.0056</v>
      </c>
      <c r="H841" s="14">
        <f>126.8688 * CHOOSE(CONTROL!$C$9, $D$9, 100%, $F$9) + CHOOSE(CONTROL!$C$27, 0.0021, 0)</f>
        <v>126.87089999999999</v>
      </c>
      <c r="I841" s="14">
        <f>126.8688 * CHOOSE(CONTROL!$C$9, $D$9, 100%, $F$9) + CHOOSE(CONTROL!$C$27, 0.0021, 0)</f>
        <v>126.87089999999999</v>
      </c>
      <c r="J841" s="14">
        <f>126.8688 * CHOOSE(CONTROL!$C$9, $D$9, 100%, $F$9) + CHOOSE(CONTROL!$C$27, 0.0021, 0)</f>
        <v>126.87089999999999</v>
      </c>
      <c r="K841" s="14">
        <f>126.8688 * CHOOSE(CONTROL!$C$9, $D$9, 100%, $F$9) + CHOOSE(CONTROL!$C$27, 0.0021, 0)</f>
        <v>126.87089999999999</v>
      </c>
      <c r="L841" s="14"/>
    </row>
    <row r="842" spans="1:12" ht="15.75" x14ac:dyDescent="0.25">
      <c r="A842" s="32">
        <v>66566</v>
      </c>
      <c r="B842" s="14">
        <f>133.8897 * CHOOSE(CONTROL!$C$9, $D$9, 100%, $F$9) + CHOOSE(CONTROL!$C$27, 0.0021, 0)</f>
        <v>133.89180000000002</v>
      </c>
      <c r="C842" s="14">
        <f>133.4575 * CHOOSE(CONTROL!$C$9, $D$9, 100%, $F$9) + CHOOSE(CONTROL!$C$27, 0.0021, 0)</f>
        <v>133.45960000000002</v>
      </c>
      <c r="D842" s="14">
        <f>133.4575 * CHOOSE(CONTROL!$C$9, $D$9, 100%, $F$9) + CHOOSE(CONTROL!$C$27, 0.0021, 0)</f>
        <v>133.45960000000002</v>
      </c>
      <c r="E842" s="14">
        <f>133.3208 * CHOOSE(CONTROL!$C$9, $D$9, 100%, $F$9) + CHOOSE(CONTROL!$C$27, 0.0021, 0)</f>
        <v>133.3229</v>
      </c>
      <c r="F842" s="14">
        <f>133.3208 * CHOOSE(CONTROL!$C$9, $D$9, 100%, $F$9) + CHOOSE(CONTROL!$C$27, 0.0021, 0)</f>
        <v>133.3229</v>
      </c>
      <c r="G842" s="14">
        <f>133.5922 * CHOOSE(CONTROL!$C$9, $D$9, 100%, $F$9) + CHOOSE(CONTROL!$C$27, 0.0021, 0)</f>
        <v>133.5943</v>
      </c>
      <c r="H842" s="14">
        <f>133.4575 * CHOOSE(CONTROL!$C$9, $D$9, 100%, $F$9) + CHOOSE(CONTROL!$C$27, 0.0021, 0)</f>
        <v>133.45960000000002</v>
      </c>
      <c r="I842" s="14">
        <f>133.4575 * CHOOSE(CONTROL!$C$9, $D$9, 100%, $F$9) + CHOOSE(CONTROL!$C$27, 0.0021, 0)</f>
        <v>133.45960000000002</v>
      </c>
      <c r="J842" s="14">
        <f>133.4575 * CHOOSE(CONTROL!$C$9, $D$9, 100%, $F$9) + CHOOSE(CONTROL!$C$27, 0.0021, 0)</f>
        <v>133.45960000000002</v>
      </c>
      <c r="K842" s="14">
        <f>133.4575 * CHOOSE(CONTROL!$C$9, $D$9, 100%, $F$9) + CHOOSE(CONTROL!$C$27, 0.0021, 0)</f>
        <v>133.45960000000002</v>
      </c>
      <c r="L842" s="14"/>
    </row>
    <row r="843" spans="1:12" ht="15.75" x14ac:dyDescent="0.25">
      <c r="A843" s="32">
        <v>66596</v>
      </c>
      <c r="B843" s="14">
        <f>142.4337 * CHOOSE(CONTROL!$C$9, $D$9, 100%, $F$9) + CHOOSE(CONTROL!$C$27, 0.0021, 0)</f>
        <v>142.4358</v>
      </c>
      <c r="C843" s="14">
        <f>142.0014 * CHOOSE(CONTROL!$C$9, $D$9, 100%, $F$9) + CHOOSE(CONTROL!$C$27, 0.0021, 0)</f>
        <v>142.0035</v>
      </c>
      <c r="D843" s="14">
        <f>142.0014 * CHOOSE(CONTROL!$C$9, $D$9, 100%, $F$9) + CHOOSE(CONTROL!$C$27, 0.0021, 0)</f>
        <v>142.0035</v>
      </c>
      <c r="E843" s="14">
        <f>141.8647 * CHOOSE(CONTROL!$C$9, $D$9, 100%, $F$9) + CHOOSE(CONTROL!$C$27, 0.0021, 0)</f>
        <v>141.86680000000001</v>
      </c>
      <c r="F843" s="14">
        <f>141.8647 * CHOOSE(CONTROL!$C$9, $D$9, 100%, $F$9) + CHOOSE(CONTROL!$C$27, 0.0021, 0)</f>
        <v>141.86680000000001</v>
      </c>
      <c r="G843" s="14">
        <f>142.1361 * CHOOSE(CONTROL!$C$9, $D$9, 100%, $F$9) + CHOOSE(CONTROL!$C$27, 0.0021, 0)</f>
        <v>142.13820000000001</v>
      </c>
      <c r="H843" s="14">
        <f>142.0014 * CHOOSE(CONTROL!$C$9, $D$9, 100%, $F$9) + CHOOSE(CONTROL!$C$27, 0.0021, 0)</f>
        <v>142.0035</v>
      </c>
      <c r="I843" s="14">
        <f>142.0014 * CHOOSE(CONTROL!$C$9, $D$9, 100%, $F$9) + CHOOSE(CONTROL!$C$27, 0.0021, 0)</f>
        <v>142.0035</v>
      </c>
      <c r="J843" s="14">
        <f>142.0014 * CHOOSE(CONTROL!$C$9, $D$9, 100%, $F$9) + CHOOSE(CONTROL!$C$27, 0.0021, 0)</f>
        <v>142.0035</v>
      </c>
      <c r="K843" s="14">
        <f>142.0014 * CHOOSE(CONTROL!$C$9, $D$9, 100%, $F$9) + CHOOSE(CONTROL!$C$27, 0.0021, 0)</f>
        <v>142.0035</v>
      </c>
      <c r="L843" s="14"/>
    </row>
    <row r="844" spans="1:12" ht="15.75" x14ac:dyDescent="0.25">
      <c r="A844" s="32">
        <v>66627</v>
      </c>
      <c r="B844" s="14">
        <f>147.1365 * CHOOSE(CONTROL!$C$9, $D$9, 100%, $F$9) + CHOOSE(CONTROL!$C$27, 0.0021, 0)</f>
        <v>147.13860000000003</v>
      </c>
      <c r="C844" s="14">
        <f>146.7043 * CHOOSE(CONTROL!$C$9, $D$9, 100%, $F$9) + CHOOSE(CONTROL!$C$27, 0.0021, 0)</f>
        <v>146.7064</v>
      </c>
      <c r="D844" s="14">
        <f>146.7043 * CHOOSE(CONTROL!$C$9, $D$9, 100%, $F$9) + CHOOSE(CONTROL!$C$27, 0.0021, 0)</f>
        <v>146.7064</v>
      </c>
      <c r="E844" s="14">
        <f>146.5676 * CHOOSE(CONTROL!$C$9, $D$9, 100%, $F$9) + CHOOSE(CONTROL!$C$27, 0.0021, 0)</f>
        <v>146.56970000000001</v>
      </c>
      <c r="F844" s="14">
        <f>146.5676 * CHOOSE(CONTROL!$C$9, $D$9, 100%, $F$9) + CHOOSE(CONTROL!$C$27, 0.0021, 0)</f>
        <v>146.56970000000001</v>
      </c>
      <c r="G844" s="14">
        <f>146.839 * CHOOSE(CONTROL!$C$9, $D$9, 100%, $F$9) + CHOOSE(CONTROL!$C$27, 0.0021, 0)</f>
        <v>146.84110000000001</v>
      </c>
      <c r="H844" s="14">
        <f>146.7043 * CHOOSE(CONTROL!$C$9, $D$9, 100%, $F$9) + CHOOSE(CONTROL!$C$27, 0.0021, 0)</f>
        <v>146.7064</v>
      </c>
      <c r="I844" s="14">
        <f>146.7043 * CHOOSE(CONTROL!$C$9, $D$9, 100%, $F$9) + CHOOSE(CONTROL!$C$27, 0.0021, 0)</f>
        <v>146.7064</v>
      </c>
      <c r="J844" s="14">
        <f>146.7043 * CHOOSE(CONTROL!$C$9, $D$9, 100%, $F$9) + CHOOSE(CONTROL!$C$27, 0.0021, 0)</f>
        <v>146.7064</v>
      </c>
      <c r="K844" s="14">
        <f>146.7043 * CHOOSE(CONTROL!$C$9, $D$9, 100%, $F$9) + CHOOSE(CONTROL!$C$27, 0.0021, 0)</f>
        <v>146.7064</v>
      </c>
      <c r="L844" s="14"/>
    </row>
    <row r="845" spans="1:12" ht="15.75" x14ac:dyDescent="0.25">
      <c r="A845" s="32">
        <v>66657</v>
      </c>
      <c r="B845" s="14">
        <f>149.2236 * CHOOSE(CONTROL!$C$9, $D$9, 100%, $F$9) + CHOOSE(CONTROL!$C$27, 0.0021, 0)</f>
        <v>149.22570000000002</v>
      </c>
      <c r="C845" s="14">
        <f>148.7913 * CHOOSE(CONTROL!$C$9, $D$9, 100%, $F$9) + CHOOSE(CONTROL!$C$27, 0.0021, 0)</f>
        <v>148.79340000000002</v>
      </c>
      <c r="D845" s="14">
        <f>148.7913 * CHOOSE(CONTROL!$C$9, $D$9, 100%, $F$9) + CHOOSE(CONTROL!$C$27, 0.0021, 0)</f>
        <v>148.79340000000002</v>
      </c>
      <c r="E845" s="14">
        <f>148.6547 * CHOOSE(CONTROL!$C$9, $D$9, 100%, $F$9) + CHOOSE(CONTROL!$C$27, 0.0021, 0)</f>
        <v>148.6568</v>
      </c>
      <c r="F845" s="14">
        <f>148.6547 * CHOOSE(CONTROL!$C$9, $D$9, 100%, $F$9) + CHOOSE(CONTROL!$C$27, 0.0021, 0)</f>
        <v>148.6568</v>
      </c>
      <c r="G845" s="14">
        <f>148.926 * CHOOSE(CONTROL!$C$9, $D$9, 100%, $F$9) + CHOOSE(CONTROL!$C$27, 0.0021, 0)</f>
        <v>148.9281</v>
      </c>
      <c r="H845" s="14">
        <f>148.7913 * CHOOSE(CONTROL!$C$9, $D$9, 100%, $F$9) + CHOOSE(CONTROL!$C$27, 0.0021, 0)</f>
        <v>148.79340000000002</v>
      </c>
      <c r="I845" s="14">
        <f>148.7913 * CHOOSE(CONTROL!$C$9, $D$9, 100%, $F$9) + CHOOSE(CONTROL!$C$27, 0.0021, 0)</f>
        <v>148.79340000000002</v>
      </c>
      <c r="J845" s="14">
        <f>148.7913 * CHOOSE(CONTROL!$C$9, $D$9, 100%, $F$9) + CHOOSE(CONTROL!$C$27, 0.0021, 0)</f>
        <v>148.79340000000002</v>
      </c>
      <c r="K845" s="14">
        <f>148.7913 * CHOOSE(CONTROL!$C$9, $D$9, 100%, $F$9) + CHOOSE(CONTROL!$C$27, 0.0021, 0)</f>
        <v>148.79340000000002</v>
      </c>
      <c r="L845" s="14"/>
    </row>
    <row r="846" spans="1:12" ht="15.75" x14ac:dyDescent="0.25">
      <c r="A846" s="32">
        <v>66688</v>
      </c>
      <c r="B846" s="14">
        <f>148.5364 * CHOOSE(CONTROL!$C$9, $D$9, 100%, $F$9) + CHOOSE(CONTROL!$C$27, 0.0021, 0)</f>
        <v>148.5385</v>
      </c>
      <c r="C846" s="14">
        <f>148.1042 * CHOOSE(CONTROL!$C$9, $D$9, 100%, $F$9) + CHOOSE(CONTROL!$C$27, 0.0021, 0)</f>
        <v>148.1063</v>
      </c>
      <c r="D846" s="14">
        <f>148.1042 * CHOOSE(CONTROL!$C$9, $D$9, 100%, $F$9) + CHOOSE(CONTROL!$C$27, 0.0021, 0)</f>
        <v>148.1063</v>
      </c>
      <c r="E846" s="14">
        <f>147.9675 * CHOOSE(CONTROL!$C$9, $D$9, 100%, $F$9) + CHOOSE(CONTROL!$C$27, 0.0021, 0)</f>
        <v>147.96960000000001</v>
      </c>
      <c r="F846" s="14">
        <f>147.9675 * CHOOSE(CONTROL!$C$9, $D$9, 100%, $F$9) + CHOOSE(CONTROL!$C$27, 0.0021, 0)</f>
        <v>147.96960000000001</v>
      </c>
      <c r="G846" s="14">
        <f>148.2389 * CHOOSE(CONTROL!$C$9, $D$9, 100%, $F$9) + CHOOSE(CONTROL!$C$27, 0.0021, 0)</f>
        <v>148.24100000000001</v>
      </c>
      <c r="H846" s="14">
        <f>148.1042 * CHOOSE(CONTROL!$C$9, $D$9, 100%, $F$9) + CHOOSE(CONTROL!$C$27, 0.0021, 0)</f>
        <v>148.1063</v>
      </c>
      <c r="I846" s="14">
        <f>148.1042 * CHOOSE(CONTROL!$C$9, $D$9, 100%, $F$9) + CHOOSE(CONTROL!$C$27, 0.0021, 0)</f>
        <v>148.1063</v>
      </c>
      <c r="J846" s="14">
        <f>148.1042 * CHOOSE(CONTROL!$C$9, $D$9, 100%, $F$9) + CHOOSE(CONTROL!$C$27, 0.0021, 0)</f>
        <v>148.1063</v>
      </c>
      <c r="K846" s="14">
        <f>148.1042 * CHOOSE(CONTROL!$C$9, $D$9, 100%, $F$9) + CHOOSE(CONTROL!$C$27, 0.0021, 0)</f>
        <v>148.1063</v>
      </c>
      <c r="L846" s="14"/>
    </row>
    <row r="847" spans="1:12" ht="15.75" x14ac:dyDescent="0.25">
      <c r="A847" s="32">
        <v>66719</v>
      </c>
      <c r="B847" s="14">
        <f>145.1319 * CHOOSE(CONTROL!$C$9, $D$9, 100%, $F$9) + CHOOSE(CONTROL!$C$27, 0.0021, 0)</f>
        <v>145.13400000000001</v>
      </c>
      <c r="C847" s="14">
        <f>144.6997 * CHOOSE(CONTROL!$C$9, $D$9, 100%, $F$9) + CHOOSE(CONTROL!$C$27, 0.0021, 0)</f>
        <v>144.70180000000002</v>
      </c>
      <c r="D847" s="14">
        <f>144.6997 * CHOOSE(CONTROL!$C$9, $D$9, 100%, $F$9) + CHOOSE(CONTROL!$C$27, 0.0021, 0)</f>
        <v>144.70180000000002</v>
      </c>
      <c r="E847" s="14">
        <f>144.563 * CHOOSE(CONTROL!$C$9, $D$9, 100%, $F$9) + CHOOSE(CONTROL!$C$27, 0.0021, 0)</f>
        <v>144.5651</v>
      </c>
      <c r="F847" s="14">
        <f>144.563 * CHOOSE(CONTROL!$C$9, $D$9, 100%, $F$9) + CHOOSE(CONTROL!$C$27, 0.0021, 0)</f>
        <v>144.5651</v>
      </c>
      <c r="G847" s="14">
        <f>144.8344 * CHOOSE(CONTROL!$C$9, $D$9, 100%, $F$9) + CHOOSE(CONTROL!$C$27, 0.0021, 0)</f>
        <v>144.8365</v>
      </c>
      <c r="H847" s="14">
        <f>144.6997 * CHOOSE(CONTROL!$C$9, $D$9, 100%, $F$9) + CHOOSE(CONTROL!$C$27, 0.0021, 0)</f>
        <v>144.70180000000002</v>
      </c>
      <c r="I847" s="14">
        <f>144.6997 * CHOOSE(CONTROL!$C$9, $D$9, 100%, $F$9) + CHOOSE(CONTROL!$C$27, 0.0021, 0)</f>
        <v>144.70180000000002</v>
      </c>
      <c r="J847" s="14">
        <f>144.6997 * CHOOSE(CONTROL!$C$9, $D$9, 100%, $F$9) + CHOOSE(CONTROL!$C$27, 0.0021, 0)</f>
        <v>144.70180000000002</v>
      </c>
      <c r="K847" s="14">
        <f>144.6997 * CHOOSE(CONTROL!$C$9, $D$9, 100%, $F$9) + CHOOSE(CONTROL!$C$27, 0.0021, 0)</f>
        <v>144.70180000000002</v>
      </c>
      <c r="L847" s="14"/>
    </row>
    <row r="848" spans="1:12" ht="15.75" x14ac:dyDescent="0.25">
      <c r="A848" s="32">
        <v>66749</v>
      </c>
      <c r="B848" s="14">
        <f>140.3842 * CHOOSE(CONTROL!$C$9, $D$9, 100%, $F$9) + CHOOSE(CONTROL!$C$27, 0.0021, 0)</f>
        <v>140.38630000000001</v>
      </c>
      <c r="C848" s="14">
        <f>139.9519 * CHOOSE(CONTROL!$C$9, $D$9, 100%, $F$9) + CHOOSE(CONTROL!$C$27, 0.0021, 0)</f>
        <v>139.95400000000001</v>
      </c>
      <c r="D848" s="14">
        <f>139.9519 * CHOOSE(CONTROL!$C$9, $D$9, 100%, $F$9) + CHOOSE(CONTROL!$C$27, 0.0021, 0)</f>
        <v>139.95400000000001</v>
      </c>
      <c r="E848" s="14">
        <f>139.8153 * CHOOSE(CONTROL!$C$9, $D$9, 100%, $F$9) + CHOOSE(CONTROL!$C$27, 0.0021, 0)</f>
        <v>139.81740000000002</v>
      </c>
      <c r="F848" s="14">
        <f>139.8153 * CHOOSE(CONTROL!$C$9, $D$9, 100%, $F$9) + CHOOSE(CONTROL!$C$27, 0.0021, 0)</f>
        <v>139.81740000000002</v>
      </c>
      <c r="G848" s="14">
        <f>140.0866 * CHOOSE(CONTROL!$C$9, $D$9, 100%, $F$9) + CHOOSE(CONTROL!$C$27, 0.0021, 0)</f>
        <v>140.08870000000002</v>
      </c>
      <c r="H848" s="14">
        <f>139.9519 * CHOOSE(CONTROL!$C$9, $D$9, 100%, $F$9) + CHOOSE(CONTROL!$C$27, 0.0021, 0)</f>
        <v>139.95400000000001</v>
      </c>
      <c r="I848" s="14">
        <f>139.9519 * CHOOSE(CONTROL!$C$9, $D$9, 100%, $F$9) + CHOOSE(CONTROL!$C$27, 0.0021, 0)</f>
        <v>139.95400000000001</v>
      </c>
      <c r="J848" s="14">
        <f>139.9519 * CHOOSE(CONTROL!$C$9, $D$9, 100%, $F$9) + CHOOSE(CONTROL!$C$27, 0.0021, 0)</f>
        <v>139.95400000000001</v>
      </c>
      <c r="K848" s="14">
        <f>139.9519 * CHOOSE(CONTROL!$C$9, $D$9, 100%, $F$9) + CHOOSE(CONTROL!$C$27, 0.0021, 0)</f>
        <v>139.95400000000001</v>
      </c>
      <c r="L848" s="14"/>
    </row>
    <row r="849" spans="1:12" ht="15.75" x14ac:dyDescent="0.25">
      <c r="A849" s="32">
        <v>66780</v>
      </c>
      <c r="B849" s="14">
        <f>135.6088 * CHOOSE(CONTROL!$C$9, $D$9, 100%, $F$9) + CHOOSE(CONTROL!$C$27, 0.0021, 0)</f>
        <v>135.61090000000002</v>
      </c>
      <c r="C849" s="14">
        <f>135.1766 * CHOOSE(CONTROL!$C$9, $D$9, 100%, $F$9) + CHOOSE(CONTROL!$C$27, 0.0021, 0)</f>
        <v>135.17870000000002</v>
      </c>
      <c r="D849" s="14">
        <f>135.1766 * CHOOSE(CONTROL!$C$9, $D$9, 100%, $F$9) + CHOOSE(CONTROL!$C$27, 0.0021, 0)</f>
        <v>135.17870000000002</v>
      </c>
      <c r="E849" s="14">
        <f>135.0399 * CHOOSE(CONTROL!$C$9, $D$9, 100%, $F$9) + CHOOSE(CONTROL!$C$27, 0.0021, 0)</f>
        <v>135.042</v>
      </c>
      <c r="F849" s="14">
        <f>135.0399 * CHOOSE(CONTROL!$C$9, $D$9, 100%, $F$9) + CHOOSE(CONTROL!$C$27, 0.0021, 0)</f>
        <v>135.042</v>
      </c>
      <c r="G849" s="14">
        <f>135.3113 * CHOOSE(CONTROL!$C$9, $D$9, 100%, $F$9) + CHOOSE(CONTROL!$C$27, 0.0021, 0)</f>
        <v>135.3134</v>
      </c>
      <c r="H849" s="14">
        <f>135.1766 * CHOOSE(CONTROL!$C$9, $D$9, 100%, $F$9) + CHOOSE(CONTROL!$C$27, 0.0021, 0)</f>
        <v>135.17870000000002</v>
      </c>
      <c r="I849" s="14">
        <f>135.1766 * CHOOSE(CONTROL!$C$9, $D$9, 100%, $F$9) + CHOOSE(CONTROL!$C$27, 0.0021, 0)</f>
        <v>135.17870000000002</v>
      </c>
      <c r="J849" s="14">
        <f>135.1766 * CHOOSE(CONTROL!$C$9, $D$9, 100%, $F$9) + CHOOSE(CONTROL!$C$27, 0.0021, 0)</f>
        <v>135.17870000000002</v>
      </c>
      <c r="K849" s="14">
        <f>135.1766 * CHOOSE(CONTROL!$C$9, $D$9, 100%, $F$9) + CHOOSE(CONTROL!$C$27, 0.0021, 0)</f>
        <v>135.17870000000002</v>
      </c>
      <c r="L849" s="14"/>
    </row>
    <row r="850" spans="1:12" ht="15.75" x14ac:dyDescent="0.25">
      <c r="A850" s="32">
        <v>66810</v>
      </c>
      <c r="B850" s="14">
        <f>134.6589 * CHOOSE(CONTROL!$C$9, $D$9, 100%, $F$9) + CHOOSE(CONTROL!$C$27, 0.0021, 0)</f>
        <v>134.661</v>
      </c>
      <c r="C850" s="14">
        <f>134.2267 * CHOOSE(CONTROL!$C$9, $D$9, 100%, $F$9) + CHOOSE(CONTROL!$C$27, 0.0021, 0)</f>
        <v>134.22880000000001</v>
      </c>
      <c r="D850" s="14">
        <f>134.2267 * CHOOSE(CONTROL!$C$9, $D$9, 100%, $F$9) + CHOOSE(CONTROL!$C$27, 0.0021, 0)</f>
        <v>134.22880000000001</v>
      </c>
      <c r="E850" s="14">
        <f>134.09 * CHOOSE(CONTROL!$C$9, $D$9, 100%, $F$9) + CHOOSE(CONTROL!$C$27, 0.0021, 0)</f>
        <v>134.09210000000002</v>
      </c>
      <c r="F850" s="14">
        <f>134.09 * CHOOSE(CONTROL!$C$9, $D$9, 100%, $F$9) + CHOOSE(CONTROL!$C$27, 0.0021, 0)</f>
        <v>134.09210000000002</v>
      </c>
      <c r="G850" s="14">
        <f>134.3614 * CHOOSE(CONTROL!$C$9, $D$9, 100%, $F$9) + CHOOSE(CONTROL!$C$27, 0.0021, 0)</f>
        <v>134.36350000000002</v>
      </c>
      <c r="H850" s="14">
        <f>134.2267 * CHOOSE(CONTROL!$C$9, $D$9, 100%, $F$9) + CHOOSE(CONTROL!$C$27, 0.0021, 0)</f>
        <v>134.22880000000001</v>
      </c>
      <c r="I850" s="14">
        <f>134.2267 * CHOOSE(CONTROL!$C$9, $D$9, 100%, $F$9) + CHOOSE(CONTROL!$C$27, 0.0021, 0)</f>
        <v>134.22880000000001</v>
      </c>
      <c r="J850" s="14">
        <f>134.2267 * CHOOSE(CONTROL!$C$9, $D$9, 100%, $F$9) + CHOOSE(CONTROL!$C$27, 0.0021, 0)</f>
        <v>134.22880000000001</v>
      </c>
      <c r="K850" s="14">
        <f>134.2267 * CHOOSE(CONTROL!$C$9, $D$9, 100%, $F$9) + CHOOSE(CONTROL!$C$27, 0.0021, 0)</f>
        <v>134.22880000000001</v>
      </c>
      <c r="L850" s="14"/>
    </row>
    <row r="851" spans="1:12" ht="15.75" x14ac:dyDescent="0.25">
      <c r="A851" s="32">
        <v>66841</v>
      </c>
      <c r="B851" s="14">
        <f>130.7309 * CHOOSE(CONTROL!$C$9, $D$9, 100%, $F$9) + CHOOSE(CONTROL!$C$27, 0.0021, 0)</f>
        <v>130.733</v>
      </c>
      <c r="C851" s="14">
        <f>130.2987 * CHOOSE(CONTROL!$C$9, $D$9, 100%, $F$9) + CHOOSE(CONTROL!$C$27, 0.0021, 0)</f>
        <v>130.30080000000001</v>
      </c>
      <c r="D851" s="14">
        <f>130.2987 * CHOOSE(CONTROL!$C$9, $D$9, 100%, $F$9) + CHOOSE(CONTROL!$C$27, 0.0021, 0)</f>
        <v>130.30080000000001</v>
      </c>
      <c r="E851" s="14">
        <f>130.162 * CHOOSE(CONTROL!$C$9, $D$9, 100%, $F$9) + CHOOSE(CONTROL!$C$27, 0.0021, 0)</f>
        <v>130.16410000000002</v>
      </c>
      <c r="F851" s="14">
        <f>130.162 * CHOOSE(CONTROL!$C$9, $D$9, 100%, $F$9) + CHOOSE(CONTROL!$C$27, 0.0021, 0)</f>
        <v>130.16410000000002</v>
      </c>
      <c r="G851" s="14">
        <f>130.4334 * CHOOSE(CONTROL!$C$9, $D$9, 100%, $F$9) + CHOOSE(CONTROL!$C$27, 0.0021, 0)</f>
        <v>130.43550000000002</v>
      </c>
      <c r="H851" s="14">
        <f>130.2987 * CHOOSE(CONTROL!$C$9, $D$9, 100%, $F$9) + CHOOSE(CONTROL!$C$27, 0.0021, 0)</f>
        <v>130.30080000000001</v>
      </c>
      <c r="I851" s="14">
        <f>130.2987 * CHOOSE(CONTROL!$C$9, $D$9, 100%, $F$9) + CHOOSE(CONTROL!$C$27, 0.0021, 0)</f>
        <v>130.30080000000001</v>
      </c>
      <c r="J851" s="14">
        <f>130.2987 * CHOOSE(CONTROL!$C$9, $D$9, 100%, $F$9) + CHOOSE(CONTROL!$C$27, 0.0021, 0)</f>
        <v>130.30080000000001</v>
      </c>
      <c r="K851" s="14">
        <f>130.2987 * CHOOSE(CONTROL!$C$9, $D$9, 100%, $F$9) + CHOOSE(CONTROL!$C$27, 0.0021, 0)</f>
        <v>130.30080000000001</v>
      </c>
      <c r="L851" s="14"/>
    </row>
    <row r="852" spans="1:12" ht="15.75" x14ac:dyDescent="0.25">
      <c r="A852" s="32">
        <v>66872</v>
      </c>
      <c r="B852" s="14">
        <f>129.9662 * CHOOSE(CONTROL!$C$9, $D$9, 100%, $F$9) + CHOOSE(CONTROL!$C$27, 0.0021, 0)</f>
        <v>129.9683</v>
      </c>
      <c r="C852" s="14">
        <f>129.5339 * CHOOSE(CONTROL!$C$9, $D$9, 100%, $F$9) + CHOOSE(CONTROL!$C$27, 0.0021, 0)</f>
        <v>129.536</v>
      </c>
      <c r="D852" s="14">
        <f>129.5339 * CHOOSE(CONTROL!$C$9, $D$9, 100%, $F$9) + CHOOSE(CONTROL!$C$27, 0.0021, 0)</f>
        <v>129.536</v>
      </c>
      <c r="E852" s="14">
        <f>129.3973 * CHOOSE(CONTROL!$C$9, $D$9, 100%, $F$9) + CHOOSE(CONTROL!$C$27, 0.0021, 0)</f>
        <v>129.39940000000001</v>
      </c>
      <c r="F852" s="14">
        <f>129.3973 * CHOOSE(CONTROL!$C$9, $D$9, 100%, $F$9) + CHOOSE(CONTROL!$C$27, 0.0021, 0)</f>
        <v>129.39940000000001</v>
      </c>
      <c r="G852" s="14">
        <f>129.6686 * CHOOSE(CONTROL!$C$9, $D$9, 100%, $F$9) + CHOOSE(CONTROL!$C$27, 0.0021, 0)</f>
        <v>129.67070000000001</v>
      </c>
      <c r="H852" s="14">
        <f>129.5339 * CHOOSE(CONTROL!$C$9, $D$9, 100%, $F$9) + CHOOSE(CONTROL!$C$27, 0.0021, 0)</f>
        <v>129.536</v>
      </c>
      <c r="I852" s="14">
        <f>129.5339 * CHOOSE(CONTROL!$C$9, $D$9, 100%, $F$9) + CHOOSE(CONTROL!$C$27, 0.0021, 0)</f>
        <v>129.536</v>
      </c>
      <c r="J852" s="14">
        <f>129.5339 * CHOOSE(CONTROL!$C$9, $D$9, 100%, $F$9) + CHOOSE(CONTROL!$C$27, 0.0021, 0)</f>
        <v>129.536</v>
      </c>
      <c r="K852" s="14">
        <f>129.5339 * CHOOSE(CONTROL!$C$9, $D$9, 100%, $F$9) + CHOOSE(CONTROL!$C$27, 0.0021, 0)</f>
        <v>129.536</v>
      </c>
      <c r="L852" s="14"/>
    </row>
    <row r="853" spans="1:12" ht="15.75" x14ac:dyDescent="0.25">
      <c r="A853" s="32">
        <v>66900</v>
      </c>
      <c r="B853" s="14">
        <f>129.6113 * CHOOSE(CONTROL!$C$9, $D$9, 100%, $F$9) + CHOOSE(CONTROL!$C$27, 0.0021, 0)</f>
        <v>129.61340000000001</v>
      </c>
      <c r="C853" s="14">
        <f>129.179 * CHOOSE(CONTROL!$C$9, $D$9, 100%, $F$9) + CHOOSE(CONTROL!$C$27, 0.0021, 0)</f>
        <v>129.18110000000001</v>
      </c>
      <c r="D853" s="14">
        <f>129.179 * CHOOSE(CONTROL!$C$9, $D$9, 100%, $F$9) + CHOOSE(CONTROL!$C$27, 0.0021, 0)</f>
        <v>129.18110000000001</v>
      </c>
      <c r="E853" s="14">
        <f>129.0424 * CHOOSE(CONTROL!$C$9, $D$9, 100%, $F$9) + CHOOSE(CONTROL!$C$27, 0.0021, 0)</f>
        <v>129.0445</v>
      </c>
      <c r="F853" s="14">
        <f>129.0424 * CHOOSE(CONTROL!$C$9, $D$9, 100%, $F$9) + CHOOSE(CONTROL!$C$27, 0.0021, 0)</f>
        <v>129.0445</v>
      </c>
      <c r="G853" s="14">
        <f>129.3138 * CHOOSE(CONTROL!$C$9, $D$9, 100%, $F$9) + CHOOSE(CONTROL!$C$27, 0.0021, 0)</f>
        <v>129.3159</v>
      </c>
      <c r="H853" s="14">
        <f>129.179 * CHOOSE(CONTROL!$C$9, $D$9, 100%, $F$9) + CHOOSE(CONTROL!$C$27, 0.0021, 0)</f>
        <v>129.18110000000001</v>
      </c>
      <c r="I853" s="14">
        <f>129.179 * CHOOSE(CONTROL!$C$9, $D$9, 100%, $F$9) + CHOOSE(CONTROL!$C$27, 0.0021, 0)</f>
        <v>129.18110000000001</v>
      </c>
      <c r="J853" s="14">
        <f>129.179 * CHOOSE(CONTROL!$C$9, $D$9, 100%, $F$9) + CHOOSE(CONTROL!$C$27, 0.0021, 0)</f>
        <v>129.18110000000001</v>
      </c>
      <c r="K853" s="14">
        <f>129.179 * CHOOSE(CONTROL!$C$9, $D$9, 100%, $F$9) + CHOOSE(CONTROL!$C$27, 0.0021, 0)</f>
        <v>129.18110000000001</v>
      </c>
      <c r="L853" s="14"/>
    </row>
    <row r="854" spans="1:12" ht="15.75" x14ac:dyDescent="0.25">
      <c r="A854" s="32">
        <v>66931</v>
      </c>
      <c r="B854" s="14">
        <f>136.3217 * CHOOSE(CONTROL!$C$9, $D$9, 100%, $F$9) + CHOOSE(CONTROL!$C$27, 0.0021, 0)</f>
        <v>136.32380000000001</v>
      </c>
      <c r="C854" s="14">
        <f>135.8895 * CHOOSE(CONTROL!$C$9, $D$9, 100%, $F$9) + CHOOSE(CONTROL!$C$27, 0.0021, 0)</f>
        <v>135.89160000000001</v>
      </c>
      <c r="D854" s="14">
        <f>135.8895 * CHOOSE(CONTROL!$C$9, $D$9, 100%, $F$9) + CHOOSE(CONTROL!$C$27, 0.0021, 0)</f>
        <v>135.89160000000001</v>
      </c>
      <c r="E854" s="14">
        <f>135.7528 * CHOOSE(CONTROL!$C$9, $D$9, 100%, $F$9) + CHOOSE(CONTROL!$C$27, 0.0021, 0)</f>
        <v>135.75490000000002</v>
      </c>
      <c r="F854" s="14">
        <f>135.7528 * CHOOSE(CONTROL!$C$9, $D$9, 100%, $F$9) + CHOOSE(CONTROL!$C$27, 0.0021, 0)</f>
        <v>135.75490000000002</v>
      </c>
      <c r="G854" s="14">
        <f>136.0242 * CHOOSE(CONTROL!$C$9, $D$9, 100%, $F$9) + CHOOSE(CONTROL!$C$27, 0.0021, 0)</f>
        <v>136.02630000000002</v>
      </c>
      <c r="H854" s="14">
        <f>135.8895 * CHOOSE(CONTROL!$C$9, $D$9, 100%, $F$9) + CHOOSE(CONTROL!$C$27, 0.0021, 0)</f>
        <v>135.89160000000001</v>
      </c>
      <c r="I854" s="14">
        <f>135.8895 * CHOOSE(CONTROL!$C$9, $D$9, 100%, $F$9) + CHOOSE(CONTROL!$C$27, 0.0021, 0)</f>
        <v>135.89160000000001</v>
      </c>
      <c r="J854" s="14">
        <f>135.8895 * CHOOSE(CONTROL!$C$9, $D$9, 100%, $F$9) + CHOOSE(CONTROL!$C$27, 0.0021, 0)</f>
        <v>135.89160000000001</v>
      </c>
      <c r="K854" s="14">
        <f>135.8895 * CHOOSE(CONTROL!$C$9, $D$9, 100%, $F$9) + CHOOSE(CONTROL!$C$27, 0.0021, 0)</f>
        <v>135.89160000000001</v>
      </c>
      <c r="L854" s="14"/>
    </row>
    <row r="855" spans="1:12" ht="15.75" x14ac:dyDescent="0.25">
      <c r="A855" s="32">
        <v>66961</v>
      </c>
      <c r="B855" s="14">
        <f>145.0236 * CHOOSE(CONTROL!$C$9, $D$9, 100%, $F$9) + CHOOSE(CONTROL!$C$27, 0.0021, 0)</f>
        <v>145.0257</v>
      </c>
      <c r="C855" s="14">
        <f>144.5913 * CHOOSE(CONTROL!$C$9, $D$9, 100%, $F$9) + CHOOSE(CONTROL!$C$27, 0.0021, 0)</f>
        <v>144.5934</v>
      </c>
      <c r="D855" s="14">
        <f>144.5913 * CHOOSE(CONTROL!$C$9, $D$9, 100%, $F$9) + CHOOSE(CONTROL!$C$27, 0.0021, 0)</f>
        <v>144.5934</v>
      </c>
      <c r="E855" s="14">
        <f>144.4547 * CHOOSE(CONTROL!$C$9, $D$9, 100%, $F$9) + CHOOSE(CONTROL!$C$27, 0.0021, 0)</f>
        <v>144.45680000000002</v>
      </c>
      <c r="F855" s="14">
        <f>144.4547 * CHOOSE(CONTROL!$C$9, $D$9, 100%, $F$9) + CHOOSE(CONTROL!$C$27, 0.0021, 0)</f>
        <v>144.45680000000002</v>
      </c>
      <c r="G855" s="14">
        <f>144.726 * CHOOSE(CONTROL!$C$9, $D$9, 100%, $F$9) + CHOOSE(CONTROL!$C$27, 0.0021, 0)</f>
        <v>144.72810000000001</v>
      </c>
      <c r="H855" s="14">
        <f>144.5913 * CHOOSE(CONTROL!$C$9, $D$9, 100%, $F$9) + CHOOSE(CONTROL!$C$27, 0.0021, 0)</f>
        <v>144.5934</v>
      </c>
      <c r="I855" s="14">
        <f>144.5913 * CHOOSE(CONTROL!$C$9, $D$9, 100%, $F$9) + CHOOSE(CONTROL!$C$27, 0.0021, 0)</f>
        <v>144.5934</v>
      </c>
      <c r="J855" s="14">
        <f>144.5913 * CHOOSE(CONTROL!$C$9, $D$9, 100%, $F$9) + CHOOSE(CONTROL!$C$27, 0.0021, 0)</f>
        <v>144.5934</v>
      </c>
      <c r="K855" s="14">
        <f>144.5913 * CHOOSE(CONTROL!$C$9, $D$9, 100%, $F$9) + CHOOSE(CONTROL!$C$27, 0.0021, 0)</f>
        <v>144.5934</v>
      </c>
      <c r="L855" s="14"/>
    </row>
    <row r="856" spans="1:12" ht="15.75" x14ac:dyDescent="0.25">
      <c r="A856" s="32">
        <v>66992</v>
      </c>
      <c r="B856" s="14">
        <f>149.8133 * CHOOSE(CONTROL!$C$9, $D$9, 100%, $F$9) + CHOOSE(CONTROL!$C$27, 0.0021, 0)</f>
        <v>149.81540000000001</v>
      </c>
      <c r="C856" s="14">
        <f>149.3811 * CHOOSE(CONTROL!$C$9, $D$9, 100%, $F$9) + CHOOSE(CONTROL!$C$27, 0.0021, 0)</f>
        <v>149.38320000000002</v>
      </c>
      <c r="D856" s="14">
        <f>149.3811 * CHOOSE(CONTROL!$C$9, $D$9, 100%, $F$9) + CHOOSE(CONTROL!$C$27, 0.0021, 0)</f>
        <v>149.38320000000002</v>
      </c>
      <c r="E856" s="14">
        <f>149.2444 * CHOOSE(CONTROL!$C$9, $D$9, 100%, $F$9) + CHOOSE(CONTROL!$C$27, 0.0021, 0)</f>
        <v>149.24650000000003</v>
      </c>
      <c r="F856" s="14">
        <f>149.2444 * CHOOSE(CONTROL!$C$9, $D$9, 100%, $F$9) + CHOOSE(CONTROL!$C$27, 0.0021, 0)</f>
        <v>149.24650000000003</v>
      </c>
      <c r="G856" s="14">
        <f>149.5158 * CHOOSE(CONTROL!$C$9, $D$9, 100%, $F$9) + CHOOSE(CONTROL!$C$27, 0.0021, 0)</f>
        <v>149.51790000000003</v>
      </c>
      <c r="H856" s="14">
        <f>149.3811 * CHOOSE(CONTROL!$C$9, $D$9, 100%, $F$9) + CHOOSE(CONTROL!$C$27, 0.0021, 0)</f>
        <v>149.38320000000002</v>
      </c>
      <c r="I856" s="14">
        <f>149.3811 * CHOOSE(CONTROL!$C$9, $D$9, 100%, $F$9) + CHOOSE(CONTROL!$C$27, 0.0021, 0)</f>
        <v>149.38320000000002</v>
      </c>
      <c r="J856" s="14">
        <f>149.3811 * CHOOSE(CONTROL!$C$9, $D$9, 100%, $F$9) + CHOOSE(CONTROL!$C$27, 0.0021, 0)</f>
        <v>149.38320000000002</v>
      </c>
      <c r="K856" s="14">
        <f>149.3811 * CHOOSE(CONTROL!$C$9, $D$9, 100%, $F$9) + CHOOSE(CONTROL!$C$27, 0.0021, 0)</f>
        <v>149.38320000000002</v>
      </c>
      <c r="L856" s="14"/>
    </row>
    <row r="857" spans="1:12" ht="15.75" x14ac:dyDescent="0.25">
      <c r="A857" s="32">
        <v>67022</v>
      </c>
      <c r="B857" s="14">
        <f>151.939 * CHOOSE(CONTROL!$C$9, $D$9, 100%, $F$9) + CHOOSE(CONTROL!$C$27, 0.0021, 0)</f>
        <v>151.94110000000001</v>
      </c>
      <c r="C857" s="14">
        <f>151.5067 * CHOOSE(CONTROL!$C$9, $D$9, 100%, $F$9) + CHOOSE(CONTROL!$C$27, 0.0021, 0)</f>
        <v>151.50880000000001</v>
      </c>
      <c r="D857" s="14">
        <f>151.5067 * CHOOSE(CONTROL!$C$9, $D$9, 100%, $F$9) + CHOOSE(CONTROL!$C$27, 0.0021, 0)</f>
        <v>151.50880000000001</v>
      </c>
      <c r="E857" s="14">
        <f>151.3701 * CHOOSE(CONTROL!$C$9, $D$9, 100%, $F$9) + CHOOSE(CONTROL!$C$27, 0.0021, 0)</f>
        <v>151.37220000000002</v>
      </c>
      <c r="F857" s="14">
        <f>151.3701 * CHOOSE(CONTROL!$C$9, $D$9, 100%, $F$9) + CHOOSE(CONTROL!$C$27, 0.0021, 0)</f>
        <v>151.37220000000002</v>
      </c>
      <c r="G857" s="14">
        <f>151.6414 * CHOOSE(CONTROL!$C$9, $D$9, 100%, $F$9) + CHOOSE(CONTROL!$C$27, 0.0021, 0)</f>
        <v>151.64350000000002</v>
      </c>
      <c r="H857" s="14">
        <f>151.5067 * CHOOSE(CONTROL!$C$9, $D$9, 100%, $F$9) + CHOOSE(CONTROL!$C$27, 0.0021, 0)</f>
        <v>151.50880000000001</v>
      </c>
      <c r="I857" s="14">
        <f>151.5067 * CHOOSE(CONTROL!$C$9, $D$9, 100%, $F$9) + CHOOSE(CONTROL!$C$27, 0.0021, 0)</f>
        <v>151.50880000000001</v>
      </c>
      <c r="J857" s="14">
        <f>151.5067 * CHOOSE(CONTROL!$C$9, $D$9, 100%, $F$9) + CHOOSE(CONTROL!$C$27, 0.0021, 0)</f>
        <v>151.50880000000001</v>
      </c>
      <c r="K857" s="14">
        <f>151.5067 * CHOOSE(CONTROL!$C$9, $D$9, 100%, $F$9) + CHOOSE(CONTROL!$C$27, 0.0021, 0)</f>
        <v>151.50880000000001</v>
      </c>
      <c r="L857" s="14"/>
    </row>
    <row r="858" spans="1:12" ht="15.75" x14ac:dyDescent="0.25">
      <c r="A858" s="32">
        <v>67053</v>
      </c>
      <c r="B858" s="14">
        <f>151.2391 * CHOOSE(CONTROL!$C$9, $D$9, 100%, $F$9) + CHOOSE(CONTROL!$C$27, 0.0021, 0)</f>
        <v>151.24120000000002</v>
      </c>
      <c r="C858" s="14">
        <f>150.8069 * CHOOSE(CONTROL!$C$9, $D$9, 100%, $F$9) + CHOOSE(CONTROL!$C$27, 0.0021, 0)</f>
        <v>150.80900000000003</v>
      </c>
      <c r="D858" s="14">
        <f>150.8069 * CHOOSE(CONTROL!$C$9, $D$9, 100%, $F$9) + CHOOSE(CONTROL!$C$27, 0.0021, 0)</f>
        <v>150.80900000000003</v>
      </c>
      <c r="E858" s="14">
        <f>150.6702 * CHOOSE(CONTROL!$C$9, $D$9, 100%, $F$9) + CHOOSE(CONTROL!$C$27, 0.0021, 0)</f>
        <v>150.67230000000001</v>
      </c>
      <c r="F858" s="14">
        <f>150.6702 * CHOOSE(CONTROL!$C$9, $D$9, 100%, $F$9) + CHOOSE(CONTROL!$C$27, 0.0021, 0)</f>
        <v>150.67230000000001</v>
      </c>
      <c r="G858" s="14">
        <f>150.9416 * CHOOSE(CONTROL!$C$9, $D$9, 100%, $F$9) + CHOOSE(CONTROL!$C$27, 0.0021, 0)</f>
        <v>150.94370000000001</v>
      </c>
      <c r="H858" s="14">
        <f>150.8069 * CHOOSE(CONTROL!$C$9, $D$9, 100%, $F$9) + CHOOSE(CONTROL!$C$27, 0.0021, 0)</f>
        <v>150.80900000000003</v>
      </c>
      <c r="I858" s="14">
        <f>150.8069 * CHOOSE(CONTROL!$C$9, $D$9, 100%, $F$9) + CHOOSE(CONTROL!$C$27, 0.0021, 0)</f>
        <v>150.80900000000003</v>
      </c>
      <c r="J858" s="14">
        <f>150.8069 * CHOOSE(CONTROL!$C$9, $D$9, 100%, $F$9) + CHOOSE(CONTROL!$C$27, 0.0021, 0)</f>
        <v>150.80900000000003</v>
      </c>
      <c r="K858" s="14">
        <f>150.8069 * CHOOSE(CONTROL!$C$9, $D$9, 100%, $F$9) + CHOOSE(CONTROL!$C$27, 0.0021, 0)</f>
        <v>150.80900000000003</v>
      </c>
      <c r="L858" s="14"/>
    </row>
    <row r="859" spans="1:12" ht="15.75" x14ac:dyDescent="0.25">
      <c r="A859" s="32">
        <v>67084</v>
      </c>
      <c r="B859" s="14">
        <f>147.7717 * CHOOSE(CONTROL!$C$9, $D$9, 100%, $F$9) + CHOOSE(CONTROL!$C$27, 0.0021, 0)</f>
        <v>147.77380000000002</v>
      </c>
      <c r="C859" s="14">
        <f>147.3394 * CHOOSE(CONTROL!$C$9, $D$9, 100%, $F$9) + CHOOSE(CONTROL!$C$27, 0.0021, 0)</f>
        <v>147.34150000000002</v>
      </c>
      <c r="D859" s="14">
        <f>147.3394 * CHOOSE(CONTROL!$C$9, $D$9, 100%, $F$9) + CHOOSE(CONTROL!$C$27, 0.0021, 0)</f>
        <v>147.34150000000002</v>
      </c>
      <c r="E859" s="14">
        <f>147.2028 * CHOOSE(CONTROL!$C$9, $D$9, 100%, $F$9) + CHOOSE(CONTROL!$C$27, 0.0021, 0)</f>
        <v>147.20490000000001</v>
      </c>
      <c r="F859" s="14">
        <f>147.2028 * CHOOSE(CONTROL!$C$9, $D$9, 100%, $F$9) + CHOOSE(CONTROL!$C$27, 0.0021, 0)</f>
        <v>147.20490000000001</v>
      </c>
      <c r="G859" s="14">
        <f>147.4742 * CHOOSE(CONTROL!$C$9, $D$9, 100%, $F$9) + CHOOSE(CONTROL!$C$27, 0.0021, 0)</f>
        <v>147.47630000000001</v>
      </c>
      <c r="H859" s="14">
        <f>147.3394 * CHOOSE(CONTROL!$C$9, $D$9, 100%, $F$9) + CHOOSE(CONTROL!$C$27, 0.0021, 0)</f>
        <v>147.34150000000002</v>
      </c>
      <c r="I859" s="14">
        <f>147.3394 * CHOOSE(CONTROL!$C$9, $D$9, 100%, $F$9) + CHOOSE(CONTROL!$C$27, 0.0021, 0)</f>
        <v>147.34150000000002</v>
      </c>
      <c r="J859" s="14">
        <f>147.3394 * CHOOSE(CONTROL!$C$9, $D$9, 100%, $F$9) + CHOOSE(CONTROL!$C$27, 0.0021, 0)</f>
        <v>147.34150000000002</v>
      </c>
      <c r="K859" s="14">
        <f>147.3394 * CHOOSE(CONTROL!$C$9, $D$9, 100%, $F$9) + CHOOSE(CONTROL!$C$27, 0.0021, 0)</f>
        <v>147.34150000000002</v>
      </c>
      <c r="L859" s="14"/>
    </row>
    <row r="860" spans="1:12" ht="15.75" x14ac:dyDescent="0.25">
      <c r="A860" s="32">
        <v>67114</v>
      </c>
      <c r="B860" s="14">
        <f>142.9362 * CHOOSE(CONTROL!$C$9, $D$9, 100%, $F$9) + CHOOSE(CONTROL!$C$27, 0.0021, 0)</f>
        <v>142.93830000000003</v>
      </c>
      <c r="C860" s="14">
        <f>142.504 * CHOOSE(CONTROL!$C$9, $D$9, 100%, $F$9) + CHOOSE(CONTROL!$C$27, 0.0021, 0)</f>
        <v>142.5061</v>
      </c>
      <c r="D860" s="14">
        <f>142.504 * CHOOSE(CONTROL!$C$9, $D$9, 100%, $F$9) + CHOOSE(CONTROL!$C$27, 0.0021, 0)</f>
        <v>142.5061</v>
      </c>
      <c r="E860" s="14">
        <f>142.3673 * CHOOSE(CONTROL!$C$9, $D$9, 100%, $F$9) + CHOOSE(CONTROL!$C$27, 0.0021, 0)</f>
        <v>142.36940000000001</v>
      </c>
      <c r="F860" s="14">
        <f>142.3673 * CHOOSE(CONTROL!$C$9, $D$9, 100%, $F$9) + CHOOSE(CONTROL!$C$27, 0.0021, 0)</f>
        <v>142.36940000000001</v>
      </c>
      <c r="G860" s="14">
        <f>142.6387 * CHOOSE(CONTROL!$C$9, $D$9, 100%, $F$9) + CHOOSE(CONTROL!$C$27, 0.0021, 0)</f>
        <v>142.64080000000001</v>
      </c>
      <c r="H860" s="14">
        <f>142.504 * CHOOSE(CONTROL!$C$9, $D$9, 100%, $F$9) + CHOOSE(CONTROL!$C$27, 0.0021, 0)</f>
        <v>142.5061</v>
      </c>
      <c r="I860" s="14">
        <f>142.504 * CHOOSE(CONTROL!$C$9, $D$9, 100%, $F$9) + CHOOSE(CONTROL!$C$27, 0.0021, 0)</f>
        <v>142.5061</v>
      </c>
      <c r="J860" s="14">
        <f>142.504 * CHOOSE(CONTROL!$C$9, $D$9, 100%, $F$9) + CHOOSE(CONTROL!$C$27, 0.0021, 0)</f>
        <v>142.5061</v>
      </c>
      <c r="K860" s="14">
        <f>142.504 * CHOOSE(CONTROL!$C$9, $D$9, 100%, $F$9) + CHOOSE(CONTROL!$C$27, 0.0021, 0)</f>
        <v>142.5061</v>
      </c>
      <c r="L860" s="14"/>
    </row>
    <row r="861" spans="1:12" ht="15.75" x14ac:dyDescent="0.25">
      <c r="A861" s="32">
        <v>67145</v>
      </c>
      <c r="B861" s="14">
        <f>138.0726 * CHOOSE(CONTROL!$C$9, $D$9, 100%, $F$9) + CHOOSE(CONTROL!$C$27, 0.0021, 0)</f>
        <v>138.07470000000001</v>
      </c>
      <c r="C861" s="14">
        <f>137.6404 * CHOOSE(CONTROL!$C$9, $D$9, 100%, $F$9) + CHOOSE(CONTROL!$C$27, 0.0021, 0)</f>
        <v>137.64250000000001</v>
      </c>
      <c r="D861" s="14">
        <f>137.6404 * CHOOSE(CONTROL!$C$9, $D$9, 100%, $F$9) + CHOOSE(CONTROL!$C$27, 0.0021, 0)</f>
        <v>137.64250000000001</v>
      </c>
      <c r="E861" s="14">
        <f>137.5037 * CHOOSE(CONTROL!$C$9, $D$9, 100%, $F$9) + CHOOSE(CONTROL!$C$27, 0.0021, 0)</f>
        <v>137.50580000000002</v>
      </c>
      <c r="F861" s="14">
        <f>137.5037 * CHOOSE(CONTROL!$C$9, $D$9, 100%, $F$9) + CHOOSE(CONTROL!$C$27, 0.0021, 0)</f>
        <v>137.50580000000002</v>
      </c>
      <c r="G861" s="14">
        <f>137.7751 * CHOOSE(CONTROL!$C$9, $D$9, 100%, $F$9) + CHOOSE(CONTROL!$C$27, 0.0021, 0)</f>
        <v>137.77720000000002</v>
      </c>
      <c r="H861" s="14">
        <f>137.6404 * CHOOSE(CONTROL!$C$9, $D$9, 100%, $F$9) + CHOOSE(CONTROL!$C$27, 0.0021, 0)</f>
        <v>137.64250000000001</v>
      </c>
      <c r="I861" s="14">
        <f>137.6404 * CHOOSE(CONTROL!$C$9, $D$9, 100%, $F$9) + CHOOSE(CONTROL!$C$27, 0.0021, 0)</f>
        <v>137.64250000000001</v>
      </c>
      <c r="J861" s="14">
        <f>137.6404 * CHOOSE(CONTROL!$C$9, $D$9, 100%, $F$9) + CHOOSE(CONTROL!$C$27, 0.0021, 0)</f>
        <v>137.64250000000001</v>
      </c>
      <c r="K861" s="14">
        <f>137.6404 * CHOOSE(CONTROL!$C$9, $D$9, 100%, $F$9) + CHOOSE(CONTROL!$C$27, 0.0021, 0)</f>
        <v>137.64250000000001</v>
      </c>
      <c r="L861" s="14"/>
    </row>
    <row r="862" spans="1:12" ht="15.75" x14ac:dyDescent="0.25">
      <c r="A862" s="32">
        <v>67175</v>
      </c>
      <c r="B862" s="14">
        <f>137.1051 * CHOOSE(CONTROL!$C$9, $D$9, 100%, $F$9) + CHOOSE(CONTROL!$C$27, 0.0021, 0)</f>
        <v>137.10720000000001</v>
      </c>
      <c r="C862" s="14">
        <f>136.6729 * CHOOSE(CONTROL!$C$9, $D$9, 100%, $F$9) + CHOOSE(CONTROL!$C$27, 0.0021, 0)</f>
        <v>136.67500000000001</v>
      </c>
      <c r="D862" s="14">
        <f>136.6729 * CHOOSE(CONTROL!$C$9, $D$9, 100%, $F$9) + CHOOSE(CONTROL!$C$27, 0.0021, 0)</f>
        <v>136.67500000000001</v>
      </c>
      <c r="E862" s="14">
        <f>136.5362 * CHOOSE(CONTROL!$C$9, $D$9, 100%, $F$9) + CHOOSE(CONTROL!$C$27, 0.0021, 0)</f>
        <v>136.53830000000002</v>
      </c>
      <c r="F862" s="14">
        <f>136.5362 * CHOOSE(CONTROL!$C$9, $D$9, 100%, $F$9) + CHOOSE(CONTROL!$C$27, 0.0021, 0)</f>
        <v>136.53830000000002</v>
      </c>
      <c r="G862" s="14">
        <f>136.8076 * CHOOSE(CONTROL!$C$9, $D$9, 100%, $F$9) + CHOOSE(CONTROL!$C$27, 0.0021, 0)</f>
        <v>136.80970000000002</v>
      </c>
      <c r="H862" s="14">
        <f>136.6729 * CHOOSE(CONTROL!$C$9, $D$9, 100%, $F$9) + CHOOSE(CONTROL!$C$27, 0.0021, 0)</f>
        <v>136.67500000000001</v>
      </c>
      <c r="I862" s="14">
        <f>136.6729 * CHOOSE(CONTROL!$C$9, $D$9, 100%, $F$9) + CHOOSE(CONTROL!$C$27, 0.0021, 0)</f>
        <v>136.67500000000001</v>
      </c>
      <c r="J862" s="14">
        <f>136.6729 * CHOOSE(CONTROL!$C$9, $D$9, 100%, $F$9) + CHOOSE(CONTROL!$C$27, 0.0021, 0)</f>
        <v>136.67500000000001</v>
      </c>
      <c r="K862" s="14">
        <f>136.6729 * CHOOSE(CONTROL!$C$9, $D$9, 100%, $F$9) + CHOOSE(CONTROL!$C$27, 0.0021, 0)</f>
        <v>136.67500000000001</v>
      </c>
      <c r="L862" s="14"/>
    </row>
    <row r="863" spans="1:12" ht="15.75" x14ac:dyDescent="0.25">
      <c r="A863" s="32">
        <v>67206</v>
      </c>
      <c r="B863" s="14">
        <f>133.1046 * CHOOSE(CONTROL!$C$9, $D$9, 100%, $F$9) + CHOOSE(CONTROL!$C$27, 0.0021, 0)</f>
        <v>133.10670000000002</v>
      </c>
      <c r="C863" s="14">
        <f>132.6723 * CHOOSE(CONTROL!$C$9, $D$9, 100%, $F$9) + CHOOSE(CONTROL!$C$27, 0.0021, 0)</f>
        <v>132.67440000000002</v>
      </c>
      <c r="D863" s="14">
        <f>132.6723 * CHOOSE(CONTROL!$C$9, $D$9, 100%, $F$9) + CHOOSE(CONTROL!$C$27, 0.0021, 0)</f>
        <v>132.67440000000002</v>
      </c>
      <c r="E863" s="14">
        <f>132.5356 * CHOOSE(CONTROL!$C$9, $D$9, 100%, $F$9) + CHOOSE(CONTROL!$C$27, 0.0021, 0)</f>
        <v>132.5377</v>
      </c>
      <c r="F863" s="14">
        <f>132.5356 * CHOOSE(CONTROL!$C$9, $D$9, 100%, $F$9) + CHOOSE(CONTROL!$C$27, 0.0021, 0)</f>
        <v>132.5377</v>
      </c>
      <c r="G863" s="14">
        <f>132.807 * CHOOSE(CONTROL!$C$9, $D$9, 100%, $F$9) + CHOOSE(CONTROL!$C$27, 0.0021, 0)</f>
        <v>132.8091</v>
      </c>
      <c r="H863" s="14">
        <f>132.6723 * CHOOSE(CONTROL!$C$9, $D$9, 100%, $F$9) + CHOOSE(CONTROL!$C$27, 0.0021, 0)</f>
        <v>132.67440000000002</v>
      </c>
      <c r="I863" s="14">
        <f>132.6723 * CHOOSE(CONTROL!$C$9, $D$9, 100%, $F$9) + CHOOSE(CONTROL!$C$27, 0.0021, 0)</f>
        <v>132.67440000000002</v>
      </c>
      <c r="J863" s="14">
        <f>132.6723 * CHOOSE(CONTROL!$C$9, $D$9, 100%, $F$9) + CHOOSE(CONTROL!$C$27, 0.0021, 0)</f>
        <v>132.67440000000002</v>
      </c>
      <c r="K863" s="14">
        <f>132.6723 * CHOOSE(CONTROL!$C$9, $D$9, 100%, $F$9) + CHOOSE(CONTROL!$C$27, 0.0021, 0)</f>
        <v>132.67440000000002</v>
      </c>
      <c r="L863" s="14"/>
    </row>
    <row r="864" spans="1:12" ht="15.75" x14ac:dyDescent="0.25">
      <c r="A864" s="32">
        <v>67237</v>
      </c>
      <c r="B864" s="14">
        <f>132.3257 * CHOOSE(CONTROL!$C$9, $D$9, 100%, $F$9) + CHOOSE(CONTROL!$C$27, 0.0021, 0)</f>
        <v>132.32780000000002</v>
      </c>
      <c r="C864" s="14">
        <f>131.8934 * CHOOSE(CONTROL!$C$9, $D$9, 100%, $F$9) + CHOOSE(CONTROL!$C$27, 0.0021, 0)</f>
        <v>131.89550000000003</v>
      </c>
      <c r="D864" s="14">
        <f>131.8934 * CHOOSE(CONTROL!$C$9, $D$9, 100%, $F$9) + CHOOSE(CONTROL!$C$27, 0.0021, 0)</f>
        <v>131.89550000000003</v>
      </c>
      <c r="E864" s="14">
        <f>131.7568 * CHOOSE(CONTROL!$C$9, $D$9, 100%, $F$9) + CHOOSE(CONTROL!$C$27, 0.0021, 0)</f>
        <v>131.75890000000001</v>
      </c>
      <c r="F864" s="14">
        <f>131.7568 * CHOOSE(CONTROL!$C$9, $D$9, 100%, $F$9) + CHOOSE(CONTROL!$C$27, 0.0021, 0)</f>
        <v>131.75890000000001</v>
      </c>
      <c r="G864" s="14">
        <f>132.0282 * CHOOSE(CONTROL!$C$9, $D$9, 100%, $F$9) + CHOOSE(CONTROL!$C$27, 0.0021, 0)</f>
        <v>132.03030000000001</v>
      </c>
      <c r="H864" s="14">
        <f>131.8934 * CHOOSE(CONTROL!$C$9, $D$9, 100%, $F$9) + CHOOSE(CONTROL!$C$27, 0.0021, 0)</f>
        <v>131.89550000000003</v>
      </c>
      <c r="I864" s="14">
        <f>131.8934 * CHOOSE(CONTROL!$C$9, $D$9, 100%, $F$9) + CHOOSE(CONTROL!$C$27, 0.0021, 0)</f>
        <v>131.89550000000003</v>
      </c>
      <c r="J864" s="14">
        <f>131.8934 * CHOOSE(CONTROL!$C$9, $D$9, 100%, $F$9) + CHOOSE(CONTROL!$C$27, 0.0021, 0)</f>
        <v>131.89550000000003</v>
      </c>
      <c r="K864" s="14">
        <f>131.8934 * CHOOSE(CONTROL!$C$9, $D$9, 100%, $F$9) + CHOOSE(CONTROL!$C$27, 0.0021, 0)</f>
        <v>131.89550000000003</v>
      </c>
      <c r="L864" s="14"/>
    </row>
    <row r="865" spans="1:12" ht="15.75" x14ac:dyDescent="0.25">
      <c r="A865" s="32">
        <v>67266</v>
      </c>
      <c r="B865" s="14">
        <f>131.9642 * CHOOSE(CONTROL!$C$9, $D$9, 100%, $F$9) + CHOOSE(CONTROL!$C$27, 0.0021, 0)</f>
        <v>131.96630000000002</v>
      </c>
      <c r="C865" s="14">
        <f>131.532 * CHOOSE(CONTROL!$C$9, $D$9, 100%, $F$9) + CHOOSE(CONTROL!$C$27, 0.0021, 0)</f>
        <v>131.53410000000002</v>
      </c>
      <c r="D865" s="14">
        <f>131.532 * CHOOSE(CONTROL!$C$9, $D$9, 100%, $F$9) + CHOOSE(CONTROL!$C$27, 0.0021, 0)</f>
        <v>131.53410000000002</v>
      </c>
      <c r="E865" s="14">
        <f>131.3953 * CHOOSE(CONTROL!$C$9, $D$9, 100%, $F$9) + CHOOSE(CONTROL!$C$27, 0.0021, 0)</f>
        <v>131.3974</v>
      </c>
      <c r="F865" s="14">
        <f>131.3953 * CHOOSE(CONTROL!$C$9, $D$9, 100%, $F$9) + CHOOSE(CONTROL!$C$27, 0.0021, 0)</f>
        <v>131.3974</v>
      </c>
      <c r="G865" s="14">
        <f>131.6667 * CHOOSE(CONTROL!$C$9, $D$9, 100%, $F$9) + CHOOSE(CONTROL!$C$27, 0.0021, 0)</f>
        <v>131.6688</v>
      </c>
      <c r="H865" s="14">
        <f>131.532 * CHOOSE(CONTROL!$C$9, $D$9, 100%, $F$9) + CHOOSE(CONTROL!$C$27, 0.0021, 0)</f>
        <v>131.53410000000002</v>
      </c>
      <c r="I865" s="14">
        <f>131.532 * CHOOSE(CONTROL!$C$9, $D$9, 100%, $F$9) + CHOOSE(CONTROL!$C$27, 0.0021, 0)</f>
        <v>131.53410000000002</v>
      </c>
      <c r="J865" s="14">
        <f>131.532 * CHOOSE(CONTROL!$C$9, $D$9, 100%, $F$9) + CHOOSE(CONTROL!$C$27, 0.0021, 0)</f>
        <v>131.53410000000002</v>
      </c>
      <c r="K865" s="14">
        <f>131.532 * CHOOSE(CONTROL!$C$9, $D$9, 100%, $F$9) + CHOOSE(CONTROL!$C$27, 0.0021, 0)</f>
        <v>131.53410000000002</v>
      </c>
      <c r="L865" s="14"/>
    </row>
    <row r="866" spans="1:12" ht="15.75" x14ac:dyDescent="0.25">
      <c r="A866" s="32">
        <v>67297</v>
      </c>
      <c r="B866" s="14">
        <f>138.7987 * CHOOSE(CONTROL!$C$9, $D$9, 100%, $F$9) + CHOOSE(CONTROL!$C$27, 0.0021, 0)</f>
        <v>138.80080000000001</v>
      </c>
      <c r="C866" s="14">
        <f>138.3664 * CHOOSE(CONTROL!$C$9, $D$9, 100%, $F$9) + CHOOSE(CONTROL!$C$27, 0.0021, 0)</f>
        <v>138.36850000000001</v>
      </c>
      <c r="D866" s="14">
        <f>138.3664 * CHOOSE(CONTROL!$C$9, $D$9, 100%, $F$9) + CHOOSE(CONTROL!$C$27, 0.0021, 0)</f>
        <v>138.36850000000001</v>
      </c>
      <c r="E866" s="14">
        <f>138.2298 * CHOOSE(CONTROL!$C$9, $D$9, 100%, $F$9) + CHOOSE(CONTROL!$C$27, 0.0021, 0)</f>
        <v>138.23190000000002</v>
      </c>
      <c r="F866" s="14">
        <f>138.2298 * CHOOSE(CONTROL!$C$9, $D$9, 100%, $F$9) + CHOOSE(CONTROL!$C$27, 0.0021, 0)</f>
        <v>138.23190000000002</v>
      </c>
      <c r="G866" s="14">
        <f>138.5012 * CHOOSE(CONTROL!$C$9, $D$9, 100%, $F$9) + CHOOSE(CONTROL!$C$27, 0.0021, 0)</f>
        <v>138.50330000000002</v>
      </c>
      <c r="H866" s="14">
        <f>138.3664 * CHOOSE(CONTROL!$C$9, $D$9, 100%, $F$9) + CHOOSE(CONTROL!$C$27, 0.0021, 0)</f>
        <v>138.36850000000001</v>
      </c>
      <c r="I866" s="14">
        <f>138.3664 * CHOOSE(CONTROL!$C$9, $D$9, 100%, $F$9) + CHOOSE(CONTROL!$C$27, 0.0021, 0)</f>
        <v>138.36850000000001</v>
      </c>
      <c r="J866" s="14">
        <f>138.3664 * CHOOSE(CONTROL!$C$9, $D$9, 100%, $F$9) + CHOOSE(CONTROL!$C$27, 0.0021, 0)</f>
        <v>138.36850000000001</v>
      </c>
      <c r="K866" s="14">
        <f>138.3664 * CHOOSE(CONTROL!$C$9, $D$9, 100%, $F$9) + CHOOSE(CONTROL!$C$27, 0.0021, 0)</f>
        <v>138.36850000000001</v>
      </c>
      <c r="L866" s="14"/>
    </row>
    <row r="867" spans="1:12" ht="15.75" x14ac:dyDescent="0.25">
      <c r="A867" s="32">
        <v>67327</v>
      </c>
      <c r="B867" s="14">
        <f>147.6613 * CHOOSE(CONTROL!$C$9, $D$9, 100%, $F$9) + CHOOSE(CONTROL!$C$27, 0.0021, 0)</f>
        <v>147.66340000000002</v>
      </c>
      <c r="C867" s="14">
        <f>147.2291 * CHOOSE(CONTROL!$C$9, $D$9, 100%, $F$9) + CHOOSE(CONTROL!$C$27, 0.0021, 0)</f>
        <v>147.2312</v>
      </c>
      <c r="D867" s="14">
        <f>147.2291 * CHOOSE(CONTROL!$C$9, $D$9, 100%, $F$9) + CHOOSE(CONTROL!$C$27, 0.0021, 0)</f>
        <v>147.2312</v>
      </c>
      <c r="E867" s="14">
        <f>147.0924 * CHOOSE(CONTROL!$C$9, $D$9, 100%, $F$9) + CHOOSE(CONTROL!$C$27, 0.0021, 0)</f>
        <v>147.09450000000001</v>
      </c>
      <c r="F867" s="14">
        <f>147.0924 * CHOOSE(CONTROL!$C$9, $D$9, 100%, $F$9) + CHOOSE(CONTROL!$C$27, 0.0021, 0)</f>
        <v>147.09450000000001</v>
      </c>
      <c r="G867" s="14">
        <f>147.3638 * CHOOSE(CONTROL!$C$9, $D$9, 100%, $F$9) + CHOOSE(CONTROL!$C$27, 0.0021, 0)</f>
        <v>147.36590000000001</v>
      </c>
      <c r="H867" s="14">
        <f>147.2291 * CHOOSE(CONTROL!$C$9, $D$9, 100%, $F$9) + CHOOSE(CONTROL!$C$27, 0.0021, 0)</f>
        <v>147.2312</v>
      </c>
      <c r="I867" s="14">
        <f>147.2291 * CHOOSE(CONTROL!$C$9, $D$9, 100%, $F$9) + CHOOSE(CONTROL!$C$27, 0.0021, 0)</f>
        <v>147.2312</v>
      </c>
      <c r="J867" s="14">
        <f>147.2291 * CHOOSE(CONTROL!$C$9, $D$9, 100%, $F$9) + CHOOSE(CONTROL!$C$27, 0.0021, 0)</f>
        <v>147.2312</v>
      </c>
      <c r="K867" s="14">
        <f>147.2291 * CHOOSE(CONTROL!$C$9, $D$9, 100%, $F$9) + CHOOSE(CONTROL!$C$27, 0.0021, 0)</f>
        <v>147.2312</v>
      </c>
      <c r="L867" s="14"/>
    </row>
    <row r="868" spans="1:12" ht="15.75" x14ac:dyDescent="0.25">
      <c r="A868" s="32">
        <v>67358</v>
      </c>
      <c r="B868" s="14">
        <f>152.5396 * CHOOSE(CONTROL!$C$9, $D$9, 100%, $F$9) + CHOOSE(CONTROL!$C$27, 0.0021, 0)</f>
        <v>152.54170000000002</v>
      </c>
      <c r="C868" s="14">
        <f>152.1074 * CHOOSE(CONTROL!$C$9, $D$9, 100%, $F$9) + CHOOSE(CONTROL!$C$27, 0.0021, 0)</f>
        <v>152.10950000000003</v>
      </c>
      <c r="D868" s="14">
        <f>152.1074 * CHOOSE(CONTROL!$C$9, $D$9, 100%, $F$9) + CHOOSE(CONTROL!$C$27, 0.0021, 0)</f>
        <v>152.10950000000003</v>
      </c>
      <c r="E868" s="14">
        <f>151.9707 * CHOOSE(CONTROL!$C$9, $D$9, 100%, $F$9) + CHOOSE(CONTROL!$C$27, 0.0021, 0)</f>
        <v>151.97280000000001</v>
      </c>
      <c r="F868" s="14">
        <f>151.9707 * CHOOSE(CONTROL!$C$9, $D$9, 100%, $F$9) + CHOOSE(CONTROL!$C$27, 0.0021, 0)</f>
        <v>151.97280000000001</v>
      </c>
      <c r="G868" s="14">
        <f>152.2421 * CHOOSE(CONTROL!$C$9, $D$9, 100%, $F$9) + CHOOSE(CONTROL!$C$27, 0.0021, 0)</f>
        <v>152.24420000000001</v>
      </c>
      <c r="H868" s="14">
        <f>152.1074 * CHOOSE(CONTROL!$C$9, $D$9, 100%, $F$9) + CHOOSE(CONTROL!$C$27, 0.0021, 0)</f>
        <v>152.10950000000003</v>
      </c>
      <c r="I868" s="14">
        <f>152.1074 * CHOOSE(CONTROL!$C$9, $D$9, 100%, $F$9) + CHOOSE(CONTROL!$C$27, 0.0021, 0)</f>
        <v>152.10950000000003</v>
      </c>
      <c r="J868" s="14">
        <f>152.1074 * CHOOSE(CONTROL!$C$9, $D$9, 100%, $F$9) + CHOOSE(CONTROL!$C$27, 0.0021, 0)</f>
        <v>152.10950000000003</v>
      </c>
      <c r="K868" s="14">
        <f>152.1074 * CHOOSE(CONTROL!$C$9, $D$9, 100%, $F$9) + CHOOSE(CONTROL!$C$27, 0.0021, 0)</f>
        <v>152.10950000000003</v>
      </c>
      <c r="L868" s="14"/>
    </row>
    <row r="869" spans="1:12" ht="15.75" x14ac:dyDescent="0.25">
      <c r="A869" s="32">
        <v>67388</v>
      </c>
      <c r="B869" s="14">
        <f>154.7045 * CHOOSE(CONTROL!$C$9, $D$9, 100%, $F$9) + CHOOSE(CONTROL!$C$27, 0.0021, 0)</f>
        <v>154.70660000000001</v>
      </c>
      <c r="C869" s="14">
        <f>154.2723 * CHOOSE(CONTROL!$C$9, $D$9, 100%, $F$9) + CHOOSE(CONTROL!$C$27, 0.0021, 0)</f>
        <v>154.27440000000001</v>
      </c>
      <c r="D869" s="14">
        <f>154.2723 * CHOOSE(CONTROL!$C$9, $D$9, 100%, $F$9) + CHOOSE(CONTROL!$C$27, 0.0021, 0)</f>
        <v>154.27440000000001</v>
      </c>
      <c r="E869" s="14">
        <f>154.1356 * CHOOSE(CONTROL!$C$9, $D$9, 100%, $F$9) + CHOOSE(CONTROL!$C$27, 0.0021, 0)</f>
        <v>154.13770000000002</v>
      </c>
      <c r="F869" s="14">
        <f>154.1356 * CHOOSE(CONTROL!$C$9, $D$9, 100%, $F$9) + CHOOSE(CONTROL!$C$27, 0.0021, 0)</f>
        <v>154.13770000000002</v>
      </c>
      <c r="G869" s="14">
        <f>154.407 * CHOOSE(CONTROL!$C$9, $D$9, 100%, $F$9) + CHOOSE(CONTROL!$C$27, 0.0021, 0)</f>
        <v>154.40910000000002</v>
      </c>
      <c r="H869" s="14">
        <f>154.2723 * CHOOSE(CONTROL!$C$9, $D$9, 100%, $F$9) + CHOOSE(CONTROL!$C$27, 0.0021, 0)</f>
        <v>154.27440000000001</v>
      </c>
      <c r="I869" s="14">
        <f>154.2723 * CHOOSE(CONTROL!$C$9, $D$9, 100%, $F$9) + CHOOSE(CONTROL!$C$27, 0.0021, 0)</f>
        <v>154.27440000000001</v>
      </c>
      <c r="J869" s="14">
        <f>154.2723 * CHOOSE(CONTROL!$C$9, $D$9, 100%, $F$9) + CHOOSE(CONTROL!$C$27, 0.0021, 0)</f>
        <v>154.27440000000001</v>
      </c>
      <c r="K869" s="14">
        <f>154.2723 * CHOOSE(CONTROL!$C$9, $D$9, 100%, $F$9) + CHOOSE(CONTROL!$C$27, 0.0021, 0)</f>
        <v>154.27440000000001</v>
      </c>
      <c r="L869" s="14"/>
    </row>
    <row r="870" spans="1:12" ht="15.75" x14ac:dyDescent="0.25">
      <c r="A870" s="32">
        <v>67419</v>
      </c>
      <c r="B870" s="14">
        <f>153.9918 * CHOOSE(CONTROL!$C$9, $D$9, 100%, $F$9) + CHOOSE(CONTROL!$C$27, 0.0021, 0)</f>
        <v>153.99390000000002</v>
      </c>
      <c r="C870" s="14">
        <f>153.5595 * CHOOSE(CONTROL!$C$9, $D$9, 100%, $F$9) + CHOOSE(CONTROL!$C$27, 0.0021, 0)</f>
        <v>153.56160000000003</v>
      </c>
      <c r="D870" s="14">
        <f>153.5595 * CHOOSE(CONTROL!$C$9, $D$9, 100%, $F$9) + CHOOSE(CONTROL!$C$27, 0.0021, 0)</f>
        <v>153.56160000000003</v>
      </c>
      <c r="E870" s="14">
        <f>153.4229 * CHOOSE(CONTROL!$C$9, $D$9, 100%, $F$9) + CHOOSE(CONTROL!$C$27, 0.0021, 0)</f>
        <v>153.42500000000001</v>
      </c>
      <c r="F870" s="14">
        <f>153.4229 * CHOOSE(CONTROL!$C$9, $D$9, 100%, $F$9) + CHOOSE(CONTROL!$C$27, 0.0021, 0)</f>
        <v>153.42500000000001</v>
      </c>
      <c r="G870" s="14">
        <f>153.6942 * CHOOSE(CONTROL!$C$9, $D$9, 100%, $F$9) + CHOOSE(CONTROL!$C$27, 0.0021, 0)</f>
        <v>153.69630000000001</v>
      </c>
      <c r="H870" s="14">
        <f>153.5595 * CHOOSE(CONTROL!$C$9, $D$9, 100%, $F$9) + CHOOSE(CONTROL!$C$27, 0.0021, 0)</f>
        <v>153.56160000000003</v>
      </c>
      <c r="I870" s="14">
        <f>153.5595 * CHOOSE(CONTROL!$C$9, $D$9, 100%, $F$9) + CHOOSE(CONTROL!$C$27, 0.0021, 0)</f>
        <v>153.56160000000003</v>
      </c>
      <c r="J870" s="14">
        <f>153.5595 * CHOOSE(CONTROL!$C$9, $D$9, 100%, $F$9) + CHOOSE(CONTROL!$C$27, 0.0021, 0)</f>
        <v>153.56160000000003</v>
      </c>
      <c r="K870" s="14">
        <f>153.5595 * CHOOSE(CONTROL!$C$9, $D$9, 100%, $F$9) + CHOOSE(CONTROL!$C$27, 0.0021, 0)</f>
        <v>153.56160000000003</v>
      </c>
      <c r="L870" s="14"/>
    </row>
    <row r="871" spans="1:12" ht="15.75" x14ac:dyDescent="0.25">
      <c r="A871" s="32">
        <v>67450</v>
      </c>
      <c r="B871" s="14">
        <f>150.4603 * CHOOSE(CONTROL!$C$9, $D$9, 100%, $F$9) + CHOOSE(CONTROL!$C$27, 0.0021, 0)</f>
        <v>150.4624</v>
      </c>
      <c r="C871" s="14">
        <f>150.028 * CHOOSE(CONTROL!$C$9, $D$9, 100%, $F$9) + CHOOSE(CONTROL!$C$27, 0.0021, 0)</f>
        <v>150.0301</v>
      </c>
      <c r="D871" s="14">
        <f>150.028 * CHOOSE(CONTROL!$C$9, $D$9, 100%, $F$9) + CHOOSE(CONTROL!$C$27, 0.0021, 0)</f>
        <v>150.0301</v>
      </c>
      <c r="E871" s="14">
        <f>149.8914 * CHOOSE(CONTROL!$C$9, $D$9, 100%, $F$9) + CHOOSE(CONTROL!$C$27, 0.0021, 0)</f>
        <v>149.89350000000002</v>
      </c>
      <c r="F871" s="14">
        <f>149.8914 * CHOOSE(CONTROL!$C$9, $D$9, 100%, $F$9) + CHOOSE(CONTROL!$C$27, 0.0021, 0)</f>
        <v>149.89350000000002</v>
      </c>
      <c r="G871" s="14">
        <f>150.1627 * CHOOSE(CONTROL!$C$9, $D$9, 100%, $F$9) + CHOOSE(CONTROL!$C$27, 0.0021, 0)</f>
        <v>150.16480000000001</v>
      </c>
      <c r="H871" s="14">
        <f>150.028 * CHOOSE(CONTROL!$C$9, $D$9, 100%, $F$9) + CHOOSE(CONTROL!$C$27, 0.0021, 0)</f>
        <v>150.0301</v>
      </c>
      <c r="I871" s="14">
        <f>150.028 * CHOOSE(CONTROL!$C$9, $D$9, 100%, $F$9) + CHOOSE(CONTROL!$C$27, 0.0021, 0)</f>
        <v>150.0301</v>
      </c>
      <c r="J871" s="14">
        <f>150.028 * CHOOSE(CONTROL!$C$9, $D$9, 100%, $F$9) + CHOOSE(CONTROL!$C$27, 0.0021, 0)</f>
        <v>150.0301</v>
      </c>
      <c r="K871" s="14">
        <f>150.028 * CHOOSE(CONTROL!$C$9, $D$9, 100%, $F$9) + CHOOSE(CONTROL!$C$27, 0.0021, 0)</f>
        <v>150.0301</v>
      </c>
      <c r="L871" s="14"/>
    </row>
    <row r="872" spans="1:12" ht="15.75" x14ac:dyDescent="0.25">
      <c r="A872" s="32">
        <v>67480</v>
      </c>
      <c r="B872" s="14">
        <f>145.5354 * CHOOSE(CONTROL!$C$9, $D$9, 100%, $F$9) + CHOOSE(CONTROL!$C$27, 0.0021, 0)</f>
        <v>145.53750000000002</v>
      </c>
      <c r="C872" s="14">
        <f>145.1032 * CHOOSE(CONTROL!$C$9, $D$9, 100%, $F$9) + CHOOSE(CONTROL!$C$27, 0.0021, 0)</f>
        <v>145.1053</v>
      </c>
      <c r="D872" s="14">
        <f>145.1032 * CHOOSE(CONTROL!$C$9, $D$9, 100%, $F$9) + CHOOSE(CONTROL!$C$27, 0.0021, 0)</f>
        <v>145.1053</v>
      </c>
      <c r="E872" s="14">
        <f>144.9665 * CHOOSE(CONTROL!$C$9, $D$9, 100%, $F$9) + CHOOSE(CONTROL!$C$27, 0.0021, 0)</f>
        <v>144.96860000000001</v>
      </c>
      <c r="F872" s="14">
        <f>144.9665 * CHOOSE(CONTROL!$C$9, $D$9, 100%, $F$9) + CHOOSE(CONTROL!$C$27, 0.0021, 0)</f>
        <v>144.96860000000001</v>
      </c>
      <c r="G872" s="14">
        <f>145.2379 * CHOOSE(CONTROL!$C$9, $D$9, 100%, $F$9) + CHOOSE(CONTROL!$C$27, 0.0021, 0)</f>
        <v>145.24</v>
      </c>
      <c r="H872" s="14">
        <f>145.1032 * CHOOSE(CONTROL!$C$9, $D$9, 100%, $F$9) + CHOOSE(CONTROL!$C$27, 0.0021, 0)</f>
        <v>145.1053</v>
      </c>
      <c r="I872" s="14">
        <f>145.1032 * CHOOSE(CONTROL!$C$9, $D$9, 100%, $F$9) + CHOOSE(CONTROL!$C$27, 0.0021, 0)</f>
        <v>145.1053</v>
      </c>
      <c r="J872" s="14">
        <f>145.1032 * CHOOSE(CONTROL!$C$9, $D$9, 100%, $F$9) + CHOOSE(CONTROL!$C$27, 0.0021, 0)</f>
        <v>145.1053</v>
      </c>
      <c r="K872" s="14">
        <f>145.1032 * CHOOSE(CONTROL!$C$9, $D$9, 100%, $F$9) + CHOOSE(CONTROL!$C$27, 0.0021, 0)</f>
        <v>145.1053</v>
      </c>
      <c r="L872" s="14"/>
    </row>
    <row r="873" spans="1:12" ht="15.75" x14ac:dyDescent="0.25">
      <c r="A873" s="32">
        <v>67511</v>
      </c>
      <c r="B873" s="14">
        <f>140.5819 * CHOOSE(CONTROL!$C$9, $D$9, 100%, $F$9) + CHOOSE(CONTROL!$C$27, 0.0021, 0)</f>
        <v>140.584</v>
      </c>
      <c r="C873" s="14">
        <f>140.1497 * CHOOSE(CONTROL!$C$9, $D$9, 100%, $F$9) + CHOOSE(CONTROL!$C$27, 0.0021, 0)</f>
        <v>140.15180000000001</v>
      </c>
      <c r="D873" s="14">
        <f>140.1497 * CHOOSE(CONTROL!$C$9, $D$9, 100%, $F$9) + CHOOSE(CONTROL!$C$27, 0.0021, 0)</f>
        <v>140.15180000000001</v>
      </c>
      <c r="E873" s="14">
        <f>140.013 * CHOOSE(CONTROL!$C$9, $D$9, 100%, $F$9) + CHOOSE(CONTROL!$C$27, 0.0021, 0)</f>
        <v>140.01510000000002</v>
      </c>
      <c r="F873" s="14">
        <f>140.013 * CHOOSE(CONTROL!$C$9, $D$9, 100%, $F$9) + CHOOSE(CONTROL!$C$27, 0.0021, 0)</f>
        <v>140.01510000000002</v>
      </c>
      <c r="G873" s="14">
        <f>140.2844 * CHOOSE(CONTROL!$C$9, $D$9, 100%, $F$9) + CHOOSE(CONTROL!$C$27, 0.0021, 0)</f>
        <v>140.28650000000002</v>
      </c>
      <c r="H873" s="14">
        <f>140.1497 * CHOOSE(CONTROL!$C$9, $D$9, 100%, $F$9) + CHOOSE(CONTROL!$C$27, 0.0021, 0)</f>
        <v>140.15180000000001</v>
      </c>
      <c r="I873" s="14">
        <f>140.1497 * CHOOSE(CONTROL!$C$9, $D$9, 100%, $F$9) + CHOOSE(CONTROL!$C$27, 0.0021, 0)</f>
        <v>140.15180000000001</v>
      </c>
      <c r="J873" s="14">
        <f>140.1497 * CHOOSE(CONTROL!$C$9, $D$9, 100%, $F$9) + CHOOSE(CONTROL!$C$27, 0.0021, 0)</f>
        <v>140.15180000000001</v>
      </c>
      <c r="K873" s="14">
        <f>140.1497 * CHOOSE(CONTROL!$C$9, $D$9, 100%, $F$9) + CHOOSE(CONTROL!$C$27, 0.0021, 0)</f>
        <v>140.15180000000001</v>
      </c>
      <c r="L873" s="14"/>
    </row>
    <row r="874" spans="1:12" ht="15.75" x14ac:dyDescent="0.25">
      <c r="A874" s="32">
        <v>67541</v>
      </c>
      <c r="B874" s="14">
        <f>139.5966 * CHOOSE(CONTROL!$C$9, $D$9, 100%, $F$9) + CHOOSE(CONTROL!$C$27, 0.0021, 0)</f>
        <v>139.59870000000001</v>
      </c>
      <c r="C874" s="14">
        <f>139.1643 * CHOOSE(CONTROL!$C$9, $D$9, 100%, $F$9) + CHOOSE(CONTROL!$C$27, 0.0021, 0)</f>
        <v>139.16640000000001</v>
      </c>
      <c r="D874" s="14">
        <f>139.1643 * CHOOSE(CONTROL!$C$9, $D$9, 100%, $F$9) + CHOOSE(CONTROL!$C$27, 0.0021, 0)</f>
        <v>139.16640000000001</v>
      </c>
      <c r="E874" s="14">
        <f>139.0277 * CHOOSE(CONTROL!$C$9, $D$9, 100%, $F$9) + CHOOSE(CONTROL!$C$27, 0.0021, 0)</f>
        <v>139.02980000000002</v>
      </c>
      <c r="F874" s="14">
        <f>139.0277 * CHOOSE(CONTROL!$C$9, $D$9, 100%, $F$9) + CHOOSE(CONTROL!$C$27, 0.0021, 0)</f>
        <v>139.02980000000002</v>
      </c>
      <c r="G874" s="14">
        <f>139.299 * CHOOSE(CONTROL!$C$9, $D$9, 100%, $F$9) + CHOOSE(CONTROL!$C$27, 0.0021, 0)</f>
        <v>139.30110000000002</v>
      </c>
      <c r="H874" s="14">
        <f>139.1643 * CHOOSE(CONTROL!$C$9, $D$9, 100%, $F$9) + CHOOSE(CONTROL!$C$27, 0.0021, 0)</f>
        <v>139.16640000000001</v>
      </c>
      <c r="I874" s="14">
        <f>139.1643 * CHOOSE(CONTROL!$C$9, $D$9, 100%, $F$9) + CHOOSE(CONTROL!$C$27, 0.0021, 0)</f>
        <v>139.16640000000001</v>
      </c>
      <c r="J874" s="14">
        <f>139.1643 * CHOOSE(CONTROL!$C$9, $D$9, 100%, $F$9) + CHOOSE(CONTROL!$C$27, 0.0021, 0)</f>
        <v>139.16640000000001</v>
      </c>
      <c r="K874" s="14">
        <f>139.1643 * CHOOSE(CONTROL!$C$9, $D$9, 100%, $F$9) + CHOOSE(CONTROL!$C$27, 0.0021, 0)</f>
        <v>139.16640000000001</v>
      </c>
      <c r="L874" s="14"/>
    </row>
    <row r="875" spans="1:12" ht="15.75" x14ac:dyDescent="0.25">
      <c r="A875" s="32">
        <v>67572</v>
      </c>
      <c r="B875" s="14">
        <f>135.5221 * CHOOSE(CONTROL!$C$9, $D$9, 100%, $F$9) + CHOOSE(CONTROL!$C$27, 0.0021, 0)</f>
        <v>135.52420000000001</v>
      </c>
      <c r="C875" s="14">
        <f>135.0898 * CHOOSE(CONTROL!$C$9, $D$9, 100%, $F$9) + CHOOSE(CONTROL!$C$27, 0.0021, 0)</f>
        <v>135.09190000000001</v>
      </c>
      <c r="D875" s="14">
        <f>135.0898 * CHOOSE(CONTROL!$C$9, $D$9, 100%, $F$9) + CHOOSE(CONTROL!$C$27, 0.0021, 0)</f>
        <v>135.09190000000001</v>
      </c>
      <c r="E875" s="14">
        <f>134.9532 * CHOOSE(CONTROL!$C$9, $D$9, 100%, $F$9) + CHOOSE(CONTROL!$C$27, 0.0021, 0)</f>
        <v>134.95530000000002</v>
      </c>
      <c r="F875" s="14">
        <f>134.9532 * CHOOSE(CONTROL!$C$9, $D$9, 100%, $F$9) + CHOOSE(CONTROL!$C$27, 0.0021, 0)</f>
        <v>134.95530000000002</v>
      </c>
      <c r="G875" s="14">
        <f>135.2245 * CHOOSE(CONTROL!$C$9, $D$9, 100%, $F$9) + CHOOSE(CONTROL!$C$27, 0.0021, 0)</f>
        <v>135.22660000000002</v>
      </c>
      <c r="H875" s="14">
        <f>135.0898 * CHOOSE(CONTROL!$C$9, $D$9, 100%, $F$9) + CHOOSE(CONTROL!$C$27, 0.0021, 0)</f>
        <v>135.09190000000001</v>
      </c>
      <c r="I875" s="14">
        <f>135.0898 * CHOOSE(CONTROL!$C$9, $D$9, 100%, $F$9) + CHOOSE(CONTROL!$C$27, 0.0021, 0)</f>
        <v>135.09190000000001</v>
      </c>
      <c r="J875" s="14">
        <f>135.0898 * CHOOSE(CONTROL!$C$9, $D$9, 100%, $F$9) + CHOOSE(CONTROL!$C$27, 0.0021, 0)</f>
        <v>135.09190000000001</v>
      </c>
      <c r="K875" s="14">
        <f>135.0898 * CHOOSE(CONTROL!$C$9, $D$9, 100%, $F$9) + CHOOSE(CONTROL!$C$27, 0.0021, 0)</f>
        <v>135.09190000000001</v>
      </c>
      <c r="L875" s="14"/>
    </row>
    <row r="876" spans="1:12" ht="15.75" x14ac:dyDescent="0.25">
      <c r="A876" s="32">
        <v>67603</v>
      </c>
      <c r="B876" s="14">
        <f>134.7288 * CHOOSE(CONTROL!$C$9, $D$9, 100%, $F$9) + CHOOSE(CONTROL!$C$27, 0.0021, 0)</f>
        <v>134.73090000000002</v>
      </c>
      <c r="C876" s="14">
        <f>134.2965 * CHOOSE(CONTROL!$C$9, $D$9, 100%, $F$9) + CHOOSE(CONTROL!$C$27, 0.0021, 0)</f>
        <v>134.29860000000002</v>
      </c>
      <c r="D876" s="14">
        <f>134.2965 * CHOOSE(CONTROL!$C$9, $D$9, 100%, $F$9) + CHOOSE(CONTROL!$C$27, 0.0021, 0)</f>
        <v>134.29860000000002</v>
      </c>
      <c r="E876" s="14">
        <f>134.1599 * CHOOSE(CONTROL!$C$9, $D$9, 100%, $F$9) + CHOOSE(CONTROL!$C$27, 0.0021, 0)</f>
        <v>134.16200000000001</v>
      </c>
      <c r="F876" s="14">
        <f>134.1599 * CHOOSE(CONTROL!$C$9, $D$9, 100%, $F$9) + CHOOSE(CONTROL!$C$27, 0.0021, 0)</f>
        <v>134.16200000000001</v>
      </c>
      <c r="G876" s="14">
        <f>134.4313 * CHOOSE(CONTROL!$C$9, $D$9, 100%, $F$9) + CHOOSE(CONTROL!$C$27, 0.0021, 0)</f>
        <v>134.43340000000001</v>
      </c>
      <c r="H876" s="14">
        <f>134.2965 * CHOOSE(CONTROL!$C$9, $D$9, 100%, $F$9) + CHOOSE(CONTROL!$C$27, 0.0021, 0)</f>
        <v>134.29860000000002</v>
      </c>
      <c r="I876" s="14">
        <f>134.2965 * CHOOSE(CONTROL!$C$9, $D$9, 100%, $F$9) + CHOOSE(CONTROL!$C$27, 0.0021, 0)</f>
        <v>134.29860000000002</v>
      </c>
      <c r="J876" s="14">
        <f>134.2965 * CHOOSE(CONTROL!$C$9, $D$9, 100%, $F$9) + CHOOSE(CONTROL!$C$27, 0.0021, 0)</f>
        <v>134.29860000000002</v>
      </c>
      <c r="K876" s="14">
        <f>134.2965 * CHOOSE(CONTROL!$C$9, $D$9, 100%, $F$9) + CHOOSE(CONTROL!$C$27, 0.0021, 0)</f>
        <v>134.29860000000002</v>
      </c>
      <c r="L876" s="14"/>
    </row>
    <row r="877" spans="1:12" ht="15.75" x14ac:dyDescent="0.25">
      <c r="A877" s="32">
        <v>67631</v>
      </c>
      <c r="B877" s="14">
        <f>134.3607 * CHOOSE(CONTROL!$C$9, $D$9, 100%, $F$9) + CHOOSE(CONTROL!$C$27, 0.0021, 0)</f>
        <v>134.36280000000002</v>
      </c>
      <c r="C877" s="14">
        <f>133.9284 * CHOOSE(CONTROL!$C$9, $D$9, 100%, $F$9) + CHOOSE(CONTROL!$C$27, 0.0021, 0)</f>
        <v>133.93050000000002</v>
      </c>
      <c r="D877" s="14">
        <f>133.9284 * CHOOSE(CONTROL!$C$9, $D$9, 100%, $F$9) + CHOOSE(CONTROL!$C$27, 0.0021, 0)</f>
        <v>133.93050000000002</v>
      </c>
      <c r="E877" s="14">
        <f>133.7918 * CHOOSE(CONTROL!$C$9, $D$9, 100%, $F$9) + CHOOSE(CONTROL!$C$27, 0.0021, 0)</f>
        <v>133.79390000000001</v>
      </c>
      <c r="F877" s="14">
        <f>133.7918 * CHOOSE(CONTROL!$C$9, $D$9, 100%, $F$9) + CHOOSE(CONTROL!$C$27, 0.0021, 0)</f>
        <v>133.79390000000001</v>
      </c>
      <c r="G877" s="14">
        <f>134.0631 * CHOOSE(CONTROL!$C$9, $D$9, 100%, $F$9) + CHOOSE(CONTROL!$C$27, 0.0021, 0)</f>
        <v>134.0652</v>
      </c>
      <c r="H877" s="14">
        <f>133.9284 * CHOOSE(CONTROL!$C$9, $D$9, 100%, $F$9) + CHOOSE(CONTROL!$C$27, 0.0021, 0)</f>
        <v>133.93050000000002</v>
      </c>
      <c r="I877" s="14">
        <f>133.9284 * CHOOSE(CONTROL!$C$9, $D$9, 100%, $F$9) + CHOOSE(CONTROL!$C$27, 0.0021, 0)</f>
        <v>133.93050000000002</v>
      </c>
      <c r="J877" s="14">
        <f>133.9284 * CHOOSE(CONTROL!$C$9, $D$9, 100%, $F$9) + CHOOSE(CONTROL!$C$27, 0.0021, 0)</f>
        <v>133.93050000000002</v>
      </c>
      <c r="K877" s="14">
        <f>133.9284 * CHOOSE(CONTROL!$C$9, $D$9, 100%, $F$9) + CHOOSE(CONTROL!$C$27, 0.0021, 0)</f>
        <v>133.93050000000002</v>
      </c>
      <c r="L877" s="14"/>
    </row>
    <row r="878" spans="1:12" ht="15.75" x14ac:dyDescent="0.25">
      <c r="A878" s="32">
        <v>67662</v>
      </c>
      <c r="B878" s="14">
        <f>141.3214 * CHOOSE(CONTROL!$C$9, $D$9, 100%, $F$9) + CHOOSE(CONTROL!$C$27, 0.0021, 0)</f>
        <v>141.32350000000002</v>
      </c>
      <c r="C878" s="14">
        <f>140.8892 * CHOOSE(CONTROL!$C$9, $D$9, 100%, $F$9) + CHOOSE(CONTROL!$C$27, 0.0021, 0)</f>
        <v>140.8913</v>
      </c>
      <c r="D878" s="14">
        <f>140.8892 * CHOOSE(CONTROL!$C$9, $D$9, 100%, $F$9) + CHOOSE(CONTROL!$C$27, 0.0021, 0)</f>
        <v>140.8913</v>
      </c>
      <c r="E878" s="14">
        <f>140.7525 * CHOOSE(CONTROL!$C$9, $D$9, 100%, $F$9) + CHOOSE(CONTROL!$C$27, 0.0021, 0)</f>
        <v>140.75460000000001</v>
      </c>
      <c r="F878" s="14">
        <f>140.7525 * CHOOSE(CONTROL!$C$9, $D$9, 100%, $F$9) + CHOOSE(CONTROL!$C$27, 0.0021, 0)</f>
        <v>140.75460000000001</v>
      </c>
      <c r="G878" s="14">
        <f>141.0239 * CHOOSE(CONTROL!$C$9, $D$9, 100%, $F$9) + CHOOSE(CONTROL!$C$27, 0.0021, 0)</f>
        <v>141.02600000000001</v>
      </c>
      <c r="H878" s="14">
        <f>140.8892 * CHOOSE(CONTROL!$C$9, $D$9, 100%, $F$9) + CHOOSE(CONTROL!$C$27, 0.0021, 0)</f>
        <v>140.8913</v>
      </c>
      <c r="I878" s="14">
        <f>140.8892 * CHOOSE(CONTROL!$C$9, $D$9, 100%, $F$9) + CHOOSE(CONTROL!$C$27, 0.0021, 0)</f>
        <v>140.8913</v>
      </c>
      <c r="J878" s="14">
        <f>140.8892 * CHOOSE(CONTROL!$C$9, $D$9, 100%, $F$9) + CHOOSE(CONTROL!$C$27, 0.0021, 0)</f>
        <v>140.8913</v>
      </c>
      <c r="K878" s="14">
        <f>140.8892 * CHOOSE(CONTROL!$C$9, $D$9, 100%, $F$9) + CHOOSE(CONTROL!$C$27, 0.0021, 0)</f>
        <v>140.8913</v>
      </c>
      <c r="L878" s="14"/>
    </row>
    <row r="879" spans="1:12" ht="15.75" x14ac:dyDescent="0.25">
      <c r="A879" s="32">
        <v>67692</v>
      </c>
      <c r="B879" s="14">
        <f>150.3479 * CHOOSE(CONTROL!$C$9, $D$9, 100%, $F$9) + CHOOSE(CONTROL!$C$27, 0.0021, 0)</f>
        <v>150.35000000000002</v>
      </c>
      <c r="C879" s="14">
        <f>149.9156 * CHOOSE(CONTROL!$C$9, $D$9, 100%, $F$9) + CHOOSE(CONTROL!$C$27, 0.0021, 0)</f>
        <v>149.91770000000002</v>
      </c>
      <c r="D879" s="14">
        <f>149.9156 * CHOOSE(CONTROL!$C$9, $D$9, 100%, $F$9) + CHOOSE(CONTROL!$C$27, 0.0021, 0)</f>
        <v>149.91770000000002</v>
      </c>
      <c r="E879" s="14">
        <f>149.779 * CHOOSE(CONTROL!$C$9, $D$9, 100%, $F$9) + CHOOSE(CONTROL!$C$27, 0.0021, 0)</f>
        <v>149.78110000000001</v>
      </c>
      <c r="F879" s="14">
        <f>149.779 * CHOOSE(CONTROL!$C$9, $D$9, 100%, $F$9) + CHOOSE(CONTROL!$C$27, 0.0021, 0)</f>
        <v>149.78110000000001</v>
      </c>
      <c r="G879" s="14">
        <f>150.0503 * CHOOSE(CONTROL!$C$9, $D$9, 100%, $F$9) + CHOOSE(CONTROL!$C$27, 0.0021, 0)</f>
        <v>150.05240000000001</v>
      </c>
      <c r="H879" s="14">
        <f>149.9156 * CHOOSE(CONTROL!$C$9, $D$9, 100%, $F$9) + CHOOSE(CONTROL!$C$27, 0.0021, 0)</f>
        <v>149.91770000000002</v>
      </c>
      <c r="I879" s="14">
        <f>149.9156 * CHOOSE(CONTROL!$C$9, $D$9, 100%, $F$9) + CHOOSE(CONTROL!$C$27, 0.0021, 0)</f>
        <v>149.91770000000002</v>
      </c>
      <c r="J879" s="14">
        <f>149.9156 * CHOOSE(CONTROL!$C$9, $D$9, 100%, $F$9) + CHOOSE(CONTROL!$C$27, 0.0021, 0)</f>
        <v>149.91770000000002</v>
      </c>
      <c r="K879" s="14">
        <f>149.9156 * CHOOSE(CONTROL!$C$9, $D$9, 100%, $F$9) + CHOOSE(CONTROL!$C$27, 0.0021, 0)</f>
        <v>149.91770000000002</v>
      </c>
      <c r="L879" s="14"/>
    </row>
    <row r="880" spans="1:12" ht="15.75" x14ac:dyDescent="0.25">
      <c r="A880" s="32">
        <v>67723</v>
      </c>
      <c r="B880" s="14">
        <f>155.3163 * CHOOSE(CONTROL!$C$9, $D$9, 100%, $F$9) + CHOOSE(CONTROL!$C$27, 0.0021, 0)</f>
        <v>155.31840000000003</v>
      </c>
      <c r="C880" s="14">
        <f>154.8841 * CHOOSE(CONTROL!$C$9, $D$9, 100%, $F$9) + CHOOSE(CONTROL!$C$27, 0.0021, 0)</f>
        <v>154.8862</v>
      </c>
      <c r="D880" s="14">
        <f>154.8841 * CHOOSE(CONTROL!$C$9, $D$9, 100%, $F$9) + CHOOSE(CONTROL!$C$27, 0.0021, 0)</f>
        <v>154.8862</v>
      </c>
      <c r="E880" s="14">
        <f>154.7474 * CHOOSE(CONTROL!$C$9, $D$9, 100%, $F$9) + CHOOSE(CONTROL!$C$27, 0.0021, 0)</f>
        <v>154.74950000000001</v>
      </c>
      <c r="F880" s="14">
        <f>154.7474 * CHOOSE(CONTROL!$C$9, $D$9, 100%, $F$9) + CHOOSE(CONTROL!$C$27, 0.0021, 0)</f>
        <v>154.74950000000001</v>
      </c>
      <c r="G880" s="14">
        <f>155.0188 * CHOOSE(CONTROL!$C$9, $D$9, 100%, $F$9) + CHOOSE(CONTROL!$C$27, 0.0021, 0)</f>
        <v>155.02090000000001</v>
      </c>
      <c r="H880" s="14">
        <f>154.8841 * CHOOSE(CONTROL!$C$9, $D$9, 100%, $F$9) + CHOOSE(CONTROL!$C$27, 0.0021, 0)</f>
        <v>154.8862</v>
      </c>
      <c r="I880" s="14">
        <f>154.8841 * CHOOSE(CONTROL!$C$9, $D$9, 100%, $F$9) + CHOOSE(CONTROL!$C$27, 0.0021, 0)</f>
        <v>154.8862</v>
      </c>
      <c r="J880" s="14">
        <f>154.8841 * CHOOSE(CONTROL!$C$9, $D$9, 100%, $F$9) + CHOOSE(CONTROL!$C$27, 0.0021, 0)</f>
        <v>154.8862</v>
      </c>
      <c r="K880" s="14">
        <f>154.8841 * CHOOSE(CONTROL!$C$9, $D$9, 100%, $F$9) + CHOOSE(CONTROL!$C$27, 0.0021, 0)</f>
        <v>154.8862</v>
      </c>
      <c r="L880" s="14"/>
    </row>
    <row r="881" spans="1:12" ht="15.75" x14ac:dyDescent="0.25">
      <c r="A881" s="32">
        <v>67753</v>
      </c>
      <c r="B881" s="14">
        <f>157.5212 * CHOOSE(CONTROL!$C$9, $D$9, 100%, $F$9) + CHOOSE(CONTROL!$C$27, 0.0021, 0)</f>
        <v>157.52330000000001</v>
      </c>
      <c r="C881" s="14">
        <f>157.089 * CHOOSE(CONTROL!$C$9, $D$9, 100%, $F$9) + CHOOSE(CONTROL!$C$27, 0.0021, 0)</f>
        <v>157.09110000000001</v>
      </c>
      <c r="D881" s="14">
        <f>157.089 * CHOOSE(CONTROL!$C$9, $D$9, 100%, $F$9) + CHOOSE(CONTROL!$C$27, 0.0021, 0)</f>
        <v>157.09110000000001</v>
      </c>
      <c r="E881" s="14">
        <f>156.9523 * CHOOSE(CONTROL!$C$9, $D$9, 100%, $F$9) + CHOOSE(CONTROL!$C$27, 0.0021, 0)</f>
        <v>156.95440000000002</v>
      </c>
      <c r="F881" s="14">
        <f>156.9523 * CHOOSE(CONTROL!$C$9, $D$9, 100%, $F$9) + CHOOSE(CONTROL!$C$27, 0.0021, 0)</f>
        <v>156.95440000000002</v>
      </c>
      <c r="G881" s="14">
        <f>157.2237 * CHOOSE(CONTROL!$C$9, $D$9, 100%, $F$9) + CHOOSE(CONTROL!$C$27, 0.0021, 0)</f>
        <v>157.22580000000002</v>
      </c>
      <c r="H881" s="14">
        <f>157.089 * CHOOSE(CONTROL!$C$9, $D$9, 100%, $F$9) + CHOOSE(CONTROL!$C$27, 0.0021, 0)</f>
        <v>157.09110000000001</v>
      </c>
      <c r="I881" s="14">
        <f>157.089 * CHOOSE(CONTROL!$C$9, $D$9, 100%, $F$9) + CHOOSE(CONTROL!$C$27, 0.0021, 0)</f>
        <v>157.09110000000001</v>
      </c>
      <c r="J881" s="14">
        <f>157.089 * CHOOSE(CONTROL!$C$9, $D$9, 100%, $F$9) + CHOOSE(CONTROL!$C$27, 0.0021, 0)</f>
        <v>157.09110000000001</v>
      </c>
      <c r="K881" s="14">
        <f>157.089 * CHOOSE(CONTROL!$C$9, $D$9, 100%, $F$9) + CHOOSE(CONTROL!$C$27, 0.0021, 0)</f>
        <v>157.09110000000001</v>
      </c>
      <c r="L881" s="14"/>
    </row>
    <row r="882" spans="1:12" ht="15.75" x14ac:dyDescent="0.25">
      <c r="A882" s="32">
        <v>67784</v>
      </c>
      <c r="B882" s="14">
        <f>156.7953 * CHOOSE(CONTROL!$C$9, $D$9, 100%, $F$9) + CHOOSE(CONTROL!$C$27, 0.0021, 0)</f>
        <v>156.79740000000001</v>
      </c>
      <c r="C882" s="14">
        <f>156.363 * CHOOSE(CONTROL!$C$9, $D$9, 100%, $F$9) + CHOOSE(CONTROL!$C$27, 0.0021, 0)</f>
        <v>156.36510000000001</v>
      </c>
      <c r="D882" s="14">
        <f>156.363 * CHOOSE(CONTROL!$C$9, $D$9, 100%, $F$9) + CHOOSE(CONTROL!$C$27, 0.0021, 0)</f>
        <v>156.36510000000001</v>
      </c>
      <c r="E882" s="14">
        <f>156.2264 * CHOOSE(CONTROL!$C$9, $D$9, 100%, $F$9) + CHOOSE(CONTROL!$C$27, 0.0021, 0)</f>
        <v>156.22850000000003</v>
      </c>
      <c r="F882" s="14">
        <f>156.2264 * CHOOSE(CONTROL!$C$9, $D$9, 100%, $F$9) + CHOOSE(CONTROL!$C$27, 0.0021, 0)</f>
        <v>156.22850000000003</v>
      </c>
      <c r="G882" s="14">
        <f>156.4977 * CHOOSE(CONTROL!$C$9, $D$9, 100%, $F$9) + CHOOSE(CONTROL!$C$27, 0.0021, 0)</f>
        <v>156.49980000000002</v>
      </c>
      <c r="H882" s="14">
        <f>156.363 * CHOOSE(CONTROL!$C$9, $D$9, 100%, $F$9) + CHOOSE(CONTROL!$C$27, 0.0021, 0)</f>
        <v>156.36510000000001</v>
      </c>
      <c r="I882" s="14">
        <f>156.363 * CHOOSE(CONTROL!$C$9, $D$9, 100%, $F$9) + CHOOSE(CONTROL!$C$27, 0.0021, 0)</f>
        <v>156.36510000000001</v>
      </c>
      <c r="J882" s="14">
        <f>156.363 * CHOOSE(CONTROL!$C$9, $D$9, 100%, $F$9) + CHOOSE(CONTROL!$C$27, 0.0021, 0)</f>
        <v>156.36510000000001</v>
      </c>
      <c r="K882" s="14">
        <f>156.363 * CHOOSE(CONTROL!$C$9, $D$9, 100%, $F$9) + CHOOSE(CONTROL!$C$27, 0.0021, 0)</f>
        <v>156.36510000000001</v>
      </c>
      <c r="L882" s="14"/>
    </row>
    <row r="883" spans="1:12" ht="15.75" x14ac:dyDescent="0.25">
      <c r="A883" s="32">
        <v>67815</v>
      </c>
      <c r="B883" s="14">
        <f>153.1985 * CHOOSE(CONTROL!$C$9, $D$9, 100%, $F$9) + CHOOSE(CONTROL!$C$27, 0.0021, 0)</f>
        <v>153.20060000000001</v>
      </c>
      <c r="C883" s="14">
        <f>152.7663 * CHOOSE(CONTROL!$C$9, $D$9, 100%, $F$9) + CHOOSE(CONTROL!$C$27, 0.0021, 0)</f>
        <v>152.76840000000001</v>
      </c>
      <c r="D883" s="14">
        <f>152.7663 * CHOOSE(CONTROL!$C$9, $D$9, 100%, $F$9) + CHOOSE(CONTROL!$C$27, 0.0021, 0)</f>
        <v>152.76840000000001</v>
      </c>
      <c r="E883" s="14">
        <f>152.6296 * CHOOSE(CONTROL!$C$9, $D$9, 100%, $F$9) + CHOOSE(CONTROL!$C$27, 0.0021, 0)</f>
        <v>152.63170000000002</v>
      </c>
      <c r="F883" s="14">
        <f>152.6296 * CHOOSE(CONTROL!$C$9, $D$9, 100%, $F$9) + CHOOSE(CONTROL!$C$27, 0.0021, 0)</f>
        <v>152.63170000000002</v>
      </c>
      <c r="G883" s="14">
        <f>152.901 * CHOOSE(CONTROL!$C$9, $D$9, 100%, $F$9) + CHOOSE(CONTROL!$C$27, 0.0021, 0)</f>
        <v>152.90310000000002</v>
      </c>
      <c r="H883" s="14">
        <f>152.7663 * CHOOSE(CONTROL!$C$9, $D$9, 100%, $F$9) + CHOOSE(CONTROL!$C$27, 0.0021, 0)</f>
        <v>152.76840000000001</v>
      </c>
      <c r="I883" s="14">
        <f>152.7663 * CHOOSE(CONTROL!$C$9, $D$9, 100%, $F$9) + CHOOSE(CONTROL!$C$27, 0.0021, 0)</f>
        <v>152.76840000000001</v>
      </c>
      <c r="J883" s="14">
        <f>152.7663 * CHOOSE(CONTROL!$C$9, $D$9, 100%, $F$9) + CHOOSE(CONTROL!$C$27, 0.0021, 0)</f>
        <v>152.76840000000001</v>
      </c>
      <c r="K883" s="14">
        <f>152.7663 * CHOOSE(CONTROL!$C$9, $D$9, 100%, $F$9) + CHOOSE(CONTROL!$C$27, 0.0021, 0)</f>
        <v>152.76840000000001</v>
      </c>
      <c r="L883" s="14"/>
    </row>
    <row r="884" spans="1:12" ht="15.75" x14ac:dyDescent="0.25">
      <c r="A884" s="32">
        <v>67845</v>
      </c>
      <c r="B884" s="14">
        <f>148.1827 * CHOOSE(CONTROL!$C$9, $D$9, 100%, $F$9) + CHOOSE(CONTROL!$C$27, 0.0021, 0)</f>
        <v>148.18480000000002</v>
      </c>
      <c r="C884" s="14">
        <f>147.7504 * CHOOSE(CONTROL!$C$9, $D$9, 100%, $F$9) + CHOOSE(CONTROL!$C$27, 0.0021, 0)</f>
        <v>147.75250000000003</v>
      </c>
      <c r="D884" s="14">
        <f>147.7504 * CHOOSE(CONTROL!$C$9, $D$9, 100%, $F$9) + CHOOSE(CONTROL!$C$27, 0.0021, 0)</f>
        <v>147.75250000000003</v>
      </c>
      <c r="E884" s="14">
        <f>147.6137 * CHOOSE(CONTROL!$C$9, $D$9, 100%, $F$9) + CHOOSE(CONTROL!$C$27, 0.0021, 0)</f>
        <v>147.61580000000001</v>
      </c>
      <c r="F884" s="14">
        <f>147.6137 * CHOOSE(CONTROL!$C$9, $D$9, 100%, $F$9) + CHOOSE(CONTROL!$C$27, 0.0021, 0)</f>
        <v>147.61580000000001</v>
      </c>
      <c r="G884" s="14">
        <f>147.8851 * CHOOSE(CONTROL!$C$9, $D$9, 100%, $F$9) + CHOOSE(CONTROL!$C$27, 0.0021, 0)</f>
        <v>147.88720000000001</v>
      </c>
      <c r="H884" s="14">
        <f>147.7504 * CHOOSE(CONTROL!$C$9, $D$9, 100%, $F$9) + CHOOSE(CONTROL!$C$27, 0.0021, 0)</f>
        <v>147.75250000000003</v>
      </c>
      <c r="I884" s="14">
        <f>147.7504 * CHOOSE(CONTROL!$C$9, $D$9, 100%, $F$9) + CHOOSE(CONTROL!$C$27, 0.0021, 0)</f>
        <v>147.75250000000003</v>
      </c>
      <c r="J884" s="14">
        <f>147.7504 * CHOOSE(CONTROL!$C$9, $D$9, 100%, $F$9) + CHOOSE(CONTROL!$C$27, 0.0021, 0)</f>
        <v>147.75250000000003</v>
      </c>
      <c r="K884" s="14">
        <f>147.7504 * CHOOSE(CONTROL!$C$9, $D$9, 100%, $F$9) + CHOOSE(CONTROL!$C$27, 0.0021, 0)</f>
        <v>147.75250000000003</v>
      </c>
      <c r="L884" s="14"/>
    </row>
    <row r="885" spans="1:12" ht="15.75" x14ac:dyDescent="0.25">
      <c r="A885" s="32">
        <v>67876</v>
      </c>
      <c r="B885" s="14">
        <f>143.1376 * CHOOSE(CONTROL!$C$9, $D$9, 100%, $F$9) + CHOOSE(CONTROL!$C$27, 0.0021, 0)</f>
        <v>143.1397</v>
      </c>
      <c r="C885" s="14">
        <f>142.7054 * CHOOSE(CONTROL!$C$9, $D$9, 100%, $F$9) + CHOOSE(CONTROL!$C$27, 0.0021, 0)</f>
        <v>142.70750000000001</v>
      </c>
      <c r="D885" s="14">
        <f>142.7054 * CHOOSE(CONTROL!$C$9, $D$9, 100%, $F$9) + CHOOSE(CONTROL!$C$27, 0.0021, 0)</f>
        <v>142.70750000000001</v>
      </c>
      <c r="E885" s="14">
        <f>142.5687 * CHOOSE(CONTROL!$C$9, $D$9, 100%, $F$9) + CHOOSE(CONTROL!$C$27, 0.0021, 0)</f>
        <v>142.57080000000002</v>
      </c>
      <c r="F885" s="14">
        <f>142.5687 * CHOOSE(CONTROL!$C$9, $D$9, 100%, $F$9) + CHOOSE(CONTROL!$C$27, 0.0021, 0)</f>
        <v>142.57080000000002</v>
      </c>
      <c r="G885" s="14">
        <f>142.8401 * CHOOSE(CONTROL!$C$9, $D$9, 100%, $F$9) + CHOOSE(CONTROL!$C$27, 0.0021, 0)</f>
        <v>142.84220000000002</v>
      </c>
      <c r="H885" s="14">
        <f>142.7054 * CHOOSE(CONTROL!$C$9, $D$9, 100%, $F$9) + CHOOSE(CONTROL!$C$27, 0.0021, 0)</f>
        <v>142.70750000000001</v>
      </c>
      <c r="I885" s="14">
        <f>142.7054 * CHOOSE(CONTROL!$C$9, $D$9, 100%, $F$9) + CHOOSE(CONTROL!$C$27, 0.0021, 0)</f>
        <v>142.70750000000001</v>
      </c>
      <c r="J885" s="14">
        <f>142.7054 * CHOOSE(CONTROL!$C$9, $D$9, 100%, $F$9) + CHOOSE(CONTROL!$C$27, 0.0021, 0)</f>
        <v>142.70750000000001</v>
      </c>
      <c r="K885" s="14">
        <f>142.7054 * CHOOSE(CONTROL!$C$9, $D$9, 100%, $F$9) + CHOOSE(CONTROL!$C$27, 0.0021, 0)</f>
        <v>142.70750000000001</v>
      </c>
      <c r="L885" s="14"/>
    </row>
    <row r="886" spans="1:12" ht="15.75" x14ac:dyDescent="0.25">
      <c r="A886" s="32">
        <v>67906</v>
      </c>
      <c r="B886" s="14">
        <f>142.1341 * CHOOSE(CONTROL!$C$9, $D$9, 100%, $F$9) + CHOOSE(CONTROL!$C$27, 0.0021, 0)</f>
        <v>142.1362</v>
      </c>
      <c r="C886" s="14">
        <f>141.7018 * CHOOSE(CONTROL!$C$9, $D$9, 100%, $F$9) + CHOOSE(CONTROL!$C$27, 0.0021, 0)</f>
        <v>141.7039</v>
      </c>
      <c r="D886" s="14">
        <f>141.7018 * CHOOSE(CONTROL!$C$9, $D$9, 100%, $F$9) + CHOOSE(CONTROL!$C$27, 0.0021, 0)</f>
        <v>141.7039</v>
      </c>
      <c r="E886" s="14">
        <f>141.5652 * CHOOSE(CONTROL!$C$9, $D$9, 100%, $F$9) + CHOOSE(CONTROL!$C$27, 0.0021, 0)</f>
        <v>141.56730000000002</v>
      </c>
      <c r="F886" s="14">
        <f>141.5652 * CHOOSE(CONTROL!$C$9, $D$9, 100%, $F$9) + CHOOSE(CONTROL!$C$27, 0.0021, 0)</f>
        <v>141.56730000000002</v>
      </c>
      <c r="G886" s="14">
        <f>141.8365 * CHOOSE(CONTROL!$C$9, $D$9, 100%, $F$9) + CHOOSE(CONTROL!$C$27, 0.0021, 0)</f>
        <v>141.83860000000001</v>
      </c>
      <c r="H886" s="14">
        <f>141.7018 * CHOOSE(CONTROL!$C$9, $D$9, 100%, $F$9) + CHOOSE(CONTROL!$C$27, 0.0021, 0)</f>
        <v>141.7039</v>
      </c>
      <c r="I886" s="14">
        <f>141.7018 * CHOOSE(CONTROL!$C$9, $D$9, 100%, $F$9) + CHOOSE(CONTROL!$C$27, 0.0021, 0)</f>
        <v>141.7039</v>
      </c>
      <c r="J886" s="14">
        <f>141.7018 * CHOOSE(CONTROL!$C$9, $D$9, 100%, $F$9) + CHOOSE(CONTROL!$C$27, 0.0021, 0)</f>
        <v>141.7039</v>
      </c>
      <c r="K886" s="14">
        <f>141.7018 * CHOOSE(CONTROL!$C$9, $D$9, 100%, $F$9) + CHOOSE(CONTROL!$C$27, 0.0021, 0)</f>
        <v>141.7039</v>
      </c>
      <c r="L886" s="14"/>
    </row>
    <row r="887" spans="1:12" ht="15.75" x14ac:dyDescent="0.25">
      <c r="A887" s="32">
        <v>67937</v>
      </c>
      <c r="B887" s="14">
        <f>137.9842 * CHOOSE(CONTROL!$C$9, $D$9, 100%, $F$9) + CHOOSE(CONTROL!$C$27, 0.0021, 0)</f>
        <v>137.9863</v>
      </c>
      <c r="C887" s="14">
        <f>137.552 * CHOOSE(CONTROL!$C$9, $D$9, 100%, $F$9) + CHOOSE(CONTROL!$C$27, 0.0021, 0)</f>
        <v>137.55410000000001</v>
      </c>
      <c r="D887" s="14">
        <f>137.552 * CHOOSE(CONTROL!$C$9, $D$9, 100%, $F$9) + CHOOSE(CONTROL!$C$27, 0.0021, 0)</f>
        <v>137.55410000000001</v>
      </c>
      <c r="E887" s="14">
        <f>137.4153 * CHOOSE(CONTROL!$C$9, $D$9, 100%, $F$9) + CHOOSE(CONTROL!$C$27, 0.0021, 0)</f>
        <v>137.41740000000001</v>
      </c>
      <c r="F887" s="14">
        <f>137.4153 * CHOOSE(CONTROL!$C$9, $D$9, 100%, $F$9) + CHOOSE(CONTROL!$C$27, 0.0021, 0)</f>
        <v>137.41740000000001</v>
      </c>
      <c r="G887" s="14">
        <f>137.6867 * CHOOSE(CONTROL!$C$9, $D$9, 100%, $F$9) + CHOOSE(CONTROL!$C$27, 0.0021, 0)</f>
        <v>137.68880000000001</v>
      </c>
      <c r="H887" s="14">
        <f>137.552 * CHOOSE(CONTROL!$C$9, $D$9, 100%, $F$9) + CHOOSE(CONTROL!$C$27, 0.0021, 0)</f>
        <v>137.55410000000001</v>
      </c>
      <c r="I887" s="14">
        <f>137.552 * CHOOSE(CONTROL!$C$9, $D$9, 100%, $F$9) + CHOOSE(CONTROL!$C$27, 0.0021, 0)</f>
        <v>137.55410000000001</v>
      </c>
      <c r="J887" s="14">
        <f>137.552 * CHOOSE(CONTROL!$C$9, $D$9, 100%, $F$9) + CHOOSE(CONTROL!$C$27, 0.0021, 0)</f>
        <v>137.55410000000001</v>
      </c>
      <c r="K887" s="14">
        <f>137.552 * CHOOSE(CONTROL!$C$9, $D$9, 100%, $F$9) + CHOOSE(CONTROL!$C$27, 0.0021, 0)</f>
        <v>137.55410000000001</v>
      </c>
      <c r="L887" s="14"/>
    </row>
    <row r="888" spans="1:12" ht="15.75" x14ac:dyDescent="0.25">
      <c r="A888" s="32">
        <v>67968</v>
      </c>
      <c r="B888" s="14">
        <f>137.1763 * CHOOSE(CONTROL!$C$9, $D$9, 100%, $F$9) + CHOOSE(CONTROL!$C$27, 0.0021, 0)</f>
        <v>137.17840000000001</v>
      </c>
      <c r="C888" s="14">
        <f>136.7441 * CHOOSE(CONTROL!$C$9, $D$9, 100%, $F$9) + CHOOSE(CONTROL!$C$27, 0.0021, 0)</f>
        <v>136.74620000000002</v>
      </c>
      <c r="D888" s="14">
        <f>136.7441 * CHOOSE(CONTROL!$C$9, $D$9, 100%, $F$9) + CHOOSE(CONTROL!$C$27, 0.0021, 0)</f>
        <v>136.74620000000002</v>
      </c>
      <c r="E888" s="14">
        <f>136.6074 * CHOOSE(CONTROL!$C$9, $D$9, 100%, $F$9) + CHOOSE(CONTROL!$C$27, 0.0021, 0)</f>
        <v>136.60950000000003</v>
      </c>
      <c r="F888" s="14">
        <f>136.6074 * CHOOSE(CONTROL!$C$9, $D$9, 100%, $F$9) + CHOOSE(CONTROL!$C$27, 0.0021, 0)</f>
        <v>136.60950000000003</v>
      </c>
      <c r="G888" s="14">
        <f>136.8788 * CHOOSE(CONTROL!$C$9, $D$9, 100%, $F$9) + CHOOSE(CONTROL!$C$27, 0.0021, 0)</f>
        <v>136.88090000000003</v>
      </c>
      <c r="H888" s="14">
        <f>136.7441 * CHOOSE(CONTROL!$C$9, $D$9, 100%, $F$9) + CHOOSE(CONTROL!$C$27, 0.0021, 0)</f>
        <v>136.74620000000002</v>
      </c>
      <c r="I888" s="14">
        <f>136.7441 * CHOOSE(CONTROL!$C$9, $D$9, 100%, $F$9) + CHOOSE(CONTROL!$C$27, 0.0021, 0)</f>
        <v>136.74620000000002</v>
      </c>
      <c r="J888" s="14">
        <f>136.7441 * CHOOSE(CONTROL!$C$9, $D$9, 100%, $F$9) + CHOOSE(CONTROL!$C$27, 0.0021, 0)</f>
        <v>136.74620000000002</v>
      </c>
      <c r="K888" s="14">
        <f>136.7441 * CHOOSE(CONTROL!$C$9, $D$9, 100%, $F$9) + CHOOSE(CONTROL!$C$27, 0.0021, 0)</f>
        <v>136.74620000000002</v>
      </c>
      <c r="L888" s="14"/>
    </row>
    <row r="889" spans="1:12" ht="15.75" x14ac:dyDescent="0.25">
      <c r="A889" s="32">
        <v>67996</v>
      </c>
      <c r="B889" s="14">
        <f>136.8014 * CHOOSE(CONTROL!$C$9, $D$9, 100%, $F$9) + CHOOSE(CONTROL!$C$27, 0.0021, 0)</f>
        <v>136.80350000000001</v>
      </c>
      <c r="C889" s="14">
        <f>136.3691 * CHOOSE(CONTROL!$C$9, $D$9, 100%, $F$9) + CHOOSE(CONTROL!$C$27, 0.0021, 0)</f>
        <v>136.37120000000002</v>
      </c>
      <c r="D889" s="14">
        <f>136.3691 * CHOOSE(CONTROL!$C$9, $D$9, 100%, $F$9) + CHOOSE(CONTROL!$C$27, 0.0021, 0)</f>
        <v>136.37120000000002</v>
      </c>
      <c r="E889" s="14">
        <f>136.2325 * CHOOSE(CONTROL!$C$9, $D$9, 100%, $F$9) + CHOOSE(CONTROL!$C$27, 0.0021, 0)</f>
        <v>136.2346</v>
      </c>
      <c r="F889" s="14">
        <f>136.2325 * CHOOSE(CONTROL!$C$9, $D$9, 100%, $F$9) + CHOOSE(CONTROL!$C$27, 0.0021, 0)</f>
        <v>136.2346</v>
      </c>
      <c r="G889" s="14">
        <f>136.5039 * CHOOSE(CONTROL!$C$9, $D$9, 100%, $F$9) + CHOOSE(CONTROL!$C$27, 0.0021, 0)</f>
        <v>136.506</v>
      </c>
      <c r="H889" s="14">
        <f>136.3691 * CHOOSE(CONTROL!$C$9, $D$9, 100%, $F$9) + CHOOSE(CONTROL!$C$27, 0.0021, 0)</f>
        <v>136.37120000000002</v>
      </c>
      <c r="I889" s="14">
        <f>136.3691 * CHOOSE(CONTROL!$C$9, $D$9, 100%, $F$9) + CHOOSE(CONTROL!$C$27, 0.0021, 0)</f>
        <v>136.37120000000002</v>
      </c>
      <c r="J889" s="14">
        <f>136.3691 * CHOOSE(CONTROL!$C$9, $D$9, 100%, $F$9) + CHOOSE(CONTROL!$C$27, 0.0021, 0)</f>
        <v>136.37120000000002</v>
      </c>
      <c r="K889" s="14">
        <f>136.3691 * CHOOSE(CONTROL!$C$9, $D$9, 100%, $F$9) + CHOOSE(CONTROL!$C$27, 0.0021, 0)</f>
        <v>136.37120000000002</v>
      </c>
      <c r="L889" s="14"/>
    </row>
    <row r="890" spans="1:12" ht="15.75" x14ac:dyDescent="0.25">
      <c r="A890" s="32">
        <v>68027</v>
      </c>
      <c r="B890" s="14">
        <f>143.8908 * CHOOSE(CONTROL!$C$9, $D$9, 100%, $F$9) + CHOOSE(CONTROL!$C$27, 0.0021, 0)</f>
        <v>143.89290000000003</v>
      </c>
      <c r="C890" s="14">
        <f>143.4585 * CHOOSE(CONTROL!$C$9, $D$9, 100%, $F$9) + CHOOSE(CONTROL!$C$27, 0.0021, 0)</f>
        <v>143.4606</v>
      </c>
      <c r="D890" s="14">
        <f>143.4585 * CHOOSE(CONTROL!$C$9, $D$9, 100%, $F$9) + CHOOSE(CONTROL!$C$27, 0.0021, 0)</f>
        <v>143.4606</v>
      </c>
      <c r="E890" s="14">
        <f>143.3219 * CHOOSE(CONTROL!$C$9, $D$9, 100%, $F$9) + CHOOSE(CONTROL!$C$27, 0.0021, 0)</f>
        <v>143.32400000000001</v>
      </c>
      <c r="F890" s="14">
        <f>143.3219 * CHOOSE(CONTROL!$C$9, $D$9, 100%, $F$9) + CHOOSE(CONTROL!$C$27, 0.0021, 0)</f>
        <v>143.32400000000001</v>
      </c>
      <c r="G890" s="14">
        <f>143.5933 * CHOOSE(CONTROL!$C$9, $D$9, 100%, $F$9) + CHOOSE(CONTROL!$C$27, 0.0021, 0)</f>
        <v>143.59540000000001</v>
      </c>
      <c r="H890" s="14">
        <f>143.4585 * CHOOSE(CONTROL!$C$9, $D$9, 100%, $F$9) + CHOOSE(CONTROL!$C$27, 0.0021, 0)</f>
        <v>143.4606</v>
      </c>
      <c r="I890" s="14">
        <f>143.4585 * CHOOSE(CONTROL!$C$9, $D$9, 100%, $F$9) + CHOOSE(CONTROL!$C$27, 0.0021, 0)</f>
        <v>143.4606</v>
      </c>
      <c r="J890" s="14">
        <f>143.4585 * CHOOSE(CONTROL!$C$9, $D$9, 100%, $F$9) + CHOOSE(CONTROL!$C$27, 0.0021, 0)</f>
        <v>143.4606</v>
      </c>
      <c r="K890" s="14">
        <f>143.4585 * CHOOSE(CONTROL!$C$9, $D$9, 100%, $F$9) + CHOOSE(CONTROL!$C$27, 0.0021, 0)</f>
        <v>143.4606</v>
      </c>
      <c r="L890" s="14"/>
    </row>
    <row r="891" spans="1:12" ht="15.75" x14ac:dyDescent="0.25">
      <c r="A891" s="32">
        <v>68057</v>
      </c>
      <c r="B891" s="14">
        <f>153.0841 * CHOOSE(CONTROL!$C$9, $D$9, 100%, $F$9) + CHOOSE(CONTROL!$C$27, 0.0021, 0)</f>
        <v>153.08620000000002</v>
      </c>
      <c r="C891" s="14">
        <f>152.6518 * CHOOSE(CONTROL!$C$9, $D$9, 100%, $F$9) + CHOOSE(CONTROL!$C$27, 0.0021, 0)</f>
        <v>152.65390000000002</v>
      </c>
      <c r="D891" s="14">
        <f>152.6518 * CHOOSE(CONTROL!$C$9, $D$9, 100%, $F$9) + CHOOSE(CONTROL!$C$27, 0.0021, 0)</f>
        <v>152.65390000000002</v>
      </c>
      <c r="E891" s="14">
        <f>152.5151 * CHOOSE(CONTROL!$C$9, $D$9, 100%, $F$9) + CHOOSE(CONTROL!$C$27, 0.0021, 0)</f>
        <v>152.5172</v>
      </c>
      <c r="F891" s="14">
        <f>152.5151 * CHOOSE(CONTROL!$C$9, $D$9, 100%, $F$9) + CHOOSE(CONTROL!$C$27, 0.0021, 0)</f>
        <v>152.5172</v>
      </c>
      <c r="G891" s="14">
        <f>152.7865 * CHOOSE(CONTROL!$C$9, $D$9, 100%, $F$9) + CHOOSE(CONTROL!$C$27, 0.0021, 0)</f>
        <v>152.7886</v>
      </c>
      <c r="H891" s="14">
        <f>152.6518 * CHOOSE(CONTROL!$C$9, $D$9, 100%, $F$9) + CHOOSE(CONTROL!$C$27, 0.0021, 0)</f>
        <v>152.65390000000002</v>
      </c>
      <c r="I891" s="14">
        <f>152.6518 * CHOOSE(CONTROL!$C$9, $D$9, 100%, $F$9) + CHOOSE(CONTROL!$C$27, 0.0021, 0)</f>
        <v>152.65390000000002</v>
      </c>
      <c r="J891" s="14">
        <f>152.6518 * CHOOSE(CONTROL!$C$9, $D$9, 100%, $F$9) + CHOOSE(CONTROL!$C$27, 0.0021, 0)</f>
        <v>152.65390000000002</v>
      </c>
      <c r="K891" s="14">
        <f>152.6518 * CHOOSE(CONTROL!$C$9, $D$9, 100%, $F$9) + CHOOSE(CONTROL!$C$27, 0.0021, 0)</f>
        <v>152.65390000000002</v>
      </c>
      <c r="L891" s="14"/>
    </row>
    <row r="892" spans="1:12" ht="15.75" x14ac:dyDescent="0.25">
      <c r="A892" s="32">
        <v>68088</v>
      </c>
      <c r="B892" s="14">
        <f>158.1443 * CHOOSE(CONTROL!$C$9, $D$9, 100%, $F$9) + CHOOSE(CONTROL!$C$27, 0.0021, 0)</f>
        <v>158.1464</v>
      </c>
      <c r="C892" s="14">
        <f>157.7121 * CHOOSE(CONTROL!$C$9, $D$9, 100%, $F$9) + CHOOSE(CONTROL!$C$27, 0.0021, 0)</f>
        <v>157.71420000000001</v>
      </c>
      <c r="D892" s="14">
        <f>157.7121 * CHOOSE(CONTROL!$C$9, $D$9, 100%, $F$9) + CHOOSE(CONTROL!$C$27, 0.0021, 0)</f>
        <v>157.71420000000001</v>
      </c>
      <c r="E892" s="14">
        <f>157.5754 * CHOOSE(CONTROL!$C$9, $D$9, 100%, $F$9) + CHOOSE(CONTROL!$C$27, 0.0021, 0)</f>
        <v>157.57750000000001</v>
      </c>
      <c r="F892" s="14">
        <f>157.5754 * CHOOSE(CONTROL!$C$9, $D$9, 100%, $F$9) + CHOOSE(CONTROL!$C$27, 0.0021, 0)</f>
        <v>157.57750000000001</v>
      </c>
      <c r="G892" s="14">
        <f>157.8468 * CHOOSE(CONTROL!$C$9, $D$9, 100%, $F$9) + CHOOSE(CONTROL!$C$27, 0.0021, 0)</f>
        <v>157.84890000000001</v>
      </c>
      <c r="H892" s="14">
        <f>157.7121 * CHOOSE(CONTROL!$C$9, $D$9, 100%, $F$9) + CHOOSE(CONTROL!$C$27, 0.0021, 0)</f>
        <v>157.71420000000001</v>
      </c>
      <c r="I892" s="14">
        <f>157.7121 * CHOOSE(CONTROL!$C$9, $D$9, 100%, $F$9) + CHOOSE(CONTROL!$C$27, 0.0021, 0)</f>
        <v>157.71420000000001</v>
      </c>
      <c r="J892" s="14">
        <f>157.7121 * CHOOSE(CONTROL!$C$9, $D$9, 100%, $F$9) + CHOOSE(CONTROL!$C$27, 0.0021, 0)</f>
        <v>157.71420000000001</v>
      </c>
      <c r="K892" s="14">
        <f>157.7121 * CHOOSE(CONTROL!$C$9, $D$9, 100%, $F$9) + CHOOSE(CONTROL!$C$27, 0.0021, 0)</f>
        <v>157.71420000000001</v>
      </c>
      <c r="L892" s="14"/>
    </row>
    <row r="893" spans="1:12" ht="15.75" x14ac:dyDescent="0.25">
      <c r="A893" s="32">
        <v>68118</v>
      </c>
      <c r="B893" s="14">
        <f>160.39 * CHOOSE(CONTROL!$C$9, $D$9, 100%, $F$9) + CHOOSE(CONTROL!$C$27, 0.0021, 0)</f>
        <v>160.3921</v>
      </c>
      <c r="C893" s="14">
        <f>159.9577 * CHOOSE(CONTROL!$C$9, $D$9, 100%, $F$9) + CHOOSE(CONTROL!$C$27, 0.0021, 0)</f>
        <v>159.9598</v>
      </c>
      <c r="D893" s="14">
        <f>159.9577 * CHOOSE(CONTROL!$C$9, $D$9, 100%, $F$9) + CHOOSE(CONTROL!$C$27, 0.0021, 0)</f>
        <v>159.9598</v>
      </c>
      <c r="E893" s="14">
        <f>159.8211 * CHOOSE(CONTROL!$C$9, $D$9, 100%, $F$9) + CHOOSE(CONTROL!$C$27, 0.0021, 0)</f>
        <v>159.82320000000001</v>
      </c>
      <c r="F893" s="14">
        <f>159.8211 * CHOOSE(CONTROL!$C$9, $D$9, 100%, $F$9) + CHOOSE(CONTROL!$C$27, 0.0021, 0)</f>
        <v>159.82320000000001</v>
      </c>
      <c r="G893" s="14">
        <f>160.0925 * CHOOSE(CONTROL!$C$9, $D$9, 100%, $F$9) + CHOOSE(CONTROL!$C$27, 0.0021, 0)</f>
        <v>160.09460000000001</v>
      </c>
      <c r="H893" s="14">
        <f>159.9577 * CHOOSE(CONTROL!$C$9, $D$9, 100%, $F$9) + CHOOSE(CONTROL!$C$27, 0.0021, 0)</f>
        <v>159.9598</v>
      </c>
      <c r="I893" s="14">
        <f>159.9577 * CHOOSE(CONTROL!$C$9, $D$9, 100%, $F$9) + CHOOSE(CONTROL!$C$27, 0.0021, 0)</f>
        <v>159.9598</v>
      </c>
      <c r="J893" s="14">
        <f>159.9577 * CHOOSE(CONTROL!$C$9, $D$9, 100%, $F$9) + CHOOSE(CONTROL!$C$27, 0.0021, 0)</f>
        <v>159.9598</v>
      </c>
      <c r="K893" s="14">
        <f>159.9577 * CHOOSE(CONTROL!$C$9, $D$9, 100%, $F$9) + CHOOSE(CONTROL!$C$27, 0.0021, 0)</f>
        <v>159.9598</v>
      </c>
      <c r="L893" s="14"/>
    </row>
    <row r="894" spans="1:12" ht="15.75" x14ac:dyDescent="0.25">
      <c r="A894" s="32">
        <v>68149</v>
      </c>
      <c r="B894" s="14">
        <f>159.6506 * CHOOSE(CONTROL!$C$9, $D$9, 100%, $F$9) + CHOOSE(CONTROL!$C$27, 0.0021, 0)</f>
        <v>159.65270000000001</v>
      </c>
      <c r="C894" s="14">
        <f>159.2184 * CHOOSE(CONTROL!$C$9, $D$9, 100%, $F$9) + CHOOSE(CONTROL!$C$27, 0.0021, 0)</f>
        <v>159.22050000000002</v>
      </c>
      <c r="D894" s="14">
        <f>159.2184 * CHOOSE(CONTROL!$C$9, $D$9, 100%, $F$9) + CHOOSE(CONTROL!$C$27, 0.0021, 0)</f>
        <v>159.22050000000002</v>
      </c>
      <c r="E894" s="14">
        <f>159.0817 * CHOOSE(CONTROL!$C$9, $D$9, 100%, $F$9) + CHOOSE(CONTROL!$C$27, 0.0021, 0)</f>
        <v>159.08380000000002</v>
      </c>
      <c r="F894" s="14">
        <f>159.0817 * CHOOSE(CONTROL!$C$9, $D$9, 100%, $F$9) + CHOOSE(CONTROL!$C$27, 0.0021, 0)</f>
        <v>159.08380000000002</v>
      </c>
      <c r="G894" s="14">
        <f>159.3531 * CHOOSE(CONTROL!$C$9, $D$9, 100%, $F$9) + CHOOSE(CONTROL!$C$27, 0.0021, 0)</f>
        <v>159.35520000000002</v>
      </c>
      <c r="H894" s="14">
        <f>159.2184 * CHOOSE(CONTROL!$C$9, $D$9, 100%, $F$9) + CHOOSE(CONTROL!$C$27, 0.0021, 0)</f>
        <v>159.22050000000002</v>
      </c>
      <c r="I894" s="14">
        <f>159.2184 * CHOOSE(CONTROL!$C$9, $D$9, 100%, $F$9) + CHOOSE(CONTROL!$C$27, 0.0021, 0)</f>
        <v>159.22050000000002</v>
      </c>
      <c r="J894" s="14">
        <f>159.2184 * CHOOSE(CONTROL!$C$9, $D$9, 100%, $F$9) + CHOOSE(CONTROL!$C$27, 0.0021, 0)</f>
        <v>159.22050000000002</v>
      </c>
      <c r="K894" s="14">
        <f>159.2184 * CHOOSE(CONTROL!$C$9, $D$9, 100%, $F$9) + CHOOSE(CONTROL!$C$27, 0.0021, 0)</f>
        <v>159.22050000000002</v>
      </c>
      <c r="L894" s="14"/>
    </row>
    <row r="895" spans="1:12" ht="15.75" x14ac:dyDescent="0.25">
      <c r="A895" s="32">
        <v>68180</v>
      </c>
      <c r="B895" s="14">
        <f>155.9874 * CHOOSE(CONTROL!$C$9, $D$9, 100%, $F$9) + CHOOSE(CONTROL!$C$27, 0.0021, 0)</f>
        <v>155.98950000000002</v>
      </c>
      <c r="C895" s="14">
        <f>155.5551 * CHOOSE(CONTROL!$C$9, $D$9, 100%, $F$9) + CHOOSE(CONTROL!$C$27, 0.0021, 0)</f>
        <v>155.55720000000002</v>
      </c>
      <c r="D895" s="14">
        <f>155.5551 * CHOOSE(CONTROL!$C$9, $D$9, 100%, $F$9) + CHOOSE(CONTROL!$C$27, 0.0021, 0)</f>
        <v>155.55720000000002</v>
      </c>
      <c r="E895" s="14">
        <f>155.4185 * CHOOSE(CONTROL!$C$9, $D$9, 100%, $F$9) + CHOOSE(CONTROL!$C$27, 0.0021, 0)</f>
        <v>155.42060000000001</v>
      </c>
      <c r="F895" s="14">
        <f>155.4185 * CHOOSE(CONTROL!$C$9, $D$9, 100%, $F$9) + CHOOSE(CONTROL!$C$27, 0.0021, 0)</f>
        <v>155.42060000000001</v>
      </c>
      <c r="G895" s="14">
        <f>155.6898 * CHOOSE(CONTROL!$C$9, $D$9, 100%, $F$9) + CHOOSE(CONTROL!$C$27, 0.0021, 0)</f>
        <v>155.6919</v>
      </c>
      <c r="H895" s="14">
        <f>155.5551 * CHOOSE(CONTROL!$C$9, $D$9, 100%, $F$9) + CHOOSE(CONTROL!$C$27, 0.0021, 0)</f>
        <v>155.55720000000002</v>
      </c>
      <c r="I895" s="14">
        <f>155.5551 * CHOOSE(CONTROL!$C$9, $D$9, 100%, $F$9) + CHOOSE(CONTROL!$C$27, 0.0021, 0)</f>
        <v>155.55720000000002</v>
      </c>
      <c r="J895" s="14">
        <f>155.5551 * CHOOSE(CONTROL!$C$9, $D$9, 100%, $F$9) + CHOOSE(CONTROL!$C$27, 0.0021, 0)</f>
        <v>155.55720000000002</v>
      </c>
      <c r="K895" s="14">
        <f>155.5551 * CHOOSE(CONTROL!$C$9, $D$9, 100%, $F$9) + CHOOSE(CONTROL!$C$27, 0.0021, 0)</f>
        <v>155.55720000000002</v>
      </c>
      <c r="L895" s="14"/>
    </row>
    <row r="896" spans="1:12" ht="15.75" x14ac:dyDescent="0.25">
      <c r="A896" s="32">
        <v>68210</v>
      </c>
      <c r="B896" s="14">
        <f>150.8788 * CHOOSE(CONTROL!$C$9, $D$9, 100%, $F$9) + CHOOSE(CONTROL!$C$27, 0.0021, 0)</f>
        <v>150.88090000000003</v>
      </c>
      <c r="C896" s="14">
        <f>150.4466 * CHOOSE(CONTROL!$C$9, $D$9, 100%, $F$9) + CHOOSE(CONTROL!$C$27, 0.0021, 0)</f>
        <v>150.4487</v>
      </c>
      <c r="D896" s="14">
        <f>150.4466 * CHOOSE(CONTROL!$C$9, $D$9, 100%, $F$9) + CHOOSE(CONTROL!$C$27, 0.0021, 0)</f>
        <v>150.4487</v>
      </c>
      <c r="E896" s="14">
        <f>150.3099 * CHOOSE(CONTROL!$C$9, $D$9, 100%, $F$9) + CHOOSE(CONTROL!$C$27, 0.0021, 0)</f>
        <v>150.31200000000001</v>
      </c>
      <c r="F896" s="14">
        <f>150.3099 * CHOOSE(CONTROL!$C$9, $D$9, 100%, $F$9) + CHOOSE(CONTROL!$C$27, 0.0021, 0)</f>
        <v>150.31200000000001</v>
      </c>
      <c r="G896" s="14">
        <f>150.5813 * CHOOSE(CONTROL!$C$9, $D$9, 100%, $F$9) + CHOOSE(CONTROL!$C$27, 0.0021, 0)</f>
        <v>150.58340000000001</v>
      </c>
      <c r="H896" s="14">
        <f>150.4466 * CHOOSE(CONTROL!$C$9, $D$9, 100%, $F$9) + CHOOSE(CONTROL!$C$27, 0.0021, 0)</f>
        <v>150.4487</v>
      </c>
      <c r="I896" s="14">
        <f>150.4466 * CHOOSE(CONTROL!$C$9, $D$9, 100%, $F$9) + CHOOSE(CONTROL!$C$27, 0.0021, 0)</f>
        <v>150.4487</v>
      </c>
      <c r="J896" s="14">
        <f>150.4466 * CHOOSE(CONTROL!$C$9, $D$9, 100%, $F$9) + CHOOSE(CONTROL!$C$27, 0.0021, 0)</f>
        <v>150.4487</v>
      </c>
      <c r="K896" s="14">
        <f>150.4466 * CHOOSE(CONTROL!$C$9, $D$9, 100%, $F$9) + CHOOSE(CONTROL!$C$27, 0.0021, 0)</f>
        <v>150.4487</v>
      </c>
      <c r="L896" s="14"/>
    </row>
    <row r="897" spans="1:12" ht="15.75" x14ac:dyDescent="0.25">
      <c r="A897" s="32">
        <v>68241</v>
      </c>
      <c r="B897" s="14">
        <f>145.7405 * CHOOSE(CONTROL!$C$9, $D$9, 100%, $F$9) + CHOOSE(CONTROL!$C$27, 0.0021, 0)</f>
        <v>145.74260000000001</v>
      </c>
      <c r="C897" s="14">
        <f>145.3083 * CHOOSE(CONTROL!$C$9, $D$9, 100%, $F$9) + CHOOSE(CONTROL!$C$27, 0.0021, 0)</f>
        <v>145.31040000000002</v>
      </c>
      <c r="D897" s="14">
        <f>145.3083 * CHOOSE(CONTROL!$C$9, $D$9, 100%, $F$9) + CHOOSE(CONTROL!$C$27, 0.0021, 0)</f>
        <v>145.31040000000002</v>
      </c>
      <c r="E897" s="14">
        <f>145.1716 * CHOOSE(CONTROL!$C$9, $D$9, 100%, $F$9) + CHOOSE(CONTROL!$C$27, 0.0021, 0)</f>
        <v>145.17370000000003</v>
      </c>
      <c r="F897" s="14">
        <f>145.1716 * CHOOSE(CONTROL!$C$9, $D$9, 100%, $F$9) + CHOOSE(CONTROL!$C$27, 0.0021, 0)</f>
        <v>145.17370000000003</v>
      </c>
      <c r="G897" s="14">
        <f>145.443 * CHOOSE(CONTROL!$C$9, $D$9, 100%, $F$9) + CHOOSE(CONTROL!$C$27, 0.0021, 0)</f>
        <v>145.44510000000002</v>
      </c>
      <c r="H897" s="14">
        <f>145.3083 * CHOOSE(CONTROL!$C$9, $D$9, 100%, $F$9) + CHOOSE(CONTROL!$C$27, 0.0021, 0)</f>
        <v>145.31040000000002</v>
      </c>
      <c r="I897" s="14">
        <f>145.3083 * CHOOSE(CONTROL!$C$9, $D$9, 100%, $F$9) + CHOOSE(CONTROL!$C$27, 0.0021, 0)</f>
        <v>145.31040000000002</v>
      </c>
      <c r="J897" s="14">
        <f>145.3083 * CHOOSE(CONTROL!$C$9, $D$9, 100%, $F$9) + CHOOSE(CONTROL!$C$27, 0.0021, 0)</f>
        <v>145.31040000000002</v>
      </c>
      <c r="K897" s="14">
        <f>145.3083 * CHOOSE(CONTROL!$C$9, $D$9, 100%, $F$9) + CHOOSE(CONTROL!$C$27, 0.0021, 0)</f>
        <v>145.31040000000002</v>
      </c>
      <c r="L897" s="14"/>
    </row>
    <row r="898" spans="1:12" ht="15.75" x14ac:dyDescent="0.25">
      <c r="A898" s="32">
        <v>68271</v>
      </c>
      <c r="B898" s="14">
        <f>144.7184 * CHOOSE(CONTROL!$C$9, $D$9, 100%, $F$9) + CHOOSE(CONTROL!$C$27, 0.0021, 0)</f>
        <v>144.72050000000002</v>
      </c>
      <c r="C898" s="14">
        <f>144.2862 * CHOOSE(CONTROL!$C$9, $D$9, 100%, $F$9) + CHOOSE(CONTROL!$C$27, 0.0021, 0)</f>
        <v>144.28830000000002</v>
      </c>
      <c r="D898" s="14">
        <f>144.2862 * CHOOSE(CONTROL!$C$9, $D$9, 100%, $F$9) + CHOOSE(CONTROL!$C$27, 0.0021, 0)</f>
        <v>144.28830000000002</v>
      </c>
      <c r="E898" s="14">
        <f>144.1495 * CHOOSE(CONTROL!$C$9, $D$9, 100%, $F$9) + CHOOSE(CONTROL!$C$27, 0.0021, 0)</f>
        <v>144.1516</v>
      </c>
      <c r="F898" s="14">
        <f>144.1495 * CHOOSE(CONTROL!$C$9, $D$9, 100%, $F$9) + CHOOSE(CONTROL!$C$27, 0.0021, 0)</f>
        <v>144.1516</v>
      </c>
      <c r="G898" s="14">
        <f>144.4209 * CHOOSE(CONTROL!$C$9, $D$9, 100%, $F$9) + CHOOSE(CONTROL!$C$27, 0.0021, 0)</f>
        <v>144.423</v>
      </c>
      <c r="H898" s="14">
        <f>144.2862 * CHOOSE(CONTROL!$C$9, $D$9, 100%, $F$9) + CHOOSE(CONTROL!$C$27, 0.0021, 0)</f>
        <v>144.28830000000002</v>
      </c>
      <c r="I898" s="14">
        <f>144.2862 * CHOOSE(CONTROL!$C$9, $D$9, 100%, $F$9) + CHOOSE(CONTROL!$C$27, 0.0021, 0)</f>
        <v>144.28830000000002</v>
      </c>
      <c r="J898" s="14">
        <f>144.2862 * CHOOSE(CONTROL!$C$9, $D$9, 100%, $F$9) + CHOOSE(CONTROL!$C$27, 0.0021, 0)</f>
        <v>144.28830000000002</v>
      </c>
      <c r="K898" s="14">
        <f>144.2862 * CHOOSE(CONTROL!$C$9, $D$9, 100%, $F$9) + CHOOSE(CONTROL!$C$27, 0.0021, 0)</f>
        <v>144.28830000000002</v>
      </c>
      <c r="L898" s="14"/>
    </row>
    <row r="899" spans="1:12" ht="15.75" x14ac:dyDescent="0.25">
      <c r="A899" s="32">
        <v>68302</v>
      </c>
      <c r="B899" s="14">
        <f>140.4919 * CHOOSE(CONTROL!$C$9, $D$9, 100%, $F$9) + CHOOSE(CONTROL!$C$27, 0.0021, 0)</f>
        <v>140.494</v>
      </c>
      <c r="C899" s="14">
        <f>140.0597 * CHOOSE(CONTROL!$C$9, $D$9, 100%, $F$9) + CHOOSE(CONTROL!$C$27, 0.0021, 0)</f>
        <v>140.06180000000001</v>
      </c>
      <c r="D899" s="14">
        <f>140.0597 * CHOOSE(CONTROL!$C$9, $D$9, 100%, $F$9) + CHOOSE(CONTROL!$C$27, 0.0021, 0)</f>
        <v>140.06180000000001</v>
      </c>
      <c r="E899" s="14">
        <f>139.923 * CHOOSE(CONTROL!$C$9, $D$9, 100%, $F$9) + CHOOSE(CONTROL!$C$27, 0.0021, 0)</f>
        <v>139.92510000000001</v>
      </c>
      <c r="F899" s="14">
        <f>139.923 * CHOOSE(CONTROL!$C$9, $D$9, 100%, $F$9) + CHOOSE(CONTROL!$C$27, 0.0021, 0)</f>
        <v>139.92510000000001</v>
      </c>
      <c r="G899" s="14">
        <f>140.1944 * CHOOSE(CONTROL!$C$9, $D$9, 100%, $F$9) + CHOOSE(CONTROL!$C$27, 0.0021, 0)</f>
        <v>140.19650000000001</v>
      </c>
      <c r="H899" s="14">
        <f>140.0597 * CHOOSE(CONTROL!$C$9, $D$9, 100%, $F$9) + CHOOSE(CONTROL!$C$27, 0.0021, 0)</f>
        <v>140.06180000000001</v>
      </c>
      <c r="I899" s="14">
        <f>140.0597 * CHOOSE(CONTROL!$C$9, $D$9, 100%, $F$9) + CHOOSE(CONTROL!$C$27, 0.0021, 0)</f>
        <v>140.06180000000001</v>
      </c>
      <c r="J899" s="14">
        <f>140.0597 * CHOOSE(CONTROL!$C$9, $D$9, 100%, $F$9) + CHOOSE(CONTROL!$C$27, 0.0021, 0)</f>
        <v>140.06180000000001</v>
      </c>
      <c r="K899" s="14">
        <f>140.0597 * CHOOSE(CONTROL!$C$9, $D$9, 100%, $F$9) + CHOOSE(CONTROL!$C$27, 0.0021, 0)</f>
        <v>140.06180000000001</v>
      </c>
      <c r="L899" s="14"/>
    </row>
    <row r="900" spans="1:12" ht="15.75" x14ac:dyDescent="0.25">
      <c r="A900" s="32">
        <v>68333</v>
      </c>
      <c r="B900" s="14">
        <f>139.6691 * CHOOSE(CONTROL!$C$9, $D$9, 100%, $F$9) + CHOOSE(CONTROL!$C$27, 0.0021, 0)</f>
        <v>139.6712</v>
      </c>
      <c r="C900" s="14">
        <f>139.2368 * CHOOSE(CONTROL!$C$9, $D$9, 100%, $F$9) + CHOOSE(CONTROL!$C$27, 0.0021, 0)</f>
        <v>139.2389</v>
      </c>
      <c r="D900" s="14">
        <f>139.2368 * CHOOSE(CONTROL!$C$9, $D$9, 100%, $F$9) + CHOOSE(CONTROL!$C$27, 0.0021, 0)</f>
        <v>139.2389</v>
      </c>
      <c r="E900" s="14">
        <f>139.1002 * CHOOSE(CONTROL!$C$9, $D$9, 100%, $F$9) + CHOOSE(CONTROL!$C$27, 0.0021, 0)</f>
        <v>139.10230000000001</v>
      </c>
      <c r="F900" s="14">
        <f>139.1002 * CHOOSE(CONTROL!$C$9, $D$9, 100%, $F$9) + CHOOSE(CONTROL!$C$27, 0.0021, 0)</f>
        <v>139.10230000000001</v>
      </c>
      <c r="G900" s="14">
        <f>139.3715 * CHOOSE(CONTROL!$C$9, $D$9, 100%, $F$9) + CHOOSE(CONTROL!$C$27, 0.0021, 0)</f>
        <v>139.37360000000001</v>
      </c>
      <c r="H900" s="14">
        <f>139.2368 * CHOOSE(CONTROL!$C$9, $D$9, 100%, $F$9) + CHOOSE(CONTROL!$C$27, 0.0021, 0)</f>
        <v>139.2389</v>
      </c>
      <c r="I900" s="14">
        <f>139.2368 * CHOOSE(CONTROL!$C$9, $D$9, 100%, $F$9) + CHOOSE(CONTROL!$C$27, 0.0021, 0)</f>
        <v>139.2389</v>
      </c>
      <c r="J900" s="14">
        <f>139.2368 * CHOOSE(CONTROL!$C$9, $D$9, 100%, $F$9) + CHOOSE(CONTROL!$C$27, 0.0021, 0)</f>
        <v>139.2389</v>
      </c>
      <c r="K900" s="14">
        <f>139.2368 * CHOOSE(CONTROL!$C$9, $D$9, 100%, $F$9) + CHOOSE(CONTROL!$C$27, 0.0021, 0)</f>
        <v>139.2389</v>
      </c>
      <c r="L900" s="14"/>
    </row>
    <row r="901" spans="1:12" ht="15.75" x14ac:dyDescent="0.25">
      <c r="A901" s="32">
        <v>68361</v>
      </c>
      <c r="B901" s="14">
        <f>139.2872 * CHOOSE(CONTROL!$C$9, $D$9, 100%, $F$9) + CHOOSE(CONTROL!$C$27, 0.0021, 0)</f>
        <v>139.28930000000003</v>
      </c>
      <c r="C901" s="14">
        <f>138.855 * CHOOSE(CONTROL!$C$9, $D$9, 100%, $F$9) + CHOOSE(CONTROL!$C$27, 0.0021, 0)</f>
        <v>138.8571</v>
      </c>
      <c r="D901" s="14">
        <f>138.855 * CHOOSE(CONTROL!$C$9, $D$9, 100%, $F$9) + CHOOSE(CONTROL!$C$27, 0.0021, 0)</f>
        <v>138.8571</v>
      </c>
      <c r="E901" s="14">
        <f>138.7183 * CHOOSE(CONTROL!$C$9, $D$9, 100%, $F$9) + CHOOSE(CONTROL!$C$27, 0.0021, 0)</f>
        <v>138.72040000000001</v>
      </c>
      <c r="F901" s="14">
        <f>138.7183 * CHOOSE(CONTROL!$C$9, $D$9, 100%, $F$9) + CHOOSE(CONTROL!$C$27, 0.0021, 0)</f>
        <v>138.72040000000001</v>
      </c>
      <c r="G901" s="14">
        <f>138.9897 * CHOOSE(CONTROL!$C$9, $D$9, 100%, $F$9) + CHOOSE(CONTROL!$C$27, 0.0021, 0)</f>
        <v>138.99180000000001</v>
      </c>
      <c r="H901" s="14">
        <f>138.855 * CHOOSE(CONTROL!$C$9, $D$9, 100%, $F$9) + CHOOSE(CONTROL!$C$27, 0.0021, 0)</f>
        <v>138.8571</v>
      </c>
      <c r="I901" s="14">
        <f>138.855 * CHOOSE(CONTROL!$C$9, $D$9, 100%, $F$9) + CHOOSE(CONTROL!$C$27, 0.0021, 0)</f>
        <v>138.8571</v>
      </c>
      <c r="J901" s="14">
        <f>138.855 * CHOOSE(CONTROL!$C$9, $D$9, 100%, $F$9) + CHOOSE(CONTROL!$C$27, 0.0021, 0)</f>
        <v>138.8571</v>
      </c>
      <c r="K901" s="14">
        <f>138.855 * CHOOSE(CONTROL!$C$9, $D$9, 100%, $F$9) + CHOOSE(CONTROL!$C$27, 0.0021, 0)</f>
        <v>138.8571</v>
      </c>
      <c r="L901" s="14"/>
    </row>
    <row r="902" spans="1:12" ht="15.75" x14ac:dyDescent="0.25">
      <c r="A902" s="32">
        <v>68392</v>
      </c>
      <c r="B902" s="14">
        <f>146.5076 * CHOOSE(CONTROL!$C$9, $D$9, 100%, $F$9) + CHOOSE(CONTROL!$C$27, 0.0021, 0)</f>
        <v>146.50970000000001</v>
      </c>
      <c r="C902" s="14">
        <f>146.0754 * CHOOSE(CONTROL!$C$9, $D$9, 100%, $F$9) + CHOOSE(CONTROL!$C$27, 0.0021, 0)</f>
        <v>146.07750000000001</v>
      </c>
      <c r="D902" s="14">
        <f>146.0754 * CHOOSE(CONTROL!$C$9, $D$9, 100%, $F$9) + CHOOSE(CONTROL!$C$27, 0.0021, 0)</f>
        <v>146.07750000000001</v>
      </c>
      <c r="E902" s="14">
        <f>145.9387 * CHOOSE(CONTROL!$C$9, $D$9, 100%, $F$9) + CHOOSE(CONTROL!$C$27, 0.0021, 0)</f>
        <v>145.94080000000002</v>
      </c>
      <c r="F902" s="14">
        <f>145.9387 * CHOOSE(CONTROL!$C$9, $D$9, 100%, $F$9) + CHOOSE(CONTROL!$C$27, 0.0021, 0)</f>
        <v>145.94080000000002</v>
      </c>
      <c r="G902" s="14">
        <f>146.2101 * CHOOSE(CONTROL!$C$9, $D$9, 100%, $F$9) + CHOOSE(CONTROL!$C$27, 0.0021, 0)</f>
        <v>146.21220000000002</v>
      </c>
      <c r="H902" s="14">
        <f>146.0754 * CHOOSE(CONTROL!$C$9, $D$9, 100%, $F$9) + CHOOSE(CONTROL!$C$27, 0.0021, 0)</f>
        <v>146.07750000000001</v>
      </c>
      <c r="I902" s="14">
        <f>146.0754 * CHOOSE(CONTROL!$C$9, $D$9, 100%, $F$9) + CHOOSE(CONTROL!$C$27, 0.0021, 0)</f>
        <v>146.07750000000001</v>
      </c>
      <c r="J902" s="14">
        <f>146.0754 * CHOOSE(CONTROL!$C$9, $D$9, 100%, $F$9) + CHOOSE(CONTROL!$C$27, 0.0021, 0)</f>
        <v>146.07750000000001</v>
      </c>
      <c r="K902" s="14">
        <f>146.0754 * CHOOSE(CONTROL!$C$9, $D$9, 100%, $F$9) + CHOOSE(CONTROL!$C$27, 0.0021, 0)</f>
        <v>146.07750000000001</v>
      </c>
      <c r="L902" s="14"/>
    </row>
    <row r="903" spans="1:12" ht="15.75" x14ac:dyDescent="0.25">
      <c r="A903" s="32">
        <v>68422</v>
      </c>
      <c r="B903" s="14">
        <f>155.8708 * CHOOSE(CONTROL!$C$9, $D$9, 100%, $F$9) + CHOOSE(CONTROL!$C$27, 0.0021, 0)</f>
        <v>155.87290000000002</v>
      </c>
      <c r="C903" s="14">
        <f>155.4386 * CHOOSE(CONTROL!$C$9, $D$9, 100%, $F$9) + CHOOSE(CONTROL!$C$27, 0.0021, 0)</f>
        <v>155.44070000000002</v>
      </c>
      <c r="D903" s="14">
        <f>155.4386 * CHOOSE(CONTROL!$C$9, $D$9, 100%, $F$9) + CHOOSE(CONTROL!$C$27, 0.0021, 0)</f>
        <v>155.44070000000002</v>
      </c>
      <c r="E903" s="14">
        <f>155.3019 * CHOOSE(CONTROL!$C$9, $D$9, 100%, $F$9) + CHOOSE(CONTROL!$C$27, 0.0021, 0)</f>
        <v>155.304</v>
      </c>
      <c r="F903" s="14">
        <f>155.3019 * CHOOSE(CONTROL!$C$9, $D$9, 100%, $F$9) + CHOOSE(CONTROL!$C$27, 0.0021, 0)</f>
        <v>155.304</v>
      </c>
      <c r="G903" s="14">
        <f>155.5733 * CHOOSE(CONTROL!$C$9, $D$9, 100%, $F$9) + CHOOSE(CONTROL!$C$27, 0.0021, 0)</f>
        <v>155.5754</v>
      </c>
      <c r="H903" s="14">
        <f>155.4386 * CHOOSE(CONTROL!$C$9, $D$9, 100%, $F$9) + CHOOSE(CONTROL!$C$27, 0.0021, 0)</f>
        <v>155.44070000000002</v>
      </c>
      <c r="I903" s="14">
        <f>155.4386 * CHOOSE(CONTROL!$C$9, $D$9, 100%, $F$9) + CHOOSE(CONTROL!$C$27, 0.0021, 0)</f>
        <v>155.44070000000002</v>
      </c>
      <c r="J903" s="14">
        <f>155.4386 * CHOOSE(CONTROL!$C$9, $D$9, 100%, $F$9) + CHOOSE(CONTROL!$C$27, 0.0021, 0)</f>
        <v>155.44070000000002</v>
      </c>
      <c r="K903" s="14">
        <f>155.4386 * CHOOSE(CONTROL!$C$9, $D$9, 100%, $F$9) + CHOOSE(CONTROL!$C$27, 0.0021, 0)</f>
        <v>155.44070000000002</v>
      </c>
      <c r="L903" s="14"/>
    </row>
    <row r="904" spans="1:12" ht="15.75" x14ac:dyDescent="0.25">
      <c r="A904" s="32">
        <v>68453</v>
      </c>
      <c r="B904" s="14">
        <f>161.0246 * CHOOSE(CONTROL!$C$9, $D$9, 100%, $F$9) + CHOOSE(CONTROL!$C$27, 0.0021, 0)</f>
        <v>161.02670000000001</v>
      </c>
      <c r="C904" s="14">
        <f>160.5923 * CHOOSE(CONTROL!$C$9, $D$9, 100%, $F$9) + CHOOSE(CONTROL!$C$27, 0.0021, 0)</f>
        <v>160.59440000000001</v>
      </c>
      <c r="D904" s="14">
        <f>160.5923 * CHOOSE(CONTROL!$C$9, $D$9, 100%, $F$9) + CHOOSE(CONTROL!$C$27, 0.0021, 0)</f>
        <v>160.59440000000001</v>
      </c>
      <c r="E904" s="14">
        <f>160.4557 * CHOOSE(CONTROL!$C$9, $D$9, 100%, $F$9) + CHOOSE(CONTROL!$C$27, 0.0021, 0)</f>
        <v>160.45780000000002</v>
      </c>
      <c r="F904" s="14">
        <f>160.4557 * CHOOSE(CONTROL!$C$9, $D$9, 100%, $F$9) + CHOOSE(CONTROL!$C$27, 0.0021, 0)</f>
        <v>160.45780000000002</v>
      </c>
      <c r="G904" s="14">
        <f>160.7271 * CHOOSE(CONTROL!$C$9, $D$9, 100%, $F$9) + CHOOSE(CONTROL!$C$27, 0.0021, 0)</f>
        <v>160.72920000000002</v>
      </c>
      <c r="H904" s="14">
        <f>160.5923 * CHOOSE(CONTROL!$C$9, $D$9, 100%, $F$9) + CHOOSE(CONTROL!$C$27, 0.0021, 0)</f>
        <v>160.59440000000001</v>
      </c>
      <c r="I904" s="14">
        <f>160.5923 * CHOOSE(CONTROL!$C$9, $D$9, 100%, $F$9) + CHOOSE(CONTROL!$C$27, 0.0021, 0)</f>
        <v>160.59440000000001</v>
      </c>
      <c r="J904" s="14">
        <f>160.5923 * CHOOSE(CONTROL!$C$9, $D$9, 100%, $F$9) + CHOOSE(CONTROL!$C$27, 0.0021, 0)</f>
        <v>160.59440000000001</v>
      </c>
      <c r="K904" s="14">
        <f>160.5923 * CHOOSE(CONTROL!$C$9, $D$9, 100%, $F$9) + CHOOSE(CONTROL!$C$27, 0.0021, 0)</f>
        <v>160.59440000000001</v>
      </c>
      <c r="L904" s="14"/>
    </row>
    <row r="905" spans="1:12" ht="15.75" x14ac:dyDescent="0.25">
      <c r="A905" s="32">
        <v>68483</v>
      </c>
      <c r="B905" s="14">
        <f>163.3117 * CHOOSE(CONTROL!$C$9, $D$9, 100%, $F$9) + CHOOSE(CONTROL!$C$27, 0.0021, 0)</f>
        <v>163.31380000000001</v>
      </c>
      <c r="C905" s="14">
        <f>162.8795 * CHOOSE(CONTROL!$C$9, $D$9, 100%, $F$9) + CHOOSE(CONTROL!$C$27, 0.0021, 0)</f>
        <v>162.88160000000002</v>
      </c>
      <c r="D905" s="14">
        <f>162.8795 * CHOOSE(CONTROL!$C$9, $D$9, 100%, $F$9) + CHOOSE(CONTROL!$C$27, 0.0021, 0)</f>
        <v>162.88160000000002</v>
      </c>
      <c r="E905" s="14">
        <f>162.7428 * CHOOSE(CONTROL!$C$9, $D$9, 100%, $F$9) + CHOOSE(CONTROL!$C$27, 0.0021, 0)</f>
        <v>162.7449</v>
      </c>
      <c r="F905" s="14">
        <f>162.7428 * CHOOSE(CONTROL!$C$9, $D$9, 100%, $F$9) + CHOOSE(CONTROL!$C$27, 0.0021, 0)</f>
        <v>162.7449</v>
      </c>
      <c r="G905" s="14">
        <f>163.0142 * CHOOSE(CONTROL!$C$9, $D$9, 100%, $F$9) + CHOOSE(CONTROL!$C$27, 0.0021, 0)</f>
        <v>163.0163</v>
      </c>
      <c r="H905" s="14">
        <f>162.8795 * CHOOSE(CONTROL!$C$9, $D$9, 100%, $F$9) + CHOOSE(CONTROL!$C$27, 0.0021, 0)</f>
        <v>162.88160000000002</v>
      </c>
      <c r="I905" s="14">
        <f>162.8795 * CHOOSE(CONTROL!$C$9, $D$9, 100%, $F$9) + CHOOSE(CONTROL!$C$27, 0.0021, 0)</f>
        <v>162.88160000000002</v>
      </c>
      <c r="J905" s="14">
        <f>162.8795 * CHOOSE(CONTROL!$C$9, $D$9, 100%, $F$9) + CHOOSE(CONTROL!$C$27, 0.0021, 0)</f>
        <v>162.88160000000002</v>
      </c>
      <c r="K905" s="14">
        <f>162.8795 * CHOOSE(CONTROL!$C$9, $D$9, 100%, $F$9) + CHOOSE(CONTROL!$C$27, 0.0021, 0)</f>
        <v>162.88160000000002</v>
      </c>
      <c r="L905" s="14"/>
    </row>
    <row r="906" spans="1:12" ht="15.75" x14ac:dyDescent="0.25">
      <c r="A906" s="32">
        <v>68514</v>
      </c>
      <c r="B906" s="14">
        <f>162.5587 * CHOOSE(CONTROL!$C$9, $D$9, 100%, $F$9) + CHOOSE(CONTROL!$C$27, 0.0021, 0)</f>
        <v>162.5608</v>
      </c>
      <c r="C906" s="14">
        <f>162.1265 * CHOOSE(CONTROL!$C$9, $D$9, 100%, $F$9) + CHOOSE(CONTROL!$C$27, 0.0021, 0)</f>
        <v>162.12860000000001</v>
      </c>
      <c r="D906" s="14">
        <f>162.1265 * CHOOSE(CONTROL!$C$9, $D$9, 100%, $F$9) + CHOOSE(CONTROL!$C$27, 0.0021, 0)</f>
        <v>162.12860000000001</v>
      </c>
      <c r="E906" s="14">
        <f>161.9898 * CHOOSE(CONTROL!$C$9, $D$9, 100%, $F$9) + CHOOSE(CONTROL!$C$27, 0.0021, 0)</f>
        <v>161.99190000000002</v>
      </c>
      <c r="F906" s="14">
        <f>161.9898 * CHOOSE(CONTROL!$C$9, $D$9, 100%, $F$9) + CHOOSE(CONTROL!$C$27, 0.0021, 0)</f>
        <v>161.99190000000002</v>
      </c>
      <c r="G906" s="14">
        <f>162.2612 * CHOOSE(CONTROL!$C$9, $D$9, 100%, $F$9) + CHOOSE(CONTROL!$C$27, 0.0021, 0)</f>
        <v>162.26330000000002</v>
      </c>
      <c r="H906" s="14">
        <f>162.1265 * CHOOSE(CONTROL!$C$9, $D$9, 100%, $F$9) + CHOOSE(CONTROL!$C$27, 0.0021, 0)</f>
        <v>162.12860000000001</v>
      </c>
      <c r="I906" s="14">
        <f>162.1265 * CHOOSE(CONTROL!$C$9, $D$9, 100%, $F$9) + CHOOSE(CONTROL!$C$27, 0.0021, 0)</f>
        <v>162.12860000000001</v>
      </c>
      <c r="J906" s="14">
        <f>162.1265 * CHOOSE(CONTROL!$C$9, $D$9, 100%, $F$9) + CHOOSE(CONTROL!$C$27, 0.0021, 0)</f>
        <v>162.12860000000001</v>
      </c>
      <c r="K906" s="14">
        <f>162.1265 * CHOOSE(CONTROL!$C$9, $D$9, 100%, $F$9) + CHOOSE(CONTROL!$C$27, 0.0021, 0)</f>
        <v>162.12860000000001</v>
      </c>
      <c r="L906" s="14"/>
    </row>
    <row r="907" spans="1:12" ht="15.75" x14ac:dyDescent="0.25">
      <c r="A907" s="32">
        <v>68545</v>
      </c>
      <c r="B907" s="14">
        <f>158.8278 * CHOOSE(CONTROL!$C$9, $D$9, 100%, $F$9) + CHOOSE(CONTROL!$C$27, 0.0021, 0)</f>
        <v>158.82990000000001</v>
      </c>
      <c r="C907" s="14">
        <f>158.3955 * CHOOSE(CONTROL!$C$9, $D$9, 100%, $F$9) + CHOOSE(CONTROL!$C$27, 0.0021, 0)</f>
        <v>158.39760000000001</v>
      </c>
      <c r="D907" s="14">
        <f>158.3955 * CHOOSE(CONTROL!$C$9, $D$9, 100%, $F$9) + CHOOSE(CONTROL!$C$27, 0.0021, 0)</f>
        <v>158.39760000000001</v>
      </c>
      <c r="E907" s="14">
        <f>158.2589 * CHOOSE(CONTROL!$C$9, $D$9, 100%, $F$9) + CHOOSE(CONTROL!$C$27, 0.0021, 0)</f>
        <v>158.26100000000002</v>
      </c>
      <c r="F907" s="14">
        <f>158.2589 * CHOOSE(CONTROL!$C$9, $D$9, 100%, $F$9) + CHOOSE(CONTROL!$C$27, 0.0021, 0)</f>
        <v>158.26100000000002</v>
      </c>
      <c r="G907" s="14">
        <f>158.5302 * CHOOSE(CONTROL!$C$9, $D$9, 100%, $F$9) + CHOOSE(CONTROL!$C$27, 0.0021, 0)</f>
        <v>158.53230000000002</v>
      </c>
      <c r="H907" s="14">
        <f>158.3955 * CHOOSE(CONTROL!$C$9, $D$9, 100%, $F$9) + CHOOSE(CONTROL!$C$27, 0.0021, 0)</f>
        <v>158.39760000000001</v>
      </c>
      <c r="I907" s="14">
        <f>158.3955 * CHOOSE(CONTROL!$C$9, $D$9, 100%, $F$9) + CHOOSE(CONTROL!$C$27, 0.0021, 0)</f>
        <v>158.39760000000001</v>
      </c>
      <c r="J907" s="14">
        <f>158.3955 * CHOOSE(CONTROL!$C$9, $D$9, 100%, $F$9) + CHOOSE(CONTROL!$C$27, 0.0021, 0)</f>
        <v>158.39760000000001</v>
      </c>
      <c r="K907" s="14">
        <f>158.3955 * CHOOSE(CONTROL!$C$9, $D$9, 100%, $F$9) + CHOOSE(CONTROL!$C$27, 0.0021, 0)</f>
        <v>158.39760000000001</v>
      </c>
      <c r="L907" s="14"/>
    </row>
    <row r="908" spans="1:12" ht="15.75" x14ac:dyDescent="0.25">
      <c r="A908" s="32">
        <v>68575</v>
      </c>
      <c r="B908" s="14">
        <f>153.6248 * CHOOSE(CONTROL!$C$9, $D$9, 100%, $F$9) + CHOOSE(CONTROL!$C$27, 0.0021, 0)</f>
        <v>153.62690000000001</v>
      </c>
      <c r="C908" s="14">
        <f>153.1926 * CHOOSE(CONTROL!$C$9, $D$9, 100%, $F$9) + CHOOSE(CONTROL!$C$27, 0.0021, 0)</f>
        <v>153.19470000000001</v>
      </c>
      <c r="D908" s="14">
        <f>153.1926 * CHOOSE(CONTROL!$C$9, $D$9, 100%, $F$9) + CHOOSE(CONTROL!$C$27, 0.0021, 0)</f>
        <v>153.19470000000001</v>
      </c>
      <c r="E908" s="14">
        <f>153.0559 * CHOOSE(CONTROL!$C$9, $D$9, 100%, $F$9) + CHOOSE(CONTROL!$C$27, 0.0021, 0)</f>
        <v>153.05800000000002</v>
      </c>
      <c r="F908" s="14">
        <f>153.0559 * CHOOSE(CONTROL!$C$9, $D$9, 100%, $F$9) + CHOOSE(CONTROL!$C$27, 0.0021, 0)</f>
        <v>153.05800000000002</v>
      </c>
      <c r="G908" s="14">
        <f>153.3273 * CHOOSE(CONTROL!$C$9, $D$9, 100%, $F$9) + CHOOSE(CONTROL!$C$27, 0.0021, 0)</f>
        <v>153.32940000000002</v>
      </c>
      <c r="H908" s="14">
        <f>153.1926 * CHOOSE(CONTROL!$C$9, $D$9, 100%, $F$9) + CHOOSE(CONTROL!$C$27, 0.0021, 0)</f>
        <v>153.19470000000001</v>
      </c>
      <c r="I908" s="14">
        <f>153.1926 * CHOOSE(CONTROL!$C$9, $D$9, 100%, $F$9) + CHOOSE(CONTROL!$C$27, 0.0021, 0)</f>
        <v>153.19470000000001</v>
      </c>
      <c r="J908" s="14">
        <f>153.1926 * CHOOSE(CONTROL!$C$9, $D$9, 100%, $F$9) + CHOOSE(CONTROL!$C$27, 0.0021, 0)</f>
        <v>153.19470000000001</v>
      </c>
      <c r="K908" s="14">
        <f>153.1926 * CHOOSE(CONTROL!$C$9, $D$9, 100%, $F$9) + CHOOSE(CONTROL!$C$27, 0.0021, 0)</f>
        <v>153.19470000000001</v>
      </c>
      <c r="L908" s="14"/>
    </row>
    <row r="909" spans="1:12" ht="15.75" x14ac:dyDescent="0.25">
      <c r="A909" s="32">
        <v>68606</v>
      </c>
      <c r="B909" s="14">
        <f>148.3916 * CHOOSE(CONTROL!$C$9, $D$9, 100%, $F$9) + CHOOSE(CONTROL!$C$27, 0.0021, 0)</f>
        <v>148.39370000000002</v>
      </c>
      <c r="C909" s="14">
        <f>147.9593 * CHOOSE(CONTROL!$C$9, $D$9, 100%, $F$9) + CHOOSE(CONTROL!$C$27, 0.0021, 0)</f>
        <v>147.96140000000003</v>
      </c>
      <c r="D909" s="14">
        <f>147.9593 * CHOOSE(CONTROL!$C$9, $D$9, 100%, $F$9) + CHOOSE(CONTROL!$C$27, 0.0021, 0)</f>
        <v>147.96140000000003</v>
      </c>
      <c r="E909" s="14">
        <f>147.8227 * CHOOSE(CONTROL!$C$9, $D$9, 100%, $F$9) + CHOOSE(CONTROL!$C$27, 0.0021, 0)</f>
        <v>147.82480000000001</v>
      </c>
      <c r="F909" s="14">
        <f>147.8227 * CHOOSE(CONTROL!$C$9, $D$9, 100%, $F$9) + CHOOSE(CONTROL!$C$27, 0.0021, 0)</f>
        <v>147.82480000000001</v>
      </c>
      <c r="G909" s="14">
        <f>148.094 * CHOOSE(CONTROL!$C$9, $D$9, 100%, $F$9) + CHOOSE(CONTROL!$C$27, 0.0021, 0)</f>
        <v>148.09610000000001</v>
      </c>
      <c r="H909" s="14">
        <f>147.9593 * CHOOSE(CONTROL!$C$9, $D$9, 100%, $F$9) + CHOOSE(CONTROL!$C$27, 0.0021, 0)</f>
        <v>147.96140000000003</v>
      </c>
      <c r="I909" s="14">
        <f>147.9593 * CHOOSE(CONTROL!$C$9, $D$9, 100%, $F$9) + CHOOSE(CONTROL!$C$27, 0.0021, 0)</f>
        <v>147.96140000000003</v>
      </c>
      <c r="J909" s="14">
        <f>147.9593 * CHOOSE(CONTROL!$C$9, $D$9, 100%, $F$9) + CHOOSE(CONTROL!$C$27, 0.0021, 0)</f>
        <v>147.96140000000003</v>
      </c>
      <c r="K909" s="14">
        <f>147.9593 * CHOOSE(CONTROL!$C$9, $D$9, 100%, $F$9) + CHOOSE(CONTROL!$C$27, 0.0021, 0)</f>
        <v>147.96140000000003</v>
      </c>
      <c r="L909" s="14"/>
    </row>
    <row r="910" spans="1:12" ht="15.75" x14ac:dyDescent="0.25">
      <c r="A910" s="32">
        <v>68636</v>
      </c>
      <c r="B910" s="14">
        <f>147.3506 * CHOOSE(CONTROL!$C$9, $D$9, 100%, $F$9) + CHOOSE(CONTROL!$C$27, 0.0021, 0)</f>
        <v>147.3527</v>
      </c>
      <c r="C910" s="14">
        <f>146.9183 * CHOOSE(CONTROL!$C$9, $D$9, 100%, $F$9) + CHOOSE(CONTROL!$C$27, 0.0021, 0)</f>
        <v>146.9204</v>
      </c>
      <c r="D910" s="14">
        <f>146.9183 * CHOOSE(CONTROL!$C$9, $D$9, 100%, $F$9) + CHOOSE(CONTROL!$C$27, 0.0021, 0)</f>
        <v>146.9204</v>
      </c>
      <c r="E910" s="14">
        <f>146.7817 * CHOOSE(CONTROL!$C$9, $D$9, 100%, $F$9) + CHOOSE(CONTROL!$C$27, 0.0021, 0)</f>
        <v>146.78380000000001</v>
      </c>
      <c r="F910" s="14">
        <f>146.7817 * CHOOSE(CONTROL!$C$9, $D$9, 100%, $F$9) + CHOOSE(CONTROL!$C$27, 0.0021, 0)</f>
        <v>146.78380000000001</v>
      </c>
      <c r="G910" s="14">
        <f>147.053 * CHOOSE(CONTROL!$C$9, $D$9, 100%, $F$9) + CHOOSE(CONTROL!$C$27, 0.0021, 0)</f>
        <v>147.05510000000001</v>
      </c>
      <c r="H910" s="14">
        <f>146.9183 * CHOOSE(CONTROL!$C$9, $D$9, 100%, $F$9) + CHOOSE(CONTROL!$C$27, 0.0021, 0)</f>
        <v>146.9204</v>
      </c>
      <c r="I910" s="14">
        <f>146.9183 * CHOOSE(CONTROL!$C$9, $D$9, 100%, $F$9) + CHOOSE(CONTROL!$C$27, 0.0021, 0)</f>
        <v>146.9204</v>
      </c>
      <c r="J910" s="14">
        <f>146.9183 * CHOOSE(CONTROL!$C$9, $D$9, 100%, $F$9) + CHOOSE(CONTROL!$C$27, 0.0021, 0)</f>
        <v>146.9204</v>
      </c>
      <c r="K910" s="14">
        <f>146.9183 * CHOOSE(CONTROL!$C$9, $D$9, 100%, $F$9) + CHOOSE(CONTROL!$C$27, 0.0021, 0)</f>
        <v>146.9204</v>
      </c>
      <c r="L910" s="14"/>
    </row>
    <row r="911" spans="1:12" ht="15.75" x14ac:dyDescent="0.25">
      <c r="A911" s="32">
        <v>68667</v>
      </c>
      <c r="B911" s="14">
        <f>143.046 * CHOOSE(CONTROL!$C$9, $D$9, 100%, $F$9) + CHOOSE(CONTROL!$C$27, 0.0021, 0)</f>
        <v>143.04810000000001</v>
      </c>
      <c r="C911" s="14">
        <f>142.6137 * CHOOSE(CONTROL!$C$9, $D$9, 100%, $F$9) + CHOOSE(CONTROL!$C$27, 0.0021, 0)</f>
        <v>142.61580000000001</v>
      </c>
      <c r="D911" s="14">
        <f>142.6137 * CHOOSE(CONTROL!$C$9, $D$9, 100%, $F$9) + CHOOSE(CONTROL!$C$27, 0.0021, 0)</f>
        <v>142.61580000000001</v>
      </c>
      <c r="E911" s="14">
        <f>142.4771 * CHOOSE(CONTROL!$C$9, $D$9, 100%, $F$9) + CHOOSE(CONTROL!$C$27, 0.0021, 0)</f>
        <v>142.47920000000002</v>
      </c>
      <c r="F911" s="14">
        <f>142.4771 * CHOOSE(CONTROL!$C$9, $D$9, 100%, $F$9) + CHOOSE(CONTROL!$C$27, 0.0021, 0)</f>
        <v>142.47920000000002</v>
      </c>
      <c r="G911" s="14">
        <f>142.7484 * CHOOSE(CONTROL!$C$9, $D$9, 100%, $F$9) + CHOOSE(CONTROL!$C$27, 0.0021, 0)</f>
        <v>142.75050000000002</v>
      </c>
      <c r="H911" s="14">
        <f>142.6137 * CHOOSE(CONTROL!$C$9, $D$9, 100%, $F$9) + CHOOSE(CONTROL!$C$27, 0.0021, 0)</f>
        <v>142.61580000000001</v>
      </c>
      <c r="I911" s="14">
        <f>142.6137 * CHOOSE(CONTROL!$C$9, $D$9, 100%, $F$9) + CHOOSE(CONTROL!$C$27, 0.0021, 0)</f>
        <v>142.61580000000001</v>
      </c>
      <c r="J911" s="14">
        <f>142.6137 * CHOOSE(CONTROL!$C$9, $D$9, 100%, $F$9) + CHOOSE(CONTROL!$C$27, 0.0021, 0)</f>
        <v>142.61580000000001</v>
      </c>
      <c r="K911" s="14">
        <f>142.6137 * CHOOSE(CONTROL!$C$9, $D$9, 100%, $F$9) + CHOOSE(CONTROL!$C$27, 0.0021, 0)</f>
        <v>142.61580000000001</v>
      </c>
      <c r="L911" s="14"/>
    </row>
    <row r="912" spans="1:12" ht="15.75" x14ac:dyDescent="0.25">
      <c r="A912" s="32">
        <v>68698</v>
      </c>
      <c r="B912" s="14">
        <f>142.2079 * CHOOSE(CONTROL!$C$9, $D$9, 100%, $F$9) + CHOOSE(CONTROL!$C$27, 0.0021, 0)</f>
        <v>142.21</v>
      </c>
      <c r="C912" s="14">
        <f>141.7757 * CHOOSE(CONTROL!$C$9, $D$9, 100%, $F$9) + CHOOSE(CONTROL!$C$27, 0.0021, 0)</f>
        <v>141.77780000000001</v>
      </c>
      <c r="D912" s="14">
        <f>141.7757 * CHOOSE(CONTROL!$C$9, $D$9, 100%, $F$9) + CHOOSE(CONTROL!$C$27, 0.0021, 0)</f>
        <v>141.77780000000001</v>
      </c>
      <c r="E912" s="14">
        <f>141.639 * CHOOSE(CONTROL!$C$9, $D$9, 100%, $F$9) + CHOOSE(CONTROL!$C$27, 0.0021, 0)</f>
        <v>141.64110000000002</v>
      </c>
      <c r="F912" s="14">
        <f>141.639 * CHOOSE(CONTROL!$C$9, $D$9, 100%, $F$9) + CHOOSE(CONTROL!$C$27, 0.0021, 0)</f>
        <v>141.64110000000002</v>
      </c>
      <c r="G912" s="14">
        <f>141.9104 * CHOOSE(CONTROL!$C$9, $D$9, 100%, $F$9) + CHOOSE(CONTROL!$C$27, 0.0021, 0)</f>
        <v>141.91250000000002</v>
      </c>
      <c r="H912" s="14">
        <f>141.7757 * CHOOSE(CONTROL!$C$9, $D$9, 100%, $F$9) + CHOOSE(CONTROL!$C$27, 0.0021, 0)</f>
        <v>141.77780000000001</v>
      </c>
      <c r="I912" s="14">
        <f>141.7757 * CHOOSE(CONTROL!$C$9, $D$9, 100%, $F$9) + CHOOSE(CONTROL!$C$27, 0.0021, 0)</f>
        <v>141.77780000000001</v>
      </c>
      <c r="J912" s="14">
        <f>141.7757 * CHOOSE(CONTROL!$C$9, $D$9, 100%, $F$9) + CHOOSE(CONTROL!$C$27, 0.0021, 0)</f>
        <v>141.77780000000001</v>
      </c>
      <c r="K912" s="14">
        <f>141.7757 * CHOOSE(CONTROL!$C$9, $D$9, 100%, $F$9) + CHOOSE(CONTROL!$C$27, 0.0021, 0)</f>
        <v>141.77780000000001</v>
      </c>
      <c r="L912" s="14"/>
    </row>
    <row r="913" spans="1:12" ht="15.75" x14ac:dyDescent="0.25">
      <c r="A913" s="32">
        <v>68727</v>
      </c>
      <c r="B913" s="14">
        <f>141.819 * CHOOSE(CONTROL!$C$9, $D$9, 100%, $F$9) + CHOOSE(CONTROL!$C$27, 0.0021, 0)</f>
        <v>141.8211</v>
      </c>
      <c r="C913" s="14">
        <f>141.3867 * CHOOSE(CONTROL!$C$9, $D$9, 100%, $F$9) + CHOOSE(CONTROL!$C$27, 0.0021, 0)</f>
        <v>141.3888</v>
      </c>
      <c r="D913" s="14">
        <f>141.3867 * CHOOSE(CONTROL!$C$9, $D$9, 100%, $F$9) + CHOOSE(CONTROL!$C$27, 0.0021, 0)</f>
        <v>141.3888</v>
      </c>
      <c r="E913" s="14">
        <f>141.2501 * CHOOSE(CONTROL!$C$9, $D$9, 100%, $F$9) + CHOOSE(CONTROL!$C$27, 0.0021, 0)</f>
        <v>141.25220000000002</v>
      </c>
      <c r="F913" s="14">
        <f>141.2501 * CHOOSE(CONTROL!$C$9, $D$9, 100%, $F$9) + CHOOSE(CONTROL!$C$27, 0.0021, 0)</f>
        <v>141.25220000000002</v>
      </c>
      <c r="G913" s="14">
        <f>141.5215 * CHOOSE(CONTROL!$C$9, $D$9, 100%, $F$9) + CHOOSE(CONTROL!$C$27, 0.0021, 0)</f>
        <v>141.52360000000002</v>
      </c>
      <c r="H913" s="14">
        <f>141.3867 * CHOOSE(CONTROL!$C$9, $D$9, 100%, $F$9) + CHOOSE(CONTROL!$C$27, 0.0021, 0)</f>
        <v>141.3888</v>
      </c>
      <c r="I913" s="14">
        <f>141.3867 * CHOOSE(CONTROL!$C$9, $D$9, 100%, $F$9) + CHOOSE(CONTROL!$C$27, 0.0021, 0)</f>
        <v>141.3888</v>
      </c>
      <c r="J913" s="14">
        <f>141.3867 * CHOOSE(CONTROL!$C$9, $D$9, 100%, $F$9) + CHOOSE(CONTROL!$C$27, 0.0021, 0)</f>
        <v>141.3888</v>
      </c>
      <c r="K913" s="14">
        <f>141.3867 * CHOOSE(CONTROL!$C$9, $D$9, 100%, $F$9) + CHOOSE(CONTROL!$C$27, 0.0021, 0)</f>
        <v>141.3888</v>
      </c>
      <c r="L913" s="14"/>
    </row>
    <row r="914" spans="1:12" ht="15.75" x14ac:dyDescent="0.25">
      <c r="A914" s="32">
        <v>68758</v>
      </c>
      <c r="B914" s="14">
        <f>149.1728 * CHOOSE(CONTROL!$C$9, $D$9, 100%, $F$9) + CHOOSE(CONTROL!$C$27, 0.0021, 0)</f>
        <v>149.17490000000001</v>
      </c>
      <c r="C914" s="14">
        <f>148.7406 * CHOOSE(CONTROL!$C$9, $D$9, 100%, $F$9) + CHOOSE(CONTROL!$C$27, 0.0021, 0)</f>
        <v>148.74270000000001</v>
      </c>
      <c r="D914" s="14">
        <f>148.7406 * CHOOSE(CONTROL!$C$9, $D$9, 100%, $F$9) + CHOOSE(CONTROL!$C$27, 0.0021, 0)</f>
        <v>148.74270000000001</v>
      </c>
      <c r="E914" s="14">
        <f>148.6039 * CHOOSE(CONTROL!$C$9, $D$9, 100%, $F$9) + CHOOSE(CONTROL!$C$27, 0.0021, 0)</f>
        <v>148.60600000000002</v>
      </c>
      <c r="F914" s="14">
        <f>148.6039 * CHOOSE(CONTROL!$C$9, $D$9, 100%, $F$9) + CHOOSE(CONTROL!$C$27, 0.0021, 0)</f>
        <v>148.60600000000002</v>
      </c>
      <c r="G914" s="14">
        <f>148.8753 * CHOOSE(CONTROL!$C$9, $D$9, 100%, $F$9) + CHOOSE(CONTROL!$C$27, 0.0021, 0)</f>
        <v>148.87740000000002</v>
      </c>
      <c r="H914" s="14">
        <f>148.7406 * CHOOSE(CONTROL!$C$9, $D$9, 100%, $F$9) + CHOOSE(CONTROL!$C$27, 0.0021, 0)</f>
        <v>148.74270000000001</v>
      </c>
      <c r="I914" s="14">
        <f>148.7406 * CHOOSE(CONTROL!$C$9, $D$9, 100%, $F$9) + CHOOSE(CONTROL!$C$27, 0.0021, 0)</f>
        <v>148.74270000000001</v>
      </c>
      <c r="J914" s="14">
        <f>148.7406 * CHOOSE(CONTROL!$C$9, $D$9, 100%, $F$9) + CHOOSE(CONTROL!$C$27, 0.0021, 0)</f>
        <v>148.74270000000001</v>
      </c>
      <c r="K914" s="14">
        <f>148.7406 * CHOOSE(CONTROL!$C$9, $D$9, 100%, $F$9) + CHOOSE(CONTROL!$C$27, 0.0021, 0)</f>
        <v>148.74270000000001</v>
      </c>
      <c r="L914" s="14"/>
    </row>
    <row r="915" spans="1:12" ht="15.75" x14ac:dyDescent="0.25">
      <c r="A915" s="32">
        <v>68788</v>
      </c>
      <c r="B915" s="14">
        <f>158.709 * CHOOSE(CONTROL!$C$9, $D$9, 100%, $F$9) + CHOOSE(CONTROL!$C$27, 0.0021, 0)</f>
        <v>158.71110000000002</v>
      </c>
      <c r="C915" s="14">
        <f>158.2768 * CHOOSE(CONTROL!$C$9, $D$9, 100%, $F$9) + CHOOSE(CONTROL!$C$27, 0.0021, 0)</f>
        <v>158.27890000000002</v>
      </c>
      <c r="D915" s="14">
        <f>158.2768 * CHOOSE(CONTROL!$C$9, $D$9, 100%, $F$9) + CHOOSE(CONTROL!$C$27, 0.0021, 0)</f>
        <v>158.27890000000002</v>
      </c>
      <c r="E915" s="14">
        <f>158.1401 * CHOOSE(CONTROL!$C$9, $D$9, 100%, $F$9) + CHOOSE(CONTROL!$C$27, 0.0021, 0)</f>
        <v>158.1422</v>
      </c>
      <c r="F915" s="14">
        <f>158.1401 * CHOOSE(CONTROL!$C$9, $D$9, 100%, $F$9) + CHOOSE(CONTROL!$C$27, 0.0021, 0)</f>
        <v>158.1422</v>
      </c>
      <c r="G915" s="14">
        <f>158.4115 * CHOOSE(CONTROL!$C$9, $D$9, 100%, $F$9) + CHOOSE(CONTROL!$C$27, 0.0021, 0)</f>
        <v>158.4136</v>
      </c>
      <c r="H915" s="14">
        <f>158.2768 * CHOOSE(CONTROL!$C$9, $D$9, 100%, $F$9) + CHOOSE(CONTROL!$C$27, 0.0021, 0)</f>
        <v>158.27890000000002</v>
      </c>
      <c r="I915" s="14">
        <f>158.2768 * CHOOSE(CONTROL!$C$9, $D$9, 100%, $F$9) + CHOOSE(CONTROL!$C$27, 0.0021, 0)</f>
        <v>158.27890000000002</v>
      </c>
      <c r="J915" s="14">
        <f>158.2768 * CHOOSE(CONTROL!$C$9, $D$9, 100%, $F$9) + CHOOSE(CONTROL!$C$27, 0.0021, 0)</f>
        <v>158.27890000000002</v>
      </c>
      <c r="K915" s="14">
        <f>158.2768 * CHOOSE(CONTROL!$C$9, $D$9, 100%, $F$9) + CHOOSE(CONTROL!$C$27, 0.0021, 0)</f>
        <v>158.27890000000002</v>
      </c>
      <c r="L915" s="14"/>
    </row>
    <row r="916" spans="1:12" ht="15.75" x14ac:dyDescent="0.25">
      <c r="A916" s="32">
        <v>68819</v>
      </c>
      <c r="B916" s="14">
        <f>163.9581 * CHOOSE(CONTROL!$C$9, $D$9, 100%, $F$9) + CHOOSE(CONTROL!$C$27, 0.0021, 0)</f>
        <v>163.96020000000001</v>
      </c>
      <c r="C916" s="14">
        <f>163.5258 * CHOOSE(CONTROL!$C$9, $D$9, 100%, $F$9) + CHOOSE(CONTROL!$C$27, 0.0021, 0)</f>
        <v>163.52790000000002</v>
      </c>
      <c r="D916" s="14">
        <f>163.5258 * CHOOSE(CONTROL!$C$9, $D$9, 100%, $F$9) + CHOOSE(CONTROL!$C$27, 0.0021, 0)</f>
        <v>163.52790000000002</v>
      </c>
      <c r="E916" s="14">
        <f>163.3892 * CHOOSE(CONTROL!$C$9, $D$9, 100%, $F$9) + CHOOSE(CONTROL!$C$27, 0.0021, 0)</f>
        <v>163.3913</v>
      </c>
      <c r="F916" s="14">
        <f>163.3892 * CHOOSE(CONTROL!$C$9, $D$9, 100%, $F$9) + CHOOSE(CONTROL!$C$27, 0.0021, 0)</f>
        <v>163.3913</v>
      </c>
      <c r="G916" s="14">
        <f>163.6605 * CHOOSE(CONTROL!$C$9, $D$9, 100%, $F$9) + CHOOSE(CONTROL!$C$27, 0.0021, 0)</f>
        <v>163.66260000000003</v>
      </c>
      <c r="H916" s="14">
        <f>163.5258 * CHOOSE(CONTROL!$C$9, $D$9, 100%, $F$9) + CHOOSE(CONTROL!$C$27, 0.0021, 0)</f>
        <v>163.52790000000002</v>
      </c>
      <c r="I916" s="14">
        <f>163.5258 * CHOOSE(CONTROL!$C$9, $D$9, 100%, $F$9) + CHOOSE(CONTROL!$C$27, 0.0021, 0)</f>
        <v>163.52790000000002</v>
      </c>
      <c r="J916" s="14">
        <f>163.5258 * CHOOSE(CONTROL!$C$9, $D$9, 100%, $F$9) + CHOOSE(CONTROL!$C$27, 0.0021, 0)</f>
        <v>163.52790000000002</v>
      </c>
      <c r="K916" s="14">
        <f>163.5258 * CHOOSE(CONTROL!$C$9, $D$9, 100%, $F$9) + CHOOSE(CONTROL!$C$27, 0.0021, 0)</f>
        <v>163.52790000000002</v>
      </c>
      <c r="L916" s="14"/>
    </row>
    <row r="917" spans="1:12" ht="15.75" x14ac:dyDescent="0.25">
      <c r="A917" s="32">
        <v>68849</v>
      </c>
      <c r="B917" s="14">
        <f>166.2875 * CHOOSE(CONTROL!$C$9, $D$9, 100%, $F$9) + CHOOSE(CONTROL!$C$27, 0.0021, 0)</f>
        <v>166.28960000000001</v>
      </c>
      <c r="C917" s="14">
        <f>165.8553 * CHOOSE(CONTROL!$C$9, $D$9, 100%, $F$9) + CHOOSE(CONTROL!$C$27, 0.0021, 0)</f>
        <v>165.85740000000001</v>
      </c>
      <c r="D917" s="14">
        <f>165.8553 * CHOOSE(CONTROL!$C$9, $D$9, 100%, $F$9) + CHOOSE(CONTROL!$C$27, 0.0021, 0)</f>
        <v>165.85740000000001</v>
      </c>
      <c r="E917" s="14">
        <f>165.7186 * CHOOSE(CONTROL!$C$9, $D$9, 100%, $F$9) + CHOOSE(CONTROL!$C$27, 0.0021, 0)</f>
        <v>165.72070000000002</v>
      </c>
      <c r="F917" s="14">
        <f>165.7186 * CHOOSE(CONTROL!$C$9, $D$9, 100%, $F$9) + CHOOSE(CONTROL!$C$27, 0.0021, 0)</f>
        <v>165.72070000000002</v>
      </c>
      <c r="G917" s="14">
        <f>165.99 * CHOOSE(CONTROL!$C$9, $D$9, 100%, $F$9) + CHOOSE(CONTROL!$C$27, 0.0021, 0)</f>
        <v>165.99210000000002</v>
      </c>
      <c r="H917" s="14">
        <f>165.8553 * CHOOSE(CONTROL!$C$9, $D$9, 100%, $F$9) + CHOOSE(CONTROL!$C$27, 0.0021, 0)</f>
        <v>165.85740000000001</v>
      </c>
      <c r="I917" s="14">
        <f>165.8553 * CHOOSE(CONTROL!$C$9, $D$9, 100%, $F$9) + CHOOSE(CONTROL!$C$27, 0.0021, 0)</f>
        <v>165.85740000000001</v>
      </c>
      <c r="J917" s="14">
        <f>165.8553 * CHOOSE(CONTROL!$C$9, $D$9, 100%, $F$9) + CHOOSE(CONTROL!$C$27, 0.0021, 0)</f>
        <v>165.85740000000001</v>
      </c>
      <c r="K917" s="14">
        <f>165.8553 * CHOOSE(CONTROL!$C$9, $D$9, 100%, $F$9) + CHOOSE(CONTROL!$C$27, 0.0021, 0)</f>
        <v>165.85740000000001</v>
      </c>
      <c r="L917" s="14"/>
    </row>
    <row r="918" spans="1:12" ht="15.75" x14ac:dyDescent="0.25">
      <c r="A918" s="32">
        <v>68880</v>
      </c>
      <c r="B918" s="14">
        <f>165.5205 * CHOOSE(CONTROL!$C$9, $D$9, 100%, $F$9) + CHOOSE(CONTROL!$C$27, 0.0021, 0)</f>
        <v>165.52260000000001</v>
      </c>
      <c r="C918" s="14">
        <f>165.0883 * CHOOSE(CONTROL!$C$9, $D$9, 100%, $F$9) + CHOOSE(CONTROL!$C$27, 0.0021, 0)</f>
        <v>165.09040000000002</v>
      </c>
      <c r="D918" s="14">
        <f>165.0883 * CHOOSE(CONTROL!$C$9, $D$9, 100%, $F$9) + CHOOSE(CONTROL!$C$27, 0.0021, 0)</f>
        <v>165.09040000000002</v>
      </c>
      <c r="E918" s="14">
        <f>164.9516 * CHOOSE(CONTROL!$C$9, $D$9, 100%, $F$9) + CHOOSE(CONTROL!$C$27, 0.0021, 0)</f>
        <v>164.95370000000003</v>
      </c>
      <c r="F918" s="14">
        <f>164.9516 * CHOOSE(CONTROL!$C$9, $D$9, 100%, $F$9) + CHOOSE(CONTROL!$C$27, 0.0021, 0)</f>
        <v>164.95370000000003</v>
      </c>
      <c r="G918" s="14">
        <f>165.223 * CHOOSE(CONTROL!$C$9, $D$9, 100%, $F$9) + CHOOSE(CONTROL!$C$27, 0.0021, 0)</f>
        <v>165.22510000000003</v>
      </c>
      <c r="H918" s="14">
        <f>165.0883 * CHOOSE(CONTROL!$C$9, $D$9, 100%, $F$9) + CHOOSE(CONTROL!$C$27, 0.0021, 0)</f>
        <v>165.09040000000002</v>
      </c>
      <c r="I918" s="14">
        <f>165.0883 * CHOOSE(CONTROL!$C$9, $D$9, 100%, $F$9) + CHOOSE(CONTROL!$C$27, 0.0021, 0)</f>
        <v>165.09040000000002</v>
      </c>
      <c r="J918" s="14">
        <f>165.0883 * CHOOSE(CONTROL!$C$9, $D$9, 100%, $F$9) + CHOOSE(CONTROL!$C$27, 0.0021, 0)</f>
        <v>165.09040000000002</v>
      </c>
      <c r="K918" s="14">
        <f>165.0883 * CHOOSE(CONTROL!$C$9, $D$9, 100%, $F$9) + CHOOSE(CONTROL!$C$27, 0.0021, 0)</f>
        <v>165.09040000000002</v>
      </c>
      <c r="L918" s="14"/>
    </row>
    <row r="919" spans="1:12" ht="15.75" x14ac:dyDescent="0.25">
      <c r="A919" s="32">
        <v>68911</v>
      </c>
      <c r="B919" s="14">
        <f>161.7207 * CHOOSE(CONTROL!$C$9, $D$9, 100%, $F$9) + CHOOSE(CONTROL!$C$27, 0.0021, 0)</f>
        <v>161.72280000000001</v>
      </c>
      <c r="C919" s="14">
        <f>161.2884 * CHOOSE(CONTROL!$C$9, $D$9, 100%, $F$9) + CHOOSE(CONTROL!$C$27, 0.0021, 0)</f>
        <v>161.29050000000001</v>
      </c>
      <c r="D919" s="14">
        <f>161.2884 * CHOOSE(CONTROL!$C$9, $D$9, 100%, $F$9) + CHOOSE(CONTROL!$C$27, 0.0021, 0)</f>
        <v>161.29050000000001</v>
      </c>
      <c r="E919" s="14">
        <f>161.1518 * CHOOSE(CONTROL!$C$9, $D$9, 100%, $F$9) + CHOOSE(CONTROL!$C$27, 0.0021, 0)</f>
        <v>161.15390000000002</v>
      </c>
      <c r="F919" s="14">
        <f>161.1518 * CHOOSE(CONTROL!$C$9, $D$9, 100%, $F$9) + CHOOSE(CONTROL!$C$27, 0.0021, 0)</f>
        <v>161.15390000000002</v>
      </c>
      <c r="G919" s="14">
        <f>161.4231 * CHOOSE(CONTROL!$C$9, $D$9, 100%, $F$9) + CHOOSE(CONTROL!$C$27, 0.0021, 0)</f>
        <v>161.42520000000002</v>
      </c>
      <c r="H919" s="14">
        <f>161.2884 * CHOOSE(CONTROL!$C$9, $D$9, 100%, $F$9) + CHOOSE(CONTROL!$C$27, 0.0021, 0)</f>
        <v>161.29050000000001</v>
      </c>
      <c r="I919" s="14">
        <f>161.2884 * CHOOSE(CONTROL!$C$9, $D$9, 100%, $F$9) + CHOOSE(CONTROL!$C$27, 0.0021, 0)</f>
        <v>161.29050000000001</v>
      </c>
      <c r="J919" s="14">
        <f>161.2884 * CHOOSE(CONTROL!$C$9, $D$9, 100%, $F$9) + CHOOSE(CONTROL!$C$27, 0.0021, 0)</f>
        <v>161.29050000000001</v>
      </c>
      <c r="K919" s="14">
        <f>161.2884 * CHOOSE(CONTROL!$C$9, $D$9, 100%, $F$9) + CHOOSE(CONTROL!$C$27, 0.0021, 0)</f>
        <v>161.29050000000001</v>
      </c>
      <c r="L919" s="14"/>
    </row>
    <row r="920" spans="1:12" ht="15.75" x14ac:dyDescent="0.25">
      <c r="A920" s="32">
        <v>68941</v>
      </c>
      <c r="B920" s="14">
        <f>156.4215 * CHOOSE(CONTROL!$C$9, $D$9, 100%, $F$9) + CHOOSE(CONTROL!$C$27, 0.0021, 0)</f>
        <v>156.42360000000002</v>
      </c>
      <c r="C920" s="14">
        <f>155.9893 * CHOOSE(CONTROL!$C$9, $D$9, 100%, $F$9) + CHOOSE(CONTROL!$C$27, 0.0021, 0)</f>
        <v>155.9914</v>
      </c>
      <c r="D920" s="14">
        <f>155.9893 * CHOOSE(CONTROL!$C$9, $D$9, 100%, $F$9) + CHOOSE(CONTROL!$C$27, 0.0021, 0)</f>
        <v>155.9914</v>
      </c>
      <c r="E920" s="14">
        <f>155.8526 * CHOOSE(CONTROL!$C$9, $D$9, 100%, $F$9) + CHOOSE(CONTROL!$C$27, 0.0021, 0)</f>
        <v>155.85470000000001</v>
      </c>
      <c r="F920" s="14">
        <f>155.8526 * CHOOSE(CONTROL!$C$9, $D$9, 100%, $F$9) + CHOOSE(CONTROL!$C$27, 0.0021, 0)</f>
        <v>155.85470000000001</v>
      </c>
      <c r="G920" s="14">
        <f>156.124 * CHOOSE(CONTROL!$C$9, $D$9, 100%, $F$9) + CHOOSE(CONTROL!$C$27, 0.0021, 0)</f>
        <v>156.12610000000001</v>
      </c>
      <c r="H920" s="14">
        <f>155.9893 * CHOOSE(CONTROL!$C$9, $D$9, 100%, $F$9) + CHOOSE(CONTROL!$C$27, 0.0021, 0)</f>
        <v>155.9914</v>
      </c>
      <c r="I920" s="14">
        <f>155.9893 * CHOOSE(CONTROL!$C$9, $D$9, 100%, $F$9) + CHOOSE(CONTROL!$C$27, 0.0021, 0)</f>
        <v>155.9914</v>
      </c>
      <c r="J920" s="14">
        <f>155.9893 * CHOOSE(CONTROL!$C$9, $D$9, 100%, $F$9) + CHOOSE(CONTROL!$C$27, 0.0021, 0)</f>
        <v>155.9914</v>
      </c>
      <c r="K920" s="14">
        <f>155.9893 * CHOOSE(CONTROL!$C$9, $D$9, 100%, $F$9) + CHOOSE(CONTROL!$C$27, 0.0021, 0)</f>
        <v>155.9914</v>
      </c>
      <c r="L920" s="14"/>
    </row>
    <row r="921" spans="1:12" ht="15.75" x14ac:dyDescent="0.25">
      <c r="A921" s="32">
        <v>68972</v>
      </c>
      <c r="B921" s="14">
        <f>151.0916 * CHOOSE(CONTROL!$C$9, $D$9, 100%, $F$9) + CHOOSE(CONTROL!$C$27, 0.0021, 0)</f>
        <v>151.09370000000001</v>
      </c>
      <c r="C921" s="14">
        <f>150.6594 * CHOOSE(CONTROL!$C$9, $D$9, 100%, $F$9) + CHOOSE(CONTROL!$C$27, 0.0021, 0)</f>
        <v>150.66150000000002</v>
      </c>
      <c r="D921" s="14">
        <f>150.6594 * CHOOSE(CONTROL!$C$9, $D$9, 100%, $F$9) + CHOOSE(CONTROL!$C$27, 0.0021, 0)</f>
        <v>150.66150000000002</v>
      </c>
      <c r="E921" s="14">
        <f>150.5227 * CHOOSE(CONTROL!$C$9, $D$9, 100%, $F$9) + CHOOSE(CONTROL!$C$27, 0.0021, 0)</f>
        <v>150.5248</v>
      </c>
      <c r="F921" s="14">
        <f>150.5227 * CHOOSE(CONTROL!$C$9, $D$9, 100%, $F$9) + CHOOSE(CONTROL!$C$27, 0.0021, 0)</f>
        <v>150.5248</v>
      </c>
      <c r="G921" s="14">
        <f>150.7941 * CHOOSE(CONTROL!$C$9, $D$9, 100%, $F$9) + CHOOSE(CONTROL!$C$27, 0.0021, 0)</f>
        <v>150.7962</v>
      </c>
      <c r="H921" s="14">
        <f>150.6594 * CHOOSE(CONTROL!$C$9, $D$9, 100%, $F$9) + CHOOSE(CONTROL!$C$27, 0.0021, 0)</f>
        <v>150.66150000000002</v>
      </c>
      <c r="I921" s="14">
        <f>150.6594 * CHOOSE(CONTROL!$C$9, $D$9, 100%, $F$9) + CHOOSE(CONTROL!$C$27, 0.0021, 0)</f>
        <v>150.66150000000002</v>
      </c>
      <c r="J921" s="14">
        <f>150.6594 * CHOOSE(CONTROL!$C$9, $D$9, 100%, $F$9) + CHOOSE(CONTROL!$C$27, 0.0021, 0)</f>
        <v>150.66150000000002</v>
      </c>
      <c r="K921" s="14">
        <f>150.6594 * CHOOSE(CONTROL!$C$9, $D$9, 100%, $F$9) + CHOOSE(CONTROL!$C$27, 0.0021, 0)</f>
        <v>150.66150000000002</v>
      </c>
      <c r="L921" s="14"/>
    </row>
    <row r="922" spans="1:12" ht="15.75" x14ac:dyDescent="0.25">
      <c r="A922" s="32">
        <v>69002</v>
      </c>
      <c r="B922" s="14">
        <f>150.0314 * CHOOSE(CONTROL!$C$9, $D$9, 100%, $F$9) + CHOOSE(CONTROL!$C$27, 0.0021, 0)</f>
        <v>150.0335</v>
      </c>
      <c r="C922" s="14">
        <f>149.5991 * CHOOSE(CONTROL!$C$9, $D$9, 100%, $F$9) + CHOOSE(CONTROL!$C$27, 0.0021, 0)</f>
        <v>149.60120000000001</v>
      </c>
      <c r="D922" s="14">
        <f>149.5991 * CHOOSE(CONTROL!$C$9, $D$9, 100%, $F$9) + CHOOSE(CONTROL!$C$27, 0.0021, 0)</f>
        <v>149.60120000000001</v>
      </c>
      <c r="E922" s="14">
        <f>149.4625 * CHOOSE(CONTROL!$C$9, $D$9, 100%, $F$9) + CHOOSE(CONTROL!$C$27, 0.0021, 0)</f>
        <v>149.46460000000002</v>
      </c>
      <c r="F922" s="14">
        <f>149.4625 * CHOOSE(CONTROL!$C$9, $D$9, 100%, $F$9) + CHOOSE(CONTROL!$C$27, 0.0021, 0)</f>
        <v>149.46460000000002</v>
      </c>
      <c r="G922" s="14">
        <f>149.7338 * CHOOSE(CONTROL!$C$9, $D$9, 100%, $F$9) + CHOOSE(CONTROL!$C$27, 0.0021, 0)</f>
        <v>149.73590000000002</v>
      </c>
      <c r="H922" s="14">
        <f>149.5991 * CHOOSE(CONTROL!$C$9, $D$9, 100%, $F$9) + CHOOSE(CONTROL!$C$27, 0.0021, 0)</f>
        <v>149.60120000000001</v>
      </c>
      <c r="I922" s="14">
        <f>149.5991 * CHOOSE(CONTROL!$C$9, $D$9, 100%, $F$9) + CHOOSE(CONTROL!$C$27, 0.0021, 0)</f>
        <v>149.60120000000001</v>
      </c>
      <c r="J922" s="14">
        <f>149.5991 * CHOOSE(CONTROL!$C$9, $D$9, 100%, $F$9) + CHOOSE(CONTROL!$C$27, 0.0021, 0)</f>
        <v>149.60120000000001</v>
      </c>
      <c r="K922" s="14">
        <f>149.5991 * CHOOSE(CONTROL!$C$9, $D$9, 100%, $F$9) + CHOOSE(CONTROL!$C$27, 0.0021, 0)</f>
        <v>149.60120000000001</v>
      </c>
      <c r="L922" s="14"/>
    </row>
    <row r="923" spans="1:12" ht="15.75" x14ac:dyDescent="0.25">
      <c r="A923" s="32">
        <v>69033</v>
      </c>
      <c r="B923" s="14">
        <f>145.6472 * CHOOSE(CONTROL!$C$9, $D$9, 100%, $F$9) + CHOOSE(CONTROL!$C$27, 0.0021, 0)</f>
        <v>145.64930000000001</v>
      </c>
      <c r="C923" s="14">
        <f>145.215 * CHOOSE(CONTROL!$C$9, $D$9, 100%, $F$9) + CHOOSE(CONTROL!$C$27, 0.0021, 0)</f>
        <v>145.21710000000002</v>
      </c>
      <c r="D923" s="14">
        <f>145.215 * CHOOSE(CONTROL!$C$9, $D$9, 100%, $F$9) + CHOOSE(CONTROL!$C$27, 0.0021, 0)</f>
        <v>145.21710000000002</v>
      </c>
      <c r="E923" s="14">
        <f>145.0783 * CHOOSE(CONTROL!$C$9, $D$9, 100%, $F$9) + CHOOSE(CONTROL!$C$27, 0.0021, 0)</f>
        <v>145.08040000000003</v>
      </c>
      <c r="F923" s="14">
        <f>145.0783 * CHOOSE(CONTROL!$C$9, $D$9, 100%, $F$9) + CHOOSE(CONTROL!$C$27, 0.0021, 0)</f>
        <v>145.08040000000003</v>
      </c>
      <c r="G923" s="14">
        <f>145.3497 * CHOOSE(CONTROL!$C$9, $D$9, 100%, $F$9) + CHOOSE(CONTROL!$C$27, 0.0021, 0)</f>
        <v>145.35180000000003</v>
      </c>
      <c r="H923" s="14">
        <f>145.215 * CHOOSE(CONTROL!$C$9, $D$9, 100%, $F$9) + CHOOSE(CONTROL!$C$27, 0.0021, 0)</f>
        <v>145.21710000000002</v>
      </c>
      <c r="I923" s="14">
        <f>145.215 * CHOOSE(CONTROL!$C$9, $D$9, 100%, $F$9) + CHOOSE(CONTROL!$C$27, 0.0021, 0)</f>
        <v>145.21710000000002</v>
      </c>
      <c r="J923" s="14">
        <f>145.215 * CHOOSE(CONTROL!$C$9, $D$9, 100%, $F$9) + CHOOSE(CONTROL!$C$27, 0.0021, 0)</f>
        <v>145.21710000000002</v>
      </c>
      <c r="K923" s="14">
        <f>145.215 * CHOOSE(CONTROL!$C$9, $D$9, 100%, $F$9) + CHOOSE(CONTROL!$C$27, 0.0021, 0)</f>
        <v>145.21710000000002</v>
      </c>
      <c r="L923" s="14"/>
    </row>
    <row r="924" spans="1:12" ht="15.75" x14ac:dyDescent="0.25">
      <c r="A924" s="32">
        <v>69064</v>
      </c>
      <c r="B924" s="14">
        <f>144.7936 * CHOOSE(CONTROL!$C$9, $D$9, 100%, $F$9) + CHOOSE(CONTROL!$C$27, 0.0021, 0)</f>
        <v>144.79570000000001</v>
      </c>
      <c r="C924" s="14">
        <f>144.3614 * CHOOSE(CONTROL!$C$9, $D$9, 100%, $F$9) + CHOOSE(CONTROL!$C$27, 0.0021, 0)</f>
        <v>144.36350000000002</v>
      </c>
      <c r="D924" s="14">
        <f>144.3614 * CHOOSE(CONTROL!$C$9, $D$9, 100%, $F$9) + CHOOSE(CONTROL!$C$27, 0.0021, 0)</f>
        <v>144.36350000000002</v>
      </c>
      <c r="E924" s="14">
        <f>144.2247 * CHOOSE(CONTROL!$C$9, $D$9, 100%, $F$9) + CHOOSE(CONTROL!$C$27, 0.0021, 0)</f>
        <v>144.22680000000003</v>
      </c>
      <c r="F924" s="14">
        <f>144.2247 * CHOOSE(CONTROL!$C$9, $D$9, 100%, $F$9) + CHOOSE(CONTROL!$C$27, 0.0021, 0)</f>
        <v>144.22680000000003</v>
      </c>
      <c r="G924" s="14">
        <f>144.4961 * CHOOSE(CONTROL!$C$9, $D$9, 100%, $F$9) + CHOOSE(CONTROL!$C$27, 0.0021, 0)</f>
        <v>144.49820000000003</v>
      </c>
      <c r="H924" s="14">
        <f>144.3614 * CHOOSE(CONTROL!$C$9, $D$9, 100%, $F$9) + CHOOSE(CONTROL!$C$27, 0.0021, 0)</f>
        <v>144.36350000000002</v>
      </c>
      <c r="I924" s="14">
        <f>144.3614 * CHOOSE(CONTROL!$C$9, $D$9, 100%, $F$9) + CHOOSE(CONTROL!$C$27, 0.0021, 0)</f>
        <v>144.36350000000002</v>
      </c>
      <c r="J924" s="14">
        <f>144.3614 * CHOOSE(CONTROL!$C$9, $D$9, 100%, $F$9) + CHOOSE(CONTROL!$C$27, 0.0021, 0)</f>
        <v>144.36350000000002</v>
      </c>
      <c r="K924" s="14">
        <f>144.3614 * CHOOSE(CONTROL!$C$9, $D$9, 100%, $F$9) + CHOOSE(CONTROL!$C$27, 0.0021, 0)</f>
        <v>144.36350000000002</v>
      </c>
      <c r="L924" s="14"/>
    </row>
    <row r="925" spans="1:12" ht="15.75" x14ac:dyDescent="0.25">
      <c r="A925" s="32">
        <v>69092</v>
      </c>
      <c r="B925" s="14">
        <f>144.3975 * CHOOSE(CONTROL!$C$9, $D$9, 100%, $F$9) + CHOOSE(CONTROL!$C$27, 0.0021, 0)</f>
        <v>144.39960000000002</v>
      </c>
      <c r="C925" s="14">
        <f>143.9653 * CHOOSE(CONTROL!$C$9, $D$9, 100%, $F$9) + CHOOSE(CONTROL!$C$27, 0.0021, 0)</f>
        <v>143.96740000000003</v>
      </c>
      <c r="D925" s="14">
        <f>143.9653 * CHOOSE(CONTROL!$C$9, $D$9, 100%, $F$9) + CHOOSE(CONTROL!$C$27, 0.0021, 0)</f>
        <v>143.96740000000003</v>
      </c>
      <c r="E925" s="14">
        <f>143.8286 * CHOOSE(CONTROL!$C$9, $D$9, 100%, $F$9) + CHOOSE(CONTROL!$C$27, 0.0021, 0)</f>
        <v>143.83070000000001</v>
      </c>
      <c r="F925" s="14">
        <f>143.8286 * CHOOSE(CONTROL!$C$9, $D$9, 100%, $F$9) + CHOOSE(CONTROL!$C$27, 0.0021, 0)</f>
        <v>143.83070000000001</v>
      </c>
      <c r="G925" s="14">
        <f>144.1 * CHOOSE(CONTROL!$C$9, $D$9, 100%, $F$9) + CHOOSE(CONTROL!$C$27, 0.0021, 0)</f>
        <v>144.10210000000001</v>
      </c>
      <c r="H925" s="14">
        <f>143.9653 * CHOOSE(CONTROL!$C$9, $D$9, 100%, $F$9) + CHOOSE(CONTROL!$C$27, 0.0021, 0)</f>
        <v>143.96740000000003</v>
      </c>
      <c r="I925" s="14">
        <f>143.9653 * CHOOSE(CONTROL!$C$9, $D$9, 100%, $F$9) + CHOOSE(CONTROL!$C$27, 0.0021, 0)</f>
        <v>143.96740000000003</v>
      </c>
      <c r="J925" s="14">
        <f>143.9653 * CHOOSE(CONTROL!$C$9, $D$9, 100%, $F$9) + CHOOSE(CONTROL!$C$27, 0.0021, 0)</f>
        <v>143.96740000000003</v>
      </c>
      <c r="K925" s="14">
        <f>143.9653 * CHOOSE(CONTROL!$C$9, $D$9, 100%, $F$9) + CHOOSE(CONTROL!$C$27, 0.0021, 0)</f>
        <v>143.96740000000003</v>
      </c>
      <c r="L925" s="14"/>
    </row>
    <row r="926" spans="1:12" ht="15.75" x14ac:dyDescent="0.25">
      <c r="A926" s="32">
        <v>69123</v>
      </c>
      <c r="B926" s="14">
        <f>151.8873 * CHOOSE(CONTROL!$C$9, $D$9, 100%, $F$9) + CHOOSE(CONTROL!$C$27, 0.0021, 0)</f>
        <v>151.88940000000002</v>
      </c>
      <c r="C926" s="14">
        <f>151.4551 * CHOOSE(CONTROL!$C$9, $D$9, 100%, $F$9) + CHOOSE(CONTROL!$C$27, 0.0021, 0)</f>
        <v>151.4572</v>
      </c>
      <c r="D926" s="14">
        <f>151.4551 * CHOOSE(CONTROL!$C$9, $D$9, 100%, $F$9) + CHOOSE(CONTROL!$C$27, 0.0021, 0)</f>
        <v>151.4572</v>
      </c>
      <c r="E926" s="14">
        <f>151.3184 * CHOOSE(CONTROL!$C$9, $D$9, 100%, $F$9) + CHOOSE(CONTROL!$C$27, 0.0021, 0)</f>
        <v>151.32050000000001</v>
      </c>
      <c r="F926" s="14">
        <f>151.3184 * CHOOSE(CONTROL!$C$9, $D$9, 100%, $F$9) + CHOOSE(CONTROL!$C$27, 0.0021, 0)</f>
        <v>151.32050000000001</v>
      </c>
      <c r="G926" s="14">
        <f>151.5898 * CHOOSE(CONTROL!$C$9, $D$9, 100%, $F$9) + CHOOSE(CONTROL!$C$27, 0.0021, 0)</f>
        <v>151.59190000000001</v>
      </c>
      <c r="H926" s="14">
        <f>151.4551 * CHOOSE(CONTROL!$C$9, $D$9, 100%, $F$9) + CHOOSE(CONTROL!$C$27, 0.0021, 0)</f>
        <v>151.4572</v>
      </c>
      <c r="I926" s="14">
        <f>151.4551 * CHOOSE(CONTROL!$C$9, $D$9, 100%, $F$9) + CHOOSE(CONTROL!$C$27, 0.0021, 0)</f>
        <v>151.4572</v>
      </c>
      <c r="J926" s="14">
        <f>151.4551 * CHOOSE(CONTROL!$C$9, $D$9, 100%, $F$9) + CHOOSE(CONTROL!$C$27, 0.0021, 0)</f>
        <v>151.4572</v>
      </c>
      <c r="K926" s="14">
        <f>151.4551 * CHOOSE(CONTROL!$C$9, $D$9, 100%, $F$9) + CHOOSE(CONTROL!$C$27, 0.0021, 0)</f>
        <v>151.4572</v>
      </c>
      <c r="L926" s="14"/>
    </row>
    <row r="927" spans="1:12" ht="15.75" x14ac:dyDescent="0.25">
      <c r="A927" s="32">
        <v>69153</v>
      </c>
      <c r="B927" s="14">
        <f>161.5997 * CHOOSE(CONTROL!$C$9, $D$9, 100%, $F$9) + CHOOSE(CONTROL!$C$27, 0.0021, 0)</f>
        <v>161.60180000000003</v>
      </c>
      <c r="C927" s="14">
        <f>161.1675 * CHOOSE(CONTROL!$C$9, $D$9, 100%, $F$9) + CHOOSE(CONTROL!$C$27, 0.0021, 0)</f>
        <v>161.1696</v>
      </c>
      <c r="D927" s="14">
        <f>161.1675 * CHOOSE(CONTROL!$C$9, $D$9, 100%, $F$9) + CHOOSE(CONTROL!$C$27, 0.0021, 0)</f>
        <v>161.1696</v>
      </c>
      <c r="E927" s="14">
        <f>161.0308 * CHOOSE(CONTROL!$C$9, $D$9, 100%, $F$9) + CHOOSE(CONTROL!$C$27, 0.0021, 0)</f>
        <v>161.03290000000001</v>
      </c>
      <c r="F927" s="14">
        <f>161.0308 * CHOOSE(CONTROL!$C$9, $D$9, 100%, $F$9) + CHOOSE(CONTROL!$C$27, 0.0021, 0)</f>
        <v>161.03290000000001</v>
      </c>
      <c r="G927" s="14">
        <f>161.3022 * CHOOSE(CONTROL!$C$9, $D$9, 100%, $F$9) + CHOOSE(CONTROL!$C$27, 0.0021, 0)</f>
        <v>161.30430000000001</v>
      </c>
      <c r="H927" s="14">
        <f>161.1675 * CHOOSE(CONTROL!$C$9, $D$9, 100%, $F$9) + CHOOSE(CONTROL!$C$27, 0.0021, 0)</f>
        <v>161.1696</v>
      </c>
      <c r="I927" s="14">
        <f>161.1675 * CHOOSE(CONTROL!$C$9, $D$9, 100%, $F$9) + CHOOSE(CONTROL!$C$27, 0.0021, 0)</f>
        <v>161.1696</v>
      </c>
      <c r="J927" s="14">
        <f>161.1675 * CHOOSE(CONTROL!$C$9, $D$9, 100%, $F$9) + CHOOSE(CONTROL!$C$27, 0.0021, 0)</f>
        <v>161.1696</v>
      </c>
      <c r="K927" s="14">
        <f>161.1675 * CHOOSE(CONTROL!$C$9, $D$9, 100%, $F$9) + CHOOSE(CONTROL!$C$27, 0.0021, 0)</f>
        <v>161.1696</v>
      </c>
      <c r="L927" s="14"/>
    </row>
    <row r="928" spans="1:12" ht="15.75" x14ac:dyDescent="0.25">
      <c r="A928" s="32">
        <v>69184</v>
      </c>
      <c r="B928" s="14">
        <f>166.9458 * CHOOSE(CONTROL!$C$9, $D$9, 100%, $F$9) + CHOOSE(CONTROL!$C$27, 0.0021, 0)</f>
        <v>166.9479</v>
      </c>
      <c r="C928" s="14">
        <f>166.5135 * CHOOSE(CONTROL!$C$9, $D$9, 100%, $F$9) + CHOOSE(CONTROL!$C$27, 0.0021, 0)</f>
        <v>166.51560000000001</v>
      </c>
      <c r="D928" s="14">
        <f>166.5135 * CHOOSE(CONTROL!$C$9, $D$9, 100%, $F$9) + CHOOSE(CONTROL!$C$27, 0.0021, 0)</f>
        <v>166.51560000000001</v>
      </c>
      <c r="E928" s="14">
        <f>166.3769 * CHOOSE(CONTROL!$C$9, $D$9, 100%, $F$9) + CHOOSE(CONTROL!$C$27, 0.0021, 0)</f>
        <v>166.37900000000002</v>
      </c>
      <c r="F928" s="14">
        <f>166.3769 * CHOOSE(CONTROL!$C$9, $D$9, 100%, $F$9) + CHOOSE(CONTROL!$C$27, 0.0021, 0)</f>
        <v>166.37900000000002</v>
      </c>
      <c r="G928" s="14">
        <f>166.6483 * CHOOSE(CONTROL!$C$9, $D$9, 100%, $F$9) + CHOOSE(CONTROL!$C$27, 0.0021, 0)</f>
        <v>166.65040000000002</v>
      </c>
      <c r="H928" s="14">
        <f>166.5135 * CHOOSE(CONTROL!$C$9, $D$9, 100%, $F$9) + CHOOSE(CONTROL!$C$27, 0.0021, 0)</f>
        <v>166.51560000000001</v>
      </c>
      <c r="I928" s="14">
        <f>166.5135 * CHOOSE(CONTROL!$C$9, $D$9, 100%, $F$9) + CHOOSE(CONTROL!$C$27, 0.0021, 0)</f>
        <v>166.51560000000001</v>
      </c>
      <c r="J928" s="14">
        <f>166.5135 * CHOOSE(CONTROL!$C$9, $D$9, 100%, $F$9) + CHOOSE(CONTROL!$C$27, 0.0021, 0)</f>
        <v>166.51560000000001</v>
      </c>
      <c r="K928" s="14">
        <f>166.5135 * CHOOSE(CONTROL!$C$9, $D$9, 100%, $F$9) + CHOOSE(CONTROL!$C$27, 0.0021, 0)</f>
        <v>166.51560000000001</v>
      </c>
      <c r="L928" s="14"/>
    </row>
    <row r="929" spans="1:12" ht="15.75" x14ac:dyDescent="0.25">
      <c r="A929" s="32">
        <v>69214</v>
      </c>
      <c r="B929" s="14">
        <f>169.3183 * CHOOSE(CONTROL!$C$9, $D$9, 100%, $F$9) + CHOOSE(CONTROL!$C$27, 0.0021, 0)</f>
        <v>169.32040000000001</v>
      </c>
      <c r="C929" s="14">
        <f>168.886 * CHOOSE(CONTROL!$C$9, $D$9, 100%, $F$9) + CHOOSE(CONTROL!$C$27, 0.0021, 0)</f>
        <v>168.88810000000001</v>
      </c>
      <c r="D929" s="14">
        <f>168.886 * CHOOSE(CONTROL!$C$9, $D$9, 100%, $F$9) + CHOOSE(CONTROL!$C$27, 0.0021, 0)</f>
        <v>168.88810000000001</v>
      </c>
      <c r="E929" s="14">
        <f>168.7494 * CHOOSE(CONTROL!$C$9, $D$9, 100%, $F$9) + CHOOSE(CONTROL!$C$27, 0.0021, 0)</f>
        <v>168.75150000000002</v>
      </c>
      <c r="F929" s="14">
        <f>168.7494 * CHOOSE(CONTROL!$C$9, $D$9, 100%, $F$9) + CHOOSE(CONTROL!$C$27, 0.0021, 0)</f>
        <v>168.75150000000002</v>
      </c>
      <c r="G929" s="14">
        <f>169.0207 * CHOOSE(CONTROL!$C$9, $D$9, 100%, $F$9) + CHOOSE(CONTROL!$C$27, 0.0021, 0)</f>
        <v>169.02280000000002</v>
      </c>
      <c r="H929" s="14">
        <f>168.886 * CHOOSE(CONTROL!$C$9, $D$9, 100%, $F$9) + CHOOSE(CONTROL!$C$27, 0.0021, 0)</f>
        <v>168.88810000000001</v>
      </c>
      <c r="I929" s="14">
        <f>168.886 * CHOOSE(CONTROL!$C$9, $D$9, 100%, $F$9) + CHOOSE(CONTROL!$C$27, 0.0021, 0)</f>
        <v>168.88810000000001</v>
      </c>
      <c r="J929" s="14">
        <f>168.886 * CHOOSE(CONTROL!$C$9, $D$9, 100%, $F$9) + CHOOSE(CONTROL!$C$27, 0.0021, 0)</f>
        <v>168.88810000000001</v>
      </c>
      <c r="K929" s="14">
        <f>168.886 * CHOOSE(CONTROL!$C$9, $D$9, 100%, $F$9) + CHOOSE(CONTROL!$C$27, 0.0021, 0)</f>
        <v>168.88810000000001</v>
      </c>
      <c r="L929" s="14"/>
    </row>
    <row r="930" spans="1:12" ht="15.75" x14ac:dyDescent="0.25">
      <c r="A930" s="32">
        <v>69245</v>
      </c>
      <c r="B930" s="14">
        <f>168.5371 * CHOOSE(CONTROL!$C$9, $D$9, 100%, $F$9) + CHOOSE(CONTROL!$C$27, 0.0021, 0)</f>
        <v>168.53920000000002</v>
      </c>
      <c r="C930" s="14">
        <f>168.1049 * CHOOSE(CONTROL!$C$9, $D$9, 100%, $F$9) + CHOOSE(CONTROL!$C$27, 0.0021, 0)</f>
        <v>168.107</v>
      </c>
      <c r="D930" s="14">
        <f>168.1049 * CHOOSE(CONTROL!$C$9, $D$9, 100%, $F$9) + CHOOSE(CONTROL!$C$27, 0.0021, 0)</f>
        <v>168.107</v>
      </c>
      <c r="E930" s="14">
        <f>167.9682 * CHOOSE(CONTROL!$C$9, $D$9, 100%, $F$9) + CHOOSE(CONTROL!$C$27, 0.0021, 0)</f>
        <v>167.97030000000001</v>
      </c>
      <c r="F930" s="14">
        <f>167.9682 * CHOOSE(CONTROL!$C$9, $D$9, 100%, $F$9) + CHOOSE(CONTROL!$C$27, 0.0021, 0)</f>
        <v>167.97030000000001</v>
      </c>
      <c r="G930" s="14">
        <f>168.2396 * CHOOSE(CONTROL!$C$9, $D$9, 100%, $F$9) + CHOOSE(CONTROL!$C$27, 0.0021, 0)</f>
        <v>168.24170000000001</v>
      </c>
      <c r="H930" s="14">
        <f>168.1049 * CHOOSE(CONTROL!$C$9, $D$9, 100%, $F$9) + CHOOSE(CONTROL!$C$27, 0.0021, 0)</f>
        <v>168.107</v>
      </c>
      <c r="I930" s="14">
        <f>168.1049 * CHOOSE(CONTROL!$C$9, $D$9, 100%, $F$9) + CHOOSE(CONTROL!$C$27, 0.0021, 0)</f>
        <v>168.107</v>
      </c>
      <c r="J930" s="14">
        <f>168.1049 * CHOOSE(CONTROL!$C$9, $D$9, 100%, $F$9) + CHOOSE(CONTROL!$C$27, 0.0021, 0)</f>
        <v>168.107</v>
      </c>
      <c r="K930" s="14">
        <f>168.1049 * CHOOSE(CONTROL!$C$9, $D$9, 100%, $F$9) + CHOOSE(CONTROL!$C$27, 0.0021, 0)</f>
        <v>168.107</v>
      </c>
      <c r="L930" s="14"/>
    </row>
    <row r="931" spans="1:12" ht="15.75" x14ac:dyDescent="0.25">
      <c r="A931" s="32">
        <v>69276</v>
      </c>
      <c r="B931" s="14">
        <f>164.667 * CHOOSE(CONTROL!$C$9, $D$9, 100%, $F$9) + CHOOSE(CONTROL!$C$27, 0.0021, 0)</f>
        <v>164.66910000000001</v>
      </c>
      <c r="C931" s="14">
        <f>164.2348 * CHOOSE(CONTROL!$C$9, $D$9, 100%, $F$9) + CHOOSE(CONTROL!$C$27, 0.0021, 0)</f>
        <v>164.23690000000002</v>
      </c>
      <c r="D931" s="14">
        <f>164.2348 * CHOOSE(CONTROL!$C$9, $D$9, 100%, $F$9) + CHOOSE(CONTROL!$C$27, 0.0021, 0)</f>
        <v>164.23690000000002</v>
      </c>
      <c r="E931" s="14">
        <f>164.0981 * CHOOSE(CONTROL!$C$9, $D$9, 100%, $F$9) + CHOOSE(CONTROL!$C$27, 0.0021, 0)</f>
        <v>164.1002</v>
      </c>
      <c r="F931" s="14">
        <f>164.0981 * CHOOSE(CONTROL!$C$9, $D$9, 100%, $F$9) + CHOOSE(CONTROL!$C$27, 0.0021, 0)</f>
        <v>164.1002</v>
      </c>
      <c r="G931" s="14">
        <f>164.3695 * CHOOSE(CONTROL!$C$9, $D$9, 100%, $F$9) + CHOOSE(CONTROL!$C$27, 0.0021, 0)</f>
        <v>164.3716</v>
      </c>
      <c r="H931" s="14">
        <f>164.2348 * CHOOSE(CONTROL!$C$9, $D$9, 100%, $F$9) + CHOOSE(CONTROL!$C$27, 0.0021, 0)</f>
        <v>164.23690000000002</v>
      </c>
      <c r="I931" s="14">
        <f>164.2348 * CHOOSE(CONTROL!$C$9, $D$9, 100%, $F$9) + CHOOSE(CONTROL!$C$27, 0.0021, 0)</f>
        <v>164.23690000000002</v>
      </c>
      <c r="J931" s="14">
        <f>164.2348 * CHOOSE(CONTROL!$C$9, $D$9, 100%, $F$9) + CHOOSE(CONTROL!$C$27, 0.0021, 0)</f>
        <v>164.23690000000002</v>
      </c>
      <c r="K931" s="14">
        <f>164.2348 * CHOOSE(CONTROL!$C$9, $D$9, 100%, $F$9) + CHOOSE(CONTROL!$C$27, 0.0021, 0)</f>
        <v>164.23690000000002</v>
      </c>
      <c r="L931" s="14"/>
    </row>
    <row r="932" spans="1:12" ht="15.75" x14ac:dyDescent="0.25">
      <c r="A932" s="32">
        <v>69306</v>
      </c>
      <c r="B932" s="14">
        <f>159.27 * CHOOSE(CONTROL!$C$9, $D$9, 100%, $F$9) + CHOOSE(CONTROL!$C$27, 0.0021, 0)</f>
        <v>159.27210000000002</v>
      </c>
      <c r="C932" s="14">
        <f>158.8377 * CHOOSE(CONTROL!$C$9, $D$9, 100%, $F$9) + CHOOSE(CONTROL!$C$27, 0.0021, 0)</f>
        <v>158.83980000000003</v>
      </c>
      <c r="D932" s="14">
        <f>158.8377 * CHOOSE(CONTROL!$C$9, $D$9, 100%, $F$9) + CHOOSE(CONTROL!$C$27, 0.0021, 0)</f>
        <v>158.83980000000003</v>
      </c>
      <c r="E932" s="14">
        <f>158.7011 * CHOOSE(CONTROL!$C$9, $D$9, 100%, $F$9) + CHOOSE(CONTROL!$C$27, 0.0021, 0)</f>
        <v>158.70320000000001</v>
      </c>
      <c r="F932" s="14">
        <f>158.7011 * CHOOSE(CONTROL!$C$9, $D$9, 100%, $F$9) + CHOOSE(CONTROL!$C$27, 0.0021, 0)</f>
        <v>158.70320000000001</v>
      </c>
      <c r="G932" s="14">
        <f>158.9724 * CHOOSE(CONTROL!$C$9, $D$9, 100%, $F$9) + CHOOSE(CONTROL!$C$27, 0.0021, 0)</f>
        <v>158.97450000000001</v>
      </c>
      <c r="H932" s="14">
        <f>158.8377 * CHOOSE(CONTROL!$C$9, $D$9, 100%, $F$9) + CHOOSE(CONTROL!$C$27, 0.0021, 0)</f>
        <v>158.83980000000003</v>
      </c>
      <c r="I932" s="14">
        <f>158.8377 * CHOOSE(CONTROL!$C$9, $D$9, 100%, $F$9) + CHOOSE(CONTROL!$C$27, 0.0021, 0)</f>
        <v>158.83980000000003</v>
      </c>
      <c r="J932" s="14">
        <f>158.8377 * CHOOSE(CONTROL!$C$9, $D$9, 100%, $F$9) + CHOOSE(CONTROL!$C$27, 0.0021, 0)</f>
        <v>158.83980000000003</v>
      </c>
      <c r="K932" s="14">
        <f>158.8377 * CHOOSE(CONTROL!$C$9, $D$9, 100%, $F$9) + CHOOSE(CONTROL!$C$27, 0.0021, 0)</f>
        <v>158.83980000000003</v>
      </c>
      <c r="L932" s="14"/>
    </row>
    <row r="933" spans="1:12" ht="15.75" x14ac:dyDescent="0.25">
      <c r="A933" s="32">
        <v>69337</v>
      </c>
      <c r="B933" s="14">
        <f>153.8415 * CHOOSE(CONTROL!$C$9, $D$9, 100%, $F$9) + CHOOSE(CONTROL!$C$27, 0.0021, 0)</f>
        <v>153.84360000000001</v>
      </c>
      <c r="C933" s="14">
        <f>153.4093 * CHOOSE(CONTROL!$C$9, $D$9, 100%, $F$9) + CHOOSE(CONTROL!$C$27, 0.0021, 0)</f>
        <v>153.41140000000001</v>
      </c>
      <c r="D933" s="14">
        <f>153.4093 * CHOOSE(CONTROL!$C$9, $D$9, 100%, $F$9) + CHOOSE(CONTROL!$C$27, 0.0021, 0)</f>
        <v>153.41140000000001</v>
      </c>
      <c r="E933" s="14">
        <f>153.2726 * CHOOSE(CONTROL!$C$9, $D$9, 100%, $F$9) + CHOOSE(CONTROL!$C$27, 0.0021, 0)</f>
        <v>153.27470000000002</v>
      </c>
      <c r="F933" s="14">
        <f>153.2726 * CHOOSE(CONTROL!$C$9, $D$9, 100%, $F$9) + CHOOSE(CONTROL!$C$27, 0.0021, 0)</f>
        <v>153.27470000000002</v>
      </c>
      <c r="G933" s="14">
        <f>153.544 * CHOOSE(CONTROL!$C$9, $D$9, 100%, $F$9) + CHOOSE(CONTROL!$C$27, 0.0021, 0)</f>
        <v>153.54610000000002</v>
      </c>
      <c r="H933" s="14">
        <f>153.4093 * CHOOSE(CONTROL!$C$9, $D$9, 100%, $F$9) + CHOOSE(CONTROL!$C$27, 0.0021, 0)</f>
        <v>153.41140000000001</v>
      </c>
      <c r="I933" s="14">
        <f>153.4093 * CHOOSE(CONTROL!$C$9, $D$9, 100%, $F$9) + CHOOSE(CONTROL!$C$27, 0.0021, 0)</f>
        <v>153.41140000000001</v>
      </c>
      <c r="J933" s="14">
        <f>153.4093 * CHOOSE(CONTROL!$C$9, $D$9, 100%, $F$9) + CHOOSE(CONTROL!$C$27, 0.0021, 0)</f>
        <v>153.41140000000001</v>
      </c>
      <c r="K933" s="14">
        <f>153.4093 * CHOOSE(CONTROL!$C$9, $D$9, 100%, $F$9) + CHOOSE(CONTROL!$C$27, 0.0021, 0)</f>
        <v>153.41140000000001</v>
      </c>
      <c r="L933" s="14"/>
    </row>
    <row r="934" spans="1:12" ht="15.75" x14ac:dyDescent="0.25">
      <c r="A934" s="32">
        <v>69367</v>
      </c>
      <c r="B934" s="14">
        <f>152.7617 * CHOOSE(CONTROL!$C$9, $D$9, 100%, $F$9) + CHOOSE(CONTROL!$C$27, 0.0021, 0)</f>
        <v>152.7638</v>
      </c>
      <c r="C934" s="14">
        <f>152.3294 * CHOOSE(CONTROL!$C$9, $D$9, 100%, $F$9) + CHOOSE(CONTROL!$C$27, 0.0021, 0)</f>
        <v>152.33150000000001</v>
      </c>
      <c r="D934" s="14">
        <f>152.3294 * CHOOSE(CONTROL!$C$9, $D$9, 100%, $F$9) + CHOOSE(CONTROL!$C$27, 0.0021, 0)</f>
        <v>152.33150000000001</v>
      </c>
      <c r="E934" s="14">
        <f>152.1928 * CHOOSE(CONTROL!$C$9, $D$9, 100%, $F$9) + CHOOSE(CONTROL!$C$27, 0.0021, 0)</f>
        <v>152.19490000000002</v>
      </c>
      <c r="F934" s="14">
        <f>152.1928 * CHOOSE(CONTROL!$C$9, $D$9, 100%, $F$9) + CHOOSE(CONTROL!$C$27, 0.0021, 0)</f>
        <v>152.19490000000002</v>
      </c>
      <c r="G934" s="14">
        <f>152.4642 * CHOOSE(CONTROL!$C$9, $D$9, 100%, $F$9) + CHOOSE(CONTROL!$C$27, 0.0021, 0)</f>
        <v>152.46630000000002</v>
      </c>
      <c r="H934" s="14">
        <f>152.3294 * CHOOSE(CONTROL!$C$9, $D$9, 100%, $F$9) + CHOOSE(CONTROL!$C$27, 0.0021, 0)</f>
        <v>152.33150000000001</v>
      </c>
      <c r="I934" s="14">
        <f>152.3294 * CHOOSE(CONTROL!$C$9, $D$9, 100%, $F$9) + CHOOSE(CONTROL!$C$27, 0.0021, 0)</f>
        <v>152.33150000000001</v>
      </c>
      <c r="J934" s="14">
        <f>152.3294 * CHOOSE(CONTROL!$C$9, $D$9, 100%, $F$9) + CHOOSE(CONTROL!$C$27, 0.0021, 0)</f>
        <v>152.33150000000001</v>
      </c>
      <c r="K934" s="14">
        <f>152.3294 * CHOOSE(CONTROL!$C$9, $D$9, 100%, $F$9) + CHOOSE(CONTROL!$C$27, 0.0021, 0)</f>
        <v>152.33150000000001</v>
      </c>
      <c r="L934" s="14"/>
    </row>
    <row r="935" spans="1:12" ht="15.75" x14ac:dyDescent="0.25">
      <c r="A935" s="32">
        <v>69398</v>
      </c>
      <c r="B935" s="14">
        <f>148.2965 * CHOOSE(CONTROL!$C$9, $D$9, 100%, $F$9) + CHOOSE(CONTROL!$C$27, 0.0021, 0)</f>
        <v>148.29860000000002</v>
      </c>
      <c r="C935" s="14">
        <f>147.8643 * CHOOSE(CONTROL!$C$9, $D$9, 100%, $F$9) + CHOOSE(CONTROL!$C$27, 0.0021, 0)</f>
        <v>147.8664</v>
      </c>
      <c r="D935" s="14">
        <f>147.8643 * CHOOSE(CONTROL!$C$9, $D$9, 100%, $F$9) + CHOOSE(CONTROL!$C$27, 0.0021, 0)</f>
        <v>147.8664</v>
      </c>
      <c r="E935" s="14">
        <f>147.7276 * CHOOSE(CONTROL!$C$9, $D$9, 100%, $F$9) + CHOOSE(CONTROL!$C$27, 0.0021, 0)</f>
        <v>147.72970000000001</v>
      </c>
      <c r="F935" s="14">
        <f>147.7276 * CHOOSE(CONTROL!$C$9, $D$9, 100%, $F$9) + CHOOSE(CONTROL!$C$27, 0.0021, 0)</f>
        <v>147.72970000000001</v>
      </c>
      <c r="G935" s="14">
        <f>147.999 * CHOOSE(CONTROL!$C$9, $D$9, 100%, $F$9) + CHOOSE(CONTROL!$C$27, 0.0021, 0)</f>
        <v>148.00110000000001</v>
      </c>
      <c r="H935" s="14">
        <f>147.8643 * CHOOSE(CONTROL!$C$9, $D$9, 100%, $F$9) + CHOOSE(CONTROL!$C$27, 0.0021, 0)</f>
        <v>147.8664</v>
      </c>
      <c r="I935" s="14">
        <f>147.8643 * CHOOSE(CONTROL!$C$9, $D$9, 100%, $F$9) + CHOOSE(CONTROL!$C$27, 0.0021, 0)</f>
        <v>147.8664</v>
      </c>
      <c r="J935" s="14">
        <f>147.8643 * CHOOSE(CONTROL!$C$9, $D$9, 100%, $F$9) + CHOOSE(CONTROL!$C$27, 0.0021, 0)</f>
        <v>147.8664</v>
      </c>
      <c r="K935" s="14">
        <f>147.8643 * CHOOSE(CONTROL!$C$9, $D$9, 100%, $F$9) + CHOOSE(CONTROL!$C$27, 0.0021, 0)</f>
        <v>147.8664</v>
      </c>
      <c r="L935" s="14"/>
    </row>
    <row r="936" spans="1:12" ht="15.75" x14ac:dyDescent="0.25">
      <c r="A936" s="32">
        <v>69429</v>
      </c>
      <c r="B936" s="14">
        <f>147.4272 * CHOOSE(CONTROL!$C$9, $D$9, 100%, $F$9) + CHOOSE(CONTROL!$C$27, 0.0021, 0)</f>
        <v>147.42930000000001</v>
      </c>
      <c r="C936" s="14">
        <f>146.9949 * CHOOSE(CONTROL!$C$9, $D$9, 100%, $F$9) + CHOOSE(CONTROL!$C$27, 0.0021, 0)</f>
        <v>146.99700000000001</v>
      </c>
      <c r="D936" s="14">
        <f>146.9949 * CHOOSE(CONTROL!$C$9, $D$9, 100%, $F$9) + CHOOSE(CONTROL!$C$27, 0.0021, 0)</f>
        <v>146.99700000000001</v>
      </c>
      <c r="E936" s="14">
        <f>146.8583 * CHOOSE(CONTROL!$C$9, $D$9, 100%, $F$9) + CHOOSE(CONTROL!$C$27, 0.0021, 0)</f>
        <v>146.86040000000003</v>
      </c>
      <c r="F936" s="14">
        <f>146.8583 * CHOOSE(CONTROL!$C$9, $D$9, 100%, $F$9) + CHOOSE(CONTROL!$C$27, 0.0021, 0)</f>
        <v>146.86040000000003</v>
      </c>
      <c r="G936" s="14">
        <f>147.1296 * CHOOSE(CONTROL!$C$9, $D$9, 100%, $F$9) + CHOOSE(CONTROL!$C$27, 0.0021, 0)</f>
        <v>147.13170000000002</v>
      </c>
      <c r="H936" s="14">
        <f>146.9949 * CHOOSE(CONTROL!$C$9, $D$9, 100%, $F$9) + CHOOSE(CONTROL!$C$27, 0.0021, 0)</f>
        <v>146.99700000000001</v>
      </c>
      <c r="I936" s="14">
        <f>146.9949 * CHOOSE(CONTROL!$C$9, $D$9, 100%, $F$9) + CHOOSE(CONTROL!$C$27, 0.0021, 0)</f>
        <v>146.99700000000001</v>
      </c>
      <c r="J936" s="14">
        <f>146.9949 * CHOOSE(CONTROL!$C$9, $D$9, 100%, $F$9) + CHOOSE(CONTROL!$C$27, 0.0021, 0)</f>
        <v>146.99700000000001</v>
      </c>
      <c r="K936" s="14">
        <f>146.9949 * CHOOSE(CONTROL!$C$9, $D$9, 100%, $F$9) + CHOOSE(CONTROL!$C$27, 0.0021, 0)</f>
        <v>146.99700000000001</v>
      </c>
      <c r="L936" s="14"/>
    </row>
    <row r="937" spans="1:12" ht="15.75" x14ac:dyDescent="0.25">
      <c r="A937" s="32">
        <v>69457</v>
      </c>
      <c r="B937" s="14">
        <f>147.0238 * CHOOSE(CONTROL!$C$9, $D$9, 100%, $F$9) + CHOOSE(CONTROL!$C$27, 0.0021, 0)</f>
        <v>147.02590000000001</v>
      </c>
      <c r="C937" s="14">
        <f>146.5915 * CHOOSE(CONTROL!$C$9, $D$9, 100%, $F$9) + CHOOSE(CONTROL!$C$27, 0.0021, 0)</f>
        <v>146.59360000000001</v>
      </c>
      <c r="D937" s="14">
        <f>146.5915 * CHOOSE(CONTROL!$C$9, $D$9, 100%, $F$9) + CHOOSE(CONTROL!$C$27, 0.0021, 0)</f>
        <v>146.59360000000001</v>
      </c>
      <c r="E937" s="14">
        <f>146.4548 * CHOOSE(CONTROL!$C$9, $D$9, 100%, $F$9) + CHOOSE(CONTROL!$C$27, 0.0021, 0)</f>
        <v>146.45690000000002</v>
      </c>
      <c r="F937" s="14">
        <f>146.4548 * CHOOSE(CONTROL!$C$9, $D$9, 100%, $F$9) + CHOOSE(CONTROL!$C$27, 0.0021, 0)</f>
        <v>146.45690000000002</v>
      </c>
      <c r="G937" s="14">
        <f>146.7262 * CHOOSE(CONTROL!$C$9, $D$9, 100%, $F$9) + CHOOSE(CONTROL!$C$27, 0.0021, 0)</f>
        <v>146.72830000000002</v>
      </c>
      <c r="H937" s="14">
        <f>146.5915 * CHOOSE(CONTROL!$C$9, $D$9, 100%, $F$9) + CHOOSE(CONTROL!$C$27, 0.0021, 0)</f>
        <v>146.59360000000001</v>
      </c>
      <c r="I937" s="14">
        <f>146.5915 * CHOOSE(CONTROL!$C$9, $D$9, 100%, $F$9) + CHOOSE(CONTROL!$C$27, 0.0021, 0)</f>
        <v>146.59360000000001</v>
      </c>
      <c r="J937" s="14">
        <f>146.5915 * CHOOSE(CONTROL!$C$9, $D$9, 100%, $F$9) + CHOOSE(CONTROL!$C$27, 0.0021, 0)</f>
        <v>146.59360000000001</v>
      </c>
      <c r="K937" s="14">
        <f>146.5915 * CHOOSE(CONTROL!$C$9, $D$9, 100%, $F$9) + CHOOSE(CONTROL!$C$27, 0.0021, 0)</f>
        <v>146.59360000000001</v>
      </c>
      <c r="L937" s="14"/>
    </row>
    <row r="938" spans="1:12" ht="15.75" x14ac:dyDescent="0.25">
      <c r="A938" s="32">
        <v>69488</v>
      </c>
      <c r="B938" s="14">
        <f>154.6519 * CHOOSE(CONTROL!$C$9, $D$9, 100%, $F$9) + CHOOSE(CONTROL!$C$27, 0.0021, 0)</f>
        <v>154.65400000000002</v>
      </c>
      <c r="C938" s="14">
        <f>154.2197 * CHOOSE(CONTROL!$C$9, $D$9, 100%, $F$9) + CHOOSE(CONTROL!$C$27, 0.0021, 0)</f>
        <v>154.2218</v>
      </c>
      <c r="D938" s="14">
        <f>154.2197 * CHOOSE(CONTROL!$C$9, $D$9, 100%, $F$9) + CHOOSE(CONTROL!$C$27, 0.0021, 0)</f>
        <v>154.2218</v>
      </c>
      <c r="E938" s="14">
        <f>154.083 * CHOOSE(CONTROL!$C$9, $D$9, 100%, $F$9) + CHOOSE(CONTROL!$C$27, 0.0021, 0)</f>
        <v>154.08510000000001</v>
      </c>
      <c r="F938" s="14">
        <f>154.083 * CHOOSE(CONTROL!$C$9, $D$9, 100%, $F$9) + CHOOSE(CONTROL!$C$27, 0.0021, 0)</f>
        <v>154.08510000000001</v>
      </c>
      <c r="G938" s="14">
        <f>154.3544 * CHOOSE(CONTROL!$C$9, $D$9, 100%, $F$9) + CHOOSE(CONTROL!$C$27, 0.0021, 0)</f>
        <v>154.35650000000001</v>
      </c>
      <c r="H938" s="14">
        <f>154.2197 * CHOOSE(CONTROL!$C$9, $D$9, 100%, $F$9) + CHOOSE(CONTROL!$C$27, 0.0021, 0)</f>
        <v>154.2218</v>
      </c>
      <c r="I938" s="14">
        <f>154.2197 * CHOOSE(CONTROL!$C$9, $D$9, 100%, $F$9) + CHOOSE(CONTROL!$C$27, 0.0021, 0)</f>
        <v>154.2218</v>
      </c>
      <c r="J938" s="14">
        <f>154.2197 * CHOOSE(CONTROL!$C$9, $D$9, 100%, $F$9) + CHOOSE(CONTROL!$C$27, 0.0021, 0)</f>
        <v>154.2218</v>
      </c>
      <c r="K938" s="14">
        <f>154.2197 * CHOOSE(CONTROL!$C$9, $D$9, 100%, $F$9) + CHOOSE(CONTROL!$C$27, 0.0021, 0)</f>
        <v>154.2218</v>
      </c>
      <c r="L938" s="14"/>
    </row>
    <row r="939" spans="1:12" ht="15.75" x14ac:dyDescent="0.25">
      <c r="A939" s="32">
        <v>69518</v>
      </c>
      <c r="B939" s="14">
        <f>164.5439 * CHOOSE(CONTROL!$C$9, $D$9, 100%, $F$9) + CHOOSE(CONTROL!$C$27, 0.0021, 0)</f>
        <v>164.54600000000002</v>
      </c>
      <c r="C939" s="14">
        <f>164.1116 * CHOOSE(CONTROL!$C$9, $D$9, 100%, $F$9) + CHOOSE(CONTROL!$C$27, 0.0021, 0)</f>
        <v>164.11370000000002</v>
      </c>
      <c r="D939" s="14">
        <f>164.1116 * CHOOSE(CONTROL!$C$9, $D$9, 100%, $F$9) + CHOOSE(CONTROL!$C$27, 0.0021, 0)</f>
        <v>164.11370000000002</v>
      </c>
      <c r="E939" s="14">
        <f>163.975 * CHOOSE(CONTROL!$C$9, $D$9, 100%, $F$9) + CHOOSE(CONTROL!$C$27, 0.0021, 0)</f>
        <v>163.97710000000001</v>
      </c>
      <c r="F939" s="14">
        <f>163.975 * CHOOSE(CONTROL!$C$9, $D$9, 100%, $F$9) + CHOOSE(CONTROL!$C$27, 0.0021, 0)</f>
        <v>163.97710000000001</v>
      </c>
      <c r="G939" s="14">
        <f>164.2463 * CHOOSE(CONTROL!$C$9, $D$9, 100%, $F$9) + CHOOSE(CONTROL!$C$27, 0.0021, 0)</f>
        <v>164.2484</v>
      </c>
      <c r="H939" s="14">
        <f>164.1116 * CHOOSE(CONTROL!$C$9, $D$9, 100%, $F$9) + CHOOSE(CONTROL!$C$27, 0.0021, 0)</f>
        <v>164.11370000000002</v>
      </c>
      <c r="I939" s="14">
        <f>164.1116 * CHOOSE(CONTROL!$C$9, $D$9, 100%, $F$9) + CHOOSE(CONTROL!$C$27, 0.0021, 0)</f>
        <v>164.11370000000002</v>
      </c>
      <c r="J939" s="14">
        <f>164.1116 * CHOOSE(CONTROL!$C$9, $D$9, 100%, $F$9) + CHOOSE(CONTROL!$C$27, 0.0021, 0)</f>
        <v>164.11370000000002</v>
      </c>
      <c r="K939" s="14">
        <f>164.1116 * CHOOSE(CONTROL!$C$9, $D$9, 100%, $F$9) + CHOOSE(CONTROL!$C$27, 0.0021, 0)</f>
        <v>164.11370000000002</v>
      </c>
      <c r="L939" s="14"/>
    </row>
    <row r="940" spans="1:12" ht="15.75" x14ac:dyDescent="0.25">
      <c r="A940" s="32">
        <v>69549</v>
      </c>
      <c r="B940" s="14">
        <f>169.9887 * CHOOSE(CONTROL!$C$9, $D$9, 100%, $F$9) + CHOOSE(CONTROL!$C$27, 0.0021, 0)</f>
        <v>169.99080000000001</v>
      </c>
      <c r="C940" s="14">
        <f>169.5565 * CHOOSE(CONTROL!$C$9, $D$9, 100%, $F$9) + CHOOSE(CONTROL!$C$27, 0.0021, 0)</f>
        <v>169.55860000000001</v>
      </c>
      <c r="D940" s="14">
        <f>169.5565 * CHOOSE(CONTROL!$C$9, $D$9, 100%, $F$9) + CHOOSE(CONTROL!$C$27, 0.0021, 0)</f>
        <v>169.55860000000001</v>
      </c>
      <c r="E940" s="14">
        <f>169.4198 * CHOOSE(CONTROL!$C$9, $D$9, 100%, $F$9) + CHOOSE(CONTROL!$C$27, 0.0021, 0)</f>
        <v>169.42190000000002</v>
      </c>
      <c r="F940" s="14">
        <f>169.4198 * CHOOSE(CONTROL!$C$9, $D$9, 100%, $F$9) + CHOOSE(CONTROL!$C$27, 0.0021, 0)</f>
        <v>169.42190000000002</v>
      </c>
      <c r="G940" s="14">
        <f>169.6912 * CHOOSE(CONTROL!$C$9, $D$9, 100%, $F$9) + CHOOSE(CONTROL!$C$27, 0.0021, 0)</f>
        <v>169.69330000000002</v>
      </c>
      <c r="H940" s="14">
        <f>169.5565 * CHOOSE(CONTROL!$C$9, $D$9, 100%, $F$9) + CHOOSE(CONTROL!$C$27, 0.0021, 0)</f>
        <v>169.55860000000001</v>
      </c>
      <c r="I940" s="14">
        <f>169.5565 * CHOOSE(CONTROL!$C$9, $D$9, 100%, $F$9) + CHOOSE(CONTROL!$C$27, 0.0021, 0)</f>
        <v>169.55860000000001</v>
      </c>
      <c r="J940" s="14">
        <f>169.5565 * CHOOSE(CONTROL!$C$9, $D$9, 100%, $F$9) + CHOOSE(CONTROL!$C$27, 0.0021, 0)</f>
        <v>169.55860000000001</v>
      </c>
      <c r="K940" s="14">
        <f>169.5565 * CHOOSE(CONTROL!$C$9, $D$9, 100%, $F$9) + CHOOSE(CONTROL!$C$27, 0.0021, 0)</f>
        <v>169.55860000000001</v>
      </c>
      <c r="L940" s="14"/>
    </row>
    <row r="941" spans="1:12" ht="15.75" x14ac:dyDescent="0.25">
      <c r="A941" s="32">
        <v>69579</v>
      </c>
      <c r="B941" s="14">
        <f>172.405 * CHOOSE(CONTROL!$C$9, $D$9, 100%, $F$9) + CHOOSE(CONTROL!$C$27, 0.0021, 0)</f>
        <v>172.40710000000001</v>
      </c>
      <c r="C941" s="14">
        <f>171.9728 * CHOOSE(CONTROL!$C$9, $D$9, 100%, $F$9) + CHOOSE(CONTROL!$C$27, 0.0021, 0)</f>
        <v>171.97490000000002</v>
      </c>
      <c r="D941" s="14">
        <f>171.9728 * CHOOSE(CONTROL!$C$9, $D$9, 100%, $F$9) + CHOOSE(CONTROL!$C$27, 0.0021, 0)</f>
        <v>171.97490000000002</v>
      </c>
      <c r="E941" s="14">
        <f>171.8361 * CHOOSE(CONTROL!$C$9, $D$9, 100%, $F$9) + CHOOSE(CONTROL!$C$27, 0.0021, 0)</f>
        <v>171.8382</v>
      </c>
      <c r="F941" s="14">
        <f>171.8361 * CHOOSE(CONTROL!$C$9, $D$9, 100%, $F$9) + CHOOSE(CONTROL!$C$27, 0.0021, 0)</f>
        <v>171.8382</v>
      </c>
      <c r="G941" s="14">
        <f>172.1075 * CHOOSE(CONTROL!$C$9, $D$9, 100%, $F$9) + CHOOSE(CONTROL!$C$27, 0.0021, 0)</f>
        <v>172.1096</v>
      </c>
      <c r="H941" s="14">
        <f>171.9728 * CHOOSE(CONTROL!$C$9, $D$9, 100%, $F$9) + CHOOSE(CONTROL!$C$27, 0.0021, 0)</f>
        <v>171.97490000000002</v>
      </c>
      <c r="I941" s="14">
        <f>171.9728 * CHOOSE(CONTROL!$C$9, $D$9, 100%, $F$9) + CHOOSE(CONTROL!$C$27, 0.0021, 0)</f>
        <v>171.97490000000002</v>
      </c>
      <c r="J941" s="14">
        <f>171.9728 * CHOOSE(CONTROL!$C$9, $D$9, 100%, $F$9) + CHOOSE(CONTROL!$C$27, 0.0021, 0)</f>
        <v>171.97490000000002</v>
      </c>
      <c r="K941" s="14">
        <f>171.9728 * CHOOSE(CONTROL!$C$9, $D$9, 100%, $F$9) + CHOOSE(CONTROL!$C$27, 0.0021, 0)</f>
        <v>171.97490000000002</v>
      </c>
      <c r="L941" s="14"/>
    </row>
    <row r="942" spans="1:12" ht="15.75" x14ac:dyDescent="0.25">
      <c r="A942" s="32">
        <v>69610</v>
      </c>
      <c r="B942" s="14">
        <f>171.6095 * CHOOSE(CONTROL!$C$9, $D$9, 100%, $F$9) + CHOOSE(CONTROL!$C$27, 0.0021, 0)</f>
        <v>171.61160000000001</v>
      </c>
      <c r="C942" s="14">
        <f>171.1772 * CHOOSE(CONTROL!$C$9, $D$9, 100%, $F$9) + CHOOSE(CONTROL!$C$27, 0.0021, 0)</f>
        <v>171.17930000000001</v>
      </c>
      <c r="D942" s="14">
        <f>171.1772 * CHOOSE(CONTROL!$C$9, $D$9, 100%, $F$9) + CHOOSE(CONTROL!$C$27, 0.0021, 0)</f>
        <v>171.17930000000001</v>
      </c>
      <c r="E942" s="14">
        <f>171.0406 * CHOOSE(CONTROL!$C$9, $D$9, 100%, $F$9) + CHOOSE(CONTROL!$C$27, 0.0021, 0)</f>
        <v>171.04270000000002</v>
      </c>
      <c r="F942" s="14">
        <f>171.0406 * CHOOSE(CONTROL!$C$9, $D$9, 100%, $F$9) + CHOOSE(CONTROL!$C$27, 0.0021, 0)</f>
        <v>171.04270000000002</v>
      </c>
      <c r="G942" s="14">
        <f>171.3119 * CHOOSE(CONTROL!$C$9, $D$9, 100%, $F$9) + CHOOSE(CONTROL!$C$27, 0.0021, 0)</f>
        <v>171.31400000000002</v>
      </c>
      <c r="H942" s="14">
        <f>171.1772 * CHOOSE(CONTROL!$C$9, $D$9, 100%, $F$9) + CHOOSE(CONTROL!$C$27, 0.0021, 0)</f>
        <v>171.17930000000001</v>
      </c>
      <c r="I942" s="14">
        <f>171.1772 * CHOOSE(CONTROL!$C$9, $D$9, 100%, $F$9) + CHOOSE(CONTROL!$C$27, 0.0021, 0)</f>
        <v>171.17930000000001</v>
      </c>
      <c r="J942" s="14">
        <f>171.1772 * CHOOSE(CONTROL!$C$9, $D$9, 100%, $F$9) + CHOOSE(CONTROL!$C$27, 0.0021, 0)</f>
        <v>171.17930000000001</v>
      </c>
      <c r="K942" s="14">
        <f>171.1772 * CHOOSE(CONTROL!$C$9, $D$9, 100%, $F$9) + CHOOSE(CONTROL!$C$27, 0.0021, 0)</f>
        <v>171.17930000000001</v>
      </c>
      <c r="L942" s="14"/>
    </row>
    <row r="943" spans="1:12" ht="15.75" x14ac:dyDescent="0.25">
      <c r="A943" s="32">
        <v>69641</v>
      </c>
      <c r="B943" s="14">
        <f>167.6678 * CHOOSE(CONTROL!$C$9, $D$9, 100%, $F$9) + CHOOSE(CONTROL!$C$27, 0.0021, 0)</f>
        <v>167.66990000000001</v>
      </c>
      <c r="C943" s="14">
        <f>167.2356 * CHOOSE(CONTROL!$C$9, $D$9, 100%, $F$9) + CHOOSE(CONTROL!$C$27, 0.0021, 0)</f>
        <v>167.23770000000002</v>
      </c>
      <c r="D943" s="14">
        <f>167.2356 * CHOOSE(CONTROL!$C$9, $D$9, 100%, $F$9) + CHOOSE(CONTROL!$C$27, 0.0021, 0)</f>
        <v>167.23770000000002</v>
      </c>
      <c r="E943" s="14">
        <f>167.0989 * CHOOSE(CONTROL!$C$9, $D$9, 100%, $F$9) + CHOOSE(CONTROL!$C$27, 0.0021, 0)</f>
        <v>167.101</v>
      </c>
      <c r="F943" s="14">
        <f>167.0989 * CHOOSE(CONTROL!$C$9, $D$9, 100%, $F$9) + CHOOSE(CONTROL!$C$27, 0.0021, 0)</f>
        <v>167.101</v>
      </c>
      <c r="G943" s="14">
        <f>167.3703 * CHOOSE(CONTROL!$C$9, $D$9, 100%, $F$9) + CHOOSE(CONTROL!$C$27, 0.0021, 0)</f>
        <v>167.3724</v>
      </c>
      <c r="H943" s="14">
        <f>167.2356 * CHOOSE(CONTROL!$C$9, $D$9, 100%, $F$9) + CHOOSE(CONTROL!$C$27, 0.0021, 0)</f>
        <v>167.23770000000002</v>
      </c>
      <c r="I943" s="14">
        <f>167.2356 * CHOOSE(CONTROL!$C$9, $D$9, 100%, $F$9) + CHOOSE(CONTROL!$C$27, 0.0021, 0)</f>
        <v>167.23770000000002</v>
      </c>
      <c r="J943" s="14">
        <f>167.2356 * CHOOSE(CONTROL!$C$9, $D$9, 100%, $F$9) + CHOOSE(CONTROL!$C$27, 0.0021, 0)</f>
        <v>167.23770000000002</v>
      </c>
      <c r="K943" s="14">
        <f>167.2356 * CHOOSE(CONTROL!$C$9, $D$9, 100%, $F$9) + CHOOSE(CONTROL!$C$27, 0.0021, 0)</f>
        <v>167.23770000000002</v>
      </c>
      <c r="L943" s="14"/>
    </row>
    <row r="944" spans="1:12" ht="15.75" x14ac:dyDescent="0.25">
      <c r="A944" s="32">
        <v>69671</v>
      </c>
      <c r="B944" s="14">
        <f>162.171 * CHOOSE(CONTROL!$C$9, $D$9, 100%, $F$9) + CHOOSE(CONTROL!$C$27, 0.0021, 0)</f>
        <v>162.17310000000001</v>
      </c>
      <c r="C944" s="14">
        <f>161.7388 * CHOOSE(CONTROL!$C$9, $D$9, 100%, $F$9) + CHOOSE(CONTROL!$C$27, 0.0021, 0)</f>
        <v>161.74090000000001</v>
      </c>
      <c r="D944" s="14">
        <f>161.7388 * CHOOSE(CONTROL!$C$9, $D$9, 100%, $F$9) + CHOOSE(CONTROL!$C$27, 0.0021, 0)</f>
        <v>161.74090000000001</v>
      </c>
      <c r="E944" s="14">
        <f>161.6021 * CHOOSE(CONTROL!$C$9, $D$9, 100%, $F$9) + CHOOSE(CONTROL!$C$27, 0.0021, 0)</f>
        <v>161.60420000000002</v>
      </c>
      <c r="F944" s="14">
        <f>161.6021 * CHOOSE(CONTROL!$C$9, $D$9, 100%, $F$9) + CHOOSE(CONTROL!$C$27, 0.0021, 0)</f>
        <v>161.60420000000002</v>
      </c>
      <c r="G944" s="14">
        <f>161.8735 * CHOOSE(CONTROL!$C$9, $D$9, 100%, $F$9) + CHOOSE(CONTROL!$C$27, 0.0021, 0)</f>
        <v>161.87560000000002</v>
      </c>
      <c r="H944" s="14">
        <f>161.7388 * CHOOSE(CONTROL!$C$9, $D$9, 100%, $F$9) + CHOOSE(CONTROL!$C$27, 0.0021, 0)</f>
        <v>161.74090000000001</v>
      </c>
      <c r="I944" s="14">
        <f>161.7388 * CHOOSE(CONTROL!$C$9, $D$9, 100%, $F$9) + CHOOSE(CONTROL!$C$27, 0.0021, 0)</f>
        <v>161.74090000000001</v>
      </c>
      <c r="J944" s="14">
        <f>161.7388 * CHOOSE(CONTROL!$C$9, $D$9, 100%, $F$9) + CHOOSE(CONTROL!$C$27, 0.0021, 0)</f>
        <v>161.74090000000001</v>
      </c>
      <c r="K944" s="14">
        <f>161.7388 * CHOOSE(CONTROL!$C$9, $D$9, 100%, $F$9) + CHOOSE(CONTROL!$C$27, 0.0021, 0)</f>
        <v>161.74090000000001</v>
      </c>
      <c r="L944" s="14"/>
    </row>
    <row r="945" spans="1:12" ht="15.75" x14ac:dyDescent="0.25">
      <c r="A945" s="32">
        <v>69702</v>
      </c>
      <c r="B945" s="14">
        <f>156.6423 * CHOOSE(CONTROL!$C$9, $D$9, 100%, $F$9) + CHOOSE(CONTROL!$C$27, 0.0021, 0)</f>
        <v>156.64440000000002</v>
      </c>
      <c r="C945" s="14">
        <f>156.21 * CHOOSE(CONTROL!$C$9, $D$9, 100%, $F$9) + CHOOSE(CONTROL!$C$27, 0.0021, 0)</f>
        <v>156.21210000000002</v>
      </c>
      <c r="D945" s="14">
        <f>156.21 * CHOOSE(CONTROL!$C$9, $D$9, 100%, $F$9) + CHOOSE(CONTROL!$C$27, 0.0021, 0)</f>
        <v>156.21210000000002</v>
      </c>
      <c r="E945" s="14">
        <f>156.0734 * CHOOSE(CONTROL!$C$9, $D$9, 100%, $F$9) + CHOOSE(CONTROL!$C$27, 0.0021, 0)</f>
        <v>156.07550000000001</v>
      </c>
      <c r="F945" s="14">
        <f>156.0734 * CHOOSE(CONTROL!$C$9, $D$9, 100%, $F$9) + CHOOSE(CONTROL!$C$27, 0.0021, 0)</f>
        <v>156.07550000000001</v>
      </c>
      <c r="G945" s="14">
        <f>156.3447 * CHOOSE(CONTROL!$C$9, $D$9, 100%, $F$9) + CHOOSE(CONTROL!$C$27, 0.0021, 0)</f>
        <v>156.3468</v>
      </c>
      <c r="H945" s="14">
        <f>156.21 * CHOOSE(CONTROL!$C$9, $D$9, 100%, $F$9) + CHOOSE(CONTROL!$C$27, 0.0021, 0)</f>
        <v>156.21210000000002</v>
      </c>
      <c r="I945" s="14">
        <f>156.21 * CHOOSE(CONTROL!$C$9, $D$9, 100%, $F$9) + CHOOSE(CONTROL!$C$27, 0.0021, 0)</f>
        <v>156.21210000000002</v>
      </c>
      <c r="J945" s="14">
        <f>156.21 * CHOOSE(CONTROL!$C$9, $D$9, 100%, $F$9) + CHOOSE(CONTROL!$C$27, 0.0021, 0)</f>
        <v>156.21210000000002</v>
      </c>
      <c r="K945" s="14">
        <f>156.21 * CHOOSE(CONTROL!$C$9, $D$9, 100%, $F$9) + CHOOSE(CONTROL!$C$27, 0.0021, 0)</f>
        <v>156.21210000000002</v>
      </c>
      <c r="L945" s="14"/>
    </row>
    <row r="946" spans="1:12" ht="15.75" x14ac:dyDescent="0.25">
      <c r="A946" s="32">
        <v>69732</v>
      </c>
      <c r="B946" s="14">
        <f>155.5425 * CHOOSE(CONTROL!$C$9, $D$9, 100%, $F$9) + CHOOSE(CONTROL!$C$27, 0.0021, 0)</f>
        <v>155.5446</v>
      </c>
      <c r="C946" s="14">
        <f>155.1102 * CHOOSE(CONTROL!$C$9, $D$9, 100%, $F$9) + CHOOSE(CONTROL!$C$27, 0.0021, 0)</f>
        <v>155.1123</v>
      </c>
      <c r="D946" s="14">
        <f>155.1102 * CHOOSE(CONTROL!$C$9, $D$9, 100%, $F$9) + CHOOSE(CONTROL!$C$27, 0.0021, 0)</f>
        <v>155.1123</v>
      </c>
      <c r="E946" s="14">
        <f>154.9736 * CHOOSE(CONTROL!$C$9, $D$9, 100%, $F$9) + CHOOSE(CONTROL!$C$27, 0.0021, 0)</f>
        <v>154.97570000000002</v>
      </c>
      <c r="F946" s="14">
        <f>154.9736 * CHOOSE(CONTROL!$C$9, $D$9, 100%, $F$9) + CHOOSE(CONTROL!$C$27, 0.0021, 0)</f>
        <v>154.97570000000002</v>
      </c>
      <c r="G946" s="14">
        <f>155.2449 * CHOOSE(CONTROL!$C$9, $D$9, 100%, $F$9) + CHOOSE(CONTROL!$C$27, 0.0021, 0)</f>
        <v>155.24700000000001</v>
      </c>
      <c r="H946" s="14">
        <f>155.1102 * CHOOSE(CONTROL!$C$9, $D$9, 100%, $F$9) + CHOOSE(CONTROL!$C$27, 0.0021, 0)</f>
        <v>155.1123</v>
      </c>
      <c r="I946" s="14">
        <f>155.1102 * CHOOSE(CONTROL!$C$9, $D$9, 100%, $F$9) + CHOOSE(CONTROL!$C$27, 0.0021, 0)</f>
        <v>155.1123</v>
      </c>
      <c r="J946" s="14">
        <f>155.1102 * CHOOSE(CONTROL!$C$9, $D$9, 100%, $F$9) + CHOOSE(CONTROL!$C$27, 0.0021, 0)</f>
        <v>155.1123</v>
      </c>
      <c r="K946" s="14">
        <f>155.1102 * CHOOSE(CONTROL!$C$9, $D$9, 100%, $F$9) + CHOOSE(CONTROL!$C$27, 0.0021, 0)</f>
        <v>155.1123</v>
      </c>
      <c r="L946" s="14"/>
    </row>
    <row r="947" spans="1:12" ht="15.75" x14ac:dyDescent="0.25">
      <c r="A947" s="32">
        <v>69763</v>
      </c>
      <c r="B947" s="14">
        <f>150.9948 * CHOOSE(CONTROL!$C$9, $D$9, 100%, $F$9) + CHOOSE(CONTROL!$C$27, 0.0021, 0)</f>
        <v>150.99690000000001</v>
      </c>
      <c r="C947" s="14">
        <f>150.5625 * CHOOSE(CONTROL!$C$9, $D$9, 100%, $F$9) + CHOOSE(CONTROL!$C$27, 0.0021, 0)</f>
        <v>150.56460000000001</v>
      </c>
      <c r="D947" s="14">
        <f>150.5625 * CHOOSE(CONTROL!$C$9, $D$9, 100%, $F$9) + CHOOSE(CONTROL!$C$27, 0.0021, 0)</f>
        <v>150.56460000000001</v>
      </c>
      <c r="E947" s="14">
        <f>150.4259 * CHOOSE(CONTROL!$C$9, $D$9, 100%, $F$9) + CHOOSE(CONTROL!$C$27, 0.0021, 0)</f>
        <v>150.42800000000003</v>
      </c>
      <c r="F947" s="14">
        <f>150.4259 * CHOOSE(CONTROL!$C$9, $D$9, 100%, $F$9) + CHOOSE(CONTROL!$C$27, 0.0021, 0)</f>
        <v>150.42800000000003</v>
      </c>
      <c r="G947" s="14">
        <f>150.6972 * CHOOSE(CONTROL!$C$9, $D$9, 100%, $F$9) + CHOOSE(CONTROL!$C$27, 0.0021, 0)</f>
        <v>150.69930000000002</v>
      </c>
      <c r="H947" s="14">
        <f>150.5625 * CHOOSE(CONTROL!$C$9, $D$9, 100%, $F$9) + CHOOSE(CONTROL!$C$27, 0.0021, 0)</f>
        <v>150.56460000000001</v>
      </c>
      <c r="I947" s="14">
        <f>150.5625 * CHOOSE(CONTROL!$C$9, $D$9, 100%, $F$9) + CHOOSE(CONTROL!$C$27, 0.0021, 0)</f>
        <v>150.56460000000001</v>
      </c>
      <c r="J947" s="14">
        <f>150.5625 * CHOOSE(CONTROL!$C$9, $D$9, 100%, $F$9) + CHOOSE(CONTROL!$C$27, 0.0021, 0)</f>
        <v>150.56460000000001</v>
      </c>
      <c r="K947" s="14">
        <f>150.5625 * CHOOSE(CONTROL!$C$9, $D$9, 100%, $F$9) + CHOOSE(CONTROL!$C$27, 0.0021, 0)</f>
        <v>150.56460000000001</v>
      </c>
      <c r="L947" s="14"/>
    </row>
    <row r="948" spans="1:12" ht="15.75" x14ac:dyDescent="0.25">
      <c r="A948" s="32">
        <v>69794</v>
      </c>
      <c r="B948" s="14">
        <f>150.1094 * CHOOSE(CONTROL!$C$9, $D$9, 100%, $F$9) + CHOOSE(CONTROL!$C$27, 0.0021, 0)</f>
        <v>150.11150000000001</v>
      </c>
      <c r="C948" s="14">
        <f>149.6771 * CHOOSE(CONTROL!$C$9, $D$9, 100%, $F$9) + CHOOSE(CONTROL!$C$27, 0.0021, 0)</f>
        <v>149.67920000000001</v>
      </c>
      <c r="D948" s="14">
        <f>149.6771 * CHOOSE(CONTROL!$C$9, $D$9, 100%, $F$9) + CHOOSE(CONTROL!$C$27, 0.0021, 0)</f>
        <v>149.67920000000001</v>
      </c>
      <c r="E948" s="14">
        <f>149.5405 * CHOOSE(CONTROL!$C$9, $D$9, 100%, $F$9) + CHOOSE(CONTROL!$C$27, 0.0021, 0)</f>
        <v>149.54260000000002</v>
      </c>
      <c r="F948" s="14">
        <f>149.5405 * CHOOSE(CONTROL!$C$9, $D$9, 100%, $F$9) + CHOOSE(CONTROL!$C$27, 0.0021, 0)</f>
        <v>149.54260000000002</v>
      </c>
      <c r="G948" s="14">
        <f>149.8118 * CHOOSE(CONTROL!$C$9, $D$9, 100%, $F$9) + CHOOSE(CONTROL!$C$27, 0.0021, 0)</f>
        <v>149.81390000000002</v>
      </c>
      <c r="H948" s="14">
        <f>149.6771 * CHOOSE(CONTROL!$C$9, $D$9, 100%, $F$9) + CHOOSE(CONTROL!$C$27, 0.0021, 0)</f>
        <v>149.67920000000001</v>
      </c>
      <c r="I948" s="14">
        <f>149.6771 * CHOOSE(CONTROL!$C$9, $D$9, 100%, $F$9) + CHOOSE(CONTROL!$C$27, 0.0021, 0)</f>
        <v>149.67920000000001</v>
      </c>
      <c r="J948" s="14">
        <f>149.6771 * CHOOSE(CONTROL!$C$9, $D$9, 100%, $F$9) + CHOOSE(CONTROL!$C$27, 0.0021, 0)</f>
        <v>149.67920000000001</v>
      </c>
      <c r="K948" s="14">
        <f>149.6771 * CHOOSE(CONTROL!$C$9, $D$9, 100%, $F$9) + CHOOSE(CONTROL!$C$27, 0.0021, 0)</f>
        <v>149.67920000000001</v>
      </c>
      <c r="L948" s="14"/>
    </row>
    <row r="949" spans="1:12" ht="15.75" x14ac:dyDescent="0.25">
      <c r="A949" s="32">
        <v>69822</v>
      </c>
      <c r="B949" s="14">
        <f>149.6985 * CHOOSE(CONTROL!$C$9, $D$9, 100%, $F$9) + CHOOSE(CONTROL!$C$27, 0.0021, 0)</f>
        <v>149.70060000000001</v>
      </c>
      <c r="C949" s="14">
        <f>149.2662 * CHOOSE(CONTROL!$C$9, $D$9, 100%, $F$9) + CHOOSE(CONTROL!$C$27, 0.0021, 0)</f>
        <v>149.26830000000001</v>
      </c>
      <c r="D949" s="14">
        <f>149.2662 * CHOOSE(CONTROL!$C$9, $D$9, 100%, $F$9) + CHOOSE(CONTROL!$C$27, 0.0021, 0)</f>
        <v>149.26830000000001</v>
      </c>
      <c r="E949" s="14">
        <f>149.1296 * CHOOSE(CONTROL!$C$9, $D$9, 100%, $F$9) + CHOOSE(CONTROL!$C$27, 0.0021, 0)</f>
        <v>149.13170000000002</v>
      </c>
      <c r="F949" s="14">
        <f>149.1296 * CHOOSE(CONTROL!$C$9, $D$9, 100%, $F$9) + CHOOSE(CONTROL!$C$27, 0.0021, 0)</f>
        <v>149.13170000000002</v>
      </c>
      <c r="G949" s="14">
        <f>149.401 * CHOOSE(CONTROL!$C$9, $D$9, 100%, $F$9) + CHOOSE(CONTROL!$C$27, 0.0021, 0)</f>
        <v>149.40310000000002</v>
      </c>
      <c r="H949" s="14">
        <f>149.2662 * CHOOSE(CONTROL!$C$9, $D$9, 100%, $F$9) + CHOOSE(CONTROL!$C$27, 0.0021, 0)</f>
        <v>149.26830000000001</v>
      </c>
      <c r="I949" s="14">
        <f>149.2662 * CHOOSE(CONTROL!$C$9, $D$9, 100%, $F$9) + CHOOSE(CONTROL!$C$27, 0.0021, 0)</f>
        <v>149.26830000000001</v>
      </c>
      <c r="J949" s="14">
        <f>149.2662 * CHOOSE(CONTROL!$C$9, $D$9, 100%, $F$9) + CHOOSE(CONTROL!$C$27, 0.0021, 0)</f>
        <v>149.26830000000001</v>
      </c>
      <c r="K949" s="14">
        <f>149.2662 * CHOOSE(CONTROL!$C$9, $D$9, 100%, $F$9) + CHOOSE(CONTROL!$C$27, 0.0021, 0)</f>
        <v>149.26830000000001</v>
      </c>
      <c r="L949" s="14"/>
    </row>
    <row r="950" spans="1:12" ht="15.75" x14ac:dyDescent="0.25">
      <c r="A950" s="32">
        <v>69853</v>
      </c>
      <c r="B950" s="14">
        <f>157.4677 * CHOOSE(CONTROL!$C$9, $D$9, 100%, $F$9) + CHOOSE(CONTROL!$C$27, 0.0021, 0)</f>
        <v>157.46980000000002</v>
      </c>
      <c r="C950" s="14">
        <f>157.0354 * CHOOSE(CONTROL!$C$9, $D$9, 100%, $F$9) + CHOOSE(CONTROL!$C$27, 0.0021, 0)</f>
        <v>157.03750000000002</v>
      </c>
      <c r="D950" s="14">
        <f>157.0354 * CHOOSE(CONTROL!$C$9, $D$9, 100%, $F$9) + CHOOSE(CONTROL!$C$27, 0.0021, 0)</f>
        <v>157.03750000000002</v>
      </c>
      <c r="E950" s="14">
        <f>156.8987 * CHOOSE(CONTROL!$C$9, $D$9, 100%, $F$9) + CHOOSE(CONTROL!$C$27, 0.0021, 0)</f>
        <v>156.9008</v>
      </c>
      <c r="F950" s="14">
        <f>156.8987 * CHOOSE(CONTROL!$C$9, $D$9, 100%, $F$9) + CHOOSE(CONTROL!$C$27, 0.0021, 0)</f>
        <v>156.9008</v>
      </c>
      <c r="G950" s="14">
        <f>157.1701 * CHOOSE(CONTROL!$C$9, $D$9, 100%, $F$9) + CHOOSE(CONTROL!$C$27, 0.0021, 0)</f>
        <v>157.1722</v>
      </c>
      <c r="H950" s="14">
        <f>157.0354 * CHOOSE(CONTROL!$C$9, $D$9, 100%, $F$9) + CHOOSE(CONTROL!$C$27, 0.0021, 0)</f>
        <v>157.03750000000002</v>
      </c>
      <c r="I950" s="14">
        <f>157.0354 * CHOOSE(CONTROL!$C$9, $D$9, 100%, $F$9) + CHOOSE(CONTROL!$C$27, 0.0021, 0)</f>
        <v>157.03750000000002</v>
      </c>
      <c r="J950" s="14">
        <f>157.0354 * CHOOSE(CONTROL!$C$9, $D$9, 100%, $F$9) + CHOOSE(CONTROL!$C$27, 0.0021, 0)</f>
        <v>157.03750000000002</v>
      </c>
      <c r="K950" s="14">
        <f>157.0354 * CHOOSE(CONTROL!$C$9, $D$9, 100%, $F$9) + CHOOSE(CONTROL!$C$27, 0.0021, 0)</f>
        <v>157.03750000000002</v>
      </c>
      <c r="L950" s="14"/>
    </row>
    <row r="951" spans="1:12" ht="15.75" x14ac:dyDescent="0.25">
      <c r="A951" s="32">
        <v>69883</v>
      </c>
      <c r="B951" s="14">
        <f>167.5424 * CHOOSE(CONTROL!$C$9, $D$9, 100%, $F$9) + CHOOSE(CONTROL!$C$27, 0.0021, 0)</f>
        <v>167.5445</v>
      </c>
      <c r="C951" s="14">
        <f>167.1101 * CHOOSE(CONTROL!$C$9, $D$9, 100%, $F$9) + CHOOSE(CONTROL!$C$27, 0.0021, 0)</f>
        <v>167.1122</v>
      </c>
      <c r="D951" s="14">
        <f>167.1101 * CHOOSE(CONTROL!$C$9, $D$9, 100%, $F$9) + CHOOSE(CONTROL!$C$27, 0.0021, 0)</f>
        <v>167.1122</v>
      </c>
      <c r="E951" s="14">
        <f>166.9735 * CHOOSE(CONTROL!$C$9, $D$9, 100%, $F$9) + CHOOSE(CONTROL!$C$27, 0.0021, 0)</f>
        <v>166.97560000000001</v>
      </c>
      <c r="F951" s="14">
        <f>166.9735 * CHOOSE(CONTROL!$C$9, $D$9, 100%, $F$9) + CHOOSE(CONTROL!$C$27, 0.0021, 0)</f>
        <v>166.97560000000001</v>
      </c>
      <c r="G951" s="14">
        <f>167.2449 * CHOOSE(CONTROL!$C$9, $D$9, 100%, $F$9) + CHOOSE(CONTROL!$C$27, 0.0021, 0)</f>
        <v>167.24700000000001</v>
      </c>
      <c r="H951" s="14">
        <f>167.1101 * CHOOSE(CONTROL!$C$9, $D$9, 100%, $F$9) + CHOOSE(CONTROL!$C$27, 0.0021, 0)</f>
        <v>167.1122</v>
      </c>
      <c r="I951" s="14">
        <f>167.1101 * CHOOSE(CONTROL!$C$9, $D$9, 100%, $F$9) + CHOOSE(CONTROL!$C$27, 0.0021, 0)</f>
        <v>167.1122</v>
      </c>
      <c r="J951" s="14">
        <f>167.1101 * CHOOSE(CONTROL!$C$9, $D$9, 100%, $F$9) + CHOOSE(CONTROL!$C$27, 0.0021, 0)</f>
        <v>167.1122</v>
      </c>
      <c r="K951" s="14">
        <f>167.1101 * CHOOSE(CONTROL!$C$9, $D$9, 100%, $F$9) + CHOOSE(CONTROL!$C$27, 0.0021, 0)</f>
        <v>167.1122</v>
      </c>
      <c r="L951" s="14"/>
    </row>
    <row r="952" spans="1:12" ht="15.75" x14ac:dyDescent="0.25">
      <c r="A952" s="32">
        <v>69914</v>
      </c>
      <c r="B952" s="14">
        <f>173.0879 * CHOOSE(CONTROL!$C$9, $D$9, 100%, $F$9) + CHOOSE(CONTROL!$C$27, 0.0021, 0)</f>
        <v>173.09</v>
      </c>
      <c r="C952" s="14">
        <f>172.6556 * CHOOSE(CONTROL!$C$9, $D$9, 100%, $F$9) + CHOOSE(CONTROL!$C$27, 0.0021, 0)</f>
        <v>172.65770000000001</v>
      </c>
      <c r="D952" s="14">
        <f>172.6556 * CHOOSE(CONTROL!$C$9, $D$9, 100%, $F$9) + CHOOSE(CONTROL!$C$27, 0.0021, 0)</f>
        <v>172.65770000000001</v>
      </c>
      <c r="E952" s="14">
        <f>172.5189 * CHOOSE(CONTROL!$C$9, $D$9, 100%, $F$9) + CHOOSE(CONTROL!$C$27, 0.0021, 0)</f>
        <v>172.52100000000002</v>
      </c>
      <c r="F952" s="14">
        <f>172.5189 * CHOOSE(CONTROL!$C$9, $D$9, 100%, $F$9) + CHOOSE(CONTROL!$C$27, 0.0021, 0)</f>
        <v>172.52100000000002</v>
      </c>
      <c r="G952" s="14">
        <f>172.7903 * CHOOSE(CONTROL!$C$9, $D$9, 100%, $F$9) + CHOOSE(CONTROL!$C$27, 0.0021, 0)</f>
        <v>172.79240000000001</v>
      </c>
      <c r="H952" s="14">
        <f>172.6556 * CHOOSE(CONTROL!$C$9, $D$9, 100%, $F$9) + CHOOSE(CONTROL!$C$27, 0.0021, 0)</f>
        <v>172.65770000000001</v>
      </c>
      <c r="I952" s="14">
        <f>172.6556 * CHOOSE(CONTROL!$C$9, $D$9, 100%, $F$9) + CHOOSE(CONTROL!$C$27, 0.0021, 0)</f>
        <v>172.65770000000001</v>
      </c>
      <c r="J952" s="14">
        <f>172.6556 * CHOOSE(CONTROL!$C$9, $D$9, 100%, $F$9) + CHOOSE(CONTROL!$C$27, 0.0021, 0)</f>
        <v>172.65770000000001</v>
      </c>
      <c r="K952" s="14">
        <f>172.6556 * CHOOSE(CONTROL!$C$9, $D$9, 100%, $F$9) + CHOOSE(CONTROL!$C$27, 0.0021, 0)</f>
        <v>172.65770000000001</v>
      </c>
      <c r="L952" s="14"/>
    </row>
    <row r="953" spans="1:12" ht="15.75" x14ac:dyDescent="0.25">
      <c r="A953" s="32">
        <v>69944</v>
      </c>
      <c r="B953" s="14">
        <f>175.5488 * CHOOSE(CONTROL!$C$9, $D$9, 100%, $F$9) + CHOOSE(CONTROL!$C$27, 0.0021, 0)</f>
        <v>175.55090000000001</v>
      </c>
      <c r="C953" s="14">
        <f>175.1166 * CHOOSE(CONTROL!$C$9, $D$9, 100%, $F$9) + CHOOSE(CONTROL!$C$27, 0.0021, 0)</f>
        <v>175.11870000000002</v>
      </c>
      <c r="D953" s="14">
        <f>175.1166 * CHOOSE(CONTROL!$C$9, $D$9, 100%, $F$9) + CHOOSE(CONTROL!$C$27, 0.0021, 0)</f>
        <v>175.11870000000002</v>
      </c>
      <c r="E953" s="14">
        <f>174.9799 * CHOOSE(CONTROL!$C$9, $D$9, 100%, $F$9) + CHOOSE(CONTROL!$C$27, 0.0021, 0)</f>
        <v>174.982</v>
      </c>
      <c r="F953" s="14">
        <f>174.9799 * CHOOSE(CONTROL!$C$9, $D$9, 100%, $F$9) + CHOOSE(CONTROL!$C$27, 0.0021, 0)</f>
        <v>174.982</v>
      </c>
      <c r="G953" s="14">
        <f>175.2513 * CHOOSE(CONTROL!$C$9, $D$9, 100%, $F$9) + CHOOSE(CONTROL!$C$27, 0.0021, 0)</f>
        <v>175.2534</v>
      </c>
      <c r="H953" s="14">
        <f>175.1166 * CHOOSE(CONTROL!$C$9, $D$9, 100%, $F$9) + CHOOSE(CONTROL!$C$27, 0.0021, 0)</f>
        <v>175.11870000000002</v>
      </c>
      <c r="I953" s="14">
        <f>175.1166 * CHOOSE(CONTROL!$C$9, $D$9, 100%, $F$9) + CHOOSE(CONTROL!$C$27, 0.0021, 0)</f>
        <v>175.11870000000002</v>
      </c>
      <c r="J953" s="14">
        <f>175.1166 * CHOOSE(CONTROL!$C$9, $D$9, 100%, $F$9) + CHOOSE(CONTROL!$C$27, 0.0021, 0)</f>
        <v>175.11870000000002</v>
      </c>
      <c r="K953" s="14">
        <f>175.1166 * CHOOSE(CONTROL!$C$9, $D$9, 100%, $F$9) + CHOOSE(CONTROL!$C$27, 0.0021, 0)</f>
        <v>175.11870000000002</v>
      </c>
      <c r="L953" s="14"/>
    </row>
    <row r="954" spans="1:12" ht="15.75" x14ac:dyDescent="0.25">
      <c r="A954" s="32">
        <v>69975</v>
      </c>
      <c r="B954" s="14">
        <f>174.7386 * CHOOSE(CONTROL!$C$9, $D$9, 100%, $F$9) + CHOOSE(CONTROL!$C$27, 0.0021, 0)</f>
        <v>174.7407</v>
      </c>
      <c r="C954" s="14">
        <f>174.3063 * CHOOSE(CONTROL!$C$9, $D$9, 100%, $F$9) + CHOOSE(CONTROL!$C$27, 0.0021, 0)</f>
        <v>174.30840000000001</v>
      </c>
      <c r="D954" s="14">
        <f>174.3063 * CHOOSE(CONTROL!$C$9, $D$9, 100%, $F$9) + CHOOSE(CONTROL!$C$27, 0.0021, 0)</f>
        <v>174.30840000000001</v>
      </c>
      <c r="E954" s="14">
        <f>174.1697 * CHOOSE(CONTROL!$C$9, $D$9, 100%, $F$9) + CHOOSE(CONTROL!$C$27, 0.0021, 0)</f>
        <v>174.17180000000002</v>
      </c>
      <c r="F954" s="14">
        <f>174.1697 * CHOOSE(CONTROL!$C$9, $D$9, 100%, $F$9) + CHOOSE(CONTROL!$C$27, 0.0021, 0)</f>
        <v>174.17180000000002</v>
      </c>
      <c r="G954" s="14">
        <f>174.441 * CHOOSE(CONTROL!$C$9, $D$9, 100%, $F$9) + CHOOSE(CONTROL!$C$27, 0.0021, 0)</f>
        <v>174.44310000000002</v>
      </c>
      <c r="H954" s="14">
        <f>174.3063 * CHOOSE(CONTROL!$C$9, $D$9, 100%, $F$9) + CHOOSE(CONTROL!$C$27, 0.0021, 0)</f>
        <v>174.30840000000001</v>
      </c>
      <c r="I954" s="14">
        <f>174.3063 * CHOOSE(CONTROL!$C$9, $D$9, 100%, $F$9) + CHOOSE(CONTROL!$C$27, 0.0021, 0)</f>
        <v>174.30840000000001</v>
      </c>
      <c r="J954" s="14">
        <f>174.3063 * CHOOSE(CONTROL!$C$9, $D$9, 100%, $F$9) + CHOOSE(CONTROL!$C$27, 0.0021, 0)</f>
        <v>174.30840000000001</v>
      </c>
      <c r="K954" s="14">
        <f>174.3063 * CHOOSE(CONTROL!$C$9, $D$9, 100%, $F$9) + CHOOSE(CONTROL!$C$27, 0.0021, 0)</f>
        <v>174.30840000000001</v>
      </c>
      <c r="L954" s="14"/>
    </row>
    <row r="955" spans="1:12" ht="15.75" x14ac:dyDescent="0.25">
      <c r="A955" s="32">
        <v>70006</v>
      </c>
      <c r="B955" s="14">
        <f>170.7241 * CHOOSE(CONTROL!$C$9, $D$9, 100%, $F$9) + CHOOSE(CONTROL!$C$27, 0.0021, 0)</f>
        <v>170.72620000000001</v>
      </c>
      <c r="C955" s="14">
        <f>170.2918 * CHOOSE(CONTROL!$C$9, $D$9, 100%, $F$9) + CHOOSE(CONTROL!$C$27, 0.0021, 0)</f>
        <v>170.29390000000001</v>
      </c>
      <c r="D955" s="14">
        <f>170.2918 * CHOOSE(CONTROL!$C$9, $D$9, 100%, $F$9) + CHOOSE(CONTROL!$C$27, 0.0021, 0)</f>
        <v>170.29390000000001</v>
      </c>
      <c r="E955" s="14">
        <f>170.1552 * CHOOSE(CONTROL!$C$9, $D$9, 100%, $F$9) + CHOOSE(CONTROL!$C$27, 0.0021, 0)</f>
        <v>170.15730000000002</v>
      </c>
      <c r="F955" s="14">
        <f>170.1552 * CHOOSE(CONTROL!$C$9, $D$9, 100%, $F$9) + CHOOSE(CONTROL!$C$27, 0.0021, 0)</f>
        <v>170.15730000000002</v>
      </c>
      <c r="G955" s="14">
        <f>170.4266 * CHOOSE(CONTROL!$C$9, $D$9, 100%, $F$9) + CHOOSE(CONTROL!$C$27, 0.0021, 0)</f>
        <v>170.42870000000002</v>
      </c>
      <c r="H955" s="14">
        <f>170.2918 * CHOOSE(CONTROL!$C$9, $D$9, 100%, $F$9) + CHOOSE(CONTROL!$C$27, 0.0021, 0)</f>
        <v>170.29390000000001</v>
      </c>
      <c r="I955" s="14">
        <f>170.2918 * CHOOSE(CONTROL!$C$9, $D$9, 100%, $F$9) + CHOOSE(CONTROL!$C$27, 0.0021, 0)</f>
        <v>170.29390000000001</v>
      </c>
      <c r="J955" s="14">
        <f>170.2918 * CHOOSE(CONTROL!$C$9, $D$9, 100%, $F$9) + CHOOSE(CONTROL!$C$27, 0.0021, 0)</f>
        <v>170.29390000000001</v>
      </c>
      <c r="K955" s="14">
        <f>170.2918 * CHOOSE(CONTROL!$C$9, $D$9, 100%, $F$9) + CHOOSE(CONTROL!$C$27, 0.0021, 0)</f>
        <v>170.29390000000001</v>
      </c>
      <c r="L955" s="14"/>
    </row>
    <row r="956" spans="1:12" ht="15.75" x14ac:dyDescent="0.25">
      <c r="A956" s="32">
        <v>70036</v>
      </c>
      <c r="B956" s="14">
        <f>165.1257 * CHOOSE(CONTROL!$C$9, $D$9, 100%, $F$9) + CHOOSE(CONTROL!$C$27, 0.0021, 0)</f>
        <v>165.12780000000001</v>
      </c>
      <c r="C956" s="14">
        <f>164.6935 * CHOOSE(CONTROL!$C$9, $D$9, 100%, $F$9) + CHOOSE(CONTROL!$C$27, 0.0021, 0)</f>
        <v>164.69560000000001</v>
      </c>
      <c r="D956" s="14">
        <f>164.6935 * CHOOSE(CONTROL!$C$9, $D$9, 100%, $F$9) + CHOOSE(CONTROL!$C$27, 0.0021, 0)</f>
        <v>164.69560000000001</v>
      </c>
      <c r="E956" s="14">
        <f>164.5568 * CHOOSE(CONTROL!$C$9, $D$9, 100%, $F$9) + CHOOSE(CONTROL!$C$27, 0.0021, 0)</f>
        <v>164.55890000000002</v>
      </c>
      <c r="F956" s="14">
        <f>164.5568 * CHOOSE(CONTROL!$C$9, $D$9, 100%, $F$9) + CHOOSE(CONTROL!$C$27, 0.0021, 0)</f>
        <v>164.55890000000002</v>
      </c>
      <c r="G956" s="14">
        <f>164.8282 * CHOOSE(CONTROL!$C$9, $D$9, 100%, $F$9) + CHOOSE(CONTROL!$C$27, 0.0021, 0)</f>
        <v>164.83030000000002</v>
      </c>
      <c r="H956" s="14">
        <f>164.6935 * CHOOSE(CONTROL!$C$9, $D$9, 100%, $F$9) + CHOOSE(CONTROL!$C$27, 0.0021, 0)</f>
        <v>164.69560000000001</v>
      </c>
      <c r="I956" s="14">
        <f>164.6935 * CHOOSE(CONTROL!$C$9, $D$9, 100%, $F$9) + CHOOSE(CONTROL!$C$27, 0.0021, 0)</f>
        <v>164.69560000000001</v>
      </c>
      <c r="J956" s="14">
        <f>164.6935 * CHOOSE(CONTROL!$C$9, $D$9, 100%, $F$9) + CHOOSE(CONTROL!$C$27, 0.0021, 0)</f>
        <v>164.69560000000001</v>
      </c>
      <c r="K956" s="14">
        <f>164.6935 * CHOOSE(CONTROL!$C$9, $D$9, 100%, $F$9) + CHOOSE(CONTROL!$C$27, 0.0021, 0)</f>
        <v>164.69560000000001</v>
      </c>
      <c r="L956" s="14"/>
    </row>
    <row r="957" spans="1:12" ht="15.75" x14ac:dyDescent="0.25">
      <c r="A957" s="32">
        <v>70067</v>
      </c>
      <c r="B957" s="14">
        <f>159.4948 * CHOOSE(CONTROL!$C$9, $D$9, 100%, $F$9) + CHOOSE(CONTROL!$C$27, 0.0021, 0)</f>
        <v>159.49690000000001</v>
      </c>
      <c r="C957" s="14">
        <f>159.0625 * CHOOSE(CONTROL!$C$9, $D$9, 100%, $F$9) + CHOOSE(CONTROL!$C$27, 0.0021, 0)</f>
        <v>159.06460000000001</v>
      </c>
      <c r="D957" s="14">
        <f>159.0625 * CHOOSE(CONTROL!$C$9, $D$9, 100%, $F$9) + CHOOSE(CONTROL!$C$27, 0.0021, 0)</f>
        <v>159.06460000000001</v>
      </c>
      <c r="E957" s="14">
        <f>158.9259 * CHOOSE(CONTROL!$C$9, $D$9, 100%, $F$9) + CHOOSE(CONTROL!$C$27, 0.0021, 0)</f>
        <v>158.92800000000003</v>
      </c>
      <c r="F957" s="14">
        <f>158.9259 * CHOOSE(CONTROL!$C$9, $D$9, 100%, $F$9) + CHOOSE(CONTROL!$C$27, 0.0021, 0)</f>
        <v>158.92800000000003</v>
      </c>
      <c r="G957" s="14">
        <f>159.1972 * CHOOSE(CONTROL!$C$9, $D$9, 100%, $F$9) + CHOOSE(CONTROL!$C$27, 0.0021, 0)</f>
        <v>159.19930000000002</v>
      </c>
      <c r="H957" s="14">
        <f>159.0625 * CHOOSE(CONTROL!$C$9, $D$9, 100%, $F$9) + CHOOSE(CONTROL!$C$27, 0.0021, 0)</f>
        <v>159.06460000000001</v>
      </c>
      <c r="I957" s="14">
        <f>159.0625 * CHOOSE(CONTROL!$C$9, $D$9, 100%, $F$9) + CHOOSE(CONTROL!$C$27, 0.0021, 0)</f>
        <v>159.06460000000001</v>
      </c>
      <c r="J957" s="14">
        <f>159.0625 * CHOOSE(CONTROL!$C$9, $D$9, 100%, $F$9) + CHOOSE(CONTROL!$C$27, 0.0021, 0)</f>
        <v>159.06460000000001</v>
      </c>
      <c r="K957" s="14">
        <f>159.0625 * CHOOSE(CONTROL!$C$9, $D$9, 100%, $F$9) + CHOOSE(CONTROL!$C$27, 0.0021, 0)</f>
        <v>159.06460000000001</v>
      </c>
      <c r="L957" s="14"/>
    </row>
    <row r="958" spans="1:12" ht="15.75" x14ac:dyDescent="0.25">
      <c r="A958" s="32">
        <v>70097</v>
      </c>
      <c r="B958" s="14">
        <f>158.3747 * CHOOSE(CONTROL!$C$9, $D$9, 100%, $F$9) + CHOOSE(CONTROL!$C$27, 0.0021, 0)</f>
        <v>158.3768</v>
      </c>
      <c r="C958" s="14">
        <f>157.9424 * CHOOSE(CONTROL!$C$9, $D$9, 100%, $F$9) + CHOOSE(CONTROL!$C$27, 0.0021, 0)</f>
        <v>157.94450000000001</v>
      </c>
      <c r="D958" s="14">
        <f>157.9424 * CHOOSE(CONTROL!$C$9, $D$9, 100%, $F$9) + CHOOSE(CONTROL!$C$27, 0.0021, 0)</f>
        <v>157.94450000000001</v>
      </c>
      <c r="E958" s="14">
        <f>157.8058 * CHOOSE(CONTROL!$C$9, $D$9, 100%, $F$9) + CHOOSE(CONTROL!$C$27, 0.0021, 0)</f>
        <v>157.80790000000002</v>
      </c>
      <c r="F958" s="14">
        <f>157.8058 * CHOOSE(CONTROL!$C$9, $D$9, 100%, $F$9) + CHOOSE(CONTROL!$C$27, 0.0021, 0)</f>
        <v>157.80790000000002</v>
      </c>
      <c r="G958" s="14">
        <f>158.0771 * CHOOSE(CONTROL!$C$9, $D$9, 100%, $F$9) + CHOOSE(CONTROL!$C$27, 0.0021, 0)</f>
        <v>158.07920000000001</v>
      </c>
      <c r="H958" s="14">
        <f>157.9424 * CHOOSE(CONTROL!$C$9, $D$9, 100%, $F$9) + CHOOSE(CONTROL!$C$27, 0.0021, 0)</f>
        <v>157.94450000000001</v>
      </c>
      <c r="I958" s="14">
        <f>157.9424 * CHOOSE(CONTROL!$C$9, $D$9, 100%, $F$9) + CHOOSE(CONTROL!$C$27, 0.0021, 0)</f>
        <v>157.94450000000001</v>
      </c>
      <c r="J958" s="14">
        <f>157.9424 * CHOOSE(CONTROL!$C$9, $D$9, 100%, $F$9) + CHOOSE(CONTROL!$C$27, 0.0021, 0)</f>
        <v>157.94450000000001</v>
      </c>
      <c r="K958" s="14">
        <f>157.9424 * CHOOSE(CONTROL!$C$9, $D$9, 100%, $F$9) + CHOOSE(CONTROL!$C$27, 0.0021, 0)</f>
        <v>157.94450000000001</v>
      </c>
      <c r="L958" s="14"/>
    </row>
    <row r="959" spans="1:12" ht="15.75" x14ac:dyDescent="0.25">
      <c r="A959" s="32">
        <v>70128</v>
      </c>
      <c r="B959" s="14">
        <f>153.7429 * CHOOSE(CONTROL!$C$9, $D$9, 100%, $F$9) + CHOOSE(CONTROL!$C$27, 0.0021, 0)</f>
        <v>153.745</v>
      </c>
      <c r="C959" s="14">
        <f>153.3107 * CHOOSE(CONTROL!$C$9, $D$9, 100%, $F$9) + CHOOSE(CONTROL!$C$27, 0.0021, 0)</f>
        <v>153.31280000000001</v>
      </c>
      <c r="D959" s="14">
        <f>153.3107 * CHOOSE(CONTROL!$C$9, $D$9, 100%, $F$9) + CHOOSE(CONTROL!$C$27, 0.0021, 0)</f>
        <v>153.31280000000001</v>
      </c>
      <c r="E959" s="14">
        <f>153.174 * CHOOSE(CONTROL!$C$9, $D$9, 100%, $F$9) + CHOOSE(CONTROL!$C$27, 0.0021, 0)</f>
        <v>153.17610000000002</v>
      </c>
      <c r="F959" s="14">
        <f>153.174 * CHOOSE(CONTROL!$C$9, $D$9, 100%, $F$9) + CHOOSE(CONTROL!$C$27, 0.0021, 0)</f>
        <v>153.17610000000002</v>
      </c>
      <c r="G959" s="14">
        <f>153.4454 * CHOOSE(CONTROL!$C$9, $D$9, 100%, $F$9) + CHOOSE(CONTROL!$C$27, 0.0021, 0)</f>
        <v>153.44750000000002</v>
      </c>
      <c r="H959" s="14">
        <f>153.3107 * CHOOSE(CONTROL!$C$9, $D$9, 100%, $F$9) + CHOOSE(CONTROL!$C$27, 0.0021, 0)</f>
        <v>153.31280000000001</v>
      </c>
      <c r="I959" s="14">
        <f>153.3107 * CHOOSE(CONTROL!$C$9, $D$9, 100%, $F$9) + CHOOSE(CONTROL!$C$27, 0.0021, 0)</f>
        <v>153.31280000000001</v>
      </c>
      <c r="J959" s="14">
        <f>153.3107 * CHOOSE(CONTROL!$C$9, $D$9, 100%, $F$9) + CHOOSE(CONTROL!$C$27, 0.0021, 0)</f>
        <v>153.31280000000001</v>
      </c>
      <c r="K959" s="14">
        <f>153.3107 * CHOOSE(CONTROL!$C$9, $D$9, 100%, $F$9) + CHOOSE(CONTROL!$C$27, 0.0021, 0)</f>
        <v>153.31280000000001</v>
      </c>
      <c r="L959" s="14"/>
    </row>
    <row r="960" spans="1:12" ht="15.75" x14ac:dyDescent="0.25">
      <c r="A960" s="32">
        <v>70159</v>
      </c>
      <c r="B960" s="14">
        <f>152.8411 * CHOOSE(CONTROL!$C$9, $D$9, 100%, $F$9) + CHOOSE(CONTROL!$C$27, 0.0021, 0)</f>
        <v>152.84320000000002</v>
      </c>
      <c r="C960" s="14">
        <f>152.4089 * CHOOSE(CONTROL!$C$9, $D$9, 100%, $F$9) + CHOOSE(CONTROL!$C$27, 0.0021, 0)</f>
        <v>152.411</v>
      </c>
      <c r="D960" s="14">
        <f>152.4089 * CHOOSE(CONTROL!$C$9, $D$9, 100%, $F$9) + CHOOSE(CONTROL!$C$27, 0.0021, 0)</f>
        <v>152.411</v>
      </c>
      <c r="E960" s="14">
        <f>152.2722 * CHOOSE(CONTROL!$C$9, $D$9, 100%, $F$9) + CHOOSE(CONTROL!$C$27, 0.0021, 0)</f>
        <v>152.27430000000001</v>
      </c>
      <c r="F960" s="14">
        <f>152.2722 * CHOOSE(CONTROL!$C$9, $D$9, 100%, $F$9) + CHOOSE(CONTROL!$C$27, 0.0021, 0)</f>
        <v>152.27430000000001</v>
      </c>
      <c r="G960" s="14">
        <f>152.5436 * CHOOSE(CONTROL!$C$9, $D$9, 100%, $F$9) + CHOOSE(CONTROL!$C$27, 0.0021, 0)</f>
        <v>152.54570000000001</v>
      </c>
      <c r="H960" s="14">
        <f>152.4089 * CHOOSE(CONTROL!$C$9, $D$9, 100%, $F$9) + CHOOSE(CONTROL!$C$27, 0.0021, 0)</f>
        <v>152.411</v>
      </c>
      <c r="I960" s="14">
        <f>152.4089 * CHOOSE(CONTROL!$C$9, $D$9, 100%, $F$9) + CHOOSE(CONTROL!$C$27, 0.0021, 0)</f>
        <v>152.411</v>
      </c>
      <c r="J960" s="14">
        <f>152.4089 * CHOOSE(CONTROL!$C$9, $D$9, 100%, $F$9) + CHOOSE(CONTROL!$C$27, 0.0021, 0)</f>
        <v>152.411</v>
      </c>
      <c r="K960" s="14">
        <f>152.4089 * CHOOSE(CONTROL!$C$9, $D$9, 100%, $F$9) + CHOOSE(CONTROL!$C$27, 0.0021, 0)</f>
        <v>152.411</v>
      </c>
      <c r="L960" s="14"/>
    </row>
    <row r="961" spans="1:12" ht="15.75" x14ac:dyDescent="0.25">
      <c r="A961" s="32">
        <v>70188</v>
      </c>
      <c r="B961" s="14">
        <f>152.4227 * CHOOSE(CONTROL!$C$9, $D$9, 100%, $F$9) + CHOOSE(CONTROL!$C$27, 0.0021, 0)</f>
        <v>152.4248</v>
      </c>
      <c r="C961" s="14">
        <f>151.9904 * CHOOSE(CONTROL!$C$9, $D$9, 100%, $F$9) + CHOOSE(CONTROL!$C$27, 0.0021, 0)</f>
        <v>151.99250000000001</v>
      </c>
      <c r="D961" s="14">
        <f>151.9904 * CHOOSE(CONTROL!$C$9, $D$9, 100%, $F$9) + CHOOSE(CONTROL!$C$27, 0.0021, 0)</f>
        <v>151.99250000000001</v>
      </c>
      <c r="E961" s="14">
        <f>151.8538 * CHOOSE(CONTROL!$C$9, $D$9, 100%, $F$9) + CHOOSE(CONTROL!$C$27, 0.0021, 0)</f>
        <v>151.85590000000002</v>
      </c>
      <c r="F961" s="14">
        <f>151.8538 * CHOOSE(CONTROL!$C$9, $D$9, 100%, $F$9) + CHOOSE(CONTROL!$C$27, 0.0021, 0)</f>
        <v>151.85590000000002</v>
      </c>
      <c r="G961" s="14">
        <f>152.1251 * CHOOSE(CONTROL!$C$9, $D$9, 100%, $F$9) + CHOOSE(CONTROL!$C$27, 0.0021, 0)</f>
        <v>152.12720000000002</v>
      </c>
      <c r="H961" s="14">
        <f>151.9904 * CHOOSE(CONTROL!$C$9, $D$9, 100%, $F$9) + CHOOSE(CONTROL!$C$27, 0.0021, 0)</f>
        <v>151.99250000000001</v>
      </c>
      <c r="I961" s="14">
        <f>151.9904 * CHOOSE(CONTROL!$C$9, $D$9, 100%, $F$9) + CHOOSE(CONTROL!$C$27, 0.0021, 0)</f>
        <v>151.99250000000001</v>
      </c>
      <c r="J961" s="14">
        <f>151.9904 * CHOOSE(CONTROL!$C$9, $D$9, 100%, $F$9) + CHOOSE(CONTROL!$C$27, 0.0021, 0)</f>
        <v>151.99250000000001</v>
      </c>
      <c r="K961" s="14">
        <f>151.9904 * CHOOSE(CONTROL!$C$9, $D$9, 100%, $F$9) + CHOOSE(CONTROL!$C$27, 0.0021, 0)</f>
        <v>151.99250000000001</v>
      </c>
      <c r="L961" s="14"/>
    </row>
    <row r="962" spans="1:12" ht="15.75" x14ac:dyDescent="0.25">
      <c r="A962" s="32">
        <v>70219</v>
      </c>
      <c r="B962" s="14">
        <f>160.3354 * CHOOSE(CONTROL!$C$9, $D$9, 100%, $F$9) + CHOOSE(CONTROL!$C$27, 0.0021, 0)</f>
        <v>160.33750000000001</v>
      </c>
      <c r="C962" s="14">
        <f>159.9032 * CHOOSE(CONTROL!$C$9, $D$9, 100%, $F$9) + CHOOSE(CONTROL!$C$27, 0.0021, 0)</f>
        <v>159.90530000000001</v>
      </c>
      <c r="D962" s="14">
        <f>159.9032 * CHOOSE(CONTROL!$C$9, $D$9, 100%, $F$9) + CHOOSE(CONTROL!$C$27, 0.0021, 0)</f>
        <v>159.90530000000001</v>
      </c>
      <c r="E962" s="14">
        <f>159.7665 * CHOOSE(CONTROL!$C$9, $D$9, 100%, $F$9) + CHOOSE(CONTROL!$C$27, 0.0021, 0)</f>
        <v>159.76860000000002</v>
      </c>
      <c r="F962" s="14">
        <f>159.7665 * CHOOSE(CONTROL!$C$9, $D$9, 100%, $F$9) + CHOOSE(CONTROL!$C$27, 0.0021, 0)</f>
        <v>159.76860000000002</v>
      </c>
      <c r="G962" s="14">
        <f>160.0379 * CHOOSE(CONTROL!$C$9, $D$9, 100%, $F$9) + CHOOSE(CONTROL!$C$27, 0.0021, 0)</f>
        <v>160.04000000000002</v>
      </c>
      <c r="H962" s="14">
        <f>159.9032 * CHOOSE(CONTROL!$C$9, $D$9, 100%, $F$9) + CHOOSE(CONTROL!$C$27, 0.0021, 0)</f>
        <v>159.90530000000001</v>
      </c>
      <c r="I962" s="14">
        <f>159.9032 * CHOOSE(CONTROL!$C$9, $D$9, 100%, $F$9) + CHOOSE(CONTROL!$C$27, 0.0021, 0)</f>
        <v>159.90530000000001</v>
      </c>
      <c r="J962" s="14">
        <f>159.9032 * CHOOSE(CONTROL!$C$9, $D$9, 100%, $F$9) + CHOOSE(CONTROL!$C$27, 0.0021, 0)</f>
        <v>159.90530000000001</v>
      </c>
      <c r="K962" s="14">
        <f>159.9032 * CHOOSE(CONTROL!$C$9, $D$9, 100%, $F$9) + CHOOSE(CONTROL!$C$27, 0.0021, 0)</f>
        <v>159.90530000000001</v>
      </c>
      <c r="L962" s="14"/>
    </row>
    <row r="963" spans="1:12" ht="15.75" x14ac:dyDescent="0.25">
      <c r="A963" s="32">
        <v>70249</v>
      </c>
      <c r="B963" s="14">
        <f>170.5963 * CHOOSE(CONTROL!$C$9, $D$9, 100%, $F$9) + CHOOSE(CONTROL!$C$27, 0.0021, 0)</f>
        <v>170.59840000000003</v>
      </c>
      <c r="C963" s="14">
        <f>170.1641 * CHOOSE(CONTROL!$C$9, $D$9, 100%, $F$9) + CHOOSE(CONTROL!$C$27, 0.0021, 0)</f>
        <v>170.1662</v>
      </c>
      <c r="D963" s="14">
        <f>170.1641 * CHOOSE(CONTROL!$C$9, $D$9, 100%, $F$9) + CHOOSE(CONTROL!$C$27, 0.0021, 0)</f>
        <v>170.1662</v>
      </c>
      <c r="E963" s="14">
        <f>170.0274 * CHOOSE(CONTROL!$C$9, $D$9, 100%, $F$9) + CHOOSE(CONTROL!$C$27, 0.0021, 0)</f>
        <v>170.02950000000001</v>
      </c>
      <c r="F963" s="14">
        <f>170.0274 * CHOOSE(CONTROL!$C$9, $D$9, 100%, $F$9) + CHOOSE(CONTROL!$C$27, 0.0021, 0)</f>
        <v>170.02950000000001</v>
      </c>
      <c r="G963" s="14">
        <f>170.2988 * CHOOSE(CONTROL!$C$9, $D$9, 100%, $F$9) + CHOOSE(CONTROL!$C$27, 0.0021, 0)</f>
        <v>170.30090000000001</v>
      </c>
      <c r="H963" s="14">
        <f>170.1641 * CHOOSE(CONTROL!$C$9, $D$9, 100%, $F$9) + CHOOSE(CONTROL!$C$27, 0.0021, 0)</f>
        <v>170.1662</v>
      </c>
      <c r="I963" s="14">
        <f>170.1641 * CHOOSE(CONTROL!$C$9, $D$9, 100%, $F$9) + CHOOSE(CONTROL!$C$27, 0.0021, 0)</f>
        <v>170.1662</v>
      </c>
      <c r="J963" s="14">
        <f>170.1641 * CHOOSE(CONTROL!$C$9, $D$9, 100%, $F$9) + CHOOSE(CONTROL!$C$27, 0.0021, 0)</f>
        <v>170.1662</v>
      </c>
      <c r="K963" s="14">
        <f>170.1641 * CHOOSE(CONTROL!$C$9, $D$9, 100%, $F$9) + CHOOSE(CONTROL!$C$27, 0.0021, 0)</f>
        <v>170.1662</v>
      </c>
      <c r="L963" s="14"/>
    </row>
    <row r="964" spans="1:12" ht="15.75" x14ac:dyDescent="0.25">
      <c r="A964" s="32">
        <v>70280</v>
      </c>
      <c r="B964" s="14">
        <f>176.2443 * CHOOSE(CONTROL!$C$9, $D$9, 100%, $F$9) + CHOOSE(CONTROL!$C$27, 0.0021, 0)</f>
        <v>176.24640000000002</v>
      </c>
      <c r="C964" s="14">
        <f>175.812 * CHOOSE(CONTROL!$C$9, $D$9, 100%, $F$9) + CHOOSE(CONTROL!$C$27, 0.0021, 0)</f>
        <v>175.81410000000002</v>
      </c>
      <c r="D964" s="14">
        <f>175.812 * CHOOSE(CONTROL!$C$9, $D$9, 100%, $F$9) + CHOOSE(CONTROL!$C$27, 0.0021, 0)</f>
        <v>175.81410000000002</v>
      </c>
      <c r="E964" s="14">
        <f>175.6754 * CHOOSE(CONTROL!$C$9, $D$9, 100%, $F$9) + CHOOSE(CONTROL!$C$27, 0.0021, 0)</f>
        <v>175.67750000000001</v>
      </c>
      <c r="F964" s="14">
        <f>175.6754 * CHOOSE(CONTROL!$C$9, $D$9, 100%, $F$9) + CHOOSE(CONTROL!$C$27, 0.0021, 0)</f>
        <v>175.67750000000001</v>
      </c>
      <c r="G964" s="14">
        <f>175.9468 * CHOOSE(CONTROL!$C$9, $D$9, 100%, $F$9) + CHOOSE(CONTROL!$C$27, 0.0021, 0)</f>
        <v>175.94890000000001</v>
      </c>
      <c r="H964" s="14">
        <f>175.812 * CHOOSE(CONTROL!$C$9, $D$9, 100%, $F$9) + CHOOSE(CONTROL!$C$27, 0.0021, 0)</f>
        <v>175.81410000000002</v>
      </c>
      <c r="I964" s="14">
        <f>175.812 * CHOOSE(CONTROL!$C$9, $D$9, 100%, $F$9) + CHOOSE(CONTROL!$C$27, 0.0021, 0)</f>
        <v>175.81410000000002</v>
      </c>
      <c r="J964" s="14">
        <f>175.812 * CHOOSE(CONTROL!$C$9, $D$9, 100%, $F$9) + CHOOSE(CONTROL!$C$27, 0.0021, 0)</f>
        <v>175.81410000000002</v>
      </c>
      <c r="K964" s="14">
        <f>175.812 * CHOOSE(CONTROL!$C$9, $D$9, 100%, $F$9) + CHOOSE(CONTROL!$C$27, 0.0021, 0)</f>
        <v>175.81410000000002</v>
      </c>
      <c r="L964" s="14"/>
    </row>
    <row r="965" spans="1:12" ht="15.75" x14ac:dyDescent="0.25">
      <c r="A965" s="32">
        <v>70310</v>
      </c>
      <c r="B965" s="14">
        <f>178.7507 * CHOOSE(CONTROL!$C$9, $D$9, 100%, $F$9) + CHOOSE(CONTROL!$C$27, 0.0021, 0)</f>
        <v>178.75280000000001</v>
      </c>
      <c r="C965" s="14">
        <f>178.3185 * CHOOSE(CONTROL!$C$9, $D$9, 100%, $F$9) + CHOOSE(CONTROL!$C$27, 0.0021, 0)</f>
        <v>178.32060000000001</v>
      </c>
      <c r="D965" s="14">
        <f>178.3185 * CHOOSE(CONTROL!$C$9, $D$9, 100%, $F$9) + CHOOSE(CONTROL!$C$27, 0.0021, 0)</f>
        <v>178.32060000000001</v>
      </c>
      <c r="E965" s="14">
        <f>178.1818 * CHOOSE(CONTROL!$C$9, $D$9, 100%, $F$9) + CHOOSE(CONTROL!$C$27, 0.0021, 0)</f>
        <v>178.18390000000002</v>
      </c>
      <c r="F965" s="14">
        <f>178.1818 * CHOOSE(CONTROL!$C$9, $D$9, 100%, $F$9) + CHOOSE(CONTROL!$C$27, 0.0021, 0)</f>
        <v>178.18390000000002</v>
      </c>
      <c r="G965" s="14">
        <f>178.4532 * CHOOSE(CONTROL!$C$9, $D$9, 100%, $F$9) + CHOOSE(CONTROL!$C$27, 0.0021, 0)</f>
        <v>178.45530000000002</v>
      </c>
      <c r="H965" s="14">
        <f>178.3185 * CHOOSE(CONTROL!$C$9, $D$9, 100%, $F$9) + CHOOSE(CONTROL!$C$27, 0.0021, 0)</f>
        <v>178.32060000000001</v>
      </c>
      <c r="I965" s="14">
        <f>178.3185 * CHOOSE(CONTROL!$C$9, $D$9, 100%, $F$9) + CHOOSE(CONTROL!$C$27, 0.0021, 0)</f>
        <v>178.32060000000001</v>
      </c>
      <c r="J965" s="14">
        <f>178.3185 * CHOOSE(CONTROL!$C$9, $D$9, 100%, $F$9) + CHOOSE(CONTROL!$C$27, 0.0021, 0)</f>
        <v>178.32060000000001</v>
      </c>
      <c r="K965" s="14">
        <f>178.3185 * CHOOSE(CONTROL!$C$9, $D$9, 100%, $F$9) + CHOOSE(CONTROL!$C$27, 0.0021, 0)</f>
        <v>178.32060000000001</v>
      </c>
      <c r="L965" s="14"/>
    </row>
    <row r="966" spans="1:12" ht="15.75" x14ac:dyDescent="0.25">
      <c r="A966" s="32">
        <v>70341</v>
      </c>
      <c r="B966" s="14">
        <f>177.9255 * CHOOSE(CONTROL!$C$9, $D$9, 100%, $F$9) + CHOOSE(CONTROL!$C$27, 0.0021, 0)</f>
        <v>177.92760000000001</v>
      </c>
      <c r="C966" s="14">
        <f>177.4933 * CHOOSE(CONTROL!$C$9, $D$9, 100%, $F$9) + CHOOSE(CONTROL!$C$27, 0.0021, 0)</f>
        <v>177.49540000000002</v>
      </c>
      <c r="D966" s="14">
        <f>177.4933 * CHOOSE(CONTROL!$C$9, $D$9, 100%, $F$9) + CHOOSE(CONTROL!$C$27, 0.0021, 0)</f>
        <v>177.49540000000002</v>
      </c>
      <c r="E966" s="14">
        <f>177.3566 * CHOOSE(CONTROL!$C$9, $D$9, 100%, $F$9) + CHOOSE(CONTROL!$C$27, 0.0021, 0)</f>
        <v>177.3587</v>
      </c>
      <c r="F966" s="14">
        <f>177.3566 * CHOOSE(CONTROL!$C$9, $D$9, 100%, $F$9) + CHOOSE(CONTROL!$C$27, 0.0021, 0)</f>
        <v>177.3587</v>
      </c>
      <c r="G966" s="14">
        <f>177.628 * CHOOSE(CONTROL!$C$9, $D$9, 100%, $F$9) + CHOOSE(CONTROL!$C$27, 0.0021, 0)</f>
        <v>177.6301</v>
      </c>
      <c r="H966" s="14">
        <f>177.4933 * CHOOSE(CONTROL!$C$9, $D$9, 100%, $F$9) + CHOOSE(CONTROL!$C$27, 0.0021, 0)</f>
        <v>177.49540000000002</v>
      </c>
      <c r="I966" s="14">
        <f>177.4933 * CHOOSE(CONTROL!$C$9, $D$9, 100%, $F$9) + CHOOSE(CONTROL!$C$27, 0.0021, 0)</f>
        <v>177.49540000000002</v>
      </c>
      <c r="J966" s="14">
        <f>177.4933 * CHOOSE(CONTROL!$C$9, $D$9, 100%, $F$9) + CHOOSE(CONTROL!$C$27, 0.0021, 0)</f>
        <v>177.49540000000002</v>
      </c>
      <c r="K966" s="14">
        <f>177.4933 * CHOOSE(CONTROL!$C$9, $D$9, 100%, $F$9) + CHOOSE(CONTROL!$C$27, 0.0021, 0)</f>
        <v>177.49540000000002</v>
      </c>
      <c r="L966" s="14"/>
    </row>
    <row r="967" spans="1:12" ht="15.75" x14ac:dyDescent="0.25">
      <c r="A967" s="32">
        <v>70372</v>
      </c>
      <c r="B967" s="14">
        <f>173.8368 * CHOOSE(CONTROL!$C$9, $D$9, 100%, $F$9) + CHOOSE(CONTROL!$C$27, 0.0021, 0)</f>
        <v>173.83890000000002</v>
      </c>
      <c r="C967" s="14">
        <f>173.4046 * CHOOSE(CONTROL!$C$9, $D$9, 100%, $F$9) + CHOOSE(CONTROL!$C$27, 0.0021, 0)</f>
        <v>173.4067</v>
      </c>
      <c r="D967" s="14">
        <f>173.4046 * CHOOSE(CONTROL!$C$9, $D$9, 100%, $F$9) + CHOOSE(CONTROL!$C$27, 0.0021, 0)</f>
        <v>173.4067</v>
      </c>
      <c r="E967" s="14">
        <f>173.2679 * CHOOSE(CONTROL!$C$9, $D$9, 100%, $F$9) + CHOOSE(CONTROL!$C$27, 0.0021, 0)</f>
        <v>173.27</v>
      </c>
      <c r="F967" s="14">
        <f>173.2679 * CHOOSE(CONTROL!$C$9, $D$9, 100%, $F$9) + CHOOSE(CONTROL!$C$27, 0.0021, 0)</f>
        <v>173.27</v>
      </c>
      <c r="G967" s="14">
        <f>173.5393 * CHOOSE(CONTROL!$C$9, $D$9, 100%, $F$9) + CHOOSE(CONTROL!$C$27, 0.0021, 0)</f>
        <v>173.54140000000001</v>
      </c>
      <c r="H967" s="14">
        <f>173.4046 * CHOOSE(CONTROL!$C$9, $D$9, 100%, $F$9) + CHOOSE(CONTROL!$C$27, 0.0021, 0)</f>
        <v>173.4067</v>
      </c>
      <c r="I967" s="14">
        <f>173.4046 * CHOOSE(CONTROL!$C$9, $D$9, 100%, $F$9) + CHOOSE(CONTROL!$C$27, 0.0021, 0)</f>
        <v>173.4067</v>
      </c>
      <c r="J967" s="14">
        <f>173.4046 * CHOOSE(CONTROL!$C$9, $D$9, 100%, $F$9) + CHOOSE(CONTROL!$C$27, 0.0021, 0)</f>
        <v>173.4067</v>
      </c>
      <c r="K967" s="14">
        <f>173.4046 * CHOOSE(CONTROL!$C$9, $D$9, 100%, $F$9) + CHOOSE(CONTROL!$C$27, 0.0021, 0)</f>
        <v>173.4067</v>
      </c>
      <c r="L967" s="14"/>
    </row>
    <row r="968" spans="1:12" ht="15.75" x14ac:dyDescent="0.25">
      <c r="A968" s="32">
        <v>70402</v>
      </c>
      <c r="B968" s="14">
        <f>168.135 * CHOOSE(CONTROL!$C$9, $D$9, 100%, $F$9) + CHOOSE(CONTROL!$C$27, 0.0021, 0)</f>
        <v>168.1371</v>
      </c>
      <c r="C968" s="14">
        <f>167.7027 * CHOOSE(CONTROL!$C$9, $D$9, 100%, $F$9) + CHOOSE(CONTROL!$C$27, 0.0021, 0)</f>
        <v>167.70480000000001</v>
      </c>
      <c r="D968" s="14">
        <f>167.7027 * CHOOSE(CONTROL!$C$9, $D$9, 100%, $F$9) + CHOOSE(CONTROL!$C$27, 0.0021, 0)</f>
        <v>167.70480000000001</v>
      </c>
      <c r="E968" s="14">
        <f>167.5661 * CHOOSE(CONTROL!$C$9, $D$9, 100%, $F$9) + CHOOSE(CONTROL!$C$27, 0.0021, 0)</f>
        <v>167.56820000000002</v>
      </c>
      <c r="F968" s="14">
        <f>167.5661 * CHOOSE(CONTROL!$C$9, $D$9, 100%, $F$9) + CHOOSE(CONTROL!$C$27, 0.0021, 0)</f>
        <v>167.56820000000002</v>
      </c>
      <c r="G968" s="14">
        <f>167.8375 * CHOOSE(CONTROL!$C$9, $D$9, 100%, $F$9) + CHOOSE(CONTROL!$C$27, 0.0021, 0)</f>
        <v>167.83960000000002</v>
      </c>
      <c r="H968" s="14">
        <f>167.7027 * CHOOSE(CONTROL!$C$9, $D$9, 100%, $F$9) + CHOOSE(CONTROL!$C$27, 0.0021, 0)</f>
        <v>167.70480000000001</v>
      </c>
      <c r="I968" s="14">
        <f>167.7027 * CHOOSE(CONTROL!$C$9, $D$9, 100%, $F$9) + CHOOSE(CONTROL!$C$27, 0.0021, 0)</f>
        <v>167.70480000000001</v>
      </c>
      <c r="J968" s="14">
        <f>167.7027 * CHOOSE(CONTROL!$C$9, $D$9, 100%, $F$9) + CHOOSE(CONTROL!$C$27, 0.0021, 0)</f>
        <v>167.70480000000001</v>
      </c>
      <c r="K968" s="14">
        <f>167.7027 * CHOOSE(CONTROL!$C$9, $D$9, 100%, $F$9) + CHOOSE(CONTROL!$C$27, 0.0021, 0)</f>
        <v>167.70480000000001</v>
      </c>
      <c r="L968" s="14"/>
    </row>
    <row r="969" spans="1:12" ht="15.75" x14ac:dyDescent="0.25">
      <c r="A969" s="32">
        <v>70433</v>
      </c>
      <c r="B969" s="14">
        <f>162.4 * CHOOSE(CONTROL!$C$9, $D$9, 100%, $F$9) + CHOOSE(CONTROL!$C$27, 0.0021, 0)</f>
        <v>162.40210000000002</v>
      </c>
      <c r="C969" s="14">
        <f>161.9677 * CHOOSE(CONTROL!$C$9, $D$9, 100%, $F$9) + CHOOSE(CONTROL!$C$27, 0.0021, 0)</f>
        <v>161.96980000000002</v>
      </c>
      <c r="D969" s="14">
        <f>161.9677 * CHOOSE(CONTROL!$C$9, $D$9, 100%, $F$9) + CHOOSE(CONTROL!$C$27, 0.0021, 0)</f>
        <v>161.96980000000002</v>
      </c>
      <c r="E969" s="14">
        <f>161.8311 * CHOOSE(CONTROL!$C$9, $D$9, 100%, $F$9) + CHOOSE(CONTROL!$C$27, 0.0021, 0)</f>
        <v>161.83320000000001</v>
      </c>
      <c r="F969" s="14">
        <f>161.8311 * CHOOSE(CONTROL!$C$9, $D$9, 100%, $F$9) + CHOOSE(CONTROL!$C$27, 0.0021, 0)</f>
        <v>161.83320000000001</v>
      </c>
      <c r="G969" s="14">
        <f>162.1025 * CHOOSE(CONTROL!$C$9, $D$9, 100%, $F$9) + CHOOSE(CONTROL!$C$27, 0.0021, 0)</f>
        <v>162.1046</v>
      </c>
      <c r="H969" s="14">
        <f>161.9677 * CHOOSE(CONTROL!$C$9, $D$9, 100%, $F$9) + CHOOSE(CONTROL!$C$27, 0.0021, 0)</f>
        <v>161.96980000000002</v>
      </c>
      <c r="I969" s="14">
        <f>161.9677 * CHOOSE(CONTROL!$C$9, $D$9, 100%, $F$9) + CHOOSE(CONTROL!$C$27, 0.0021, 0)</f>
        <v>161.96980000000002</v>
      </c>
      <c r="J969" s="14">
        <f>161.9677 * CHOOSE(CONTROL!$C$9, $D$9, 100%, $F$9) + CHOOSE(CONTROL!$C$27, 0.0021, 0)</f>
        <v>161.96980000000002</v>
      </c>
      <c r="K969" s="14">
        <f>161.9677 * CHOOSE(CONTROL!$C$9, $D$9, 100%, $F$9) + CHOOSE(CONTROL!$C$27, 0.0021, 0)</f>
        <v>161.96980000000002</v>
      </c>
      <c r="L969" s="14"/>
    </row>
    <row r="970" spans="1:12" ht="15.75" x14ac:dyDescent="0.25">
      <c r="A970" s="32">
        <v>70463</v>
      </c>
      <c r="B970" s="14">
        <f>161.2592 * CHOOSE(CONTROL!$C$9, $D$9, 100%, $F$9) + CHOOSE(CONTROL!$C$27, 0.0021, 0)</f>
        <v>161.26130000000001</v>
      </c>
      <c r="C970" s="14">
        <f>160.8269 * CHOOSE(CONTROL!$C$9, $D$9, 100%, $F$9) + CHOOSE(CONTROL!$C$27, 0.0021, 0)</f>
        <v>160.82900000000001</v>
      </c>
      <c r="D970" s="14">
        <f>160.8269 * CHOOSE(CONTROL!$C$9, $D$9, 100%, $F$9) + CHOOSE(CONTROL!$C$27, 0.0021, 0)</f>
        <v>160.82900000000001</v>
      </c>
      <c r="E970" s="14">
        <f>160.6903 * CHOOSE(CONTROL!$C$9, $D$9, 100%, $F$9) + CHOOSE(CONTROL!$C$27, 0.0021, 0)</f>
        <v>160.69240000000002</v>
      </c>
      <c r="F970" s="14">
        <f>160.6903 * CHOOSE(CONTROL!$C$9, $D$9, 100%, $F$9) + CHOOSE(CONTROL!$C$27, 0.0021, 0)</f>
        <v>160.69240000000002</v>
      </c>
      <c r="G970" s="14">
        <f>160.9616 * CHOOSE(CONTROL!$C$9, $D$9, 100%, $F$9) + CHOOSE(CONTROL!$C$27, 0.0021, 0)</f>
        <v>160.96370000000002</v>
      </c>
      <c r="H970" s="14">
        <f>160.8269 * CHOOSE(CONTROL!$C$9, $D$9, 100%, $F$9) + CHOOSE(CONTROL!$C$27, 0.0021, 0)</f>
        <v>160.82900000000001</v>
      </c>
      <c r="I970" s="14">
        <f>160.8269 * CHOOSE(CONTROL!$C$9, $D$9, 100%, $F$9) + CHOOSE(CONTROL!$C$27, 0.0021, 0)</f>
        <v>160.82900000000001</v>
      </c>
      <c r="J970" s="14">
        <f>160.8269 * CHOOSE(CONTROL!$C$9, $D$9, 100%, $F$9) + CHOOSE(CONTROL!$C$27, 0.0021, 0)</f>
        <v>160.82900000000001</v>
      </c>
      <c r="K970" s="14">
        <f>160.8269 * CHOOSE(CONTROL!$C$9, $D$9, 100%, $F$9) + CHOOSE(CONTROL!$C$27, 0.0021, 0)</f>
        <v>160.82900000000001</v>
      </c>
      <c r="L970" s="14"/>
    </row>
    <row r="971" spans="1:12" ht="15.75" x14ac:dyDescent="0.25">
      <c r="A971" s="32">
        <v>70494</v>
      </c>
      <c r="B971" s="14">
        <f>156.5418 * CHOOSE(CONTROL!$C$9, $D$9, 100%, $F$9) + CHOOSE(CONTROL!$C$27, 0.0021, 0)</f>
        <v>156.54390000000001</v>
      </c>
      <c r="C971" s="14">
        <f>156.1096 * CHOOSE(CONTROL!$C$9, $D$9, 100%, $F$9) + CHOOSE(CONTROL!$C$27, 0.0021, 0)</f>
        <v>156.11170000000001</v>
      </c>
      <c r="D971" s="14">
        <f>156.1096 * CHOOSE(CONTROL!$C$9, $D$9, 100%, $F$9) + CHOOSE(CONTROL!$C$27, 0.0021, 0)</f>
        <v>156.11170000000001</v>
      </c>
      <c r="E971" s="14">
        <f>155.9729 * CHOOSE(CONTROL!$C$9, $D$9, 100%, $F$9) + CHOOSE(CONTROL!$C$27, 0.0021, 0)</f>
        <v>155.97500000000002</v>
      </c>
      <c r="F971" s="14">
        <f>155.9729 * CHOOSE(CONTROL!$C$9, $D$9, 100%, $F$9) + CHOOSE(CONTROL!$C$27, 0.0021, 0)</f>
        <v>155.97500000000002</v>
      </c>
      <c r="G971" s="14">
        <f>156.2443 * CHOOSE(CONTROL!$C$9, $D$9, 100%, $F$9) + CHOOSE(CONTROL!$C$27, 0.0021, 0)</f>
        <v>156.24640000000002</v>
      </c>
      <c r="H971" s="14">
        <f>156.1096 * CHOOSE(CONTROL!$C$9, $D$9, 100%, $F$9) + CHOOSE(CONTROL!$C$27, 0.0021, 0)</f>
        <v>156.11170000000001</v>
      </c>
      <c r="I971" s="14">
        <f>156.1096 * CHOOSE(CONTROL!$C$9, $D$9, 100%, $F$9) + CHOOSE(CONTROL!$C$27, 0.0021, 0)</f>
        <v>156.11170000000001</v>
      </c>
      <c r="J971" s="14">
        <f>156.1096 * CHOOSE(CONTROL!$C$9, $D$9, 100%, $F$9) + CHOOSE(CONTROL!$C$27, 0.0021, 0)</f>
        <v>156.11170000000001</v>
      </c>
      <c r="K971" s="14">
        <f>156.1096 * CHOOSE(CONTROL!$C$9, $D$9, 100%, $F$9) + CHOOSE(CONTROL!$C$27, 0.0021, 0)</f>
        <v>156.11170000000001</v>
      </c>
      <c r="L971" s="14"/>
    </row>
    <row r="972" spans="1:12" ht="15.75" x14ac:dyDescent="0.25">
      <c r="A972" s="32">
        <v>70525</v>
      </c>
      <c r="B972" s="14">
        <f>155.6234 * CHOOSE(CONTROL!$C$9, $D$9, 100%, $F$9) + CHOOSE(CONTROL!$C$27, 0.0021, 0)</f>
        <v>155.62550000000002</v>
      </c>
      <c r="C972" s="14">
        <f>155.1912 * CHOOSE(CONTROL!$C$9, $D$9, 100%, $F$9) + CHOOSE(CONTROL!$C$27, 0.0021, 0)</f>
        <v>155.19330000000002</v>
      </c>
      <c r="D972" s="14">
        <f>155.1912 * CHOOSE(CONTROL!$C$9, $D$9, 100%, $F$9) + CHOOSE(CONTROL!$C$27, 0.0021, 0)</f>
        <v>155.19330000000002</v>
      </c>
      <c r="E972" s="14">
        <f>155.0545 * CHOOSE(CONTROL!$C$9, $D$9, 100%, $F$9) + CHOOSE(CONTROL!$C$27, 0.0021, 0)</f>
        <v>155.0566</v>
      </c>
      <c r="F972" s="14">
        <f>155.0545 * CHOOSE(CONTROL!$C$9, $D$9, 100%, $F$9) + CHOOSE(CONTROL!$C$27, 0.0021, 0)</f>
        <v>155.0566</v>
      </c>
      <c r="G972" s="14">
        <f>155.3259 * CHOOSE(CONTROL!$C$9, $D$9, 100%, $F$9) + CHOOSE(CONTROL!$C$27, 0.0021, 0)</f>
        <v>155.328</v>
      </c>
      <c r="H972" s="14">
        <f>155.1912 * CHOOSE(CONTROL!$C$9, $D$9, 100%, $F$9) + CHOOSE(CONTROL!$C$27, 0.0021, 0)</f>
        <v>155.19330000000002</v>
      </c>
      <c r="I972" s="14">
        <f>155.1912 * CHOOSE(CONTROL!$C$9, $D$9, 100%, $F$9) + CHOOSE(CONTROL!$C$27, 0.0021, 0)</f>
        <v>155.19330000000002</v>
      </c>
      <c r="J972" s="14">
        <f>155.1912 * CHOOSE(CONTROL!$C$9, $D$9, 100%, $F$9) + CHOOSE(CONTROL!$C$27, 0.0021, 0)</f>
        <v>155.19330000000002</v>
      </c>
      <c r="K972" s="14">
        <f>155.1912 * CHOOSE(CONTROL!$C$9, $D$9, 100%, $F$9) + CHOOSE(CONTROL!$C$27, 0.0021, 0)</f>
        <v>155.19330000000002</v>
      </c>
      <c r="L972" s="14"/>
    </row>
    <row r="973" spans="1:12" ht="15.75" x14ac:dyDescent="0.25">
      <c r="A973" s="32">
        <v>70553</v>
      </c>
      <c r="B973" s="14">
        <f>155.1972 * CHOOSE(CONTROL!$C$9, $D$9, 100%, $F$9) + CHOOSE(CONTROL!$C$27, 0.0021, 0)</f>
        <v>155.19930000000002</v>
      </c>
      <c r="C973" s="14">
        <f>154.7649 * CHOOSE(CONTROL!$C$9, $D$9, 100%, $F$9) + CHOOSE(CONTROL!$C$27, 0.0021, 0)</f>
        <v>154.76700000000002</v>
      </c>
      <c r="D973" s="14">
        <f>154.7649 * CHOOSE(CONTROL!$C$9, $D$9, 100%, $F$9) + CHOOSE(CONTROL!$C$27, 0.0021, 0)</f>
        <v>154.76700000000002</v>
      </c>
      <c r="E973" s="14">
        <f>154.6283 * CHOOSE(CONTROL!$C$9, $D$9, 100%, $F$9) + CHOOSE(CONTROL!$C$27, 0.0021, 0)</f>
        <v>154.63040000000001</v>
      </c>
      <c r="F973" s="14">
        <f>154.6283 * CHOOSE(CONTROL!$C$9, $D$9, 100%, $F$9) + CHOOSE(CONTROL!$C$27, 0.0021, 0)</f>
        <v>154.63040000000001</v>
      </c>
      <c r="G973" s="14">
        <f>154.8997 * CHOOSE(CONTROL!$C$9, $D$9, 100%, $F$9) + CHOOSE(CONTROL!$C$27, 0.0021, 0)</f>
        <v>154.90180000000001</v>
      </c>
      <c r="H973" s="14">
        <f>154.7649 * CHOOSE(CONTROL!$C$9, $D$9, 100%, $F$9) + CHOOSE(CONTROL!$C$27, 0.0021, 0)</f>
        <v>154.76700000000002</v>
      </c>
      <c r="I973" s="14">
        <f>154.7649 * CHOOSE(CONTROL!$C$9, $D$9, 100%, $F$9) + CHOOSE(CONTROL!$C$27, 0.0021, 0)</f>
        <v>154.76700000000002</v>
      </c>
      <c r="J973" s="14">
        <f>154.7649 * CHOOSE(CONTROL!$C$9, $D$9, 100%, $F$9) + CHOOSE(CONTROL!$C$27, 0.0021, 0)</f>
        <v>154.76700000000002</v>
      </c>
      <c r="K973" s="14">
        <f>154.7649 * CHOOSE(CONTROL!$C$9, $D$9, 100%, $F$9) + CHOOSE(CONTROL!$C$27, 0.0021, 0)</f>
        <v>154.76700000000002</v>
      </c>
      <c r="L973" s="14"/>
    </row>
    <row r="974" spans="1:12" ht="15.75" x14ac:dyDescent="0.25">
      <c r="A974" s="32">
        <v>70584</v>
      </c>
      <c r="B974" s="14">
        <f>163.2562 * CHOOSE(CONTROL!$C$9, $D$9, 100%, $F$9) + CHOOSE(CONTROL!$C$27, 0.0021, 0)</f>
        <v>163.25830000000002</v>
      </c>
      <c r="C974" s="14">
        <f>162.8239 * CHOOSE(CONTROL!$C$9, $D$9, 100%, $F$9) + CHOOSE(CONTROL!$C$27, 0.0021, 0)</f>
        <v>162.82600000000002</v>
      </c>
      <c r="D974" s="14">
        <f>162.8239 * CHOOSE(CONTROL!$C$9, $D$9, 100%, $F$9) + CHOOSE(CONTROL!$C$27, 0.0021, 0)</f>
        <v>162.82600000000002</v>
      </c>
      <c r="E974" s="14">
        <f>162.6873 * CHOOSE(CONTROL!$C$9, $D$9, 100%, $F$9) + CHOOSE(CONTROL!$C$27, 0.0021, 0)</f>
        <v>162.68940000000001</v>
      </c>
      <c r="F974" s="14">
        <f>162.6873 * CHOOSE(CONTROL!$C$9, $D$9, 100%, $F$9) + CHOOSE(CONTROL!$C$27, 0.0021, 0)</f>
        <v>162.68940000000001</v>
      </c>
      <c r="G974" s="14">
        <f>162.9586 * CHOOSE(CONTROL!$C$9, $D$9, 100%, $F$9) + CHOOSE(CONTROL!$C$27, 0.0021, 0)</f>
        <v>162.9607</v>
      </c>
      <c r="H974" s="14">
        <f>162.8239 * CHOOSE(CONTROL!$C$9, $D$9, 100%, $F$9) + CHOOSE(CONTROL!$C$27, 0.0021, 0)</f>
        <v>162.82600000000002</v>
      </c>
      <c r="I974" s="14">
        <f>162.8239 * CHOOSE(CONTROL!$C$9, $D$9, 100%, $F$9) + CHOOSE(CONTROL!$C$27, 0.0021, 0)</f>
        <v>162.82600000000002</v>
      </c>
      <c r="J974" s="14">
        <f>162.8239 * CHOOSE(CONTROL!$C$9, $D$9, 100%, $F$9) + CHOOSE(CONTROL!$C$27, 0.0021, 0)</f>
        <v>162.82600000000002</v>
      </c>
      <c r="K974" s="14">
        <f>162.8239 * CHOOSE(CONTROL!$C$9, $D$9, 100%, $F$9) + CHOOSE(CONTROL!$C$27, 0.0021, 0)</f>
        <v>162.82600000000002</v>
      </c>
      <c r="L974" s="14"/>
    </row>
    <row r="975" spans="1:12" ht="15.75" x14ac:dyDescent="0.25">
      <c r="A975" s="32">
        <v>70614</v>
      </c>
      <c r="B975" s="14">
        <f>173.7067 * CHOOSE(CONTROL!$C$9, $D$9, 100%, $F$9) + CHOOSE(CONTROL!$C$27, 0.0021, 0)</f>
        <v>173.70880000000002</v>
      </c>
      <c r="C975" s="14">
        <f>173.2745 * CHOOSE(CONTROL!$C$9, $D$9, 100%, $F$9) + CHOOSE(CONTROL!$C$27, 0.0021, 0)</f>
        <v>173.2766</v>
      </c>
      <c r="D975" s="14">
        <f>173.2745 * CHOOSE(CONTROL!$C$9, $D$9, 100%, $F$9) + CHOOSE(CONTROL!$C$27, 0.0021, 0)</f>
        <v>173.2766</v>
      </c>
      <c r="E975" s="14">
        <f>173.1378 * CHOOSE(CONTROL!$C$9, $D$9, 100%, $F$9) + CHOOSE(CONTROL!$C$27, 0.0021, 0)</f>
        <v>173.13990000000001</v>
      </c>
      <c r="F975" s="14">
        <f>173.1378 * CHOOSE(CONTROL!$C$9, $D$9, 100%, $F$9) + CHOOSE(CONTROL!$C$27, 0.0021, 0)</f>
        <v>173.13990000000001</v>
      </c>
      <c r="G975" s="14">
        <f>173.4092 * CHOOSE(CONTROL!$C$9, $D$9, 100%, $F$9) + CHOOSE(CONTROL!$C$27, 0.0021, 0)</f>
        <v>173.41130000000001</v>
      </c>
      <c r="H975" s="14">
        <f>173.2745 * CHOOSE(CONTROL!$C$9, $D$9, 100%, $F$9) + CHOOSE(CONTROL!$C$27, 0.0021, 0)</f>
        <v>173.2766</v>
      </c>
      <c r="I975" s="14">
        <f>173.2745 * CHOOSE(CONTROL!$C$9, $D$9, 100%, $F$9) + CHOOSE(CONTROL!$C$27, 0.0021, 0)</f>
        <v>173.2766</v>
      </c>
      <c r="J975" s="14">
        <f>173.2745 * CHOOSE(CONTROL!$C$9, $D$9, 100%, $F$9) + CHOOSE(CONTROL!$C$27, 0.0021, 0)</f>
        <v>173.2766</v>
      </c>
      <c r="K975" s="14">
        <f>173.2745 * CHOOSE(CONTROL!$C$9, $D$9, 100%, $F$9) + CHOOSE(CONTROL!$C$27, 0.0021, 0)</f>
        <v>173.2766</v>
      </c>
      <c r="L975" s="14"/>
    </row>
    <row r="976" spans="1:12" ht="15.75" x14ac:dyDescent="0.25">
      <c r="A976" s="32">
        <v>70645</v>
      </c>
      <c r="B976" s="14">
        <f>179.459 * CHOOSE(CONTROL!$C$9, $D$9, 100%, $F$9) + CHOOSE(CONTROL!$C$27, 0.0021, 0)</f>
        <v>179.46110000000002</v>
      </c>
      <c r="C976" s="14">
        <f>179.0268 * CHOOSE(CONTROL!$C$9, $D$9, 100%, $F$9) + CHOOSE(CONTROL!$C$27, 0.0021, 0)</f>
        <v>179.02890000000002</v>
      </c>
      <c r="D976" s="14">
        <f>179.0268 * CHOOSE(CONTROL!$C$9, $D$9, 100%, $F$9) + CHOOSE(CONTROL!$C$27, 0.0021, 0)</f>
        <v>179.02890000000002</v>
      </c>
      <c r="E976" s="14">
        <f>178.8901 * CHOOSE(CONTROL!$C$9, $D$9, 100%, $F$9) + CHOOSE(CONTROL!$C$27, 0.0021, 0)</f>
        <v>178.8922</v>
      </c>
      <c r="F976" s="14">
        <f>178.8901 * CHOOSE(CONTROL!$C$9, $D$9, 100%, $F$9) + CHOOSE(CONTROL!$C$27, 0.0021, 0)</f>
        <v>178.8922</v>
      </c>
      <c r="G976" s="14">
        <f>179.1615 * CHOOSE(CONTROL!$C$9, $D$9, 100%, $F$9) + CHOOSE(CONTROL!$C$27, 0.0021, 0)</f>
        <v>179.1636</v>
      </c>
      <c r="H976" s="14">
        <f>179.0268 * CHOOSE(CONTROL!$C$9, $D$9, 100%, $F$9) + CHOOSE(CONTROL!$C$27, 0.0021, 0)</f>
        <v>179.02890000000002</v>
      </c>
      <c r="I976" s="14">
        <f>179.0268 * CHOOSE(CONTROL!$C$9, $D$9, 100%, $F$9) + CHOOSE(CONTROL!$C$27, 0.0021, 0)</f>
        <v>179.02890000000002</v>
      </c>
      <c r="J976" s="14">
        <f>179.0268 * CHOOSE(CONTROL!$C$9, $D$9, 100%, $F$9) + CHOOSE(CONTROL!$C$27, 0.0021, 0)</f>
        <v>179.02890000000002</v>
      </c>
      <c r="K976" s="14">
        <f>179.0268 * CHOOSE(CONTROL!$C$9, $D$9, 100%, $F$9) + CHOOSE(CONTROL!$C$27, 0.0021, 0)</f>
        <v>179.02890000000002</v>
      </c>
      <c r="L976" s="14"/>
    </row>
    <row r="977" spans="1:12" ht="15.75" x14ac:dyDescent="0.25">
      <c r="A977" s="32">
        <v>70675</v>
      </c>
      <c r="B977" s="14">
        <f>182.0118 * CHOOSE(CONTROL!$C$9, $D$9, 100%, $F$9) + CHOOSE(CONTROL!$C$27, 0.0021, 0)</f>
        <v>182.01390000000001</v>
      </c>
      <c r="C977" s="14">
        <f>181.5796 * CHOOSE(CONTROL!$C$9, $D$9, 100%, $F$9) + CHOOSE(CONTROL!$C$27, 0.0021, 0)</f>
        <v>181.58170000000001</v>
      </c>
      <c r="D977" s="14">
        <f>181.5796 * CHOOSE(CONTROL!$C$9, $D$9, 100%, $F$9) + CHOOSE(CONTROL!$C$27, 0.0021, 0)</f>
        <v>181.58170000000001</v>
      </c>
      <c r="E977" s="14">
        <f>181.4429 * CHOOSE(CONTROL!$C$9, $D$9, 100%, $F$9) + CHOOSE(CONTROL!$C$27, 0.0021, 0)</f>
        <v>181.44500000000002</v>
      </c>
      <c r="F977" s="14">
        <f>181.4429 * CHOOSE(CONTROL!$C$9, $D$9, 100%, $F$9) + CHOOSE(CONTROL!$C$27, 0.0021, 0)</f>
        <v>181.44500000000002</v>
      </c>
      <c r="G977" s="14">
        <f>181.7143 * CHOOSE(CONTROL!$C$9, $D$9, 100%, $F$9) + CHOOSE(CONTROL!$C$27, 0.0021, 0)</f>
        <v>181.71640000000002</v>
      </c>
      <c r="H977" s="14">
        <f>181.5796 * CHOOSE(CONTROL!$C$9, $D$9, 100%, $F$9) + CHOOSE(CONTROL!$C$27, 0.0021, 0)</f>
        <v>181.58170000000001</v>
      </c>
      <c r="I977" s="14">
        <f>181.5796 * CHOOSE(CONTROL!$C$9, $D$9, 100%, $F$9) + CHOOSE(CONTROL!$C$27, 0.0021, 0)</f>
        <v>181.58170000000001</v>
      </c>
      <c r="J977" s="14">
        <f>181.5796 * CHOOSE(CONTROL!$C$9, $D$9, 100%, $F$9) + CHOOSE(CONTROL!$C$27, 0.0021, 0)</f>
        <v>181.58170000000001</v>
      </c>
      <c r="K977" s="14">
        <f>181.5796 * CHOOSE(CONTROL!$C$9, $D$9, 100%, $F$9) + CHOOSE(CONTROL!$C$27, 0.0021, 0)</f>
        <v>181.58170000000001</v>
      </c>
      <c r="L977" s="14"/>
    </row>
    <row r="978" spans="1:12" ht="15.75" x14ac:dyDescent="0.25">
      <c r="A978" s="32">
        <v>70706</v>
      </c>
      <c r="B978" s="14">
        <f>181.1713 * CHOOSE(CONTROL!$C$9, $D$9, 100%, $F$9) + CHOOSE(CONTROL!$C$27, 0.0021, 0)</f>
        <v>181.17340000000002</v>
      </c>
      <c r="C978" s="14">
        <f>180.7391 * CHOOSE(CONTROL!$C$9, $D$9, 100%, $F$9) + CHOOSE(CONTROL!$C$27, 0.0021, 0)</f>
        <v>180.74120000000002</v>
      </c>
      <c r="D978" s="14">
        <f>180.7391 * CHOOSE(CONTROL!$C$9, $D$9, 100%, $F$9) + CHOOSE(CONTROL!$C$27, 0.0021, 0)</f>
        <v>180.74120000000002</v>
      </c>
      <c r="E978" s="14">
        <f>180.6024 * CHOOSE(CONTROL!$C$9, $D$9, 100%, $F$9) + CHOOSE(CONTROL!$C$27, 0.0021, 0)</f>
        <v>180.6045</v>
      </c>
      <c r="F978" s="14">
        <f>180.6024 * CHOOSE(CONTROL!$C$9, $D$9, 100%, $F$9) + CHOOSE(CONTROL!$C$27, 0.0021, 0)</f>
        <v>180.6045</v>
      </c>
      <c r="G978" s="14">
        <f>180.8738 * CHOOSE(CONTROL!$C$9, $D$9, 100%, $F$9) + CHOOSE(CONTROL!$C$27, 0.0021, 0)</f>
        <v>180.8759</v>
      </c>
      <c r="H978" s="14">
        <f>180.7391 * CHOOSE(CONTROL!$C$9, $D$9, 100%, $F$9) + CHOOSE(CONTROL!$C$27, 0.0021, 0)</f>
        <v>180.74120000000002</v>
      </c>
      <c r="I978" s="14">
        <f>180.7391 * CHOOSE(CONTROL!$C$9, $D$9, 100%, $F$9) + CHOOSE(CONTROL!$C$27, 0.0021, 0)</f>
        <v>180.74120000000002</v>
      </c>
      <c r="J978" s="14">
        <f>180.7391 * CHOOSE(CONTROL!$C$9, $D$9, 100%, $F$9) + CHOOSE(CONTROL!$C$27, 0.0021, 0)</f>
        <v>180.74120000000002</v>
      </c>
      <c r="K978" s="14">
        <f>180.7391 * CHOOSE(CONTROL!$C$9, $D$9, 100%, $F$9) + CHOOSE(CONTROL!$C$27, 0.0021, 0)</f>
        <v>180.74120000000002</v>
      </c>
      <c r="L978" s="14"/>
    </row>
    <row r="979" spans="1:12" ht="15.75" x14ac:dyDescent="0.25">
      <c r="A979" s="32">
        <v>70737</v>
      </c>
      <c r="B979" s="14">
        <f>177.0071 * CHOOSE(CONTROL!$C$9, $D$9, 100%, $F$9) + CHOOSE(CONTROL!$C$27, 0.0021, 0)</f>
        <v>177.00920000000002</v>
      </c>
      <c r="C979" s="14">
        <f>176.5749 * CHOOSE(CONTROL!$C$9, $D$9, 100%, $F$9) + CHOOSE(CONTROL!$C$27, 0.0021, 0)</f>
        <v>176.57700000000003</v>
      </c>
      <c r="D979" s="14">
        <f>176.5749 * CHOOSE(CONTROL!$C$9, $D$9, 100%, $F$9) + CHOOSE(CONTROL!$C$27, 0.0021, 0)</f>
        <v>176.57700000000003</v>
      </c>
      <c r="E979" s="14">
        <f>176.4382 * CHOOSE(CONTROL!$C$9, $D$9, 100%, $F$9) + CHOOSE(CONTROL!$C$27, 0.0021, 0)</f>
        <v>176.44030000000001</v>
      </c>
      <c r="F979" s="14">
        <f>176.4382 * CHOOSE(CONTROL!$C$9, $D$9, 100%, $F$9) + CHOOSE(CONTROL!$C$27, 0.0021, 0)</f>
        <v>176.44030000000001</v>
      </c>
      <c r="G979" s="14">
        <f>176.7096 * CHOOSE(CONTROL!$C$9, $D$9, 100%, $F$9) + CHOOSE(CONTROL!$C$27, 0.0021, 0)</f>
        <v>176.71170000000001</v>
      </c>
      <c r="H979" s="14">
        <f>176.5749 * CHOOSE(CONTROL!$C$9, $D$9, 100%, $F$9) + CHOOSE(CONTROL!$C$27, 0.0021, 0)</f>
        <v>176.57700000000003</v>
      </c>
      <c r="I979" s="14">
        <f>176.5749 * CHOOSE(CONTROL!$C$9, $D$9, 100%, $F$9) + CHOOSE(CONTROL!$C$27, 0.0021, 0)</f>
        <v>176.57700000000003</v>
      </c>
      <c r="J979" s="14">
        <f>176.5749 * CHOOSE(CONTROL!$C$9, $D$9, 100%, $F$9) + CHOOSE(CONTROL!$C$27, 0.0021, 0)</f>
        <v>176.57700000000003</v>
      </c>
      <c r="K979" s="14">
        <f>176.5749 * CHOOSE(CONTROL!$C$9, $D$9, 100%, $F$9) + CHOOSE(CONTROL!$C$27, 0.0021, 0)</f>
        <v>176.57700000000003</v>
      </c>
      <c r="L979" s="14"/>
    </row>
    <row r="980" spans="1:12" ht="15.75" x14ac:dyDescent="0.25">
      <c r="A980" s="32">
        <v>70767</v>
      </c>
      <c r="B980" s="14">
        <f>171.1999 * CHOOSE(CONTROL!$C$9, $D$9, 100%, $F$9) + CHOOSE(CONTROL!$C$27, 0.0021, 0)</f>
        <v>171.20200000000003</v>
      </c>
      <c r="C980" s="14">
        <f>170.7676 * CHOOSE(CONTROL!$C$9, $D$9, 100%, $F$9) + CHOOSE(CONTROL!$C$27, 0.0021, 0)</f>
        <v>170.7697</v>
      </c>
      <c r="D980" s="14">
        <f>170.7676 * CHOOSE(CONTROL!$C$9, $D$9, 100%, $F$9) + CHOOSE(CONTROL!$C$27, 0.0021, 0)</f>
        <v>170.7697</v>
      </c>
      <c r="E980" s="14">
        <f>170.631 * CHOOSE(CONTROL!$C$9, $D$9, 100%, $F$9) + CHOOSE(CONTROL!$C$27, 0.0021, 0)</f>
        <v>170.63310000000001</v>
      </c>
      <c r="F980" s="14">
        <f>170.631 * CHOOSE(CONTROL!$C$9, $D$9, 100%, $F$9) + CHOOSE(CONTROL!$C$27, 0.0021, 0)</f>
        <v>170.63310000000001</v>
      </c>
      <c r="G980" s="14">
        <f>170.9024 * CHOOSE(CONTROL!$C$9, $D$9, 100%, $F$9) + CHOOSE(CONTROL!$C$27, 0.0021, 0)</f>
        <v>170.90450000000001</v>
      </c>
      <c r="H980" s="14">
        <f>170.7676 * CHOOSE(CONTROL!$C$9, $D$9, 100%, $F$9) + CHOOSE(CONTROL!$C$27, 0.0021, 0)</f>
        <v>170.7697</v>
      </c>
      <c r="I980" s="14">
        <f>170.7676 * CHOOSE(CONTROL!$C$9, $D$9, 100%, $F$9) + CHOOSE(CONTROL!$C$27, 0.0021, 0)</f>
        <v>170.7697</v>
      </c>
      <c r="J980" s="14">
        <f>170.7676 * CHOOSE(CONTROL!$C$9, $D$9, 100%, $F$9) + CHOOSE(CONTROL!$C$27, 0.0021, 0)</f>
        <v>170.7697</v>
      </c>
      <c r="K980" s="14">
        <f>170.7676 * CHOOSE(CONTROL!$C$9, $D$9, 100%, $F$9) + CHOOSE(CONTROL!$C$27, 0.0021, 0)</f>
        <v>170.7697</v>
      </c>
      <c r="L980" s="14"/>
    </row>
    <row r="981" spans="1:12" ht="15.75" x14ac:dyDescent="0.25">
      <c r="A981" s="32">
        <v>70798</v>
      </c>
      <c r="B981" s="14">
        <f>165.3589 * CHOOSE(CONTROL!$C$9, $D$9, 100%, $F$9) + CHOOSE(CONTROL!$C$27, 0.0021, 0)</f>
        <v>165.36100000000002</v>
      </c>
      <c r="C981" s="14">
        <f>164.9266 * CHOOSE(CONTROL!$C$9, $D$9, 100%, $F$9) + CHOOSE(CONTROL!$C$27, 0.0021, 0)</f>
        <v>164.92870000000002</v>
      </c>
      <c r="D981" s="14">
        <f>164.9266 * CHOOSE(CONTROL!$C$9, $D$9, 100%, $F$9) + CHOOSE(CONTROL!$C$27, 0.0021, 0)</f>
        <v>164.92870000000002</v>
      </c>
      <c r="E981" s="14">
        <f>164.79 * CHOOSE(CONTROL!$C$9, $D$9, 100%, $F$9) + CHOOSE(CONTROL!$C$27, 0.0021, 0)</f>
        <v>164.7921</v>
      </c>
      <c r="F981" s="14">
        <f>164.79 * CHOOSE(CONTROL!$C$9, $D$9, 100%, $F$9) + CHOOSE(CONTROL!$C$27, 0.0021, 0)</f>
        <v>164.7921</v>
      </c>
      <c r="G981" s="14">
        <f>165.0614 * CHOOSE(CONTROL!$C$9, $D$9, 100%, $F$9) + CHOOSE(CONTROL!$C$27, 0.0021, 0)</f>
        <v>165.0635</v>
      </c>
      <c r="H981" s="14">
        <f>164.9266 * CHOOSE(CONTROL!$C$9, $D$9, 100%, $F$9) + CHOOSE(CONTROL!$C$27, 0.0021, 0)</f>
        <v>164.92870000000002</v>
      </c>
      <c r="I981" s="14">
        <f>164.9266 * CHOOSE(CONTROL!$C$9, $D$9, 100%, $F$9) + CHOOSE(CONTROL!$C$27, 0.0021, 0)</f>
        <v>164.92870000000002</v>
      </c>
      <c r="J981" s="14">
        <f>164.9266 * CHOOSE(CONTROL!$C$9, $D$9, 100%, $F$9) + CHOOSE(CONTROL!$C$27, 0.0021, 0)</f>
        <v>164.92870000000002</v>
      </c>
      <c r="K981" s="14">
        <f>164.9266 * CHOOSE(CONTROL!$C$9, $D$9, 100%, $F$9) + CHOOSE(CONTROL!$C$27, 0.0021, 0)</f>
        <v>164.92870000000002</v>
      </c>
      <c r="L981" s="14"/>
    </row>
    <row r="982" spans="1:12" ht="15.75" x14ac:dyDescent="0.25">
      <c r="A982" s="32">
        <v>70828</v>
      </c>
      <c r="B982" s="14">
        <f>164.197 * CHOOSE(CONTROL!$C$9, $D$9, 100%, $F$9) + CHOOSE(CONTROL!$C$27, 0.0021, 0)</f>
        <v>164.19910000000002</v>
      </c>
      <c r="C982" s="14">
        <f>163.7648 * CHOOSE(CONTROL!$C$9, $D$9, 100%, $F$9) + CHOOSE(CONTROL!$C$27, 0.0021, 0)</f>
        <v>163.76690000000002</v>
      </c>
      <c r="D982" s="14">
        <f>163.7648 * CHOOSE(CONTROL!$C$9, $D$9, 100%, $F$9) + CHOOSE(CONTROL!$C$27, 0.0021, 0)</f>
        <v>163.76690000000002</v>
      </c>
      <c r="E982" s="14">
        <f>163.6281 * CHOOSE(CONTROL!$C$9, $D$9, 100%, $F$9) + CHOOSE(CONTROL!$C$27, 0.0021, 0)</f>
        <v>163.6302</v>
      </c>
      <c r="F982" s="14">
        <f>163.6281 * CHOOSE(CONTROL!$C$9, $D$9, 100%, $F$9) + CHOOSE(CONTROL!$C$27, 0.0021, 0)</f>
        <v>163.6302</v>
      </c>
      <c r="G982" s="14">
        <f>163.8995 * CHOOSE(CONTROL!$C$9, $D$9, 100%, $F$9) + CHOOSE(CONTROL!$C$27, 0.0021, 0)</f>
        <v>163.9016</v>
      </c>
      <c r="H982" s="14">
        <f>163.7648 * CHOOSE(CONTROL!$C$9, $D$9, 100%, $F$9) + CHOOSE(CONTROL!$C$27, 0.0021, 0)</f>
        <v>163.76690000000002</v>
      </c>
      <c r="I982" s="14">
        <f>163.7648 * CHOOSE(CONTROL!$C$9, $D$9, 100%, $F$9) + CHOOSE(CONTROL!$C$27, 0.0021, 0)</f>
        <v>163.76690000000002</v>
      </c>
      <c r="J982" s="14">
        <f>163.7648 * CHOOSE(CONTROL!$C$9, $D$9, 100%, $F$9) + CHOOSE(CONTROL!$C$27, 0.0021, 0)</f>
        <v>163.76690000000002</v>
      </c>
      <c r="K982" s="14">
        <f>163.7648 * CHOOSE(CONTROL!$C$9, $D$9, 100%, $F$9) + CHOOSE(CONTROL!$C$27, 0.0021, 0)</f>
        <v>163.76690000000002</v>
      </c>
      <c r="L982" s="14"/>
    </row>
    <row r="983" spans="1:12" ht="15.75" x14ac:dyDescent="0.25">
      <c r="A983" s="32">
        <v>70859</v>
      </c>
      <c r="B983" s="14">
        <f>159.3925 * CHOOSE(CONTROL!$C$9, $D$9, 100%, $F$9) + CHOOSE(CONTROL!$C$27, 0.0021, 0)</f>
        <v>159.39460000000003</v>
      </c>
      <c r="C983" s="14">
        <f>158.9602 * CHOOSE(CONTROL!$C$9, $D$9, 100%, $F$9) + CHOOSE(CONTROL!$C$27, 0.0021, 0)</f>
        <v>158.9623</v>
      </c>
      <c r="D983" s="14">
        <f>158.9602 * CHOOSE(CONTROL!$C$9, $D$9, 100%, $F$9) + CHOOSE(CONTROL!$C$27, 0.0021, 0)</f>
        <v>158.9623</v>
      </c>
      <c r="E983" s="14">
        <f>158.8236 * CHOOSE(CONTROL!$C$9, $D$9, 100%, $F$9) + CHOOSE(CONTROL!$C$27, 0.0021, 0)</f>
        <v>158.82570000000001</v>
      </c>
      <c r="F983" s="14">
        <f>158.8236 * CHOOSE(CONTROL!$C$9, $D$9, 100%, $F$9) + CHOOSE(CONTROL!$C$27, 0.0021, 0)</f>
        <v>158.82570000000001</v>
      </c>
      <c r="G983" s="14">
        <f>159.0949 * CHOOSE(CONTROL!$C$9, $D$9, 100%, $F$9) + CHOOSE(CONTROL!$C$27, 0.0021, 0)</f>
        <v>159.09700000000001</v>
      </c>
      <c r="H983" s="14">
        <f>158.9602 * CHOOSE(CONTROL!$C$9, $D$9, 100%, $F$9) + CHOOSE(CONTROL!$C$27, 0.0021, 0)</f>
        <v>158.9623</v>
      </c>
      <c r="I983" s="14">
        <f>158.9602 * CHOOSE(CONTROL!$C$9, $D$9, 100%, $F$9) + CHOOSE(CONTROL!$C$27, 0.0021, 0)</f>
        <v>158.9623</v>
      </c>
      <c r="J983" s="14">
        <f>158.9602 * CHOOSE(CONTROL!$C$9, $D$9, 100%, $F$9) + CHOOSE(CONTROL!$C$27, 0.0021, 0)</f>
        <v>158.9623</v>
      </c>
      <c r="K983" s="14">
        <f>158.9602 * CHOOSE(CONTROL!$C$9, $D$9, 100%, $F$9) + CHOOSE(CONTROL!$C$27, 0.0021, 0)</f>
        <v>158.9623</v>
      </c>
      <c r="L983" s="14"/>
    </row>
    <row r="984" spans="1:12" ht="15.75" x14ac:dyDescent="0.25">
      <c r="A984" s="32">
        <v>70890</v>
      </c>
      <c r="B984" s="14">
        <f>158.4571 * CHOOSE(CONTROL!$C$9, $D$9, 100%, $F$9) + CHOOSE(CONTROL!$C$27, 0.0021, 0)</f>
        <v>158.45920000000001</v>
      </c>
      <c r="C984" s="14">
        <f>158.0248 * CHOOSE(CONTROL!$C$9, $D$9, 100%, $F$9) + CHOOSE(CONTROL!$C$27, 0.0021, 0)</f>
        <v>158.02690000000001</v>
      </c>
      <c r="D984" s="14">
        <f>158.0248 * CHOOSE(CONTROL!$C$9, $D$9, 100%, $F$9) + CHOOSE(CONTROL!$C$27, 0.0021, 0)</f>
        <v>158.02690000000001</v>
      </c>
      <c r="E984" s="14">
        <f>157.8882 * CHOOSE(CONTROL!$C$9, $D$9, 100%, $F$9) + CHOOSE(CONTROL!$C$27, 0.0021, 0)</f>
        <v>157.89030000000002</v>
      </c>
      <c r="F984" s="14">
        <f>157.8882 * CHOOSE(CONTROL!$C$9, $D$9, 100%, $F$9) + CHOOSE(CONTROL!$C$27, 0.0021, 0)</f>
        <v>157.89030000000002</v>
      </c>
      <c r="G984" s="14">
        <f>158.1595 * CHOOSE(CONTROL!$C$9, $D$9, 100%, $F$9) + CHOOSE(CONTROL!$C$27, 0.0021, 0)</f>
        <v>158.16160000000002</v>
      </c>
      <c r="H984" s="14">
        <f>158.0248 * CHOOSE(CONTROL!$C$9, $D$9, 100%, $F$9) + CHOOSE(CONTROL!$C$27, 0.0021, 0)</f>
        <v>158.02690000000001</v>
      </c>
      <c r="I984" s="14">
        <f>158.0248 * CHOOSE(CONTROL!$C$9, $D$9, 100%, $F$9) + CHOOSE(CONTROL!$C$27, 0.0021, 0)</f>
        <v>158.02690000000001</v>
      </c>
      <c r="J984" s="14">
        <f>158.0248 * CHOOSE(CONTROL!$C$9, $D$9, 100%, $F$9) + CHOOSE(CONTROL!$C$27, 0.0021, 0)</f>
        <v>158.02690000000001</v>
      </c>
      <c r="K984" s="14">
        <f>158.0248 * CHOOSE(CONTROL!$C$9, $D$9, 100%, $F$9) + CHOOSE(CONTROL!$C$27, 0.0021, 0)</f>
        <v>158.02690000000001</v>
      </c>
      <c r="L984" s="14"/>
    </row>
    <row r="985" spans="1:12" ht="15.75" x14ac:dyDescent="0.25">
      <c r="A985" s="32">
        <v>70918</v>
      </c>
      <c r="B985" s="14">
        <f>158.023 * CHOOSE(CONTROL!$C$9, $D$9, 100%, $F$9) + CHOOSE(CONTROL!$C$27, 0.0021, 0)</f>
        <v>158.02510000000001</v>
      </c>
      <c r="C985" s="14">
        <f>157.5907 * CHOOSE(CONTROL!$C$9, $D$9, 100%, $F$9) + CHOOSE(CONTROL!$C$27, 0.0021, 0)</f>
        <v>157.59280000000001</v>
      </c>
      <c r="D985" s="14">
        <f>157.5907 * CHOOSE(CONTROL!$C$9, $D$9, 100%, $F$9) + CHOOSE(CONTROL!$C$27, 0.0021, 0)</f>
        <v>157.59280000000001</v>
      </c>
      <c r="E985" s="14">
        <f>157.4541 * CHOOSE(CONTROL!$C$9, $D$9, 100%, $F$9) + CHOOSE(CONTROL!$C$27, 0.0021, 0)</f>
        <v>157.45620000000002</v>
      </c>
      <c r="F985" s="14">
        <f>157.4541 * CHOOSE(CONTROL!$C$9, $D$9, 100%, $F$9) + CHOOSE(CONTROL!$C$27, 0.0021, 0)</f>
        <v>157.45620000000002</v>
      </c>
      <c r="G985" s="14">
        <f>157.7255 * CHOOSE(CONTROL!$C$9, $D$9, 100%, $F$9) + CHOOSE(CONTROL!$C$27, 0.0021, 0)</f>
        <v>157.72760000000002</v>
      </c>
      <c r="H985" s="14">
        <f>157.5907 * CHOOSE(CONTROL!$C$9, $D$9, 100%, $F$9) + CHOOSE(CONTROL!$C$27, 0.0021, 0)</f>
        <v>157.59280000000001</v>
      </c>
      <c r="I985" s="14">
        <f>157.5907 * CHOOSE(CONTROL!$C$9, $D$9, 100%, $F$9) + CHOOSE(CONTROL!$C$27, 0.0021, 0)</f>
        <v>157.59280000000001</v>
      </c>
      <c r="J985" s="14">
        <f>157.5907 * CHOOSE(CONTROL!$C$9, $D$9, 100%, $F$9) + CHOOSE(CONTROL!$C$27, 0.0021, 0)</f>
        <v>157.59280000000001</v>
      </c>
      <c r="K985" s="14">
        <f>157.5907 * CHOOSE(CONTROL!$C$9, $D$9, 100%, $F$9) + CHOOSE(CONTROL!$C$27, 0.0021, 0)</f>
        <v>157.59280000000001</v>
      </c>
      <c r="L985" s="14"/>
    </row>
    <row r="986" spans="1:12" ht="15.75" x14ac:dyDescent="0.25">
      <c r="A986" s="32">
        <v>70949</v>
      </c>
      <c r="B986" s="14">
        <f>166.2309 * CHOOSE(CONTROL!$C$9, $D$9, 100%, $F$9) + CHOOSE(CONTROL!$C$27, 0.0021, 0)</f>
        <v>166.233</v>
      </c>
      <c r="C986" s="14">
        <f>165.7986 * CHOOSE(CONTROL!$C$9, $D$9, 100%, $F$9) + CHOOSE(CONTROL!$C$27, 0.0021, 0)</f>
        <v>165.80070000000001</v>
      </c>
      <c r="D986" s="14">
        <f>165.7986 * CHOOSE(CONTROL!$C$9, $D$9, 100%, $F$9) + CHOOSE(CONTROL!$C$27, 0.0021, 0)</f>
        <v>165.80070000000001</v>
      </c>
      <c r="E986" s="14">
        <f>165.662 * CHOOSE(CONTROL!$C$9, $D$9, 100%, $F$9) + CHOOSE(CONTROL!$C$27, 0.0021, 0)</f>
        <v>165.66410000000002</v>
      </c>
      <c r="F986" s="14">
        <f>165.662 * CHOOSE(CONTROL!$C$9, $D$9, 100%, $F$9) + CHOOSE(CONTROL!$C$27, 0.0021, 0)</f>
        <v>165.66410000000002</v>
      </c>
      <c r="G986" s="14">
        <f>165.9334 * CHOOSE(CONTROL!$C$9, $D$9, 100%, $F$9) + CHOOSE(CONTROL!$C$27, 0.0021, 0)</f>
        <v>165.93550000000002</v>
      </c>
      <c r="H986" s="14">
        <f>165.7986 * CHOOSE(CONTROL!$C$9, $D$9, 100%, $F$9) + CHOOSE(CONTROL!$C$27, 0.0021, 0)</f>
        <v>165.80070000000001</v>
      </c>
      <c r="I986" s="14">
        <f>165.7986 * CHOOSE(CONTROL!$C$9, $D$9, 100%, $F$9) + CHOOSE(CONTROL!$C$27, 0.0021, 0)</f>
        <v>165.80070000000001</v>
      </c>
      <c r="J986" s="14">
        <f>165.7986 * CHOOSE(CONTROL!$C$9, $D$9, 100%, $F$9) + CHOOSE(CONTROL!$C$27, 0.0021, 0)</f>
        <v>165.80070000000001</v>
      </c>
      <c r="K986" s="14">
        <f>165.7986 * CHOOSE(CONTROL!$C$9, $D$9, 100%, $F$9) + CHOOSE(CONTROL!$C$27, 0.0021, 0)</f>
        <v>165.80070000000001</v>
      </c>
      <c r="L986" s="14"/>
    </row>
    <row r="987" spans="1:12" ht="15.75" x14ac:dyDescent="0.25">
      <c r="A987" s="32">
        <v>70979</v>
      </c>
      <c r="B987" s="14">
        <f>176.8746 * CHOOSE(CONTROL!$C$9, $D$9, 100%, $F$9) + CHOOSE(CONTROL!$C$27, 0.0021, 0)</f>
        <v>176.8767</v>
      </c>
      <c r="C987" s="14">
        <f>176.4423 * CHOOSE(CONTROL!$C$9, $D$9, 100%, $F$9) + CHOOSE(CONTROL!$C$27, 0.0021, 0)</f>
        <v>176.4444</v>
      </c>
      <c r="D987" s="14">
        <f>176.4423 * CHOOSE(CONTROL!$C$9, $D$9, 100%, $F$9) + CHOOSE(CONTROL!$C$27, 0.0021, 0)</f>
        <v>176.4444</v>
      </c>
      <c r="E987" s="14">
        <f>176.3057 * CHOOSE(CONTROL!$C$9, $D$9, 100%, $F$9) + CHOOSE(CONTROL!$C$27, 0.0021, 0)</f>
        <v>176.30780000000001</v>
      </c>
      <c r="F987" s="14">
        <f>176.3057 * CHOOSE(CONTROL!$C$9, $D$9, 100%, $F$9) + CHOOSE(CONTROL!$C$27, 0.0021, 0)</f>
        <v>176.30780000000001</v>
      </c>
      <c r="G987" s="14">
        <f>176.5771 * CHOOSE(CONTROL!$C$9, $D$9, 100%, $F$9) + CHOOSE(CONTROL!$C$27, 0.0021, 0)</f>
        <v>176.57920000000001</v>
      </c>
      <c r="H987" s="14">
        <f>176.4423 * CHOOSE(CONTROL!$C$9, $D$9, 100%, $F$9) + CHOOSE(CONTROL!$C$27, 0.0021, 0)</f>
        <v>176.4444</v>
      </c>
      <c r="I987" s="14">
        <f>176.4423 * CHOOSE(CONTROL!$C$9, $D$9, 100%, $F$9) + CHOOSE(CONTROL!$C$27, 0.0021, 0)</f>
        <v>176.4444</v>
      </c>
      <c r="J987" s="14">
        <f>176.4423 * CHOOSE(CONTROL!$C$9, $D$9, 100%, $F$9) + CHOOSE(CONTROL!$C$27, 0.0021, 0)</f>
        <v>176.4444</v>
      </c>
      <c r="K987" s="14">
        <f>176.4423 * CHOOSE(CONTROL!$C$9, $D$9, 100%, $F$9) + CHOOSE(CONTROL!$C$27, 0.0021, 0)</f>
        <v>176.4444</v>
      </c>
      <c r="L987" s="14"/>
    </row>
    <row r="988" spans="1:12" ht="15.75" x14ac:dyDescent="0.25">
      <c r="A988" s="32">
        <v>71010</v>
      </c>
      <c r="B988" s="14">
        <f>182.7332 * CHOOSE(CONTROL!$C$9, $D$9, 100%, $F$9) + CHOOSE(CONTROL!$C$27, 0.0021, 0)</f>
        <v>182.73530000000002</v>
      </c>
      <c r="C988" s="14">
        <f>182.301 * CHOOSE(CONTROL!$C$9, $D$9, 100%, $F$9) + CHOOSE(CONTROL!$C$27, 0.0021, 0)</f>
        <v>182.3031</v>
      </c>
      <c r="D988" s="14">
        <f>182.301 * CHOOSE(CONTROL!$C$9, $D$9, 100%, $F$9) + CHOOSE(CONTROL!$C$27, 0.0021, 0)</f>
        <v>182.3031</v>
      </c>
      <c r="E988" s="14">
        <f>182.1643 * CHOOSE(CONTROL!$C$9, $D$9, 100%, $F$9) + CHOOSE(CONTROL!$C$27, 0.0021, 0)</f>
        <v>182.16640000000001</v>
      </c>
      <c r="F988" s="14">
        <f>182.1643 * CHOOSE(CONTROL!$C$9, $D$9, 100%, $F$9) + CHOOSE(CONTROL!$C$27, 0.0021, 0)</f>
        <v>182.16640000000001</v>
      </c>
      <c r="G988" s="14">
        <f>182.4357 * CHOOSE(CONTROL!$C$9, $D$9, 100%, $F$9) + CHOOSE(CONTROL!$C$27, 0.0021, 0)</f>
        <v>182.43780000000001</v>
      </c>
      <c r="H988" s="14">
        <f>182.301 * CHOOSE(CONTROL!$C$9, $D$9, 100%, $F$9) + CHOOSE(CONTROL!$C$27, 0.0021, 0)</f>
        <v>182.3031</v>
      </c>
      <c r="I988" s="14">
        <f>182.301 * CHOOSE(CONTROL!$C$9, $D$9, 100%, $F$9) + CHOOSE(CONTROL!$C$27, 0.0021, 0)</f>
        <v>182.3031</v>
      </c>
      <c r="J988" s="14">
        <f>182.301 * CHOOSE(CONTROL!$C$9, $D$9, 100%, $F$9) + CHOOSE(CONTROL!$C$27, 0.0021, 0)</f>
        <v>182.3031</v>
      </c>
      <c r="K988" s="14">
        <f>182.301 * CHOOSE(CONTROL!$C$9, $D$9, 100%, $F$9) + CHOOSE(CONTROL!$C$27, 0.0021, 0)</f>
        <v>182.3031</v>
      </c>
      <c r="L988" s="14"/>
    </row>
    <row r="989" spans="1:12" ht="15.75" x14ac:dyDescent="0.25">
      <c r="A989" s="32">
        <v>71040</v>
      </c>
      <c r="B989" s="14">
        <f>185.3332 * CHOOSE(CONTROL!$C$9, $D$9, 100%, $F$9) + CHOOSE(CONTROL!$C$27, 0.0021, 0)</f>
        <v>185.33530000000002</v>
      </c>
      <c r="C989" s="14">
        <f>184.9009 * CHOOSE(CONTROL!$C$9, $D$9, 100%, $F$9) + CHOOSE(CONTROL!$C$27, 0.0021, 0)</f>
        <v>184.90300000000002</v>
      </c>
      <c r="D989" s="14">
        <f>184.9009 * CHOOSE(CONTROL!$C$9, $D$9, 100%, $F$9) + CHOOSE(CONTROL!$C$27, 0.0021, 0)</f>
        <v>184.90300000000002</v>
      </c>
      <c r="E989" s="14">
        <f>184.7643 * CHOOSE(CONTROL!$C$9, $D$9, 100%, $F$9) + CHOOSE(CONTROL!$C$27, 0.0021, 0)</f>
        <v>184.7664</v>
      </c>
      <c r="F989" s="14">
        <f>184.7643 * CHOOSE(CONTROL!$C$9, $D$9, 100%, $F$9) + CHOOSE(CONTROL!$C$27, 0.0021, 0)</f>
        <v>184.7664</v>
      </c>
      <c r="G989" s="14">
        <f>185.0356 * CHOOSE(CONTROL!$C$9, $D$9, 100%, $F$9) + CHOOSE(CONTROL!$C$27, 0.0021, 0)</f>
        <v>185.0377</v>
      </c>
      <c r="H989" s="14">
        <f>184.9009 * CHOOSE(CONTROL!$C$9, $D$9, 100%, $F$9) + CHOOSE(CONTROL!$C$27, 0.0021, 0)</f>
        <v>184.90300000000002</v>
      </c>
      <c r="I989" s="14">
        <f>184.9009 * CHOOSE(CONTROL!$C$9, $D$9, 100%, $F$9) + CHOOSE(CONTROL!$C$27, 0.0021, 0)</f>
        <v>184.90300000000002</v>
      </c>
      <c r="J989" s="14">
        <f>184.9009 * CHOOSE(CONTROL!$C$9, $D$9, 100%, $F$9) + CHOOSE(CONTROL!$C$27, 0.0021, 0)</f>
        <v>184.90300000000002</v>
      </c>
      <c r="K989" s="14">
        <f>184.9009 * CHOOSE(CONTROL!$C$9, $D$9, 100%, $F$9) + CHOOSE(CONTROL!$C$27, 0.0021, 0)</f>
        <v>184.90300000000002</v>
      </c>
      <c r="L989" s="14"/>
    </row>
    <row r="990" spans="1:12" ht="15.75" x14ac:dyDescent="0.25">
      <c r="A990" s="32">
        <v>71071</v>
      </c>
      <c r="B990" s="14">
        <f>184.4771 * CHOOSE(CONTROL!$C$9, $D$9, 100%, $F$9) + CHOOSE(CONTROL!$C$27, 0.0021, 0)</f>
        <v>184.47920000000002</v>
      </c>
      <c r="C990" s="14">
        <f>184.0449 * CHOOSE(CONTROL!$C$9, $D$9, 100%, $F$9) + CHOOSE(CONTROL!$C$27, 0.0021, 0)</f>
        <v>184.04700000000003</v>
      </c>
      <c r="D990" s="14">
        <f>184.0449 * CHOOSE(CONTROL!$C$9, $D$9, 100%, $F$9) + CHOOSE(CONTROL!$C$27, 0.0021, 0)</f>
        <v>184.04700000000003</v>
      </c>
      <c r="E990" s="14">
        <f>183.9082 * CHOOSE(CONTROL!$C$9, $D$9, 100%, $F$9) + CHOOSE(CONTROL!$C$27, 0.0021, 0)</f>
        <v>183.91030000000001</v>
      </c>
      <c r="F990" s="14">
        <f>183.9082 * CHOOSE(CONTROL!$C$9, $D$9, 100%, $F$9) + CHOOSE(CONTROL!$C$27, 0.0021, 0)</f>
        <v>183.91030000000001</v>
      </c>
      <c r="G990" s="14">
        <f>184.1796 * CHOOSE(CONTROL!$C$9, $D$9, 100%, $F$9) + CHOOSE(CONTROL!$C$27, 0.0021, 0)</f>
        <v>184.18170000000001</v>
      </c>
      <c r="H990" s="14">
        <f>184.0449 * CHOOSE(CONTROL!$C$9, $D$9, 100%, $F$9) + CHOOSE(CONTROL!$C$27, 0.0021, 0)</f>
        <v>184.04700000000003</v>
      </c>
      <c r="I990" s="14">
        <f>184.0449 * CHOOSE(CONTROL!$C$9, $D$9, 100%, $F$9) + CHOOSE(CONTROL!$C$27, 0.0021, 0)</f>
        <v>184.04700000000003</v>
      </c>
      <c r="J990" s="14">
        <f>184.0449 * CHOOSE(CONTROL!$C$9, $D$9, 100%, $F$9) + CHOOSE(CONTROL!$C$27, 0.0021, 0)</f>
        <v>184.04700000000003</v>
      </c>
      <c r="K990" s="14">
        <f>184.0449 * CHOOSE(CONTROL!$C$9, $D$9, 100%, $F$9) + CHOOSE(CONTROL!$C$27, 0.0021, 0)</f>
        <v>184.04700000000003</v>
      </c>
      <c r="L990" s="14"/>
    </row>
    <row r="991" spans="1:12" ht="15.75" x14ac:dyDescent="0.25">
      <c r="A991" s="32">
        <v>71102</v>
      </c>
      <c r="B991" s="14">
        <f>180.236 * CHOOSE(CONTROL!$C$9, $D$9, 100%, $F$9) + CHOOSE(CONTROL!$C$27, 0.0021, 0)</f>
        <v>180.2381</v>
      </c>
      <c r="C991" s="14">
        <f>179.8037 * CHOOSE(CONTROL!$C$9, $D$9, 100%, $F$9) + CHOOSE(CONTROL!$C$27, 0.0021, 0)</f>
        <v>179.8058</v>
      </c>
      <c r="D991" s="14">
        <f>179.8037 * CHOOSE(CONTROL!$C$9, $D$9, 100%, $F$9) + CHOOSE(CONTROL!$C$27, 0.0021, 0)</f>
        <v>179.8058</v>
      </c>
      <c r="E991" s="14">
        <f>179.6671 * CHOOSE(CONTROL!$C$9, $D$9, 100%, $F$9) + CHOOSE(CONTROL!$C$27, 0.0021, 0)</f>
        <v>179.66920000000002</v>
      </c>
      <c r="F991" s="14">
        <f>179.6671 * CHOOSE(CONTROL!$C$9, $D$9, 100%, $F$9) + CHOOSE(CONTROL!$C$27, 0.0021, 0)</f>
        <v>179.66920000000002</v>
      </c>
      <c r="G991" s="14">
        <f>179.9384 * CHOOSE(CONTROL!$C$9, $D$9, 100%, $F$9) + CHOOSE(CONTROL!$C$27, 0.0021, 0)</f>
        <v>179.94050000000001</v>
      </c>
      <c r="H991" s="14">
        <f>179.8037 * CHOOSE(CONTROL!$C$9, $D$9, 100%, $F$9) + CHOOSE(CONTROL!$C$27, 0.0021, 0)</f>
        <v>179.8058</v>
      </c>
      <c r="I991" s="14">
        <f>179.8037 * CHOOSE(CONTROL!$C$9, $D$9, 100%, $F$9) + CHOOSE(CONTROL!$C$27, 0.0021, 0)</f>
        <v>179.8058</v>
      </c>
      <c r="J991" s="14">
        <f>179.8037 * CHOOSE(CONTROL!$C$9, $D$9, 100%, $F$9) + CHOOSE(CONTROL!$C$27, 0.0021, 0)</f>
        <v>179.8058</v>
      </c>
      <c r="K991" s="14">
        <f>179.8037 * CHOOSE(CONTROL!$C$9, $D$9, 100%, $F$9) + CHOOSE(CONTROL!$C$27, 0.0021, 0)</f>
        <v>179.8058</v>
      </c>
      <c r="L991" s="14"/>
    </row>
    <row r="992" spans="1:12" ht="15.75" x14ac:dyDescent="0.25">
      <c r="A992" s="32">
        <v>71132</v>
      </c>
      <c r="B992" s="14">
        <f>174.3214 * CHOOSE(CONTROL!$C$9, $D$9, 100%, $F$9) + CHOOSE(CONTROL!$C$27, 0.0021, 0)</f>
        <v>174.32350000000002</v>
      </c>
      <c r="C992" s="14">
        <f>173.8892 * CHOOSE(CONTROL!$C$9, $D$9, 100%, $F$9) + CHOOSE(CONTROL!$C$27, 0.0021, 0)</f>
        <v>173.8913</v>
      </c>
      <c r="D992" s="14">
        <f>173.8892 * CHOOSE(CONTROL!$C$9, $D$9, 100%, $F$9) + CHOOSE(CONTROL!$C$27, 0.0021, 0)</f>
        <v>173.8913</v>
      </c>
      <c r="E992" s="14">
        <f>173.7525 * CHOOSE(CONTROL!$C$9, $D$9, 100%, $F$9) + CHOOSE(CONTROL!$C$27, 0.0021, 0)</f>
        <v>173.75460000000001</v>
      </c>
      <c r="F992" s="14">
        <f>173.7525 * CHOOSE(CONTROL!$C$9, $D$9, 100%, $F$9) + CHOOSE(CONTROL!$C$27, 0.0021, 0)</f>
        <v>173.75460000000001</v>
      </c>
      <c r="G992" s="14">
        <f>174.0239 * CHOOSE(CONTROL!$C$9, $D$9, 100%, $F$9) + CHOOSE(CONTROL!$C$27, 0.0021, 0)</f>
        <v>174.02600000000001</v>
      </c>
      <c r="H992" s="14">
        <f>173.8892 * CHOOSE(CONTROL!$C$9, $D$9, 100%, $F$9) + CHOOSE(CONTROL!$C$27, 0.0021, 0)</f>
        <v>173.8913</v>
      </c>
      <c r="I992" s="14">
        <f>173.8892 * CHOOSE(CONTROL!$C$9, $D$9, 100%, $F$9) + CHOOSE(CONTROL!$C$27, 0.0021, 0)</f>
        <v>173.8913</v>
      </c>
      <c r="J992" s="14">
        <f>173.8892 * CHOOSE(CONTROL!$C$9, $D$9, 100%, $F$9) + CHOOSE(CONTROL!$C$27, 0.0021, 0)</f>
        <v>173.8913</v>
      </c>
      <c r="K992" s="14">
        <f>173.8892 * CHOOSE(CONTROL!$C$9, $D$9, 100%, $F$9) + CHOOSE(CONTROL!$C$27, 0.0021, 0)</f>
        <v>173.8913</v>
      </c>
      <c r="L992" s="14"/>
    </row>
    <row r="993" spans="1:12" ht="15.75" x14ac:dyDescent="0.25">
      <c r="A993" s="32">
        <v>71163</v>
      </c>
      <c r="B993" s="14">
        <f>168.3725 * CHOOSE(CONTROL!$C$9, $D$9, 100%, $F$9) + CHOOSE(CONTROL!$C$27, 0.0021, 0)</f>
        <v>168.37460000000002</v>
      </c>
      <c r="C993" s="14">
        <f>167.9402 * CHOOSE(CONTROL!$C$9, $D$9, 100%, $F$9) + CHOOSE(CONTROL!$C$27, 0.0021, 0)</f>
        <v>167.94230000000002</v>
      </c>
      <c r="D993" s="14">
        <f>167.9402 * CHOOSE(CONTROL!$C$9, $D$9, 100%, $F$9) + CHOOSE(CONTROL!$C$27, 0.0021, 0)</f>
        <v>167.94230000000002</v>
      </c>
      <c r="E993" s="14">
        <f>167.8036 * CHOOSE(CONTROL!$C$9, $D$9, 100%, $F$9) + CHOOSE(CONTROL!$C$27, 0.0021, 0)</f>
        <v>167.8057</v>
      </c>
      <c r="F993" s="14">
        <f>167.8036 * CHOOSE(CONTROL!$C$9, $D$9, 100%, $F$9) + CHOOSE(CONTROL!$C$27, 0.0021, 0)</f>
        <v>167.8057</v>
      </c>
      <c r="G993" s="14">
        <f>168.075 * CHOOSE(CONTROL!$C$9, $D$9, 100%, $F$9) + CHOOSE(CONTROL!$C$27, 0.0021, 0)</f>
        <v>168.0771</v>
      </c>
      <c r="H993" s="14">
        <f>167.9402 * CHOOSE(CONTROL!$C$9, $D$9, 100%, $F$9) + CHOOSE(CONTROL!$C$27, 0.0021, 0)</f>
        <v>167.94230000000002</v>
      </c>
      <c r="I993" s="14">
        <f>167.9402 * CHOOSE(CONTROL!$C$9, $D$9, 100%, $F$9) + CHOOSE(CONTROL!$C$27, 0.0021, 0)</f>
        <v>167.94230000000002</v>
      </c>
      <c r="J993" s="14">
        <f>167.9402 * CHOOSE(CONTROL!$C$9, $D$9, 100%, $F$9) + CHOOSE(CONTROL!$C$27, 0.0021, 0)</f>
        <v>167.94230000000002</v>
      </c>
      <c r="K993" s="14">
        <f>167.9402 * CHOOSE(CONTROL!$C$9, $D$9, 100%, $F$9) + CHOOSE(CONTROL!$C$27, 0.0021, 0)</f>
        <v>167.94230000000002</v>
      </c>
      <c r="L993" s="14"/>
    </row>
    <row r="994" spans="1:12" ht="15.75" x14ac:dyDescent="0.25">
      <c r="A994" s="32">
        <v>71193</v>
      </c>
      <c r="B994" s="14">
        <f>167.1891 * CHOOSE(CONTROL!$C$9, $D$9, 100%, $F$9) + CHOOSE(CONTROL!$C$27, 0.0021, 0)</f>
        <v>167.19120000000001</v>
      </c>
      <c r="C994" s="14">
        <f>166.7569 * CHOOSE(CONTROL!$C$9, $D$9, 100%, $F$9) + CHOOSE(CONTROL!$C$27, 0.0021, 0)</f>
        <v>166.75900000000001</v>
      </c>
      <c r="D994" s="14">
        <f>166.7569 * CHOOSE(CONTROL!$C$9, $D$9, 100%, $F$9) + CHOOSE(CONTROL!$C$27, 0.0021, 0)</f>
        <v>166.75900000000001</v>
      </c>
      <c r="E994" s="14">
        <f>166.6202 * CHOOSE(CONTROL!$C$9, $D$9, 100%, $F$9) + CHOOSE(CONTROL!$C$27, 0.0021, 0)</f>
        <v>166.62230000000002</v>
      </c>
      <c r="F994" s="14">
        <f>166.6202 * CHOOSE(CONTROL!$C$9, $D$9, 100%, $F$9) + CHOOSE(CONTROL!$C$27, 0.0021, 0)</f>
        <v>166.62230000000002</v>
      </c>
      <c r="G994" s="14">
        <f>166.8916 * CHOOSE(CONTROL!$C$9, $D$9, 100%, $F$9) + CHOOSE(CONTROL!$C$27, 0.0021, 0)</f>
        <v>166.89370000000002</v>
      </c>
      <c r="H994" s="14">
        <f>166.7569 * CHOOSE(CONTROL!$C$9, $D$9, 100%, $F$9) + CHOOSE(CONTROL!$C$27, 0.0021, 0)</f>
        <v>166.75900000000001</v>
      </c>
      <c r="I994" s="14">
        <f>166.7569 * CHOOSE(CONTROL!$C$9, $D$9, 100%, $F$9) + CHOOSE(CONTROL!$C$27, 0.0021, 0)</f>
        <v>166.75900000000001</v>
      </c>
      <c r="J994" s="14">
        <f>166.7569 * CHOOSE(CONTROL!$C$9, $D$9, 100%, $F$9) + CHOOSE(CONTROL!$C$27, 0.0021, 0)</f>
        <v>166.75900000000001</v>
      </c>
      <c r="K994" s="14">
        <f>166.7569 * CHOOSE(CONTROL!$C$9, $D$9, 100%, $F$9) + CHOOSE(CONTROL!$C$27, 0.0021, 0)</f>
        <v>166.75900000000001</v>
      </c>
      <c r="L994" s="14"/>
    </row>
    <row r="995" spans="1:12" ht="15.75" x14ac:dyDescent="0.25">
      <c r="A995" s="32">
        <v>71224</v>
      </c>
      <c r="B995" s="14">
        <f>162.2958 * CHOOSE(CONTROL!$C$9, $D$9, 100%, $F$9) + CHOOSE(CONTROL!$C$27, 0.0021, 0)</f>
        <v>162.29790000000003</v>
      </c>
      <c r="C995" s="14">
        <f>161.8635 * CHOOSE(CONTROL!$C$9, $D$9, 100%, $F$9) + CHOOSE(CONTROL!$C$27, 0.0021, 0)</f>
        <v>161.8656</v>
      </c>
      <c r="D995" s="14">
        <f>161.8635 * CHOOSE(CONTROL!$C$9, $D$9, 100%, $F$9) + CHOOSE(CONTROL!$C$27, 0.0021, 0)</f>
        <v>161.8656</v>
      </c>
      <c r="E995" s="14">
        <f>161.7269 * CHOOSE(CONTROL!$C$9, $D$9, 100%, $F$9) + CHOOSE(CONTROL!$C$27, 0.0021, 0)</f>
        <v>161.72900000000001</v>
      </c>
      <c r="F995" s="14">
        <f>161.7269 * CHOOSE(CONTROL!$C$9, $D$9, 100%, $F$9) + CHOOSE(CONTROL!$C$27, 0.0021, 0)</f>
        <v>161.72900000000001</v>
      </c>
      <c r="G995" s="14">
        <f>161.9983 * CHOOSE(CONTROL!$C$9, $D$9, 100%, $F$9) + CHOOSE(CONTROL!$C$27, 0.0021, 0)</f>
        <v>162.00040000000001</v>
      </c>
      <c r="H995" s="14">
        <f>161.8635 * CHOOSE(CONTROL!$C$9, $D$9, 100%, $F$9) + CHOOSE(CONTROL!$C$27, 0.0021, 0)</f>
        <v>161.8656</v>
      </c>
      <c r="I995" s="14">
        <f>161.8635 * CHOOSE(CONTROL!$C$9, $D$9, 100%, $F$9) + CHOOSE(CONTROL!$C$27, 0.0021, 0)</f>
        <v>161.8656</v>
      </c>
      <c r="J995" s="14">
        <f>161.8635 * CHOOSE(CONTROL!$C$9, $D$9, 100%, $F$9) + CHOOSE(CONTROL!$C$27, 0.0021, 0)</f>
        <v>161.8656</v>
      </c>
      <c r="K995" s="14">
        <f>161.8635 * CHOOSE(CONTROL!$C$9, $D$9, 100%, $F$9) + CHOOSE(CONTROL!$C$27, 0.0021, 0)</f>
        <v>161.8656</v>
      </c>
      <c r="L995" s="14"/>
    </row>
    <row r="996" spans="1:12" ht="15.75" x14ac:dyDescent="0.25">
      <c r="A996" s="32">
        <v>71255</v>
      </c>
      <c r="B996" s="14">
        <f>161.3431 * CHOOSE(CONTROL!$C$9, $D$9, 100%, $F$9) + CHOOSE(CONTROL!$C$27, 0.0021, 0)</f>
        <v>161.34520000000001</v>
      </c>
      <c r="C996" s="14">
        <f>160.9109 * CHOOSE(CONTROL!$C$9, $D$9, 100%, $F$9) + CHOOSE(CONTROL!$C$27, 0.0021, 0)</f>
        <v>160.91300000000001</v>
      </c>
      <c r="D996" s="14">
        <f>160.9109 * CHOOSE(CONTROL!$C$9, $D$9, 100%, $F$9) + CHOOSE(CONTROL!$C$27, 0.0021, 0)</f>
        <v>160.91300000000001</v>
      </c>
      <c r="E996" s="14">
        <f>160.7742 * CHOOSE(CONTROL!$C$9, $D$9, 100%, $F$9) + CHOOSE(CONTROL!$C$27, 0.0021, 0)</f>
        <v>160.77630000000002</v>
      </c>
      <c r="F996" s="14">
        <f>160.7742 * CHOOSE(CONTROL!$C$9, $D$9, 100%, $F$9) + CHOOSE(CONTROL!$C$27, 0.0021, 0)</f>
        <v>160.77630000000002</v>
      </c>
      <c r="G996" s="14">
        <f>161.0456 * CHOOSE(CONTROL!$C$9, $D$9, 100%, $F$9) + CHOOSE(CONTROL!$C$27, 0.0021, 0)</f>
        <v>161.04770000000002</v>
      </c>
      <c r="H996" s="14">
        <f>160.9109 * CHOOSE(CONTROL!$C$9, $D$9, 100%, $F$9) + CHOOSE(CONTROL!$C$27, 0.0021, 0)</f>
        <v>160.91300000000001</v>
      </c>
      <c r="I996" s="14">
        <f>160.9109 * CHOOSE(CONTROL!$C$9, $D$9, 100%, $F$9) + CHOOSE(CONTROL!$C$27, 0.0021, 0)</f>
        <v>160.91300000000001</v>
      </c>
      <c r="J996" s="14">
        <f>160.9109 * CHOOSE(CONTROL!$C$9, $D$9, 100%, $F$9) + CHOOSE(CONTROL!$C$27, 0.0021, 0)</f>
        <v>160.91300000000001</v>
      </c>
      <c r="K996" s="14">
        <f>160.9109 * CHOOSE(CONTROL!$C$9, $D$9, 100%, $F$9) + CHOOSE(CONTROL!$C$27, 0.0021, 0)</f>
        <v>160.91300000000001</v>
      </c>
      <c r="L996" s="14"/>
    </row>
    <row r="997" spans="1:12" ht="15.75" x14ac:dyDescent="0.25">
      <c r="A997" s="32">
        <v>71283</v>
      </c>
      <c r="B997" s="14">
        <f>160.901 * CHOOSE(CONTROL!$C$9, $D$9, 100%, $F$9) + CHOOSE(CONTROL!$C$27, 0.0021, 0)</f>
        <v>160.90310000000002</v>
      </c>
      <c r="C997" s="14">
        <f>160.4688 * CHOOSE(CONTROL!$C$9, $D$9, 100%, $F$9) + CHOOSE(CONTROL!$C$27, 0.0021, 0)</f>
        <v>160.4709</v>
      </c>
      <c r="D997" s="14">
        <f>160.4688 * CHOOSE(CONTROL!$C$9, $D$9, 100%, $F$9) + CHOOSE(CONTROL!$C$27, 0.0021, 0)</f>
        <v>160.4709</v>
      </c>
      <c r="E997" s="14">
        <f>160.3321 * CHOOSE(CONTROL!$C$9, $D$9, 100%, $F$9) + CHOOSE(CONTROL!$C$27, 0.0021, 0)</f>
        <v>160.33420000000001</v>
      </c>
      <c r="F997" s="14">
        <f>160.3321 * CHOOSE(CONTROL!$C$9, $D$9, 100%, $F$9) + CHOOSE(CONTROL!$C$27, 0.0021, 0)</f>
        <v>160.33420000000001</v>
      </c>
      <c r="G997" s="14">
        <f>160.6035 * CHOOSE(CONTROL!$C$9, $D$9, 100%, $F$9) + CHOOSE(CONTROL!$C$27, 0.0021, 0)</f>
        <v>160.60560000000001</v>
      </c>
      <c r="H997" s="14">
        <f>160.4688 * CHOOSE(CONTROL!$C$9, $D$9, 100%, $F$9) + CHOOSE(CONTROL!$C$27, 0.0021, 0)</f>
        <v>160.4709</v>
      </c>
      <c r="I997" s="14">
        <f>160.4688 * CHOOSE(CONTROL!$C$9, $D$9, 100%, $F$9) + CHOOSE(CONTROL!$C$27, 0.0021, 0)</f>
        <v>160.4709</v>
      </c>
      <c r="J997" s="14">
        <f>160.4688 * CHOOSE(CONTROL!$C$9, $D$9, 100%, $F$9) + CHOOSE(CONTROL!$C$27, 0.0021, 0)</f>
        <v>160.4709</v>
      </c>
      <c r="K997" s="14">
        <f>160.4688 * CHOOSE(CONTROL!$C$9, $D$9, 100%, $F$9) + CHOOSE(CONTROL!$C$27, 0.0021, 0)</f>
        <v>160.4709</v>
      </c>
      <c r="L997" s="14"/>
    </row>
    <row r="998" spans="1:12" ht="15.75" x14ac:dyDescent="0.25">
      <c r="A998" s="32">
        <v>71314</v>
      </c>
      <c r="B998" s="14">
        <f>169.2606 * CHOOSE(CONTROL!$C$9, $D$9, 100%, $F$9) + CHOOSE(CONTROL!$C$27, 0.0021, 0)</f>
        <v>169.26270000000002</v>
      </c>
      <c r="C998" s="14">
        <f>168.8284 * CHOOSE(CONTROL!$C$9, $D$9, 100%, $F$9) + CHOOSE(CONTROL!$C$27, 0.0021, 0)</f>
        <v>168.8305</v>
      </c>
      <c r="D998" s="14">
        <f>168.8284 * CHOOSE(CONTROL!$C$9, $D$9, 100%, $F$9) + CHOOSE(CONTROL!$C$27, 0.0021, 0)</f>
        <v>168.8305</v>
      </c>
      <c r="E998" s="14">
        <f>168.6917 * CHOOSE(CONTROL!$C$9, $D$9, 100%, $F$9) + CHOOSE(CONTROL!$C$27, 0.0021, 0)</f>
        <v>168.69380000000001</v>
      </c>
      <c r="F998" s="14">
        <f>168.6917 * CHOOSE(CONTROL!$C$9, $D$9, 100%, $F$9) + CHOOSE(CONTROL!$C$27, 0.0021, 0)</f>
        <v>168.69380000000001</v>
      </c>
      <c r="G998" s="14">
        <f>168.9631 * CHOOSE(CONTROL!$C$9, $D$9, 100%, $F$9) + CHOOSE(CONTROL!$C$27, 0.0021, 0)</f>
        <v>168.96520000000001</v>
      </c>
      <c r="H998" s="14">
        <f>168.8284 * CHOOSE(CONTROL!$C$9, $D$9, 100%, $F$9) + CHOOSE(CONTROL!$C$27, 0.0021, 0)</f>
        <v>168.8305</v>
      </c>
      <c r="I998" s="14">
        <f>168.8284 * CHOOSE(CONTROL!$C$9, $D$9, 100%, $F$9) + CHOOSE(CONTROL!$C$27, 0.0021, 0)</f>
        <v>168.8305</v>
      </c>
      <c r="J998" s="14">
        <f>168.8284 * CHOOSE(CONTROL!$C$9, $D$9, 100%, $F$9) + CHOOSE(CONTROL!$C$27, 0.0021, 0)</f>
        <v>168.8305</v>
      </c>
      <c r="K998" s="14">
        <f>168.8284 * CHOOSE(CONTROL!$C$9, $D$9, 100%, $F$9) + CHOOSE(CONTROL!$C$27, 0.0021, 0)</f>
        <v>168.8305</v>
      </c>
      <c r="L998" s="14"/>
    </row>
    <row r="999" spans="1:12" ht="15.75" x14ac:dyDescent="0.25">
      <c r="A999" s="32">
        <v>71344</v>
      </c>
      <c r="B999" s="14">
        <f>180.101 * CHOOSE(CONTROL!$C$9, $D$9, 100%, $F$9) + CHOOSE(CONTROL!$C$27, 0.0021, 0)</f>
        <v>180.10310000000001</v>
      </c>
      <c r="C999" s="14">
        <f>179.6687 * CHOOSE(CONTROL!$C$9, $D$9, 100%, $F$9) + CHOOSE(CONTROL!$C$27, 0.0021, 0)</f>
        <v>179.67080000000001</v>
      </c>
      <c r="D999" s="14">
        <f>179.6687 * CHOOSE(CONTROL!$C$9, $D$9, 100%, $F$9) + CHOOSE(CONTROL!$C$27, 0.0021, 0)</f>
        <v>179.67080000000001</v>
      </c>
      <c r="E999" s="14">
        <f>179.5321 * CHOOSE(CONTROL!$C$9, $D$9, 100%, $F$9) + CHOOSE(CONTROL!$C$27, 0.0021, 0)</f>
        <v>179.53420000000003</v>
      </c>
      <c r="F999" s="14">
        <f>179.5321 * CHOOSE(CONTROL!$C$9, $D$9, 100%, $F$9) + CHOOSE(CONTROL!$C$27, 0.0021, 0)</f>
        <v>179.53420000000003</v>
      </c>
      <c r="G999" s="14">
        <f>179.8035 * CHOOSE(CONTROL!$C$9, $D$9, 100%, $F$9) + CHOOSE(CONTROL!$C$27, 0.0021, 0)</f>
        <v>179.80560000000003</v>
      </c>
      <c r="H999" s="14">
        <f>179.6687 * CHOOSE(CONTROL!$C$9, $D$9, 100%, $F$9) + CHOOSE(CONTROL!$C$27, 0.0021, 0)</f>
        <v>179.67080000000001</v>
      </c>
      <c r="I999" s="14">
        <f>179.6687 * CHOOSE(CONTROL!$C$9, $D$9, 100%, $F$9) + CHOOSE(CONTROL!$C$27, 0.0021, 0)</f>
        <v>179.67080000000001</v>
      </c>
      <c r="J999" s="14">
        <f>179.6687 * CHOOSE(CONTROL!$C$9, $D$9, 100%, $F$9) + CHOOSE(CONTROL!$C$27, 0.0021, 0)</f>
        <v>179.67080000000001</v>
      </c>
      <c r="K999" s="14">
        <f>179.6687 * CHOOSE(CONTROL!$C$9, $D$9, 100%, $F$9) + CHOOSE(CONTROL!$C$27, 0.0021, 0)</f>
        <v>179.67080000000001</v>
      </c>
      <c r="L999" s="14"/>
    </row>
    <row r="1000" spans="1:12" ht="15.75" x14ac:dyDescent="0.25">
      <c r="A1000" s="32">
        <v>71375</v>
      </c>
      <c r="B1000" s="14">
        <f>186.0679 * CHOOSE(CONTROL!$C$9, $D$9, 100%, $F$9) + CHOOSE(CONTROL!$C$27, 0.0021, 0)</f>
        <v>186.07000000000002</v>
      </c>
      <c r="C1000" s="14">
        <f>185.6357 * CHOOSE(CONTROL!$C$9, $D$9, 100%, $F$9) + CHOOSE(CONTROL!$C$27, 0.0021, 0)</f>
        <v>185.63780000000003</v>
      </c>
      <c r="D1000" s="14">
        <f>185.6357 * CHOOSE(CONTROL!$C$9, $D$9, 100%, $F$9) + CHOOSE(CONTROL!$C$27, 0.0021, 0)</f>
        <v>185.63780000000003</v>
      </c>
      <c r="E1000" s="14">
        <f>185.499 * CHOOSE(CONTROL!$C$9, $D$9, 100%, $F$9) + CHOOSE(CONTROL!$C$27, 0.0021, 0)</f>
        <v>185.50110000000001</v>
      </c>
      <c r="F1000" s="14">
        <f>185.499 * CHOOSE(CONTROL!$C$9, $D$9, 100%, $F$9) + CHOOSE(CONTROL!$C$27, 0.0021, 0)</f>
        <v>185.50110000000001</v>
      </c>
      <c r="G1000" s="14">
        <f>185.7704 * CHOOSE(CONTROL!$C$9, $D$9, 100%, $F$9) + CHOOSE(CONTROL!$C$27, 0.0021, 0)</f>
        <v>185.77250000000001</v>
      </c>
      <c r="H1000" s="14">
        <f>185.6357 * CHOOSE(CONTROL!$C$9, $D$9, 100%, $F$9) + CHOOSE(CONTROL!$C$27, 0.0021, 0)</f>
        <v>185.63780000000003</v>
      </c>
      <c r="I1000" s="14">
        <f>185.6357 * CHOOSE(CONTROL!$C$9, $D$9, 100%, $F$9) + CHOOSE(CONTROL!$C$27, 0.0021, 0)</f>
        <v>185.63780000000003</v>
      </c>
      <c r="J1000" s="14">
        <f>185.6357 * CHOOSE(CONTROL!$C$9, $D$9, 100%, $F$9) + CHOOSE(CONTROL!$C$27, 0.0021, 0)</f>
        <v>185.63780000000003</v>
      </c>
      <c r="K1000" s="14">
        <f>185.6357 * CHOOSE(CONTROL!$C$9, $D$9, 100%, $F$9) + CHOOSE(CONTROL!$C$27, 0.0021, 0)</f>
        <v>185.63780000000003</v>
      </c>
      <c r="L1000" s="14"/>
    </row>
    <row r="1001" spans="1:12" ht="15.75" x14ac:dyDescent="0.25">
      <c r="A1001" s="32">
        <v>71405</v>
      </c>
      <c r="B1001" s="14">
        <f>188.7159 * CHOOSE(CONTROL!$C$9, $D$9, 100%, $F$9) + CHOOSE(CONTROL!$C$27, 0.0021, 0)</f>
        <v>188.71800000000002</v>
      </c>
      <c r="C1001" s="14">
        <f>188.2837 * CHOOSE(CONTROL!$C$9, $D$9, 100%, $F$9) + CHOOSE(CONTROL!$C$27, 0.0021, 0)</f>
        <v>188.28580000000002</v>
      </c>
      <c r="D1001" s="14">
        <f>188.2837 * CHOOSE(CONTROL!$C$9, $D$9, 100%, $F$9) + CHOOSE(CONTROL!$C$27, 0.0021, 0)</f>
        <v>188.28580000000002</v>
      </c>
      <c r="E1001" s="14">
        <f>188.147 * CHOOSE(CONTROL!$C$9, $D$9, 100%, $F$9) + CHOOSE(CONTROL!$C$27, 0.0021, 0)</f>
        <v>188.1491</v>
      </c>
      <c r="F1001" s="14">
        <f>188.147 * CHOOSE(CONTROL!$C$9, $D$9, 100%, $F$9) + CHOOSE(CONTROL!$C$27, 0.0021, 0)</f>
        <v>188.1491</v>
      </c>
      <c r="G1001" s="14">
        <f>188.4184 * CHOOSE(CONTROL!$C$9, $D$9, 100%, $F$9) + CHOOSE(CONTROL!$C$27, 0.0021, 0)</f>
        <v>188.4205</v>
      </c>
      <c r="H1001" s="14">
        <f>188.2837 * CHOOSE(CONTROL!$C$9, $D$9, 100%, $F$9) + CHOOSE(CONTROL!$C$27, 0.0021, 0)</f>
        <v>188.28580000000002</v>
      </c>
      <c r="I1001" s="14">
        <f>188.2837 * CHOOSE(CONTROL!$C$9, $D$9, 100%, $F$9) + CHOOSE(CONTROL!$C$27, 0.0021, 0)</f>
        <v>188.28580000000002</v>
      </c>
      <c r="J1001" s="14">
        <f>188.2837 * CHOOSE(CONTROL!$C$9, $D$9, 100%, $F$9) + CHOOSE(CONTROL!$C$27, 0.0021, 0)</f>
        <v>188.28580000000002</v>
      </c>
      <c r="K1001" s="14">
        <f>188.2837 * CHOOSE(CONTROL!$C$9, $D$9, 100%, $F$9) + CHOOSE(CONTROL!$C$27, 0.0021, 0)</f>
        <v>188.28580000000002</v>
      </c>
      <c r="L1001" s="14"/>
    </row>
    <row r="1002" spans="1:12" ht="15.75" x14ac:dyDescent="0.25">
      <c r="A1002" s="32">
        <v>71436</v>
      </c>
      <c r="B1002" s="14">
        <f>187.8441 * CHOOSE(CONTROL!$C$9, $D$9, 100%, $F$9) + CHOOSE(CONTROL!$C$27, 0.0021, 0)</f>
        <v>187.84620000000001</v>
      </c>
      <c r="C1002" s="14">
        <f>187.4118 * CHOOSE(CONTROL!$C$9, $D$9, 100%, $F$9) + CHOOSE(CONTROL!$C$27, 0.0021, 0)</f>
        <v>187.41390000000001</v>
      </c>
      <c r="D1002" s="14">
        <f>187.4118 * CHOOSE(CONTROL!$C$9, $D$9, 100%, $F$9) + CHOOSE(CONTROL!$C$27, 0.0021, 0)</f>
        <v>187.41390000000001</v>
      </c>
      <c r="E1002" s="14">
        <f>187.2752 * CHOOSE(CONTROL!$C$9, $D$9, 100%, $F$9) + CHOOSE(CONTROL!$C$27, 0.0021, 0)</f>
        <v>187.27730000000003</v>
      </c>
      <c r="F1002" s="14">
        <f>187.2752 * CHOOSE(CONTROL!$C$9, $D$9, 100%, $F$9) + CHOOSE(CONTROL!$C$27, 0.0021, 0)</f>
        <v>187.27730000000003</v>
      </c>
      <c r="G1002" s="14">
        <f>187.5465 * CHOOSE(CONTROL!$C$9, $D$9, 100%, $F$9) + CHOOSE(CONTROL!$C$27, 0.0021, 0)</f>
        <v>187.54860000000002</v>
      </c>
      <c r="H1002" s="14">
        <f>187.4118 * CHOOSE(CONTROL!$C$9, $D$9, 100%, $F$9) + CHOOSE(CONTROL!$C$27, 0.0021, 0)</f>
        <v>187.41390000000001</v>
      </c>
      <c r="I1002" s="14">
        <f>187.4118 * CHOOSE(CONTROL!$C$9, $D$9, 100%, $F$9) + CHOOSE(CONTROL!$C$27, 0.0021, 0)</f>
        <v>187.41390000000001</v>
      </c>
      <c r="J1002" s="14">
        <f>187.4118 * CHOOSE(CONTROL!$C$9, $D$9, 100%, $F$9) + CHOOSE(CONTROL!$C$27, 0.0021, 0)</f>
        <v>187.41390000000001</v>
      </c>
      <c r="K1002" s="14">
        <f>187.4118 * CHOOSE(CONTROL!$C$9, $D$9, 100%, $F$9) + CHOOSE(CONTROL!$C$27, 0.0021, 0)</f>
        <v>187.41390000000001</v>
      </c>
      <c r="L1002" s="14"/>
    </row>
    <row r="1003" spans="1:12" ht="15.75" x14ac:dyDescent="0.25">
      <c r="A1003" s="32">
        <v>71467</v>
      </c>
      <c r="B1003" s="14">
        <f>183.5245 * CHOOSE(CONTROL!$C$9, $D$9, 100%, $F$9) + CHOOSE(CONTROL!$C$27, 0.0021, 0)</f>
        <v>183.5266</v>
      </c>
      <c r="C1003" s="14">
        <f>183.0922 * CHOOSE(CONTROL!$C$9, $D$9, 100%, $F$9) + CHOOSE(CONTROL!$C$27, 0.0021, 0)</f>
        <v>183.0943</v>
      </c>
      <c r="D1003" s="14">
        <f>183.0922 * CHOOSE(CONTROL!$C$9, $D$9, 100%, $F$9) + CHOOSE(CONTROL!$C$27, 0.0021, 0)</f>
        <v>183.0943</v>
      </c>
      <c r="E1003" s="14">
        <f>182.9556 * CHOOSE(CONTROL!$C$9, $D$9, 100%, $F$9) + CHOOSE(CONTROL!$C$27, 0.0021, 0)</f>
        <v>182.95770000000002</v>
      </c>
      <c r="F1003" s="14">
        <f>182.9556 * CHOOSE(CONTROL!$C$9, $D$9, 100%, $F$9) + CHOOSE(CONTROL!$C$27, 0.0021, 0)</f>
        <v>182.95770000000002</v>
      </c>
      <c r="G1003" s="14">
        <f>183.227 * CHOOSE(CONTROL!$C$9, $D$9, 100%, $F$9) + CHOOSE(CONTROL!$C$27, 0.0021, 0)</f>
        <v>183.22910000000002</v>
      </c>
      <c r="H1003" s="14">
        <f>183.0922 * CHOOSE(CONTROL!$C$9, $D$9, 100%, $F$9) + CHOOSE(CONTROL!$C$27, 0.0021, 0)</f>
        <v>183.0943</v>
      </c>
      <c r="I1003" s="14">
        <f>183.0922 * CHOOSE(CONTROL!$C$9, $D$9, 100%, $F$9) + CHOOSE(CONTROL!$C$27, 0.0021, 0)</f>
        <v>183.0943</v>
      </c>
      <c r="J1003" s="14">
        <f>183.0922 * CHOOSE(CONTROL!$C$9, $D$9, 100%, $F$9) + CHOOSE(CONTROL!$C$27, 0.0021, 0)</f>
        <v>183.0943</v>
      </c>
      <c r="K1003" s="14">
        <f>183.0922 * CHOOSE(CONTROL!$C$9, $D$9, 100%, $F$9) + CHOOSE(CONTROL!$C$27, 0.0021, 0)</f>
        <v>183.0943</v>
      </c>
      <c r="L1003" s="14"/>
    </row>
    <row r="1004" spans="1:12" ht="15.75" x14ac:dyDescent="0.25">
      <c r="A1004" s="32">
        <v>71497</v>
      </c>
      <c r="B1004" s="14">
        <f>177.5007 * CHOOSE(CONTROL!$C$9, $D$9, 100%, $F$9) + CHOOSE(CONTROL!$C$27, 0.0021, 0)</f>
        <v>177.50280000000001</v>
      </c>
      <c r="C1004" s="14">
        <f>177.0684 * CHOOSE(CONTROL!$C$9, $D$9, 100%, $F$9) + CHOOSE(CONTROL!$C$27, 0.0021, 0)</f>
        <v>177.07050000000001</v>
      </c>
      <c r="D1004" s="14">
        <f>177.0684 * CHOOSE(CONTROL!$C$9, $D$9, 100%, $F$9) + CHOOSE(CONTROL!$C$27, 0.0021, 0)</f>
        <v>177.07050000000001</v>
      </c>
      <c r="E1004" s="14">
        <f>176.9317 * CHOOSE(CONTROL!$C$9, $D$9, 100%, $F$9) + CHOOSE(CONTROL!$C$27, 0.0021, 0)</f>
        <v>176.93380000000002</v>
      </c>
      <c r="F1004" s="14">
        <f>176.9317 * CHOOSE(CONTROL!$C$9, $D$9, 100%, $F$9) + CHOOSE(CONTROL!$C$27, 0.0021, 0)</f>
        <v>176.93380000000002</v>
      </c>
      <c r="G1004" s="14">
        <f>177.2031 * CHOOSE(CONTROL!$C$9, $D$9, 100%, $F$9) + CHOOSE(CONTROL!$C$27, 0.0021, 0)</f>
        <v>177.20520000000002</v>
      </c>
      <c r="H1004" s="14">
        <f>177.0684 * CHOOSE(CONTROL!$C$9, $D$9, 100%, $F$9) + CHOOSE(CONTROL!$C$27, 0.0021, 0)</f>
        <v>177.07050000000001</v>
      </c>
      <c r="I1004" s="14">
        <f>177.0684 * CHOOSE(CONTROL!$C$9, $D$9, 100%, $F$9) + CHOOSE(CONTROL!$C$27, 0.0021, 0)</f>
        <v>177.07050000000001</v>
      </c>
      <c r="J1004" s="14">
        <f>177.0684 * CHOOSE(CONTROL!$C$9, $D$9, 100%, $F$9) + CHOOSE(CONTROL!$C$27, 0.0021, 0)</f>
        <v>177.07050000000001</v>
      </c>
      <c r="K1004" s="14">
        <f>177.0684 * CHOOSE(CONTROL!$C$9, $D$9, 100%, $F$9) + CHOOSE(CONTROL!$C$27, 0.0021, 0)</f>
        <v>177.07050000000001</v>
      </c>
      <c r="L1004" s="14"/>
    </row>
    <row r="1005" spans="1:12" ht="15.75" x14ac:dyDescent="0.25">
      <c r="A1005" s="32">
        <v>71528</v>
      </c>
      <c r="B1005" s="14">
        <f>171.4418 * CHOOSE(CONTROL!$C$9, $D$9, 100%, $F$9) + CHOOSE(CONTROL!$C$27, 0.0021, 0)</f>
        <v>171.44390000000001</v>
      </c>
      <c r="C1005" s="14">
        <f>171.0095 * CHOOSE(CONTROL!$C$9, $D$9, 100%, $F$9) + CHOOSE(CONTROL!$C$27, 0.0021, 0)</f>
        <v>171.01160000000002</v>
      </c>
      <c r="D1005" s="14">
        <f>171.0095 * CHOOSE(CONTROL!$C$9, $D$9, 100%, $F$9) + CHOOSE(CONTROL!$C$27, 0.0021, 0)</f>
        <v>171.01160000000002</v>
      </c>
      <c r="E1005" s="14">
        <f>170.8729 * CHOOSE(CONTROL!$C$9, $D$9, 100%, $F$9) + CHOOSE(CONTROL!$C$27, 0.0021, 0)</f>
        <v>170.875</v>
      </c>
      <c r="F1005" s="14">
        <f>170.8729 * CHOOSE(CONTROL!$C$9, $D$9, 100%, $F$9) + CHOOSE(CONTROL!$C$27, 0.0021, 0)</f>
        <v>170.875</v>
      </c>
      <c r="G1005" s="14">
        <f>171.1442 * CHOOSE(CONTROL!$C$9, $D$9, 100%, $F$9) + CHOOSE(CONTROL!$C$27, 0.0021, 0)</f>
        <v>171.14630000000002</v>
      </c>
      <c r="H1005" s="14">
        <f>171.0095 * CHOOSE(CONTROL!$C$9, $D$9, 100%, $F$9) + CHOOSE(CONTROL!$C$27, 0.0021, 0)</f>
        <v>171.01160000000002</v>
      </c>
      <c r="I1005" s="14">
        <f>171.0095 * CHOOSE(CONTROL!$C$9, $D$9, 100%, $F$9) + CHOOSE(CONTROL!$C$27, 0.0021, 0)</f>
        <v>171.01160000000002</v>
      </c>
      <c r="J1005" s="14">
        <f>171.0095 * CHOOSE(CONTROL!$C$9, $D$9, 100%, $F$9) + CHOOSE(CONTROL!$C$27, 0.0021, 0)</f>
        <v>171.01160000000002</v>
      </c>
      <c r="K1005" s="14">
        <f>171.0095 * CHOOSE(CONTROL!$C$9, $D$9, 100%, $F$9) + CHOOSE(CONTROL!$C$27, 0.0021, 0)</f>
        <v>171.01160000000002</v>
      </c>
      <c r="L1005" s="14"/>
    </row>
    <row r="1006" spans="1:12" ht="15.75" x14ac:dyDescent="0.25">
      <c r="A1006" s="32">
        <v>71558</v>
      </c>
      <c r="B1006" s="14">
        <f>170.2365 * CHOOSE(CONTROL!$C$9, $D$9, 100%, $F$9) + CHOOSE(CONTROL!$C$27, 0.0021, 0)</f>
        <v>170.23860000000002</v>
      </c>
      <c r="C1006" s="14">
        <f>169.8043 * CHOOSE(CONTROL!$C$9, $D$9, 100%, $F$9) + CHOOSE(CONTROL!$C$27, 0.0021, 0)</f>
        <v>169.80640000000002</v>
      </c>
      <c r="D1006" s="14">
        <f>169.8043 * CHOOSE(CONTROL!$C$9, $D$9, 100%, $F$9) + CHOOSE(CONTROL!$C$27, 0.0021, 0)</f>
        <v>169.80640000000002</v>
      </c>
      <c r="E1006" s="14">
        <f>169.6676 * CHOOSE(CONTROL!$C$9, $D$9, 100%, $F$9) + CHOOSE(CONTROL!$C$27, 0.0021, 0)</f>
        <v>169.66970000000001</v>
      </c>
      <c r="F1006" s="14">
        <f>169.6676 * CHOOSE(CONTROL!$C$9, $D$9, 100%, $F$9) + CHOOSE(CONTROL!$C$27, 0.0021, 0)</f>
        <v>169.66970000000001</v>
      </c>
      <c r="G1006" s="14">
        <f>169.939 * CHOOSE(CONTROL!$C$9, $D$9, 100%, $F$9) + CHOOSE(CONTROL!$C$27, 0.0021, 0)</f>
        <v>169.94110000000001</v>
      </c>
      <c r="H1006" s="14">
        <f>169.8043 * CHOOSE(CONTROL!$C$9, $D$9, 100%, $F$9) + CHOOSE(CONTROL!$C$27, 0.0021, 0)</f>
        <v>169.80640000000002</v>
      </c>
      <c r="I1006" s="14">
        <f>169.8043 * CHOOSE(CONTROL!$C$9, $D$9, 100%, $F$9) + CHOOSE(CONTROL!$C$27, 0.0021, 0)</f>
        <v>169.80640000000002</v>
      </c>
      <c r="J1006" s="14">
        <f>169.8043 * CHOOSE(CONTROL!$C$9, $D$9, 100%, $F$9) + CHOOSE(CONTROL!$C$27, 0.0021, 0)</f>
        <v>169.80640000000002</v>
      </c>
      <c r="K1006" s="14">
        <f>169.8043 * CHOOSE(CONTROL!$C$9, $D$9, 100%, $F$9) + CHOOSE(CONTROL!$C$27, 0.0021, 0)</f>
        <v>169.80640000000002</v>
      </c>
      <c r="L1006" s="14"/>
    </row>
    <row r="1007" spans="1:12" ht="15.75" x14ac:dyDescent="0.25">
      <c r="A1007" s="32">
        <v>71589</v>
      </c>
      <c r="B1007" s="14">
        <f>165.2528 * CHOOSE(CONTROL!$C$9, $D$9, 100%, $F$9) + CHOOSE(CONTROL!$C$27, 0.0021, 0)</f>
        <v>165.25490000000002</v>
      </c>
      <c r="C1007" s="14">
        <f>164.8205 * CHOOSE(CONTROL!$C$9, $D$9, 100%, $F$9) + CHOOSE(CONTROL!$C$27, 0.0021, 0)</f>
        <v>164.82260000000002</v>
      </c>
      <c r="D1007" s="14">
        <f>164.8205 * CHOOSE(CONTROL!$C$9, $D$9, 100%, $F$9) + CHOOSE(CONTROL!$C$27, 0.0021, 0)</f>
        <v>164.82260000000002</v>
      </c>
      <c r="E1007" s="14">
        <f>164.6839 * CHOOSE(CONTROL!$C$9, $D$9, 100%, $F$9) + CHOOSE(CONTROL!$C$27, 0.0021, 0)</f>
        <v>164.68600000000001</v>
      </c>
      <c r="F1007" s="14">
        <f>164.6839 * CHOOSE(CONTROL!$C$9, $D$9, 100%, $F$9) + CHOOSE(CONTROL!$C$27, 0.0021, 0)</f>
        <v>164.68600000000001</v>
      </c>
      <c r="G1007" s="14">
        <f>164.9552 * CHOOSE(CONTROL!$C$9, $D$9, 100%, $F$9) + CHOOSE(CONTROL!$C$27, 0.0021, 0)</f>
        <v>164.9573</v>
      </c>
      <c r="H1007" s="14">
        <f>164.8205 * CHOOSE(CONTROL!$C$9, $D$9, 100%, $F$9) + CHOOSE(CONTROL!$C$27, 0.0021, 0)</f>
        <v>164.82260000000002</v>
      </c>
      <c r="I1007" s="14">
        <f>164.8205 * CHOOSE(CONTROL!$C$9, $D$9, 100%, $F$9) + CHOOSE(CONTROL!$C$27, 0.0021, 0)</f>
        <v>164.82260000000002</v>
      </c>
      <c r="J1007" s="14">
        <f>164.8205 * CHOOSE(CONTROL!$C$9, $D$9, 100%, $F$9) + CHOOSE(CONTROL!$C$27, 0.0021, 0)</f>
        <v>164.82260000000002</v>
      </c>
      <c r="K1007" s="14">
        <f>164.8205 * CHOOSE(CONTROL!$C$9, $D$9, 100%, $F$9) + CHOOSE(CONTROL!$C$27, 0.0021, 0)</f>
        <v>164.82260000000002</v>
      </c>
      <c r="L1007" s="14"/>
    </row>
    <row r="1008" spans="1:12" ht="15.75" x14ac:dyDescent="0.25">
      <c r="A1008" s="32">
        <v>71620</v>
      </c>
      <c r="B1008" s="14">
        <f>164.2825 * CHOOSE(CONTROL!$C$9, $D$9, 100%, $F$9) + CHOOSE(CONTROL!$C$27, 0.0021, 0)</f>
        <v>164.28460000000001</v>
      </c>
      <c r="C1008" s="14">
        <f>163.8502 * CHOOSE(CONTROL!$C$9, $D$9, 100%, $F$9) + CHOOSE(CONTROL!$C$27, 0.0021, 0)</f>
        <v>163.85230000000001</v>
      </c>
      <c r="D1008" s="14">
        <f>163.8502 * CHOOSE(CONTROL!$C$9, $D$9, 100%, $F$9) + CHOOSE(CONTROL!$C$27, 0.0021, 0)</f>
        <v>163.85230000000001</v>
      </c>
      <c r="E1008" s="14">
        <f>163.7136 * CHOOSE(CONTROL!$C$9, $D$9, 100%, $F$9) + CHOOSE(CONTROL!$C$27, 0.0021, 0)</f>
        <v>163.71570000000003</v>
      </c>
      <c r="F1008" s="14">
        <f>163.7136 * CHOOSE(CONTROL!$C$9, $D$9, 100%, $F$9) + CHOOSE(CONTROL!$C$27, 0.0021, 0)</f>
        <v>163.71570000000003</v>
      </c>
      <c r="G1008" s="14">
        <f>163.985 * CHOOSE(CONTROL!$C$9, $D$9, 100%, $F$9) + CHOOSE(CONTROL!$C$27, 0.0021, 0)</f>
        <v>163.98710000000003</v>
      </c>
      <c r="H1008" s="14">
        <f>163.8502 * CHOOSE(CONTROL!$C$9, $D$9, 100%, $F$9) + CHOOSE(CONTROL!$C$27, 0.0021, 0)</f>
        <v>163.85230000000001</v>
      </c>
      <c r="I1008" s="14">
        <f>163.8502 * CHOOSE(CONTROL!$C$9, $D$9, 100%, $F$9) + CHOOSE(CONTROL!$C$27, 0.0021, 0)</f>
        <v>163.85230000000001</v>
      </c>
      <c r="J1008" s="14">
        <f>163.8502 * CHOOSE(CONTROL!$C$9, $D$9, 100%, $F$9) + CHOOSE(CONTROL!$C$27, 0.0021, 0)</f>
        <v>163.85230000000001</v>
      </c>
      <c r="K1008" s="14">
        <f>163.8502 * CHOOSE(CONTROL!$C$9, $D$9, 100%, $F$9) + CHOOSE(CONTROL!$C$27, 0.0021, 0)</f>
        <v>163.85230000000001</v>
      </c>
      <c r="L1008" s="14"/>
    </row>
    <row r="1009" spans="1:12" ht="15.75" x14ac:dyDescent="0.25">
      <c r="A1009" s="32">
        <v>71649</v>
      </c>
      <c r="B1009" s="14">
        <f>163.8322 * CHOOSE(CONTROL!$C$9, $D$9, 100%, $F$9) + CHOOSE(CONTROL!$C$27, 0.0021, 0)</f>
        <v>163.83430000000001</v>
      </c>
      <c r="C1009" s="14">
        <f>163.4 * CHOOSE(CONTROL!$C$9, $D$9, 100%, $F$9) + CHOOSE(CONTROL!$C$27, 0.0021, 0)</f>
        <v>163.40210000000002</v>
      </c>
      <c r="D1009" s="14">
        <f>163.4 * CHOOSE(CONTROL!$C$9, $D$9, 100%, $F$9) + CHOOSE(CONTROL!$C$27, 0.0021, 0)</f>
        <v>163.40210000000002</v>
      </c>
      <c r="E1009" s="14">
        <f>163.2633 * CHOOSE(CONTROL!$C$9, $D$9, 100%, $F$9) + CHOOSE(CONTROL!$C$27, 0.0021, 0)</f>
        <v>163.2654</v>
      </c>
      <c r="F1009" s="14">
        <f>163.2633 * CHOOSE(CONTROL!$C$9, $D$9, 100%, $F$9) + CHOOSE(CONTROL!$C$27, 0.0021, 0)</f>
        <v>163.2654</v>
      </c>
      <c r="G1009" s="14">
        <f>163.5347 * CHOOSE(CONTROL!$C$9, $D$9, 100%, $F$9) + CHOOSE(CONTROL!$C$27, 0.0021, 0)</f>
        <v>163.5368</v>
      </c>
      <c r="H1009" s="14">
        <f>163.4 * CHOOSE(CONTROL!$C$9, $D$9, 100%, $F$9) + CHOOSE(CONTROL!$C$27, 0.0021, 0)</f>
        <v>163.40210000000002</v>
      </c>
      <c r="I1009" s="14">
        <f>163.4 * CHOOSE(CONTROL!$C$9, $D$9, 100%, $F$9) + CHOOSE(CONTROL!$C$27, 0.0021, 0)</f>
        <v>163.40210000000002</v>
      </c>
      <c r="J1009" s="14">
        <f>163.4 * CHOOSE(CONTROL!$C$9, $D$9, 100%, $F$9) + CHOOSE(CONTROL!$C$27, 0.0021, 0)</f>
        <v>163.40210000000002</v>
      </c>
      <c r="K1009" s="14">
        <f>163.4 * CHOOSE(CONTROL!$C$9, $D$9, 100%, $F$9) + CHOOSE(CONTROL!$C$27, 0.0021, 0)</f>
        <v>163.40210000000002</v>
      </c>
      <c r="L1009" s="14"/>
    </row>
    <row r="1010" spans="1:12" ht="15.75" x14ac:dyDescent="0.25">
      <c r="A1010" s="32">
        <v>71680</v>
      </c>
      <c r="B1010" s="14">
        <f>172.3463 * CHOOSE(CONTROL!$C$9, $D$9, 100%, $F$9) + CHOOSE(CONTROL!$C$27, 0.0021, 0)</f>
        <v>172.34840000000003</v>
      </c>
      <c r="C1010" s="14">
        <f>171.9141 * CHOOSE(CONTROL!$C$9, $D$9, 100%, $F$9) + CHOOSE(CONTROL!$C$27, 0.0021, 0)</f>
        <v>171.9162</v>
      </c>
      <c r="D1010" s="14">
        <f>171.9141 * CHOOSE(CONTROL!$C$9, $D$9, 100%, $F$9) + CHOOSE(CONTROL!$C$27, 0.0021, 0)</f>
        <v>171.9162</v>
      </c>
      <c r="E1010" s="14">
        <f>171.7774 * CHOOSE(CONTROL!$C$9, $D$9, 100%, $F$9) + CHOOSE(CONTROL!$C$27, 0.0021, 0)</f>
        <v>171.77950000000001</v>
      </c>
      <c r="F1010" s="14">
        <f>171.7774 * CHOOSE(CONTROL!$C$9, $D$9, 100%, $F$9) + CHOOSE(CONTROL!$C$27, 0.0021, 0)</f>
        <v>171.77950000000001</v>
      </c>
      <c r="G1010" s="14">
        <f>172.0488 * CHOOSE(CONTROL!$C$9, $D$9, 100%, $F$9) + CHOOSE(CONTROL!$C$27, 0.0021, 0)</f>
        <v>172.05090000000001</v>
      </c>
      <c r="H1010" s="14">
        <f>171.9141 * CHOOSE(CONTROL!$C$9, $D$9, 100%, $F$9) + CHOOSE(CONTROL!$C$27, 0.0021, 0)</f>
        <v>171.9162</v>
      </c>
      <c r="I1010" s="14">
        <f>171.9141 * CHOOSE(CONTROL!$C$9, $D$9, 100%, $F$9) + CHOOSE(CONTROL!$C$27, 0.0021, 0)</f>
        <v>171.9162</v>
      </c>
      <c r="J1010" s="14">
        <f>171.9141 * CHOOSE(CONTROL!$C$9, $D$9, 100%, $F$9) + CHOOSE(CONTROL!$C$27, 0.0021, 0)</f>
        <v>171.9162</v>
      </c>
      <c r="K1010" s="14">
        <f>171.9141 * CHOOSE(CONTROL!$C$9, $D$9, 100%, $F$9) + CHOOSE(CONTROL!$C$27, 0.0021, 0)</f>
        <v>171.9162</v>
      </c>
      <c r="L1010" s="14"/>
    </row>
    <row r="1011" spans="1:12" ht="15.75" x14ac:dyDescent="0.25">
      <c r="A1011" s="32">
        <v>71710</v>
      </c>
      <c r="B1011" s="14">
        <f>183.387 * CHOOSE(CONTROL!$C$9, $D$9, 100%, $F$9) + CHOOSE(CONTROL!$C$27, 0.0021, 0)</f>
        <v>183.38910000000001</v>
      </c>
      <c r="C1011" s="14">
        <f>182.9548 * CHOOSE(CONTROL!$C$9, $D$9, 100%, $F$9) + CHOOSE(CONTROL!$C$27, 0.0021, 0)</f>
        <v>182.95690000000002</v>
      </c>
      <c r="D1011" s="14">
        <f>182.9548 * CHOOSE(CONTROL!$C$9, $D$9, 100%, $F$9) + CHOOSE(CONTROL!$C$27, 0.0021, 0)</f>
        <v>182.95690000000002</v>
      </c>
      <c r="E1011" s="14">
        <f>182.8181 * CHOOSE(CONTROL!$C$9, $D$9, 100%, $F$9) + CHOOSE(CONTROL!$C$27, 0.0021, 0)</f>
        <v>182.8202</v>
      </c>
      <c r="F1011" s="14">
        <f>182.8181 * CHOOSE(CONTROL!$C$9, $D$9, 100%, $F$9) + CHOOSE(CONTROL!$C$27, 0.0021, 0)</f>
        <v>182.8202</v>
      </c>
      <c r="G1011" s="14">
        <f>183.0895 * CHOOSE(CONTROL!$C$9, $D$9, 100%, $F$9) + CHOOSE(CONTROL!$C$27, 0.0021, 0)</f>
        <v>183.0916</v>
      </c>
      <c r="H1011" s="14">
        <f>182.9548 * CHOOSE(CONTROL!$C$9, $D$9, 100%, $F$9) + CHOOSE(CONTROL!$C$27, 0.0021, 0)</f>
        <v>182.95690000000002</v>
      </c>
      <c r="I1011" s="14">
        <f>182.9548 * CHOOSE(CONTROL!$C$9, $D$9, 100%, $F$9) + CHOOSE(CONTROL!$C$27, 0.0021, 0)</f>
        <v>182.95690000000002</v>
      </c>
      <c r="J1011" s="14">
        <f>182.9548 * CHOOSE(CONTROL!$C$9, $D$9, 100%, $F$9) + CHOOSE(CONTROL!$C$27, 0.0021, 0)</f>
        <v>182.95690000000002</v>
      </c>
      <c r="K1011" s="14">
        <f>182.9548 * CHOOSE(CONTROL!$C$9, $D$9, 100%, $F$9) + CHOOSE(CONTROL!$C$27, 0.0021, 0)</f>
        <v>182.95690000000002</v>
      </c>
      <c r="L1011" s="14"/>
    </row>
    <row r="1012" spans="1:12" ht="15.75" x14ac:dyDescent="0.25">
      <c r="A1012" s="32">
        <v>71741</v>
      </c>
      <c r="B1012" s="14">
        <f>189.4642 * CHOOSE(CONTROL!$C$9, $D$9, 100%, $F$9) + CHOOSE(CONTROL!$C$27, 0.0021, 0)</f>
        <v>189.46630000000002</v>
      </c>
      <c r="C1012" s="14">
        <f>189.032 * CHOOSE(CONTROL!$C$9, $D$9, 100%, $F$9) + CHOOSE(CONTROL!$C$27, 0.0021, 0)</f>
        <v>189.03410000000002</v>
      </c>
      <c r="D1012" s="14">
        <f>189.032 * CHOOSE(CONTROL!$C$9, $D$9, 100%, $F$9) + CHOOSE(CONTROL!$C$27, 0.0021, 0)</f>
        <v>189.03410000000002</v>
      </c>
      <c r="E1012" s="14">
        <f>188.8953 * CHOOSE(CONTROL!$C$9, $D$9, 100%, $F$9) + CHOOSE(CONTROL!$C$27, 0.0021, 0)</f>
        <v>188.8974</v>
      </c>
      <c r="F1012" s="14">
        <f>188.8953 * CHOOSE(CONTROL!$C$9, $D$9, 100%, $F$9) + CHOOSE(CONTROL!$C$27, 0.0021, 0)</f>
        <v>188.8974</v>
      </c>
      <c r="G1012" s="14">
        <f>189.1667 * CHOOSE(CONTROL!$C$9, $D$9, 100%, $F$9) + CHOOSE(CONTROL!$C$27, 0.0021, 0)</f>
        <v>189.1688</v>
      </c>
      <c r="H1012" s="14">
        <f>189.032 * CHOOSE(CONTROL!$C$9, $D$9, 100%, $F$9) + CHOOSE(CONTROL!$C$27, 0.0021, 0)</f>
        <v>189.03410000000002</v>
      </c>
      <c r="I1012" s="14">
        <f>189.032 * CHOOSE(CONTROL!$C$9, $D$9, 100%, $F$9) + CHOOSE(CONTROL!$C$27, 0.0021, 0)</f>
        <v>189.03410000000002</v>
      </c>
      <c r="J1012" s="14">
        <f>189.032 * CHOOSE(CONTROL!$C$9, $D$9, 100%, $F$9) + CHOOSE(CONTROL!$C$27, 0.0021, 0)</f>
        <v>189.03410000000002</v>
      </c>
      <c r="K1012" s="14">
        <f>189.032 * CHOOSE(CONTROL!$C$9, $D$9, 100%, $F$9) + CHOOSE(CONTROL!$C$27, 0.0021, 0)</f>
        <v>189.03410000000002</v>
      </c>
      <c r="L1012" s="14"/>
    </row>
    <row r="1013" spans="1:12" ht="15.75" x14ac:dyDescent="0.25">
      <c r="A1013" s="32">
        <v>71771</v>
      </c>
      <c r="B1013" s="14">
        <f>192.1612 * CHOOSE(CONTROL!$C$9, $D$9, 100%, $F$9) + CHOOSE(CONTROL!$C$27, 0.0021, 0)</f>
        <v>192.16330000000002</v>
      </c>
      <c r="C1013" s="14">
        <f>191.7289 * CHOOSE(CONTROL!$C$9, $D$9, 100%, $F$9) + CHOOSE(CONTROL!$C$27, 0.0021, 0)</f>
        <v>191.73100000000002</v>
      </c>
      <c r="D1013" s="14">
        <f>191.7289 * CHOOSE(CONTROL!$C$9, $D$9, 100%, $F$9) + CHOOSE(CONTROL!$C$27, 0.0021, 0)</f>
        <v>191.73100000000002</v>
      </c>
      <c r="E1013" s="14">
        <f>191.5923 * CHOOSE(CONTROL!$C$9, $D$9, 100%, $F$9) + CHOOSE(CONTROL!$C$27, 0.0021, 0)</f>
        <v>191.59440000000001</v>
      </c>
      <c r="F1013" s="14">
        <f>191.5923 * CHOOSE(CONTROL!$C$9, $D$9, 100%, $F$9) + CHOOSE(CONTROL!$C$27, 0.0021, 0)</f>
        <v>191.59440000000001</v>
      </c>
      <c r="G1013" s="14">
        <f>191.8636 * CHOOSE(CONTROL!$C$9, $D$9, 100%, $F$9) + CHOOSE(CONTROL!$C$27, 0.0021, 0)</f>
        <v>191.8657</v>
      </c>
      <c r="H1013" s="14">
        <f>191.7289 * CHOOSE(CONTROL!$C$9, $D$9, 100%, $F$9) + CHOOSE(CONTROL!$C$27, 0.0021, 0)</f>
        <v>191.73100000000002</v>
      </c>
      <c r="I1013" s="14">
        <f>191.7289 * CHOOSE(CONTROL!$C$9, $D$9, 100%, $F$9) + CHOOSE(CONTROL!$C$27, 0.0021, 0)</f>
        <v>191.73100000000002</v>
      </c>
      <c r="J1013" s="14">
        <f>191.7289 * CHOOSE(CONTROL!$C$9, $D$9, 100%, $F$9) + CHOOSE(CONTROL!$C$27, 0.0021, 0)</f>
        <v>191.73100000000002</v>
      </c>
      <c r="K1013" s="14">
        <f>191.7289 * CHOOSE(CONTROL!$C$9, $D$9, 100%, $F$9) + CHOOSE(CONTROL!$C$27, 0.0021, 0)</f>
        <v>191.73100000000002</v>
      </c>
      <c r="L1013" s="14"/>
    </row>
    <row r="1014" spans="1:12" ht="15.75" x14ac:dyDescent="0.25">
      <c r="A1014" s="32">
        <v>71802</v>
      </c>
      <c r="B1014" s="14">
        <f>191.2732 * CHOOSE(CONTROL!$C$9, $D$9, 100%, $F$9) + CHOOSE(CONTROL!$C$27, 0.0021, 0)</f>
        <v>191.27530000000002</v>
      </c>
      <c r="C1014" s="14">
        <f>190.8409 * CHOOSE(CONTROL!$C$9, $D$9, 100%, $F$9) + CHOOSE(CONTROL!$C$27, 0.0021, 0)</f>
        <v>190.84300000000002</v>
      </c>
      <c r="D1014" s="14">
        <f>190.8409 * CHOOSE(CONTROL!$C$9, $D$9, 100%, $F$9) + CHOOSE(CONTROL!$C$27, 0.0021, 0)</f>
        <v>190.84300000000002</v>
      </c>
      <c r="E1014" s="14">
        <f>190.7043 * CHOOSE(CONTROL!$C$9, $D$9, 100%, $F$9) + CHOOSE(CONTROL!$C$27, 0.0021, 0)</f>
        <v>190.7064</v>
      </c>
      <c r="F1014" s="14">
        <f>190.7043 * CHOOSE(CONTROL!$C$9, $D$9, 100%, $F$9) + CHOOSE(CONTROL!$C$27, 0.0021, 0)</f>
        <v>190.7064</v>
      </c>
      <c r="G1014" s="14">
        <f>190.9757 * CHOOSE(CONTROL!$C$9, $D$9, 100%, $F$9) + CHOOSE(CONTROL!$C$27, 0.0021, 0)</f>
        <v>190.9778</v>
      </c>
      <c r="H1014" s="14">
        <f>190.8409 * CHOOSE(CONTROL!$C$9, $D$9, 100%, $F$9) + CHOOSE(CONTROL!$C$27, 0.0021, 0)</f>
        <v>190.84300000000002</v>
      </c>
      <c r="I1014" s="14">
        <f>190.8409 * CHOOSE(CONTROL!$C$9, $D$9, 100%, $F$9) + CHOOSE(CONTROL!$C$27, 0.0021, 0)</f>
        <v>190.84300000000002</v>
      </c>
      <c r="J1014" s="14">
        <f>190.8409 * CHOOSE(CONTROL!$C$9, $D$9, 100%, $F$9) + CHOOSE(CONTROL!$C$27, 0.0021, 0)</f>
        <v>190.84300000000002</v>
      </c>
      <c r="K1014" s="14">
        <f>190.8409 * CHOOSE(CONTROL!$C$9, $D$9, 100%, $F$9) + CHOOSE(CONTROL!$C$27, 0.0021, 0)</f>
        <v>190.84300000000002</v>
      </c>
      <c r="L1014" s="14"/>
    </row>
    <row r="1015" spans="1:12" ht="15.75" x14ac:dyDescent="0.25">
      <c r="A1015" s="32">
        <v>71833</v>
      </c>
      <c r="B1015" s="14">
        <f>186.8738 * CHOOSE(CONTROL!$C$9, $D$9, 100%, $F$9) + CHOOSE(CONTROL!$C$27, 0.0021, 0)</f>
        <v>186.8759</v>
      </c>
      <c r="C1015" s="14">
        <f>186.4416 * CHOOSE(CONTROL!$C$9, $D$9, 100%, $F$9) + CHOOSE(CONTROL!$C$27, 0.0021, 0)</f>
        <v>186.44370000000001</v>
      </c>
      <c r="D1015" s="14">
        <f>186.4416 * CHOOSE(CONTROL!$C$9, $D$9, 100%, $F$9) + CHOOSE(CONTROL!$C$27, 0.0021, 0)</f>
        <v>186.44370000000001</v>
      </c>
      <c r="E1015" s="14">
        <f>186.3049 * CHOOSE(CONTROL!$C$9, $D$9, 100%, $F$9) + CHOOSE(CONTROL!$C$27, 0.0021, 0)</f>
        <v>186.30700000000002</v>
      </c>
      <c r="F1015" s="14">
        <f>186.3049 * CHOOSE(CONTROL!$C$9, $D$9, 100%, $F$9) + CHOOSE(CONTROL!$C$27, 0.0021, 0)</f>
        <v>186.30700000000002</v>
      </c>
      <c r="G1015" s="14">
        <f>186.5763 * CHOOSE(CONTROL!$C$9, $D$9, 100%, $F$9) + CHOOSE(CONTROL!$C$27, 0.0021, 0)</f>
        <v>186.57840000000002</v>
      </c>
      <c r="H1015" s="14">
        <f>186.4416 * CHOOSE(CONTROL!$C$9, $D$9, 100%, $F$9) + CHOOSE(CONTROL!$C$27, 0.0021, 0)</f>
        <v>186.44370000000001</v>
      </c>
      <c r="I1015" s="14">
        <f>186.4416 * CHOOSE(CONTROL!$C$9, $D$9, 100%, $F$9) + CHOOSE(CONTROL!$C$27, 0.0021, 0)</f>
        <v>186.44370000000001</v>
      </c>
      <c r="J1015" s="14">
        <f>186.4416 * CHOOSE(CONTROL!$C$9, $D$9, 100%, $F$9) + CHOOSE(CONTROL!$C$27, 0.0021, 0)</f>
        <v>186.44370000000001</v>
      </c>
      <c r="K1015" s="14">
        <f>186.4416 * CHOOSE(CONTROL!$C$9, $D$9, 100%, $F$9) + CHOOSE(CONTROL!$C$27, 0.0021, 0)</f>
        <v>186.44370000000001</v>
      </c>
      <c r="L1015" s="14"/>
    </row>
    <row r="1016" spans="1:12" ht="15.75" x14ac:dyDescent="0.25">
      <c r="A1016" s="32">
        <v>71863</v>
      </c>
      <c r="B1016" s="14">
        <f>180.7386 * CHOOSE(CONTROL!$C$9, $D$9, 100%, $F$9) + CHOOSE(CONTROL!$C$27, 0.0021, 0)</f>
        <v>180.7407</v>
      </c>
      <c r="C1016" s="14">
        <f>180.3064 * CHOOSE(CONTROL!$C$9, $D$9, 100%, $F$9) + CHOOSE(CONTROL!$C$27, 0.0021, 0)</f>
        <v>180.30850000000001</v>
      </c>
      <c r="D1016" s="14">
        <f>180.3064 * CHOOSE(CONTROL!$C$9, $D$9, 100%, $F$9) + CHOOSE(CONTROL!$C$27, 0.0021, 0)</f>
        <v>180.30850000000001</v>
      </c>
      <c r="E1016" s="14">
        <f>180.1697 * CHOOSE(CONTROL!$C$9, $D$9, 100%, $F$9) + CHOOSE(CONTROL!$C$27, 0.0021, 0)</f>
        <v>180.17180000000002</v>
      </c>
      <c r="F1016" s="14">
        <f>180.1697 * CHOOSE(CONTROL!$C$9, $D$9, 100%, $F$9) + CHOOSE(CONTROL!$C$27, 0.0021, 0)</f>
        <v>180.17180000000002</v>
      </c>
      <c r="G1016" s="14">
        <f>180.4411 * CHOOSE(CONTROL!$C$9, $D$9, 100%, $F$9) + CHOOSE(CONTROL!$C$27, 0.0021, 0)</f>
        <v>180.44320000000002</v>
      </c>
      <c r="H1016" s="14">
        <f>180.3064 * CHOOSE(CONTROL!$C$9, $D$9, 100%, $F$9) + CHOOSE(CONTROL!$C$27, 0.0021, 0)</f>
        <v>180.30850000000001</v>
      </c>
      <c r="I1016" s="14">
        <f>180.3064 * CHOOSE(CONTROL!$C$9, $D$9, 100%, $F$9) + CHOOSE(CONTROL!$C$27, 0.0021, 0)</f>
        <v>180.30850000000001</v>
      </c>
      <c r="J1016" s="14">
        <f>180.3064 * CHOOSE(CONTROL!$C$9, $D$9, 100%, $F$9) + CHOOSE(CONTROL!$C$27, 0.0021, 0)</f>
        <v>180.30850000000001</v>
      </c>
      <c r="K1016" s="14">
        <f>180.3064 * CHOOSE(CONTROL!$C$9, $D$9, 100%, $F$9) + CHOOSE(CONTROL!$C$27, 0.0021, 0)</f>
        <v>180.30850000000001</v>
      </c>
      <c r="L1016" s="14"/>
    </row>
    <row r="1017" spans="1:12" ht="15.75" x14ac:dyDescent="0.25">
      <c r="A1017" s="32">
        <v>71894</v>
      </c>
      <c r="B1017" s="14">
        <f>174.5678 * CHOOSE(CONTROL!$C$9, $D$9, 100%, $F$9) + CHOOSE(CONTROL!$C$27, 0.0021, 0)</f>
        <v>174.56990000000002</v>
      </c>
      <c r="C1017" s="14">
        <f>174.1355 * CHOOSE(CONTROL!$C$9, $D$9, 100%, $F$9) + CHOOSE(CONTROL!$C$27, 0.0021, 0)</f>
        <v>174.13760000000002</v>
      </c>
      <c r="D1017" s="14">
        <f>174.1355 * CHOOSE(CONTROL!$C$9, $D$9, 100%, $F$9) + CHOOSE(CONTROL!$C$27, 0.0021, 0)</f>
        <v>174.13760000000002</v>
      </c>
      <c r="E1017" s="14">
        <f>173.9989 * CHOOSE(CONTROL!$C$9, $D$9, 100%, $F$9) + CHOOSE(CONTROL!$C$27, 0.0021, 0)</f>
        <v>174.001</v>
      </c>
      <c r="F1017" s="14">
        <f>173.9989 * CHOOSE(CONTROL!$C$9, $D$9, 100%, $F$9) + CHOOSE(CONTROL!$C$27, 0.0021, 0)</f>
        <v>174.001</v>
      </c>
      <c r="G1017" s="14">
        <f>174.2702 * CHOOSE(CONTROL!$C$9, $D$9, 100%, $F$9) + CHOOSE(CONTROL!$C$27, 0.0021, 0)</f>
        <v>174.2723</v>
      </c>
      <c r="H1017" s="14">
        <f>174.1355 * CHOOSE(CONTROL!$C$9, $D$9, 100%, $F$9) + CHOOSE(CONTROL!$C$27, 0.0021, 0)</f>
        <v>174.13760000000002</v>
      </c>
      <c r="I1017" s="14">
        <f>174.1355 * CHOOSE(CONTROL!$C$9, $D$9, 100%, $F$9) + CHOOSE(CONTROL!$C$27, 0.0021, 0)</f>
        <v>174.13760000000002</v>
      </c>
      <c r="J1017" s="14">
        <f>174.1355 * CHOOSE(CONTROL!$C$9, $D$9, 100%, $F$9) + CHOOSE(CONTROL!$C$27, 0.0021, 0)</f>
        <v>174.13760000000002</v>
      </c>
      <c r="K1017" s="14">
        <f>174.1355 * CHOOSE(CONTROL!$C$9, $D$9, 100%, $F$9) + CHOOSE(CONTROL!$C$27, 0.0021, 0)</f>
        <v>174.13760000000002</v>
      </c>
      <c r="L1017" s="14"/>
    </row>
    <row r="1018" spans="1:12" ht="15.75" x14ac:dyDescent="0.25">
      <c r="A1018" s="32">
        <v>71924</v>
      </c>
      <c r="B1018" s="14">
        <f>173.3403 * CHOOSE(CONTROL!$C$9, $D$9, 100%, $F$9) + CHOOSE(CONTROL!$C$27, 0.0021, 0)</f>
        <v>173.34240000000003</v>
      </c>
      <c r="C1018" s="14">
        <f>172.908 * CHOOSE(CONTROL!$C$9, $D$9, 100%, $F$9) + CHOOSE(CONTROL!$C$27, 0.0021, 0)</f>
        <v>172.9101</v>
      </c>
      <c r="D1018" s="14">
        <f>172.908 * CHOOSE(CONTROL!$C$9, $D$9, 100%, $F$9) + CHOOSE(CONTROL!$C$27, 0.0021, 0)</f>
        <v>172.9101</v>
      </c>
      <c r="E1018" s="14">
        <f>172.7714 * CHOOSE(CONTROL!$C$9, $D$9, 100%, $F$9) + CHOOSE(CONTROL!$C$27, 0.0021, 0)</f>
        <v>172.77350000000001</v>
      </c>
      <c r="F1018" s="14">
        <f>172.7714 * CHOOSE(CONTROL!$C$9, $D$9, 100%, $F$9) + CHOOSE(CONTROL!$C$27, 0.0021, 0)</f>
        <v>172.77350000000001</v>
      </c>
      <c r="G1018" s="14">
        <f>173.0427 * CHOOSE(CONTROL!$C$9, $D$9, 100%, $F$9) + CHOOSE(CONTROL!$C$27, 0.0021, 0)</f>
        <v>173.04480000000001</v>
      </c>
      <c r="H1018" s="14">
        <f>172.908 * CHOOSE(CONTROL!$C$9, $D$9, 100%, $F$9) + CHOOSE(CONTROL!$C$27, 0.0021, 0)</f>
        <v>172.9101</v>
      </c>
      <c r="I1018" s="14">
        <f>172.908 * CHOOSE(CONTROL!$C$9, $D$9, 100%, $F$9) + CHOOSE(CONTROL!$C$27, 0.0021, 0)</f>
        <v>172.9101</v>
      </c>
      <c r="J1018" s="14">
        <f>172.908 * CHOOSE(CONTROL!$C$9, $D$9, 100%, $F$9) + CHOOSE(CONTROL!$C$27, 0.0021, 0)</f>
        <v>172.9101</v>
      </c>
      <c r="K1018" s="14">
        <f>172.908 * CHOOSE(CONTROL!$C$9, $D$9, 100%, $F$9) + CHOOSE(CONTROL!$C$27, 0.0021, 0)</f>
        <v>172.9101</v>
      </c>
      <c r="L1018" s="14"/>
    </row>
    <row r="1019" spans="1:12" ht="15.75" x14ac:dyDescent="0.25">
      <c r="A1019" s="32">
        <v>71955</v>
      </c>
      <c r="B1019" s="14">
        <f>168.2644 * CHOOSE(CONTROL!$C$9, $D$9, 100%, $F$9) + CHOOSE(CONTROL!$C$27, 0.0021, 0)</f>
        <v>168.26650000000001</v>
      </c>
      <c r="C1019" s="14">
        <f>167.8322 * CHOOSE(CONTROL!$C$9, $D$9, 100%, $F$9) + CHOOSE(CONTROL!$C$27, 0.0021, 0)</f>
        <v>167.83430000000001</v>
      </c>
      <c r="D1019" s="14">
        <f>167.8322 * CHOOSE(CONTROL!$C$9, $D$9, 100%, $F$9) + CHOOSE(CONTROL!$C$27, 0.0021, 0)</f>
        <v>167.83430000000001</v>
      </c>
      <c r="E1019" s="14">
        <f>167.6955 * CHOOSE(CONTROL!$C$9, $D$9, 100%, $F$9) + CHOOSE(CONTROL!$C$27, 0.0021, 0)</f>
        <v>167.69760000000002</v>
      </c>
      <c r="F1019" s="14">
        <f>167.6955 * CHOOSE(CONTROL!$C$9, $D$9, 100%, $F$9) + CHOOSE(CONTROL!$C$27, 0.0021, 0)</f>
        <v>167.69760000000002</v>
      </c>
      <c r="G1019" s="14">
        <f>167.9669 * CHOOSE(CONTROL!$C$9, $D$9, 100%, $F$9) + CHOOSE(CONTROL!$C$27, 0.0021, 0)</f>
        <v>167.96900000000002</v>
      </c>
      <c r="H1019" s="14">
        <f>167.8322 * CHOOSE(CONTROL!$C$9, $D$9, 100%, $F$9) + CHOOSE(CONTROL!$C$27, 0.0021, 0)</f>
        <v>167.83430000000001</v>
      </c>
      <c r="I1019" s="14">
        <f>167.8322 * CHOOSE(CONTROL!$C$9, $D$9, 100%, $F$9) + CHOOSE(CONTROL!$C$27, 0.0021, 0)</f>
        <v>167.83430000000001</v>
      </c>
      <c r="J1019" s="14">
        <f>167.8322 * CHOOSE(CONTROL!$C$9, $D$9, 100%, $F$9) + CHOOSE(CONTROL!$C$27, 0.0021, 0)</f>
        <v>167.83430000000001</v>
      </c>
      <c r="K1019" s="14">
        <f>167.8322 * CHOOSE(CONTROL!$C$9, $D$9, 100%, $F$9) + CHOOSE(CONTROL!$C$27, 0.0021, 0)</f>
        <v>167.83430000000001</v>
      </c>
      <c r="L1019" s="14"/>
    </row>
    <row r="1020" spans="1:12" ht="15.75" x14ac:dyDescent="0.25">
      <c r="A1020" s="32">
        <v>71986</v>
      </c>
      <c r="B1020" s="14">
        <f>167.2762 * CHOOSE(CONTROL!$C$9, $D$9, 100%, $F$9) + CHOOSE(CONTROL!$C$27, 0.0021, 0)</f>
        <v>167.2783</v>
      </c>
      <c r="C1020" s="14">
        <f>166.8439 * CHOOSE(CONTROL!$C$9, $D$9, 100%, $F$9) + CHOOSE(CONTROL!$C$27, 0.0021, 0)</f>
        <v>166.846</v>
      </c>
      <c r="D1020" s="14">
        <f>166.8439 * CHOOSE(CONTROL!$C$9, $D$9, 100%, $F$9) + CHOOSE(CONTROL!$C$27, 0.0021, 0)</f>
        <v>166.846</v>
      </c>
      <c r="E1020" s="14">
        <f>166.7073 * CHOOSE(CONTROL!$C$9, $D$9, 100%, $F$9) + CHOOSE(CONTROL!$C$27, 0.0021, 0)</f>
        <v>166.70940000000002</v>
      </c>
      <c r="F1020" s="14">
        <f>166.7073 * CHOOSE(CONTROL!$C$9, $D$9, 100%, $F$9) + CHOOSE(CONTROL!$C$27, 0.0021, 0)</f>
        <v>166.70940000000002</v>
      </c>
      <c r="G1020" s="14">
        <f>166.9787 * CHOOSE(CONTROL!$C$9, $D$9, 100%, $F$9) + CHOOSE(CONTROL!$C$27, 0.0021, 0)</f>
        <v>166.98080000000002</v>
      </c>
      <c r="H1020" s="14">
        <f>166.8439 * CHOOSE(CONTROL!$C$9, $D$9, 100%, $F$9) + CHOOSE(CONTROL!$C$27, 0.0021, 0)</f>
        <v>166.846</v>
      </c>
      <c r="I1020" s="14">
        <f>166.8439 * CHOOSE(CONTROL!$C$9, $D$9, 100%, $F$9) + CHOOSE(CONTROL!$C$27, 0.0021, 0)</f>
        <v>166.846</v>
      </c>
      <c r="J1020" s="14">
        <f>166.8439 * CHOOSE(CONTROL!$C$9, $D$9, 100%, $F$9) + CHOOSE(CONTROL!$C$27, 0.0021, 0)</f>
        <v>166.846</v>
      </c>
      <c r="K1020" s="14">
        <f>166.8439 * CHOOSE(CONTROL!$C$9, $D$9, 100%, $F$9) + CHOOSE(CONTROL!$C$27, 0.0021, 0)</f>
        <v>166.846</v>
      </c>
      <c r="L1020" s="14"/>
    </row>
    <row r="1021" spans="1:12" ht="15.75" x14ac:dyDescent="0.25">
      <c r="A1021" s="32">
        <v>72014</v>
      </c>
      <c r="B1021" s="14">
        <f>166.8176 * CHOOSE(CONTROL!$C$9, $D$9, 100%, $F$9) + CHOOSE(CONTROL!$C$27, 0.0021, 0)</f>
        <v>166.81970000000001</v>
      </c>
      <c r="C1021" s="14">
        <f>166.3853 * CHOOSE(CONTROL!$C$9, $D$9, 100%, $F$9) + CHOOSE(CONTROL!$C$27, 0.0021, 0)</f>
        <v>166.38740000000001</v>
      </c>
      <c r="D1021" s="14">
        <f>166.3853 * CHOOSE(CONTROL!$C$9, $D$9, 100%, $F$9) + CHOOSE(CONTROL!$C$27, 0.0021, 0)</f>
        <v>166.38740000000001</v>
      </c>
      <c r="E1021" s="14">
        <f>166.2487 * CHOOSE(CONTROL!$C$9, $D$9, 100%, $F$9) + CHOOSE(CONTROL!$C$27, 0.0021, 0)</f>
        <v>166.25080000000003</v>
      </c>
      <c r="F1021" s="14">
        <f>166.2487 * CHOOSE(CONTROL!$C$9, $D$9, 100%, $F$9) + CHOOSE(CONTROL!$C$27, 0.0021, 0)</f>
        <v>166.25080000000003</v>
      </c>
      <c r="G1021" s="14">
        <f>166.5201 * CHOOSE(CONTROL!$C$9, $D$9, 100%, $F$9) + CHOOSE(CONTROL!$C$27, 0.0021, 0)</f>
        <v>166.52220000000003</v>
      </c>
      <c r="H1021" s="14">
        <f>166.3853 * CHOOSE(CONTROL!$C$9, $D$9, 100%, $F$9) + CHOOSE(CONTROL!$C$27, 0.0021, 0)</f>
        <v>166.38740000000001</v>
      </c>
      <c r="I1021" s="14">
        <f>166.3853 * CHOOSE(CONTROL!$C$9, $D$9, 100%, $F$9) + CHOOSE(CONTROL!$C$27, 0.0021, 0)</f>
        <v>166.38740000000001</v>
      </c>
      <c r="J1021" s="14">
        <f>166.3853 * CHOOSE(CONTROL!$C$9, $D$9, 100%, $F$9) + CHOOSE(CONTROL!$C$27, 0.0021, 0)</f>
        <v>166.38740000000001</v>
      </c>
      <c r="K1021" s="14">
        <f>166.3853 * CHOOSE(CONTROL!$C$9, $D$9, 100%, $F$9) + CHOOSE(CONTROL!$C$27, 0.0021, 0)</f>
        <v>166.38740000000001</v>
      </c>
      <c r="L1021" s="14"/>
    </row>
    <row r="1022" spans="1:12" ht="15.75" x14ac:dyDescent="0.25">
      <c r="A1022" s="32">
        <v>72045</v>
      </c>
      <c r="B1022" s="14">
        <f>175.489 * CHOOSE(CONTROL!$C$9, $D$9, 100%, $F$9) + CHOOSE(CONTROL!$C$27, 0.0021, 0)</f>
        <v>175.49110000000002</v>
      </c>
      <c r="C1022" s="14">
        <f>175.0568 * CHOOSE(CONTROL!$C$9, $D$9, 100%, $F$9) + CHOOSE(CONTROL!$C$27, 0.0021, 0)</f>
        <v>175.05890000000002</v>
      </c>
      <c r="D1022" s="14">
        <f>175.0568 * CHOOSE(CONTROL!$C$9, $D$9, 100%, $F$9) + CHOOSE(CONTROL!$C$27, 0.0021, 0)</f>
        <v>175.05890000000002</v>
      </c>
      <c r="E1022" s="14">
        <f>174.9201 * CHOOSE(CONTROL!$C$9, $D$9, 100%, $F$9) + CHOOSE(CONTROL!$C$27, 0.0021, 0)</f>
        <v>174.9222</v>
      </c>
      <c r="F1022" s="14">
        <f>174.9201 * CHOOSE(CONTROL!$C$9, $D$9, 100%, $F$9) + CHOOSE(CONTROL!$C$27, 0.0021, 0)</f>
        <v>174.9222</v>
      </c>
      <c r="G1022" s="14">
        <f>175.1915 * CHOOSE(CONTROL!$C$9, $D$9, 100%, $F$9) + CHOOSE(CONTROL!$C$27, 0.0021, 0)</f>
        <v>175.1936</v>
      </c>
      <c r="H1022" s="14">
        <f>175.0568 * CHOOSE(CONTROL!$C$9, $D$9, 100%, $F$9) + CHOOSE(CONTROL!$C$27, 0.0021, 0)</f>
        <v>175.05890000000002</v>
      </c>
      <c r="I1022" s="14">
        <f>175.0568 * CHOOSE(CONTROL!$C$9, $D$9, 100%, $F$9) + CHOOSE(CONTROL!$C$27, 0.0021, 0)</f>
        <v>175.05890000000002</v>
      </c>
      <c r="J1022" s="14">
        <f>175.0568 * CHOOSE(CONTROL!$C$9, $D$9, 100%, $F$9) + CHOOSE(CONTROL!$C$27, 0.0021, 0)</f>
        <v>175.05890000000002</v>
      </c>
      <c r="K1022" s="14">
        <f>175.0568 * CHOOSE(CONTROL!$C$9, $D$9, 100%, $F$9) + CHOOSE(CONTROL!$C$27, 0.0021, 0)</f>
        <v>175.05890000000002</v>
      </c>
      <c r="L1022" s="14"/>
    </row>
    <row r="1023" spans="1:12" ht="15.75" x14ac:dyDescent="0.25">
      <c r="A1023" s="32">
        <v>72075</v>
      </c>
      <c r="B1023" s="14">
        <f>186.7338 * CHOOSE(CONTROL!$C$9, $D$9, 100%, $F$9) + CHOOSE(CONTROL!$C$27, 0.0021, 0)</f>
        <v>186.73590000000002</v>
      </c>
      <c r="C1023" s="14">
        <f>186.3016 * CHOOSE(CONTROL!$C$9, $D$9, 100%, $F$9) + CHOOSE(CONTROL!$C$27, 0.0021, 0)</f>
        <v>186.30370000000002</v>
      </c>
      <c r="D1023" s="14">
        <f>186.3016 * CHOOSE(CONTROL!$C$9, $D$9, 100%, $F$9) + CHOOSE(CONTROL!$C$27, 0.0021, 0)</f>
        <v>186.30370000000002</v>
      </c>
      <c r="E1023" s="14">
        <f>186.1649 * CHOOSE(CONTROL!$C$9, $D$9, 100%, $F$9) + CHOOSE(CONTROL!$C$27, 0.0021, 0)</f>
        <v>186.167</v>
      </c>
      <c r="F1023" s="14">
        <f>186.1649 * CHOOSE(CONTROL!$C$9, $D$9, 100%, $F$9) + CHOOSE(CONTROL!$C$27, 0.0021, 0)</f>
        <v>186.167</v>
      </c>
      <c r="G1023" s="14">
        <f>186.4363 * CHOOSE(CONTROL!$C$9, $D$9, 100%, $F$9) + CHOOSE(CONTROL!$C$27, 0.0021, 0)</f>
        <v>186.4384</v>
      </c>
      <c r="H1023" s="14">
        <f>186.3016 * CHOOSE(CONTROL!$C$9, $D$9, 100%, $F$9) + CHOOSE(CONTROL!$C$27, 0.0021, 0)</f>
        <v>186.30370000000002</v>
      </c>
      <c r="I1023" s="14">
        <f>186.3016 * CHOOSE(CONTROL!$C$9, $D$9, 100%, $F$9) + CHOOSE(CONTROL!$C$27, 0.0021, 0)</f>
        <v>186.30370000000002</v>
      </c>
      <c r="J1023" s="14">
        <f>186.3016 * CHOOSE(CONTROL!$C$9, $D$9, 100%, $F$9) + CHOOSE(CONTROL!$C$27, 0.0021, 0)</f>
        <v>186.30370000000002</v>
      </c>
      <c r="K1023" s="14">
        <f>186.3016 * CHOOSE(CONTROL!$C$9, $D$9, 100%, $F$9) + CHOOSE(CONTROL!$C$27, 0.0021, 0)</f>
        <v>186.30370000000002</v>
      </c>
      <c r="L1023" s="14"/>
    </row>
    <row r="1024" spans="1:12" ht="15.75" x14ac:dyDescent="0.25">
      <c r="A1024" s="32">
        <v>72106</v>
      </c>
      <c r="B1024" s="14">
        <f>192.9233 * CHOOSE(CONTROL!$C$9, $D$9, 100%, $F$9) + CHOOSE(CONTROL!$C$27, 0.0021, 0)</f>
        <v>192.92540000000002</v>
      </c>
      <c r="C1024" s="14">
        <f>192.491 * CHOOSE(CONTROL!$C$9, $D$9, 100%, $F$9) + CHOOSE(CONTROL!$C$27, 0.0021, 0)</f>
        <v>192.49310000000003</v>
      </c>
      <c r="D1024" s="14">
        <f>192.491 * CHOOSE(CONTROL!$C$9, $D$9, 100%, $F$9) + CHOOSE(CONTROL!$C$27, 0.0021, 0)</f>
        <v>192.49310000000003</v>
      </c>
      <c r="E1024" s="14">
        <f>192.3544 * CHOOSE(CONTROL!$C$9, $D$9, 100%, $F$9) + CHOOSE(CONTROL!$C$27, 0.0021, 0)</f>
        <v>192.35650000000001</v>
      </c>
      <c r="F1024" s="14">
        <f>192.3544 * CHOOSE(CONTROL!$C$9, $D$9, 100%, $F$9) + CHOOSE(CONTROL!$C$27, 0.0021, 0)</f>
        <v>192.35650000000001</v>
      </c>
      <c r="G1024" s="14">
        <f>192.6258 * CHOOSE(CONTROL!$C$9, $D$9, 100%, $F$9) + CHOOSE(CONTROL!$C$27, 0.0021, 0)</f>
        <v>192.62790000000001</v>
      </c>
      <c r="H1024" s="14">
        <f>192.491 * CHOOSE(CONTROL!$C$9, $D$9, 100%, $F$9) + CHOOSE(CONTROL!$C$27, 0.0021, 0)</f>
        <v>192.49310000000003</v>
      </c>
      <c r="I1024" s="14">
        <f>192.491 * CHOOSE(CONTROL!$C$9, $D$9, 100%, $F$9) + CHOOSE(CONTROL!$C$27, 0.0021, 0)</f>
        <v>192.49310000000003</v>
      </c>
      <c r="J1024" s="14">
        <f>192.491 * CHOOSE(CONTROL!$C$9, $D$9, 100%, $F$9) + CHOOSE(CONTROL!$C$27, 0.0021, 0)</f>
        <v>192.49310000000003</v>
      </c>
      <c r="K1024" s="14">
        <f>192.491 * CHOOSE(CONTROL!$C$9, $D$9, 100%, $F$9) + CHOOSE(CONTROL!$C$27, 0.0021, 0)</f>
        <v>192.49310000000003</v>
      </c>
      <c r="L1024" s="14"/>
    </row>
    <row r="1025" spans="1:12" ht="15.75" x14ac:dyDescent="0.25">
      <c r="A1025" s="32">
        <v>72136</v>
      </c>
      <c r="B1025" s="14">
        <f>195.6701 * CHOOSE(CONTROL!$C$9, $D$9, 100%, $F$9) + CHOOSE(CONTROL!$C$27, 0.0021, 0)</f>
        <v>195.6722</v>
      </c>
      <c r="C1025" s="14">
        <f>195.2378 * CHOOSE(CONTROL!$C$9, $D$9, 100%, $F$9) + CHOOSE(CONTROL!$C$27, 0.0021, 0)</f>
        <v>195.23990000000001</v>
      </c>
      <c r="D1025" s="14">
        <f>195.2378 * CHOOSE(CONTROL!$C$9, $D$9, 100%, $F$9) + CHOOSE(CONTROL!$C$27, 0.0021, 0)</f>
        <v>195.23990000000001</v>
      </c>
      <c r="E1025" s="14">
        <f>195.1012 * CHOOSE(CONTROL!$C$9, $D$9, 100%, $F$9) + CHOOSE(CONTROL!$C$27, 0.0021, 0)</f>
        <v>195.10330000000002</v>
      </c>
      <c r="F1025" s="14">
        <f>195.1012 * CHOOSE(CONTROL!$C$9, $D$9, 100%, $F$9) + CHOOSE(CONTROL!$C$27, 0.0021, 0)</f>
        <v>195.10330000000002</v>
      </c>
      <c r="G1025" s="14">
        <f>195.3725 * CHOOSE(CONTROL!$C$9, $D$9, 100%, $F$9) + CHOOSE(CONTROL!$C$27, 0.0021, 0)</f>
        <v>195.37460000000002</v>
      </c>
      <c r="H1025" s="14">
        <f>195.2378 * CHOOSE(CONTROL!$C$9, $D$9, 100%, $F$9) + CHOOSE(CONTROL!$C$27, 0.0021, 0)</f>
        <v>195.23990000000001</v>
      </c>
      <c r="I1025" s="14">
        <f>195.2378 * CHOOSE(CONTROL!$C$9, $D$9, 100%, $F$9) + CHOOSE(CONTROL!$C$27, 0.0021, 0)</f>
        <v>195.23990000000001</v>
      </c>
      <c r="J1025" s="14">
        <f>195.2378 * CHOOSE(CONTROL!$C$9, $D$9, 100%, $F$9) + CHOOSE(CONTROL!$C$27, 0.0021, 0)</f>
        <v>195.23990000000001</v>
      </c>
      <c r="K1025" s="14">
        <f>195.2378 * CHOOSE(CONTROL!$C$9, $D$9, 100%, $F$9) + CHOOSE(CONTROL!$C$27, 0.0021, 0)</f>
        <v>195.23990000000001</v>
      </c>
      <c r="L1025" s="14"/>
    </row>
    <row r="1026" spans="1:12" ht="15.75" x14ac:dyDescent="0.25">
      <c r="A1026" s="32">
        <v>72167</v>
      </c>
      <c r="B1026" s="14">
        <f>194.7657 * CHOOSE(CONTROL!$C$9, $D$9, 100%, $F$9) + CHOOSE(CONTROL!$C$27, 0.0021, 0)</f>
        <v>194.76780000000002</v>
      </c>
      <c r="C1026" s="14">
        <f>194.3335 * CHOOSE(CONTROL!$C$9, $D$9, 100%, $F$9) + CHOOSE(CONTROL!$C$27, 0.0021, 0)</f>
        <v>194.3356</v>
      </c>
      <c r="D1026" s="14">
        <f>194.3335 * CHOOSE(CONTROL!$C$9, $D$9, 100%, $F$9) + CHOOSE(CONTROL!$C$27, 0.0021, 0)</f>
        <v>194.3356</v>
      </c>
      <c r="E1026" s="14">
        <f>194.1968 * CHOOSE(CONTROL!$C$9, $D$9, 100%, $F$9) + CHOOSE(CONTROL!$C$27, 0.0021, 0)</f>
        <v>194.19890000000001</v>
      </c>
      <c r="F1026" s="14">
        <f>194.1968 * CHOOSE(CONTROL!$C$9, $D$9, 100%, $F$9) + CHOOSE(CONTROL!$C$27, 0.0021, 0)</f>
        <v>194.19890000000001</v>
      </c>
      <c r="G1026" s="14">
        <f>194.4682 * CHOOSE(CONTROL!$C$9, $D$9, 100%, $F$9) + CHOOSE(CONTROL!$C$27, 0.0021, 0)</f>
        <v>194.47030000000001</v>
      </c>
      <c r="H1026" s="14">
        <f>194.3335 * CHOOSE(CONTROL!$C$9, $D$9, 100%, $F$9) + CHOOSE(CONTROL!$C$27, 0.0021, 0)</f>
        <v>194.3356</v>
      </c>
      <c r="I1026" s="14">
        <f>194.3335 * CHOOSE(CONTROL!$C$9, $D$9, 100%, $F$9) + CHOOSE(CONTROL!$C$27, 0.0021, 0)</f>
        <v>194.3356</v>
      </c>
      <c r="J1026" s="14">
        <f>194.3335 * CHOOSE(CONTROL!$C$9, $D$9, 100%, $F$9) + CHOOSE(CONTROL!$C$27, 0.0021, 0)</f>
        <v>194.3356</v>
      </c>
      <c r="K1026" s="14">
        <f>194.3335 * CHOOSE(CONTROL!$C$9, $D$9, 100%, $F$9) + CHOOSE(CONTROL!$C$27, 0.0021, 0)</f>
        <v>194.3356</v>
      </c>
      <c r="L1026" s="14"/>
    </row>
    <row r="1027" spans="1:12" ht="15.75" x14ac:dyDescent="0.25">
      <c r="A1027" s="32">
        <v>72198</v>
      </c>
      <c r="B1027" s="14">
        <f>190.285 * CHOOSE(CONTROL!$C$9, $D$9, 100%, $F$9) + CHOOSE(CONTROL!$C$27, 0.0021, 0)</f>
        <v>190.28710000000001</v>
      </c>
      <c r="C1027" s="14">
        <f>189.8528 * CHOOSE(CONTROL!$C$9, $D$9, 100%, $F$9) + CHOOSE(CONTROL!$C$27, 0.0021, 0)</f>
        <v>189.85490000000001</v>
      </c>
      <c r="D1027" s="14">
        <f>189.8528 * CHOOSE(CONTROL!$C$9, $D$9, 100%, $F$9) + CHOOSE(CONTROL!$C$27, 0.0021, 0)</f>
        <v>189.85490000000001</v>
      </c>
      <c r="E1027" s="14">
        <f>189.7161 * CHOOSE(CONTROL!$C$9, $D$9, 100%, $F$9) + CHOOSE(CONTROL!$C$27, 0.0021, 0)</f>
        <v>189.71820000000002</v>
      </c>
      <c r="F1027" s="14">
        <f>189.7161 * CHOOSE(CONTROL!$C$9, $D$9, 100%, $F$9) + CHOOSE(CONTROL!$C$27, 0.0021, 0)</f>
        <v>189.71820000000002</v>
      </c>
      <c r="G1027" s="14">
        <f>189.9875 * CHOOSE(CONTROL!$C$9, $D$9, 100%, $F$9) + CHOOSE(CONTROL!$C$27, 0.0021, 0)</f>
        <v>189.98960000000002</v>
      </c>
      <c r="H1027" s="14">
        <f>189.8528 * CHOOSE(CONTROL!$C$9, $D$9, 100%, $F$9) + CHOOSE(CONTROL!$C$27, 0.0021, 0)</f>
        <v>189.85490000000001</v>
      </c>
      <c r="I1027" s="14">
        <f>189.8528 * CHOOSE(CONTROL!$C$9, $D$9, 100%, $F$9) + CHOOSE(CONTROL!$C$27, 0.0021, 0)</f>
        <v>189.85490000000001</v>
      </c>
      <c r="J1027" s="14">
        <f>189.8528 * CHOOSE(CONTROL!$C$9, $D$9, 100%, $F$9) + CHOOSE(CONTROL!$C$27, 0.0021, 0)</f>
        <v>189.85490000000001</v>
      </c>
      <c r="K1027" s="14">
        <f>189.8528 * CHOOSE(CONTROL!$C$9, $D$9, 100%, $F$9) + CHOOSE(CONTROL!$C$27, 0.0021, 0)</f>
        <v>189.85490000000001</v>
      </c>
      <c r="L1027" s="14"/>
    </row>
    <row r="1028" spans="1:12" ht="15.75" x14ac:dyDescent="0.25">
      <c r="A1028" s="32">
        <v>72228</v>
      </c>
      <c r="B1028" s="14">
        <f>184.0365 * CHOOSE(CONTROL!$C$9, $D$9, 100%, $F$9) + CHOOSE(CONTROL!$C$27, 0.0021, 0)</f>
        <v>184.0386</v>
      </c>
      <c r="C1028" s="14">
        <f>183.6042 * CHOOSE(CONTROL!$C$9, $D$9, 100%, $F$9) + CHOOSE(CONTROL!$C$27, 0.0021, 0)</f>
        <v>183.6063</v>
      </c>
      <c r="D1028" s="14">
        <f>183.6042 * CHOOSE(CONTROL!$C$9, $D$9, 100%, $F$9) + CHOOSE(CONTROL!$C$27, 0.0021, 0)</f>
        <v>183.6063</v>
      </c>
      <c r="E1028" s="14">
        <f>183.4675 * CHOOSE(CONTROL!$C$9, $D$9, 100%, $F$9) + CHOOSE(CONTROL!$C$27, 0.0021, 0)</f>
        <v>183.46960000000001</v>
      </c>
      <c r="F1028" s="14">
        <f>183.4675 * CHOOSE(CONTROL!$C$9, $D$9, 100%, $F$9) + CHOOSE(CONTROL!$C$27, 0.0021, 0)</f>
        <v>183.46960000000001</v>
      </c>
      <c r="G1028" s="14">
        <f>183.7389 * CHOOSE(CONTROL!$C$9, $D$9, 100%, $F$9) + CHOOSE(CONTROL!$C$27, 0.0021, 0)</f>
        <v>183.74100000000001</v>
      </c>
      <c r="H1028" s="14">
        <f>183.6042 * CHOOSE(CONTROL!$C$9, $D$9, 100%, $F$9) + CHOOSE(CONTROL!$C$27, 0.0021, 0)</f>
        <v>183.6063</v>
      </c>
      <c r="I1028" s="14">
        <f>183.6042 * CHOOSE(CONTROL!$C$9, $D$9, 100%, $F$9) + CHOOSE(CONTROL!$C$27, 0.0021, 0)</f>
        <v>183.6063</v>
      </c>
      <c r="J1028" s="14">
        <f>183.6042 * CHOOSE(CONTROL!$C$9, $D$9, 100%, $F$9) + CHOOSE(CONTROL!$C$27, 0.0021, 0)</f>
        <v>183.6063</v>
      </c>
      <c r="K1028" s="14">
        <f>183.6042 * CHOOSE(CONTROL!$C$9, $D$9, 100%, $F$9) + CHOOSE(CONTROL!$C$27, 0.0021, 0)</f>
        <v>183.6063</v>
      </c>
      <c r="L1028" s="14"/>
    </row>
    <row r="1029" spans="1:12" ht="15.75" x14ac:dyDescent="0.25">
      <c r="A1029" s="32">
        <v>72259</v>
      </c>
      <c r="B1029" s="14">
        <f>177.7516 * CHOOSE(CONTROL!$C$9, $D$9, 100%, $F$9) + CHOOSE(CONTROL!$C$27, 0.0021, 0)</f>
        <v>177.75370000000001</v>
      </c>
      <c r="C1029" s="14">
        <f>177.3193 * CHOOSE(CONTROL!$C$9, $D$9, 100%, $F$9) + CHOOSE(CONTROL!$C$27, 0.0021, 0)</f>
        <v>177.32140000000001</v>
      </c>
      <c r="D1029" s="14">
        <f>177.3193 * CHOOSE(CONTROL!$C$9, $D$9, 100%, $F$9) + CHOOSE(CONTROL!$C$27, 0.0021, 0)</f>
        <v>177.32140000000001</v>
      </c>
      <c r="E1029" s="14">
        <f>177.1827 * CHOOSE(CONTROL!$C$9, $D$9, 100%, $F$9) + CHOOSE(CONTROL!$C$27, 0.0021, 0)</f>
        <v>177.18480000000002</v>
      </c>
      <c r="F1029" s="14">
        <f>177.1827 * CHOOSE(CONTROL!$C$9, $D$9, 100%, $F$9) + CHOOSE(CONTROL!$C$27, 0.0021, 0)</f>
        <v>177.18480000000002</v>
      </c>
      <c r="G1029" s="14">
        <f>177.454 * CHOOSE(CONTROL!$C$9, $D$9, 100%, $F$9) + CHOOSE(CONTROL!$C$27, 0.0021, 0)</f>
        <v>177.45610000000002</v>
      </c>
      <c r="H1029" s="14">
        <f>177.3193 * CHOOSE(CONTROL!$C$9, $D$9, 100%, $F$9) + CHOOSE(CONTROL!$C$27, 0.0021, 0)</f>
        <v>177.32140000000001</v>
      </c>
      <c r="I1029" s="14">
        <f>177.3193 * CHOOSE(CONTROL!$C$9, $D$9, 100%, $F$9) + CHOOSE(CONTROL!$C$27, 0.0021, 0)</f>
        <v>177.32140000000001</v>
      </c>
      <c r="J1029" s="14">
        <f>177.3193 * CHOOSE(CONTROL!$C$9, $D$9, 100%, $F$9) + CHOOSE(CONTROL!$C$27, 0.0021, 0)</f>
        <v>177.32140000000001</v>
      </c>
      <c r="K1029" s="14">
        <f>177.3193 * CHOOSE(CONTROL!$C$9, $D$9, 100%, $F$9) + CHOOSE(CONTROL!$C$27, 0.0021, 0)</f>
        <v>177.32140000000001</v>
      </c>
      <c r="L1029" s="14"/>
    </row>
    <row r="1030" spans="1:12" ht="15.75" x14ac:dyDescent="0.25">
      <c r="A1030" s="32">
        <v>72289</v>
      </c>
      <c r="B1030" s="14">
        <f>176.5014 * CHOOSE(CONTROL!$C$9, $D$9, 100%, $F$9) + CHOOSE(CONTROL!$C$27, 0.0021, 0)</f>
        <v>176.5035</v>
      </c>
      <c r="C1030" s="14">
        <f>176.0691 * CHOOSE(CONTROL!$C$9, $D$9, 100%, $F$9) + CHOOSE(CONTROL!$C$27, 0.0021, 0)</f>
        <v>176.0712</v>
      </c>
      <c r="D1030" s="14">
        <f>176.0691 * CHOOSE(CONTROL!$C$9, $D$9, 100%, $F$9) + CHOOSE(CONTROL!$C$27, 0.0021, 0)</f>
        <v>176.0712</v>
      </c>
      <c r="E1030" s="14">
        <f>175.9325 * CHOOSE(CONTROL!$C$9, $D$9, 100%, $F$9) + CHOOSE(CONTROL!$C$27, 0.0021, 0)</f>
        <v>175.93460000000002</v>
      </c>
      <c r="F1030" s="14">
        <f>175.9325 * CHOOSE(CONTROL!$C$9, $D$9, 100%, $F$9) + CHOOSE(CONTROL!$C$27, 0.0021, 0)</f>
        <v>175.93460000000002</v>
      </c>
      <c r="G1030" s="14">
        <f>176.2038 * CHOOSE(CONTROL!$C$9, $D$9, 100%, $F$9) + CHOOSE(CONTROL!$C$27, 0.0021, 0)</f>
        <v>176.20590000000001</v>
      </c>
      <c r="H1030" s="14">
        <f>176.0691 * CHOOSE(CONTROL!$C$9, $D$9, 100%, $F$9) + CHOOSE(CONTROL!$C$27, 0.0021, 0)</f>
        <v>176.0712</v>
      </c>
      <c r="I1030" s="14">
        <f>176.0691 * CHOOSE(CONTROL!$C$9, $D$9, 100%, $F$9) + CHOOSE(CONTROL!$C$27, 0.0021, 0)</f>
        <v>176.0712</v>
      </c>
      <c r="J1030" s="14">
        <f>176.0691 * CHOOSE(CONTROL!$C$9, $D$9, 100%, $F$9) + CHOOSE(CONTROL!$C$27, 0.0021, 0)</f>
        <v>176.0712</v>
      </c>
      <c r="K1030" s="14">
        <f>176.0691 * CHOOSE(CONTROL!$C$9, $D$9, 100%, $F$9) + CHOOSE(CONTROL!$C$27, 0.0021, 0)</f>
        <v>176.0712</v>
      </c>
      <c r="L1030" s="14"/>
    </row>
    <row r="1031" spans="1:12" ht="15.75" x14ac:dyDescent="0.25">
      <c r="A1031" s="32">
        <v>72320</v>
      </c>
      <c r="B1031" s="14">
        <f>171.3317 * CHOOSE(CONTROL!$C$9, $D$9, 100%, $F$9) + CHOOSE(CONTROL!$C$27, 0.0021, 0)</f>
        <v>171.33380000000002</v>
      </c>
      <c r="C1031" s="14">
        <f>170.8995 * CHOOSE(CONTROL!$C$9, $D$9, 100%, $F$9) + CHOOSE(CONTROL!$C$27, 0.0021, 0)</f>
        <v>170.9016</v>
      </c>
      <c r="D1031" s="14">
        <f>170.8995 * CHOOSE(CONTROL!$C$9, $D$9, 100%, $F$9) + CHOOSE(CONTROL!$C$27, 0.0021, 0)</f>
        <v>170.9016</v>
      </c>
      <c r="E1031" s="14">
        <f>170.7628 * CHOOSE(CONTROL!$C$9, $D$9, 100%, $F$9) + CHOOSE(CONTROL!$C$27, 0.0021, 0)</f>
        <v>170.76490000000001</v>
      </c>
      <c r="F1031" s="14">
        <f>170.7628 * CHOOSE(CONTROL!$C$9, $D$9, 100%, $F$9) + CHOOSE(CONTROL!$C$27, 0.0021, 0)</f>
        <v>170.76490000000001</v>
      </c>
      <c r="G1031" s="14">
        <f>171.0342 * CHOOSE(CONTROL!$C$9, $D$9, 100%, $F$9) + CHOOSE(CONTROL!$C$27, 0.0021, 0)</f>
        <v>171.03630000000001</v>
      </c>
      <c r="H1031" s="14">
        <f>170.8995 * CHOOSE(CONTROL!$C$9, $D$9, 100%, $F$9) + CHOOSE(CONTROL!$C$27, 0.0021, 0)</f>
        <v>170.9016</v>
      </c>
      <c r="I1031" s="14">
        <f>170.8995 * CHOOSE(CONTROL!$C$9, $D$9, 100%, $F$9) + CHOOSE(CONTROL!$C$27, 0.0021, 0)</f>
        <v>170.9016</v>
      </c>
      <c r="J1031" s="14">
        <f>170.8995 * CHOOSE(CONTROL!$C$9, $D$9, 100%, $F$9) + CHOOSE(CONTROL!$C$27, 0.0021, 0)</f>
        <v>170.9016</v>
      </c>
      <c r="K1031" s="14">
        <f>170.8995 * CHOOSE(CONTROL!$C$9, $D$9, 100%, $F$9) + CHOOSE(CONTROL!$C$27, 0.0021, 0)</f>
        <v>170.9016</v>
      </c>
      <c r="L1031" s="14"/>
    </row>
    <row r="1032" spans="1:12" ht="15.75" x14ac:dyDescent="0.25">
      <c r="A1032" s="32">
        <v>72351</v>
      </c>
      <c r="B1032" s="14">
        <f>170.3252 * CHOOSE(CONTROL!$C$9, $D$9, 100%, $F$9) + CHOOSE(CONTROL!$C$27, 0.0021, 0)</f>
        <v>170.32730000000001</v>
      </c>
      <c r="C1032" s="14">
        <f>169.893 * CHOOSE(CONTROL!$C$9, $D$9, 100%, $F$9) + CHOOSE(CONTROL!$C$27, 0.0021, 0)</f>
        <v>169.89510000000001</v>
      </c>
      <c r="D1032" s="14">
        <f>169.893 * CHOOSE(CONTROL!$C$9, $D$9, 100%, $F$9) + CHOOSE(CONTROL!$C$27, 0.0021, 0)</f>
        <v>169.89510000000001</v>
      </c>
      <c r="E1032" s="14">
        <f>169.7563 * CHOOSE(CONTROL!$C$9, $D$9, 100%, $F$9) + CHOOSE(CONTROL!$C$27, 0.0021, 0)</f>
        <v>169.75840000000002</v>
      </c>
      <c r="F1032" s="14">
        <f>169.7563 * CHOOSE(CONTROL!$C$9, $D$9, 100%, $F$9) + CHOOSE(CONTROL!$C$27, 0.0021, 0)</f>
        <v>169.75840000000002</v>
      </c>
      <c r="G1032" s="14">
        <f>170.0277 * CHOOSE(CONTROL!$C$9, $D$9, 100%, $F$9) + CHOOSE(CONTROL!$C$27, 0.0021, 0)</f>
        <v>170.02980000000002</v>
      </c>
      <c r="H1032" s="14">
        <f>169.893 * CHOOSE(CONTROL!$C$9, $D$9, 100%, $F$9) + CHOOSE(CONTROL!$C$27, 0.0021, 0)</f>
        <v>169.89510000000001</v>
      </c>
      <c r="I1032" s="14">
        <f>169.893 * CHOOSE(CONTROL!$C$9, $D$9, 100%, $F$9) + CHOOSE(CONTROL!$C$27, 0.0021, 0)</f>
        <v>169.89510000000001</v>
      </c>
      <c r="J1032" s="14">
        <f>169.893 * CHOOSE(CONTROL!$C$9, $D$9, 100%, $F$9) + CHOOSE(CONTROL!$C$27, 0.0021, 0)</f>
        <v>169.89510000000001</v>
      </c>
      <c r="K1032" s="14">
        <f>169.893 * CHOOSE(CONTROL!$C$9, $D$9, 100%, $F$9) + CHOOSE(CONTROL!$C$27, 0.0021, 0)</f>
        <v>169.89510000000001</v>
      </c>
      <c r="L1032" s="14"/>
    </row>
    <row r="1033" spans="1:12" ht="15.75" x14ac:dyDescent="0.25">
      <c r="A1033" s="32">
        <v>72379</v>
      </c>
      <c r="B1033" s="14">
        <f>169.8581 * CHOOSE(CONTROL!$C$9, $D$9, 100%, $F$9) + CHOOSE(CONTROL!$C$27, 0.0021, 0)</f>
        <v>169.86020000000002</v>
      </c>
      <c r="C1033" s="14">
        <f>169.4259 * CHOOSE(CONTROL!$C$9, $D$9, 100%, $F$9) + CHOOSE(CONTROL!$C$27, 0.0021, 0)</f>
        <v>169.42800000000003</v>
      </c>
      <c r="D1033" s="14">
        <f>169.4259 * CHOOSE(CONTROL!$C$9, $D$9, 100%, $F$9) + CHOOSE(CONTROL!$C$27, 0.0021, 0)</f>
        <v>169.42800000000003</v>
      </c>
      <c r="E1033" s="14">
        <f>169.2892 * CHOOSE(CONTROL!$C$9, $D$9, 100%, $F$9) + CHOOSE(CONTROL!$C$27, 0.0021, 0)</f>
        <v>169.29130000000001</v>
      </c>
      <c r="F1033" s="14">
        <f>169.2892 * CHOOSE(CONTROL!$C$9, $D$9, 100%, $F$9) + CHOOSE(CONTROL!$C$27, 0.0021, 0)</f>
        <v>169.29130000000001</v>
      </c>
      <c r="G1033" s="14">
        <f>169.5606 * CHOOSE(CONTROL!$C$9, $D$9, 100%, $F$9) + CHOOSE(CONTROL!$C$27, 0.0021, 0)</f>
        <v>169.56270000000001</v>
      </c>
      <c r="H1033" s="14">
        <f>169.4259 * CHOOSE(CONTROL!$C$9, $D$9, 100%, $F$9) + CHOOSE(CONTROL!$C$27, 0.0021, 0)</f>
        <v>169.42800000000003</v>
      </c>
      <c r="I1033" s="14">
        <f>169.4259 * CHOOSE(CONTROL!$C$9, $D$9, 100%, $F$9) + CHOOSE(CONTROL!$C$27, 0.0021, 0)</f>
        <v>169.42800000000003</v>
      </c>
      <c r="J1033" s="14">
        <f>169.4259 * CHOOSE(CONTROL!$C$9, $D$9, 100%, $F$9) + CHOOSE(CONTROL!$C$27, 0.0021, 0)</f>
        <v>169.42800000000003</v>
      </c>
      <c r="K1033" s="14">
        <f>169.4259 * CHOOSE(CONTROL!$C$9, $D$9, 100%, $F$9) + CHOOSE(CONTROL!$C$27, 0.0021, 0)</f>
        <v>169.42800000000003</v>
      </c>
      <c r="L1033" s="14"/>
    </row>
    <row r="1034" spans="1:12" ht="15.75" x14ac:dyDescent="0.25">
      <c r="A1034" s="32">
        <v>72410</v>
      </c>
      <c r="B1034" s="14">
        <f>178.6898 * CHOOSE(CONTROL!$C$9, $D$9, 100%, $F$9) + CHOOSE(CONTROL!$C$27, 0.0021, 0)</f>
        <v>178.6919</v>
      </c>
      <c r="C1034" s="14">
        <f>178.2576 * CHOOSE(CONTROL!$C$9, $D$9, 100%, $F$9) + CHOOSE(CONTROL!$C$27, 0.0021, 0)</f>
        <v>178.25970000000001</v>
      </c>
      <c r="D1034" s="14">
        <f>178.2576 * CHOOSE(CONTROL!$C$9, $D$9, 100%, $F$9) + CHOOSE(CONTROL!$C$27, 0.0021, 0)</f>
        <v>178.25970000000001</v>
      </c>
      <c r="E1034" s="14">
        <f>178.1209 * CHOOSE(CONTROL!$C$9, $D$9, 100%, $F$9) + CHOOSE(CONTROL!$C$27, 0.0021, 0)</f>
        <v>178.12300000000002</v>
      </c>
      <c r="F1034" s="14">
        <f>178.1209 * CHOOSE(CONTROL!$C$9, $D$9, 100%, $F$9) + CHOOSE(CONTROL!$C$27, 0.0021, 0)</f>
        <v>178.12300000000002</v>
      </c>
      <c r="G1034" s="14">
        <f>178.3923 * CHOOSE(CONTROL!$C$9, $D$9, 100%, $F$9) + CHOOSE(CONTROL!$C$27, 0.0021, 0)</f>
        <v>178.39440000000002</v>
      </c>
      <c r="H1034" s="14">
        <f>178.2576 * CHOOSE(CONTROL!$C$9, $D$9, 100%, $F$9) + CHOOSE(CONTROL!$C$27, 0.0021, 0)</f>
        <v>178.25970000000001</v>
      </c>
      <c r="I1034" s="14">
        <f>178.2576 * CHOOSE(CONTROL!$C$9, $D$9, 100%, $F$9) + CHOOSE(CONTROL!$C$27, 0.0021, 0)</f>
        <v>178.25970000000001</v>
      </c>
      <c r="J1034" s="14">
        <f>178.2576 * CHOOSE(CONTROL!$C$9, $D$9, 100%, $F$9) + CHOOSE(CONTROL!$C$27, 0.0021, 0)</f>
        <v>178.25970000000001</v>
      </c>
      <c r="K1034" s="14">
        <f>178.2576 * CHOOSE(CONTROL!$C$9, $D$9, 100%, $F$9) + CHOOSE(CONTROL!$C$27, 0.0021, 0)</f>
        <v>178.25970000000001</v>
      </c>
      <c r="L1034" s="14"/>
    </row>
    <row r="1035" spans="1:12" ht="15.75" x14ac:dyDescent="0.25">
      <c r="A1035" s="32">
        <v>72440</v>
      </c>
      <c r="B1035" s="14">
        <f>190.1424 * CHOOSE(CONTROL!$C$9, $D$9, 100%, $F$9) + CHOOSE(CONTROL!$C$27, 0.0021, 0)</f>
        <v>190.14450000000002</v>
      </c>
      <c r="C1035" s="14">
        <f>189.7102 * CHOOSE(CONTROL!$C$9, $D$9, 100%, $F$9) + CHOOSE(CONTROL!$C$27, 0.0021, 0)</f>
        <v>189.7123</v>
      </c>
      <c r="D1035" s="14">
        <f>189.7102 * CHOOSE(CONTROL!$C$9, $D$9, 100%, $F$9) + CHOOSE(CONTROL!$C$27, 0.0021, 0)</f>
        <v>189.7123</v>
      </c>
      <c r="E1035" s="14">
        <f>189.5735 * CHOOSE(CONTROL!$C$9, $D$9, 100%, $F$9) + CHOOSE(CONTROL!$C$27, 0.0021, 0)</f>
        <v>189.57560000000001</v>
      </c>
      <c r="F1035" s="14">
        <f>189.5735 * CHOOSE(CONTROL!$C$9, $D$9, 100%, $F$9) + CHOOSE(CONTROL!$C$27, 0.0021, 0)</f>
        <v>189.57560000000001</v>
      </c>
      <c r="G1035" s="14">
        <f>189.8449 * CHOOSE(CONTROL!$C$9, $D$9, 100%, $F$9) + CHOOSE(CONTROL!$C$27, 0.0021, 0)</f>
        <v>189.84700000000001</v>
      </c>
      <c r="H1035" s="14">
        <f>189.7102 * CHOOSE(CONTROL!$C$9, $D$9, 100%, $F$9) + CHOOSE(CONTROL!$C$27, 0.0021, 0)</f>
        <v>189.7123</v>
      </c>
      <c r="I1035" s="14">
        <f>189.7102 * CHOOSE(CONTROL!$C$9, $D$9, 100%, $F$9) + CHOOSE(CONTROL!$C$27, 0.0021, 0)</f>
        <v>189.7123</v>
      </c>
      <c r="J1035" s="14">
        <f>189.7102 * CHOOSE(CONTROL!$C$9, $D$9, 100%, $F$9) + CHOOSE(CONTROL!$C$27, 0.0021, 0)</f>
        <v>189.7123</v>
      </c>
      <c r="K1035" s="14">
        <f>189.7102 * CHOOSE(CONTROL!$C$9, $D$9, 100%, $F$9) + CHOOSE(CONTROL!$C$27, 0.0021, 0)</f>
        <v>189.7123</v>
      </c>
      <c r="L1035" s="14"/>
    </row>
    <row r="1036" spans="1:12" ht="15.75" x14ac:dyDescent="0.25">
      <c r="A1036" s="32">
        <v>72471</v>
      </c>
      <c r="B1036" s="14">
        <f>196.4463 * CHOOSE(CONTROL!$C$9, $D$9, 100%, $F$9) + CHOOSE(CONTROL!$C$27, 0.0021, 0)</f>
        <v>196.44840000000002</v>
      </c>
      <c r="C1036" s="14">
        <f>196.014 * CHOOSE(CONTROL!$C$9, $D$9, 100%, $F$9) + CHOOSE(CONTROL!$C$27, 0.0021, 0)</f>
        <v>196.01610000000002</v>
      </c>
      <c r="D1036" s="14">
        <f>196.014 * CHOOSE(CONTROL!$C$9, $D$9, 100%, $F$9) + CHOOSE(CONTROL!$C$27, 0.0021, 0)</f>
        <v>196.01610000000002</v>
      </c>
      <c r="E1036" s="14">
        <f>195.8774 * CHOOSE(CONTROL!$C$9, $D$9, 100%, $F$9) + CHOOSE(CONTROL!$C$27, 0.0021, 0)</f>
        <v>195.87950000000001</v>
      </c>
      <c r="F1036" s="14">
        <f>195.8774 * CHOOSE(CONTROL!$C$9, $D$9, 100%, $F$9) + CHOOSE(CONTROL!$C$27, 0.0021, 0)</f>
        <v>195.87950000000001</v>
      </c>
      <c r="G1036" s="14">
        <f>196.1488 * CHOOSE(CONTROL!$C$9, $D$9, 100%, $F$9) + CHOOSE(CONTROL!$C$27, 0.0021, 0)</f>
        <v>196.15090000000001</v>
      </c>
      <c r="H1036" s="14">
        <f>196.014 * CHOOSE(CONTROL!$C$9, $D$9, 100%, $F$9) + CHOOSE(CONTROL!$C$27, 0.0021, 0)</f>
        <v>196.01610000000002</v>
      </c>
      <c r="I1036" s="14">
        <f>196.014 * CHOOSE(CONTROL!$C$9, $D$9, 100%, $F$9) + CHOOSE(CONTROL!$C$27, 0.0021, 0)</f>
        <v>196.01610000000002</v>
      </c>
      <c r="J1036" s="14">
        <f>196.014 * CHOOSE(CONTROL!$C$9, $D$9, 100%, $F$9) + CHOOSE(CONTROL!$C$27, 0.0021, 0)</f>
        <v>196.01610000000002</v>
      </c>
      <c r="K1036" s="14">
        <f>196.014 * CHOOSE(CONTROL!$C$9, $D$9, 100%, $F$9) + CHOOSE(CONTROL!$C$27, 0.0021, 0)</f>
        <v>196.01610000000002</v>
      </c>
      <c r="L1036" s="14"/>
    </row>
    <row r="1037" spans="1:12" ht="15.75" x14ac:dyDescent="0.25">
      <c r="A1037" s="32">
        <v>72501</v>
      </c>
      <c r="B1037" s="14">
        <f>199.2438 * CHOOSE(CONTROL!$C$9, $D$9, 100%, $F$9) + CHOOSE(CONTROL!$C$27, 0.0021, 0)</f>
        <v>199.24590000000001</v>
      </c>
      <c r="C1037" s="14">
        <f>198.8116 * CHOOSE(CONTROL!$C$9, $D$9, 100%, $F$9) + CHOOSE(CONTROL!$C$27, 0.0021, 0)</f>
        <v>198.81370000000001</v>
      </c>
      <c r="D1037" s="14">
        <f>198.8116 * CHOOSE(CONTROL!$C$9, $D$9, 100%, $F$9) + CHOOSE(CONTROL!$C$27, 0.0021, 0)</f>
        <v>198.81370000000001</v>
      </c>
      <c r="E1037" s="14">
        <f>198.6749 * CHOOSE(CONTROL!$C$9, $D$9, 100%, $F$9) + CHOOSE(CONTROL!$C$27, 0.0021, 0)</f>
        <v>198.67700000000002</v>
      </c>
      <c r="F1037" s="14">
        <f>198.6749 * CHOOSE(CONTROL!$C$9, $D$9, 100%, $F$9) + CHOOSE(CONTROL!$C$27, 0.0021, 0)</f>
        <v>198.67700000000002</v>
      </c>
      <c r="G1037" s="14">
        <f>198.9463 * CHOOSE(CONTROL!$C$9, $D$9, 100%, $F$9) + CHOOSE(CONTROL!$C$27, 0.0021, 0)</f>
        <v>198.94840000000002</v>
      </c>
      <c r="H1037" s="14">
        <f>198.8116 * CHOOSE(CONTROL!$C$9, $D$9, 100%, $F$9) + CHOOSE(CONTROL!$C$27, 0.0021, 0)</f>
        <v>198.81370000000001</v>
      </c>
      <c r="I1037" s="14">
        <f>198.8116 * CHOOSE(CONTROL!$C$9, $D$9, 100%, $F$9) + CHOOSE(CONTROL!$C$27, 0.0021, 0)</f>
        <v>198.81370000000001</v>
      </c>
      <c r="J1037" s="14">
        <f>198.8116 * CHOOSE(CONTROL!$C$9, $D$9, 100%, $F$9) + CHOOSE(CONTROL!$C$27, 0.0021, 0)</f>
        <v>198.81370000000001</v>
      </c>
      <c r="K1037" s="14">
        <f>198.8116 * CHOOSE(CONTROL!$C$9, $D$9, 100%, $F$9) + CHOOSE(CONTROL!$C$27, 0.0021, 0)</f>
        <v>198.81370000000001</v>
      </c>
      <c r="L1037" s="14"/>
    </row>
    <row r="1038" spans="1:12" ht="15.75" x14ac:dyDescent="0.25">
      <c r="A1038" s="32">
        <v>72532</v>
      </c>
      <c r="B1038" s="14">
        <f>198.3228 * CHOOSE(CONTROL!$C$9, $D$9, 100%, $F$9) + CHOOSE(CONTROL!$C$27, 0.0021, 0)</f>
        <v>198.32490000000001</v>
      </c>
      <c r="C1038" s="14">
        <f>197.8905 * CHOOSE(CONTROL!$C$9, $D$9, 100%, $F$9) + CHOOSE(CONTROL!$C$27, 0.0021, 0)</f>
        <v>197.89260000000002</v>
      </c>
      <c r="D1038" s="14">
        <f>197.8905 * CHOOSE(CONTROL!$C$9, $D$9, 100%, $F$9) + CHOOSE(CONTROL!$C$27, 0.0021, 0)</f>
        <v>197.89260000000002</v>
      </c>
      <c r="E1038" s="14">
        <f>197.7539 * CHOOSE(CONTROL!$C$9, $D$9, 100%, $F$9) + CHOOSE(CONTROL!$C$27, 0.0021, 0)</f>
        <v>197.756</v>
      </c>
      <c r="F1038" s="14">
        <f>197.7539 * CHOOSE(CONTROL!$C$9, $D$9, 100%, $F$9) + CHOOSE(CONTROL!$C$27, 0.0021, 0)</f>
        <v>197.756</v>
      </c>
      <c r="G1038" s="14">
        <f>198.0252 * CHOOSE(CONTROL!$C$9, $D$9, 100%, $F$9) + CHOOSE(CONTROL!$C$27, 0.0021, 0)</f>
        <v>198.02730000000003</v>
      </c>
      <c r="H1038" s="14">
        <f>197.8905 * CHOOSE(CONTROL!$C$9, $D$9, 100%, $F$9) + CHOOSE(CONTROL!$C$27, 0.0021, 0)</f>
        <v>197.89260000000002</v>
      </c>
      <c r="I1038" s="14">
        <f>197.8905 * CHOOSE(CONTROL!$C$9, $D$9, 100%, $F$9) + CHOOSE(CONTROL!$C$27, 0.0021, 0)</f>
        <v>197.89260000000002</v>
      </c>
      <c r="J1038" s="14">
        <f>197.8905 * CHOOSE(CONTROL!$C$9, $D$9, 100%, $F$9) + CHOOSE(CONTROL!$C$27, 0.0021, 0)</f>
        <v>197.89260000000002</v>
      </c>
      <c r="K1038" s="14">
        <f>197.8905 * CHOOSE(CONTROL!$C$9, $D$9, 100%, $F$9) + CHOOSE(CONTROL!$C$27, 0.0021, 0)</f>
        <v>197.89260000000002</v>
      </c>
      <c r="L1038" s="14"/>
    </row>
    <row r="1039" spans="1:12" ht="15.75" x14ac:dyDescent="0.25">
      <c r="A1039" s="32">
        <v>72563</v>
      </c>
      <c r="B1039" s="14">
        <f>193.7593 * CHOOSE(CONTROL!$C$9, $D$9, 100%, $F$9) + CHOOSE(CONTROL!$C$27, 0.0021, 0)</f>
        <v>193.76140000000001</v>
      </c>
      <c r="C1039" s="14">
        <f>193.327 * CHOOSE(CONTROL!$C$9, $D$9, 100%, $F$9) + CHOOSE(CONTROL!$C$27, 0.0021, 0)</f>
        <v>193.32910000000001</v>
      </c>
      <c r="D1039" s="14">
        <f>193.327 * CHOOSE(CONTROL!$C$9, $D$9, 100%, $F$9) + CHOOSE(CONTROL!$C$27, 0.0021, 0)</f>
        <v>193.32910000000001</v>
      </c>
      <c r="E1039" s="14">
        <f>193.1903 * CHOOSE(CONTROL!$C$9, $D$9, 100%, $F$9) + CHOOSE(CONTROL!$C$27, 0.0021, 0)</f>
        <v>193.19240000000002</v>
      </c>
      <c r="F1039" s="14">
        <f>193.1903 * CHOOSE(CONTROL!$C$9, $D$9, 100%, $F$9) + CHOOSE(CONTROL!$C$27, 0.0021, 0)</f>
        <v>193.19240000000002</v>
      </c>
      <c r="G1039" s="14">
        <f>193.4617 * CHOOSE(CONTROL!$C$9, $D$9, 100%, $F$9) + CHOOSE(CONTROL!$C$27, 0.0021, 0)</f>
        <v>193.46380000000002</v>
      </c>
      <c r="H1039" s="14">
        <f>193.327 * CHOOSE(CONTROL!$C$9, $D$9, 100%, $F$9) + CHOOSE(CONTROL!$C$27, 0.0021, 0)</f>
        <v>193.32910000000001</v>
      </c>
      <c r="I1039" s="14">
        <f>193.327 * CHOOSE(CONTROL!$C$9, $D$9, 100%, $F$9) + CHOOSE(CONTROL!$C$27, 0.0021, 0)</f>
        <v>193.32910000000001</v>
      </c>
      <c r="J1039" s="14">
        <f>193.327 * CHOOSE(CONTROL!$C$9, $D$9, 100%, $F$9) + CHOOSE(CONTROL!$C$27, 0.0021, 0)</f>
        <v>193.32910000000001</v>
      </c>
      <c r="K1039" s="14">
        <f>193.327 * CHOOSE(CONTROL!$C$9, $D$9, 100%, $F$9) + CHOOSE(CONTROL!$C$27, 0.0021, 0)</f>
        <v>193.32910000000001</v>
      </c>
      <c r="L1039" s="14"/>
    </row>
    <row r="1040" spans="1:12" ht="15.75" x14ac:dyDescent="0.25">
      <c r="A1040" s="32">
        <v>72593</v>
      </c>
      <c r="B1040" s="14">
        <f>187.3952 * CHOOSE(CONTROL!$C$9, $D$9, 100%, $F$9) + CHOOSE(CONTROL!$C$27, 0.0021, 0)</f>
        <v>187.3973</v>
      </c>
      <c r="C1040" s="14">
        <f>186.963 * CHOOSE(CONTROL!$C$9, $D$9, 100%, $F$9) + CHOOSE(CONTROL!$C$27, 0.0021, 0)</f>
        <v>186.96510000000001</v>
      </c>
      <c r="D1040" s="14">
        <f>186.963 * CHOOSE(CONTROL!$C$9, $D$9, 100%, $F$9) + CHOOSE(CONTROL!$C$27, 0.0021, 0)</f>
        <v>186.96510000000001</v>
      </c>
      <c r="E1040" s="14">
        <f>186.8263 * CHOOSE(CONTROL!$C$9, $D$9, 100%, $F$9) + CHOOSE(CONTROL!$C$27, 0.0021, 0)</f>
        <v>186.82840000000002</v>
      </c>
      <c r="F1040" s="14">
        <f>186.8263 * CHOOSE(CONTROL!$C$9, $D$9, 100%, $F$9) + CHOOSE(CONTROL!$C$27, 0.0021, 0)</f>
        <v>186.82840000000002</v>
      </c>
      <c r="G1040" s="14">
        <f>187.0977 * CHOOSE(CONTROL!$C$9, $D$9, 100%, $F$9) + CHOOSE(CONTROL!$C$27, 0.0021, 0)</f>
        <v>187.09980000000002</v>
      </c>
      <c r="H1040" s="14">
        <f>186.963 * CHOOSE(CONTROL!$C$9, $D$9, 100%, $F$9) + CHOOSE(CONTROL!$C$27, 0.0021, 0)</f>
        <v>186.96510000000001</v>
      </c>
      <c r="I1040" s="14">
        <f>186.963 * CHOOSE(CONTROL!$C$9, $D$9, 100%, $F$9) + CHOOSE(CONTROL!$C$27, 0.0021, 0)</f>
        <v>186.96510000000001</v>
      </c>
      <c r="J1040" s="14">
        <f>186.963 * CHOOSE(CONTROL!$C$9, $D$9, 100%, $F$9) + CHOOSE(CONTROL!$C$27, 0.0021, 0)</f>
        <v>186.96510000000001</v>
      </c>
      <c r="K1040" s="14">
        <f>186.963 * CHOOSE(CONTROL!$C$9, $D$9, 100%, $F$9) + CHOOSE(CONTROL!$C$27, 0.0021, 0)</f>
        <v>186.96510000000001</v>
      </c>
      <c r="L1040" s="14"/>
    </row>
    <row r="1041" spans="1:12" ht="15.75" x14ac:dyDescent="0.25">
      <c r="A1041" s="32">
        <v>72624</v>
      </c>
      <c r="B1041" s="14">
        <f>180.9942 * CHOOSE(CONTROL!$C$9, $D$9, 100%, $F$9) + CHOOSE(CONTROL!$C$27, 0.0021, 0)</f>
        <v>180.99630000000002</v>
      </c>
      <c r="C1041" s="14">
        <f>180.5619 * CHOOSE(CONTROL!$C$9, $D$9, 100%, $F$9) + CHOOSE(CONTROL!$C$27, 0.0021, 0)</f>
        <v>180.56400000000002</v>
      </c>
      <c r="D1041" s="14">
        <f>180.5619 * CHOOSE(CONTROL!$C$9, $D$9, 100%, $F$9) + CHOOSE(CONTROL!$C$27, 0.0021, 0)</f>
        <v>180.56400000000002</v>
      </c>
      <c r="E1041" s="14">
        <f>180.4253 * CHOOSE(CONTROL!$C$9, $D$9, 100%, $F$9) + CHOOSE(CONTROL!$C$27, 0.0021, 0)</f>
        <v>180.42740000000001</v>
      </c>
      <c r="F1041" s="14">
        <f>180.4253 * CHOOSE(CONTROL!$C$9, $D$9, 100%, $F$9) + CHOOSE(CONTROL!$C$27, 0.0021, 0)</f>
        <v>180.42740000000001</v>
      </c>
      <c r="G1041" s="14">
        <f>180.6966 * CHOOSE(CONTROL!$C$9, $D$9, 100%, $F$9) + CHOOSE(CONTROL!$C$27, 0.0021, 0)</f>
        <v>180.6987</v>
      </c>
      <c r="H1041" s="14">
        <f>180.5619 * CHOOSE(CONTROL!$C$9, $D$9, 100%, $F$9) + CHOOSE(CONTROL!$C$27, 0.0021, 0)</f>
        <v>180.56400000000002</v>
      </c>
      <c r="I1041" s="14">
        <f>180.5619 * CHOOSE(CONTROL!$C$9, $D$9, 100%, $F$9) + CHOOSE(CONTROL!$C$27, 0.0021, 0)</f>
        <v>180.56400000000002</v>
      </c>
      <c r="J1041" s="14">
        <f>180.5619 * CHOOSE(CONTROL!$C$9, $D$9, 100%, $F$9) + CHOOSE(CONTROL!$C$27, 0.0021, 0)</f>
        <v>180.56400000000002</v>
      </c>
      <c r="K1041" s="14">
        <f>180.5619 * CHOOSE(CONTROL!$C$9, $D$9, 100%, $F$9) + CHOOSE(CONTROL!$C$27, 0.0021, 0)</f>
        <v>180.56400000000002</v>
      </c>
      <c r="L1041" s="14"/>
    </row>
    <row r="1042" spans="1:12" ht="15.75" x14ac:dyDescent="0.25">
      <c r="A1042" s="32">
        <v>72654</v>
      </c>
      <c r="B1042" s="14">
        <f>179.7209 * CHOOSE(CONTROL!$C$9, $D$9, 100%, $F$9) + CHOOSE(CONTROL!$C$27, 0.0021, 0)</f>
        <v>179.72300000000001</v>
      </c>
      <c r="C1042" s="14">
        <f>179.2886 * CHOOSE(CONTROL!$C$9, $D$9, 100%, $F$9) + CHOOSE(CONTROL!$C$27, 0.0021, 0)</f>
        <v>179.29070000000002</v>
      </c>
      <c r="D1042" s="14">
        <f>179.2886 * CHOOSE(CONTROL!$C$9, $D$9, 100%, $F$9) + CHOOSE(CONTROL!$C$27, 0.0021, 0)</f>
        <v>179.29070000000002</v>
      </c>
      <c r="E1042" s="14">
        <f>179.152 * CHOOSE(CONTROL!$C$9, $D$9, 100%, $F$9) + CHOOSE(CONTROL!$C$27, 0.0021, 0)</f>
        <v>179.1541</v>
      </c>
      <c r="F1042" s="14">
        <f>179.152 * CHOOSE(CONTROL!$C$9, $D$9, 100%, $F$9) + CHOOSE(CONTROL!$C$27, 0.0021, 0)</f>
        <v>179.1541</v>
      </c>
      <c r="G1042" s="14">
        <f>179.4233 * CHOOSE(CONTROL!$C$9, $D$9, 100%, $F$9) + CHOOSE(CONTROL!$C$27, 0.0021, 0)</f>
        <v>179.42540000000002</v>
      </c>
      <c r="H1042" s="14">
        <f>179.2886 * CHOOSE(CONTROL!$C$9, $D$9, 100%, $F$9) + CHOOSE(CONTROL!$C$27, 0.0021, 0)</f>
        <v>179.29070000000002</v>
      </c>
      <c r="I1042" s="14">
        <f>179.2886 * CHOOSE(CONTROL!$C$9, $D$9, 100%, $F$9) + CHOOSE(CONTROL!$C$27, 0.0021, 0)</f>
        <v>179.29070000000002</v>
      </c>
      <c r="J1042" s="14">
        <f>179.2886 * CHOOSE(CONTROL!$C$9, $D$9, 100%, $F$9) + CHOOSE(CONTROL!$C$27, 0.0021, 0)</f>
        <v>179.29070000000002</v>
      </c>
      <c r="K1042" s="14">
        <f>179.2886 * CHOOSE(CONTROL!$C$9, $D$9, 100%, $F$9) + CHOOSE(CONTROL!$C$27, 0.0021, 0)</f>
        <v>179.29070000000002</v>
      </c>
      <c r="L1042" s="14"/>
    </row>
    <row r="1043" spans="1:12" ht="15.75" x14ac:dyDescent="0.25">
      <c r="A1043" s="32">
        <v>72685</v>
      </c>
      <c r="B1043" s="14">
        <f>174.4557 * CHOOSE(CONTROL!$C$9, $D$9, 100%, $F$9) + CHOOSE(CONTROL!$C$27, 0.0021, 0)</f>
        <v>174.45780000000002</v>
      </c>
      <c r="C1043" s="14">
        <f>174.0234 * CHOOSE(CONTROL!$C$9, $D$9, 100%, $F$9) + CHOOSE(CONTROL!$C$27, 0.0021, 0)</f>
        <v>174.02550000000002</v>
      </c>
      <c r="D1043" s="14">
        <f>174.0234 * CHOOSE(CONTROL!$C$9, $D$9, 100%, $F$9) + CHOOSE(CONTROL!$C$27, 0.0021, 0)</f>
        <v>174.02550000000002</v>
      </c>
      <c r="E1043" s="14">
        <f>173.8868 * CHOOSE(CONTROL!$C$9, $D$9, 100%, $F$9) + CHOOSE(CONTROL!$C$27, 0.0021, 0)</f>
        <v>173.88890000000001</v>
      </c>
      <c r="F1043" s="14">
        <f>173.8868 * CHOOSE(CONTROL!$C$9, $D$9, 100%, $F$9) + CHOOSE(CONTROL!$C$27, 0.0021, 0)</f>
        <v>173.88890000000001</v>
      </c>
      <c r="G1043" s="14">
        <f>174.1581 * CHOOSE(CONTROL!$C$9, $D$9, 100%, $F$9) + CHOOSE(CONTROL!$C$27, 0.0021, 0)</f>
        <v>174.1602</v>
      </c>
      <c r="H1043" s="14">
        <f>174.0234 * CHOOSE(CONTROL!$C$9, $D$9, 100%, $F$9) + CHOOSE(CONTROL!$C$27, 0.0021, 0)</f>
        <v>174.02550000000002</v>
      </c>
      <c r="I1043" s="14">
        <f>174.0234 * CHOOSE(CONTROL!$C$9, $D$9, 100%, $F$9) + CHOOSE(CONTROL!$C$27, 0.0021, 0)</f>
        <v>174.02550000000002</v>
      </c>
      <c r="J1043" s="14">
        <f>174.0234 * CHOOSE(CONTROL!$C$9, $D$9, 100%, $F$9) + CHOOSE(CONTROL!$C$27, 0.0021, 0)</f>
        <v>174.02550000000002</v>
      </c>
      <c r="K1043" s="14">
        <f>174.0234 * CHOOSE(CONTROL!$C$9, $D$9, 100%, $F$9) + CHOOSE(CONTROL!$C$27, 0.0021, 0)</f>
        <v>174.02550000000002</v>
      </c>
      <c r="L1043" s="14"/>
    </row>
    <row r="1044" spans="1:12" ht="15.75" x14ac:dyDescent="0.25">
      <c r="A1044" s="32">
        <v>72716</v>
      </c>
      <c r="B1044" s="14">
        <f>173.4306 * CHOOSE(CONTROL!$C$9, $D$9, 100%, $F$9) + CHOOSE(CONTROL!$C$27, 0.0021, 0)</f>
        <v>173.43270000000001</v>
      </c>
      <c r="C1044" s="14">
        <f>172.9983 * CHOOSE(CONTROL!$C$9, $D$9, 100%, $F$9) + CHOOSE(CONTROL!$C$27, 0.0021, 0)</f>
        <v>173.00040000000001</v>
      </c>
      <c r="D1044" s="14">
        <f>172.9983 * CHOOSE(CONTROL!$C$9, $D$9, 100%, $F$9) + CHOOSE(CONTROL!$C$27, 0.0021, 0)</f>
        <v>173.00040000000001</v>
      </c>
      <c r="E1044" s="14">
        <f>172.8617 * CHOOSE(CONTROL!$C$9, $D$9, 100%, $F$9) + CHOOSE(CONTROL!$C$27, 0.0021, 0)</f>
        <v>172.86380000000003</v>
      </c>
      <c r="F1044" s="14">
        <f>172.8617 * CHOOSE(CONTROL!$C$9, $D$9, 100%, $F$9) + CHOOSE(CONTROL!$C$27, 0.0021, 0)</f>
        <v>172.86380000000003</v>
      </c>
      <c r="G1044" s="14">
        <f>173.1331 * CHOOSE(CONTROL!$C$9, $D$9, 100%, $F$9) + CHOOSE(CONTROL!$C$27, 0.0021, 0)</f>
        <v>173.13520000000003</v>
      </c>
      <c r="H1044" s="14">
        <f>172.9983 * CHOOSE(CONTROL!$C$9, $D$9, 100%, $F$9) + CHOOSE(CONTROL!$C$27, 0.0021, 0)</f>
        <v>173.00040000000001</v>
      </c>
      <c r="I1044" s="14">
        <f>172.9983 * CHOOSE(CONTROL!$C$9, $D$9, 100%, $F$9) + CHOOSE(CONTROL!$C$27, 0.0021, 0)</f>
        <v>173.00040000000001</v>
      </c>
      <c r="J1044" s="14">
        <f>172.9983 * CHOOSE(CONTROL!$C$9, $D$9, 100%, $F$9) + CHOOSE(CONTROL!$C$27, 0.0021, 0)</f>
        <v>173.00040000000001</v>
      </c>
      <c r="K1044" s="14">
        <f>172.9983 * CHOOSE(CONTROL!$C$9, $D$9, 100%, $F$9) + CHOOSE(CONTROL!$C$27, 0.0021, 0)</f>
        <v>173.00040000000001</v>
      </c>
      <c r="L1044" s="14"/>
    </row>
    <row r="1045" spans="1:12" ht="15.75" x14ac:dyDescent="0.25">
      <c r="A1045" s="32">
        <v>72744</v>
      </c>
      <c r="B1045" s="14">
        <f>172.9549 * CHOOSE(CONTROL!$C$9, $D$9, 100%, $F$9) + CHOOSE(CONTROL!$C$27, 0.0021, 0)</f>
        <v>172.95700000000002</v>
      </c>
      <c r="C1045" s="14">
        <f>172.5226 * CHOOSE(CONTROL!$C$9, $D$9, 100%, $F$9) + CHOOSE(CONTROL!$C$27, 0.0021, 0)</f>
        <v>172.52470000000002</v>
      </c>
      <c r="D1045" s="14">
        <f>172.5226 * CHOOSE(CONTROL!$C$9, $D$9, 100%, $F$9) + CHOOSE(CONTROL!$C$27, 0.0021, 0)</f>
        <v>172.52470000000002</v>
      </c>
      <c r="E1045" s="14">
        <f>172.386 * CHOOSE(CONTROL!$C$9, $D$9, 100%, $F$9) + CHOOSE(CONTROL!$C$27, 0.0021, 0)</f>
        <v>172.38810000000001</v>
      </c>
      <c r="F1045" s="14">
        <f>172.386 * CHOOSE(CONTROL!$C$9, $D$9, 100%, $F$9) + CHOOSE(CONTROL!$C$27, 0.0021, 0)</f>
        <v>172.38810000000001</v>
      </c>
      <c r="G1045" s="14">
        <f>172.6574 * CHOOSE(CONTROL!$C$9, $D$9, 100%, $F$9) + CHOOSE(CONTROL!$C$27, 0.0021, 0)</f>
        <v>172.65950000000001</v>
      </c>
      <c r="H1045" s="14">
        <f>172.5226 * CHOOSE(CONTROL!$C$9, $D$9, 100%, $F$9) + CHOOSE(CONTROL!$C$27, 0.0021, 0)</f>
        <v>172.52470000000002</v>
      </c>
      <c r="I1045" s="14">
        <f>172.5226 * CHOOSE(CONTROL!$C$9, $D$9, 100%, $F$9) + CHOOSE(CONTROL!$C$27, 0.0021, 0)</f>
        <v>172.52470000000002</v>
      </c>
      <c r="J1045" s="14">
        <f>172.5226 * CHOOSE(CONTROL!$C$9, $D$9, 100%, $F$9) + CHOOSE(CONTROL!$C$27, 0.0021, 0)</f>
        <v>172.52470000000002</v>
      </c>
      <c r="K1045" s="14">
        <f>172.5226 * CHOOSE(CONTROL!$C$9, $D$9, 100%, $F$9) + CHOOSE(CONTROL!$C$27, 0.0021, 0)</f>
        <v>172.52470000000002</v>
      </c>
      <c r="L1045" s="14"/>
    </row>
    <row r="1046" spans="1:12" ht="15.75" x14ac:dyDescent="0.25">
      <c r="A1046" s="32">
        <v>72775</v>
      </c>
      <c r="B1046" s="14">
        <f>181.9498 * CHOOSE(CONTROL!$C$9, $D$9, 100%, $F$9) + CHOOSE(CONTROL!$C$27, 0.0021, 0)</f>
        <v>181.95190000000002</v>
      </c>
      <c r="C1046" s="14">
        <f>181.5175 * CHOOSE(CONTROL!$C$9, $D$9, 100%, $F$9) + CHOOSE(CONTROL!$C$27, 0.0021, 0)</f>
        <v>181.51960000000003</v>
      </c>
      <c r="D1046" s="14">
        <f>181.5175 * CHOOSE(CONTROL!$C$9, $D$9, 100%, $F$9) + CHOOSE(CONTROL!$C$27, 0.0021, 0)</f>
        <v>181.51960000000003</v>
      </c>
      <c r="E1046" s="14">
        <f>181.3809 * CHOOSE(CONTROL!$C$9, $D$9, 100%, $F$9) + CHOOSE(CONTROL!$C$27, 0.0021, 0)</f>
        <v>181.38300000000001</v>
      </c>
      <c r="F1046" s="14">
        <f>181.3809 * CHOOSE(CONTROL!$C$9, $D$9, 100%, $F$9) + CHOOSE(CONTROL!$C$27, 0.0021, 0)</f>
        <v>181.38300000000001</v>
      </c>
      <c r="G1046" s="14">
        <f>181.6523 * CHOOSE(CONTROL!$C$9, $D$9, 100%, $F$9) + CHOOSE(CONTROL!$C$27, 0.0021, 0)</f>
        <v>181.65440000000001</v>
      </c>
      <c r="H1046" s="14">
        <f>181.5175 * CHOOSE(CONTROL!$C$9, $D$9, 100%, $F$9) + CHOOSE(CONTROL!$C$27, 0.0021, 0)</f>
        <v>181.51960000000003</v>
      </c>
      <c r="I1046" s="14">
        <f>181.5175 * CHOOSE(CONTROL!$C$9, $D$9, 100%, $F$9) + CHOOSE(CONTROL!$C$27, 0.0021, 0)</f>
        <v>181.51960000000003</v>
      </c>
      <c r="J1046" s="14">
        <f>181.5175 * CHOOSE(CONTROL!$C$9, $D$9, 100%, $F$9) + CHOOSE(CONTROL!$C$27, 0.0021, 0)</f>
        <v>181.51960000000003</v>
      </c>
      <c r="K1046" s="14">
        <f>181.5175 * CHOOSE(CONTROL!$C$9, $D$9, 100%, $F$9) + CHOOSE(CONTROL!$C$27, 0.0021, 0)</f>
        <v>181.51960000000003</v>
      </c>
      <c r="L1046" s="14"/>
    </row>
    <row r="1047" spans="1:12" ht="15.75" x14ac:dyDescent="0.25">
      <c r="A1047" s="32">
        <v>72805</v>
      </c>
      <c r="B1047" s="14">
        <f>193.614 * CHOOSE(CONTROL!$C$9, $D$9, 100%, $F$9) + CHOOSE(CONTROL!$C$27, 0.0021, 0)</f>
        <v>193.61610000000002</v>
      </c>
      <c r="C1047" s="14">
        <f>193.1818 * CHOOSE(CONTROL!$C$9, $D$9, 100%, $F$9) + CHOOSE(CONTROL!$C$27, 0.0021, 0)</f>
        <v>193.18390000000002</v>
      </c>
      <c r="D1047" s="14">
        <f>193.1818 * CHOOSE(CONTROL!$C$9, $D$9, 100%, $F$9) + CHOOSE(CONTROL!$C$27, 0.0021, 0)</f>
        <v>193.18390000000002</v>
      </c>
      <c r="E1047" s="14">
        <f>193.0451 * CHOOSE(CONTROL!$C$9, $D$9, 100%, $F$9) + CHOOSE(CONTROL!$C$27, 0.0021, 0)</f>
        <v>193.0472</v>
      </c>
      <c r="F1047" s="14">
        <f>193.0451 * CHOOSE(CONTROL!$C$9, $D$9, 100%, $F$9) + CHOOSE(CONTROL!$C$27, 0.0021, 0)</f>
        <v>193.0472</v>
      </c>
      <c r="G1047" s="14">
        <f>193.3165 * CHOOSE(CONTROL!$C$9, $D$9, 100%, $F$9) + CHOOSE(CONTROL!$C$27, 0.0021, 0)</f>
        <v>193.3186</v>
      </c>
      <c r="H1047" s="14">
        <f>193.1818 * CHOOSE(CONTROL!$C$9, $D$9, 100%, $F$9) + CHOOSE(CONTROL!$C$27, 0.0021, 0)</f>
        <v>193.18390000000002</v>
      </c>
      <c r="I1047" s="14">
        <f>193.1818 * CHOOSE(CONTROL!$C$9, $D$9, 100%, $F$9) + CHOOSE(CONTROL!$C$27, 0.0021, 0)</f>
        <v>193.18390000000002</v>
      </c>
      <c r="J1047" s="14">
        <f>193.1818 * CHOOSE(CONTROL!$C$9, $D$9, 100%, $F$9) + CHOOSE(CONTROL!$C$27, 0.0021, 0)</f>
        <v>193.18390000000002</v>
      </c>
      <c r="K1047" s="14">
        <f>193.1818 * CHOOSE(CONTROL!$C$9, $D$9, 100%, $F$9) + CHOOSE(CONTROL!$C$27, 0.0021, 0)</f>
        <v>193.18390000000002</v>
      </c>
      <c r="L1047" s="14"/>
    </row>
    <row r="1048" spans="1:12" ht="15.75" x14ac:dyDescent="0.25">
      <c r="A1048" s="32">
        <v>72836</v>
      </c>
      <c r="B1048" s="14">
        <f>200.0344 * CHOOSE(CONTROL!$C$9, $D$9, 100%, $F$9) + CHOOSE(CONTROL!$C$27, 0.0021, 0)</f>
        <v>200.03650000000002</v>
      </c>
      <c r="C1048" s="14">
        <f>199.6022 * CHOOSE(CONTROL!$C$9, $D$9, 100%, $F$9) + CHOOSE(CONTROL!$C$27, 0.0021, 0)</f>
        <v>199.60430000000002</v>
      </c>
      <c r="D1048" s="14">
        <f>199.6022 * CHOOSE(CONTROL!$C$9, $D$9, 100%, $F$9) + CHOOSE(CONTROL!$C$27, 0.0021, 0)</f>
        <v>199.60430000000002</v>
      </c>
      <c r="E1048" s="14">
        <f>199.4655 * CHOOSE(CONTROL!$C$9, $D$9, 100%, $F$9) + CHOOSE(CONTROL!$C$27, 0.0021, 0)</f>
        <v>199.4676</v>
      </c>
      <c r="F1048" s="14">
        <f>199.4655 * CHOOSE(CONTROL!$C$9, $D$9, 100%, $F$9) + CHOOSE(CONTROL!$C$27, 0.0021, 0)</f>
        <v>199.4676</v>
      </c>
      <c r="G1048" s="14">
        <f>199.7369 * CHOOSE(CONTROL!$C$9, $D$9, 100%, $F$9) + CHOOSE(CONTROL!$C$27, 0.0021, 0)</f>
        <v>199.739</v>
      </c>
      <c r="H1048" s="14">
        <f>199.6022 * CHOOSE(CONTROL!$C$9, $D$9, 100%, $F$9) + CHOOSE(CONTROL!$C$27, 0.0021, 0)</f>
        <v>199.60430000000002</v>
      </c>
      <c r="I1048" s="14">
        <f>199.6022 * CHOOSE(CONTROL!$C$9, $D$9, 100%, $F$9) + CHOOSE(CONTROL!$C$27, 0.0021, 0)</f>
        <v>199.60430000000002</v>
      </c>
      <c r="J1048" s="14">
        <f>199.6022 * CHOOSE(CONTROL!$C$9, $D$9, 100%, $F$9) + CHOOSE(CONTROL!$C$27, 0.0021, 0)</f>
        <v>199.60430000000002</v>
      </c>
      <c r="K1048" s="14">
        <f>199.6022 * CHOOSE(CONTROL!$C$9, $D$9, 100%, $F$9) + CHOOSE(CONTROL!$C$27, 0.0021, 0)</f>
        <v>199.60430000000002</v>
      </c>
      <c r="L1048" s="14"/>
    </row>
    <row r="1049" spans="1:12" ht="15.75" x14ac:dyDescent="0.25">
      <c r="A1049" s="32">
        <v>72866</v>
      </c>
      <c r="B1049" s="14">
        <f>202.8837 * CHOOSE(CONTROL!$C$9, $D$9, 100%, $F$9) + CHOOSE(CONTROL!$C$27, 0.0021, 0)</f>
        <v>202.88580000000002</v>
      </c>
      <c r="C1049" s="14">
        <f>202.4514 * CHOOSE(CONTROL!$C$9, $D$9, 100%, $F$9) + CHOOSE(CONTROL!$C$27, 0.0021, 0)</f>
        <v>202.45350000000002</v>
      </c>
      <c r="D1049" s="14">
        <f>202.4514 * CHOOSE(CONTROL!$C$9, $D$9, 100%, $F$9) + CHOOSE(CONTROL!$C$27, 0.0021, 0)</f>
        <v>202.45350000000002</v>
      </c>
      <c r="E1049" s="14">
        <f>202.3147 * CHOOSE(CONTROL!$C$9, $D$9, 100%, $F$9) + CHOOSE(CONTROL!$C$27, 0.0021, 0)</f>
        <v>202.3168</v>
      </c>
      <c r="F1049" s="14">
        <f>202.3147 * CHOOSE(CONTROL!$C$9, $D$9, 100%, $F$9) + CHOOSE(CONTROL!$C$27, 0.0021, 0)</f>
        <v>202.3168</v>
      </c>
      <c r="G1049" s="14">
        <f>202.5861 * CHOOSE(CONTROL!$C$9, $D$9, 100%, $F$9) + CHOOSE(CONTROL!$C$27, 0.0021, 0)</f>
        <v>202.5882</v>
      </c>
      <c r="H1049" s="14">
        <f>202.4514 * CHOOSE(CONTROL!$C$9, $D$9, 100%, $F$9) + CHOOSE(CONTROL!$C$27, 0.0021, 0)</f>
        <v>202.45350000000002</v>
      </c>
      <c r="I1049" s="14">
        <f>202.4514 * CHOOSE(CONTROL!$C$9, $D$9, 100%, $F$9) + CHOOSE(CONTROL!$C$27, 0.0021, 0)</f>
        <v>202.45350000000002</v>
      </c>
      <c r="J1049" s="14">
        <f>202.4514 * CHOOSE(CONTROL!$C$9, $D$9, 100%, $F$9) + CHOOSE(CONTROL!$C$27, 0.0021, 0)</f>
        <v>202.45350000000002</v>
      </c>
      <c r="K1049" s="14">
        <f>202.4514 * CHOOSE(CONTROL!$C$9, $D$9, 100%, $F$9) + CHOOSE(CONTROL!$C$27, 0.0021, 0)</f>
        <v>202.45350000000002</v>
      </c>
      <c r="L1049" s="14"/>
    </row>
    <row r="1050" spans="1:12" ht="15.75" x14ac:dyDescent="0.25">
      <c r="A1050" s="32">
        <v>72897</v>
      </c>
      <c r="B1050" s="14">
        <f>201.9455 * CHOOSE(CONTROL!$C$9, $D$9, 100%, $F$9) + CHOOSE(CONTROL!$C$27, 0.0021, 0)</f>
        <v>201.94760000000002</v>
      </c>
      <c r="C1050" s="14">
        <f>201.5133 * CHOOSE(CONTROL!$C$9, $D$9, 100%, $F$9) + CHOOSE(CONTROL!$C$27, 0.0021, 0)</f>
        <v>201.5154</v>
      </c>
      <c r="D1050" s="14">
        <f>201.5133 * CHOOSE(CONTROL!$C$9, $D$9, 100%, $F$9) + CHOOSE(CONTROL!$C$27, 0.0021, 0)</f>
        <v>201.5154</v>
      </c>
      <c r="E1050" s="14">
        <f>201.3766 * CHOOSE(CONTROL!$C$9, $D$9, 100%, $F$9) + CHOOSE(CONTROL!$C$27, 0.0021, 0)</f>
        <v>201.37870000000001</v>
      </c>
      <c r="F1050" s="14">
        <f>201.3766 * CHOOSE(CONTROL!$C$9, $D$9, 100%, $F$9) + CHOOSE(CONTROL!$C$27, 0.0021, 0)</f>
        <v>201.37870000000001</v>
      </c>
      <c r="G1050" s="14">
        <f>201.648 * CHOOSE(CONTROL!$C$9, $D$9, 100%, $F$9) + CHOOSE(CONTROL!$C$27, 0.0021, 0)</f>
        <v>201.65010000000001</v>
      </c>
      <c r="H1050" s="14">
        <f>201.5133 * CHOOSE(CONTROL!$C$9, $D$9, 100%, $F$9) + CHOOSE(CONTROL!$C$27, 0.0021, 0)</f>
        <v>201.5154</v>
      </c>
      <c r="I1050" s="14">
        <f>201.5133 * CHOOSE(CONTROL!$C$9, $D$9, 100%, $F$9) + CHOOSE(CONTROL!$C$27, 0.0021, 0)</f>
        <v>201.5154</v>
      </c>
      <c r="J1050" s="14">
        <f>201.5133 * CHOOSE(CONTROL!$C$9, $D$9, 100%, $F$9) + CHOOSE(CONTROL!$C$27, 0.0021, 0)</f>
        <v>201.5154</v>
      </c>
      <c r="K1050" s="14">
        <f>201.5133 * CHOOSE(CONTROL!$C$9, $D$9, 100%, $F$9) + CHOOSE(CONTROL!$C$27, 0.0021, 0)</f>
        <v>201.5154</v>
      </c>
      <c r="L1050" s="14"/>
    </row>
    <row r="1051" spans="1:12" ht="15.75" x14ac:dyDescent="0.25">
      <c r="A1051" s="32">
        <v>72928</v>
      </c>
      <c r="B1051" s="14">
        <f>197.2977 * CHOOSE(CONTROL!$C$9, $D$9, 100%, $F$9) + CHOOSE(CONTROL!$C$27, 0.0021, 0)</f>
        <v>197.2998</v>
      </c>
      <c r="C1051" s="14">
        <f>196.8655 * CHOOSE(CONTROL!$C$9, $D$9, 100%, $F$9) + CHOOSE(CONTROL!$C$27, 0.0021, 0)</f>
        <v>196.86760000000001</v>
      </c>
      <c r="D1051" s="14">
        <f>196.8655 * CHOOSE(CONTROL!$C$9, $D$9, 100%, $F$9) + CHOOSE(CONTROL!$C$27, 0.0021, 0)</f>
        <v>196.86760000000001</v>
      </c>
      <c r="E1051" s="14">
        <f>196.7288 * CHOOSE(CONTROL!$C$9, $D$9, 100%, $F$9) + CHOOSE(CONTROL!$C$27, 0.0021, 0)</f>
        <v>196.73090000000002</v>
      </c>
      <c r="F1051" s="14">
        <f>196.7288 * CHOOSE(CONTROL!$C$9, $D$9, 100%, $F$9) + CHOOSE(CONTROL!$C$27, 0.0021, 0)</f>
        <v>196.73090000000002</v>
      </c>
      <c r="G1051" s="14">
        <f>197.0002 * CHOOSE(CONTROL!$C$9, $D$9, 100%, $F$9) + CHOOSE(CONTROL!$C$27, 0.0021, 0)</f>
        <v>197.00230000000002</v>
      </c>
      <c r="H1051" s="14">
        <f>196.8655 * CHOOSE(CONTROL!$C$9, $D$9, 100%, $F$9) + CHOOSE(CONTROL!$C$27, 0.0021, 0)</f>
        <v>196.86760000000001</v>
      </c>
      <c r="I1051" s="14">
        <f>196.8655 * CHOOSE(CONTROL!$C$9, $D$9, 100%, $F$9) + CHOOSE(CONTROL!$C$27, 0.0021, 0)</f>
        <v>196.86760000000001</v>
      </c>
      <c r="J1051" s="14">
        <f>196.8655 * CHOOSE(CONTROL!$C$9, $D$9, 100%, $F$9) + CHOOSE(CONTROL!$C$27, 0.0021, 0)</f>
        <v>196.86760000000001</v>
      </c>
      <c r="K1051" s="14">
        <f>196.8655 * CHOOSE(CONTROL!$C$9, $D$9, 100%, $F$9) + CHOOSE(CONTROL!$C$27, 0.0021, 0)</f>
        <v>196.86760000000001</v>
      </c>
      <c r="L1051" s="14"/>
    </row>
    <row r="1052" spans="1:12" ht="15.75" x14ac:dyDescent="0.25">
      <c r="A1052" s="32">
        <v>72958</v>
      </c>
      <c r="B1052" s="14">
        <f>190.8161 * CHOOSE(CONTROL!$C$9, $D$9, 100%, $F$9) + CHOOSE(CONTROL!$C$27, 0.0021, 0)</f>
        <v>190.81820000000002</v>
      </c>
      <c r="C1052" s="14">
        <f>190.3838 * CHOOSE(CONTROL!$C$9, $D$9, 100%, $F$9) + CHOOSE(CONTROL!$C$27, 0.0021, 0)</f>
        <v>190.38590000000002</v>
      </c>
      <c r="D1052" s="14">
        <f>190.3838 * CHOOSE(CONTROL!$C$9, $D$9, 100%, $F$9) + CHOOSE(CONTROL!$C$27, 0.0021, 0)</f>
        <v>190.38590000000002</v>
      </c>
      <c r="E1052" s="14">
        <f>190.2472 * CHOOSE(CONTROL!$C$9, $D$9, 100%, $F$9) + CHOOSE(CONTROL!$C$27, 0.0021, 0)</f>
        <v>190.24930000000001</v>
      </c>
      <c r="F1052" s="14">
        <f>190.2472 * CHOOSE(CONTROL!$C$9, $D$9, 100%, $F$9) + CHOOSE(CONTROL!$C$27, 0.0021, 0)</f>
        <v>190.24930000000001</v>
      </c>
      <c r="G1052" s="14">
        <f>190.5185 * CHOOSE(CONTROL!$C$9, $D$9, 100%, $F$9) + CHOOSE(CONTROL!$C$27, 0.0021, 0)</f>
        <v>190.5206</v>
      </c>
      <c r="H1052" s="14">
        <f>190.3838 * CHOOSE(CONTROL!$C$9, $D$9, 100%, $F$9) + CHOOSE(CONTROL!$C$27, 0.0021, 0)</f>
        <v>190.38590000000002</v>
      </c>
      <c r="I1052" s="14">
        <f>190.3838 * CHOOSE(CONTROL!$C$9, $D$9, 100%, $F$9) + CHOOSE(CONTROL!$C$27, 0.0021, 0)</f>
        <v>190.38590000000002</v>
      </c>
      <c r="J1052" s="14">
        <f>190.3838 * CHOOSE(CONTROL!$C$9, $D$9, 100%, $F$9) + CHOOSE(CONTROL!$C$27, 0.0021, 0)</f>
        <v>190.38590000000002</v>
      </c>
      <c r="K1052" s="14">
        <f>190.3838 * CHOOSE(CONTROL!$C$9, $D$9, 100%, $F$9) + CHOOSE(CONTROL!$C$27, 0.0021, 0)</f>
        <v>190.38590000000002</v>
      </c>
      <c r="L1052" s="14"/>
    </row>
    <row r="1053" spans="1:12" ht="15.75" x14ac:dyDescent="0.25">
      <c r="A1053" s="32">
        <v>72989</v>
      </c>
      <c r="B1053" s="14">
        <f>184.2967 * CHOOSE(CONTROL!$C$9, $D$9, 100%, $F$9) + CHOOSE(CONTROL!$C$27, 0.0021, 0)</f>
        <v>184.2988</v>
      </c>
      <c r="C1053" s="14">
        <f>183.8645 * CHOOSE(CONTROL!$C$9, $D$9, 100%, $F$9) + CHOOSE(CONTROL!$C$27, 0.0021, 0)</f>
        <v>183.86660000000001</v>
      </c>
      <c r="D1053" s="14">
        <f>183.8645 * CHOOSE(CONTROL!$C$9, $D$9, 100%, $F$9) + CHOOSE(CONTROL!$C$27, 0.0021, 0)</f>
        <v>183.86660000000001</v>
      </c>
      <c r="E1053" s="14">
        <f>183.7278 * CHOOSE(CONTROL!$C$9, $D$9, 100%, $F$9) + CHOOSE(CONTROL!$C$27, 0.0021, 0)</f>
        <v>183.72990000000001</v>
      </c>
      <c r="F1053" s="14">
        <f>183.7278 * CHOOSE(CONTROL!$C$9, $D$9, 100%, $F$9) + CHOOSE(CONTROL!$C$27, 0.0021, 0)</f>
        <v>183.72990000000001</v>
      </c>
      <c r="G1053" s="14">
        <f>183.9992 * CHOOSE(CONTROL!$C$9, $D$9, 100%, $F$9) + CHOOSE(CONTROL!$C$27, 0.0021, 0)</f>
        <v>184.00130000000001</v>
      </c>
      <c r="H1053" s="14">
        <f>183.8645 * CHOOSE(CONTROL!$C$9, $D$9, 100%, $F$9) + CHOOSE(CONTROL!$C$27, 0.0021, 0)</f>
        <v>183.86660000000001</v>
      </c>
      <c r="I1053" s="14">
        <f>183.8645 * CHOOSE(CONTROL!$C$9, $D$9, 100%, $F$9) + CHOOSE(CONTROL!$C$27, 0.0021, 0)</f>
        <v>183.86660000000001</v>
      </c>
      <c r="J1053" s="14">
        <f>183.8645 * CHOOSE(CONTROL!$C$9, $D$9, 100%, $F$9) + CHOOSE(CONTROL!$C$27, 0.0021, 0)</f>
        <v>183.86660000000001</v>
      </c>
      <c r="K1053" s="14">
        <f>183.8645 * CHOOSE(CONTROL!$C$9, $D$9, 100%, $F$9) + CHOOSE(CONTROL!$C$27, 0.0021, 0)</f>
        <v>183.86660000000001</v>
      </c>
      <c r="L1053" s="14"/>
    </row>
    <row r="1054" spans="1:12" ht="15.75" x14ac:dyDescent="0.25">
      <c r="A1054" s="32">
        <v>73019</v>
      </c>
      <c r="B1054" s="14">
        <f>182.9999 * CHOOSE(CONTROL!$C$9, $D$9, 100%, $F$9) + CHOOSE(CONTROL!$C$27, 0.0021, 0)</f>
        <v>183.00200000000001</v>
      </c>
      <c r="C1054" s="14">
        <f>182.5676 * CHOOSE(CONTROL!$C$9, $D$9, 100%, $F$9) + CHOOSE(CONTROL!$C$27, 0.0021, 0)</f>
        <v>182.56970000000001</v>
      </c>
      <c r="D1054" s="14">
        <f>182.5676 * CHOOSE(CONTROL!$C$9, $D$9, 100%, $F$9) + CHOOSE(CONTROL!$C$27, 0.0021, 0)</f>
        <v>182.56970000000001</v>
      </c>
      <c r="E1054" s="14">
        <f>182.431 * CHOOSE(CONTROL!$C$9, $D$9, 100%, $F$9) + CHOOSE(CONTROL!$C$27, 0.0021, 0)</f>
        <v>182.43310000000002</v>
      </c>
      <c r="F1054" s="14">
        <f>182.431 * CHOOSE(CONTROL!$C$9, $D$9, 100%, $F$9) + CHOOSE(CONTROL!$C$27, 0.0021, 0)</f>
        <v>182.43310000000002</v>
      </c>
      <c r="G1054" s="14">
        <f>182.7024 * CHOOSE(CONTROL!$C$9, $D$9, 100%, $F$9) + CHOOSE(CONTROL!$C$27, 0.0021, 0)</f>
        <v>182.70450000000002</v>
      </c>
      <c r="H1054" s="14">
        <f>182.5676 * CHOOSE(CONTROL!$C$9, $D$9, 100%, $F$9) + CHOOSE(CONTROL!$C$27, 0.0021, 0)</f>
        <v>182.56970000000001</v>
      </c>
      <c r="I1054" s="14">
        <f>182.5676 * CHOOSE(CONTROL!$C$9, $D$9, 100%, $F$9) + CHOOSE(CONTROL!$C$27, 0.0021, 0)</f>
        <v>182.56970000000001</v>
      </c>
      <c r="J1054" s="14">
        <f>182.5676 * CHOOSE(CONTROL!$C$9, $D$9, 100%, $F$9) + CHOOSE(CONTROL!$C$27, 0.0021, 0)</f>
        <v>182.56970000000001</v>
      </c>
      <c r="K1054" s="14">
        <f>182.5676 * CHOOSE(CONTROL!$C$9, $D$9, 100%, $F$9) + CHOOSE(CONTROL!$C$27, 0.0021, 0)</f>
        <v>182.56970000000001</v>
      </c>
      <c r="L1054" s="14"/>
    </row>
    <row r="1055" spans="1:12" ht="15.75" x14ac:dyDescent="0.25">
      <c r="A1055" s="32">
        <v>73050</v>
      </c>
      <c r="B1055" s="14">
        <f>177.6374 * CHOOSE(CONTROL!$C$9, $D$9, 100%, $F$9) + CHOOSE(CONTROL!$C$27, 0.0021, 0)</f>
        <v>177.63950000000003</v>
      </c>
      <c r="C1055" s="14">
        <f>177.2051 * CHOOSE(CONTROL!$C$9, $D$9, 100%, $F$9) + CHOOSE(CONTROL!$C$27, 0.0021, 0)</f>
        <v>177.2072</v>
      </c>
      <c r="D1055" s="14">
        <f>177.2051 * CHOOSE(CONTROL!$C$9, $D$9, 100%, $F$9) + CHOOSE(CONTROL!$C$27, 0.0021, 0)</f>
        <v>177.2072</v>
      </c>
      <c r="E1055" s="14">
        <f>177.0685 * CHOOSE(CONTROL!$C$9, $D$9, 100%, $F$9) + CHOOSE(CONTROL!$C$27, 0.0021, 0)</f>
        <v>177.07060000000001</v>
      </c>
      <c r="F1055" s="14">
        <f>177.0685 * CHOOSE(CONTROL!$C$9, $D$9, 100%, $F$9) + CHOOSE(CONTROL!$C$27, 0.0021, 0)</f>
        <v>177.07060000000001</v>
      </c>
      <c r="G1055" s="14">
        <f>177.3398 * CHOOSE(CONTROL!$C$9, $D$9, 100%, $F$9) + CHOOSE(CONTROL!$C$27, 0.0021, 0)</f>
        <v>177.34190000000001</v>
      </c>
      <c r="H1055" s="14">
        <f>177.2051 * CHOOSE(CONTROL!$C$9, $D$9, 100%, $F$9) + CHOOSE(CONTROL!$C$27, 0.0021, 0)</f>
        <v>177.2072</v>
      </c>
      <c r="I1055" s="14">
        <f>177.2051 * CHOOSE(CONTROL!$C$9, $D$9, 100%, $F$9) + CHOOSE(CONTROL!$C$27, 0.0021, 0)</f>
        <v>177.2072</v>
      </c>
      <c r="J1055" s="14">
        <f>177.2051 * CHOOSE(CONTROL!$C$9, $D$9, 100%, $F$9) + CHOOSE(CONTROL!$C$27, 0.0021, 0)</f>
        <v>177.2072</v>
      </c>
      <c r="K1055" s="14">
        <f>177.2051 * CHOOSE(CONTROL!$C$9, $D$9, 100%, $F$9) + CHOOSE(CONTROL!$C$27, 0.0021, 0)</f>
        <v>177.2072</v>
      </c>
      <c r="L1055" s="14"/>
    </row>
    <row r="1056" spans="1:12" ht="15.75" x14ac:dyDescent="0.25">
      <c r="A1056" s="32">
        <v>73081</v>
      </c>
      <c r="B1056" s="14">
        <f>176.5934 * CHOOSE(CONTROL!$C$9, $D$9, 100%, $F$9) + CHOOSE(CONTROL!$C$27, 0.0021, 0)</f>
        <v>176.59550000000002</v>
      </c>
      <c r="C1056" s="14">
        <f>176.1611 * CHOOSE(CONTROL!$C$9, $D$9, 100%, $F$9) + CHOOSE(CONTROL!$C$27, 0.0021, 0)</f>
        <v>176.16320000000002</v>
      </c>
      <c r="D1056" s="14">
        <f>176.1611 * CHOOSE(CONTROL!$C$9, $D$9, 100%, $F$9) + CHOOSE(CONTROL!$C$27, 0.0021, 0)</f>
        <v>176.16320000000002</v>
      </c>
      <c r="E1056" s="14">
        <f>176.0244 * CHOOSE(CONTROL!$C$9, $D$9, 100%, $F$9) + CHOOSE(CONTROL!$C$27, 0.0021, 0)</f>
        <v>176.02650000000003</v>
      </c>
      <c r="F1056" s="14">
        <f>176.0244 * CHOOSE(CONTROL!$C$9, $D$9, 100%, $F$9) + CHOOSE(CONTROL!$C$27, 0.0021, 0)</f>
        <v>176.02650000000003</v>
      </c>
      <c r="G1056" s="14">
        <f>176.2958 * CHOOSE(CONTROL!$C$9, $D$9, 100%, $F$9) + CHOOSE(CONTROL!$C$27, 0.0021, 0)</f>
        <v>176.29790000000003</v>
      </c>
      <c r="H1056" s="14">
        <f>176.1611 * CHOOSE(CONTROL!$C$9, $D$9, 100%, $F$9) + CHOOSE(CONTROL!$C$27, 0.0021, 0)</f>
        <v>176.16320000000002</v>
      </c>
      <c r="I1056" s="14">
        <f>176.1611 * CHOOSE(CONTROL!$C$9, $D$9, 100%, $F$9) + CHOOSE(CONTROL!$C$27, 0.0021, 0)</f>
        <v>176.16320000000002</v>
      </c>
      <c r="J1056" s="14">
        <f>176.1611 * CHOOSE(CONTROL!$C$9, $D$9, 100%, $F$9) + CHOOSE(CONTROL!$C$27, 0.0021, 0)</f>
        <v>176.16320000000002</v>
      </c>
      <c r="K1056" s="14">
        <f>176.1611 * CHOOSE(CONTROL!$C$9, $D$9, 100%, $F$9) + CHOOSE(CONTROL!$C$27, 0.0021, 0)</f>
        <v>176.16320000000002</v>
      </c>
      <c r="L1056" s="14"/>
    </row>
    <row r="1057" spans="1:12" ht="15.75" x14ac:dyDescent="0.25">
      <c r="A1057" s="32">
        <v>73109</v>
      </c>
      <c r="B1057" s="14">
        <f>176.1089 * CHOOSE(CONTROL!$C$9, $D$9, 100%, $F$9) + CHOOSE(CONTROL!$C$27, 0.0021, 0)</f>
        <v>176.11100000000002</v>
      </c>
      <c r="C1057" s="14">
        <f>175.6766 * CHOOSE(CONTROL!$C$9, $D$9, 100%, $F$9) + CHOOSE(CONTROL!$C$27, 0.0021, 0)</f>
        <v>175.67870000000002</v>
      </c>
      <c r="D1057" s="14">
        <f>175.6766 * CHOOSE(CONTROL!$C$9, $D$9, 100%, $F$9) + CHOOSE(CONTROL!$C$27, 0.0021, 0)</f>
        <v>175.67870000000002</v>
      </c>
      <c r="E1057" s="14">
        <f>175.5399 * CHOOSE(CONTROL!$C$9, $D$9, 100%, $F$9) + CHOOSE(CONTROL!$C$27, 0.0021, 0)</f>
        <v>175.542</v>
      </c>
      <c r="F1057" s="14">
        <f>175.5399 * CHOOSE(CONTROL!$C$9, $D$9, 100%, $F$9) + CHOOSE(CONTROL!$C$27, 0.0021, 0)</f>
        <v>175.542</v>
      </c>
      <c r="G1057" s="14">
        <f>175.8113 * CHOOSE(CONTROL!$C$9, $D$9, 100%, $F$9) + CHOOSE(CONTROL!$C$27, 0.0021, 0)</f>
        <v>175.8134</v>
      </c>
      <c r="H1057" s="14">
        <f>175.6766 * CHOOSE(CONTROL!$C$9, $D$9, 100%, $F$9) + CHOOSE(CONTROL!$C$27, 0.0021, 0)</f>
        <v>175.67870000000002</v>
      </c>
      <c r="I1057" s="14">
        <f>175.6766 * CHOOSE(CONTROL!$C$9, $D$9, 100%, $F$9) + CHOOSE(CONTROL!$C$27, 0.0021, 0)</f>
        <v>175.67870000000002</v>
      </c>
      <c r="J1057" s="14">
        <f>175.6766 * CHOOSE(CONTROL!$C$9, $D$9, 100%, $F$9) + CHOOSE(CONTROL!$C$27, 0.0021, 0)</f>
        <v>175.67870000000002</v>
      </c>
      <c r="K1057" s="14">
        <f>175.6766 * CHOOSE(CONTROL!$C$9, $D$9, 100%, $F$9) + CHOOSE(CONTROL!$C$27, 0.0021, 0)</f>
        <v>175.67870000000002</v>
      </c>
      <c r="L1057" s="14"/>
    </row>
    <row r="1058" spans="1:12" ht="15.75" x14ac:dyDescent="0.25">
      <c r="A1058" s="32">
        <v>73140</v>
      </c>
      <c r="B1058" s="14">
        <f>185.27 * CHOOSE(CONTROL!$C$9, $D$9, 100%, $F$9) + CHOOSE(CONTROL!$C$27, 0.0021, 0)</f>
        <v>185.27210000000002</v>
      </c>
      <c r="C1058" s="14">
        <f>184.8377 * CHOOSE(CONTROL!$C$9, $D$9, 100%, $F$9) + CHOOSE(CONTROL!$C$27, 0.0021, 0)</f>
        <v>184.83980000000003</v>
      </c>
      <c r="D1058" s="14">
        <f>184.8377 * CHOOSE(CONTROL!$C$9, $D$9, 100%, $F$9) + CHOOSE(CONTROL!$C$27, 0.0021, 0)</f>
        <v>184.83980000000003</v>
      </c>
      <c r="E1058" s="14">
        <f>184.7011 * CHOOSE(CONTROL!$C$9, $D$9, 100%, $F$9) + CHOOSE(CONTROL!$C$27, 0.0021, 0)</f>
        <v>184.70320000000001</v>
      </c>
      <c r="F1058" s="14">
        <f>184.7011 * CHOOSE(CONTROL!$C$9, $D$9, 100%, $F$9) + CHOOSE(CONTROL!$C$27, 0.0021, 0)</f>
        <v>184.70320000000001</v>
      </c>
      <c r="G1058" s="14">
        <f>184.9725 * CHOOSE(CONTROL!$C$9, $D$9, 100%, $F$9) + CHOOSE(CONTROL!$C$27, 0.0021, 0)</f>
        <v>184.97460000000001</v>
      </c>
      <c r="H1058" s="14">
        <f>184.8377 * CHOOSE(CONTROL!$C$9, $D$9, 100%, $F$9) + CHOOSE(CONTROL!$C$27, 0.0021, 0)</f>
        <v>184.83980000000003</v>
      </c>
      <c r="I1058" s="14">
        <f>184.8377 * CHOOSE(CONTROL!$C$9, $D$9, 100%, $F$9) + CHOOSE(CONTROL!$C$27, 0.0021, 0)</f>
        <v>184.83980000000003</v>
      </c>
      <c r="J1058" s="14">
        <f>184.8377 * CHOOSE(CONTROL!$C$9, $D$9, 100%, $F$9) + CHOOSE(CONTROL!$C$27, 0.0021, 0)</f>
        <v>184.83980000000003</v>
      </c>
      <c r="K1058" s="14">
        <f>184.8377 * CHOOSE(CONTROL!$C$9, $D$9, 100%, $F$9) + CHOOSE(CONTROL!$C$27, 0.0021, 0)</f>
        <v>184.83980000000003</v>
      </c>
      <c r="L1058" s="14"/>
    </row>
    <row r="1059" spans="1:12" ht="15.75" x14ac:dyDescent="0.25">
      <c r="A1059" s="32">
        <v>73170</v>
      </c>
      <c r="B1059" s="14">
        <f>197.1498 * CHOOSE(CONTROL!$C$9, $D$9, 100%, $F$9) + CHOOSE(CONTROL!$C$27, 0.0021, 0)</f>
        <v>197.15190000000001</v>
      </c>
      <c r="C1059" s="14">
        <f>196.7175 * CHOOSE(CONTROL!$C$9, $D$9, 100%, $F$9) + CHOOSE(CONTROL!$C$27, 0.0021, 0)</f>
        <v>196.71960000000001</v>
      </c>
      <c r="D1059" s="14">
        <f>196.7175 * CHOOSE(CONTROL!$C$9, $D$9, 100%, $F$9) + CHOOSE(CONTROL!$C$27, 0.0021, 0)</f>
        <v>196.71960000000001</v>
      </c>
      <c r="E1059" s="14">
        <f>196.5809 * CHOOSE(CONTROL!$C$9, $D$9, 100%, $F$9) + CHOOSE(CONTROL!$C$27, 0.0021, 0)</f>
        <v>196.58300000000003</v>
      </c>
      <c r="F1059" s="14">
        <f>196.5809 * CHOOSE(CONTROL!$C$9, $D$9, 100%, $F$9) + CHOOSE(CONTROL!$C$27, 0.0021, 0)</f>
        <v>196.58300000000003</v>
      </c>
      <c r="G1059" s="14">
        <f>196.8523 * CHOOSE(CONTROL!$C$9, $D$9, 100%, $F$9) + CHOOSE(CONTROL!$C$27, 0.0021, 0)</f>
        <v>196.85440000000003</v>
      </c>
      <c r="H1059" s="14">
        <f>196.7175 * CHOOSE(CONTROL!$C$9, $D$9, 100%, $F$9) + CHOOSE(CONTROL!$C$27, 0.0021, 0)</f>
        <v>196.71960000000001</v>
      </c>
      <c r="I1059" s="14">
        <f>196.7175 * CHOOSE(CONTROL!$C$9, $D$9, 100%, $F$9) + CHOOSE(CONTROL!$C$27, 0.0021, 0)</f>
        <v>196.71960000000001</v>
      </c>
      <c r="J1059" s="14">
        <f>196.7175 * CHOOSE(CONTROL!$C$9, $D$9, 100%, $F$9) + CHOOSE(CONTROL!$C$27, 0.0021, 0)</f>
        <v>196.71960000000001</v>
      </c>
      <c r="K1059" s="14">
        <f>196.7175 * CHOOSE(CONTROL!$C$9, $D$9, 100%, $F$9) + CHOOSE(CONTROL!$C$27, 0.0021, 0)</f>
        <v>196.71960000000001</v>
      </c>
      <c r="L1059" s="14"/>
    </row>
    <row r="1060" spans="1:12" ht="15.75" x14ac:dyDescent="0.25">
      <c r="A1060" s="32">
        <v>73201</v>
      </c>
      <c r="B1060" s="14">
        <f>203.6888 * CHOOSE(CONTROL!$C$9, $D$9, 100%, $F$9) + CHOOSE(CONTROL!$C$27, 0.0021, 0)</f>
        <v>203.6909</v>
      </c>
      <c r="C1060" s="14">
        <f>203.2566 * CHOOSE(CONTROL!$C$9, $D$9, 100%, $F$9) + CHOOSE(CONTROL!$C$27, 0.0021, 0)</f>
        <v>203.2587</v>
      </c>
      <c r="D1060" s="14">
        <f>203.2566 * CHOOSE(CONTROL!$C$9, $D$9, 100%, $F$9) + CHOOSE(CONTROL!$C$27, 0.0021, 0)</f>
        <v>203.2587</v>
      </c>
      <c r="E1060" s="14">
        <f>203.1199 * CHOOSE(CONTROL!$C$9, $D$9, 100%, $F$9) + CHOOSE(CONTROL!$C$27, 0.0021, 0)</f>
        <v>203.12200000000001</v>
      </c>
      <c r="F1060" s="14">
        <f>203.1199 * CHOOSE(CONTROL!$C$9, $D$9, 100%, $F$9) + CHOOSE(CONTROL!$C$27, 0.0021, 0)</f>
        <v>203.12200000000001</v>
      </c>
      <c r="G1060" s="14">
        <f>203.3913 * CHOOSE(CONTROL!$C$9, $D$9, 100%, $F$9) + CHOOSE(CONTROL!$C$27, 0.0021, 0)</f>
        <v>203.39340000000001</v>
      </c>
      <c r="H1060" s="14">
        <f>203.2566 * CHOOSE(CONTROL!$C$9, $D$9, 100%, $F$9) + CHOOSE(CONTROL!$C$27, 0.0021, 0)</f>
        <v>203.2587</v>
      </c>
      <c r="I1060" s="14">
        <f>203.2566 * CHOOSE(CONTROL!$C$9, $D$9, 100%, $F$9) + CHOOSE(CONTROL!$C$27, 0.0021, 0)</f>
        <v>203.2587</v>
      </c>
      <c r="J1060" s="14">
        <f>203.2566 * CHOOSE(CONTROL!$C$9, $D$9, 100%, $F$9) + CHOOSE(CONTROL!$C$27, 0.0021, 0)</f>
        <v>203.2587</v>
      </c>
      <c r="K1060" s="14">
        <f>203.2566 * CHOOSE(CONTROL!$C$9, $D$9, 100%, $F$9) + CHOOSE(CONTROL!$C$27, 0.0021, 0)</f>
        <v>203.2587</v>
      </c>
      <c r="L1060" s="14"/>
    </row>
    <row r="1061" spans="1:12" ht="15.75" x14ac:dyDescent="0.25">
      <c r="A1061" s="32">
        <v>73231</v>
      </c>
      <c r="B1061" s="14">
        <f>206.5907 * CHOOSE(CONTROL!$C$9, $D$9, 100%, $F$9) + CHOOSE(CONTROL!$C$27, 0.0021, 0)</f>
        <v>206.59280000000001</v>
      </c>
      <c r="C1061" s="14">
        <f>206.1585 * CHOOSE(CONTROL!$C$9, $D$9, 100%, $F$9) + CHOOSE(CONTROL!$C$27, 0.0021, 0)</f>
        <v>206.16060000000002</v>
      </c>
      <c r="D1061" s="14">
        <f>206.1585 * CHOOSE(CONTROL!$C$9, $D$9, 100%, $F$9) + CHOOSE(CONTROL!$C$27, 0.0021, 0)</f>
        <v>206.16060000000002</v>
      </c>
      <c r="E1061" s="14">
        <f>206.0218 * CHOOSE(CONTROL!$C$9, $D$9, 100%, $F$9) + CHOOSE(CONTROL!$C$27, 0.0021, 0)</f>
        <v>206.02390000000003</v>
      </c>
      <c r="F1061" s="14">
        <f>206.0218 * CHOOSE(CONTROL!$C$9, $D$9, 100%, $F$9) + CHOOSE(CONTROL!$C$27, 0.0021, 0)</f>
        <v>206.02390000000003</v>
      </c>
      <c r="G1061" s="14">
        <f>206.2932 * CHOOSE(CONTROL!$C$9, $D$9, 100%, $F$9) + CHOOSE(CONTROL!$C$27, 0.0021, 0)</f>
        <v>206.29530000000003</v>
      </c>
      <c r="H1061" s="14">
        <f>206.1585 * CHOOSE(CONTROL!$C$9, $D$9, 100%, $F$9) + CHOOSE(CONTROL!$C$27, 0.0021, 0)</f>
        <v>206.16060000000002</v>
      </c>
      <c r="I1061" s="14">
        <f>206.1585 * CHOOSE(CONTROL!$C$9, $D$9, 100%, $F$9) + CHOOSE(CONTROL!$C$27, 0.0021, 0)</f>
        <v>206.16060000000002</v>
      </c>
      <c r="J1061" s="14">
        <f>206.1585 * CHOOSE(CONTROL!$C$9, $D$9, 100%, $F$9) + CHOOSE(CONTROL!$C$27, 0.0021, 0)</f>
        <v>206.16060000000002</v>
      </c>
      <c r="K1061" s="14">
        <f>206.1585 * CHOOSE(CONTROL!$C$9, $D$9, 100%, $F$9) + CHOOSE(CONTROL!$C$27, 0.0021, 0)</f>
        <v>206.16060000000002</v>
      </c>
      <c r="L1061" s="14"/>
    </row>
    <row r="1062" spans="1:12" ht="15.75" x14ac:dyDescent="0.25">
      <c r="A1062" s="32">
        <v>73262</v>
      </c>
      <c r="B1062" s="14">
        <f>205.6353 * CHOOSE(CONTROL!$C$9, $D$9, 100%, $F$9) + CHOOSE(CONTROL!$C$27, 0.0021, 0)</f>
        <v>205.63740000000001</v>
      </c>
      <c r="C1062" s="14">
        <f>205.203 * CHOOSE(CONTROL!$C$9, $D$9, 100%, $F$9) + CHOOSE(CONTROL!$C$27, 0.0021, 0)</f>
        <v>205.20510000000002</v>
      </c>
      <c r="D1062" s="14">
        <f>205.203 * CHOOSE(CONTROL!$C$9, $D$9, 100%, $F$9) + CHOOSE(CONTROL!$C$27, 0.0021, 0)</f>
        <v>205.20510000000002</v>
      </c>
      <c r="E1062" s="14">
        <f>205.0664 * CHOOSE(CONTROL!$C$9, $D$9, 100%, $F$9) + CHOOSE(CONTROL!$C$27, 0.0021, 0)</f>
        <v>205.0685</v>
      </c>
      <c r="F1062" s="14">
        <f>205.0664 * CHOOSE(CONTROL!$C$9, $D$9, 100%, $F$9) + CHOOSE(CONTROL!$C$27, 0.0021, 0)</f>
        <v>205.0685</v>
      </c>
      <c r="G1062" s="14">
        <f>205.3378 * CHOOSE(CONTROL!$C$9, $D$9, 100%, $F$9) + CHOOSE(CONTROL!$C$27, 0.0021, 0)</f>
        <v>205.3399</v>
      </c>
      <c r="H1062" s="14">
        <f>205.203 * CHOOSE(CONTROL!$C$9, $D$9, 100%, $F$9) + CHOOSE(CONTROL!$C$27, 0.0021, 0)</f>
        <v>205.20510000000002</v>
      </c>
      <c r="I1062" s="14">
        <f>205.203 * CHOOSE(CONTROL!$C$9, $D$9, 100%, $F$9) + CHOOSE(CONTROL!$C$27, 0.0021, 0)</f>
        <v>205.20510000000002</v>
      </c>
      <c r="J1062" s="14">
        <f>205.203 * CHOOSE(CONTROL!$C$9, $D$9, 100%, $F$9) + CHOOSE(CONTROL!$C$27, 0.0021, 0)</f>
        <v>205.20510000000002</v>
      </c>
      <c r="K1062" s="14">
        <f>205.203 * CHOOSE(CONTROL!$C$9, $D$9, 100%, $F$9) + CHOOSE(CONTROL!$C$27, 0.0021, 0)</f>
        <v>205.20510000000002</v>
      </c>
      <c r="L1062" s="14"/>
    </row>
    <row r="1063" spans="1:12" ht="15.75" x14ac:dyDescent="0.25">
      <c r="A1063" s="32">
        <v>73293</v>
      </c>
      <c r="B1063" s="14">
        <f>200.9015 * CHOOSE(CONTROL!$C$9, $D$9, 100%, $F$9) + CHOOSE(CONTROL!$C$27, 0.0021, 0)</f>
        <v>200.90360000000001</v>
      </c>
      <c r="C1063" s="14">
        <f>200.4693 * CHOOSE(CONTROL!$C$9, $D$9, 100%, $F$9) + CHOOSE(CONTROL!$C$27, 0.0021, 0)</f>
        <v>200.47140000000002</v>
      </c>
      <c r="D1063" s="14">
        <f>200.4693 * CHOOSE(CONTROL!$C$9, $D$9, 100%, $F$9) + CHOOSE(CONTROL!$C$27, 0.0021, 0)</f>
        <v>200.47140000000002</v>
      </c>
      <c r="E1063" s="14">
        <f>200.3326 * CHOOSE(CONTROL!$C$9, $D$9, 100%, $F$9) + CHOOSE(CONTROL!$C$27, 0.0021, 0)</f>
        <v>200.33470000000003</v>
      </c>
      <c r="F1063" s="14">
        <f>200.3326 * CHOOSE(CONTROL!$C$9, $D$9, 100%, $F$9) + CHOOSE(CONTROL!$C$27, 0.0021, 0)</f>
        <v>200.33470000000003</v>
      </c>
      <c r="G1063" s="14">
        <f>200.604 * CHOOSE(CONTROL!$C$9, $D$9, 100%, $F$9) + CHOOSE(CONTROL!$C$27, 0.0021, 0)</f>
        <v>200.60610000000003</v>
      </c>
      <c r="H1063" s="14">
        <f>200.4693 * CHOOSE(CONTROL!$C$9, $D$9, 100%, $F$9) + CHOOSE(CONTROL!$C$27, 0.0021, 0)</f>
        <v>200.47140000000002</v>
      </c>
      <c r="I1063" s="14">
        <f>200.4693 * CHOOSE(CONTROL!$C$9, $D$9, 100%, $F$9) + CHOOSE(CONTROL!$C$27, 0.0021, 0)</f>
        <v>200.47140000000002</v>
      </c>
      <c r="J1063" s="14">
        <f>200.4693 * CHOOSE(CONTROL!$C$9, $D$9, 100%, $F$9) + CHOOSE(CONTROL!$C$27, 0.0021, 0)</f>
        <v>200.47140000000002</v>
      </c>
      <c r="K1063" s="14">
        <f>200.4693 * CHOOSE(CONTROL!$C$9, $D$9, 100%, $F$9) + CHOOSE(CONTROL!$C$27, 0.0021, 0)</f>
        <v>200.47140000000002</v>
      </c>
      <c r="L1063" s="14"/>
    </row>
    <row r="1064" spans="1:12" ht="15.75" x14ac:dyDescent="0.25">
      <c r="A1064" s="32">
        <v>73323</v>
      </c>
      <c r="B1064" s="14">
        <f>194.3001 * CHOOSE(CONTROL!$C$9, $D$9, 100%, $F$9) + CHOOSE(CONTROL!$C$27, 0.0021, 0)</f>
        <v>194.3022</v>
      </c>
      <c r="C1064" s="14">
        <f>193.8679 * CHOOSE(CONTROL!$C$9, $D$9, 100%, $F$9) + CHOOSE(CONTROL!$C$27, 0.0021, 0)</f>
        <v>193.87</v>
      </c>
      <c r="D1064" s="14">
        <f>193.8679 * CHOOSE(CONTROL!$C$9, $D$9, 100%, $F$9) + CHOOSE(CONTROL!$C$27, 0.0021, 0)</f>
        <v>193.87</v>
      </c>
      <c r="E1064" s="14">
        <f>193.7312 * CHOOSE(CONTROL!$C$9, $D$9, 100%, $F$9) + CHOOSE(CONTROL!$C$27, 0.0021, 0)</f>
        <v>193.73330000000001</v>
      </c>
      <c r="F1064" s="14">
        <f>193.7312 * CHOOSE(CONTROL!$C$9, $D$9, 100%, $F$9) + CHOOSE(CONTROL!$C$27, 0.0021, 0)</f>
        <v>193.73330000000001</v>
      </c>
      <c r="G1064" s="14">
        <f>194.0026 * CHOOSE(CONTROL!$C$9, $D$9, 100%, $F$9) + CHOOSE(CONTROL!$C$27, 0.0021, 0)</f>
        <v>194.00470000000001</v>
      </c>
      <c r="H1064" s="14">
        <f>193.8679 * CHOOSE(CONTROL!$C$9, $D$9, 100%, $F$9) + CHOOSE(CONTROL!$C$27, 0.0021, 0)</f>
        <v>193.87</v>
      </c>
      <c r="I1064" s="14">
        <f>193.8679 * CHOOSE(CONTROL!$C$9, $D$9, 100%, $F$9) + CHOOSE(CONTROL!$C$27, 0.0021, 0)</f>
        <v>193.87</v>
      </c>
      <c r="J1064" s="14">
        <f>193.8679 * CHOOSE(CONTROL!$C$9, $D$9, 100%, $F$9) + CHOOSE(CONTROL!$C$27, 0.0021, 0)</f>
        <v>193.87</v>
      </c>
      <c r="K1064" s="14">
        <f>193.8679 * CHOOSE(CONTROL!$C$9, $D$9, 100%, $F$9) + CHOOSE(CONTROL!$C$27, 0.0021, 0)</f>
        <v>193.87</v>
      </c>
      <c r="L1064" s="14"/>
    </row>
    <row r="1065" spans="1:12" ht="15.75" x14ac:dyDescent="0.25">
      <c r="A1065" s="32">
        <v>73354</v>
      </c>
      <c r="B1065" s="14">
        <f>187.6603 * CHOOSE(CONTROL!$C$9, $D$9, 100%, $F$9) + CHOOSE(CONTROL!$C$27, 0.0021, 0)</f>
        <v>187.66240000000002</v>
      </c>
      <c r="C1065" s="14">
        <f>187.228 * CHOOSE(CONTROL!$C$9, $D$9, 100%, $F$9) + CHOOSE(CONTROL!$C$27, 0.0021, 0)</f>
        <v>187.23010000000002</v>
      </c>
      <c r="D1065" s="14">
        <f>187.228 * CHOOSE(CONTROL!$C$9, $D$9, 100%, $F$9) + CHOOSE(CONTROL!$C$27, 0.0021, 0)</f>
        <v>187.23010000000002</v>
      </c>
      <c r="E1065" s="14">
        <f>187.0914 * CHOOSE(CONTROL!$C$9, $D$9, 100%, $F$9) + CHOOSE(CONTROL!$C$27, 0.0021, 0)</f>
        <v>187.09350000000001</v>
      </c>
      <c r="F1065" s="14">
        <f>187.0914 * CHOOSE(CONTROL!$C$9, $D$9, 100%, $F$9) + CHOOSE(CONTROL!$C$27, 0.0021, 0)</f>
        <v>187.09350000000001</v>
      </c>
      <c r="G1065" s="14">
        <f>187.3628 * CHOOSE(CONTROL!$C$9, $D$9, 100%, $F$9) + CHOOSE(CONTROL!$C$27, 0.0021, 0)</f>
        <v>187.36490000000001</v>
      </c>
      <c r="H1065" s="14">
        <f>187.228 * CHOOSE(CONTROL!$C$9, $D$9, 100%, $F$9) + CHOOSE(CONTROL!$C$27, 0.0021, 0)</f>
        <v>187.23010000000002</v>
      </c>
      <c r="I1065" s="14">
        <f>187.228 * CHOOSE(CONTROL!$C$9, $D$9, 100%, $F$9) + CHOOSE(CONTROL!$C$27, 0.0021, 0)</f>
        <v>187.23010000000002</v>
      </c>
      <c r="J1065" s="14">
        <f>187.228 * CHOOSE(CONTROL!$C$9, $D$9, 100%, $F$9) + CHOOSE(CONTROL!$C$27, 0.0021, 0)</f>
        <v>187.23010000000002</v>
      </c>
      <c r="K1065" s="14">
        <f>187.228 * CHOOSE(CONTROL!$C$9, $D$9, 100%, $F$9) + CHOOSE(CONTROL!$C$27, 0.0021, 0)</f>
        <v>187.23010000000002</v>
      </c>
      <c r="L1065" s="14"/>
    </row>
    <row r="1066" spans="1:12" ht="15.75" x14ac:dyDescent="0.25">
      <c r="A1066" s="32">
        <v>73384</v>
      </c>
      <c r="B1066" s="14">
        <f>186.3395 * CHOOSE(CONTROL!$C$9, $D$9, 100%, $F$9) + CHOOSE(CONTROL!$C$27, 0.0021, 0)</f>
        <v>186.3416</v>
      </c>
      <c r="C1066" s="14">
        <f>185.9073 * CHOOSE(CONTROL!$C$9, $D$9, 100%, $F$9) + CHOOSE(CONTROL!$C$27, 0.0021, 0)</f>
        <v>185.90940000000001</v>
      </c>
      <c r="D1066" s="14">
        <f>185.9073 * CHOOSE(CONTROL!$C$9, $D$9, 100%, $F$9) + CHOOSE(CONTROL!$C$27, 0.0021, 0)</f>
        <v>185.90940000000001</v>
      </c>
      <c r="E1066" s="14">
        <f>185.7706 * CHOOSE(CONTROL!$C$9, $D$9, 100%, $F$9) + CHOOSE(CONTROL!$C$27, 0.0021, 0)</f>
        <v>185.77270000000001</v>
      </c>
      <c r="F1066" s="14">
        <f>185.7706 * CHOOSE(CONTROL!$C$9, $D$9, 100%, $F$9) + CHOOSE(CONTROL!$C$27, 0.0021, 0)</f>
        <v>185.77270000000001</v>
      </c>
      <c r="G1066" s="14">
        <f>186.042 * CHOOSE(CONTROL!$C$9, $D$9, 100%, $F$9) + CHOOSE(CONTROL!$C$27, 0.0021, 0)</f>
        <v>186.04410000000001</v>
      </c>
      <c r="H1066" s="14">
        <f>185.9073 * CHOOSE(CONTROL!$C$9, $D$9, 100%, $F$9) + CHOOSE(CONTROL!$C$27, 0.0021, 0)</f>
        <v>185.90940000000001</v>
      </c>
      <c r="I1066" s="14">
        <f>185.9073 * CHOOSE(CONTROL!$C$9, $D$9, 100%, $F$9) + CHOOSE(CONTROL!$C$27, 0.0021, 0)</f>
        <v>185.90940000000001</v>
      </c>
      <c r="J1066" s="14">
        <f>185.9073 * CHOOSE(CONTROL!$C$9, $D$9, 100%, $F$9) + CHOOSE(CONTROL!$C$27, 0.0021, 0)</f>
        <v>185.90940000000001</v>
      </c>
      <c r="K1066" s="14">
        <f>185.9073 * CHOOSE(CONTROL!$C$9, $D$9, 100%, $F$9) + CHOOSE(CONTROL!$C$27, 0.0021, 0)</f>
        <v>185.90940000000001</v>
      </c>
      <c r="L1066" s="14"/>
    </row>
    <row r="1067" spans="1:12" ht="15.75" x14ac:dyDescent="0.25">
      <c r="A1067" s="32">
        <v>73415</v>
      </c>
      <c r="B1067" s="14">
        <f>180.8779 * CHOOSE(CONTROL!$C$9, $D$9, 100%, $F$9) + CHOOSE(CONTROL!$C$27, 0.0021, 0)</f>
        <v>180.88000000000002</v>
      </c>
      <c r="C1067" s="14">
        <f>180.4456 * CHOOSE(CONTROL!$C$9, $D$9, 100%, $F$9) + CHOOSE(CONTROL!$C$27, 0.0021, 0)</f>
        <v>180.44770000000003</v>
      </c>
      <c r="D1067" s="14">
        <f>180.4456 * CHOOSE(CONTROL!$C$9, $D$9, 100%, $F$9) + CHOOSE(CONTROL!$C$27, 0.0021, 0)</f>
        <v>180.44770000000003</v>
      </c>
      <c r="E1067" s="14">
        <f>180.309 * CHOOSE(CONTROL!$C$9, $D$9, 100%, $F$9) + CHOOSE(CONTROL!$C$27, 0.0021, 0)</f>
        <v>180.31110000000001</v>
      </c>
      <c r="F1067" s="14">
        <f>180.309 * CHOOSE(CONTROL!$C$9, $D$9, 100%, $F$9) + CHOOSE(CONTROL!$C$27, 0.0021, 0)</f>
        <v>180.31110000000001</v>
      </c>
      <c r="G1067" s="14">
        <f>180.5804 * CHOOSE(CONTROL!$C$9, $D$9, 100%, $F$9) + CHOOSE(CONTROL!$C$27, 0.0021, 0)</f>
        <v>180.58250000000001</v>
      </c>
      <c r="H1067" s="14">
        <f>180.4456 * CHOOSE(CONTROL!$C$9, $D$9, 100%, $F$9) + CHOOSE(CONTROL!$C$27, 0.0021, 0)</f>
        <v>180.44770000000003</v>
      </c>
      <c r="I1067" s="14">
        <f>180.4456 * CHOOSE(CONTROL!$C$9, $D$9, 100%, $F$9) + CHOOSE(CONTROL!$C$27, 0.0021, 0)</f>
        <v>180.44770000000003</v>
      </c>
      <c r="J1067" s="14">
        <f>180.4456 * CHOOSE(CONTROL!$C$9, $D$9, 100%, $F$9) + CHOOSE(CONTROL!$C$27, 0.0021, 0)</f>
        <v>180.44770000000003</v>
      </c>
      <c r="K1067" s="14">
        <f>180.4456 * CHOOSE(CONTROL!$C$9, $D$9, 100%, $F$9) + CHOOSE(CONTROL!$C$27, 0.0021, 0)</f>
        <v>180.44770000000003</v>
      </c>
      <c r="L1067" s="14"/>
    </row>
    <row r="1068" spans="1:12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  <c r="L1068" s="14"/>
    </row>
    <row r="1069" spans="1:12" ht="15" x14ac:dyDescent="0.2">
      <c r="A1069" s="10">
        <v>2013</v>
      </c>
      <c r="B1069" s="14">
        <f>AVERAGE(B12:B23)</f>
        <v>23.393614940334569</v>
      </c>
      <c r="C1069" s="14">
        <f>AVERAGE(C12:C23)</f>
        <v>22.96137919133513</v>
      </c>
      <c r="D1069" s="14"/>
      <c r="E1069" s="14">
        <f t="shared" ref="E1069:K1069" si="0">AVERAGE(E12:E23)</f>
        <v>22.824711738504959</v>
      </c>
      <c r="F1069" s="14">
        <f t="shared" si="0"/>
        <v>22.824711738504959</v>
      </c>
      <c r="G1069" s="14">
        <f t="shared" si="0"/>
        <v>23.096089096995513</v>
      </c>
      <c r="H1069" s="14">
        <f t="shared" si="0"/>
        <v>22.96137919133513</v>
      </c>
      <c r="I1069" s="14">
        <f t="shared" si="0"/>
        <v>22.96137919133513</v>
      </c>
      <c r="J1069" s="14">
        <f t="shared" si="0"/>
        <v>22.601150789391173</v>
      </c>
      <c r="K1069" s="14">
        <f t="shared" si="0"/>
        <v>22.96137919133513</v>
      </c>
      <c r="L1069" s="14"/>
    </row>
    <row r="1070" spans="1:12" ht="15" x14ac:dyDescent="0.2">
      <c r="A1070" s="10">
        <v>2014</v>
      </c>
      <c r="B1070" s="14">
        <f>AVERAGE(B24:B35)</f>
        <v>22.829091666666667</v>
      </c>
      <c r="C1070" s="14">
        <f>AVERAGE(C24:C35)</f>
        <v>22.396799999999999</v>
      </c>
      <c r="D1070" s="14"/>
      <c r="E1070" s="14">
        <f t="shared" ref="E1070:K1070" si="1">AVERAGE(E24:E35)</f>
        <v>22.260175</v>
      </c>
      <c r="F1070" s="14">
        <f t="shared" si="1"/>
        <v>22.260175</v>
      </c>
      <c r="G1070" s="14">
        <f t="shared" si="1"/>
        <v>22.531533333333332</v>
      </c>
      <c r="H1070" s="14">
        <f t="shared" si="1"/>
        <v>22.396799999999999</v>
      </c>
      <c r="I1070" s="14">
        <f t="shared" si="1"/>
        <v>22.396799999999999</v>
      </c>
      <c r="J1070" s="14">
        <f t="shared" si="1"/>
        <v>22.036599999999996</v>
      </c>
      <c r="K1070" s="14">
        <f t="shared" si="1"/>
        <v>22.396799999999999</v>
      </c>
      <c r="L1070" s="14"/>
    </row>
    <row r="1071" spans="1:12" ht="15" x14ac:dyDescent="0.2">
      <c r="A1071" s="10">
        <v>2015</v>
      </c>
      <c r="B1071" s="14">
        <f>AVERAGE(B36:B47)</f>
        <v>22.223250000000004</v>
      </c>
      <c r="C1071" s="14">
        <f>AVERAGE(C36:C47)</f>
        <v>21.791008333333334</v>
      </c>
      <c r="D1071" s="14"/>
      <c r="E1071" s="14">
        <f t="shared" ref="E1071:K1071" si="2">AVERAGE(E36:E47)</f>
        <v>21.654350000000004</v>
      </c>
      <c r="F1071" s="14">
        <f t="shared" si="2"/>
        <v>21.654350000000004</v>
      </c>
      <c r="G1071" s="14">
        <f t="shared" si="2"/>
        <v>21.925733333333337</v>
      </c>
      <c r="H1071" s="14">
        <f t="shared" si="2"/>
        <v>21.791008333333334</v>
      </c>
      <c r="I1071" s="14">
        <f t="shared" si="2"/>
        <v>21.791008333333334</v>
      </c>
      <c r="J1071" s="14">
        <f t="shared" si="2"/>
        <v>21.791008333333334</v>
      </c>
      <c r="K1071" s="14">
        <f t="shared" si="2"/>
        <v>21.791008333333334</v>
      </c>
      <c r="L1071" s="14"/>
    </row>
    <row r="1072" spans="1:12" ht="15" x14ac:dyDescent="0.2">
      <c r="A1072" s="10">
        <v>2016</v>
      </c>
      <c r="B1072" s="14">
        <f>AVERAGE(B48:B59)</f>
        <v>24.283224999999998</v>
      </c>
      <c r="C1072" s="14">
        <f>AVERAGE(C48:C59)</f>
        <v>23.850974999999995</v>
      </c>
      <c r="D1072" s="14"/>
      <c r="E1072" s="14">
        <f t="shared" ref="E1072:K1072" si="3">AVERAGE(E48:E59)</f>
        <v>23.714325000000002</v>
      </c>
      <c r="F1072" s="14">
        <f t="shared" si="3"/>
        <v>23.714325000000002</v>
      </c>
      <c r="G1072" s="14">
        <f t="shared" si="3"/>
        <v>23.985699999999998</v>
      </c>
      <c r="H1072" s="14">
        <f t="shared" si="3"/>
        <v>23.850974999999995</v>
      </c>
      <c r="I1072" s="14">
        <f t="shared" si="3"/>
        <v>23.850974999999995</v>
      </c>
      <c r="J1072" s="14">
        <f t="shared" si="3"/>
        <v>23.850974999999995</v>
      </c>
      <c r="K1072" s="14">
        <f t="shared" si="3"/>
        <v>23.850974999999995</v>
      </c>
      <c r="L1072" s="14"/>
    </row>
    <row r="1073" spans="1:12" ht="15" x14ac:dyDescent="0.2">
      <c r="A1073" s="10">
        <v>2017</v>
      </c>
      <c r="B1073" s="14">
        <f>AVERAGE(B60:B71)</f>
        <v>25.088341666666665</v>
      </c>
      <c r="C1073" s="14">
        <f>AVERAGE(C60:C71)</f>
        <v>24.656099999999999</v>
      </c>
      <c r="D1073" s="14"/>
      <c r="E1073" s="14">
        <f t="shared" ref="E1073:K1073" si="4">AVERAGE(E60:E71)</f>
        <v>24.519425000000002</v>
      </c>
      <c r="F1073" s="14">
        <f t="shared" si="4"/>
        <v>24.519425000000002</v>
      </c>
      <c r="G1073" s="14">
        <f t="shared" si="4"/>
        <v>24.790800000000004</v>
      </c>
      <c r="H1073" s="14">
        <f t="shared" si="4"/>
        <v>24.656099999999999</v>
      </c>
      <c r="I1073" s="14">
        <f t="shared" si="4"/>
        <v>24.656099999999999</v>
      </c>
      <c r="J1073" s="14">
        <f t="shared" si="4"/>
        <v>24.656099999999999</v>
      </c>
      <c r="K1073" s="14">
        <f t="shared" si="4"/>
        <v>24.656099999999999</v>
      </c>
      <c r="L1073" s="14"/>
    </row>
    <row r="1074" spans="1:12" ht="15" x14ac:dyDescent="0.2">
      <c r="A1074" s="10">
        <v>2018</v>
      </c>
      <c r="B1074" s="14">
        <f>AVERAGE(B72:B83)</f>
        <v>29.022149999999996</v>
      </c>
      <c r="C1074" s="14">
        <f>AVERAGE(C72:C83)</f>
        <v>28.589916666666664</v>
      </c>
      <c r="D1074" s="14"/>
      <c r="E1074" s="14">
        <f t="shared" ref="E1074:K1074" si="5">AVERAGE(E72:E83)</f>
        <v>28.45323333333333</v>
      </c>
      <c r="F1074" s="14">
        <f t="shared" si="5"/>
        <v>28.45323333333333</v>
      </c>
      <c r="G1074" s="14">
        <f t="shared" si="5"/>
        <v>28.724616666666666</v>
      </c>
      <c r="H1074" s="14">
        <f t="shared" si="5"/>
        <v>28.589916666666664</v>
      </c>
      <c r="I1074" s="14">
        <f t="shared" si="5"/>
        <v>28.589916666666664</v>
      </c>
      <c r="J1074" s="14">
        <f t="shared" si="5"/>
        <v>28.589916666666664</v>
      </c>
      <c r="K1074" s="14">
        <f t="shared" si="5"/>
        <v>28.589916666666664</v>
      </c>
      <c r="L1074" s="14"/>
    </row>
    <row r="1075" spans="1:12" ht="15" x14ac:dyDescent="0.2">
      <c r="A1075" s="10">
        <v>2019</v>
      </c>
      <c r="B1075" s="14">
        <f>AVERAGE(B84:B95)</f>
        <v>30.382450000000002</v>
      </c>
      <c r="C1075" s="14">
        <f>AVERAGE(C84:C95)</f>
        <v>29.950200000000006</v>
      </c>
      <c r="D1075" s="14"/>
      <c r="E1075" s="14">
        <f t="shared" ref="E1075:K1075" si="6">AVERAGE(E84:E95)</f>
        <v>29.813549999999992</v>
      </c>
      <c r="F1075" s="14">
        <f t="shared" si="6"/>
        <v>29.813549999999992</v>
      </c>
      <c r="G1075" s="14">
        <f t="shared" si="6"/>
        <v>30.084916666666661</v>
      </c>
      <c r="H1075" s="14">
        <f t="shared" si="6"/>
        <v>29.950200000000006</v>
      </c>
      <c r="I1075" s="14">
        <f t="shared" si="6"/>
        <v>29.950200000000006</v>
      </c>
      <c r="J1075" s="14">
        <f t="shared" si="6"/>
        <v>29.950200000000006</v>
      </c>
      <c r="K1075" s="14">
        <f t="shared" si="6"/>
        <v>29.950200000000006</v>
      </c>
      <c r="L1075" s="14"/>
    </row>
    <row r="1076" spans="1:12" ht="15" x14ac:dyDescent="0.2">
      <c r="A1076" s="10">
        <v>2020</v>
      </c>
      <c r="B1076" s="14">
        <f>AVERAGE(B96:B107)</f>
        <v>31.973575</v>
      </c>
      <c r="C1076" s="14">
        <f>AVERAGE(C96:C107)</f>
        <v>31.541349999999998</v>
      </c>
      <c r="D1076" s="14"/>
      <c r="E1076" s="14">
        <f t="shared" ref="E1076:K1076" si="7">AVERAGE(E96:E107)</f>
        <v>31.404674999999997</v>
      </c>
      <c r="F1076" s="14">
        <f t="shared" si="7"/>
        <v>31.404674999999997</v>
      </c>
      <c r="G1076" s="14">
        <f t="shared" si="7"/>
        <v>31.676066666666667</v>
      </c>
      <c r="H1076" s="14">
        <f t="shared" si="7"/>
        <v>31.541349999999998</v>
      </c>
      <c r="I1076" s="14">
        <f t="shared" si="7"/>
        <v>31.541349999999998</v>
      </c>
      <c r="J1076" s="14">
        <f t="shared" si="7"/>
        <v>31.541349999999998</v>
      </c>
      <c r="K1076" s="14">
        <f t="shared" si="7"/>
        <v>31.541349999999998</v>
      </c>
      <c r="L1076" s="14"/>
    </row>
    <row r="1077" spans="1:12" ht="15" x14ac:dyDescent="0.2">
      <c r="A1077" s="10">
        <v>2021</v>
      </c>
      <c r="B1077" s="14">
        <f>AVERAGE(B108:B119)</f>
        <v>34.254641666666664</v>
      </c>
      <c r="C1077" s="14">
        <f>AVERAGE(C108:C119)</f>
        <v>33.822400000000002</v>
      </c>
      <c r="D1077" s="14"/>
      <c r="E1077" s="14">
        <f t="shared" ref="E1077:K1077" si="8">AVERAGE(E108:E119)</f>
        <v>33.685733333333332</v>
      </c>
      <c r="F1077" s="14">
        <f t="shared" si="8"/>
        <v>33.685733333333332</v>
      </c>
      <c r="G1077" s="14">
        <f t="shared" si="8"/>
        <v>33.957108333333331</v>
      </c>
      <c r="H1077" s="14">
        <f t="shared" si="8"/>
        <v>33.822400000000002</v>
      </c>
      <c r="I1077" s="14">
        <f t="shared" si="8"/>
        <v>33.822400000000002</v>
      </c>
      <c r="J1077" s="14">
        <f t="shared" si="8"/>
        <v>33.822400000000002</v>
      </c>
      <c r="K1077" s="14">
        <f t="shared" si="8"/>
        <v>33.822400000000002</v>
      </c>
      <c r="L1077" s="14"/>
    </row>
    <row r="1078" spans="1:12" ht="15" x14ac:dyDescent="0.2">
      <c r="A1078" s="10">
        <v>2022</v>
      </c>
      <c r="B1078" s="14">
        <f>AVERAGE(B120:B131)</f>
        <v>36.744800000000005</v>
      </c>
      <c r="C1078" s="14">
        <f>AVERAGE(C120:C131)</f>
        <v>36.312541666666668</v>
      </c>
      <c r="D1078" s="14"/>
      <c r="E1078" s="14">
        <f t="shared" ref="E1078:K1078" si="9">AVERAGE(E120:E131)</f>
        <v>36.175883333333331</v>
      </c>
      <c r="F1078" s="14">
        <f t="shared" si="9"/>
        <v>36.175883333333331</v>
      </c>
      <c r="G1078" s="14">
        <f t="shared" si="9"/>
        <v>36.447266666666671</v>
      </c>
      <c r="H1078" s="14">
        <f t="shared" si="9"/>
        <v>36.312541666666668</v>
      </c>
      <c r="I1078" s="14">
        <f t="shared" si="9"/>
        <v>36.312541666666668</v>
      </c>
      <c r="J1078" s="14">
        <f t="shared" si="9"/>
        <v>36.312541666666668</v>
      </c>
      <c r="K1078" s="14">
        <f t="shared" si="9"/>
        <v>36.312541666666668</v>
      </c>
      <c r="L1078" s="14"/>
    </row>
    <row r="1079" spans="1:12" ht="15" x14ac:dyDescent="0.2">
      <c r="A1079" s="10">
        <v>2023</v>
      </c>
      <c r="B1079" s="14">
        <f>AVERAGE(B132:B143)</f>
        <v>39.278350000000003</v>
      </c>
      <c r="C1079" s="14">
        <f>AVERAGE(C132:C143)</f>
        <v>38.846091666666666</v>
      </c>
      <c r="D1079" s="14"/>
      <c r="E1079" s="14">
        <f t="shared" ref="E1079:K1079" si="10">AVERAGE(E132:E143)</f>
        <v>38.709450000000004</v>
      </c>
      <c r="F1079" s="14">
        <f t="shared" si="10"/>
        <v>38.709450000000004</v>
      </c>
      <c r="G1079" s="14">
        <f t="shared" si="10"/>
        <v>38.980808333333336</v>
      </c>
      <c r="H1079" s="14">
        <f t="shared" si="10"/>
        <v>38.846091666666666</v>
      </c>
      <c r="I1079" s="14">
        <f t="shared" si="10"/>
        <v>38.846091666666666</v>
      </c>
      <c r="J1079" s="14">
        <f t="shared" si="10"/>
        <v>38.846091666666666</v>
      </c>
      <c r="K1079" s="14">
        <f t="shared" si="10"/>
        <v>38.846091666666666</v>
      </c>
      <c r="L1079" s="14"/>
    </row>
    <row r="1080" spans="1:12" ht="15" x14ac:dyDescent="0.2">
      <c r="A1080" s="10">
        <v>2024</v>
      </c>
      <c r="B1080" s="14">
        <f>AVERAGE(B144:B155)</f>
        <v>41.871083333333338</v>
      </c>
      <c r="C1080" s="14">
        <f>AVERAGE(C144:C155)</f>
        <v>41.438849999999995</v>
      </c>
      <c r="D1080" s="14"/>
      <c r="E1080" s="14">
        <f t="shared" ref="E1080:K1080" si="11">AVERAGE(E144:E155)</f>
        <v>41.302183333333325</v>
      </c>
      <c r="F1080" s="14">
        <f t="shared" si="11"/>
        <v>41.302183333333325</v>
      </c>
      <c r="G1080" s="14">
        <f t="shared" si="11"/>
        <v>41.573574999999998</v>
      </c>
      <c r="H1080" s="14">
        <f t="shared" si="11"/>
        <v>41.438849999999995</v>
      </c>
      <c r="I1080" s="14">
        <f t="shared" si="11"/>
        <v>41.438849999999995</v>
      </c>
      <c r="J1080" s="14">
        <f t="shared" si="11"/>
        <v>41.438849999999995</v>
      </c>
      <c r="K1080" s="14">
        <f t="shared" si="11"/>
        <v>41.438849999999995</v>
      </c>
      <c r="L1080" s="14"/>
    </row>
    <row r="1081" spans="1:12" ht="15" x14ac:dyDescent="0.2">
      <c r="A1081" s="10">
        <v>2025</v>
      </c>
      <c r="B1081" s="14">
        <f>AVERAGE(B156:B167)</f>
        <v>44.504191666666664</v>
      </c>
      <c r="C1081" s="14">
        <f>AVERAGE(C156:C167)</f>
        <v>44.071941666666667</v>
      </c>
      <c r="D1081" s="14"/>
      <c r="E1081" s="14">
        <f t="shared" ref="E1081:K1081" si="12">AVERAGE(E156:E167)</f>
        <v>43.935283333333331</v>
      </c>
      <c r="F1081" s="14">
        <f t="shared" si="12"/>
        <v>43.935283333333331</v>
      </c>
      <c r="G1081" s="14">
        <f t="shared" si="12"/>
        <v>44.206650000000003</v>
      </c>
      <c r="H1081" s="14">
        <f t="shared" si="12"/>
        <v>44.071941666666667</v>
      </c>
      <c r="I1081" s="14">
        <f t="shared" si="12"/>
        <v>44.071941666666667</v>
      </c>
      <c r="J1081" s="14">
        <f t="shared" si="12"/>
        <v>44.071941666666667</v>
      </c>
      <c r="K1081" s="14">
        <f t="shared" si="12"/>
        <v>44.071941666666667</v>
      </c>
      <c r="L1081" s="14"/>
    </row>
    <row r="1082" spans="1:12" ht="15" x14ac:dyDescent="0.2">
      <c r="A1082" s="10">
        <v>2026</v>
      </c>
      <c r="B1082" s="14">
        <f>AVERAGE(B168:B179)</f>
        <v>46.482824999999991</v>
      </c>
      <c r="C1082" s="14">
        <f>AVERAGE(C168:C179)</f>
        <v>46.050566666666668</v>
      </c>
      <c r="D1082" s="14"/>
      <c r="E1082" s="14">
        <f t="shared" ref="E1082:K1082" si="13">AVERAGE(E168:E179)</f>
        <v>45.913924999999999</v>
      </c>
      <c r="F1082" s="14">
        <f t="shared" si="13"/>
        <v>45.913924999999999</v>
      </c>
      <c r="G1082" s="14">
        <f t="shared" si="13"/>
        <v>46.185308333333325</v>
      </c>
      <c r="H1082" s="14">
        <f t="shared" si="13"/>
        <v>46.050566666666668</v>
      </c>
      <c r="I1082" s="14">
        <f t="shared" si="13"/>
        <v>46.050566666666668</v>
      </c>
      <c r="J1082" s="14">
        <f t="shared" si="13"/>
        <v>46.050566666666668</v>
      </c>
      <c r="K1082" s="14">
        <f t="shared" si="13"/>
        <v>46.050566666666668</v>
      </c>
      <c r="L1082" s="14"/>
    </row>
    <row r="1083" spans="1:12" ht="15" x14ac:dyDescent="0.2">
      <c r="A1083" s="10">
        <v>2027</v>
      </c>
      <c r="B1083" s="14">
        <f>AVERAGE(B180:B191)</f>
        <v>48.498216666666671</v>
      </c>
      <c r="C1083" s="14">
        <f>AVERAGE(C180:C191)</f>
        <v>48.065991666666662</v>
      </c>
      <c r="D1083" s="14"/>
      <c r="E1083" s="14">
        <f t="shared" ref="E1083:K1083" si="14">AVERAGE(E180:E191)</f>
        <v>47.929308333333331</v>
      </c>
      <c r="F1083" s="14">
        <f t="shared" si="14"/>
        <v>47.929308333333331</v>
      </c>
      <c r="G1083" s="14">
        <f t="shared" si="14"/>
        <v>48.200691666666671</v>
      </c>
      <c r="H1083" s="14">
        <f t="shared" si="14"/>
        <v>48.065991666666662</v>
      </c>
      <c r="I1083" s="14">
        <f t="shared" si="14"/>
        <v>48.065991666666662</v>
      </c>
      <c r="J1083" s="14">
        <f t="shared" si="14"/>
        <v>48.065991666666662</v>
      </c>
      <c r="K1083" s="14">
        <f t="shared" si="14"/>
        <v>48.065991666666662</v>
      </c>
      <c r="L1083" s="14"/>
    </row>
    <row r="1084" spans="1:12" ht="15" x14ac:dyDescent="0.2">
      <c r="A1084" s="10">
        <v>2028</v>
      </c>
      <c r="B1084" s="14">
        <f>AVERAGE(B192:B203)</f>
        <v>50.511316666666659</v>
      </c>
      <c r="C1084" s="14">
        <f>AVERAGE(C192:C203)</f>
        <v>50.07906666666667</v>
      </c>
      <c r="D1084" s="14"/>
      <c r="E1084" s="14">
        <f t="shared" ref="E1084:K1084" si="15">AVERAGE(E192:E203)</f>
        <v>49.942391666666673</v>
      </c>
      <c r="F1084" s="14">
        <f t="shared" si="15"/>
        <v>49.942391666666673</v>
      </c>
      <c r="G1084" s="14">
        <f t="shared" si="15"/>
        <v>50.213774999999991</v>
      </c>
      <c r="H1084" s="14">
        <f t="shared" si="15"/>
        <v>50.07906666666667</v>
      </c>
      <c r="I1084" s="14">
        <f t="shared" si="15"/>
        <v>50.07906666666667</v>
      </c>
      <c r="J1084" s="14">
        <f t="shared" si="15"/>
        <v>50.07906666666667</v>
      </c>
      <c r="K1084" s="14">
        <f t="shared" si="15"/>
        <v>50.07906666666667</v>
      </c>
      <c r="L1084" s="14"/>
    </row>
    <row r="1085" spans="1:12" ht="15" x14ac:dyDescent="0.2">
      <c r="A1085" s="10">
        <v>2029</v>
      </c>
      <c r="B1085" s="14">
        <f>AVERAGE(B204:B215)</f>
        <v>52.639433333333336</v>
      </c>
      <c r="C1085" s="14">
        <f>AVERAGE(C204:C215)</f>
        <v>52.207158333333332</v>
      </c>
      <c r="D1085" s="14"/>
      <c r="E1085" s="14">
        <f t="shared" ref="E1085:K1085" si="16">AVERAGE(E204:E215)</f>
        <v>52.070533333333337</v>
      </c>
      <c r="F1085" s="14">
        <f t="shared" si="16"/>
        <v>52.070533333333337</v>
      </c>
      <c r="G1085" s="14">
        <f t="shared" si="16"/>
        <v>52.341883333333335</v>
      </c>
      <c r="H1085" s="14">
        <f t="shared" si="16"/>
        <v>52.207158333333332</v>
      </c>
      <c r="I1085" s="14">
        <f t="shared" si="16"/>
        <v>52.207158333333332</v>
      </c>
      <c r="J1085" s="14">
        <f t="shared" si="16"/>
        <v>52.207158333333332</v>
      </c>
      <c r="K1085" s="14">
        <f t="shared" si="16"/>
        <v>52.207158333333332</v>
      </c>
      <c r="L1085" s="14"/>
    </row>
    <row r="1086" spans="1:12" ht="15" x14ac:dyDescent="0.2">
      <c r="A1086" s="10">
        <v>2030</v>
      </c>
      <c r="B1086" s="14">
        <f>AVERAGE(B216:B227)</f>
        <v>54.692541666666664</v>
      </c>
      <c r="C1086" s="14">
        <f>AVERAGE(C216:C227)</f>
        <v>54.260308333333342</v>
      </c>
      <c r="D1086" s="14"/>
      <c r="E1086" s="14">
        <f t="shared" ref="E1086:K1086" si="17">AVERAGE(E216:E227)</f>
        <v>54.123641666666678</v>
      </c>
      <c r="F1086" s="14">
        <f t="shared" si="17"/>
        <v>54.123641666666678</v>
      </c>
      <c r="G1086" s="14">
        <f t="shared" si="17"/>
        <v>54.395024999999997</v>
      </c>
      <c r="H1086" s="14">
        <f t="shared" si="17"/>
        <v>54.260308333333342</v>
      </c>
      <c r="I1086" s="14">
        <f t="shared" si="17"/>
        <v>54.260308333333342</v>
      </c>
      <c r="J1086" s="14">
        <f t="shared" si="17"/>
        <v>54.260308333333342</v>
      </c>
      <c r="K1086" s="14">
        <f t="shared" si="17"/>
        <v>54.260308333333342</v>
      </c>
      <c r="L1086" s="14"/>
    </row>
    <row r="1087" spans="1:12" ht="15" x14ac:dyDescent="0.2">
      <c r="A1087" s="10">
        <v>2031</v>
      </c>
      <c r="B1087" s="14">
        <f>AVERAGE(B228:B239)</f>
        <v>55.848141666666663</v>
      </c>
      <c r="C1087" s="14">
        <f>AVERAGE(C228:C239)</f>
        <v>55.41589166666666</v>
      </c>
      <c r="D1087" s="14"/>
      <c r="E1087" s="14">
        <f t="shared" ref="E1087:K1087" si="18">AVERAGE(E228:E239)</f>
        <v>55.279241666666657</v>
      </c>
      <c r="F1087" s="14">
        <f t="shared" si="18"/>
        <v>55.279241666666657</v>
      </c>
      <c r="G1087" s="14">
        <f t="shared" si="18"/>
        <v>55.550608333333336</v>
      </c>
      <c r="H1087" s="14">
        <f t="shared" si="18"/>
        <v>55.41589166666666</v>
      </c>
      <c r="I1087" s="14">
        <f t="shared" si="18"/>
        <v>55.41589166666666</v>
      </c>
      <c r="J1087" s="14">
        <f t="shared" si="18"/>
        <v>55.41589166666666</v>
      </c>
      <c r="K1087" s="14">
        <f t="shared" si="18"/>
        <v>55.41589166666666</v>
      </c>
      <c r="L1087" s="14"/>
    </row>
    <row r="1088" spans="1:12" ht="15" x14ac:dyDescent="0.2">
      <c r="A1088" s="10">
        <v>2032</v>
      </c>
      <c r="B1088" s="14">
        <f>AVERAGE(B240:B251)</f>
        <v>56.837841666666669</v>
      </c>
      <c r="C1088" s="14">
        <f>AVERAGE(C240:C251)</f>
        <v>56.405624999999993</v>
      </c>
      <c r="D1088" s="14"/>
      <c r="E1088" s="14">
        <f t="shared" ref="E1088:K1088" si="19">AVERAGE(E240:E251)</f>
        <v>56.268933333333337</v>
      </c>
      <c r="F1088" s="14">
        <f t="shared" si="19"/>
        <v>56.268933333333337</v>
      </c>
      <c r="G1088" s="14">
        <f t="shared" si="19"/>
        <v>56.540333333333336</v>
      </c>
      <c r="H1088" s="14">
        <f t="shared" si="19"/>
        <v>56.405624999999993</v>
      </c>
      <c r="I1088" s="14">
        <f t="shared" si="19"/>
        <v>56.405624999999993</v>
      </c>
      <c r="J1088" s="14">
        <f t="shared" si="19"/>
        <v>56.405624999999993</v>
      </c>
      <c r="K1088" s="14">
        <f t="shared" si="19"/>
        <v>56.405624999999993</v>
      </c>
      <c r="L1088" s="14"/>
    </row>
    <row r="1089" spans="1:12" ht="15" x14ac:dyDescent="0.2">
      <c r="A1089" s="10">
        <v>2033</v>
      </c>
      <c r="B1089" s="14">
        <f>AVERAGE(B252:B263)</f>
        <v>57.845858333333332</v>
      </c>
      <c r="C1089" s="14">
        <f>AVERAGE(C252:C263)</f>
        <v>57.413608333333336</v>
      </c>
      <c r="D1089" s="14"/>
      <c r="E1089" s="14">
        <f t="shared" ref="E1089:K1089" si="20">AVERAGE(E252:E263)</f>
        <v>57.276949999999992</v>
      </c>
      <c r="F1089" s="14">
        <f t="shared" si="20"/>
        <v>57.276949999999992</v>
      </c>
      <c r="G1089" s="14">
        <f t="shared" si="20"/>
        <v>57.548324999999998</v>
      </c>
      <c r="H1089" s="14">
        <f t="shared" si="20"/>
        <v>57.413608333333336</v>
      </c>
      <c r="I1089" s="14">
        <f t="shared" si="20"/>
        <v>57.413608333333336</v>
      </c>
      <c r="J1089" s="14">
        <f t="shared" si="20"/>
        <v>57.413608333333336</v>
      </c>
      <c r="K1089" s="14">
        <f t="shared" si="20"/>
        <v>57.413608333333336</v>
      </c>
      <c r="L1089" s="14"/>
    </row>
    <row r="1090" spans="1:12" ht="15" x14ac:dyDescent="0.2">
      <c r="A1090" s="10">
        <v>2034</v>
      </c>
      <c r="B1090" s="14">
        <f>AVERAGE(B264:B275)</f>
        <v>58.872475000000001</v>
      </c>
      <c r="C1090" s="14">
        <f>AVERAGE(C264:C275)</f>
        <v>58.440249999999999</v>
      </c>
      <c r="D1090" s="14"/>
      <c r="E1090" s="14">
        <f t="shared" ref="E1090:K1090" si="21">AVERAGE(E264:E275)</f>
        <v>58.303575000000002</v>
      </c>
      <c r="F1090" s="14">
        <f t="shared" si="21"/>
        <v>58.303575000000002</v>
      </c>
      <c r="G1090" s="14">
        <f t="shared" si="21"/>
        <v>58.574958333333335</v>
      </c>
      <c r="H1090" s="14">
        <f t="shared" si="21"/>
        <v>58.440249999999999</v>
      </c>
      <c r="I1090" s="14">
        <f t="shared" si="21"/>
        <v>58.440249999999999</v>
      </c>
      <c r="J1090" s="14">
        <f t="shared" si="21"/>
        <v>58.440249999999999</v>
      </c>
      <c r="K1090" s="14">
        <f t="shared" si="21"/>
        <v>58.440249999999999</v>
      </c>
      <c r="L1090" s="14"/>
    </row>
    <row r="1091" spans="1:12" ht="15" x14ac:dyDescent="0.2">
      <c r="A1091" s="10">
        <v>2035</v>
      </c>
      <c r="B1091" s="14">
        <f>AVERAGE(B276:B287)</f>
        <v>59.918083333333328</v>
      </c>
      <c r="C1091" s="14">
        <f>AVERAGE(C276:C287)</f>
        <v>59.485866666666674</v>
      </c>
      <c r="D1091" s="14"/>
      <c r="E1091" s="14">
        <f t="shared" ref="E1091:K1091" si="22">AVERAGE(E276:E287)</f>
        <v>59.349183333333336</v>
      </c>
      <c r="F1091" s="14">
        <f t="shared" si="22"/>
        <v>59.349183333333336</v>
      </c>
      <c r="G1091" s="14">
        <f t="shared" si="22"/>
        <v>59.620574999999995</v>
      </c>
      <c r="H1091" s="14">
        <f t="shared" si="22"/>
        <v>59.485866666666674</v>
      </c>
      <c r="I1091" s="14">
        <f t="shared" si="22"/>
        <v>59.485866666666674</v>
      </c>
      <c r="J1091" s="14">
        <f t="shared" si="22"/>
        <v>59.485866666666674</v>
      </c>
      <c r="K1091" s="14">
        <f t="shared" si="22"/>
        <v>59.485866666666674</v>
      </c>
      <c r="L1091" s="14"/>
    </row>
    <row r="1092" spans="1:12" ht="15" x14ac:dyDescent="0.2">
      <c r="A1092" s="10">
        <v>2036</v>
      </c>
      <c r="B1092" s="14">
        <f>AVERAGE(B288:B299)</f>
        <v>60.983024999999998</v>
      </c>
      <c r="C1092" s="14">
        <f>AVERAGE(C288:C299)</f>
        <v>60.550791666666662</v>
      </c>
      <c r="D1092" s="14"/>
      <c r="E1092" s="14">
        <f t="shared" ref="E1092:K1092" si="23">AVERAGE(E288:E299)</f>
        <v>60.414116666666672</v>
      </c>
      <c r="F1092" s="14">
        <f t="shared" si="23"/>
        <v>60.414116666666672</v>
      </c>
      <c r="G1092" s="14">
        <f t="shared" si="23"/>
        <v>60.685499999999998</v>
      </c>
      <c r="H1092" s="14">
        <f t="shared" si="23"/>
        <v>60.550791666666662</v>
      </c>
      <c r="I1092" s="14">
        <f t="shared" si="23"/>
        <v>60.550791666666662</v>
      </c>
      <c r="J1092" s="14">
        <f t="shared" si="23"/>
        <v>60.550791666666662</v>
      </c>
      <c r="K1092" s="14">
        <f t="shared" si="23"/>
        <v>60.550791666666662</v>
      </c>
      <c r="L1092" s="14"/>
    </row>
    <row r="1093" spans="1:12" ht="15" x14ac:dyDescent="0.2">
      <c r="A1093" s="10">
        <v>2037</v>
      </c>
      <c r="B1093" s="14">
        <f>AVERAGE(B300:B311)</f>
        <v>62.067625</v>
      </c>
      <c r="C1093" s="14">
        <f>AVERAGE(C300:C311)</f>
        <v>61.63538333333333</v>
      </c>
      <c r="D1093" s="14"/>
      <c r="E1093" s="14">
        <f t="shared" ref="E1093:K1093" si="24">AVERAGE(E300:E311)</f>
        <v>61.498725</v>
      </c>
      <c r="F1093" s="14">
        <f t="shared" si="24"/>
        <v>61.498725</v>
      </c>
      <c r="G1093" s="14">
        <f t="shared" si="24"/>
        <v>61.770091666666666</v>
      </c>
      <c r="H1093" s="14">
        <f t="shared" si="24"/>
        <v>61.63538333333333</v>
      </c>
      <c r="I1093" s="14">
        <f t="shared" si="24"/>
        <v>61.63538333333333</v>
      </c>
      <c r="J1093" s="14">
        <f t="shared" si="24"/>
        <v>61.63538333333333</v>
      </c>
      <c r="K1093" s="14">
        <f t="shared" si="24"/>
        <v>61.63538333333333</v>
      </c>
      <c r="L1093" s="14"/>
    </row>
    <row r="1094" spans="1:12" ht="15" x14ac:dyDescent="0.2">
      <c r="A1094" s="10">
        <f t="shared" ref="A1094:A1125" si="25">A1093+1</f>
        <v>2038</v>
      </c>
      <c r="B1094" s="14">
        <f>AVERAGE(B312:B323)</f>
        <v>63.172274999999992</v>
      </c>
      <c r="C1094" s="14">
        <f>AVERAGE(C312:C323)</f>
        <v>62.740033333333336</v>
      </c>
      <c r="D1094" s="14"/>
      <c r="E1094" s="14">
        <f t="shared" ref="E1094:K1094" si="26">AVERAGE(E312:E323)</f>
        <v>62.603375</v>
      </c>
      <c r="F1094" s="14">
        <f t="shared" si="26"/>
        <v>62.603375</v>
      </c>
      <c r="G1094" s="14">
        <f t="shared" si="26"/>
        <v>62.874766666666659</v>
      </c>
      <c r="H1094" s="14">
        <f t="shared" si="26"/>
        <v>62.740033333333336</v>
      </c>
      <c r="I1094" s="14">
        <f t="shared" si="26"/>
        <v>62.740033333333336</v>
      </c>
      <c r="J1094" s="14">
        <f t="shared" si="26"/>
        <v>62.740033333333336</v>
      </c>
      <c r="K1094" s="14">
        <f t="shared" si="26"/>
        <v>62.740033333333336</v>
      </c>
      <c r="L1094" s="14"/>
    </row>
    <row r="1095" spans="1:12" ht="15" x14ac:dyDescent="0.2">
      <c r="A1095" s="10">
        <f t="shared" si="25"/>
        <v>2039</v>
      </c>
      <c r="B1095" s="14">
        <f>AVERAGE(B324:B335)</f>
        <v>64.297358333333321</v>
      </c>
      <c r="C1095" s="14">
        <f>AVERAGE(C324:C335)</f>
        <v>63.865100000000005</v>
      </c>
      <c r="D1095" s="14"/>
      <c r="E1095" s="14">
        <f t="shared" ref="E1095:K1095" si="27">AVERAGE(E324:E335)</f>
        <v>63.728458333333329</v>
      </c>
      <c r="F1095" s="14">
        <f t="shared" si="27"/>
        <v>63.728458333333329</v>
      </c>
      <c r="G1095" s="14">
        <f t="shared" si="27"/>
        <v>63.999824999999994</v>
      </c>
      <c r="H1095" s="14">
        <f t="shared" si="27"/>
        <v>63.865100000000005</v>
      </c>
      <c r="I1095" s="14">
        <f t="shared" si="27"/>
        <v>63.865100000000005</v>
      </c>
      <c r="J1095" s="14">
        <f t="shared" si="27"/>
        <v>63.865100000000005</v>
      </c>
      <c r="K1095" s="14">
        <f t="shared" si="27"/>
        <v>63.865100000000005</v>
      </c>
      <c r="L1095" s="14"/>
    </row>
    <row r="1096" spans="1:12" ht="15" x14ac:dyDescent="0.2">
      <c r="A1096" s="10">
        <f t="shared" si="25"/>
        <v>2040</v>
      </c>
      <c r="B1096" s="14">
        <f>AVERAGE(B336:B347)</f>
        <v>65.443208333333317</v>
      </c>
      <c r="C1096" s="14">
        <f>AVERAGE(C336:C347)</f>
        <v>65.010966666666675</v>
      </c>
      <c r="D1096" s="14"/>
      <c r="E1096" s="14">
        <f t="shared" ref="E1096:K1096" si="28">AVERAGE(E336:E347)</f>
        <v>64.874308333333332</v>
      </c>
      <c r="F1096" s="14">
        <f t="shared" si="28"/>
        <v>64.874308333333332</v>
      </c>
      <c r="G1096" s="14">
        <f t="shared" si="28"/>
        <v>65.145683333333338</v>
      </c>
      <c r="H1096" s="14">
        <f t="shared" si="28"/>
        <v>65.010966666666675</v>
      </c>
      <c r="I1096" s="14">
        <f t="shared" si="28"/>
        <v>65.010966666666675</v>
      </c>
      <c r="J1096" s="14">
        <f t="shared" si="28"/>
        <v>65.010966666666675</v>
      </c>
      <c r="K1096" s="14">
        <f t="shared" si="28"/>
        <v>65.010966666666675</v>
      </c>
      <c r="L1096" s="14"/>
    </row>
    <row r="1097" spans="1:12" ht="15" x14ac:dyDescent="0.2">
      <c r="A1097" s="10">
        <f t="shared" si="25"/>
        <v>2041</v>
      </c>
      <c r="B1097" s="14">
        <f>AVERAGE(B348:B359)</f>
        <v>66.610233333333341</v>
      </c>
      <c r="C1097" s="14">
        <f>AVERAGE(C348:C359)</f>
        <v>66.178000000000011</v>
      </c>
      <c r="D1097" s="14"/>
      <c r="E1097" s="14">
        <f t="shared" ref="E1097:K1097" si="29">AVERAGE(E348:E359)</f>
        <v>66.041333333333341</v>
      </c>
      <c r="F1097" s="14">
        <f t="shared" si="29"/>
        <v>66.041333333333341</v>
      </c>
      <c r="G1097" s="14">
        <f t="shared" si="29"/>
        <v>66.312725</v>
      </c>
      <c r="H1097" s="14">
        <f t="shared" si="29"/>
        <v>66.178000000000011</v>
      </c>
      <c r="I1097" s="14">
        <f t="shared" si="29"/>
        <v>66.178000000000011</v>
      </c>
      <c r="J1097" s="14">
        <f t="shared" si="29"/>
        <v>66.178000000000011</v>
      </c>
      <c r="K1097" s="14">
        <f t="shared" si="29"/>
        <v>66.178000000000011</v>
      </c>
      <c r="L1097" s="14"/>
    </row>
    <row r="1098" spans="1:12" ht="15" x14ac:dyDescent="0.2">
      <c r="A1098" s="10">
        <f t="shared" si="25"/>
        <v>2042</v>
      </c>
      <c r="B1098" s="14">
        <f>AVERAGE(B360:B371)</f>
        <v>67.798841666666661</v>
      </c>
      <c r="C1098" s="14">
        <f>AVERAGE(C360:C371)</f>
        <v>67.366616666666658</v>
      </c>
      <c r="D1098" s="14"/>
      <c r="E1098" s="14">
        <f t="shared" ref="E1098:K1098" si="30">AVERAGE(E360:E371)</f>
        <v>67.229941666666676</v>
      </c>
      <c r="F1098" s="14">
        <f t="shared" si="30"/>
        <v>67.229941666666676</v>
      </c>
      <c r="G1098" s="14">
        <f t="shared" si="30"/>
        <v>67.501333333333321</v>
      </c>
      <c r="H1098" s="14">
        <f t="shared" si="30"/>
        <v>67.366616666666658</v>
      </c>
      <c r="I1098" s="14">
        <f t="shared" si="30"/>
        <v>67.366616666666658</v>
      </c>
      <c r="J1098" s="14">
        <f t="shared" si="30"/>
        <v>67.366616666666658</v>
      </c>
      <c r="K1098" s="14">
        <f t="shared" si="30"/>
        <v>67.366616666666658</v>
      </c>
      <c r="L1098" s="14"/>
    </row>
    <row r="1099" spans="1:12" ht="15" x14ac:dyDescent="0.2">
      <c r="A1099" s="10">
        <f t="shared" si="25"/>
        <v>2043</v>
      </c>
      <c r="B1099" s="14">
        <f>AVERAGE(B372:B383)</f>
        <v>69.009424999999979</v>
      </c>
      <c r="C1099" s="14">
        <f>AVERAGE(C372:C383)</f>
        <v>68.577183333333338</v>
      </c>
      <c r="D1099" s="14"/>
      <c r="E1099" s="14">
        <f t="shared" ref="E1099:K1099" si="31">AVERAGE(E372:E383)</f>
        <v>68.440524999999994</v>
      </c>
      <c r="F1099" s="14">
        <f t="shared" si="31"/>
        <v>68.440524999999994</v>
      </c>
      <c r="G1099" s="14">
        <f t="shared" si="31"/>
        <v>68.711883333333333</v>
      </c>
      <c r="H1099" s="14">
        <f t="shared" si="31"/>
        <v>68.577183333333338</v>
      </c>
      <c r="I1099" s="14">
        <f t="shared" si="31"/>
        <v>68.577183333333338</v>
      </c>
      <c r="J1099" s="14">
        <f t="shared" si="31"/>
        <v>68.577183333333338</v>
      </c>
      <c r="K1099" s="14">
        <f t="shared" si="31"/>
        <v>68.577183333333338</v>
      </c>
      <c r="L1099" s="14"/>
    </row>
    <row r="1100" spans="1:12" ht="15" x14ac:dyDescent="0.2">
      <c r="A1100" s="10">
        <f t="shared" si="25"/>
        <v>2044</v>
      </c>
      <c r="B1100" s="14">
        <f>AVERAGE(B384:B395)</f>
        <v>70.242358333333328</v>
      </c>
      <c r="C1100" s="14">
        <f>AVERAGE(C384:C395)</f>
        <v>69.810108333333346</v>
      </c>
      <c r="D1100" s="14"/>
      <c r="E1100" s="14">
        <f t="shared" ref="E1100:K1100" si="32">AVERAGE(E384:E395)</f>
        <v>69.673458333333329</v>
      </c>
      <c r="F1100" s="14">
        <f t="shared" si="32"/>
        <v>69.673458333333329</v>
      </c>
      <c r="G1100" s="14">
        <f t="shared" si="32"/>
        <v>69.944841666666662</v>
      </c>
      <c r="H1100" s="14">
        <f t="shared" si="32"/>
        <v>69.810108333333346</v>
      </c>
      <c r="I1100" s="14">
        <f t="shared" si="32"/>
        <v>69.810108333333346</v>
      </c>
      <c r="J1100" s="14">
        <f t="shared" si="32"/>
        <v>69.810108333333346</v>
      </c>
      <c r="K1100" s="14">
        <f t="shared" si="32"/>
        <v>69.810108333333346</v>
      </c>
      <c r="L1100" s="14"/>
    </row>
    <row r="1101" spans="1:12" ht="15" x14ac:dyDescent="0.2">
      <c r="A1101" s="10">
        <f t="shared" si="25"/>
        <v>2045</v>
      </c>
      <c r="B1101" s="14">
        <f>AVERAGE(B396:B407)</f>
        <v>71.498091666666667</v>
      </c>
      <c r="C1101" s="14">
        <f>AVERAGE(C396:C407)</f>
        <v>71.065858333333324</v>
      </c>
      <c r="D1101" s="14"/>
      <c r="E1101" s="14">
        <f t="shared" ref="E1101:K1101" si="33">AVERAGE(E396:E407)</f>
        <v>70.929191666666668</v>
      </c>
      <c r="F1101" s="14">
        <f t="shared" si="33"/>
        <v>70.929191666666668</v>
      </c>
      <c r="G1101" s="14">
        <f t="shared" si="33"/>
        <v>71.200558333333348</v>
      </c>
      <c r="H1101" s="14">
        <f t="shared" si="33"/>
        <v>71.065858333333324</v>
      </c>
      <c r="I1101" s="14">
        <f t="shared" si="33"/>
        <v>71.065858333333324</v>
      </c>
      <c r="J1101" s="14">
        <f t="shared" si="33"/>
        <v>71.065858333333324</v>
      </c>
      <c r="K1101" s="14">
        <f t="shared" si="33"/>
        <v>71.065858333333324</v>
      </c>
      <c r="L1101" s="14"/>
    </row>
    <row r="1102" spans="1:12" ht="15" x14ac:dyDescent="0.2">
      <c r="A1102" s="10">
        <f t="shared" si="25"/>
        <v>2046</v>
      </c>
      <c r="B1102" s="14">
        <f>AVERAGE(B408:B419)</f>
        <v>72.77703333333335</v>
      </c>
      <c r="C1102" s="14">
        <f>AVERAGE(C408:C419)</f>
        <v>72.344766666666672</v>
      </c>
      <c r="D1102" s="14"/>
      <c r="E1102" s="14">
        <f t="shared" ref="E1102:K1102" si="34">AVERAGE(E408:E419)</f>
        <v>72.208124999999995</v>
      </c>
      <c r="F1102" s="14">
        <f t="shared" si="34"/>
        <v>72.208124999999995</v>
      </c>
      <c r="G1102" s="14">
        <f t="shared" si="34"/>
        <v>72.479491666666675</v>
      </c>
      <c r="H1102" s="14">
        <f t="shared" si="34"/>
        <v>72.344766666666672</v>
      </c>
      <c r="I1102" s="14">
        <f t="shared" si="34"/>
        <v>72.344766666666672</v>
      </c>
      <c r="J1102" s="14">
        <f t="shared" si="34"/>
        <v>72.344766666666672</v>
      </c>
      <c r="K1102" s="14">
        <f t="shared" si="34"/>
        <v>72.344766666666672</v>
      </c>
      <c r="L1102" s="14"/>
    </row>
    <row r="1103" spans="1:12" ht="15" x14ac:dyDescent="0.2">
      <c r="A1103" s="10">
        <f t="shared" si="25"/>
        <v>2047</v>
      </c>
      <c r="B1103" s="14">
        <f>AVERAGE(B420:B431)</f>
        <v>74.07960833333334</v>
      </c>
      <c r="C1103" s="14">
        <f>AVERAGE(C420:C431)</f>
        <v>73.647358333333329</v>
      </c>
      <c r="D1103" s="14"/>
      <c r="E1103" s="14">
        <f t="shared" ref="E1103:K1103" si="35">AVERAGE(E420:E431)</f>
        <v>73.510691666666673</v>
      </c>
      <c r="F1103" s="14">
        <f t="shared" si="35"/>
        <v>73.510691666666673</v>
      </c>
      <c r="G1103" s="14">
        <f t="shared" si="35"/>
        <v>73.782058333333339</v>
      </c>
      <c r="H1103" s="14">
        <f t="shared" si="35"/>
        <v>73.647358333333329</v>
      </c>
      <c r="I1103" s="14">
        <f t="shared" si="35"/>
        <v>73.647358333333329</v>
      </c>
      <c r="J1103" s="14">
        <f t="shared" si="35"/>
        <v>73.647358333333329</v>
      </c>
      <c r="K1103" s="14">
        <f t="shared" si="35"/>
        <v>73.647358333333329</v>
      </c>
      <c r="L1103" s="14"/>
    </row>
    <row r="1104" spans="1:12" ht="15" x14ac:dyDescent="0.2">
      <c r="A1104" s="10">
        <f t="shared" si="25"/>
        <v>2048</v>
      </c>
      <c r="B1104" s="14">
        <f>AVERAGE(B432:B443)</f>
        <v>75.406258333333327</v>
      </c>
      <c r="C1104" s="14">
        <f>AVERAGE(C432:C443)</f>
        <v>74.97399999999999</v>
      </c>
      <c r="D1104" s="14"/>
      <c r="E1104" s="14">
        <f t="shared" ref="E1104:K1104" si="36">AVERAGE(E432:E443)</f>
        <v>74.837341666666688</v>
      </c>
      <c r="F1104" s="14">
        <f t="shared" si="36"/>
        <v>74.837341666666688</v>
      </c>
      <c r="G1104" s="14">
        <f t="shared" si="36"/>
        <v>75.10870833333334</v>
      </c>
      <c r="H1104" s="14">
        <f t="shared" si="36"/>
        <v>74.97399999999999</v>
      </c>
      <c r="I1104" s="14">
        <f t="shared" si="36"/>
        <v>74.97399999999999</v>
      </c>
      <c r="J1104" s="14">
        <f t="shared" si="36"/>
        <v>74.97399999999999</v>
      </c>
      <c r="K1104" s="14">
        <f t="shared" si="36"/>
        <v>74.97399999999999</v>
      </c>
      <c r="L1104" s="14"/>
    </row>
    <row r="1105" spans="1:12" ht="15" x14ac:dyDescent="0.2">
      <c r="A1105" s="10">
        <f t="shared" si="25"/>
        <v>2049</v>
      </c>
      <c r="B1105" s="14">
        <f>AVERAGE(B444:B455)</f>
        <v>76.757400000000004</v>
      </c>
      <c r="C1105" s="14">
        <f>AVERAGE(C444:C455)</f>
        <v>76.325150000000008</v>
      </c>
      <c r="D1105" s="14"/>
      <c r="E1105" s="14">
        <f t="shared" ref="E1105:K1105" si="37">AVERAGE(E444:E455)</f>
        <v>76.188491666666664</v>
      </c>
      <c r="F1105" s="14">
        <f t="shared" si="37"/>
        <v>76.188491666666664</v>
      </c>
      <c r="G1105" s="14">
        <f t="shared" si="37"/>
        <v>76.459875000000011</v>
      </c>
      <c r="H1105" s="14">
        <f t="shared" si="37"/>
        <v>76.325150000000008</v>
      </c>
      <c r="I1105" s="14">
        <f t="shared" si="37"/>
        <v>76.325150000000008</v>
      </c>
      <c r="J1105" s="14">
        <f t="shared" si="37"/>
        <v>76.325150000000008</v>
      </c>
      <c r="K1105" s="14">
        <f t="shared" si="37"/>
        <v>76.325150000000008</v>
      </c>
      <c r="L1105" s="14"/>
    </row>
    <row r="1106" spans="1:12" ht="15" x14ac:dyDescent="0.2">
      <c r="A1106" s="10">
        <f t="shared" si="25"/>
        <v>2050</v>
      </c>
      <c r="B1106" s="14">
        <f>AVERAGE(B456:B467)</f>
        <v>78.13355</v>
      </c>
      <c r="C1106" s="14">
        <f>AVERAGE(C456:C467)</f>
        <v>77.701283333333336</v>
      </c>
      <c r="D1106" s="14"/>
      <c r="E1106" s="14">
        <f t="shared" ref="E1106:K1106" si="38">AVERAGE(E456:E467)</f>
        <v>77.56464166666666</v>
      </c>
      <c r="F1106" s="14">
        <f t="shared" si="38"/>
        <v>77.56464166666666</v>
      </c>
      <c r="G1106" s="14">
        <f t="shared" si="38"/>
        <v>77.835999999999999</v>
      </c>
      <c r="H1106" s="14">
        <f t="shared" si="38"/>
        <v>77.701283333333336</v>
      </c>
      <c r="I1106" s="14">
        <f t="shared" si="38"/>
        <v>77.701283333333336</v>
      </c>
      <c r="J1106" s="14">
        <f t="shared" si="38"/>
        <v>77.701283333333336</v>
      </c>
      <c r="K1106" s="14">
        <f t="shared" si="38"/>
        <v>77.701283333333336</v>
      </c>
      <c r="L1106" s="14"/>
    </row>
    <row r="1107" spans="1:12" ht="15" x14ac:dyDescent="0.2">
      <c r="A1107" s="10">
        <f t="shared" si="25"/>
        <v>2051</v>
      </c>
      <c r="B1107" s="14">
        <f>AVERAGE(B468:B479)</f>
        <v>79.535108333333326</v>
      </c>
      <c r="C1107" s="14">
        <f>AVERAGE(C468:C479)</f>
        <v>79.102841666666649</v>
      </c>
      <c r="D1107" s="14"/>
      <c r="E1107" s="14">
        <f t="shared" ref="E1107:K1107" si="39">AVERAGE(E468:E479)</f>
        <v>78.966208333333341</v>
      </c>
      <c r="F1107" s="14">
        <f t="shared" si="39"/>
        <v>78.966208333333341</v>
      </c>
      <c r="G1107" s="14">
        <f t="shared" si="39"/>
        <v>79.23756666666668</v>
      </c>
      <c r="H1107" s="14">
        <f t="shared" si="39"/>
        <v>79.102841666666649</v>
      </c>
      <c r="I1107" s="14">
        <f t="shared" si="39"/>
        <v>79.102841666666649</v>
      </c>
      <c r="J1107" s="14">
        <f t="shared" si="39"/>
        <v>79.102841666666649</v>
      </c>
      <c r="K1107" s="14">
        <f t="shared" si="39"/>
        <v>79.102841666666649</v>
      </c>
      <c r="L1107" s="14"/>
    </row>
    <row r="1108" spans="1:12" ht="15" x14ac:dyDescent="0.2">
      <c r="A1108" s="10">
        <f t="shared" si="25"/>
        <v>2052</v>
      </c>
      <c r="B1108" s="14">
        <f>AVERAGE(B480:B491)</f>
        <v>80.962550000000007</v>
      </c>
      <c r="C1108" s="14">
        <f>AVERAGE(C480:C491)</f>
        <v>80.530325000000005</v>
      </c>
      <c r="D1108" s="14"/>
      <c r="E1108" s="14">
        <f t="shared" ref="E1108:K1108" si="40">AVERAGE(E480:E491)</f>
        <v>80.393649999999994</v>
      </c>
      <c r="F1108" s="14">
        <f t="shared" si="40"/>
        <v>80.393649999999994</v>
      </c>
      <c r="G1108" s="14">
        <f t="shared" si="40"/>
        <v>80.665041666666667</v>
      </c>
      <c r="H1108" s="14">
        <f t="shared" si="40"/>
        <v>80.530325000000005</v>
      </c>
      <c r="I1108" s="14">
        <f t="shared" si="40"/>
        <v>80.530325000000005</v>
      </c>
      <c r="J1108" s="14">
        <f t="shared" si="40"/>
        <v>80.530325000000005</v>
      </c>
      <c r="K1108" s="14">
        <f t="shared" si="40"/>
        <v>80.530325000000005</v>
      </c>
      <c r="L1108" s="14"/>
    </row>
    <row r="1109" spans="1:12" ht="15" x14ac:dyDescent="0.2">
      <c r="A1109" s="10">
        <f t="shared" si="25"/>
        <v>2053</v>
      </c>
      <c r="B1109" s="14">
        <f>AVERAGE(B492:B503)</f>
        <v>82.416416666666677</v>
      </c>
      <c r="C1109" s="14">
        <f>AVERAGE(C492:C503)</f>
        <v>81.984166666666667</v>
      </c>
      <c r="D1109" s="14"/>
      <c r="E1109" s="14">
        <f t="shared" ref="E1109:K1109" si="41">AVERAGE(E492:E503)</f>
        <v>81.847508333333352</v>
      </c>
      <c r="F1109" s="14">
        <f t="shared" si="41"/>
        <v>81.847508333333352</v>
      </c>
      <c r="G1109" s="14">
        <f t="shared" si="41"/>
        <v>82.118866666666676</v>
      </c>
      <c r="H1109" s="14">
        <f t="shared" si="41"/>
        <v>81.984166666666667</v>
      </c>
      <c r="I1109" s="14">
        <f t="shared" si="41"/>
        <v>81.984166666666667</v>
      </c>
      <c r="J1109" s="14">
        <f t="shared" si="41"/>
        <v>81.984166666666667</v>
      </c>
      <c r="K1109" s="14">
        <f t="shared" si="41"/>
        <v>81.984166666666667</v>
      </c>
      <c r="L1109" s="14"/>
    </row>
    <row r="1110" spans="1:12" ht="15" x14ac:dyDescent="0.2">
      <c r="A1110" s="10">
        <f t="shared" si="25"/>
        <v>2054</v>
      </c>
      <c r="B1110" s="14">
        <f>AVERAGE(B504:B515)</f>
        <v>83.897125000000003</v>
      </c>
      <c r="C1110" s="14">
        <f>AVERAGE(C504:C515)</f>
        <v>83.464883333333333</v>
      </c>
      <c r="D1110" s="14"/>
      <c r="E1110" s="14">
        <f t="shared" ref="E1110:K1110" si="42">AVERAGE(E504:E515)</f>
        <v>83.328216666666677</v>
      </c>
      <c r="F1110" s="14">
        <f t="shared" si="42"/>
        <v>83.328216666666677</v>
      </c>
      <c r="G1110" s="14">
        <f t="shared" si="42"/>
        <v>83.599583333333328</v>
      </c>
      <c r="H1110" s="14">
        <f t="shared" si="42"/>
        <v>83.464883333333333</v>
      </c>
      <c r="I1110" s="14">
        <f t="shared" si="42"/>
        <v>83.464883333333333</v>
      </c>
      <c r="J1110" s="14">
        <f t="shared" si="42"/>
        <v>83.464883333333333</v>
      </c>
      <c r="K1110" s="14">
        <f t="shared" si="42"/>
        <v>83.464883333333333</v>
      </c>
      <c r="L1110" s="14"/>
    </row>
    <row r="1111" spans="1:12" ht="15" x14ac:dyDescent="0.2">
      <c r="A1111" s="10">
        <f t="shared" si="25"/>
        <v>2055</v>
      </c>
      <c r="B1111" s="14">
        <f>AVERAGE(B516:B527)</f>
        <v>85.405208333333334</v>
      </c>
      <c r="C1111" s="14">
        <f>AVERAGE(C516:C527)</f>
        <v>84.972950000000012</v>
      </c>
      <c r="D1111" s="14"/>
      <c r="E1111" s="14">
        <f t="shared" ref="E1111:K1111" si="43">AVERAGE(E516:E527)</f>
        <v>84.836300000000008</v>
      </c>
      <c r="F1111" s="14">
        <f t="shared" si="43"/>
        <v>84.836300000000008</v>
      </c>
      <c r="G1111" s="14">
        <f t="shared" si="43"/>
        <v>85.107666666666674</v>
      </c>
      <c r="H1111" s="14">
        <f t="shared" si="43"/>
        <v>84.972950000000012</v>
      </c>
      <c r="I1111" s="14">
        <f t="shared" si="43"/>
        <v>84.972950000000012</v>
      </c>
      <c r="J1111" s="14">
        <f t="shared" si="43"/>
        <v>84.972950000000012</v>
      </c>
      <c r="K1111" s="14">
        <f t="shared" si="43"/>
        <v>84.972950000000012</v>
      </c>
      <c r="L1111" s="14"/>
    </row>
    <row r="1112" spans="1:12" ht="15" x14ac:dyDescent="0.2">
      <c r="A1112" s="10">
        <f t="shared" si="25"/>
        <v>2056</v>
      </c>
      <c r="B1112" s="14">
        <f>AVERAGE(B528:B539)</f>
        <v>86.941149999999993</v>
      </c>
      <c r="C1112" s="14">
        <f>AVERAGE(C528:C539)</f>
        <v>86.508899999999997</v>
      </c>
      <c r="D1112" s="14"/>
      <c r="E1112" s="14">
        <f t="shared" ref="E1112:K1112" si="44">AVERAGE(E528:E539)</f>
        <v>86.372250000000008</v>
      </c>
      <c r="F1112" s="14">
        <f t="shared" si="44"/>
        <v>86.372250000000008</v>
      </c>
      <c r="G1112" s="14">
        <f t="shared" si="44"/>
        <v>86.643641666666667</v>
      </c>
      <c r="H1112" s="14">
        <f t="shared" si="44"/>
        <v>86.508899999999997</v>
      </c>
      <c r="I1112" s="14">
        <f t="shared" si="44"/>
        <v>86.508899999999997</v>
      </c>
      <c r="J1112" s="14">
        <f t="shared" si="44"/>
        <v>86.508899999999997</v>
      </c>
      <c r="K1112" s="14">
        <f t="shared" si="44"/>
        <v>86.508899999999997</v>
      </c>
      <c r="L1112" s="14"/>
    </row>
    <row r="1113" spans="1:12" ht="15" x14ac:dyDescent="0.2">
      <c r="A1113" s="10">
        <f t="shared" si="25"/>
        <v>2057</v>
      </c>
      <c r="B1113" s="14">
        <f>AVERAGE(B540:B551)</f>
        <v>88.505483333333345</v>
      </c>
      <c r="C1113" s="14">
        <f>AVERAGE(C540:C551)</f>
        <v>88.073241666666675</v>
      </c>
      <c r="D1113" s="14"/>
      <c r="E1113" s="14">
        <f t="shared" ref="E1113:K1113" si="45">AVERAGE(E540:E551)</f>
        <v>87.936583333333331</v>
      </c>
      <c r="F1113" s="14">
        <f t="shared" si="45"/>
        <v>87.936583333333331</v>
      </c>
      <c r="G1113" s="14">
        <f t="shared" si="45"/>
        <v>88.207949999999997</v>
      </c>
      <c r="H1113" s="14">
        <f t="shared" si="45"/>
        <v>88.073241666666675</v>
      </c>
      <c r="I1113" s="14">
        <f t="shared" si="45"/>
        <v>88.073241666666675</v>
      </c>
      <c r="J1113" s="14">
        <f t="shared" si="45"/>
        <v>88.073241666666675</v>
      </c>
      <c r="K1113" s="14">
        <f t="shared" si="45"/>
        <v>88.073241666666675</v>
      </c>
      <c r="L1113" s="14"/>
    </row>
    <row r="1114" spans="1:12" ht="15" x14ac:dyDescent="0.2">
      <c r="A1114" s="10">
        <f t="shared" si="25"/>
        <v>2058</v>
      </c>
      <c r="B1114" s="14">
        <f>AVERAGE(B552:B563)</f>
        <v>90.098733333333328</v>
      </c>
      <c r="C1114" s="14">
        <f>AVERAGE(C552:C563)</f>
        <v>89.666474999999991</v>
      </c>
      <c r="D1114" s="14"/>
      <c r="E1114" s="14">
        <f t="shared" ref="E1114:K1114" si="46">AVERAGE(E552:E563)</f>
        <v>89.529825000000017</v>
      </c>
      <c r="F1114" s="14">
        <f t="shared" si="46"/>
        <v>89.529825000000017</v>
      </c>
      <c r="G1114" s="14">
        <f t="shared" si="46"/>
        <v>89.801208333333349</v>
      </c>
      <c r="H1114" s="14">
        <f t="shared" si="46"/>
        <v>89.666474999999991</v>
      </c>
      <c r="I1114" s="14">
        <f t="shared" si="46"/>
        <v>89.666474999999991</v>
      </c>
      <c r="J1114" s="14">
        <f t="shared" si="46"/>
        <v>89.666474999999991</v>
      </c>
      <c r="K1114" s="14">
        <f t="shared" si="46"/>
        <v>89.666474999999991</v>
      </c>
      <c r="L1114" s="14"/>
    </row>
    <row r="1115" spans="1:12" ht="15" x14ac:dyDescent="0.2">
      <c r="A1115" s="10">
        <f t="shared" si="25"/>
        <v>2059</v>
      </c>
      <c r="B1115" s="14">
        <f>AVERAGE(B564:B575)</f>
        <v>91.721424999999996</v>
      </c>
      <c r="C1115" s="14">
        <f>AVERAGE(C564:C575)</f>
        <v>91.289175</v>
      </c>
      <c r="D1115" s="14"/>
      <c r="E1115" s="14">
        <f t="shared" ref="E1115:K1115" si="47">AVERAGE(E564:E575)</f>
        <v>91.152525000000011</v>
      </c>
      <c r="F1115" s="14">
        <f t="shared" si="47"/>
        <v>91.152525000000011</v>
      </c>
      <c r="G1115" s="14">
        <f t="shared" si="47"/>
        <v>91.423883333333322</v>
      </c>
      <c r="H1115" s="14">
        <f t="shared" si="47"/>
        <v>91.289175</v>
      </c>
      <c r="I1115" s="14">
        <f t="shared" si="47"/>
        <v>91.289175</v>
      </c>
      <c r="J1115" s="14">
        <f t="shared" si="47"/>
        <v>91.289175</v>
      </c>
      <c r="K1115" s="14">
        <f t="shared" si="47"/>
        <v>91.289175</v>
      </c>
      <c r="L1115" s="14"/>
    </row>
    <row r="1116" spans="1:12" ht="15" x14ac:dyDescent="0.2">
      <c r="A1116" s="10">
        <f t="shared" si="25"/>
        <v>2060</v>
      </c>
      <c r="B1116" s="14">
        <f>AVERAGE(B576:B587)</f>
        <v>93.374091666666672</v>
      </c>
      <c r="C1116" s="14">
        <f>AVERAGE(C576:C587)</f>
        <v>92.941858333333315</v>
      </c>
      <c r="D1116" s="14"/>
      <c r="E1116" s="14">
        <f t="shared" ref="E1116:K1116" si="48">AVERAGE(E576:E587)</f>
        <v>92.805191666666644</v>
      </c>
      <c r="F1116" s="14">
        <f t="shared" si="48"/>
        <v>92.805191666666644</v>
      </c>
      <c r="G1116" s="14">
        <f t="shared" si="48"/>
        <v>93.076566666666665</v>
      </c>
      <c r="H1116" s="14">
        <f t="shared" si="48"/>
        <v>92.941858333333315</v>
      </c>
      <c r="I1116" s="14">
        <f t="shared" si="48"/>
        <v>92.941858333333315</v>
      </c>
      <c r="J1116" s="14">
        <f t="shared" si="48"/>
        <v>92.941858333333315</v>
      </c>
      <c r="K1116" s="14">
        <f t="shared" si="48"/>
        <v>92.941858333333315</v>
      </c>
      <c r="L1116" s="14"/>
    </row>
    <row r="1117" spans="1:12" ht="15" x14ac:dyDescent="0.2">
      <c r="A1117" s="10">
        <f t="shared" si="25"/>
        <v>2061</v>
      </c>
      <c r="B1117" s="14">
        <f>AVERAGE(B588:B599)</f>
        <v>95.057316666666665</v>
      </c>
      <c r="C1117" s="14">
        <f>AVERAGE(C588:C599)</f>
        <v>94.625066666666669</v>
      </c>
      <c r="D1117" s="14"/>
      <c r="E1117" s="14">
        <f t="shared" ref="E1117:K1117" si="49">AVERAGE(E588:E599)</f>
        <v>94.48841666666668</v>
      </c>
      <c r="F1117" s="14">
        <f t="shared" si="49"/>
        <v>94.48841666666668</v>
      </c>
      <c r="G1117" s="14">
        <f t="shared" si="49"/>
        <v>94.759799999999998</v>
      </c>
      <c r="H1117" s="14">
        <f t="shared" si="49"/>
        <v>94.625066666666669</v>
      </c>
      <c r="I1117" s="14">
        <f t="shared" si="49"/>
        <v>94.625066666666669</v>
      </c>
      <c r="J1117" s="14">
        <f t="shared" si="49"/>
        <v>94.625066666666669</v>
      </c>
      <c r="K1117" s="14">
        <f t="shared" si="49"/>
        <v>94.625066666666669</v>
      </c>
      <c r="L1117" s="14"/>
    </row>
    <row r="1118" spans="1:12" ht="15" x14ac:dyDescent="0.2">
      <c r="A1118" s="10">
        <f t="shared" si="25"/>
        <v>2062</v>
      </c>
      <c r="B1118" s="14">
        <f t="shared" ref="B1118:C1137" ca="1" si="50">AVERAGE(OFFSET(B$600,($A1118-$A$1118)*12,0,12,1))</f>
        <v>96.771650000000008</v>
      </c>
      <c r="C1118" s="14">
        <f t="shared" ca="1" si="50"/>
        <v>96.339400000000012</v>
      </c>
      <c r="D1118" s="14"/>
      <c r="E1118" s="14">
        <f t="shared" ref="E1118:K1127" ca="1" si="51">AVERAGE(OFFSET(E$600,($A1118-$A$1118)*12,0,12,1))</f>
        <v>96.202749999999995</v>
      </c>
      <c r="F1118" s="14">
        <f t="shared" ca="1" si="51"/>
        <v>96.202749999999995</v>
      </c>
      <c r="G1118" s="14">
        <f t="shared" ca="1" si="51"/>
        <v>96.474125000000001</v>
      </c>
      <c r="H1118" s="14">
        <f t="shared" ca="1" si="51"/>
        <v>96.339400000000012</v>
      </c>
      <c r="I1118" s="14">
        <f t="shared" ca="1" si="51"/>
        <v>96.339400000000012</v>
      </c>
      <c r="J1118" s="14">
        <f t="shared" ca="1" si="51"/>
        <v>96.339400000000012</v>
      </c>
      <c r="K1118" s="14">
        <f t="shared" ca="1" si="51"/>
        <v>96.339400000000012</v>
      </c>
    </row>
    <row r="1119" spans="1:12" ht="15" x14ac:dyDescent="0.2">
      <c r="A1119" s="10">
        <f t="shared" si="25"/>
        <v>2063</v>
      </c>
      <c r="B1119" s="14">
        <f t="shared" ca="1" si="50"/>
        <v>98.51765833333333</v>
      </c>
      <c r="C1119" s="14">
        <f t="shared" ca="1" si="50"/>
        <v>98.085408333333319</v>
      </c>
      <c r="D1119" s="14"/>
      <c r="E1119" s="14">
        <f t="shared" ca="1" si="51"/>
        <v>97.948749999999976</v>
      </c>
      <c r="F1119" s="14">
        <f t="shared" ca="1" si="51"/>
        <v>97.948749999999976</v>
      </c>
      <c r="G1119" s="14">
        <f t="shared" ca="1" si="51"/>
        <v>98.220124999999996</v>
      </c>
      <c r="H1119" s="14">
        <f t="shared" ca="1" si="51"/>
        <v>98.085408333333319</v>
      </c>
      <c r="I1119" s="14">
        <f t="shared" ca="1" si="51"/>
        <v>98.085408333333319</v>
      </c>
      <c r="J1119" s="14">
        <f t="shared" ca="1" si="51"/>
        <v>98.085408333333319</v>
      </c>
      <c r="K1119" s="14">
        <f t="shared" ca="1" si="51"/>
        <v>98.085408333333319</v>
      </c>
    </row>
    <row r="1120" spans="1:12" ht="15" x14ac:dyDescent="0.2">
      <c r="A1120" s="10">
        <f t="shared" si="25"/>
        <v>2064</v>
      </c>
      <c r="B1120" s="14">
        <f t="shared" ca="1" si="50"/>
        <v>100.29595000000002</v>
      </c>
      <c r="C1120" s="14">
        <f t="shared" ca="1" si="50"/>
        <v>99.863675000000001</v>
      </c>
      <c r="D1120" s="14"/>
      <c r="E1120" s="14">
        <f t="shared" ca="1" si="51"/>
        <v>99.727016666666671</v>
      </c>
      <c r="F1120" s="14">
        <f t="shared" ca="1" si="51"/>
        <v>99.727016666666671</v>
      </c>
      <c r="G1120" s="14">
        <f t="shared" ca="1" si="51"/>
        <v>99.998391666666677</v>
      </c>
      <c r="H1120" s="14">
        <f t="shared" ca="1" si="51"/>
        <v>99.863675000000001</v>
      </c>
      <c r="I1120" s="14">
        <f t="shared" ca="1" si="51"/>
        <v>99.863675000000001</v>
      </c>
      <c r="J1120" s="14">
        <f t="shared" ca="1" si="51"/>
        <v>99.863675000000001</v>
      </c>
      <c r="K1120" s="14">
        <f t="shared" ca="1" si="51"/>
        <v>99.863675000000001</v>
      </c>
    </row>
    <row r="1121" spans="1:11" ht="15" x14ac:dyDescent="0.2">
      <c r="A1121" s="10">
        <f t="shared" si="25"/>
        <v>2065</v>
      </c>
      <c r="B1121" s="14">
        <f t="shared" ca="1" si="50"/>
        <v>102.10708333333332</v>
      </c>
      <c r="C1121" s="14">
        <f t="shared" ca="1" si="50"/>
        <v>101.67481666666667</v>
      </c>
      <c r="D1121" s="14"/>
      <c r="E1121" s="14">
        <f t="shared" ca="1" si="51"/>
        <v>101.53817499999998</v>
      </c>
      <c r="F1121" s="14">
        <f t="shared" ca="1" si="51"/>
        <v>101.53817499999998</v>
      </c>
      <c r="G1121" s="14">
        <f t="shared" ca="1" si="51"/>
        <v>101.80954166666668</v>
      </c>
      <c r="H1121" s="14">
        <f t="shared" ca="1" si="51"/>
        <v>101.67481666666667</v>
      </c>
      <c r="I1121" s="14">
        <f t="shared" ca="1" si="51"/>
        <v>101.67481666666667</v>
      </c>
      <c r="J1121" s="14">
        <f t="shared" ca="1" si="51"/>
        <v>101.67481666666667</v>
      </c>
      <c r="K1121" s="14">
        <f t="shared" ca="1" si="51"/>
        <v>101.67481666666667</v>
      </c>
    </row>
    <row r="1122" spans="1:11" ht="15" x14ac:dyDescent="0.2">
      <c r="A1122" s="10">
        <f t="shared" si="25"/>
        <v>2066</v>
      </c>
      <c r="B1122" s="14">
        <f t="shared" ca="1" si="50"/>
        <v>103.95168333333334</v>
      </c>
      <c r="C1122" s="14">
        <f t="shared" ca="1" si="50"/>
        <v>103.51943333333332</v>
      </c>
      <c r="D1122" s="14"/>
      <c r="E1122" s="14">
        <f t="shared" ca="1" si="51"/>
        <v>103.382775</v>
      </c>
      <c r="F1122" s="14">
        <f t="shared" ca="1" si="51"/>
        <v>103.382775</v>
      </c>
      <c r="G1122" s="14">
        <f t="shared" ca="1" si="51"/>
        <v>103.65415833333334</v>
      </c>
      <c r="H1122" s="14">
        <f t="shared" ca="1" si="51"/>
        <v>103.51943333333332</v>
      </c>
      <c r="I1122" s="14">
        <f t="shared" ca="1" si="51"/>
        <v>103.51943333333332</v>
      </c>
      <c r="J1122" s="14">
        <f t="shared" ca="1" si="51"/>
        <v>103.51943333333332</v>
      </c>
      <c r="K1122" s="14">
        <f t="shared" ca="1" si="51"/>
        <v>103.51943333333332</v>
      </c>
    </row>
    <row r="1123" spans="1:11" ht="15" x14ac:dyDescent="0.2">
      <c r="A1123" s="10">
        <f t="shared" si="25"/>
        <v>2067</v>
      </c>
      <c r="B1123" s="14">
        <f t="shared" ca="1" si="50"/>
        <v>105.830375</v>
      </c>
      <c r="C1123" s="14">
        <f t="shared" ca="1" si="50"/>
        <v>105.39814166666667</v>
      </c>
      <c r="D1123" s="14"/>
      <c r="E1123" s="14">
        <f t="shared" ca="1" si="51"/>
        <v>105.261475</v>
      </c>
      <c r="F1123" s="14">
        <f t="shared" ca="1" si="51"/>
        <v>105.261475</v>
      </c>
      <c r="G1123" s="14">
        <f t="shared" ca="1" si="51"/>
        <v>105.53284999999998</v>
      </c>
      <c r="H1123" s="14">
        <f t="shared" ca="1" si="51"/>
        <v>105.39814166666667</v>
      </c>
      <c r="I1123" s="14">
        <f t="shared" ca="1" si="51"/>
        <v>105.39814166666667</v>
      </c>
      <c r="J1123" s="14">
        <f t="shared" ca="1" si="51"/>
        <v>105.39814166666667</v>
      </c>
      <c r="K1123" s="14">
        <f t="shared" ca="1" si="51"/>
        <v>105.39814166666667</v>
      </c>
    </row>
    <row r="1124" spans="1:11" ht="15" x14ac:dyDescent="0.2">
      <c r="A1124" s="10">
        <f t="shared" si="25"/>
        <v>2068</v>
      </c>
      <c r="B1124" s="14">
        <f t="shared" ca="1" si="50"/>
        <v>107.74381666666666</v>
      </c>
      <c r="C1124" s="14">
        <f t="shared" ca="1" si="50"/>
        <v>107.31155833333334</v>
      </c>
      <c r="D1124" s="14"/>
      <c r="E1124" s="14">
        <f t="shared" ca="1" si="51"/>
        <v>107.17490833333333</v>
      </c>
      <c r="F1124" s="14">
        <f t="shared" ca="1" si="51"/>
        <v>107.17490833333333</v>
      </c>
      <c r="G1124" s="14">
        <f t="shared" ca="1" si="51"/>
        <v>107.44626666666665</v>
      </c>
      <c r="H1124" s="14">
        <f t="shared" ca="1" si="51"/>
        <v>107.31155833333334</v>
      </c>
      <c r="I1124" s="14">
        <f t="shared" ca="1" si="51"/>
        <v>107.31155833333334</v>
      </c>
      <c r="J1124" s="14">
        <f t="shared" ca="1" si="51"/>
        <v>107.31155833333334</v>
      </c>
      <c r="K1124" s="14">
        <f t="shared" ca="1" si="51"/>
        <v>107.31155833333334</v>
      </c>
    </row>
    <row r="1125" spans="1:11" ht="15" x14ac:dyDescent="0.2">
      <c r="A1125" s="10">
        <f t="shared" si="25"/>
        <v>2069</v>
      </c>
      <c r="B1125" s="14">
        <f t="shared" ca="1" si="50"/>
        <v>109.69259166666667</v>
      </c>
      <c r="C1125" s="14">
        <f t="shared" ca="1" si="50"/>
        <v>109.26034166666669</v>
      </c>
      <c r="D1125" s="14"/>
      <c r="E1125" s="14">
        <f t="shared" ca="1" si="51"/>
        <v>109.12369166666667</v>
      </c>
      <c r="F1125" s="14">
        <f t="shared" ca="1" si="51"/>
        <v>109.12369166666667</v>
      </c>
      <c r="G1125" s="14">
        <f t="shared" ca="1" si="51"/>
        <v>109.39505833333332</v>
      </c>
      <c r="H1125" s="14">
        <f t="shared" ca="1" si="51"/>
        <v>109.26034166666669</v>
      </c>
      <c r="I1125" s="14">
        <f t="shared" ca="1" si="51"/>
        <v>109.26034166666669</v>
      </c>
      <c r="J1125" s="14">
        <f t="shared" ca="1" si="51"/>
        <v>109.26034166666669</v>
      </c>
      <c r="K1125" s="14">
        <f t="shared" ca="1" si="51"/>
        <v>109.26034166666669</v>
      </c>
    </row>
    <row r="1126" spans="1:11" ht="15" x14ac:dyDescent="0.2">
      <c r="A1126" s="10">
        <f t="shared" ref="A1126:A1156" si="52">A1125+1</f>
        <v>2070</v>
      </c>
      <c r="B1126" s="14">
        <f t="shared" ca="1" si="50"/>
        <v>111.67738333333334</v>
      </c>
      <c r="C1126" s="14">
        <f t="shared" ca="1" si="50"/>
        <v>111.24515000000001</v>
      </c>
      <c r="D1126" s="14"/>
      <c r="E1126" s="14">
        <f t="shared" ca="1" si="51"/>
        <v>111.108475</v>
      </c>
      <c r="F1126" s="14">
        <f t="shared" ca="1" si="51"/>
        <v>111.108475</v>
      </c>
      <c r="G1126" s="14">
        <f t="shared" ca="1" si="51"/>
        <v>111.37986666666667</v>
      </c>
      <c r="H1126" s="14">
        <f t="shared" ca="1" si="51"/>
        <v>111.24515000000001</v>
      </c>
      <c r="I1126" s="14">
        <f t="shared" ca="1" si="51"/>
        <v>111.24515000000001</v>
      </c>
      <c r="J1126" s="14">
        <f t="shared" ca="1" si="51"/>
        <v>111.24515000000001</v>
      </c>
      <c r="K1126" s="14">
        <f t="shared" ca="1" si="51"/>
        <v>111.24515000000001</v>
      </c>
    </row>
    <row r="1127" spans="1:11" ht="15" x14ac:dyDescent="0.2">
      <c r="A1127" s="10">
        <f t="shared" si="52"/>
        <v>2071</v>
      </c>
      <c r="B1127" s="14">
        <f t="shared" ca="1" si="50"/>
        <v>113.69887499999999</v>
      </c>
      <c r="C1127" s="14">
        <f t="shared" ca="1" si="50"/>
        <v>113.26661666666668</v>
      </c>
      <c r="D1127" s="14"/>
      <c r="E1127" s="14">
        <f t="shared" ca="1" si="51"/>
        <v>113.12996666666668</v>
      </c>
      <c r="F1127" s="14">
        <f t="shared" ca="1" si="51"/>
        <v>113.12996666666668</v>
      </c>
      <c r="G1127" s="14">
        <f t="shared" ca="1" si="51"/>
        <v>113.401325</v>
      </c>
      <c r="H1127" s="14">
        <f t="shared" ca="1" si="51"/>
        <v>113.26661666666668</v>
      </c>
      <c r="I1127" s="14">
        <f t="shared" ca="1" si="51"/>
        <v>113.26661666666668</v>
      </c>
      <c r="J1127" s="14">
        <f t="shared" ca="1" si="51"/>
        <v>113.26661666666668</v>
      </c>
      <c r="K1127" s="14">
        <f t="shared" ca="1" si="51"/>
        <v>113.26661666666668</v>
      </c>
    </row>
    <row r="1128" spans="1:11" ht="15" x14ac:dyDescent="0.2">
      <c r="A1128" s="10">
        <f t="shared" si="52"/>
        <v>2072</v>
      </c>
      <c r="B1128" s="14">
        <f t="shared" ca="1" si="50"/>
        <v>115.7577</v>
      </c>
      <c r="C1128" s="14">
        <f t="shared" ca="1" si="50"/>
        <v>115.32545833333334</v>
      </c>
      <c r="D1128" s="14"/>
      <c r="E1128" s="14">
        <f t="shared" ref="E1128:K1137" ca="1" si="53">AVERAGE(OFFSET(E$600,($A1128-$A$1118)*12,0,12,1))</f>
        <v>115.1888</v>
      </c>
      <c r="F1128" s="14">
        <f t="shared" ca="1" si="53"/>
        <v>115.1888</v>
      </c>
      <c r="G1128" s="14">
        <f t="shared" ca="1" si="53"/>
        <v>115.46017500000004</v>
      </c>
      <c r="H1128" s="14">
        <f t="shared" ca="1" si="53"/>
        <v>115.32545833333334</v>
      </c>
      <c r="I1128" s="14">
        <f t="shared" ca="1" si="53"/>
        <v>115.32545833333334</v>
      </c>
      <c r="J1128" s="14">
        <f t="shared" ca="1" si="53"/>
        <v>115.32545833333334</v>
      </c>
      <c r="K1128" s="14">
        <f t="shared" ca="1" si="53"/>
        <v>115.32545833333334</v>
      </c>
    </row>
    <row r="1129" spans="1:11" ht="15" x14ac:dyDescent="0.2">
      <c r="A1129" s="10">
        <f t="shared" si="52"/>
        <v>2073</v>
      </c>
      <c r="B1129" s="14">
        <f t="shared" ca="1" si="50"/>
        <v>117.85459166666665</v>
      </c>
      <c r="C1129" s="14">
        <f t="shared" ca="1" si="50"/>
        <v>117.42234999999999</v>
      </c>
      <c r="D1129" s="14"/>
      <c r="E1129" s="14">
        <f t="shared" ca="1" si="53"/>
        <v>117.28568333333334</v>
      </c>
      <c r="F1129" s="14">
        <f t="shared" ca="1" si="53"/>
        <v>117.28568333333334</v>
      </c>
      <c r="G1129" s="14">
        <f t="shared" ca="1" si="53"/>
        <v>117.55706666666667</v>
      </c>
      <c r="H1129" s="14">
        <f t="shared" ca="1" si="53"/>
        <v>117.42234999999999</v>
      </c>
      <c r="I1129" s="14">
        <f t="shared" ca="1" si="53"/>
        <v>117.42234999999999</v>
      </c>
      <c r="J1129" s="14">
        <f t="shared" ca="1" si="53"/>
        <v>117.42234999999999</v>
      </c>
      <c r="K1129" s="14">
        <f t="shared" ca="1" si="53"/>
        <v>117.42234999999999</v>
      </c>
    </row>
    <row r="1130" spans="1:11" ht="15" x14ac:dyDescent="0.2">
      <c r="A1130" s="10">
        <f t="shared" si="52"/>
        <v>2074</v>
      </c>
      <c r="B1130" s="14">
        <f t="shared" ca="1" si="50"/>
        <v>119.990225</v>
      </c>
      <c r="C1130" s="14">
        <f t="shared" ca="1" si="50"/>
        <v>119.55798333333333</v>
      </c>
      <c r="D1130" s="14"/>
      <c r="E1130" s="14">
        <f t="shared" ca="1" si="53"/>
        <v>119.42131666666666</v>
      </c>
      <c r="F1130" s="14">
        <f t="shared" ca="1" si="53"/>
        <v>119.42131666666666</v>
      </c>
      <c r="G1130" s="14">
        <f t="shared" ca="1" si="53"/>
        <v>119.69269166666668</v>
      </c>
      <c r="H1130" s="14">
        <f t="shared" ca="1" si="53"/>
        <v>119.55798333333333</v>
      </c>
      <c r="I1130" s="14">
        <f t="shared" ca="1" si="53"/>
        <v>119.55798333333333</v>
      </c>
      <c r="J1130" s="14">
        <f t="shared" ca="1" si="53"/>
        <v>119.55798333333333</v>
      </c>
      <c r="K1130" s="14">
        <f t="shared" ca="1" si="53"/>
        <v>119.55798333333333</v>
      </c>
    </row>
    <row r="1131" spans="1:11" ht="15" x14ac:dyDescent="0.2">
      <c r="A1131" s="10">
        <f t="shared" si="52"/>
        <v>2075</v>
      </c>
      <c r="B1131" s="14">
        <f t="shared" ca="1" si="50"/>
        <v>122.16533333333335</v>
      </c>
      <c r="C1131" s="14">
        <f t="shared" ca="1" si="50"/>
        <v>121.73309166666668</v>
      </c>
      <c r="D1131" s="14"/>
      <c r="E1131" s="14">
        <f t="shared" ca="1" si="53"/>
        <v>121.59643333333334</v>
      </c>
      <c r="F1131" s="14">
        <f t="shared" ca="1" si="53"/>
        <v>121.59643333333334</v>
      </c>
      <c r="G1131" s="14">
        <f t="shared" ca="1" si="53"/>
        <v>121.86780833333334</v>
      </c>
      <c r="H1131" s="14">
        <f t="shared" ca="1" si="53"/>
        <v>121.73309166666668</v>
      </c>
      <c r="I1131" s="14">
        <f t="shared" ca="1" si="53"/>
        <v>121.73309166666668</v>
      </c>
      <c r="J1131" s="14">
        <f t="shared" ca="1" si="53"/>
        <v>121.73309166666668</v>
      </c>
      <c r="K1131" s="14">
        <f t="shared" ca="1" si="53"/>
        <v>121.73309166666668</v>
      </c>
    </row>
    <row r="1132" spans="1:11" ht="15" x14ac:dyDescent="0.2">
      <c r="A1132" s="10">
        <f t="shared" si="52"/>
        <v>2076</v>
      </c>
      <c r="B1132" s="14">
        <f t="shared" ca="1" si="50"/>
        <v>124.38064166666665</v>
      </c>
      <c r="C1132" s="14">
        <f t="shared" ca="1" si="50"/>
        <v>123.94839166666668</v>
      </c>
      <c r="D1132" s="14"/>
      <c r="E1132" s="14">
        <f t="shared" ca="1" si="53"/>
        <v>123.81173333333332</v>
      </c>
      <c r="F1132" s="14">
        <f t="shared" ca="1" si="53"/>
        <v>123.81173333333332</v>
      </c>
      <c r="G1132" s="14">
        <f t="shared" ca="1" si="53"/>
        <v>124.08311666666667</v>
      </c>
      <c r="H1132" s="14">
        <f t="shared" ca="1" si="53"/>
        <v>123.94839166666668</v>
      </c>
      <c r="I1132" s="14">
        <f t="shared" ca="1" si="53"/>
        <v>123.94839166666668</v>
      </c>
      <c r="J1132" s="14">
        <f t="shared" ca="1" si="53"/>
        <v>123.94839166666668</v>
      </c>
      <c r="K1132" s="14">
        <f t="shared" ca="1" si="53"/>
        <v>123.94839166666668</v>
      </c>
    </row>
    <row r="1133" spans="1:11" ht="15" x14ac:dyDescent="0.2">
      <c r="A1133" s="10">
        <f t="shared" si="52"/>
        <v>2077</v>
      </c>
      <c r="B1133" s="14">
        <f t="shared" ca="1" si="50"/>
        <v>126.63690000000001</v>
      </c>
      <c r="C1133" s="14">
        <f t="shared" ca="1" si="50"/>
        <v>126.20463333333335</v>
      </c>
      <c r="D1133" s="14"/>
      <c r="E1133" s="14">
        <f t="shared" ca="1" si="53"/>
        <v>126.06799166666667</v>
      </c>
      <c r="F1133" s="14">
        <f t="shared" ca="1" si="53"/>
        <v>126.06799166666667</v>
      </c>
      <c r="G1133" s="14">
        <f t="shared" ca="1" si="53"/>
        <v>126.33933333333334</v>
      </c>
      <c r="H1133" s="14">
        <f t="shared" ca="1" si="53"/>
        <v>126.20463333333335</v>
      </c>
      <c r="I1133" s="14">
        <f t="shared" ca="1" si="53"/>
        <v>126.20463333333335</v>
      </c>
      <c r="J1133" s="14">
        <f t="shared" ca="1" si="53"/>
        <v>126.20463333333335</v>
      </c>
      <c r="K1133" s="14">
        <f t="shared" ca="1" si="53"/>
        <v>126.20463333333335</v>
      </c>
    </row>
    <row r="1134" spans="1:11" ht="15" x14ac:dyDescent="0.2">
      <c r="A1134" s="10">
        <f t="shared" si="52"/>
        <v>2078</v>
      </c>
      <c r="B1134" s="14">
        <f t="shared" ca="1" si="50"/>
        <v>128.93483333333333</v>
      </c>
      <c r="C1134" s="14">
        <f t="shared" ca="1" si="50"/>
        <v>128.50257500000001</v>
      </c>
      <c r="D1134" s="14"/>
      <c r="E1134" s="14">
        <f t="shared" ca="1" si="53"/>
        <v>128.36593333333334</v>
      </c>
      <c r="F1134" s="14">
        <f t="shared" ca="1" si="53"/>
        <v>128.36593333333334</v>
      </c>
      <c r="G1134" s="14">
        <f t="shared" ca="1" si="53"/>
        <v>128.63730000000001</v>
      </c>
      <c r="H1134" s="14">
        <f t="shared" ca="1" si="53"/>
        <v>128.50257500000001</v>
      </c>
      <c r="I1134" s="14">
        <f t="shared" ca="1" si="53"/>
        <v>128.50257500000001</v>
      </c>
      <c r="J1134" s="14">
        <f t="shared" ca="1" si="53"/>
        <v>128.50257500000001</v>
      </c>
      <c r="K1134" s="14">
        <f t="shared" ca="1" si="53"/>
        <v>128.50257500000001</v>
      </c>
    </row>
    <row r="1135" spans="1:11" ht="15" x14ac:dyDescent="0.2">
      <c r="A1135" s="10">
        <f t="shared" si="52"/>
        <v>2079</v>
      </c>
      <c r="B1135" s="14">
        <f t="shared" ca="1" si="50"/>
        <v>131.27524166666666</v>
      </c>
      <c r="C1135" s="14">
        <f t="shared" ca="1" si="50"/>
        <v>130.84299166666668</v>
      </c>
      <c r="D1135" s="14"/>
      <c r="E1135" s="14">
        <f t="shared" ca="1" si="53"/>
        <v>130.70632499999999</v>
      </c>
      <c r="F1135" s="14">
        <f t="shared" ca="1" si="53"/>
        <v>130.70632499999999</v>
      </c>
      <c r="G1135" s="14">
        <f t="shared" ca="1" si="53"/>
        <v>130.9777</v>
      </c>
      <c r="H1135" s="14">
        <f t="shared" ca="1" si="53"/>
        <v>130.84299166666668</v>
      </c>
      <c r="I1135" s="14">
        <f t="shared" ca="1" si="53"/>
        <v>130.84299166666668</v>
      </c>
      <c r="J1135" s="14">
        <f t="shared" ca="1" si="53"/>
        <v>130.84299166666668</v>
      </c>
      <c r="K1135" s="14">
        <f t="shared" ca="1" si="53"/>
        <v>130.84299166666668</v>
      </c>
    </row>
    <row r="1136" spans="1:11" ht="15" x14ac:dyDescent="0.2">
      <c r="A1136" s="10">
        <f t="shared" si="52"/>
        <v>2080</v>
      </c>
      <c r="B1136" s="14">
        <f t="shared" ca="1" si="50"/>
        <v>133.65890000000005</v>
      </c>
      <c r="C1136" s="14">
        <f t="shared" ca="1" si="50"/>
        <v>133.22663333333335</v>
      </c>
      <c r="D1136" s="14"/>
      <c r="E1136" s="14">
        <f t="shared" ca="1" si="53"/>
        <v>133.08999166666669</v>
      </c>
      <c r="F1136" s="14">
        <f t="shared" ca="1" si="53"/>
        <v>133.08999166666669</v>
      </c>
      <c r="G1136" s="14">
        <f t="shared" ca="1" si="53"/>
        <v>133.36135833333333</v>
      </c>
      <c r="H1136" s="14">
        <f t="shared" ca="1" si="53"/>
        <v>133.22663333333335</v>
      </c>
      <c r="I1136" s="14">
        <f t="shared" ca="1" si="53"/>
        <v>133.22663333333335</v>
      </c>
      <c r="J1136" s="14">
        <f t="shared" ca="1" si="53"/>
        <v>133.22663333333335</v>
      </c>
      <c r="K1136" s="14">
        <f t="shared" ca="1" si="53"/>
        <v>133.22663333333335</v>
      </c>
    </row>
    <row r="1137" spans="1:11" ht="15" x14ac:dyDescent="0.2">
      <c r="A1137" s="10">
        <f t="shared" si="52"/>
        <v>2081</v>
      </c>
      <c r="B1137" s="14">
        <f t="shared" ca="1" si="50"/>
        <v>136.0866</v>
      </c>
      <c r="C1137" s="14">
        <f t="shared" ca="1" si="50"/>
        <v>135.65436666666668</v>
      </c>
      <c r="D1137" s="14"/>
      <c r="E1137" s="14">
        <f t="shared" ca="1" si="53"/>
        <v>135.51768333333334</v>
      </c>
      <c r="F1137" s="14">
        <f t="shared" ca="1" si="53"/>
        <v>135.51768333333334</v>
      </c>
      <c r="G1137" s="14">
        <f t="shared" ca="1" si="53"/>
        <v>135.78907500000003</v>
      </c>
      <c r="H1137" s="14">
        <f t="shared" ca="1" si="53"/>
        <v>135.65436666666668</v>
      </c>
      <c r="I1137" s="14">
        <f t="shared" ca="1" si="53"/>
        <v>135.65436666666668</v>
      </c>
      <c r="J1137" s="14">
        <f t="shared" ca="1" si="53"/>
        <v>135.65436666666668</v>
      </c>
      <c r="K1137" s="14">
        <f t="shared" ca="1" si="53"/>
        <v>135.65436666666668</v>
      </c>
    </row>
    <row r="1138" spans="1:11" ht="15" x14ac:dyDescent="0.2">
      <c r="A1138" s="10">
        <f t="shared" si="52"/>
        <v>2082</v>
      </c>
      <c r="B1138" s="14">
        <f t="shared" ref="B1138:C1156" ca="1" si="54">AVERAGE(OFFSET(B$600,($A1138-$A$1118)*12,0,12,1))</f>
        <v>138.55919166666669</v>
      </c>
      <c r="C1138" s="14">
        <f t="shared" ca="1" si="54"/>
        <v>138.12695833333333</v>
      </c>
      <c r="D1138" s="14"/>
      <c r="E1138" s="14">
        <f t="shared" ref="E1138:K1147" ca="1" si="55">AVERAGE(OFFSET(E$600,($A1138-$A$1118)*12,0,12,1))</f>
        <v>137.99028333333334</v>
      </c>
      <c r="F1138" s="14">
        <f t="shared" ca="1" si="55"/>
        <v>137.99028333333334</v>
      </c>
      <c r="G1138" s="14">
        <f t="shared" ca="1" si="55"/>
        <v>138.26165833333332</v>
      </c>
      <c r="H1138" s="14">
        <f t="shared" ca="1" si="55"/>
        <v>138.12695833333333</v>
      </c>
      <c r="I1138" s="14">
        <f t="shared" ca="1" si="55"/>
        <v>138.12695833333333</v>
      </c>
      <c r="J1138" s="14">
        <f t="shared" ca="1" si="55"/>
        <v>138.12695833333333</v>
      </c>
      <c r="K1138" s="14">
        <f t="shared" ca="1" si="55"/>
        <v>138.12695833333333</v>
      </c>
    </row>
    <row r="1139" spans="1:11" ht="15" x14ac:dyDescent="0.2">
      <c r="A1139" s="10">
        <f t="shared" si="52"/>
        <v>2083</v>
      </c>
      <c r="B1139" s="14">
        <f t="shared" ca="1" si="54"/>
        <v>141.07746666666668</v>
      </c>
      <c r="C1139" s="14">
        <f t="shared" ca="1" si="54"/>
        <v>140.64521666666667</v>
      </c>
      <c r="D1139" s="14"/>
      <c r="E1139" s="14">
        <f t="shared" ca="1" si="55"/>
        <v>140.50855833333333</v>
      </c>
      <c r="F1139" s="14">
        <f t="shared" ca="1" si="55"/>
        <v>140.50855833333333</v>
      </c>
      <c r="G1139" s="14">
        <f t="shared" ca="1" si="55"/>
        <v>140.77993333333333</v>
      </c>
      <c r="H1139" s="14">
        <f t="shared" ca="1" si="55"/>
        <v>140.64521666666667</v>
      </c>
      <c r="I1139" s="14">
        <f t="shared" ca="1" si="55"/>
        <v>140.64521666666667</v>
      </c>
      <c r="J1139" s="14">
        <f t="shared" ca="1" si="55"/>
        <v>140.64521666666667</v>
      </c>
      <c r="K1139" s="14">
        <f t="shared" ca="1" si="55"/>
        <v>140.64521666666667</v>
      </c>
    </row>
    <row r="1140" spans="1:11" ht="15" x14ac:dyDescent="0.2">
      <c r="A1140" s="10">
        <f t="shared" si="52"/>
        <v>2084</v>
      </c>
      <c r="B1140" s="14">
        <f t="shared" ca="1" si="54"/>
        <v>143.64227500000001</v>
      </c>
      <c r="C1140" s="14">
        <f t="shared" ca="1" si="54"/>
        <v>143.210025</v>
      </c>
      <c r="D1140" s="14"/>
      <c r="E1140" s="14">
        <f t="shared" ca="1" si="55"/>
        <v>143.07337500000003</v>
      </c>
      <c r="F1140" s="14">
        <f t="shared" ca="1" si="55"/>
        <v>143.07337500000003</v>
      </c>
      <c r="G1140" s="14">
        <f t="shared" ca="1" si="55"/>
        <v>143.34474166666666</v>
      </c>
      <c r="H1140" s="14">
        <f t="shared" ca="1" si="55"/>
        <v>143.210025</v>
      </c>
      <c r="I1140" s="14">
        <f t="shared" ca="1" si="55"/>
        <v>143.210025</v>
      </c>
      <c r="J1140" s="14">
        <f t="shared" ca="1" si="55"/>
        <v>143.210025</v>
      </c>
      <c r="K1140" s="14">
        <f t="shared" ca="1" si="55"/>
        <v>143.210025</v>
      </c>
    </row>
    <row r="1141" spans="1:11" ht="15" x14ac:dyDescent="0.2">
      <c r="A1141" s="10">
        <f t="shared" si="52"/>
        <v>2085</v>
      </c>
      <c r="B1141" s="14">
        <f t="shared" ca="1" si="54"/>
        <v>146.25449166666664</v>
      </c>
      <c r="C1141" s="14">
        <f t="shared" ca="1" si="54"/>
        <v>145.82224166666666</v>
      </c>
      <c r="D1141" s="14"/>
      <c r="E1141" s="14">
        <f t="shared" ca="1" si="55"/>
        <v>145.68558333333331</v>
      </c>
      <c r="F1141" s="14">
        <f t="shared" ca="1" si="55"/>
        <v>145.68558333333331</v>
      </c>
      <c r="G1141" s="14">
        <f t="shared" ca="1" si="55"/>
        <v>145.95695000000001</v>
      </c>
      <c r="H1141" s="14">
        <f t="shared" ca="1" si="55"/>
        <v>145.82224166666666</v>
      </c>
      <c r="I1141" s="14">
        <f t="shared" ca="1" si="55"/>
        <v>145.82224166666666</v>
      </c>
      <c r="J1141" s="14">
        <f t="shared" ca="1" si="55"/>
        <v>145.82224166666666</v>
      </c>
      <c r="K1141" s="14">
        <f t="shared" ca="1" si="55"/>
        <v>145.82224166666666</v>
      </c>
    </row>
    <row r="1142" spans="1:11" ht="15" x14ac:dyDescent="0.2">
      <c r="A1142" s="10">
        <f t="shared" si="52"/>
        <v>2086</v>
      </c>
      <c r="B1142" s="14">
        <f t="shared" ca="1" si="54"/>
        <v>148.914975</v>
      </c>
      <c r="C1142" s="14">
        <f t="shared" ca="1" si="54"/>
        <v>148.48273333333333</v>
      </c>
      <c r="D1142" s="14"/>
      <c r="E1142" s="14">
        <f t="shared" ca="1" si="55"/>
        <v>148.34606666666664</v>
      </c>
      <c r="F1142" s="14">
        <f t="shared" ca="1" si="55"/>
        <v>148.34606666666664</v>
      </c>
      <c r="G1142" s="14">
        <f t="shared" ca="1" si="55"/>
        <v>148.61745833333333</v>
      </c>
      <c r="H1142" s="14">
        <f t="shared" ca="1" si="55"/>
        <v>148.48273333333333</v>
      </c>
      <c r="I1142" s="14">
        <f t="shared" ca="1" si="55"/>
        <v>148.48273333333333</v>
      </c>
      <c r="J1142" s="14">
        <f t="shared" ca="1" si="55"/>
        <v>148.48273333333333</v>
      </c>
      <c r="K1142" s="14">
        <f t="shared" ca="1" si="55"/>
        <v>148.48273333333333</v>
      </c>
    </row>
    <row r="1143" spans="1:11" ht="15" x14ac:dyDescent="0.2">
      <c r="A1143" s="10">
        <f t="shared" si="52"/>
        <v>2087</v>
      </c>
      <c r="B1143" s="14">
        <f t="shared" ca="1" si="54"/>
        <v>151.62464166666666</v>
      </c>
      <c r="C1143" s="14">
        <f t="shared" ca="1" si="54"/>
        <v>151.19239166666668</v>
      </c>
      <c r="D1143" s="14"/>
      <c r="E1143" s="14">
        <f t="shared" ca="1" si="55"/>
        <v>151.05574166666668</v>
      </c>
      <c r="F1143" s="14">
        <f t="shared" ca="1" si="55"/>
        <v>151.05574166666668</v>
      </c>
      <c r="G1143" s="14">
        <f t="shared" ca="1" si="55"/>
        <v>151.32710000000003</v>
      </c>
      <c r="H1143" s="14">
        <f t="shared" ca="1" si="55"/>
        <v>151.19239166666668</v>
      </c>
      <c r="I1143" s="14">
        <f t="shared" ca="1" si="55"/>
        <v>151.19239166666668</v>
      </c>
      <c r="J1143" s="14">
        <f t="shared" ca="1" si="55"/>
        <v>151.19239166666668</v>
      </c>
      <c r="K1143" s="14">
        <f t="shared" ca="1" si="55"/>
        <v>151.19239166666668</v>
      </c>
    </row>
    <row r="1144" spans="1:11" ht="15" x14ac:dyDescent="0.2">
      <c r="A1144" s="10">
        <f t="shared" si="52"/>
        <v>2088</v>
      </c>
      <c r="B1144" s="14">
        <f t="shared" ca="1" si="54"/>
        <v>154.38436666666666</v>
      </c>
      <c r="C1144" s="14">
        <f t="shared" ca="1" si="54"/>
        <v>153.95213333333334</v>
      </c>
      <c r="D1144" s="14"/>
      <c r="E1144" s="14">
        <f t="shared" ca="1" si="55"/>
        <v>153.81546666666668</v>
      </c>
      <c r="F1144" s="14">
        <f t="shared" ca="1" si="55"/>
        <v>153.81546666666668</v>
      </c>
      <c r="G1144" s="14">
        <f t="shared" ca="1" si="55"/>
        <v>154.08684166666669</v>
      </c>
      <c r="H1144" s="14">
        <f t="shared" ca="1" si="55"/>
        <v>153.95213333333334</v>
      </c>
      <c r="I1144" s="14">
        <f t="shared" ca="1" si="55"/>
        <v>153.95213333333334</v>
      </c>
      <c r="J1144" s="14">
        <f t="shared" ca="1" si="55"/>
        <v>153.95213333333334</v>
      </c>
      <c r="K1144" s="14">
        <f t="shared" ca="1" si="55"/>
        <v>153.95213333333334</v>
      </c>
    </row>
    <row r="1145" spans="1:11" ht="15" x14ac:dyDescent="0.2">
      <c r="A1145" s="10">
        <f t="shared" si="52"/>
        <v>2089</v>
      </c>
      <c r="B1145" s="14">
        <f t="shared" ca="1" si="54"/>
        <v>157.1951</v>
      </c>
      <c r="C1145" s="14">
        <f t="shared" ca="1" si="54"/>
        <v>156.7628666666667</v>
      </c>
      <c r="D1145" s="14"/>
      <c r="E1145" s="14">
        <f t="shared" ca="1" si="55"/>
        <v>156.62620000000001</v>
      </c>
      <c r="F1145" s="14">
        <f t="shared" ca="1" si="55"/>
        <v>156.62620000000001</v>
      </c>
      <c r="G1145" s="14">
        <f t="shared" ca="1" si="55"/>
        <v>156.89758333333336</v>
      </c>
      <c r="H1145" s="14">
        <f t="shared" ca="1" si="55"/>
        <v>156.7628666666667</v>
      </c>
      <c r="I1145" s="14">
        <f t="shared" ca="1" si="55"/>
        <v>156.7628666666667</v>
      </c>
      <c r="J1145" s="14">
        <f t="shared" ca="1" si="55"/>
        <v>156.7628666666667</v>
      </c>
      <c r="K1145" s="14">
        <f t="shared" ca="1" si="55"/>
        <v>156.7628666666667</v>
      </c>
    </row>
    <row r="1146" spans="1:11" ht="15" x14ac:dyDescent="0.2">
      <c r="A1146" s="10">
        <f t="shared" si="52"/>
        <v>2090</v>
      </c>
      <c r="B1146" s="14">
        <f t="shared" ca="1" si="54"/>
        <v>160.05780000000001</v>
      </c>
      <c r="C1146" s="14">
        <f t="shared" ca="1" si="54"/>
        <v>159.62554166666666</v>
      </c>
      <c r="D1146" s="14"/>
      <c r="E1146" s="14">
        <f t="shared" ca="1" si="55"/>
        <v>159.48889166666666</v>
      </c>
      <c r="F1146" s="14">
        <f t="shared" ca="1" si="55"/>
        <v>159.48889166666666</v>
      </c>
      <c r="G1146" s="14">
        <f t="shared" ca="1" si="55"/>
        <v>159.76024166666667</v>
      </c>
      <c r="H1146" s="14">
        <f t="shared" ca="1" si="55"/>
        <v>159.62554166666666</v>
      </c>
      <c r="I1146" s="14">
        <f t="shared" ca="1" si="55"/>
        <v>159.62554166666666</v>
      </c>
      <c r="J1146" s="14">
        <f t="shared" ca="1" si="55"/>
        <v>159.62554166666666</v>
      </c>
      <c r="K1146" s="14">
        <f t="shared" ca="1" si="55"/>
        <v>159.62554166666666</v>
      </c>
    </row>
    <row r="1147" spans="1:11" ht="15" x14ac:dyDescent="0.2">
      <c r="A1147" s="10">
        <f t="shared" si="52"/>
        <v>2091</v>
      </c>
      <c r="B1147" s="14">
        <f t="shared" ca="1" si="54"/>
        <v>162.97339166666669</v>
      </c>
      <c r="C1147" s="14">
        <f t="shared" ca="1" si="54"/>
        <v>162.54111666666665</v>
      </c>
      <c r="D1147" s="14"/>
      <c r="E1147" s="14">
        <f t="shared" ca="1" si="55"/>
        <v>162.40447500000002</v>
      </c>
      <c r="F1147" s="14">
        <f t="shared" ca="1" si="55"/>
        <v>162.40447500000002</v>
      </c>
      <c r="G1147" s="14">
        <f t="shared" ca="1" si="55"/>
        <v>162.67584166666668</v>
      </c>
      <c r="H1147" s="14">
        <f t="shared" ca="1" si="55"/>
        <v>162.54111666666665</v>
      </c>
      <c r="I1147" s="14">
        <f t="shared" ca="1" si="55"/>
        <v>162.54111666666665</v>
      </c>
      <c r="J1147" s="14">
        <f t="shared" ca="1" si="55"/>
        <v>162.54111666666665</v>
      </c>
      <c r="K1147" s="14">
        <f t="shared" ca="1" si="55"/>
        <v>162.54111666666665</v>
      </c>
    </row>
    <row r="1148" spans="1:11" ht="15" x14ac:dyDescent="0.2">
      <c r="A1148" s="10">
        <f t="shared" si="52"/>
        <v>2092</v>
      </c>
      <c r="B1148" s="14">
        <f t="shared" ca="1" si="54"/>
        <v>165.94283333333331</v>
      </c>
      <c r="C1148" s="14">
        <f t="shared" ca="1" si="54"/>
        <v>165.51059166666667</v>
      </c>
      <c r="D1148" s="14"/>
      <c r="E1148" s="14">
        <f t="shared" ref="E1148:K1156" ca="1" si="56">AVERAGE(OFFSET(E$600,($A1148-$A$1118)*12,0,12,1))</f>
        <v>165.37393333333333</v>
      </c>
      <c r="F1148" s="14">
        <f t="shared" ca="1" si="56"/>
        <v>165.37393333333333</v>
      </c>
      <c r="G1148" s="14">
        <f t="shared" ca="1" si="56"/>
        <v>165.6453166666667</v>
      </c>
      <c r="H1148" s="14">
        <f t="shared" ca="1" si="56"/>
        <v>165.51059166666667</v>
      </c>
      <c r="I1148" s="14">
        <f t="shared" ca="1" si="56"/>
        <v>165.51059166666667</v>
      </c>
      <c r="J1148" s="14">
        <f t="shared" ca="1" si="56"/>
        <v>165.51059166666667</v>
      </c>
      <c r="K1148" s="14">
        <f t="shared" ca="1" si="56"/>
        <v>165.51059166666667</v>
      </c>
    </row>
    <row r="1149" spans="1:11" ht="15" x14ac:dyDescent="0.2">
      <c r="A1149" s="10">
        <f t="shared" si="52"/>
        <v>2093</v>
      </c>
      <c r="B1149" s="14">
        <f t="shared" ca="1" si="54"/>
        <v>168.96718333333337</v>
      </c>
      <c r="C1149" s="14">
        <f t="shared" ca="1" si="54"/>
        <v>168.53494166666667</v>
      </c>
      <c r="D1149" s="14"/>
      <c r="E1149" s="14">
        <f t="shared" ca="1" si="56"/>
        <v>168.39828333333335</v>
      </c>
      <c r="F1149" s="14">
        <f t="shared" ca="1" si="56"/>
        <v>168.39828333333335</v>
      </c>
      <c r="G1149" s="14">
        <f t="shared" ca="1" si="56"/>
        <v>168.66966666666667</v>
      </c>
      <c r="H1149" s="14">
        <f t="shared" ca="1" si="56"/>
        <v>168.53494166666667</v>
      </c>
      <c r="I1149" s="14">
        <f t="shared" ca="1" si="56"/>
        <v>168.53494166666667</v>
      </c>
      <c r="J1149" s="14">
        <f t="shared" ca="1" si="56"/>
        <v>168.53494166666667</v>
      </c>
      <c r="K1149" s="14">
        <f t="shared" ca="1" si="56"/>
        <v>168.53494166666667</v>
      </c>
    </row>
    <row r="1150" spans="1:11" ht="15" x14ac:dyDescent="0.2">
      <c r="A1150" s="10">
        <f t="shared" si="52"/>
        <v>2094</v>
      </c>
      <c r="B1150" s="14">
        <f t="shared" ca="1" si="54"/>
        <v>172.047425</v>
      </c>
      <c r="C1150" s="14">
        <f t="shared" ca="1" si="54"/>
        <v>171.61515833333337</v>
      </c>
      <c r="D1150" s="14"/>
      <c r="E1150" s="14">
        <f t="shared" ca="1" si="56"/>
        <v>171.47852499999999</v>
      </c>
      <c r="F1150" s="14">
        <f t="shared" ca="1" si="56"/>
        <v>171.47852499999999</v>
      </c>
      <c r="G1150" s="14">
        <f t="shared" ca="1" si="56"/>
        <v>171.74990000000003</v>
      </c>
      <c r="H1150" s="14">
        <f t="shared" ca="1" si="56"/>
        <v>171.61515833333337</v>
      </c>
      <c r="I1150" s="14">
        <f t="shared" ca="1" si="56"/>
        <v>171.61515833333337</v>
      </c>
      <c r="J1150" s="14">
        <f t="shared" ca="1" si="56"/>
        <v>171.61515833333337</v>
      </c>
      <c r="K1150" s="14">
        <f t="shared" ca="1" si="56"/>
        <v>171.61515833333337</v>
      </c>
    </row>
    <row r="1151" spans="1:11" ht="15" x14ac:dyDescent="0.2">
      <c r="A1151" s="10">
        <f t="shared" si="52"/>
        <v>2095</v>
      </c>
      <c r="B1151" s="14">
        <f t="shared" ca="1" si="54"/>
        <v>175.18459166666665</v>
      </c>
      <c r="C1151" s="14">
        <f t="shared" ca="1" si="54"/>
        <v>174.75234166666669</v>
      </c>
      <c r="D1151" s="14"/>
      <c r="E1151" s="14">
        <f t="shared" ca="1" si="56"/>
        <v>174.61568333333332</v>
      </c>
      <c r="F1151" s="14">
        <f t="shared" ca="1" si="56"/>
        <v>174.61568333333332</v>
      </c>
      <c r="G1151" s="14">
        <f t="shared" ca="1" si="56"/>
        <v>174.88705833333336</v>
      </c>
      <c r="H1151" s="14">
        <f t="shared" ca="1" si="56"/>
        <v>174.75234166666669</v>
      </c>
      <c r="I1151" s="14">
        <f t="shared" ca="1" si="56"/>
        <v>174.75234166666669</v>
      </c>
      <c r="J1151" s="14">
        <f t="shared" ca="1" si="56"/>
        <v>174.75234166666669</v>
      </c>
      <c r="K1151" s="14">
        <f t="shared" ca="1" si="56"/>
        <v>174.75234166666669</v>
      </c>
    </row>
    <row r="1152" spans="1:11" ht="15" x14ac:dyDescent="0.2">
      <c r="A1152" s="10">
        <f t="shared" si="52"/>
        <v>2096</v>
      </c>
      <c r="B1152" s="14">
        <f t="shared" ca="1" si="54"/>
        <v>178.37972500000001</v>
      </c>
      <c r="C1152" s="14">
        <f t="shared" ca="1" si="54"/>
        <v>177.94748333333337</v>
      </c>
      <c r="D1152" s="14"/>
      <c r="E1152" s="14">
        <f t="shared" ca="1" si="56"/>
        <v>177.81082500000002</v>
      </c>
      <c r="F1152" s="14">
        <f t="shared" ca="1" si="56"/>
        <v>177.81082500000002</v>
      </c>
      <c r="G1152" s="14">
        <f t="shared" ca="1" si="56"/>
        <v>178.08220000000003</v>
      </c>
      <c r="H1152" s="14">
        <f t="shared" ca="1" si="56"/>
        <v>177.94748333333337</v>
      </c>
      <c r="I1152" s="14">
        <f t="shared" ca="1" si="56"/>
        <v>177.94748333333337</v>
      </c>
      <c r="J1152" s="14">
        <f t="shared" ca="1" si="56"/>
        <v>177.94748333333337</v>
      </c>
      <c r="K1152" s="14">
        <f t="shared" ca="1" si="56"/>
        <v>177.94748333333337</v>
      </c>
    </row>
    <row r="1153" spans="1:11" ht="15" x14ac:dyDescent="0.2">
      <c r="A1153" s="10">
        <f t="shared" si="52"/>
        <v>2097</v>
      </c>
      <c r="B1153" s="14">
        <f t="shared" ca="1" si="54"/>
        <v>181.633925</v>
      </c>
      <c r="C1153" s="14">
        <f t="shared" ca="1" si="54"/>
        <v>181.20166666666668</v>
      </c>
      <c r="D1153" s="14"/>
      <c r="E1153" s="14">
        <f t="shared" ca="1" si="56"/>
        <v>181.06501666666671</v>
      </c>
      <c r="F1153" s="14">
        <f t="shared" ca="1" si="56"/>
        <v>181.06501666666671</v>
      </c>
      <c r="G1153" s="14">
        <f t="shared" ca="1" si="56"/>
        <v>181.33639166666669</v>
      </c>
      <c r="H1153" s="14">
        <f t="shared" ca="1" si="56"/>
        <v>181.20166666666668</v>
      </c>
      <c r="I1153" s="14">
        <f t="shared" ca="1" si="56"/>
        <v>181.20166666666668</v>
      </c>
      <c r="J1153" s="14">
        <f t="shared" ca="1" si="56"/>
        <v>181.20166666666668</v>
      </c>
      <c r="K1153" s="14">
        <f t="shared" ca="1" si="56"/>
        <v>181.20166666666668</v>
      </c>
    </row>
    <row r="1154" spans="1:11" ht="15" x14ac:dyDescent="0.2">
      <c r="A1154" s="10">
        <f t="shared" si="52"/>
        <v>2098</v>
      </c>
      <c r="B1154" s="14">
        <f t="shared" ca="1" si="54"/>
        <v>184.94824166666669</v>
      </c>
      <c r="C1154" s="14">
        <f t="shared" ca="1" si="54"/>
        <v>184.51599166666668</v>
      </c>
      <c r="D1154" s="14"/>
      <c r="E1154" s="14">
        <f t="shared" ca="1" si="56"/>
        <v>184.37933333333334</v>
      </c>
      <c r="F1154" s="14">
        <f t="shared" ca="1" si="56"/>
        <v>184.37933333333334</v>
      </c>
      <c r="G1154" s="14">
        <f t="shared" ca="1" si="56"/>
        <v>184.6507</v>
      </c>
      <c r="H1154" s="14">
        <f t="shared" ca="1" si="56"/>
        <v>184.51599166666668</v>
      </c>
      <c r="I1154" s="14">
        <f t="shared" ca="1" si="56"/>
        <v>184.51599166666668</v>
      </c>
      <c r="J1154" s="14">
        <f t="shared" ca="1" si="56"/>
        <v>184.51599166666668</v>
      </c>
      <c r="K1154" s="14">
        <f t="shared" ca="1" si="56"/>
        <v>184.51599166666668</v>
      </c>
    </row>
    <row r="1155" spans="1:11" ht="15" x14ac:dyDescent="0.2">
      <c r="A1155" s="10">
        <f t="shared" si="52"/>
        <v>2099</v>
      </c>
      <c r="B1155" s="14">
        <f t="shared" ca="1" si="54"/>
        <v>188.32382500000003</v>
      </c>
      <c r="C1155" s="14">
        <f t="shared" ca="1" si="54"/>
        <v>187.89156666666668</v>
      </c>
      <c r="D1155" s="14"/>
      <c r="E1155" s="14">
        <f t="shared" ca="1" si="56"/>
        <v>187.75491666666667</v>
      </c>
      <c r="F1155" s="14">
        <f t="shared" ca="1" si="56"/>
        <v>187.75491666666667</v>
      </c>
      <c r="G1155" s="14">
        <f t="shared" ca="1" si="56"/>
        <v>188.02629999999999</v>
      </c>
      <c r="H1155" s="14">
        <f t="shared" ca="1" si="56"/>
        <v>187.89156666666668</v>
      </c>
      <c r="I1155" s="14">
        <f t="shared" ca="1" si="56"/>
        <v>187.89156666666668</v>
      </c>
      <c r="J1155" s="14">
        <f t="shared" ca="1" si="56"/>
        <v>187.89156666666668</v>
      </c>
      <c r="K1155" s="14">
        <f t="shared" ca="1" si="56"/>
        <v>187.89156666666668</v>
      </c>
    </row>
    <row r="1156" spans="1:11" ht="15" x14ac:dyDescent="0.2">
      <c r="A1156" s="10">
        <f t="shared" si="52"/>
        <v>2100</v>
      </c>
      <c r="B1156" s="14">
        <f t="shared" ca="1" si="54"/>
        <v>191.76178333333337</v>
      </c>
      <c r="C1156" s="14">
        <f t="shared" ca="1" si="54"/>
        <v>191.32952499999999</v>
      </c>
      <c r="D1156" s="14"/>
      <c r="E1156" s="14">
        <f t="shared" ca="1" si="56"/>
        <v>191.19286666666673</v>
      </c>
      <c r="F1156" s="14">
        <f t="shared" ca="1" si="56"/>
        <v>191.19286666666673</v>
      </c>
      <c r="G1156" s="14">
        <f t="shared" ca="1" si="56"/>
        <v>191.46426666666665</v>
      </c>
      <c r="H1156" s="14">
        <f t="shared" ca="1" si="56"/>
        <v>191.32952499999999</v>
      </c>
      <c r="I1156" s="14">
        <f t="shared" ca="1" si="56"/>
        <v>191.32952499999999</v>
      </c>
      <c r="J1156" s="14">
        <f t="shared" ca="1" si="56"/>
        <v>191.32952499999999</v>
      </c>
      <c r="K1156" s="14">
        <f t="shared" ca="1" si="56"/>
        <v>191.32952499999999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8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0" zoomScaleNormal="70" workbookViewId="0">
      <pane xSplit="1" ySplit="11" topLeftCell="B12" activePane="bottomRight" state="frozen"/>
      <selection activeCell="A7" sqref="A7:B7"/>
      <selection pane="topRight" activeCell="A7" sqref="A7:B7"/>
      <selection pane="bottomLeft" activeCell="A7" sqref="A7:B7"/>
      <selection pane="bottomRight" activeCell="B12" sqref="B12"/>
    </sheetView>
  </sheetViews>
  <sheetFormatPr defaultColWidth="7.109375" defaultRowHeight="12.75" x14ac:dyDescent="0.2"/>
  <cols>
    <col min="1" max="1" width="18.44140625" style="31" customWidth="1"/>
    <col min="2" max="3" width="14.5546875" style="31" customWidth="1"/>
    <col min="4" max="4" width="16.88671875" style="31" customWidth="1"/>
    <col min="5" max="5" width="14.5546875" style="31" customWidth="1"/>
    <col min="6" max="6" width="16.77734375" style="31" customWidth="1"/>
    <col min="7" max="9" width="14.5546875" style="31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1" t="s">
        <v>91</v>
      </c>
    </row>
    <row r="2" spans="1:10" ht="15.75" x14ac:dyDescent="0.25">
      <c r="A2" s="101" t="s">
        <v>92</v>
      </c>
    </row>
    <row r="3" spans="1:10" ht="15.75" x14ac:dyDescent="0.25">
      <c r="A3" s="101" t="s">
        <v>93</v>
      </c>
    </row>
    <row r="4" spans="1:10" ht="15.75" x14ac:dyDescent="0.25">
      <c r="A4" s="101" t="s">
        <v>94</v>
      </c>
    </row>
    <row r="5" spans="1:10" ht="15.75" x14ac:dyDescent="0.25">
      <c r="A5" s="101" t="s">
        <v>96</v>
      </c>
    </row>
    <row r="6" spans="1:10" ht="15.75" x14ac:dyDescent="0.25">
      <c r="A6" s="101" t="s">
        <v>99</v>
      </c>
    </row>
    <row r="8" spans="1:10" ht="15.75" x14ac:dyDescent="0.25">
      <c r="A8" s="47" t="s">
        <v>27</v>
      </c>
      <c r="B8" s="48"/>
      <c r="C8" s="42"/>
    </row>
    <row r="9" spans="1:10" ht="15.75" x14ac:dyDescent="0.25">
      <c r="A9" s="47"/>
      <c r="B9" s="42"/>
      <c r="C9" s="42"/>
      <c r="D9" s="41" t="s">
        <v>25</v>
      </c>
      <c r="E9" s="40">
        <f>1-0.273</f>
        <v>0.72699999999999998</v>
      </c>
      <c r="F9" s="41" t="s">
        <v>24</v>
      </c>
      <c r="G9" s="40">
        <f>1+0.273</f>
        <v>1.2730000000000001</v>
      </c>
    </row>
    <row r="10" spans="1:10" s="36" customFormat="1" ht="34.9" customHeight="1" x14ac:dyDescent="0.25">
      <c r="B10" s="39" t="s">
        <v>47</v>
      </c>
      <c r="C10" s="37" t="s">
        <v>46</v>
      </c>
      <c r="D10" s="39" t="s">
        <v>45</v>
      </c>
      <c r="E10" s="39" t="s">
        <v>44</v>
      </c>
      <c r="F10" s="39" t="s">
        <v>43</v>
      </c>
      <c r="G10" s="37" t="s">
        <v>42</v>
      </c>
      <c r="H10" s="37" t="s">
        <v>41</v>
      </c>
      <c r="I10" s="39" t="s">
        <v>40</v>
      </c>
      <c r="J10" s="37" t="s">
        <v>39</v>
      </c>
    </row>
    <row r="11" spans="1:10" s="36" customFormat="1" ht="21" customHeight="1" x14ac:dyDescent="0.25">
      <c r="A11" s="38" t="s">
        <v>15</v>
      </c>
      <c r="B11" s="38" t="s">
        <v>14</v>
      </c>
      <c r="C11" s="38" t="s">
        <v>14</v>
      </c>
      <c r="D11" s="38" t="s">
        <v>14</v>
      </c>
      <c r="E11" s="38" t="s">
        <v>14</v>
      </c>
      <c r="F11" s="38" t="s">
        <v>14</v>
      </c>
      <c r="G11" s="38" t="s">
        <v>14</v>
      </c>
      <c r="H11" s="38" t="s">
        <v>14</v>
      </c>
      <c r="I11" s="38" t="s">
        <v>14</v>
      </c>
      <c r="J11" s="38" t="s">
        <v>38</v>
      </c>
    </row>
    <row r="12" spans="1:10" ht="15" x14ac:dyDescent="0.2">
      <c r="A12" s="13">
        <v>41275</v>
      </c>
      <c r="B12" s="14">
        <v>17.5608163872467</v>
      </c>
      <c r="C12" s="14">
        <v>16.672788775099502</v>
      </c>
      <c r="D12" s="14">
        <v>16.664976275099502</v>
      </c>
      <c r="E12" s="14">
        <v>16.664976275099502</v>
      </c>
      <c r="F12" s="14">
        <v>16.6118512750995</v>
      </c>
      <c r="G12" s="14">
        <v>16.6712262750995</v>
      </c>
      <c r="H12" s="14">
        <v>16.6712262750995</v>
      </c>
      <c r="I12" s="14">
        <v>16.672788775099502</v>
      </c>
      <c r="J12" s="44">
        <f>89.51</f>
        <v>89.51</v>
      </c>
    </row>
    <row r="13" spans="1:10" ht="15" x14ac:dyDescent="0.2">
      <c r="A13" s="13">
        <v>41306</v>
      </c>
      <c r="B13" s="14">
        <v>18.139507285282502</v>
      </c>
      <c r="C13" s="14">
        <v>17.084489196554799</v>
      </c>
      <c r="D13" s="14">
        <v>17.076676696554799</v>
      </c>
      <c r="E13" s="14">
        <v>17.076676696554799</v>
      </c>
      <c r="F13" s="14">
        <v>17.023551696554801</v>
      </c>
      <c r="G13" s="14">
        <v>17.0829266965548</v>
      </c>
      <c r="H13" s="14">
        <v>17.0829266965548</v>
      </c>
      <c r="I13" s="14">
        <v>17.084489196554799</v>
      </c>
      <c r="J13" s="44">
        <f>96.24</f>
        <v>96.24</v>
      </c>
    </row>
    <row r="14" spans="1:10" ht="15" x14ac:dyDescent="0.2">
      <c r="A14" s="13">
        <v>41334</v>
      </c>
      <c r="B14" s="14">
        <v>16.456719986895401</v>
      </c>
      <c r="C14" s="14">
        <v>15.771603971900401</v>
      </c>
      <c r="D14" s="14">
        <v>15.763791471900401</v>
      </c>
      <c r="E14" s="14">
        <v>15.763791471900401</v>
      </c>
      <c r="F14" s="14">
        <v>16.456719986895401</v>
      </c>
      <c r="G14" s="14">
        <v>15.770041471900401</v>
      </c>
      <c r="H14" s="14">
        <v>15.770041471900401</v>
      </c>
      <c r="I14" s="14">
        <v>15.771603971900401</v>
      </c>
      <c r="J14" s="44">
        <f>94.46</f>
        <v>94.46</v>
      </c>
    </row>
    <row r="15" spans="1:10" ht="15" x14ac:dyDescent="0.2">
      <c r="A15" s="13">
        <v>41365</v>
      </c>
      <c r="B15" s="14">
        <v>16.071251267255601</v>
      </c>
      <c r="C15" s="14">
        <v>15.4136066904326</v>
      </c>
      <c r="D15" s="14">
        <v>15.4057941904326</v>
      </c>
      <c r="E15" s="14">
        <v>15.4057941904326</v>
      </c>
      <c r="F15" s="45">
        <v>15.915001267255599</v>
      </c>
      <c r="G15" s="14">
        <v>15.412044190432599</v>
      </c>
      <c r="H15" s="14">
        <v>15.412044190432599</v>
      </c>
      <c r="I15" s="14">
        <v>15.4136066904326</v>
      </c>
      <c r="J15" s="44">
        <f>92.96</f>
        <v>92.96</v>
      </c>
    </row>
    <row r="16" spans="1:10" ht="15" x14ac:dyDescent="0.2">
      <c r="A16" s="13">
        <v>41395</v>
      </c>
      <c r="B16" s="14">
        <v>16.0652180011265</v>
      </c>
      <c r="C16" s="14">
        <v>15.407153397421901</v>
      </c>
      <c r="D16" s="14">
        <v>15.399340897421901</v>
      </c>
      <c r="E16" s="14">
        <v>15.399340897421901</v>
      </c>
      <c r="F16" s="45">
        <v>15.9089680011265</v>
      </c>
      <c r="G16" s="14">
        <v>15.4055908974219</v>
      </c>
      <c r="H16" s="14">
        <v>15.4055908974219</v>
      </c>
      <c r="I16" s="14">
        <v>15.407153397421901</v>
      </c>
      <c r="J16" s="44">
        <f>88.76</f>
        <v>88.76</v>
      </c>
    </row>
    <row r="17" spans="1:10" ht="15" x14ac:dyDescent="0.2">
      <c r="A17" s="13">
        <v>41426</v>
      </c>
      <c r="B17" s="14">
        <v>15.8182825172556</v>
      </c>
      <c r="C17" s="14">
        <v>15.2292316904326</v>
      </c>
      <c r="D17" s="14">
        <v>15.2214191904326</v>
      </c>
      <c r="E17" s="14">
        <v>15.2214191904326</v>
      </c>
      <c r="F17" s="45">
        <v>15.6620325172556</v>
      </c>
      <c r="G17" s="14">
        <v>15.2276691904326</v>
      </c>
      <c r="H17" s="14">
        <v>15.2276691904326</v>
      </c>
      <c r="I17" s="14">
        <v>15.2292316904326</v>
      </c>
      <c r="J17" s="44">
        <f>96.16</f>
        <v>96.16</v>
      </c>
    </row>
    <row r="18" spans="1:10" ht="15" x14ac:dyDescent="0.2">
      <c r="A18" s="13">
        <v>41456</v>
      </c>
      <c r="B18" s="14">
        <v>15.3045325172556</v>
      </c>
      <c r="C18" s="14">
        <v>14.8135546070993</v>
      </c>
      <c r="D18" s="14">
        <v>14.8057421070993</v>
      </c>
      <c r="E18" s="14">
        <v>14.8057421070993</v>
      </c>
      <c r="F18" s="45">
        <v>15.1482825172556</v>
      </c>
      <c r="G18" s="14">
        <v>14.8119921070993</v>
      </c>
      <c r="H18" s="14">
        <v>14.8119921070993</v>
      </c>
      <c r="I18" s="14">
        <v>14.8135546070993</v>
      </c>
      <c r="J18" s="44">
        <f>95.4</f>
        <v>95.4</v>
      </c>
    </row>
    <row r="19" spans="1:10" ht="15" x14ac:dyDescent="0.2">
      <c r="A19" s="13">
        <v>41487</v>
      </c>
      <c r="B19" s="14">
        <f>15.6094 * CHOOSE(CONTROL!$C$15, $E$9, 100%, $G$9) + CHOOSE(CONTROL!$C$38, 0.0278, 0)</f>
        <v>15.6372</v>
      </c>
      <c r="C19" s="14">
        <f>14.9844 * CHOOSE(CONTROL!$C$15, $E$9, 100%, $G$9) + CHOOSE(CONTROL!$C$38, 0.0369, 0)</f>
        <v>15.0213</v>
      </c>
      <c r="D19" s="14">
        <f>14.9766 * CHOOSE(CONTROL!$C$15, $E$9, 100%, $G$9) + CHOOSE(CONTROL!$C$38, 0.0369, 0)</f>
        <v>15.013499999999999</v>
      </c>
      <c r="E19" s="14">
        <f>14.9766 * CHOOSE(CONTROL!$C$15, $E$9, 100%, $G$9) + CHOOSE(CONTROL!$C$38, 0.0369, 0)</f>
        <v>15.013499999999999</v>
      </c>
      <c r="F19" s="45">
        <f>15.4531 * CHOOSE(CONTROL!$C$15, $E$9, 100%, $G$9) + CHOOSE(CONTROL!$C$38, 0.0278, 0)</f>
        <v>15.480899999999998</v>
      </c>
      <c r="G19" s="14">
        <f>14.9828 * CHOOSE(CONTROL!$C$15, $E$9, 100%, $G$9) + CHOOSE(CONTROL!$C$38, 0.0369, 0)</f>
        <v>15.019699999999998</v>
      </c>
      <c r="H19" s="14">
        <f>14.9828 * CHOOSE(CONTROL!$C$15, $E$9, 100%, $G$9) + CHOOSE(CONTROL!$C$38, 0.0369, 0)</f>
        <v>15.019699999999998</v>
      </c>
      <c r="I19" s="14">
        <f>14.9844 * CHOOSE(CONTROL!$C$15, $E$9, 100%, $G$9) + CHOOSE(CONTROL!$C$38, 0.0369, 0)</f>
        <v>15.0213</v>
      </c>
      <c r="J19" s="44">
        <f>97.99</f>
        <v>97.99</v>
      </c>
    </row>
    <row r="20" spans="1:10" ht="15" x14ac:dyDescent="0.2">
      <c r="A20" s="13">
        <v>41518</v>
      </c>
      <c r="B20" s="14">
        <f>15.6875 * CHOOSE(CONTROL!$C$15, $E$9, 100%, $G$9) + CHOOSE(CONTROL!$C$38, 0.0278, 0)</f>
        <v>15.715299999999999</v>
      </c>
      <c r="C20" s="14">
        <f>14.9844 * CHOOSE(CONTROL!$C$15, $E$9, 100%, $G$9) + CHOOSE(CONTROL!$C$38, 0.0369, 0)</f>
        <v>15.0213</v>
      </c>
      <c r="D20" s="14">
        <f>14.9766 * CHOOSE(CONTROL!$C$15, $E$9, 100%, $G$9) + CHOOSE(CONTROL!$C$38, 0.0369, 0)</f>
        <v>15.013499999999999</v>
      </c>
      <c r="E20" s="14">
        <f>14.9766 * CHOOSE(CONTROL!$C$15, $E$9, 100%, $G$9) + CHOOSE(CONTROL!$C$38, 0.0369, 0)</f>
        <v>15.013499999999999</v>
      </c>
      <c r="F20" s="45">
        <f>15.5312 * CHOOSE(CONTROL!$C$15, $E$9, 100%, $G$9) + CHOOSE(CONTROL!$C$38, 0.0278, 0)</f>
        <v>15.558999999999999</v>
      </c>
      <c r="G20" s="14">
        <f>14.9828 * CHOOSE(CONTROL!$C$15, $E$9, 100%, $G$9) + CHOOSE(CONTROL!$C$38, 0.0369, 0)</f>
        <v>15.019699999999998</v>
      </c>
      <c r="H20" s="14">
        <f>14.9828 * CHOOSE(CONTROL!$C$15, $E$9, 100%, $G$9) + CHOOSE(CONTROL!$C$38, 0.0369, 0)</f>
        <v>15.019699999999998</v>
      </c>
      <c r="I20" s="14">
        <f>14.9844 * CHOOSE(CONTROL!$C$15, $E$9, 100%, $G$9) + CHOOSE(CONTROL!$C$38, 0.0369, 0)</f>
        <v>15.0213</v>
      </c>
      <c r="J20" s="44">
        <f>97.88</f>
        <v>97.88</v>
      </c>
    </row>
    <row r="21" spans="1:10" ht="15" x14ac:dyDescent="0.2">
      <c r="A21" s="13">
        <v>41548</v>
      </c>
      <c r="B21" s="14">
        <f>15.6953 * CHOOSE(CONTROL!$C$15, $E$9, 100%, $G$9) + CHOOSE(CONTROL!$C$38, 0.0256, 0)</f>
        <v>15.7209</v>
      </c>
      <c r="C21" s="14">
        <f>14.9531 * CHOOSE(CONTROL!$C$15, $E$9, 100%, $G$9) + CHOOSE(CONTROL!$C$38, 0.0347, 0)</f>
        <v>14.9878</v>
      </c>
      <c r="D21" s="14">
        <f>14.9453 * CHOOSE(CONTROL!$C$15, $E$9, 100%, $G$9) + CHOOSE(CONTROL!$C$38, 0.0347, 0)</f>
        <v>14.98</v>
      </c>
      <c r="E21" s="14">
        <f>14.9453 * CHOOSE(CONTROL!$C$15, $E$9, 100%, $G$9) + CHOOSE(CONTROL!$C$38, 0.0347, 0)</f>
        <v>14.98</v>
      </c>
      <c r="F21" s="45">
        <f>15.5391 * CHOOSE(CONTROL!$C$15, $E$9, 100%, $G$9) + CHOOSE(CONTROL!$C$38, 0.0256, 0)</f>
        <v>15.5647</v>
      </c>
      <c r="G21" s="14">
        <f>14.9516 * CHOOSE(CONTROL!$C$15, $E$9, 100%, $G$9) + CHOOSE(CONTROL!$C$38, 0.0347, 0)</f>
        <v>14.9863</v>
      </c>
      <c r="H21" s="14">
        <f>14.9516 * CHOOSE(CONTROL!$C$15, $E$9, 100%, $G$9) + CHOOSE(CONTROL!$C$38, 0.0347, 0)</f>
        <v>14.9863</v>
      </c>
      <c r="I21" s="14">
        <f>14.9531 * CHOOSE(CONTROL!$C$15, $E$9, 100%, $G$9) + CHOOSE(CONTROL!$C$38, 0.0347, 0)</f>
        <v>14.9878</v>
      </c>
      <c r="J21" s="44">
        <f>97.02</f>
        <v>97.02</v>
      </c>
    </row>
    <row r="22" spans="1:10" ht="15" x14ac:dyDescent="0.2">
      <c r="A22" s="13">
        <v>41579</v>
      </c>
      <c r="B22" s="14">
        <f>15.6328 * CHOOSE(CONTROL!$C$15, $E$9, 100%, $G$9) + CHOOSE(CONTROL!$C$38, 0.0256, 0)</f>
        <v>15.6584</v>
      </c>
      <c r="C22" s="14">
        <f>14.8906 * CHOOSE(CONTROL!$C$15, $E$9, 100%, $G$9) + CHOOSE(CONTROL!$C$38, 0.0347, 0)</f>
        <v>14.9253</v>
      </c>
      <c r="D22" s="14">
        <f>14.8828 * CHOOSE(CONTROL!$C$15, $E$9, 100%, $G$9) + CHOOSE(CONTROL!$C$38, 0.0347, 0)</f>
        <v>14.9175</v>
      </c>
      <c r="E22" s="14">
        <f>14.8828 * CHOOSE(CONTROL!$C$15, $E$9, 100%, $G$9) + CHOOSE(CONTROL!$C$38, 0.0347, 0)</f>
        <v>14.9175</v>
      </c>
      <c r="F22" s="45">
        <f>15.4766 * CHOOSE(CONTROL!$C$15, $E$9, 100%, $G$9) + CHOOSE(CONTROL!$C$38, 0.0256, 0)</f>
        <v>15.5022</v>
      </c>
      <c r="G22" s="14">
        <f>14.8891 * CHOOSE(CONTROL!$C$15, $E$9, 100%, $G$9) + CHOOSE(CONTROL!$C$38, 0.0347, 0)</f>
        <v>14.9238</v>
      </c>
      <c r="H22" s="14">
        <f>14.8891 * CHOOSE(CONTROL!$C$15, $E$9, 100%, $G$9) + CHOOSE(CONTROL!$C$38, 0.0347, 0)</f>
        <v>14.9238</v>
      </c>
      <c r="I22" s="14">
        <f>14.8906 * CHOOSE(CONTROL!$C$15, $E$9, 100%, $G$9) + CHOOSE(CONTROL!$C$38, 0.0347, 0)</f>
        <v>14.9253</v>
      </c>
      <c r="J22" s="44">
        <f>96.23</f>
        <v>96.23</v>
      </c>
    </row>
    <row r="23" spans="1:10" ht="15" x14ac:dyDescent="0.2">
      <c r="A23" s="13">
        <v>41609</v>
      </c>
      <c r="B23" s="14">
        <f>15.6328 * CHOOSE(CONTROL!$C$15, $E$9, 100%, $G$9) + CHOOSE(CONTROL!$C$38, 0.0256, 0)</f>
        <v>15.6584</v>
      </c>
      <c r="C23" s="14">
        <f>14.8906 * CHOOSE(CONTROL!$C$15, $E$9, 100%, $G$9) + CHOOSE(CONTROL!$C$38, 0.0347, 0)</f>
        <v>14.9253</v>
      </c>
      <c r="D23" s="14">
        <f>14.8828 * CHOOSE(CONTROL!$C$15, $E$9, 100%, $G$9) + CHOOSE(CONTROL!$C$38, 0.0347, 0)</f>
        <v>14.9175</v>
      </c>
      <c r="E23" s="14">
        <f>14.8828 * CHOOSE(CONTROL!$C$15, $E$9, 100%, $G$9) + CHOOSE(CONTROL!$C$38, 0.0347, 0)</f>
        <v>14.9175</v>
      </c>
      <c r="F23" s="45">
        <f>15.4766 * CHOOSE(CONTROL!$C$15, $E$9, 100%, $G$9) + CHOOSE(CONTROL!$C$38, 0.0256, 0)</f>
        <v>15.5022</v>
      </c>
      <c r="G23" s="14">
        <f>14.8891 * CHOOSE(CONTROL!$C$15, $E$9, 100%, $G$9) + CHOOSE(CONTROL!$C$38, 0.0347, 0)</f>
        <v>14.9238</v>
      </c>
      <c r="H23" s="14">
        <f>14.8891 * CHOOSE(CONTROL!$C$15, $E$9, 100%, $G$9) + CHOOSE(CONTROL!$C$38, 0.0347, 0)</f>
        <v>14.9238</v>
      </c>
      <c r="I23" s="14">
        <f>14.8906 * CHOOSE(CONTROL!$C$15, $E$9, 100%, $G$9) + CHOOSE(CONTROL!$C$38, 0.0347, 0)</f>
        <v>14.9253</v>
      </c>
      <c r="J23" s="44">
        <f>95.46</f>
        <v>95.46</v>
      </c>
    </row>
    <row r="24" spans="1:10" ht="15" x14ac:dyDescent="0.2">
      <c r="A24" s="13">
        <v>41640</v>
      </c>
      <c r="B24" s="14">
        <f>15.6641 * CHOOSE(CONTROL!$C$15, $E$9, 100%, $G$9) + CHOOSE(CONTROL!$C$38, 0.0256, 0)</f>
        <v>15.6897</v>
      </c>
      <c r="C24" s="14">
        <f>14.8828 * CHOOSE(CONTROL!$C$15, $E$9, 100%, $G$9) + CHOOSE(CONTROL!$C$38, 0.0347, 0)</f>
        <v>14.9175</v>
      </c>
      <c r="D24" s="14">
        <f>14.875 * CHOOSE(CONTROL!$C$15, $E$9, 100%, $G$9) + CHOOSE(CONTROL!$C$38, 0.0347, 0)</f>
        <v>14.909700000000001</v>
      </c>
      <c r="E24" s="46">
        <f>15.5078 * CHOOSE(CONTROL!$C$15, $E$9, 100%, $G$9) + CHOOSE(CONTROL!$C$38, 0.0347, 0)</f>
        <v>15.5425</v>
      </c>
      <c r="F24" s="45">
        <f>15.5078 * CHOOSE(CONTROL!$C$15, $E$9, 100%, $G$9) + CHOOSE(CONTROL!$C$38, 0.0256, 0)</f>
        <v>15.5334</v>
      </c>
      <c r="G24" s="14">
        <f>14.8812 * CHOOSE(CONTROL!$C$15, $E$9, 100%, $G$9) + CHOOSE(CONTROL!$C$38, 0.0347, 0)</f>
        <v>14.915900000000001</v>
      </c>
      <c r="H24" s="14">
        <f>14.8812 * CHOOSE(CONTROL!$C$15, $E$9, 100%, $G$9) + CHOOSE(CONTROL!$C$38, 0.0347, 0)</f>
        <v>14.915900000000001</v>
      </c>
      <c r="I24" s="14">
        <f>14.8828 * CHOOSE(CONTROL!$C$15, $E$9, 100%, $G$9) + CHOOSE(CONTROL!$C$38, 0.0347, 0)</f>
        <v>14.9175</v>
      </c>
      <c r="J24" s="44">
        <f>94.68</f>
        <v>94.68</v>
      </c>
    </row>
    <row r="25" spans="1:10" ht="15" x14ac:dyDescent="0.2">
      <c r="A25" s="13">
        <v>41671</v>
      </c>
      <c r="B25" s="14">
        <f>15.6641 * CHOOSE(CONTROL!$C$15, $E$9, 100%, $G$9) + CHOOSE(CONTROL!$C$38, 0.0256, 0)</f>
        <v>15.6897</v>
      </c>
      <c r="C25" s="14">
        <f>14.8828 * CHOOSE(CONTROL!$C$15, $E$9, 100%, $G$9) + CHOOSE(CONTROL!$C$38, 0.0347, 0)</f>
        <v>14.9175</v>
      </c>
      <c r="D25" s="14">
        <f>14.875 * CHOOSE(CONTROL!$C$15, $E$9, 100%, $G$9) + CHOOSE(CONTROL!$C$38, 0.0347, 0)</f>
        <v>14.909700000000001</v>
      </c>
      <c r="E25" s="46">
        <f>15.5078 * CHOOSE(CONTROL!$C$15, $E$9, 100%, $G$9) + CHOOSE(CONTROL!$C$38, 0.0347, 0)</f>
        <v>15.5425</v>
      </c>
      <c r="F25" s="45">
        <f>15.5078 * CHOOSE(CONTROL!$C$15, $E$9, 100%, $G$9) + CHOOSE(CONTROL!$C$38, 0.0256, 0)</f>
        <v>15.5334</v>
      </c>
      <c r="G25" s="14">
        <f>14.8812 * CHOOSE(CONTROL!$C$15, $E$9, 100%, $G$9) + CHOOSE(CONTROL!$C$38, 0.0347, 0)</f>
        <v>14.915900000000001</v>
      </c>
      <c r="H25" s="14">
        <f>14.8812 * CHOOSE(CONTROL!$C$15, $E$9, 100%, $G$9) + CHOOSE(CONTROL!$C$38, 0.0347, 0)</f>
        <v>14.915900000000001</v>
      </c>
      <c r="I25" s="14">
        <f>14.8828 * CHOOSE(CONTROL!$C$15, $E$9, 100%, $G$9) + CHOOSE(CONTROL!$C$38, 0.0347, 0)</f>
        <v>14.9175</v>
      </c>
      <c r="J25" s="44">
        <f>93.91</f>
        <v>93.91</v>
      </c>
    </row>
    <row r="26" spans="1:10" ht="15" x14ac:dyDescent="0.2">
      <c r="A26" s="13">
        <v>41699</v>
      </c>
      <c r="B26" s="14">
        <f>15.6641 * CHOOSE(CONTROL!$C$15, $E$9, 100%, $G$9) + CHOOSE(CONTROL!$C$38, 0.0256, 0)</f>
        <v>15.6897</v>
      </c>
      <c r="C26" s="14">
        <f>14.8828 * CHOOSE(CONTROL!$C$15, $E$9, 100%, $G$9) + CHOOSE(CONTROL!$C$38, 0.0347, 0)</f>
        <v>14.9175</v>
      </c>
      <c r="D26" s="14">
        <f>14.875 * CHOOSE(CONTROL!$C$15, $E$9, 100%, $G$9) + CHOOSE(CONTROL!$C$38, 0.0347, 0)</f>
        <v>14.909700000000001</v>
      </c>
      <c r="E26" s="46">
        <f>15.5078 * CHOOSE(CONTROL!$C$15, $E$9, 100%, $G$9) + CHOOSE(CONTROL!$C$38, 0.0347, 0)</f>
        <v>15.5425</v>
      </c>
      <c r="F26" s="45">
        <f>15.5078 * CHOOSE(CONTROL!$C$15, $E$9, 100%, $G$9) + CHOOSE(CONTROL!$C$38, 0.0256, 0)</f>
        <v>15.5334</v>
      </c>
      <c r="G26" s="14">
        <f>14.8812 * CHOOSE(CONTROL!$C$15, $E$9, 100%, $G$9) + CHOOSE(CONTROL!$C$38, 0.0347, 0)</f>
        <v>14.915900000000001</v>
      </c>
      <c r="H26" s="14">
        <f>14.8812 * CHOOSE(CONTROL!$C$15, $E$9, 100%, $G$9) + CHOOSE(CONTROL!$C$38, 0.0347, 0)</f>
        <v>14.915900000000001</v>
      </c>
      <c r="I26" s="14">
        <f>14.8828 * CHOOSE(CONTROL!$C$15, $E$9, 100%, $G$9) + CHOOSE(CONTROL!$C$38, 0.0347, 0)</f>
        <v>14.9175</v>
      </c>
      <c r="J26" s="44">
        <f>93.22</f>
        <v>93.22</v>
      </c>
    </row>
    <row r="27" spans="1:10" ht="15" x14ac:dyDescent="0.2">
      <c r="A27" s="13">
        <v>41730</v>
      </c>
      <c r="B27" s="14">
        <f>15.462 * CHOOSE(CONTROL!$C$15, $E$9, 100%, $G$9) + CHOOSE(CONTROL!$C$38, 0.0256, 0)</f>
        <v>15.4876</v>
      </c>
      <c r="C27" s="14">
        <f>14.6807 * CHOOSE(CONTROL!$C$15, $E$9, 100%, $G$9) + CHOOSE(CONTROL!$C$38, 0.0347, 0)</f>
        <v>14.715400000000001</v>
      </c>
      <c r="D27" s="14">
        <f>14.6729 * CHOOSE(CONTROL!$C$15, $E$9, 100%, $G$9) + CHOOSE(CONTROL!$C$38, 0.0347, 0)</f>
        <v>14.707600000000001</v>
      </c>
      <c r="E27" s="46">
        <f>15.3057 * CHOOSE(CONTROL!$C$15, $E$9, 100%, $G$9) + CHOOSE(CONTROL!$C$38, 0.0347, 0)</f>
        <v>15.340400000000001</v>
      </c>
      <c r="F27" s="45">
        <f>15.3057 * CHOOSE(CONTROL!$C$15, $E$9, 100%, $G$9) + CHOOSE(CONTROL!$C$38, 0.0256, 0)</f>
        <v>15.331300000000001</v>
      </c>
      <c r="G27" s="14">
        <f>14.6792 * CHOOSE(CONTROL!$C$15, $E$9, 100%, $G$9) + CHOOSE(CONTROL!$C$38, 0.0347, 0)</f>
        <v>14.713900000000001</v>
      </c>
      <c r="H27" s="14">
        <f>14.6792 * CHOOSE(CONTROL!$C$15, $E$9, 100%, $G$9) + CHOOSE(CONTROL!$C$38, 0.0347, 0)</f>
        <v>14.713900000000001</v>
      </c>
      <c r="I27" s="14">
        <f>14.6807 * CHOOSE(CONTROL!$C$15, $E$9, 100%, $G$9) + CHOOSE(CONTROL!$C$38, 0.0347, 0)</f>
        <v>14.715400000000001</v>
      </c>
      <c r="J27" s="44">
        <f>92.57</f>
        <v>92.57</v>
      </c>
    </row>
    <row r="28" spans="1:10" ht="15" x14ac:dyDescent="0.2">
      <c r="A28" s="13">
        <v>41760</v>
      </c>
      <c r="B28" s="14">
        <f>15.462 * CHOOSE(CONTROL!$C$15, $E$9, 100%, $G$9) + CHOOSE(CONTROL!$C$38, 0.0278, 0)</f>
        <v>15.489799999999999</v>
      </c>
      <c r="C28" s="14">
        <f>14.6807 * CHOOSE(CONTROL!$C$15, $E$9, 100%, $G$9) + CHOOSE(CONTROL!$C$38, 0.0369, 0)</f>
        <v>14.717599999999999</v>
      </c>
      <c r="D28" s="14">
        <f>14.6729 * CHOOSE(CONTROL!$C$15, $E$9, 100%, $G$9) + CHOOSE(CONTROL!$C$38, 0.0369, 0)</f>
        <v>14.7098</v>
      </c>
      <c r="E28" s="46">
        <f>15.3057 * CHOOSE(CONTROL!$C$15, $E$9, 100%, $G$9) + CHOOSE(CONTROL!$C$38, 0.0369, 0)</f>
        <v>15.342599999999999</v>
      </c>
      <c r="F28" s="45">
        <f>15.3057 * CHOOSE(CONTROL!$C$15, $E$9, 100%, $G$9) + CHOOSE(CONTROL!$C$38, 0.0278, 0)</f>
        <v>15.333499999999999</v>
      </c>
      <c r="G28" s="14">
        <f>14.6792 * CHOOSE(CONTROL!$C$15, $E$9, 100%, $G$9) + CHOOSE(CONTROL!$C$38, 0.0369, 0)</f>
        <v>14.716099999999999</v>
      </c>
      <c r="H28" s="14">
        <f>14.6792 * CHOOSE(CONTROL!$C$15, $E$9, 100%, $G$9) + CHOOSE(CONTROL!$C$38, 0.0369, 0)</f>
        <v>14.716099999999999</v>
      </c>
      <c r="I28" s="14">
        <f>14.6807 * CHOOSE(CONTROL!$C$15, $E$9, 100%, $G$9) + CHOOSE(CONTROL!$C$38, 0.0369, 0)</f>
        <v>14.717599999999999</v>
      </c>
      <c r="J28" s="44">
        <f>92.05</f>
        <v>92.05</v>
      </c>
    </row>
    <row r="29" spans="1:10" ht="15" x14ac:dyDescent="0.2">
      <c r="A29" s="13">
        <v>41791</v>
      </c>
      <c r="B29" s="14">
        <f>15.462 * CHOOSE(CONTROL!$C$15, $E$9, 100%, $G$9) + CHOOSE(CONTROL!$C$38, 0.0278, 0)</f>
        <v>15.489799999999999</v>
      </c>
      <c r="C29" s="14">
        <f>14.6807 * CHOOSE(CONTROL!$C$15, $E$9, 100%, $G$9) + CHOOSE(CONTROL!$C$38, 0.0369, 0)</f>
        <v>14.717599999999999</v>
      </c>
      <c r="D29" s="14">
        <f>14.6729 * CHOOSE(CONTROL!$C$15, $E$9, 100%, $G$9) + CHOOSE(CONTROL!$C$38, 0.0369, 0)</f>
        <v>14.7098</v>
      </c>
      <c r="E29" s="46">
        <f>15.3057 * CHOOSE(CONTROL!$C$15, $E$9, 100%, $G$9) + CHOOSE(CONTROL!$C$38, 0.0369, 0)</f>
        <v>15.342599999999999</v>
      </c>
      <c r="F29" s="45">
        <f>15.3057 * CHOOSE(CONTROL!$C$15, $E$9, 100%, $G$9) + CHOOSE(CONTROL!$C$38, 0.0278, 0)</f>
        <v>15.333499999999999</v>
      </c>
      <c r="G29" s="14">
        <f>14.6792 * CHOOSE(CONTROL!$C$15, $E$9, 100%, $G$9) + CHOOSE(CONTROL!$C$38, 0.0369, 0)</f>
        <v>14.716099999999999</v>
      </c>
      <c r="H29" s="14">
        <f>14.6792 * CHOOSE(CONTROL!$C$15, $E$9, 100%, $G$9) + CHOOSE(CONTROL!$C$38, 0.0369, 0)</f>
        <v>14.716099999999999</v>
      </c>
      <c r="I29" s="14">
        <f>14.6807 * CHOOSE(CONTROL!$C$15, $E$9, 100%, $G$9) + CHOOSE(CONTROL!$C$38, 0.0369, 0)</f>
        <v>14.717599999999999</v>
      </c>
      <c r="J29" s="44">
        <f>91.6</f>
        <v>91.6</v>
      </c>
    </row>
    <row r="30" spans="1:10" ht="15" x14ac:dyDescent="0.2">
      <c r="A30" s="13">
        <v>41821</v>
      </c>
      <c r="B30" s="14">
        <f>15.462 * CHOOSE(CONTROL!$C$15, $E$9, 100%, $G$9) + CHOOSE(CONTROL!$C$38, 0.0278, 0)</f>
        <v>15.489799999999999</v>
      </c>
      <c r="C30" s="14">
        <f>14.6807 * CHOOSE(CONTROL!$C$15, $E$9, 100%, $G$9) + CHOOSE(CONTROL!$C$38, 0.0369, 0)</f>
        <v>14.717599999999999</v>
      </c>
      <c r="D30" s="14">
        <f>14.6729 * CHOOSE(CONTROL!$C$15, $E$9, 100%, $G$9) + CHOOSE(CONTROL!$C$38, 0.0369, 0)</f>
        <v>14.7098</v>
      </c>
      <c r="E30" s="46">
        <f>15.3057 * CHOOSE(CONTROL!$C$15, $E$9, 100%, $G$9) + CHOOSE(CONTROL!$C$38, 0.0369, 0)</f>
        <v>15.342599999999999</v>
      </c>
      <c r="F30" s="45">
        <f>15.3057 * CHOOSE(CONTROL!$C$15, $E$9, 100%, $G$9) + CHOOSE(CONTROL!$C$38, 0.0278, 0)</f>
        <v>15.333499999999999</v>
      </c>
      <c r="G30" s="14">
        <f>14.6792 * CHOOSE(CONTROL!$C$15, $E$9, 100%, $G$9) + CHOOSE(CONTROL!$C$38, 0.0369, 0)</f>
        <v>14.716099999999999</v>
      </c>
      <c r="H30" s="14">
        <f>14.6792 * CHOOSE(CONTROL!$C$15, $E$9, 100%, $G$9) + CHOOSE(CONTROL!$C$38, 0.0369, 0)</f>
        <v>14.716099999999999</v>
      </c>
      <c r="I30" s="14">
        <f>14.6807 * CHOOSE(CONTROL!$C$15, $E$9, 100%, $G$9) + CHOOSE(CONTROL!$C$38, 0.0369, 0)</f>
        <v>14.717599999999999</v>
      </c>
      <c r="J30" s="44">
        <f>91.09</f>
        <v>91.09</v>
      </c>
    </row>
    <row r="31" spans="1:10" ht="15" x14ac:dyDescent="0.2">
      <c r="A31" s="13">
        <v>41852</v>
      </c>
      <c r="B31" s="14">
        <f>15.462 * CHOOSE(CONTROL!$C$15, $E$9, 100%, $G$9) + CHOOSE(CONTROL!$C$38, 0.0278, 0)</f>
        <v>15.489799999999999</v>
      </c>
      <c r="C31" s="14">
        <f>14.6807 * CHOOSE(CONTROL!$C$15, $E$9, 100%, $G$9) + CHOOSE(CONTROL!$C$38, 0.0369, 0)</f>
        <v>14.717599999999999</v>
      </c>
      <c r="D31" s="14">
        <f>14.6729 * CHOOSE(CONTROL!$C$15, $E$9, 100%, $G$9) + CHOOSE(CONTROL!$C$38, 0.0369, 0)</f>
        <v>14.7098</v>
      </c>
      <c r="E31" s="46">
        <f>15.3057 * CHOOSE(CONTROL!$C$15, $E$9, 100%, $G$9) + CHOOSE(CONTROL!$C$38, 0.0369, 0)</f>
        <v>15.342599999999999</v>
      </c>
      <c r="F31" s="45">
        <f>15.3057 * CHOOSE(CONTROL!$C$15, $E$9, 100%, $G$9) + CHOOSE(CONTROL!$C$38, 0.0278, 0)</f>
        <v>15.333499999999999</v>
      </c>
      <c r="G31" s="14">
        <f>14.6792 * CHOOSE(CONTROL!$C$15, $E$9, 100%, $G$9) + CHOOSE(CONTROL!$C$38, 0.0369, 0)</f>
        <v>14.716099999999999</v>
      </c>
      <c r="H31" s="14">
        <f>14.6792 * CHOOSE(CONTROL!$C$15, $E$9, 100%, $G$9) + CHOOSE(CONTROL!$C$38, 0.0369, 0)</f>
        <v>14.716099999999999</v>
      </c>
      <c r="I31" s="14">
        <f>14.6807 * CHOOSE(CONTROL!$C$15, $E$9, 100%, $G$9) + CHOOSE(CONTROL!$C$38, 0.0369, 0)</f>
        <v>14.717599999999999</v>
      </c>
      <c r="J31" s="44">
        <f>90.57</f>
        <v>90.57</v>
      </c>
    </row>
    <row r="32" spans="1:10" ht="15" x14ac:dyDescent="0.2">
      <c r="A32" s="13">
        <v>41883</v>
      </c>
      <c r="B32" s="14">
        <f>15.462 * CHOOSE(CONTROL!$C$15, $E$9, 100%, $G$9) + CHOOSE(CONTROL!$C$38, 0.0278, 0)</f>
        <v>15.489799999999999</v>
      </c>
      <c r="C32" s="14">
        <f>14.6807 * CHOOSE(CONTROL!$C$15, $E$9, 100%, $G$9) + CHOOSE(CONTROL!$C$38, 0.0369, 0)</f>
        <v>14.717599999999999</v>
      </c>
      <c r="D32" s="14">
        <f>14.6729 * CHOOSE(CONTROL!$C$15, $E$9, 100%, $G$9) + CHOOSE(CONTROL!$C$38, 0.0369, 0)</f>
        <v>14.7098</v>
      </c>
      <c r="E32" s="46">
        <f>15.3057 * CHOOSE(CONTROL!$C$15, $E$9, 100%, $G$9) + CHOOSE(CONTROL!$C$38, 0.0369, 0)</f>
        <v>15.342599999999999</v>
      </c>
      <c r="F32" s="45">
        <f>15.3057 * CHOOSE(CONTROL!$C$15, $E$9, 100%, $G$9) + CHOOSE(CONTROL!$C$38, 0.0278, 0)</f>
        <v>15.333499999999999</v>
      </c>
      <c r="G32" s="14">
        <f>14.6792 * CHOOSE(CONTROL!$C$15, $E$9, 100%, $G$9) + CHOOSE(CONTROL!$C$38, 0.0369, 0)</f>
        <v>14.716099999999999</v>
      </c>
      <c r="H32" s="14">
        <f>14.6792 * CHOOSE(CONTROL!$C$15, $E$9, 100%, $G$9) + CHOOSE(CONTROL!$C$38, 0.0369, 0)</f>
        <v>14.716099999999999</v>
      </c>
      <c r="I32" s="14">
        <f>14.6807 * CHOOSE(CONTROL!$C$15, $E$9, 100%, $G$9) + CHOOSE(CONTROL!$C$38, 0.0369, 0)</f>
        <v>14.717599999999999</v>
      </c>
      <c r="J32" s="44">
        <f>90.07</f>
        <v>90.07</v>
      </c>
    </row>
    <row r="33" spans="1:10" ht="15" x14ac:dyDescent="0.2">
      <c r="A33" s="13">
        <v>41913</v>
      </c>
      <c r="B33" s="14">
        <f>15.462 * CHOOSE(CONTROL!$C$15, $E$9, 100%, $G$9) + CHOOSE(CONTROL!$C$38, 0.0256, 0)</f>
        <v>15.4876</v>
      </c>
      <c r="C33" s="14">
        <f>14.6807 * CHOOSE(CONTROL!$C$15, $E$9, 100%, $G$9) + CHOOSE(CONTROL!$C$38, 0.0347, 0)</f>
        <v>14.715400000000001</v>
      </c>
      <c r="D33" s="14">
        <f>14.6729 * CHOOSE(CONTROL!$C$15, $E$9, 100%, $G$9) + CHOOSE(CONTROL!$C$38, 0.0347, 0)</f>
        <v>14.707600000000001</v>
      </c>
      <c r="E33" s="46">
        <f>15.3057 * CHOOSE(CONTROL!$C$15, $E$9, 100%, $G$9) + CHOOSE(CONTROL!$C$38, 0.0347, 0)</f>
        <v>15.340400000000001</v>
      </c>
      <c r="F33" s="45">
        <f>15.3057 * CHOOSE(CONTROL!$C$15, $E$9, 100%, $G$9) + CHOOSE(CONTROL!$C$38, 0.0256, 0)</f>
        <v>15.331300000000001</v>
      </c>
      <c r="G33" s="14">
        <f>14.6792 * CHOOSE(CONTROL!$C$15, $E$9, 100%, $G$9) + CHOOSE(CONTROL!$C$38, 0.0347, 0)</f>
        <v>14.713900000000001</v>
      </c>
      <c r="H33" s="14">
        <f>14.6792 * CHOOSE(CONTROL!$C$15, $E$9, 100%, $G$9) + CHOOSE(CONTROL!$C$38, 0.0347, 0)</f>
        <v>14.713900000000001</v>
      </c>
      <c r="I33" s="14">
        <f>14.6807 * CHOOSE(CONTROL!$C$15, $E$9, 100%, $G$9) + CHOOSE(CONTROL!$C$38, 0.0347, 0)</f>
        <v>14.715400000000001</v>
      </c>
      <c r="J33" s="44">
        <f>89.62</f>
        <v>89.62</v>
      </c>
    </row>
    <row r="34" spans="1:10" ht="15" x14ac:dyDescent="0.2">
      <c r="A34" s="13">
        <v>41944</v>
      </c>
      <c r="B34" s="14">
        <f>15.462 * CHOOSE(CONTROL!$C$15, $E$9, 100%, $G$9) + CHOOSE(CONTROL!$C$38, 0.0256, 0)</f>
        <v>15.4876</v>
      </c>
      <c r="C34" s="14">
        <f>14.6807 * CHOOSE(CONTROL!$C$15, $E$9, 100%, $G$9) + CHOOSE(CONTROL!$C$38, 0.0347, 0)</f>
        <v>14.715400000000001</v>
      </c>
      <c r="D34" s="14">
        <f>14.6729 * CHOOSE(CONTROL!$C$15, $E$9, 100%, $G$9) + CHOOSE(CONTROL!$C$38, 0.0347, 0)</f>
        <v>14.707600000000001</v>
      </c>
      <c r="E34" s="46">
        <f>15.3057 * CHOOSE(CONTROL!$C$15, $E$9, 100%, $G$9) + CHOOSE(CONTROL!$C$38, 0.0347, 0)</f>
        <v>15.340400000000001</v>
      </c>
      <c r="F34" s="45">
        <f>15.3057 * CHOOSE(CONTROL!$C$15, $E$9, 100%, $G$9) + CHOOSE(CONTROL!$C$38, 0.0256, 0)</f>
        <v>15.331300000000001</v>
      </c>
      <c r="G34" s="14">
        <f>14.6792 * CHOOSE(CONTROL!$C$15, $E$9, 100%, $G$9) + CHOOSE(CONTROL!$C$38, 0.0347, 0)</f>
        <v>14.713900000000001</v>
      </c>
      <c r="H34" s="14">
        <f>14.6792 * CHOOSE(CONTROL!$C$15, $E$9, 100%, $G$9) + CHOOSE(CONTROL!$C$38, 0.0347, 0)</f>
        <v>14.713900000000001</v>
      </c>
      <c r="I34" s="14">
        <f>14.6807 * CHOOSE(CONTROL!$C$15, $E$9, 100%, $G$9) + CHOOSE(CONTROL!$C$38, 0.0347, 0)</f>
        <v>14.715400000000001</v>
      </c>
      <c r="J34" s="44">
        <f>89.21</f>
        <v>89.21</v>
      </c>
    </row>
    <row r="35" spans="1:10" ht="15" x14ac:dyDescent="0.2">
      <c r="A35" s="13">
        <v>41974</v>
      </c>
      <c r="B35" s="14">
        <f>15.462 * CHOOSE(CONTROL!$C$15, $E$9, 100%, $G$9) + CHOOSE(CONTROL!$C$38, 0.0256, 0)</f>
        <v>15.4876</v>
      </c>
      <c r="C35" s="14">
        <f>14.6807 * CHOOSE(CONTROL!$C$15, $E$9, 100%, $G$9) + CHOOSE(CONTROL!$C$38, 0.0347, 0)</f>
        <v>14.715400000000001</v>
      </c>
      <c r="D35" s="14">
        <f>14.6729 * CHOOSE(CONTROL!$C$15, $E$9, 100%, $G$9) + CHOOSE(CONTROL!$C$38, 0.0347, 0)</f>
        <v>14.707600000000001</v>
      </c>
      <c r="E35" s="46">
        <f>15.3057 * CHOOSE(CONTROL!$C$15, $E$9, 100%, $G$9) + CHOOSE(CONTROL!$C$38, 0.0347, 0)</f>
        <v>15.340400000000001</v>
      </c>
      <c r="F35" s="45">
        <f>15.3057 * CHOOSE(CONTROL!$C$15, $E$9, 100%, $G$9) + CHOOSE(CONTROL!$C$38, 0.0256, 0)</f>
        <v>15.331300000000001</v>
      </c>
      <c r="G35" s="14">
        <f>14.6792 * CHOOSE(CONTROL!$C$15, $E$9, 100%, $G$9) + CHOOSE(CONTROL!$C$38, 0.0347, 0)</f>
        <v>14.713900000000001</v>
      </c>
      <c r="H35" s="14">
        <f>14.6792 * CHOOSE(CONTROL!$C$15, $E$9, 100%, $G$9) + CHOOSE(CONTROL!$C$38, 0.0347, 0)</f>
        <v>14.713900000000001</v>
      </c>
      <c r="I35" s="14">
        <f>14.6807 * CHOOSE(CONTROL!$C$15, $E$9, 100%, $G$9) + CHOOSE(CONTROL!$C$38, 0.0347, 0)</f>
        <v>14.715400000000001</v>
      </c>
      <c r="J35" s="44">
        <f>88.86</f>
        <v>88.86</v>
      </c>
    </row>
    <row r="36" spans="1:10" ht="15" x14ac:dyDescent="0.2">
      <c r="A36" s="13">
        <v>42005</v>
      </c>
      <c r="B36" s="14">
        <f>14.7194 * CHOOSE(CONTROL!$C$15, $E$9, 100%, $G$9) + CHOOSE(CONTROL!$C$38, 0.0256, 0)</f>
        <v>14.745000000000001</v>
      </c>
      <c r="C36" s="14">
        <f>14.1844 * CHOOSE(CONTROL!$C$15, $E$9, 100%, $G$9) + CHOOSE(CONTROL!$C$38, 0.0347, 0)</f>
        <v>14.219100000000001</v>
      </c>
      <c r="D36" s="14">
        <f>14.1766 * CHOOSE(CONTROL!$C$15, $E$9, 100%, $G$9) + CHOOSE(CONTROL!$C$38, 0.0347, 0)</f>
        <v>14.211300000000001</v>
      </c>
      <c r="E36" s="46">
        <f>14.5632 * CHOOSE(CONTROL!$C$15, $E$9, 100%, $G$9) + CHOOSE(CONTROL!$C$38, 0.0347, 0)</f>
        <v>14.597900000000001</v>
      </c>
      <c r="F36" s="45">
        <f>14.5632 * CHOOSE(CONTROL!$C$15, $E$9, 100%, $G$9) + CHOOSE(CONTROL!$C$38, 0.0256, 0)</f>
        <v>14.588800000000001</v>
      </c>
      <c r="G36" s="14">
        <f>14.1828 * CHOOSE(CONTROL!$C$15, $E$9, 100%, $G$9) + CHOOSE(CONTROL!$C$38, 0.0347, 0)</f>
        <v>14.217500000000001</v>
      </c>
      <c r="H36" s="14">
        <f>14.1828 * CHOOSE(CONTROL!$C$15, $E$9, 100%, $G$9) + CHOOSE(CONTROL!$C$38, 0.0347, 0)</f>
        <v>14.217500000000001</v>
      </c>
      <c r="I36" s="14">
        <f>14.1844 * CHOOSE(CONTROL!$C$15, $E$9, 100%, $G$9) + CHOOSE(CONTROL!$C$38, 0.0347, 0)</f>
        <v>14.219100000000001</v>
      </c>
      <c r="J36" s="44">
        <f>88.37</f>
        <v>88.37</v>
      </c>
    </row>
    <row r="37" spans="1:10" ht="15" x14ac:dyDescent="0.2">
      <c r="A37" s="13">
        <v>42036</v>
      </c>
      <c r="B37" s="14">
        <f>14.7194 * CHOOSE(CONTROL!$C$15, $E$9, 100%, $G$9) + CHOOSE(CONTROL!$C$38, 0.0256, 0)</f>
        <v>14.745000000000001</v>
      </c>
      <c r="C37" s="14">
        <f>14.1844 * CHOOSE(CONTROL!$C$15, $E$9, 100%, $G$9) + CHOOSE(CONTROL!$C$38, 0.0347, 0)</f>
        <v>14.219100000000001</v>
      </c>
      <c r="D37" s="14">
        <f>14.1766 * CHOOSE(CONTROL!$C$15, $E$9, 100%, $G$9) + CHOOSE(CONTROL!$C$38, 0.0347, 0)</f>
        <v>14.211300000000001</v>
      </c>
      <c r="E37" s="46">
        <f>14.5632 * CHOOSE(CONTROL!$C$15, $E$9, 100%, $G$9) + CHOOSE(CONTROL!$C$38, 0.0347, 0)</f>
        <v>14.597900000000001</v>
      </c>
      <c r="F37" s="45">
        <f>14.5632 * CHOOSE(CONTROL!$C$15, $E$9, 100%, $G$9) + CHOOSE(CONTROL!$C$38, 0.0256, 0)</f>
        <v>14.588800000000001</v>
      </c>
      <c r="G37" s="14">
        <f>14.1828 * CHOOSE(CONTROL!$C$15, $E$9, 100%, $G$9) + CHOOSE(CONTROL!$C$38, 0.0347, 0)</f>
        <v>14.217500000000001</v>
      </c>
      <c r="H37" s="14">
        <f>14.1828 * CHOOSE(CONTROL!$C$15, $E$9, 100%, $G$9) + CHOOSE(CONTROL!$C$38, 0.0347, 0)</f>
        <v>14.217500000000001</v>
      </c>
      <c r="I37" s="14">
        <f>14.1844 * CHOOSE(CONTROL!$C$15, $E$9, 100%, $G$9) + CHOOSE(CONTROL!$C$38, 0.0347, 0)</f>
        <v>14.219100000000001</v>
      </c>
      <c r="J37" s="44">
        <f>87.92</f>
        <v>87.92</v>
      </c>
    </row>
    <row r="38" spans="1:10" ht="15" x14ac:dyDescent="0.2">
      <c r="A38" s="13">
        <v>42064</v>
      </c>
      <c r="B38" s="14">
        <f>14.7194 * CHOOSE(CONTROL!$C$15, $E$9, 100%, $G$9) + CHOOSE(CONTROL!$C$38, 0.0256, 0)</f>
        <v>14.745000000000001</v>
      </c>
      <c r="C38" s="14">
        <f>14.1844 * CHOOSE(CONTROL!$C$15, $E$9, 100%, $G$9) + CHOOSE(CONTROL!$C$38, 0.0347, 0)</f>
        <v>14.219100000000001</v>
      </c>
      <c r="D38" s="14">
        <f>14.1766 * CHOOSE(CONTROL!$C$15, $E$9, 100%, $G$9) + CHOOSE(CONTROL!$C$38, 0.0347, 0)</f>
        <v>14.211300000000001</v>
      </c>
      <c r="E38" s="46">
        <f>14.5632 * CHOOSE(CONTROL!$C$15, $E$9, 100%, $G$9) + CHOOSE(CONTROL!$C$38, 0.0347, 0)</f>
        <v>14.597900000000001</v>
      </c>
      <c r="F38" s="45">
        <f>14.5632 * CHOOSE(CONTROL!$C$15, $E$9, 100%, $G$9) + CHOOSE(CONTROL!$C$38, 0.0256, 0)</f>
        <v>14.588800000000001</v>
      </c>
      <c r="G38" s="14">
        <f>14.1828 * CHOOSE(CONTROL!$C$15, $E$9, 100%, $G$9) + CHOOSE(CONTROL!$C$38, 0.0347, 0)</f>
        <v>14.217500000000001</v>
      </c>
      <c r="H38" s="14">
        <f>14.1828 * CHOOSE(CONTROL!$C$15, $E$9, 100%, $G$9) + CHOOSE(CONTROL!$C$38, 0.0347, 0)</f>
        <v>14.217500000000001</v>
      </c>
      <c r="I38" s="14">
        <f>14.1844 * CHOOSE(CONTROL!$C$15, $E$9, 100%, $G$9) + CHOOSE(CONTROL!$C$38, 0.0347, 0)</f>
        <v>14.219100000000001</v>
      </c>
      <c r="J38" s="44">
        <f>87.49</f>
        <v>87.49</v>
      </c>
    </row>
    <row r="39" spans="1:10" ht="15" x14ac:dyDescent="0.2">
      <c r="A39" s="13">
        <v>42095</v>
      </c>
      <c r="B39" s="14">
        <f>14.7194 * CHOOSE(CONTROL!$C$15, $E$9, 100%, $G$9) + CHOOSE(CONTROL!$C$38, 0.0256, 0)</f>
        <v>14.745000000000001</v>
      </c>
      <c r="C39" s="14">
        <f>14.1844 * CHOOSE(CONTROL!$C$15, $E$9, 100%, $G$9) + CHOOSE(CONTROL!$C$38, 0.0347, 0)</f>
        <v>14.219100000000001</v>
      </c>
      <c r="D39" s="14">
        <f>14.1766 * CHOOSE(CONTROL!$C$15, $E$9, 100%, $G$9) + CHOOSE(CONTROL!$C$38, 0.0347, 0)</f>
        <v>14.211300000000001</v>
      </c>
      <c r="E39" s="46">
        <f>14.5632 * CHOOSE(CONTROL!$C$15, $E$9, 100%, $G$9) + CHOOSE(CONTROL!$C$38, 0.0347, 0)</f>
        <v>14.597900000000001</v>
      </c>
      <c r="F39" s="45">
        <f>14.5632 * CHOOSE(CONTROL!$C$15, $E$9, 100%, $G$9) + CHOOSE(CONTROL!$C$38, 0.0256, 0)</f>
        <v>14.588800000000001</v>
      </c>
      <c r="G39" s="14">
        <f>14.1828 * CHOOSE(CONTROL!$C$15, $E$9, 100%, $G$9) + CHOOSE(CONTROL!$C$38, 0.0347, 0)</f>
        <v>14.217500000000001</v>
      </c>
      <c r="H39" s="14">
        <f>14.1828 * CHOOSE(CONTROL!$C$15, $E$9, 100%, $G$9) + CHOOSE(CONTROL!$C$38, 0.0347, 0)</f>
        <v>14.217500000000001</v>
      </c>
      <c r="I39" s="14">
        <f>14.1844 * CHOOSE(CONTROL!$C$15, $E$9, 100%, $G$9) + CHOOSE(CONTROL!$C$38, 0.0347, 0)</f>
        <v>14.219100000000001</v>
      </c>
      <c r="J39" s="44">
        <f>87.1</f>
        <v>87.1</v>
      </c>
    </row>
    <row r="40" spans="1:10" ht="15" x14ac:dyDescent="0.2">
      <c r="A40" s="13">
        <v>42125</v>
      </c>
      <c r="B40" s="14">
        <f>14.7194 * CHOOSE(CONTROL!$C$15, $E$9, 100%, $G$9) + CHOOSE(CONTROL!$C$38, 0.0278, 0)</f>
        <v>14.747199999999999</v>
      </c>
      <c r="C40" s="14">
        <f>14.1844 * CHOOSE(CONTROL!$C$15, $E$9, 100%, $G$9) + CHOOSE(CONTROL!$C$38, 0.0369, 0)</f>
        <v>14.221299999999999</v>
      </c>
      <c r="D40" s="14">
        <f>14.1766 * CHOOSE(CONTROL!$C$15, $E$9, 100%, $G$9) + CHOOSE(CONTROL!$C$38, 0.0369, 0)</f>
        <v>14.2135</v>
      </c>
      <c r="E40" s="46">
        <f>14.5632 * CHOOSE(CONTROL!$C$15, $E$9, 100%, $G$9) + CHOOSE(CONTROL!$C$38, 0.0369, 0)</f>
        <v>14.600099999999999</v>
      </c>
      <c r="F40" s="45">
        <f>14.5632 * CHOOSE(CONTROL!$C$15, $E$9, 100%, $G$9) + CHOOSE(CONTROL!$C$38, 0.0278, 0)</f>
        <v>14.590999999999999</v>
      </c>
      <c r="G40" s="14">
        <f>14.1828 * CHOOSE(CONTROL!$C$15, $E$9, 100%, $G$9) + CHOOSE(CONTROL!$C$38, 0.0369, 0)</f>
        <v>14.2197</v>
      </c>
      <c r="H40" s="14">
        <f>14.1828 * CHOOSE(CONTROL!$C$15, $E$9, 100%, $G$9) + CHOOSE(CONTROL!$C$38, 0.0369, 0)</f>
        <v>14.2197</v>
      </c>
      <c r="I40" s="14">
        <f>14.1844 * CHOOSE(CONTROL!$C$15, $E$9, 100%, $G$9) + CHOOSE(CONTROL!$C$38, 0.0369, 0)</f>
        <v>14.221299999999999</v>
      </c>
      <c r="J40" s="44">
        <f>86.75</f>
        <v>86.75</v>
      </c>
    </row>
    <row r="41" spans="1:10" ht="15" x14ac:dyDescent="0.2">
      <c r="A41" s="13">
        <v>42156</v>
      </c>
      <c r="B41" s="14">
        <f>14.7194 * CHOOSE(CONTROL!$C$15, $E$9, 100%, $G$9) + CHOOSE(CONTROL!$C$38, 0.0278, 0)</f>
        <v>14.747199999999999</v>
      </c>
      <c r="C41" s="14">
        <f>14.1844 * CHOOSE(CONTROL!$C$15, $E$9, 100%, $G$9) + CHOOSE(CONTROL!$C$38, 0.0369, 0)</f>
        <v>14.221299999999999</v>
      </c>
      <c r="D41" s="14">
        <f>14.1766 * CHOOSE(CONTROL!$C$15, $E$9, 100%, $G$9) + CHOOSE(CONTROL!$C$38, 0.0369, 0)</f>
        <v>14.2135</v>
      </c>
      <c r="E41" s="46">
        <f>14.5632 * CHOOSE(CONTROL!$C$15, $E$9, 100%, $G$9) + CHOOSE(CONTROL!$C$38, 0.0369, 0)</f>
        <v>14.600099999999999</v>
      </c>
      <c r="F41" s="45">
        <f>14.5632 * CHOOSE(CONTROL!$C$15, $E$9, 100%, $G$9) + CHOOSE(CONTROL!$C$38, 0.0278, 0)</f>
        <v>14.590999999999999</v>
      </c>
      <c r="G41" s="14">
        <f>14.1828 * CHOOSE(CONTROL!$C$15, $E$9, 100%, $G$9) + CHOOSE(CONTROL!$C$38, 0.0369, 0)</f>
        <v>14.2197</v>
      </c>
      <c r="H41" s="14">
        <f>14.1828 * CHOOSE(CONTROL!$C$15, $E$9, 100%, $G$9) + CHOOSE(CONTROL!$C$38, 0.0369, 0)</f>
        <v>14.2197</v>
      </c>
      <c r="I41" s="14">
        <f>14.1844 * CHOOSE(CONTROL!$C$15, $E$9, 100%, $G$9) + CHOOSE(CONTROL!$C$38, 0.0369, 0)</f>
        <v>14.221299999999999</v>
      </c>
      <c r="J41" s="44">
        <f>86.43</f>
        <v>86.43</v>
      </c>
    </row>
    <row r="42" spans="1:10" ht="15" x14ac:dyDescent="0.2">
      <c r="A42" s="13">
        <v>42186</v>
      </c>
      <c r="B42" s="14">
        <f>14.7194 * CHOOSE(CONTROL!$C$15, $E$9, 100%, $G$9) + CHOOSE(CONTROL!$C$38, 0.0278, 0)</f>
        <v>14.747199999999999</v>
      </c>
      <c r="C42" s="14">
        <f>14.1844 * CHOOSE(CONTROL!$C$15, $E$9, 100%, $G$9) + CHOOSE(CONTROL!$C$38, 0.0369, 0)</f>
        <v>14.221299999999999</v>
      </c>
      <c r="D42" s="14">
        <f>14.1766 * CHOOSE(CONTROL!$C$15, $E$9, 100%, $G$9) + CHOOSE(CONTROL!$C$38, 0.0369, 0)</f>
        <v>14.2135</v>
      </c>
      <c r="E42" s="46">
        <f>14.5632 * CHOOSE(CONTROL!$C$15, $E$9, 100%, $G$9) + CHOOSE(CONTROL!$C$38, 0.0369, 0)</f>
        <v>14.600099999999999</v>
      </c>
      <c r="F42" s="45">
        <f>14.5632 * CHOOSE(CONTROL!$C$15, $E$9, 100%, $G$9) + CHOOSE(CONTROL!$C$38, 0.0278, 0)</f>
        <v>14.590999999999999</v>
      </c>
      <c r="G42" s="14">
        <f>14.1828 * CHOOSE(CONTROL!$C$15, $E$9, 100%, $G$9) + CHOOSE(CONTROL!$C$38, 0.0369, 0)</f>
        <v>14.2197</v>
      </c>
      <c r="H42" s="14">
        <f>14.1828 * CHOOSE(CONTROL!$C$15, $E$9, 100%, $G$9) + CHOOSE(CONTROL!$C$38, 0.0369, 0)</f>
        <v>14.2197</v>
      </c>
      <c r="I42" s="14">
        <f>14.1844 * CHOOSE(CONTROL!$C$15, $E$9, 100%, $G$9) + CHOOSE(CONTROL!$C$38, 0.0369, 0)</f>
        <v>14.221299999999999</v>
      </c>
      <c r="J42" s="44">
        <f>86.08</f>
        <v>86.08</v>
      </c>
    </row>
    <row r="43" spans="1:10" ht="15" x14ac:dyDescent="0.2">
      <c r="A43" s="13">
        <v>42217</v>
      </c>
      <c r="B43" s="14">
        <f>14.7194 * CHOOSE(CONTROL!$C$15, $E$9, 100%, $G$9) + CHOOSE(CONTROL!$C$38, 0.0278, 0)</f>
        <v>14.747199999999999</v>
      </c>
      <c r="C43" s="14">
        <f>14.1844 * CHOOSE(CONTROL!$C$15, $E$9, 100%, $G$9) + CHOOSE(CONTROL!$C$38, 0.0369, 0)</f>
        <v>14.221299999999999</v>
      </c>
      <c r="D43" s="14">
        <f>14.1766 * CHOOSE(CONTROL!$C$15, $E$9, 100%, $G$9) + CHOOSE(CONTROL!$C$38, 0.0369, 0)</f>
        <v>14.2135</v>
      </c>
      <c r="E43" s="46">
        <f>14.5632 * CHOOSE(CONTROL!$C$15, $E$9, 100%, $G$9) + CHOOSE(CONTROL!$C$38, 0.0369, 0)</f>
        <v>14.600099999999999</v>
      </c>
      <c r="F43" s="45">
        <f>14.5632 * CHOOSE(CONTROL!$C$15, $E$9, 100%, $G$9) + CHOOSE(CONTROL!$C$38, 0.0278, 0)</f>
        <v>14.590999999999999</v>
      </c>
      <c r="G43" s="14">
        <f>14.1828 * CHOOSE(CONTROL!$C$15, $E$9, 100%, $G$9) + CHOOSE(CONTROL!$C$38, 0.0369, 0)</f>
        <v>14.2197</v>
      </c>
      <c r="H43" s="14">
        <f>14.1828 * CHOOSE(CONTROL!$C$15, $E$9, 100%, $G$9) + CHOOSE(CONTROL!$C$38, 0.0369, 0)</f>
        <v>14.2197</v>
      </c>
      <c r="I43" s="14">
        <f>14.1844 * CHOOSE(CONTROL!$C$15, $E$9, 100%, $G$9) + CHOOSE(CONTROL!$C$38, 0.0369, 0)</f>
        <v>14.221299999999999</v>
      </c>
      <c r="J43" s="44">
        <f>85.77</f>
        <v>85.77</v>
      </c>
    </row>
    <row r="44" spans="1:10" ht="15" x14ac:dyDescent="0.2">
      <c r="A44" s="13">
        <v>42248</v>
      </c>
      <c r="B44" s="14">
        <f>14.7194 * CHOOSE(CONTROL!$C$15, $E$9, 100%, $G$9) + CHOOSE(CONTROL!$C$38, 0.0278, 0)</f>
        <v>14.747199999999999</v>
      </c>
      <c r="C44" s="14">
        <f>14.1844 * CHOOSE(CONTROL!$C$15, $E$9, 100%, $G$9) + CHOOSE(CONTROL!$C$38, 0.0369, 0)</f>
        <v>14.221299999999999</v>
      </c>
      <c r="D44" s="14">
        <f>14.1766 * CHOOSE(CONTROL!$C$15, $E$9, 100%, $G$9) + CHOOSE(CONTROL!$C$38, 0.0369, 0)</f>
        <v>14.2135</v>
      </c>
      <c r="E44" s="46">
        <f>14.5632 * CHOOSE(CONTROL!$C$15, $E$9, 100%, $G$9) + CHOOSE(CONTROL!$C$38, 0.0369, 0)</f>
        <v>14.600099999999999</v>
      </c>
      <c r="F44" s="45">
        <f>14.5632 * CHOOSE(CONTROL!$C$15, $E$9, 100%, $G$9) + CHOOSE(CONTROL!$C$38, 0.0278, 0)</f>
        <v>14.590999999999999</v>
      </c>
      <c r="G44" s="14">
        <f>14.1828 * CHOOSE(CONTROL!$C$15, $E$9, 100%, $G$9) + CHOOSE(CONTROL!$C$38, 0.0369, 0)</f>
        <v>14.2197</v>
      </c>
      <c r="H44" s="14">
        <f>14.1828 * CHOOSE(CONTROL!$C$15, $E$9, 100%, $G$9) + CHOOSE(CONTROL!$C$38, 0.0369, 0)</f>
        <v>14.2197</v>
      </c>
      <c r="I44" s="14">
        <f>14.1844 * CHOOSE(CONTROL!$C$15, $E$9, 100%, $G$9) + CHOOSE(CONTROL!$C$38, 0.0369, 0)</f>
        <v>14.221299999999999</v>
      </c>
      <c r="J44" s="44">
        <f>85.5</f>
        <v>85.5</v>
      </c>
    </row>
    <row r="45" spans="1:10" ht="15" x14ac:dyDescent="0.2">
      <c r="A45" s="13">
        <v>42278</v>
      </c>
      <c r="B45" s="14">
        <f>14.7194 * CHOOSE(CONTROL!$C$15, $E$9, 100%, $G$9) + CHOOSE(CONTROL!$C$38, 0.0256, 0)</f>
        <v>14.745000000000001</v>
      </c>
      <c r="C45" s="14">
        <f>14.1844 * CHOOSE(CONTROL!$C$15, $E$9, 100%, $G$9) + CHOOSE(CONTROL!$C$38, 0.0347, 0)</f>
        <v>14.219100000000001</v>
      </c>
      <c r="D45" s="14">
        <f>14.1766 * CHOOSE(CONTROL!$C$15, $E$9, 100%, $G$9) + CHOOSE(CONTROL!$C$38, 0.0347, 0)</f>
        <v>14.211300000000001</v>
      </c>
      <c r="E45" s="46">
        <f>14.5632 * CHOOSE(CONTROL!$C$15, $E$9, 100%, $G$9) + CHOOSE(CONTROL!$C$38, 0.0347, 0)</f>
        <v>14.597900000000001</v>
      </c>
      <c r="F45" s="45">
        <f>14.5632 * CHOOSE(CONTROL!$C$15, $E$9, 100%, $G$9) + CHOOSE(CONTROL!$C$38, 0.0256, 0)</f>
        <v>14.588800000000001</v>
      </c>
      <c r="G45" s="14">
        <f>14.1828 * CHOOSE(CONTROL!$C$15, $E$9, 100%, $G$9) + CHOOSE(CONTROL!$C$38, 0.0347, 0)</f>
        <v>14.217500000000001</v>
      </c>
      <c r="H45" s="14">
        <f>14.1828 * CHOOSE(CONTROL!$C$15, $E$9, 100%, $G$9) + CHOOSE(CONTROL!$C$38, 0.0347, 0)</f>
        <v>14.217500000000001</v>
      </c>
      <c r="I45" s="14">
        <f>14.1844 * CHOOSE(CONTROL!$C$15, $E$9, 100%, $G$9) + CHOOSE(CONTROL!$C$38, 0.0347, 0)</f>
        <v>14.219100000000001</v>
      </c>
      <c r="J45" s="44">
        <f>85.25</f>
        <v>85.25</v>
      </c>
    </row>
    <row r="46" spans="1:10" ht="15" x14ac:dyDescent="0.2">
      <c r="A46" s="13">
        <v>42309</v>
      </c>
      <c r="B46" s="14">
        <f>14.7194 * CHOOSE(CONTROL!$C$15, $E$9, 100%, $G$9) + CHOOSE(CONTROL!$C$38, 0.0256, 0)</f>
        <v>14.745000000000001</v>
      </c>
      <c r="C46" s="14">
        <f>14.1844 * CHOOSE(CONTROL!$C$15, $E$9, 100%, $G$9) + CHOOSE(CONTROL!$C$38, 0.0347, 0)</f>
        <v>14.219100000000001</v>
      </c>
      <c r="D46" s="14">
        <f>14.1766 * CHOOSE(CONTROL!$C$15, $E$9, 100%, $G$9) + CHOOSE(CONTROL!$C$38, 0.0347, 0)</f>
        <v>14.211300000000001</v>
      </c>
      <c r="E46" s="46">
        <f>14.5632 * CHOOSE(CONTROL!$C$15, $E$9, 100%, $G$9) + CHOOSE(CONTROL!$C$38, 0.0347, 0)</f>
        <v>14.597900000000001</v>
      </c>
      <c r="F46" s="45">
        <f>14.5632 * CHOOSE(CONTROL!$C$15, $E$9, 100%, $G$9) + CHOOSE(CONTROL!$C$38, 0.0256, 0)</f>
        <v>14.588800000000001</v>
      </c>
      <c r="G46" s="14">
        <f>14.1828 * CHOOSE(CONTROL!$C$15, $E$9, 100%, $G$9) + CHOOSE(CONTROL!$C$38, 0.0347, 0)</f>
        <v>14.217500000000001</v>
      </c>
      <c r="H46" s="14">
        <f>14.1828 * CHOOSE(CONTROL!$C$15, $E$9, 100%, $G$9) + CHOOSE(CONTROL!$C$38, 0.0347, 0)</f>
        <v>14.217500000000001</v>
      </c>
      <c r="I46" s="14">
        <f>14.1844 * CHOOSE(CONTROL!$C$15, $E$9, 100%, $G$9) + CHOOSE(CONTROL!$C$38, 0.0347, 0)</f>
        <v>14.219100000000001</v>
      </c>
      <c r="J46" s="44">
        <f>85.03</f>
        <v>85.03</v>
      </c>
    </row>
    <row r="47" spans="1:10" ht="15" x14ac:dyDescent="0.2">
      <c r="A47" s="13">
        <v>42339</v>
      </c>
      <c r="B47" s="14">
        <f>14.7194 * CHOOSE(CONTROL!$C$15, $E$9, 100%, $G$9) + CHOOSE(CONTROL!$C$38, 0.0256, 0)</f>
        <v>14.745000000000001</v>
      </c>
      <c r="C47" s="14">
        <f>14.1844 * CHOOSE(CONTROL!$C$15, $E$9, 100%, $G$9) + CHOOSE(CONTROL!$C$38, 0.0347, 0)</f>
        <v>14.219100000000001</v>
      </c>
      <c r="D47" s="14">
        <f>14.1766 * CHOOSE(CONTROL!$C$15, $E$9, 100%, $G$9) + CHOOSE(CONTROL!$C$38, 0.0347, 0)</f>
        <v>14.211300000000001</v>
      </c>
      <c r="E47" s="46">
        <f>14.5632 * CHOOSE(CONTROL!$C$15, $E$9, 100%, $G$9) + CHOOSE(CONTROL!$C$38, 0.0347, 0)</f>
        <v>14.597900000000001</v>
      </c>
      <c r="F47" s="45">
        <f>14.5632 * CHOOSE(CONTROL!$C$15, $E$9, 100%, $G$9) + CHOOSE(CONTROL!$C$38, 0.0256, 0)</f>
        <v>14.588800000000001</v>
      </c>
      <c r="G47" s="14">
        <f>14.1828 * CHOOSE(CONTROL!$C$15, $E$9, 100%, $G$9) + CHOOSE(CONTROL!$C$38, 0.0347, 0)</f>
        <v>14.217500000000001</v>
      </c>
      <c r="H47" s="14">
        <f>14.1828 * CHOOSE(CONTROL!$C$15, $E$9, 100%, $G$9) + CHOOSE(CONTROL!$C$38, 0.0347, 0)</f>
        <v>14.217500000000001</v>
      </c>
      <c r="I47" s="14">
        <f>14.1844 * CHOOSE(CONTROL!$C$15, $E$9, 100%, $G$9) + CHOOSE(CONTROL!$C$38, 0.0347, 0)</f>
        <v>14.219100000000001</v>
      </c>
      <c r="J47" s="44">
        <f>84.85</f>
        <v>84.85</v>
      </c>
    </row>
    <row r="48" spans="1:10" ht="15" x14ac:dyDescent="0.2">
      <c r="A48" s="13">
        <v>42370</v>
      </c>
      <c r="B48" s="14">
        <f>16.3211 * CHOOSE(CONTROL!$C$15, $E$9, 100%, $G$9) + CHOOSE(CONTROL!$C$38, 0.0256, 0)</f>
        <v>16.346700000000002</v>
      </c>
      <c r="C48" s="14">
        <f>15.8206 * CHOOSE(CONTROL!$C$15, $E$9, 100%, $G$9) + CHOOSE(CONTROL!$C$38, 0.0347, 0)</f>
        <v>15.855300000000002</v>
      </c>
      <c r="D48" s="14">
        <f>15.8128 * CHOOSE(CONTROL!$C$15, $E$9, 100%, $G$9) + CHOOSE(CONTROL!$C$38, 0.0347, 0)</f>
        <v>15.8475</v>
      </c>
      <c r="E48" s="46">
        <f>16.1648 * CHOOSE(CONTROL!$C$15, $E$9, 100%, $G$9) + CHOOSE(CONTROL!$C$38, 0.0347, 0)</f>
        <v>16.1995</v>
      </c>
      <c r="F48" s="45">
        <f>16.1648 * CHOOSE(CONTROL!$C$15, $E$9, 100%, $G$9) + CHOOSE(CONTROL!$C$38, 0.0256, 0)</f>
        <v>16.1904</v>
      </c>
      <c r="G48" s="14">
        <f>15.8191 * CHOOSE(CONTROL!$C$15, $E$9, 100%, $G$9) + CHOOSE(CONTROL!$C$38, 0.0347, 0)</f>
        <v>15.853800000000001</v>
      </c>
      <c r="H48" s="14">
        <f>15.8191 * CHOOSE(CONTROL!$C$15, $E$9, 100%, $G$9) + CHOOSE(CONTROL!$C$38, 0.0347, 0)</f>
        <v>15.853800000000001</v>
      </c>
      <c r="I48" s="14">
        <f>15.8206 * CHOOSE(CONTROL!$C$15, $E$9, 100%, $G$9) + CHOOSE(CONTROL!$C$38, 0.0347, 0)</f>
        <v>15.855300000000002</v>
      </c>
      <c r="J48" s="44">
        <f>86.0261</f>
        <v>86.0261</v>
      </c>
    </row>
    <row r="49" spans="1:10" ht="15" x14ac:dyDescent="0.2">
      <c r="A49" s="13">
        <v>42401</v>
      </c>
      <c r="B49" s="14">
        <f>16.5946 * CHOOSE(CONTROL!$C$15, $E$9, 100%, $G$9) + CHOOSE(CONTROL!$C$38, 0.0256, 0)</f>
        <v>16.620200000000001</v>
      </c>
      <c r="C49" s="14">
        <f>16.0935 * CHOOSE(CONTROL!$C$15, $E$9, 100%, $G$9) + CHOOSE(CONTROL!$C$38, 0.0347, 0)</f>
        <v>16.1282</v>
      </c>
      <c r="D49" s="14">
        <f>16.0856 * CHOOSE(CONTROL!$C$15, $E$9, 100%, $G$9) + CHOOSE(CONTROL!$C$38, 0.0347, 0)</f>
        <v>16.1203</v>
      </c>
      <c r="E49" s="46">
        <f>16.4383 * CHOOSE(CONTROL!$C$15, $E$9, 100%, $G$9) + CHOOSE(CONTROL!$C$38, 0.0347, 0)</f>
        <v>16.473000000000003</v>
      </c>
      <c r="F49" s="45">
        <f>16.4383 * CHOOSE(CONTROL!$C$15, $E$9, 100%, $G$9) + CHOOSE(CONTROL!$C$38, 0.0256, 0)</f>
        <v>16.463900000000002</v>
      </c>
      <c r="G49" s="14">
        <f>16.0919 * CHOOSE(CONTROL!$C$15, $E$9, 100%, $G$9) + CHOOSE(CONTROL!$C$38, 0.0347, 0)</f>
        <v>16.1266</v>
      </c>
      <c r="H49" s="14">
        <f>16.0919 * CHOOSE(CONTROL!$C$15, $E$9, 100%, $G$9) + CHOOSE(CONTROL!$C$38, 0.0347, 0)</f>
        <v>16.1266</v>
      </c>
      <c r="I49" s="14">
        <f>16.0935 * CHOOSE(CONTROL!$C$15, $E$9, 100%, $G$9) + CHOOSE(CONTROL!$C$38, 0.0347, 0)</f>
        <v>16.1282</v>
      </c>
      <c r="J49" s="44">
        <f>85.9637</f>
        <v>85.963700000000003</v>
      </c>
    </row>
    <row r="50" spans="1:10" ht="15" x14ac:dyDescent="0.2">
      <c r="A50" s="13">
        <v>42430</v>
      </c>
      <c r="B50" s="14">
        <f>16.068 * CHOOSE(CONTROL!$C$15, $E$9, 100%, $G$9) + CHOOSE(CONTROL!$C$38, 0.0256, 0)</f>
        <v>16.093600000000002</v>
      </c>
      <c r="C50" s="14">
        <f>15.5662 * CHOOSE(CONTROL!$C$15, $E$9, 100%, $G$9) + CHOOSE(CONTROL!$C$38, 0.0347, 0)</f>
        <v>15.600900000000001</v>
      </c>
      <c r="D50" s="14">
        <f>15.5584 * CHOOSE(CONTROL!$C$15, $E$9, 100%, $G$9) + CHOOSE(CONTROL!$C$38, 0.0347, 0)</f>
        <v>15.593100000000002</v>
      </c>
      <c r="E50" s="46">
        <f>15.9118 * CHOOSE(CONTROL!$C$15, $E$9, 100%, $G$9) + CHOOSE(CONTROL!$C$38, 0.0347, 0)</f>
        <v>15.9465</v>
      </c>
      <c r="F50" s="45">
        <f>15.9118 * CHOOSE(CONTROL!$C$15, $E$9, 100%, $G$9) + CHOOSE(CONTROL!$C$38, 0.0256, 0)</f>
        <v>15.9374</v>
      </c>
      <c r="G50" s="14">
        <f>15.5646 * CHOOSE(CONTROL!$C$15, $E$9, 100%, $G$9) + CHOOSE(CONTROL!$C$38, 0.0347, 0)</f>
        <v>15.599300000000001</v>
      </c>
      <c r="H50" s="14">
        <f>15.5646 * CHOOSE(CONTROL!$C$15, $E$9, 100%, $G$9) + CHOOSE(CONTROL!$C$38, 0.0347, 0)</f>
        <v>15.599300000000001</v>
      </c>
      <c r="I50" s="14">
        <f>15.5662 * CHOOSE(CONTROL!$C$15, $E$9, 100%, $G$9) + CHOOSE(CONTROL!$C$38, 0.0347, 0)</f>
        <v>15.600900000000001</v>
      </c>
      <c r="J50" s="44">
        <f>90.6809</f>
        <v>90.680899999999994</v>
      </c>
    </row>
    <row r="51" spans="1:10" ht="15" x14ac:dyDescent="0.2">
      <c r="A51" s="13">
        <v>42461</v>
      </c>
      <c r="B51" s="14">
        <f>15.5567 * CHOOSE(CONTROL!$C$15, $E$9, 100%, $G$9) + CHOOSE(CONTROL!$C$38, 0.0256, 0)</f>
        <v>15.5823</v>
      </c>
      <c r="C51" s="14">
        <f>15.0541 * CHOOSE(CONTROL!$C$15, $E$9, 100%, $G$9) + CHOOSE(CONTROL!$C$38, 0.0347, 0)</f>
        <v>15.088800000000001</v>
      </c>
      <c r="D51" s="14">
        <f>15.0463 * CHOOSE(CONTROL!$C$15, $E$9, 100%, $G$9) + CHOOSE(CONTROL!$C$38, 0.0347, 0)</f>
        <v>15.081000000000001</v>
      </c>
      <c r="E51" s="46">
        <f>15.4004 * CHOOSE(CONTROL!$C$15, $E$9, 100%, $G$9) + CHOOSE(CONTROL!$C$38, 0.0347, 0)</f>
        <v>15.4351</v>
      </c>
      <c r="F51" s="45">
        <f>15.4004 * CHOOSE(CONTROL!$C$15, $E$9, 100%, $G$9) + CHOOSE(CONTROL!$C$38, 0.0256, 0)</f>
        <v>15.426</v>
      </c>
      <c r="G51" s="14">
        <f>15.0525 * CHOOSE(CONTROL!$C$15, $E$9, 100%, $G$9) + CHOOSE(CONTROL!$C$38, 0.0347, 0)</f>
        <v>15.087200000000001</v>
      </c>
      <c r="H51" s="14">
        <f>15.0525 * CHOOSE(CONTROL!$C$15, $E$9, 100%, $G$9) + CHOOSE(CONTROL!$C$38, 0.0347, 0)</f>
        <v>15.087200000000001</v>
      </c>
      <c r="I51" s="14">
        <f>15.0541 * CHOOSE(CONTROL!$C$15, $E$9, 100%, $G$9) + CHOOSE(CONTROL!$C$38, 0.0347, 0)</f>
        <v>15.088800000000001</v>
      </c>
      <c r="J51" s="44">
        <f>96.7673</f>
        <v>96.767300000000006</v>
      </c>
    </row>
    <row r="52" spans="1:10" ht="15" x14ac:dyDescent="0.2">
      <c r="A52" s="13">
        <v>42491</v>
      </c>
      <c r="B52" s="14">
        <f>15.0201 * CHOOSE(CONTROL!$C$15, $E$9, 100%, $G$9) + CHOOSE(CONTROL!$C$38, 0.0278, 0)</f>
        <v>15.047899999999998</v>
      </c>
      <c r="C52" s="14">
        <f>14.5168 * CHOOSE(CONTROL!$C$15, $E$9, 100%, $G$9) + CHOOSE(CONTROL!$C$38, 0.0369, 0)</f>
        <v>14.553699999999999</v>
      </c>
      <c r="D52" s="14">
        <f>14.509 * CHOOSE(CONTROL!$C$15, $E$9, 100%, $G$9) + CHOOSE(CONTROL!$C$38, 0.0369, 0)</f>
        <v>14.5459</v>
      </c>
      <c r="E52" s="46">
        <f>14.8638 * CHOOSE(CONTROL!$C$15, $E$9, 100%, $G$9) + CHOOSE(CONTROL!$C$38, 0.0369, 0)</f>
        <v>14.900699999999999</v>
      </c>
      <c r="F52" s="45">
        <f>14.8638 * CHOOSE(CONTROL!$C$15, $E$9, 100%, $G$9) + CHOOSE(CONTROL!$C$38, 0.0278, 0)</f>
        <v>14.891599999999999</v>
      </c>
      <c r="G52" s="14">
        <f>14.5152 * CHOOSE(CONTROL!$C$15, $E$9, 100%, $G$9) + CHOOSE(CONTROL!$C$38, 0.0369, 0)</f>
        <v>14.552099999999999</v>
      </c>
      <c r="H52" s="14">
        <f>14.5152 * CHOOSE(CONTROL!$C$15, $E$9, 100%, $G$9) + CHOOSE(CONTROL!$C$38, 0.0369, 0)</f>
        <v>14.552099999999999</v>
      </c>
      <c r="I52" s="14">
        <f>14.5168 * CHOOSE(CONTROL!$C$15, $E$9, 100%, $G$9) + CHOOSE(CONTROL!$C$38, 0.0369, 0)</f>
        <v>14.553699999999999</v>
      </c>
      <c r="J52" s="44">
        <f>100.2206</f>
        <v>100.2206</v>
      </c>
    </row>
    <row r="53" spans="1:10" ht="15" x14ac:dyDescent="0.2">
      <c r="A53" s="13">
        <v>42522</v>
      </c>
      <c r="B53" s="14">
        <f>14.6512 * CHOOSE(CONTROL!$C$15, $E$9, 100%, $G$9) + CHOOSE(CONTROL!$C$38, 0.0278, 0)</f>
        <v>14.678999999999998</v>
      </c>
      <c r="C53" s="14">
        <f>14.1472 * CHOOSE(CONTROL!$C$15, $E$9, 100%, $G$9) + CHOOSE(CONTROL!$C$38, 0.0369, 0)</f>
        <v>14.184099999999999</v>
      </c>
      <c r="D53" s="14">
        <f>14.1394 * CHOOSE(CONTROL!$C$15, $E$9, 100%, $G$9) + CHOOSE(CONTROL!$C$38, 0.0369, 0)</f>
        <v>14.176299999999999</v>
      </c>
      <c r="E53" s="46">
        <f>14.4949 * CHOOSE(CONTROL!$C$15, $E$9, 100%, $G$9) + CHOOSE(CONTROL!$C$38, 0.0369, 0)</f>
        <v>14.531799999999999</v>
      </c>
      <c r="F53" s="45">
        <f>14.4949 * CHOOSE(CONTROL!$C$15, $E$9, 100%, $G$9) + CHOOSE(CONTROL!$C$38, 0.0278, 0)</f>
        <v>14.522699999999999</v>
      </c>
      <c r="G53" s="14">
        <f>14.1456 * CHOOSE(CONTROL!$C$15, $E$9, 100%, $G$9) + CHOOSE(CONTROL!$C$38, 0.0369, 0)</f>
        <v>14.182499999999999</v>
      </c>
      <c r="H53" s="14">
        <f>14.1456 * CHOOSE(CONTROL!$C$15, $E$9, 100%, $G$9) + CHOOSE(CONTROL!$C$38, 0.0369, 0)</f>
        <v>14.182499999999999</v>
      </c>
      <c r="I53" s="14">
        <f>14.1472 * CHOOSE(CONTROL!$C$15, $E$9, 100%, $G$9) + CHOOSE(CONTROL!$C$38, 0.0369, 0)</f>
        <v>14.184099999999999</v>
      </c>
      <c r="J53" s="44">
        <f>101.8741</f>
        <v>101.8741</v>
      </c>
    </row>
    <row r="54" spans="1:10" ht="15" x14ac:dyDescent="0.2">
      <c r="A54" s="13">
        <v>42552</v>
      </c>
      <c r="B54" s="14">
        <f>14.4521 * CHOOSE(CONTROL!$C$15, $E$9, 100%, $G$9) + CHOOSE(CONTROL!$C$38, 0.0278, 0)</f>
        <v>14.479899999999999</v>
      </c>
      <c r="C54" s="14">
        <f>13.9474 * CHOOSE(CONTROL!$C$15, $E$9, 100%, $G$9) + CHOOSE(CONTROL!$C$38, 0.0369, 0)</f>
        <v>13.984299999999999</v>
      </c>
      <c r="D54" s="14">
        <f>13.9396 * CHOOSE(CONTROL!$C$15, $E$9, 100%, $G$9) + CHOOSE(CONTROL!$C$38, 0.0369, 0)</f>
        <v>13.9765</v>
      </c>
      <c r="E54" s="46">
        <f>14.2959 * CHOOSE(CONTROL!$C$15, $E$9, 100%, $G$9) + CHOOSE(CONTROL!$C$38, 0.0369, 0)</f>
        <v>14.332799999999999</v>
      </c>
      <c r="F54" s="45">
        <f>14.2959 * CHOOSE(CONTROL!$C$15, $E$9, 100%, $G$9) + CHOOSE(CONTROL!$C$38, 0.0278, 0)</f>
        <v>14.323699999999999</v>
      </c>
      <c r="G54" s="14">
        <f>13.9459 * CHOOSE(CONTROL!$C$15, $E$9, 100%, $G$9) + CHOOSE(CONTROL!$C$38, 0.0369, 0)</f>
        <v>13.982799999999999</v>
      </c>
      <c r="H54" s="14">
        <f>13.9459 * CHOOSE(CONTROL!$C$15, $E$9, 100%, $G$9) + CHOOSE(CONTROL!$C$38, 0.0369, 0)</f>
        <v>13.982799999999999</v>
      </c>
      <c r="I54" s="14">
        <f>13.9474 * CHOOSE(CONTROL!$C$15, $E$9, 100%, $G$9) + CHOOSE(CONTROL!$C$38, 0.0369, 0)</f>
        <v>13.984299999999999</v>
      </c>
      <c r="J54" s="44">
        <f>101.6065</f>
        <v>101.6065</v>
      </c>
    </row>
    <row r="55" spans="1:10" ht="15" x14ac:dyDescent="0.2">
      <c r="A55" s="13">
        <v>42583</v>
      </c>
      <c r="B55" s="14">
        <f>14.5934 * CHOOSE(CONTROL!$C$15, $E$9, 100%, $G$9) + CHOOSE(CONTROL!$C$38, 0.0278, 0)</f>
        <v>14.6212</v>
      </c>
      <c r="C55" s="14">
        <f>14.0879 * CHOOSE(CONTROL!$C$15, $E$9, 100%, $G$9) + CHOOSE(CONTROL!$C$38, 0.0369, 0)</f>
        <v>14.124799999999999</v>
      </c>
      <c r="D55" s="14">
        <f>14.0801 * CHOOSE(CONTROL!$C$15, $E$9, 100%, $G$9) + CHOOSE(CONTROL!$C$38, 0.0369, 0)</f>
        <v>14.116999999999999</v>
      </c>
      <c r="E55" s="46">
        <f>14.4371 * CHOOSE(CONTROL!$C$15, $E$9, 100%, $G$9) + CHOOSE(CONTROL!$C$38, 0.0369, 0)</f>
        <v>14.473999999999998</v>
      </c>
      <c r="F55" s="45">
        <f>14.4371 * CHOOSE(CONTROL!$C$15, $E$9, 100%, $G$9) + CHOOSE(CONTROL!$C$38, 0.0278, 0)</f>
        <v>14.464899999999998</v>
      </c>
      <c r="G55" s="14">
        <f>14.0864 * CHOOSE(CONTROL!$C$15, $E$9, 100%, $G$9) + CHOOSE(CONTROL!$C$38, 0.0369, 0)</f>
        <v>14.123299999999999</v>
      </c>
      <c r="H55" s="14">
        <f>14.0864 * CHOOSE(CONTROL!$C$15, $E$9, 100%, $G$9) + CHOOSE(CONTROL!$C$38, 0.0369, 0)</f>
        <v>14.123299999999999</v>
      </c>
      <c r="I55" s="14">
        <f>14.0879 * CHOOSE(CONTROL!$C$15, $E$9, 100%, $G$9) + CHOOSE(CONTROL!$C$38, 0.0369, 0)</f>
        <v>14.124799999999999</v>
      </c>
      <c r="J55" s="44">
        <f>99.4456</f>
        <v>99.445599999999999</v>
      </c>
    </row>
    <row r="56" spans="1:10" ht="15" x14ac:dyDescent="0.2">
      <c r="A56" s="13">
        <v>42614</v>
      </c>
      <c r="B56" s="14">
        <f>14.9289 * CHOOSE(CONTROL!$C$15, $E$9, 100%, $G$9) + CHOOSE(CONTROL!$C$38, 0.0278, 0)</f>
        <v>14.9567</v>
      </c>
      <c r="C56" s="14">
        <f>14.4228 * CHOOSE(CONTROL!$C$15, $E$9, 100%, $G$9) + CHOOSE(CONTROL!$C$38, 0.0369, 0)</f>
        <v>14.4597</v>
      </c>
      <c r="D56" s="14">
        <f>14.415 * CHOOSE(CONTROL!$C$15, $E$9, 100%, $G$9) + CHOOSE(CONTROL!$C$38, 0.0369, 0)</f>
        <v>14.451899999999998</v>
      </c>
      <c r="E56" s="46">
        <f>14.7727 * CHOOSE(CONTROL!$C$15, $E$9, 100%, $G$9) + CHOOSE(CONTROL!$C$38, 0.0369, 0)</f>
        <v>14.8096</v>
      </c>
      <c r="F56" s="45">
        <f>14.7727 * CHOOSE(CONTROL!$C$15, $E$9, 100%, $G$9) + CHOOSE(CONTROL!$C$38, 0.0278, 0)</f>
        <v>14.8005</v>
      </c>
      <c r="G56" s="14">
        <f>14.4212 * CHOOSE(CONTROL!$C$15, $E$9, 100%, $G$9) + CHOOSE(CONTROL!$C$38, 0.0369, 0)</f>
        <v>14.4581</v>
      </c>
      <c r="H56" s="14">
        <f>14.4212 * CHOOSE(CONTROL!$C$15, $E$9, 100%, $G$9) + CHOOSE(CONTROL!$C$38, 0.0369, 0)</f>
        <v>14.4581</v>
      </c>
      <c r="I56" s="14">
        <f>14.4228 * CHOOSE(CONTROL!$C$15, $E$9, 100%, $G$9) + CHOOSE(CONTROL!$C$38, 0.0369, 0)</f>
        <v>14.4597</v>
      </c>
      <c r="J56" s="44">
        <f>96.3382</f>
        <v>96.338200000000001</v>
      </c>
    </row>
    <row r="57" spans="1:10" ht="15" x14ac:dyDescent="0.2">
      <c r="A57" s="13">
        <v>42644</v>
      </c>
      <c r="B57" s="14">
        <f>15.2159 * CHOOSE(CONTROL!$C$15, $E$9, 100%, $G$9) + CHOOSE(CONTROL!$C$38, 0.0256, 0)</f>
        <v>15.2415</v>
      </c>
      <c r="C57" s="14">
        <f>14.709 * CHOOSE(CONTROL!$C$15, $E$9, 100%, $G$9) + CHOOSE(CONTROL!$C$38, 0.0347, 0)</f>
        <v>14.7437</v>
      </c>
      <c r="D57" s="14">
        <f>14.7012 * CHOOSE(CONTROL!$C$15, $E$9, 100%, $G$9) + CHOOSE(CONTROL!$C$38, 0.0347, 0)</f>
        <v>14.735900000000001</v>
      </c>
      <c r="E57" s="46">
        <f>15.0596 * CHOOSE(CONTROL!$C$15, $E$9, 100%, $G$9) + CHOOSE(CONTROL!$C$38, 0.0347, 0)</f>
        <v>15.0943</v>
      </c>
      <c r="F57" s="45">
        <f>15.0596 * CHOOSE(CONTROL!$C$15, $E$9, 100%, $G$9) + CHOOSE(CONTROL!$C$38, 0.0256, 0)</f>
        <v>15.0852</v>
      </c>
      <c r="G57" s="14">
        <f>14.7075 * CHOOSE(CONTROL!$C$15, $E$9, 100%, $G$9) + CHOOSE(CONTROL!$C$38, 0.0347, 0)</f>
        <v>14.7422</v>
      </c>
      <c r="H57" s="14">
        <f>14.7075 * CHOOSE(CONTROL!$C$15, $E$9, 100%, $G$9) + CHOOSE(CONTROL!$C$38, 0.0347, 0)</f>
        <v>14.7422</v>
      </c>
      <c r="I57" s="14">
        <f>14.709 * CHOOSE(CONTROL!$C$15, $E$9, 100%, $G$9) + CHOOSE(CONTROL!$C$38, 0.0347, 0)</f>
        <v>14.7437</v>
      </c>
      <c r="J57" s="44">
        <f>93.1983</f>
        <v>93.198300000000003</v>
      </c>
    </row>
    <row r="58" spans="1:10" ht="15" x14ac:dyDescent="0.2">
      <c r="A58" s="13">
        <v>42675</v>
      </c>
      <c r="B58" s="14">
        <f>15.4613 * CHOOSE(CONTROL!$C$15, $E$9, 100%, $G$9) + CHOOSE(CONTROL!$C$38, 0.0256, 0)</f>
        <v>15.4869</v>
      </c>
      <c r="C58" s="14">
        <f>14.9537 * CHOOSE(CONTROL!$C$15, $E$9, 100%, $G$9) + CHOOSE(CONTROL!$C$38, 0.0347, 0)</f>
        <v>14.9884</v>
      </c>
      <c r="D58" s="14">
        <f>14.9459 * CHOOSE(CONTROL!$C$15, $E$9, 100%, $G$9) + CHOOSE(CONTROL!$C$38, 0.0347, 0)</f>
        <v>14.980600000000001</v>
      </c>
      <c r="E58" s="46">
        <f>15.305 * CHOOSE(CONTROL!$C$15, $E$9, 100%, $G$9) + CHOOSE(CONTROL!$C$38, 0.0347, 0)</f>
        <v>15.339700000000001</v>
      </c>
      <c r="F58" s="45">
        <f>15.305 * CHOOSE(CONTROL!$C$15, $E$9, 100%, $G$9) + CHOOSE(CONTROL!$C$38, 0.0256, 0)</f>
        <v>15.3306</v>
      </c>
      <c r="G58" s="14">
        <f>14.9521 * CHOOSE(CONTROL!$C$15, $E$9, 100%, $G$9) + CHOOSE(CONTROL!$C$38, 0.0347, 0)</f>
        <v>14.986800000000001</v>
      </c>
      <c r="H58" s="14">
        <f>14.9521 * CHOOSE(CONTROL!$C$15, $E$9, 100%, $G$9) + CHOOSE(CONTROL!$C$38, 0.0347, 0)</f>
        <v>14.986800000000001</v>
      </c>
      <c r="I58" s="14">
        <f>14.9537 * CHOOSE(CONTROL!$C$15, $E$9, 100%, $G$9) + CHOOSE(CONTROL!$C$38, 0.0347, 0)</f>
        <v>14.9884</v>
      </c>
      <c r="J58" s="44">
        <f>92.7249</f>
        <v>92.724900000000005</v>
      </c>
    </row>
    <row r="59" spans="1:10" ht="15" x14ac:dyDescent="0.2">
      <c r="A59" s="13">
        <v>42705</v>
      </c>
      <c r="B59" s="14">
        <f>16.1566 * CHOOSE(CONTROL!$C$15, $E$9, 100%, $G$9) + CHOOSE(CONTROL!$C$38, 0.0256, 0)</f>
        <v>16.182200000000002</v>
      </c>
      <c r="C59" s="14">
        <f>15.6483 * CHOOSE(CONTROL!$C$15, $E$9, 100%, $G$9) + CHOOSE(CONTROL!$C$38, 0.0347, 0)</f>
        <v>15.683000000000002</v>
      </c>
      <c r="D59" s="14">
        <f>15.6405 * CHOOSE(CONTROL!$C$15, $E$9, 100%, $G$9) + CHOOSE(CONTROL!$C$38, 0.0347, 0)</f>
        <v>15.6752</v>
      </c>
      <c r="E59" s="46">
        <f>16.0003 * CHOOSE(CONTROL!$C$15, $E$9, 100%, $G$9) + CHOOSE(CONTROL!$C$38, 0.0347, 0)</f>
        <v>16.035</v>
      </c>
      <c r="F59" s="45">
        <f>16.0003 * CHOOSE(CONTROL!$C$15, $E$9, 100%, $G$9) + CHOOSE(CONTROL!$C$38, 0.0256, 0)</f>
        <v>16.0259</v>
      </c>
      <c r="G59" s="14">
        <f>15.6467 * CHOOSE(CONTROL!$C$15, $E$9, 100%, $G$9) + CHOOSE(CONTROL!$C$38, 0.0347, 0)</f>
        <v>15.6814</v>
      </c>
      <c r="H59" s="14">
        <f>15.6467 * CHOOSE(CONTROL!$C$15, $E$9, 100%, $G$9) + CHOOSE(CONTROL!$C$38, 0.0347, 0)</f>
        <v>15.6814</v>
      </c>
      <c r="I59" s="14">
        <f>15.6483 * CHOOSE(CONTROL!$C$15, $E$9, 100%, $G$9) + CHOOSE(CONTROL!$C$38, 0.0347, 0)</f>
        <v>15.683000000000002</v>
      </c>
      <c r="J59" s="44">
        <f>90.1586</f>
        <v>90.158600000000007</v>
      </c>
    </row>
    <row r="60" spans="1:10" ht="15" x14ac:dyDescent="0.2">
      <c r="A60" s="13">
        <v>42736</v>
      </c>
      <c r="B60" s="14">
        <f>16.337 * CHOOSE(CONTROL!$C$15, $E$9, 100%, $G$9) + CHOOSE(CONTROL!$C$38, 0.0256, 0)</f>
        <v>16.3626</v>
      </c>
      <c r="C60" s="14">
        <f>15.8362 * CHOOSE(CONTROL!$C$15, $E$9, 100%, $G$9) + CHOOSE(CONTROL!$C$38, 0.0347, 0)</f>
        <v>15.870900000000001</v>
      </c>
      <c r="D60" s="14">
        <f>15.8284 * CHOOSE(CONTROL!$C$15, $E$9, 100%, $G$9) + CHOOSE(CONTROL!$C$38, 0.0347, 0)</f>
        <v>15.863100000000001</v>
      </c>
      <c r="E60" s="46">
        <f>16.1807 * CHOOSE(CONTROL!$C$15, $E$9, 100%, $G$9) + CHOOSE(CONTROL!$C$38, 0.0347, 0)</f>
        <v>16.215400000000002</v>
      </c>
      <c r="F60" s="45">
        <f>16.1807 * CHOOSE(CONTROL!$C$15, $E$9, 100%, $G$9) + CHOOSE(CONTROL!$C$38, 0.0256, 0)</f>
        <v>16.206300000000002</v>
      </c>
      <c r="G60" s="14">
        <f>15.8346 * CHOOSE(CONTROL!$C$15, $E$9, 100%, $G$9) + CHOOSE(CONTROL!$C$38, 0.0347, 0)</f>
        <v>15.869300000000001</v>
      </c>
      <c r="H60" s="14">
        <f>15.8346 * CHOOSE(CONTROL!$C$15, $E$9, 100%, $G$9) + CHOOSE(CONTROL!$C$38, 0.0347, 0)</f>
        <v>15.869300000000001</v>
      </c>
      <c r="I60" s="14">
        <f>15.8362 * CHOOSE(CONTROL!$C$15, $E$9, 100%, $G$9) + CHOOSE(CONTROL!$C$38, 0.0347, 0)</f>
        <v>15.870900000000001</v>
      </c>
      <c r="J60" s="44">
        <f>86.1729</f>
        <v>86.172899999999998</v>
      </c>
    </row>
    <row r="61" spans="1:10" ht="15" x14ac:dyDescent="0.2">
      <c r="A61" s="13">
        <v>42767</v>
      </c>
      <c r="B61" s="14">
        <f>16.6166 * CHOOSE(CONTROL!$C$15, $E$9, 100%, $G$9) + CHOOSE(CONTROL!$C$38, 0.0256, 0)</f>
        <v>16.642199999999999</v>
      </c>
      <c r="C61" s="14">
        <f>16.1151 * CHOOSE(CONTROL!$C$15, $E$9, 100%, $G$9) + CHOOSE(CONTROL!$C$38, 0.0347, 0)</f>
        <v>16.149800000000003</v>
      </c>
      <c r="D61" s="14">
        <f>16.1073 * CHOOSE(CONTROL!$C$15, $E$9, 100%, $G$9) + CHOOSE(CONTROL!$C$38, 0.0347, 0)</f>
        <v>16.141999999999999</v>
      </c>
      <c r="E61" s="46">
        <f>16.4603 * CHOOSE(CONTROL!$C$15, $E$9, 100%, $G$9) + CHOOSE(CONTROL!$C$38, 0.0347, 0)</f>
        <v>16.495000000000001</v>
      </c>
      <c r="F61" s="45">
        <f>16.4603 * CHOOSE(CONTROL!$C$15, $E$9, 100%, $G$9) + CHOOSE(CONTROL!$C$38, 0.0256, 0)</f>
        <v>16.485900000000001</v>
      </c>
      <c r="G61" s="14">
        <f>16.1135 * CHOOSE(CONTROL!$C$15, $E$9, 100%, $G$9) + CHOOSE(CONTROL!$C$38, 0.0347, 0)</f>
        <v>16.148199999999999</v>
      </c>
      <c r="H61" s="14">
        <f>16.1135 * CHOOSE(CONTROL!$C$15, $E$9, 100%, $G$9) + CHOOSE(CONTROL!$C$38, 0.0347, 0)</f>
        <v>16.148199999999999</v>
      </c>
      <c r="I61" s="14">
        <f>16.1151 * CHOOSE(CONTROL!$C$15, $E$9, 100%, $G$9) + CHOOSE(CONTROL!$C$38, 0.0347, 0)</f>
        <v>16.149800000000003</v>
      </c>
      <c r="J61" s="44">
        <f>86.1104</f>
        <v>86.110399999999998</v>
      </c>
    </row>
    <row r="62" spans="1:10" ht="15" x14ac:dyDescent="0.2">
      <c r="A62" s="13">
        <v>42795</v>
      </c>
      <c r="B62" s="14">
        <f>16.0761 * CHOOSE(CONTROL!$C$15, $E$9, 100%, $G$9) + CHOOSE(CONTROL!$C$38, 0.0256, 0)</f>
        <v>16.101700000000001</v>
      </c>
      <c r="C62" s="14">
        <f>15.5739 * CHOOSE(CONTROL!$C$15, $E$9, 100%, $G$9) + CHOOSE(CONTROL!$C$38, 0.0347, 0)</f>
        <v>15.608600000000001</v>
      </c>
      <c r="D62" s="14">
        <f>15.5661 * CHOOSE(CONTROL!$C$15, $E$9, 100%, $G$9) + CHOOSE(CONTROL!$C$38, 0.0347, 0)</f>
        <v>15.600800000000001</v>
      </c>
      <c r="E62" s="46">
        <f>15.9199 * CHOOSE(CONTROL!$C$15, $E$9, 100%, $G$9) + CHOOSE(CONTROL!$C$38, 0.0347, 0)</f>
        <v>15.954600000000001</v>
      </c>
      <c r="F62" s="45">
        <f>15.9199 * CHOOSE(CONTROL!$C$15, $E$9, 100%, $G$9) + CHOOSE(CONTROL!$C$38, 0.0256, 0)</f>
        <v>15.945500000000001</v>
      </c>
      <c r="G62" s="14">
        <f>15.5723 * CHOOSE(CONTROL!$C$15, $E$9, 100%, $G$9) + CHOOSE(CONTROL!$C$38, 0.0347, 0)</f>
        <v>15.607000000000001</v>
      </c>
      <c r="H62" s="14">
        <f>15.5723 * CHOOSE(CONTROL!$C$15, $E$9, 100%, $G$9) + CHOOSE(CONTROL!$C$38, 0.0347, 0)</f>
        <v>15.607000000000001</v>
      </c>
      <c r="I62" s="14">
        <f>15.5739 * CHOOSE(CONTROL!$C$15, $E$9, 100%, $G$9) + CHOOSE(CONTROL!$C$38, 0.0347, 0)</f>
        <v>15.608600000000001</v>
      </c>
      <c r="J62" s="44">
        <f>90.8357</f>
        <v>90.835700000000003</v>
      </c>
    </row>
    <row r="63" spans="1:10" ht="15" x14ac:dyDescent="0.2">
      <c r="A63" s="13">
        <v>42826</v>
      </c>
      <c r="B63" s="14">
        <f>15.5511 * CHOOSE(CONTROL!$C$15, $E$9, 100%, $G$9) + CHOOSE(CONTROL!$C$38, 0.0256, 0)</f>
        <v>15.576700000000001</v>
      </c>
      <c r="C63" s="14">
        <f>15.0482 * CHOOSE(CONTROL!$C$15, $E$9, 100%, $G$9) + CHOOSE(CONTROL!$C$38, 0.0347, 0)</f>
        <v>15.0829</v>
      </c>
      <c r="D63" s="14">
        <f>15.0404 * CHOOSE(CONTROL!$C$15, $E$9, 100%, $G$9) + CHOOSE(CONTROL!$C$38, 0.0347, 0)</f>
        <v>15.075100000000001</v>
      </c>
      <c r="E63" s="46">
        <f>15.3949 * CHOOSE(CONTROL!$C$15, $E$9, 100%, $G$9) + CHOOSE(CONTROL!$C$38, 0.0347, 0)</f>
        <v>15.429600000000001</v>
      </c>
      <c r="F63" s="45">
        <f>15.3949 * CHOOSE(CONTROL!$C$15, $E$9, 100%, $G$9) + CHOOSE(CONTROL!$C$38, 0.0256, 0)</f>
        <v>15.420500000000001</v>
      </c>
      <c r="G63" s="14">
        <f>15.0466 * CHOOSE(CONTROL!$C$15, $E$9, 100%, $G$9) + CHOOSE(CONTROL!$C$38, 0.0347, 0)</f>
        <v>15.081300000000001</v>
      </c>
      <c r="H63" s="14">
        <f>15.0466 * CHOOSE(CONTROL!$C$15, $E$9, 100%, $G$9) + CHOOSE(CONTROL!$C$38, 0.0347, 0)</f>
        <v>15.081300000000001</v>
      </c>
      <c r="I63" s="14">
        <f>15.0482 * CHOOSE(CONTROL!$C$15, $E$9, 100%, $G$9) + CHOOSE(CONTROL!$C$38, 0.0347, 0)</f>
        <v>15.0829</v>
      </c>
      <c r="J63" s="44">
        <f>96.9324</f>
        <v>96.932400000000001</v>
      </c>
    </row>
    <row r="64" spans="1:10" ht="15" x14ac:dyDescent="0.2">
      <c r="A64" s="13">
        <v>42856</v>
      </c>
      <c r="B64" s="14">
        <f>15.0004 * CHOOSE(CONTROL!$C$15, $E$9, 100%, $G$9) + CHOOSE(CONTROL!$C$38, 0.0278, 0)</f>
        <v>15.0282</v>
      </c>
      <c r="C64" s="14">
        <f>14.4967 * CHOOSE(CONTROL!$C$15, $E$9, 100%, $G$9) + CHOOSE(CONTROL!$C$38, 0.0369, 0)</f>
        <v>14.5336</v>
      </c>
      <c r="D64" s="14">
        <f>14.4889 * CHOOSE(CONTROL!$C$15, $E$9, 100%, $G$9) + CHOOSE(CONTROL!$C$38, 0.0369, 0)</f>
        <v>14.525799999999998</v>
      </c>
      <c r="E64" s="46">
        <f>14.8441 * CHOOSE(CONTROL!$C$15, $E$9, 100%, $G$9) + CHOOSE(CONTROL!$C$38, 0.0369, 0)</f>
        <v>14.880999999999998</v>
      </c>
      <c r="F64" s="45">
        <f>14.8441 * CHOOSE(CONTROL!$C$15, $E$9, 100%, $G$9) + CHOOSE(CONTROL!$C$38, 0.0278, 0)</f>
        <v>14.871899999999998</v>
      </c>
      <c r="G64" s="14">
        <f>14.4951 * CHOOSE(CONTROL!$C$15, $E$9, 100%, $G$9) + CHOOSE(CONTROL!$C$38, 0.0369, 0)</f>
        <v>14.532</v>
      </c>
      <c r="H64" s="14">
        <f>14.4951 * CHOOSE(CONTROL!$C$15, $E$9, 100%, $G$9) + CHOOSE(CONTROL!$C$38, 0.0369, 0)</f>
        <v>14.532</v>
      </c>
      <c r="I64" s="14">
        <f>14.4967 * CHOOSE(CONTROL!$C$15, $E$9, 100%, $G$9) + CHOOSE(CONTROL!$C$38, 0.0369, 0)</f>
        <v>14.5336</v>
      </c>
      <c r="J64" s="44">
        <f>100.3916</f>
        <v>100.3916</v>
      </c>
    </row>
    <row r="65" spans="1:10" ht="15" x14ac:dyDescent="0.2">
      <c r="A65" s="13">
        <v>42887</v>
      </c>
      <c r="B65" s="14">
        <f>14.6215 * CHOOSE(CONTROL!$C$15, $E$9, 100%, $G$9) + CHOOSE(CONTROL!$C$38, 0.0278, 0)</f>
        <v>14.649299999999998</v>
      </c>
      <c r="C65" s="14">
        <f>14.1171 * CHOOSE(CONTROL!$C$15, $E$9, 100%, $G$9) + CHOOSE(CONTROL!$C$38, 0.0369, 0)</f>
        <v>14.154</v>
      </c>
      <c r="D65" s="14">
        <f>14.1093 * CHOOSE(CONTROL!$C$15, $E$9, 100%, $G$9) + CHOOSE(CONTROL!$C$38, 0.0369, 0)</f>
        <v>14.146199999999999</v>
      </c>
      <c r="E65" s="46">
        <f>14.4652 * CHOOSE(CONTROL!$C$15, $E$9, 100%, $G$9) + CHOOSE(CONTROL!$C$38, 0.0369, 0)</f>
        <v>14.502099999999999</v>
      </c>
      <c r="F65" s="45">
        <f>14.4652 * CHOOSE(CONTROL!$C$15, $E$9, 100%, $G$9) + CHOOSE(CONTROL!$C$38, 0.0278, 0)</f>
        <v>14.492999999999999</v>
      </c>
      <c r="G65" s="14">
        <f>14.1155 * CHOOSE(CONTROL!$C$15, $E$9, 100%, $G$9) + CHOOSE(CONTROL!$C$38, 0.0369, 0)</f>
        <v>14.1524</v>
      </c>
      <c r="H65" s="14">
        <f>14.1155 * CHOOSE(CONTROL!$C$15, $E$9, 100%, $G$9) + CHOOSE(CONTROL!$C$38, 0.0369, 0)</f>
        <v>14.1524</v>
      </c>
      <c r="I65" s="14">
        <f>14.1171 * CHOOSE(CONTROL!$C$15, $E$9, 100%, $G$9) + CHOOSE(CONTROL!$C$38, 0.0369, 0)</f>
        <v>14.154</v>
      </c>
      <c r="J65" s="44">
        <f>102.0479</f>
        <v>102.0479</v>
      </c>
    </row>
    <row r="66" spans="1:10" ht="15" x14ac:dyDescent="0.2">
      <c r="A66" s="13">
        <v>42917</v>
      </c>
      <c r="B66" s="14">
        <f>14.4167 * CHOOSE(CONTROL!$C$15, $E$9, 100%, $G$9) + CHOOSE(CONTROL!$C$38, 0.0278, 0)</f>
        <v>14.4445</v>
      </c>
      <c r="C66" s="14">
        <f>13.9116 * CHOOSE(CONTROL!$C$15, $E$9, 100%, $G$9) + CHOOSE(CONTROL!$C$38, 0.0369, 0)</f>
        <v>13.948499999999999</v>
      </c>
      <c r="D66" s="14">
        <f>13.9038 * CHOOSE(CONTROL!$C$15, $E$9, 100%, $G$9) + CHOOSE(CONTROL!$C$38, 0.0369, 0)</f>
        <v>13.9407</v>
      </c>
      <c r="E66" s="46">
        <f>14.2604 * CHOOSE(CONTROL!$C$15, $E$9, 100%, $G$9) + CHOOSE(CONTROL!$C$38, 0.0369, 0)</f>
        <v>14.2973</v>
      </c>
      <c r="F66" s="45">
        <f>14.2604 * CHOOSE(CONTROL!$C$15, $E$9, 100%, $G$9) + CHOOSE(CONTROL!$C$38, 0.0278, 0)</f>
        <v>14.2882</v>
      </c>
      <c r="G66" s="14">
        <f>13.91 * CHOOSE(CONTROL!$C$15, $E$9, 100%, $G$9) + CHOOSE(CONTROL!$C$38, 0.0369, 0)</f>
        <v>13.946899999999999</v>
      </c>
      <c r="H66" s="14">
        <f>13.91 * CHOOSE(CONTROL!$C$15, $E$9, 100%, $G$9) + CHOOSE(CONTROL!$C$38, 0.0369, 0)</f>
        <v>13.946899999999999</v>
      </c>
      <c r="I66" s="14">
        <f>13.9116 * CHOOSE(CONTROL!$C$15, $E$9, 100%, $G$9) + CHOOSE(CONTROL!$C$38, 0.0369, 0)</f>
        <v>13.948499999999999</v>
      </c>
      <c r="J66" s="44">
        <f>101.7799</f>
        <v>101.7799</v>
      </c>
    </row>
    <row r="67" spans="1:10" ht="15" x14ac:dyDescent="0.2">
      <c r="A67" s="13">
        <v>42948</v>
      </c>
      <c r="B67" s="14">
        <f>14.5606 * CHOOSE(CONTROL!$C$15, $E$9, 100%, $G$9) + CHOOSE(CONTROL!$C$38, 0.0278, 0)</f>
        <v>14.5884</v>
      </c>
      <c r="C67" s="14">
        <f>14.0548 * CHOOSE(CONTROL!$C$15, $E$9, 100%, $G$9) + CHOOSE(CONTROL!$C$38, 0.0369, 0)</f>
        <v>14.091699999999999</v>
      </c>
      <c r="D67" s="14">
        <f>14.047 * CHOOSE(CONTROL!$C$15, $E$9, 100%, $G$9) + CHOOSE(CONTROL!$C$38, 0.0369, 0)</f>
        <v>14.0839</v>
      </c>
      <c r="E67" s="46">
        <f>14.4044 * CHOOSE(CONTROL!$C$15, $E$9, 100%, $G$9) + CHOOSE(CONTROL!$C$38, 0.0369, 0)</f>
        <v>14.4413</v>
      </c>
      <c r="F67" s="45">
        <f>14.4044 * CHOOSE(CONTROL!$C$15, $E$9, 100%, $G$9) + CHOOSE(CONTROL!$C$38, 0.0278, 0)</f>
        <v>14.4322</v>
      </c>
      <c r="G67" s="14">
        <f>14.0533 * CHOOSE(CONTROL!$C$15, $E$9, 100%, $G$9) + CHOOSE(CONTROL!$C$38, 0.0369, 0)</f>
        <v>14.090199999999999</v>
      </c>
      <c r="H67" s="14">
        <f>14.0533 * CHOOSE(CONTROL!$C$15, $E$9, 100%, $G$9) + CHOOSE(CONTROL!$C$38, 0.0369, 0)</f>
        <v>14.090199999999999</v>
      </c>
      <c r="I67" s="14">
        <f>14.0548 * CHOOSE(CONTROL!$C$15, $E$9, 100%, $G$9) + CHOOSE(CONTROL!$C$38, 0.0369, 0)</f>
        <v>14.091699999999999</v>
      </c>
      <c r="J67" s="44">
        <f>99.6153</f>
        <v>99.615300000000005</v>
      </c>
    </row>
    <row r="68" spans="1:10" ht="15" x14ac:dyDescent="0.2">
      <c r="A68" s="13">
        <v>42979</v>
      </c>
      <c r="B68" s="14">
        <f>14.9038 * CHOOSE(CONTROL!$C$15, $E$9, 100%, $G$9) + CHOOSE(CONTROL!$C$38, 0.0278, 0)</f>
        <v>14.9316</v>
      </c>
      <c r="C68" s="14">
        <f>14.3973 * CHOOSE(CONTROL!$C$15, $E$9, 100%, $G$9) + CHOOSE(CONTROL!$C$38, 0.0369, 0)</f>
        <v>14.434199999999999</v>
      </c>
      <c r="D68" s="14">
        <f>14.3895 * CHOOSE(CONTROL!$C$15, $E$9, 100%, $G$9) + CHOOSE(CONTROL!$C$38, 0.0369, 0)</f>
        <v>14.426399999999999</v>
      </c>
      <c r="E68" s="46">
        <f>14.7476 * CHOOSE(CONTROL!$C$15, $E$9, 100%, $G$9) + CHOOSE(CONTROL!$C$38, 0.0369, 0)</f>
        <v>14.7845</v>
      </c>
      <c r="F68" s="45">
        <f>14.7476 * CHOOSE(CONTROL!$C$15, $E$9, 100%, $G$9) + CHOOSE(CONTROL!$C$38, 0.0278, 0)</f>
        <v>14.775399999999999</v>
      </c>
      <c r="G68" s="14">
        <f>14.3957 * CHOOSE(CONTROL!$C$15, $E$9, 100%, $G$9) + CHOOSE(CONTROL!$C$38, 0.0369, 0)</f>
        <v>14.432599999999999</v>
      </c>
      <c r="H68" s="14">
        <f>14.3957 * CHOOSE(CONTROL!$C$15, $E$9, 100%, $G$9) + CHOOSE(CONTROL!$C$38, 0.0369, 0)</f>
        <v>14.432599999999999</v>
      </c>
      <c r="I68" s="14">
        <f>14.3973 * CHOOSE(CONTROL!$C$15, $E$9, 100%, $G$9) + CHOOSE(CONTROL!$C$38, 0.0369, 0)</f>
        <v>14.434199999999999</v>
      </c>
      <c r="J68" s="44">
        <f>96.5026</f>
        <v>96.502600000000001</v>
      </c>
    </row>
    <row r="69" spans="1:10" ht="15" x14ac:dyDescent="0.2">
      <c r="A69" s="13">
        <v>43009</v>
      </c>
      <c r="B69" s="14">
        <f>15.1972 * CHOOSE(CONTROL!$C$15, $E$9, 100%, $G$9) + CHOOSE(CONTROL!$C$38, 0.0256, 0)</f>
        <v>15.222800000000001</v>
      </c>
      <c r="C69" s="14">
        <f>14.6899 * CHOOSE(CONTROL!$C$15, $E$9, 100%, $G$9) + CHOOSE(CONTROL!$C$38, 0.0347, 0)</f>
        <v>14.724600000000001</v>
      </c>
      <c r="D69" s="14">
        <f>14.6821 * CHOOSE(CONTROL!$C$15, $E$9, 100%, $G$9) + CHOOSE(CONTROL!$C$38, 0.0347, 0)</f>
        <v>14.716800000000001</v>
      </c>
      <c r="E69" s="46">
        <f>15.0409 * CHOOSE(CONTROL!$C$15, $E$9, 100%, $G$9) + CHOOSE(CONTROL!$C$38, 0.0347, 0)</f>
        <v>15.075600000000001</v>
      </c>
      <c r="F69" s="45">
        <f>15.0409 * CHOOSE(CONTROL!$C$15, $E$9, 100%, $G$9) + CHOOSE(CONTROL!$C$38, 0.0256, 0)</f>
        <v>15.066500000000001</v>
      </c>
      <c r="G69" s="14">
        <f>14.6883 * CHOOSE(CONTROL!$C$15, $E$9, 100%, $G$9) + CHOOSE(CONTROL!$C$38, 0.0347, 0)</f>
        <v>14.723000000000001</v>
      </c>
      <c r="H69" s="14">
        <f>14.6883 * CHOOSE(CONTROL!$C$15, $E$9, 100%, $G$9) + CHOOSE(CONTROL!$C$38, 0.0347, 0)</f>
        <v>14.723000000000001</v>
      </c>
      <c r="I69" s="14">
        <f>14.6899 * CHOOSE(CONTROL!$C$15, $E$9, 100%, $G$9) + CHOOSE(CONTROL!$C$38, 0.0347, 0)</f>
        <v>14.724600000000001</v>
      </c>
      <c r="J69" s="44">
        <f>93.3574</f>
        <v>93.357399999999998</v>
      </c>
    </row>
    <row r="70" spans="1:10" ht="15" x14ac:dyDescent="0.2">
      <c r="A70" s="13">
        <v>43040</v>
      </c>
      <c r="B70" s="14">
        <f>15.4479 * CHOOSE(CONTROL!$C$15, $E$9, 100%, $G$9) + CHOOSE(CONTROL!$C$38, 0.0256, 0)</f>
        <v>15.473500000000001</v>
      </c>
      <c r="C70" s="14">
        <f>14.9399 * CHOOSE(CONTROL!$C$15, $E$9, 100%, $G$9) + CHOOSE(CONTROL!$C$38, 0.0347, 0)</f>
        <v>14.974600000000001</v>
      </c>
      <c r="D70" s="14">
        <f>14.9321 * CHOOSE(CONTROL!$C$15, $E$9, 100%, $G$9) + CHOOSE(CONTROL!$C$38, 0.0347, 0)</f>
        <v>14.966800000000001</v>
      </c>
      <c r="E70" s="46">
        <f>15.2916 * CHOOSE(CONTROL!$C$15, $E$9, 100%, $G$9) + CHOOSE(CONTROL!$C$38, 0.0347, 0)</f>
        <v>15.326300000000002</v>
      </c>
      <c r="F70" s="45">
        <f>15.2916 * CHOOSE(CONTROL!$C$15, $E$9, 100%, $G$9) + CHOOSE(CONTROL!$C$38, 0.0256, 0)</f>
        <v>15.317200000000001</v>
      </c>
      <c r="G70" s="14">
        <f>14.9383 * CHOOSE(CONTROL!$C$15, $E$9, 100%, $G$9) + CHOOSE(CONTROL!$C$38, 0.0347, 0)</f>
        <v>14.973000000000001</v>
      </c>
      <c r="H70" s="14">
        <f>14.9383 * CHOOSE(CONTROL!$C$15, $E$9, 100%, $G$9) + CHOOSE(CONTROL!$C$38, 0.0347, 0)</f>
        <v>14.973000000000001</v>
      </c>
      <c r="I70" s="14">
        <f>14.9399 * CHOOSE(CONTROL!$C$15, $E$9, 100%, $G$9) + CHOOSE(CONTROL!$C$38, 0.0347, 0)</f>
        <v>14.974600000000001</v>
      </c>
      <c r="J70" s="44">
        <f>92.8831</f>
        <v>92.883099999999999</v>
      </c>
    </row>
    <row r="71" spans="1:10" ht="15" x14ac:dyDescent="0.2">
      <c r="A71" s="13">
        <v>43070</v>
      </c>
      <c r="B71" s="14">
        <f>16.1598 * CHOOSE(CONTROL!$C$15, $E$9, 100%, $G$9) + CHOOSE(CONTROL!$C$38, 0.0256, 0)</f>
        <v>16.185400000000001</v>
      </c>
      <c r="C71" s="14">
        <f>15.6511 * CHOOSE(CONTROL!$C$15, $E$9, 100%, $G$9) + CHOOSE(CONTROL!$C$38, 0.0347, 0)</f>
        <v>15.6858</v>
      </c>
      <c r="D71" s="14">
        <f>15.6433 * CHOOSE(CONTROL!$C$15, $E$9, 100%, $G$9) + CHOOSE(CONTROL!$C$38, 0.0347, 0)</f>
        <v>15.678000000000001</v>
      </c>
      <c r="E71" s="46">
        <f>16.0035 * CHOOSE(CONTROL!$C$15, $E$9, 100%, $G$9) + CHOOSE(CONTROL!$C$38, 0.0347, 0)</f>
        <v>16.0382</v>
      </c>
      <c r="F71" s="45">
        <f>16.0035 * CHOOSE(CONTROL!$C$15, $E$9, 100%, $G$9) + CHOOSE(CONTROL!$C$38, 0.0256, 0)</f>
        <v>16.0291</v>
      </c>
      <c r="G71" s="14">
        <f>15.6495 * CHOOSE(CONTROL!$C$15, $E$9, 100%, $G$9) + CHOOSE(CONTROL!$C$38, 0.0347, 0)</f>
        <v>15.684200000000001</v>
      </c>
      <c r="H71" s="14">
        <f>15.6495 * CHOOSE(CONTROL!$C$15, $E$9, 100%, $G$9) + CHOOSE(CONTROL!$C$38, 0.0347, 0)</f>
        <v>15.684200000000001</v>
      </c>
      <c r="I71" s="14">
        <f>15.6511 * CHOOSE(CONTROL!$C$15, $E$9, 100%, $G$9) + CHOOSE(CONTROL!$C$38, 0.0347, 0)</f>
        <v>15.6858</v>
      </c>
      <c r="J71" s="44">
        <f>90.3124</f>
        <v>90.312399999999997</v>
      </c>
    </row>
    <row r="72" spans="1:10" ht="15" x14ac:dyDescent="0.2">
      <c r="A72" s="13">
        <v>43101</v>
      </c>
      <c r="B72" s="14">
        <f>18.2277 * CHOOSE(CONTROL!$C$15, $E$9, 100%, $G$9) + CHOOSE(CONTROL!$C$38, 0.0256, 0)</f>
        <v>18.253299999999999</v>
      </c>
      <c r="C72" s="14">
        <f>17.7557 * CHOOSE(CONTROL!$C$15, $E$9, 100%, $G$9) + CHOOSE(CONTROL!$C$38, 0.0347, 0)</f>
        <v>17.790400000000002</v>
      </c>
      <c r="D72" s="14">
        <f>17.7479 * CHOOSE(CONTROL!$C$15, $E$9, 100%, $G$9) + CHOOSE(CONTROL!$C$38, 0.0347, 0)</f>
        <v>17.782600000000002</v>
      </c>
      <c r="E72" s="46">
        <f>18.0715 * CHOOSE(CONTROL!$C$15, $E$9, 100%, $G$9) + CHOOSE(CONTROL!$C$38, 0.0347, 0)</f>
        <v>18.106200000000001</v>
      </c>
      <c r="F72" s="45">
        <f>18.0715 * CHOOSE(CONTROL!$C$15, $E$9, 100%, $G$9) + CHOOSE(CONTROL!$C$38, 0.0256, 0)</f>
        <v>18.097100000000001</v>
      </c>
      <c r="G72" s="14">
        <f>17.7542 * CHOOSE(CONTROL!$C$15, $E$9, 100%, $G$9) + CHOOSE(CONTROL!$C$38, 0.0347, 0)</f>
        <v>17.788900000000002</v>
      </c>
      <c r="H72" s="14">
        <f>17.7542 * CHOOSE(CONTROL!$C$15, $E$9, 100%, $G$9) + CHOOSE(CONTROL!$C$38, 0.0347, 0)</f>
        <v>17.788900000000002</v>
      </c>
      <c r="I72" s="14">
        <f>17.7557 * CHOOSE(CONTROL!$C$15, $E$9, 100%, $G$9) + CHOOSE(CONTROL!$C$38, 0.0347, 0)</f>
        <v>17.790400000000002</v>
      </c>
      <c r="J72" s="44">
        <f>100.9401</f>
        <v>100.9401</v>
      </c>
    </row>
    <row r="73" spans="1:10" ht="15" x14ac:dyDescent="0.2">
      <c r="A73" s="13">
        <v>43132</v>
      </c>
      <c r="B73" s="14">
        <f>18.5174 * CHOOSE(CONTROL!$C$15, $E$9, 100%, $G$9) + CHOOSE(CONTROL!$C$38, 0.0256, 0)</f>
        <v>18.542999999999999</v>
      </c>
      <c r="C73" s="14">
        <f>18.0447 * CHOOSE(CONTROL!$C$15, $E$9, 100%, $G$9) + CHOOSE(CONTROL!$C$38, 0.0347, 0)</f>
        <v>18.0794</v>
      </c>
      <c r="D73" s="14">
        <f>18.0369 * CHOOSE(CONTROL!$C$15, $E$9, 100%, $G$9) + CHOOSE(CONTROL!$C$38, 0.0347, 0)</f>
        <v>18.0716</v>
      </c>
      <c r="E73" s="46">
        <f>18.3612 * CHOOSE(CONTROL!$C$15, $E$9, 100%, $G$9) + CHOOSE(CONTROL!$C$38, 0.0347, 0)</f>
        <v>18.395900000000001</v>
      </c>
      <c r="F73" s="45">
        <f>18.3612 * CHOOSE(CONTROL!$C$15, $E$9, 100%, $G$9) + CHOOSE(CONTROL!$C$38, 0.0256, 0)</f>
        <v>18.386800000000001</v>
      </c>
      <c r="G73" s="14">
        <f>18.0432 * CHOOSE(CONTROL!$C$15, $E$9, 100%, $G$9) + CHOOSE(CONTROL!$C$38, 0.0347, 0)</f>
        <v>18.0779</v>
      </c>
      <c r="H73" s="14">
        <f>18.0432 * CHOOSE(CONTROL!$C$15, $E$9, 100%, $G$9) + CHOOSE(CONTROL!$C$38, 0.0347, 0)</f>
        <v>18.0779</v>
      </c>
      <c r="I73" s="14">
        <f>18.0447 * CHOOSE(CONTROL!$C$15, $E$9, 100%, $G$9) + CHOOSE(CONTROL!$C$38, 0.0347, 0)</f>
        <v>18.0794</v>
      </c>
      <c r="J73" s="44">
        <f>100.8669</f>
        <v>100.8669</v>
      </c>
    </row>
    <row r="74" spans="1:10" ht="15" x14ac:dyDescent="0.2">
      <c r="A74" s="13">
        <v>43160</v>
      </c>
      <c r="B74" s="14">
        <f>17.9665 * CHOOSE(CONTROL!$C$15, $E$9, 100%, $G$9) + CHOOSE(CONTROL!$C$38, 0.0256, 0)</f>
        <v>17.992100000000001</v>
      </c>
      <c r="C74" s="14">
        <f>17.4932 * CHOOSE(CONTROL!$C$15, $E$9, 100%, $G$9) + CHOOSE(CONTROL!$C$38, 0.0347, 0)</f>
        <v>17.527900000000002</v>
      </c>
      <c r="D74" s="14">
        <f>17.4854 * CHOOSE(CONTROL!$C$15, $E$9, 100%, $G$9) + CHOOSE(CONTROL!$C$38, 0.0347, 0)</f>
        <v>17.520099999999999</v>
      </c>
      <c r="E74" s="46">
        <f>17.8103 * CHOOSE(CONTROL!$C$15, $E$9, 100%, $G$9) + CHOOSE(CONTROL!$C$38, 0.0347, 0)</f>
        <v>17.845000000000002</v>
      </c>
      <c r="F74" s="45">
        <f>17.8103 * CHOOSE(CONTROL!$C$15, $E$9, 100%, $G$9) + CHOOSE(CONTROL!$C$38, 0.0256, 0)</f>
        <v>17.835900000000002</v>
      </c>
      <c r="G74" s="14">
        <f>17.4916 * CHOOSE(CONTROL!$C$15, $E$9, 100%, $G$9) + CHOOSE(CONTROL!$C$38, 0.0347, 0)</f>
        <v>17.526299999999999</v>
      </c>
      <c r="H74" s="14">
        <f>17.4916 * CHOOSE(CONTROL!$C$15, $E$9, 100%, $G$9) + CHOOSE(CONTROL!$C$38, 0.0347, 0)</f>
        <v>17.526299999999999</v>
      </c>
      <c r="I74" s="14">
        <f>17.4932 * CHOOSE(CONTROL!$C$15, $E$9, 100%, $G$9) + CHOOSE(CONTROL!$C$38, 0.0347, 0)</f>
        <v>17.527900000000002</v>
      </c>
      <c r="J74" s="44">
        <f>106.4019</f>
        <v>106.4019</v>
      </c>
    </row>
    <row r="75" spans="1:10" ht="15" x14ac:dyDescent="0.2">
      <c r="A75" s="13">
        <v>43191</v>
      </c>
      <c r="B75" s="14">
        <f>17.4315 * CHOOSE(CONTROL!$C$15, $E$9, 100%, $G$9) + CHOOSE(CONTROL!$C$38, 0.0256, 0)</f>
        <v>17.457100000000001</v>
      </c>
      <c r="C75" s="14">
        <f>16.9575 * CHOOSE(CONTROL!$C$15, $E$9, 100%, $G$9) + CHOOSE(CONTROL!$C$38, 0.0347, 0)</f>
        <v>16.9922</v>
      </c>
      <c r="D75" s="14">
        <f>16.9497 * CHOOSE(CONTROL!$C$15, $E$9, 100%, $G$9) + CHOOSE(CONTROL!$C$38, 0.0347, 0)</f>
        <v>16.984400000000001</v>
      </c>
      <c r="E75" s="46">
        <f>17.2753 * CHOOSE(CONTROL!$C$15, $E$9, 100%, $G$9) + CHOOSE(CONTROL!$C$38, 0.0347, 0)</f>
        <v>17.310000000000002</v>
      </c>
      <c r="F75" s="45">
        <f>17.2753 * CHOOSE(CONTROL!$C$15, $E$9, 100%, $G$9) + CHOOSE(CONTROL!$C$38, 0.0256, 0)</f>
        <v>17.300900000000002</v>
      </c>
      <c r="G75" s="14">
        <f>16.956 * CHOOSE(CONTROL!$C$15, $E$9, 100%, $G$9) + CHOOSE(CONTROL!$C$38, 0.0347, 0)</f>
        <v>16.9907</v>
      </c>
      <c r="H75" s="14">
        <f>16.956 * CHOOSE(CONTROL!$C$15, $E$9, 100%, $G$9) + CHOOSE(CONTROL!$C$38, 0.0347, 0)</f>
        <v>16.9907</v>
      </c>
      <c r="I75" s="14">
        <f>16.9575 * CHOOSE(CONTROL!$C$15, $E$9, 100%, $G$9) + CHOOSE(CONTROL!$C$38, 0.0347, 0)</f>
        <v>16.9922</v>
      </c>
      <c r="J75" s="44">
        <f>113.5434</f>
        <v>113.54340000000001</v>
      </c>
    </row>
    <row r="76" spans="1:10" ht="15" x14ac:dyDescent="0.2">
      <c r="A76" s="13">
        <v>43221</v>
      </c>
      <c r="B76" s="14">
        <f>16.8701 * CHOOSE(CONTROL!$C$15, $E$9, 100%, $G$9) + CHOOSE(CONTROL!$C$38, 0.0278, 0)</f>
        <v>16.8979</v>
      </c>
      <c r="C76" s="14">
        <f>16.3954 * CHOOSE(CONTROL!$C$15, $E$9, 100%, $G$9) + CHOOSE(CONTROL!$C$38, 0.0369, 0)</f>
        <v>16.432299999999998</v>
      </c>
      <c r="D76" s="14">
        <f>16.3876 * CHOOSE(CONTROL!$C$15, $E$9, 100%, $G$9) + CHOOSE(CONTROL!$C$38, 0.0369, 0)</f>
        <v>16.424499999999998</v>
      </c>
      <c r="E76" s="46">
        <f>16.7138 * CHOOSE(CONTROL!$C$15, $E$9, 100%, $G$9) + CHOOSE(CONTROL!$C$38, 0.0369, 0)</f>
        <v>16.750699999999998</v>
      </c>
      <c r="F76" s="45">
        <f>16.7138 * CHOOSE(CONTROL!$C$15, $E$9, 100%, $G$9) + CHOOSE(CONTROL!$C$38, 0.0278, 0)</f>
        <v>16.741599999999998</v>
      </c>
      <c r="G76" s="14">
        <f>16.3939 * CHOOSE(CONTROL!$C$15, $E$9, 100%, $G$9) + CHOOSE(CONTROL!$C$38, 0.0369, 0)</f>
        <v>16.430799999999998</v>
      </c>
      <c r="H76" s="14">
        <f>16.3939 * CHOOSE(CONTROL!$C$15, $E$9, 100%, $G$9) + CHOOSE(CONTROL!$C$38, 0.0369, 0)</f>
        <v>16.430799999999998</v>
      </c>
      <c r="I76" s="14">
        <f>16.3954 * CHOOSE(CONTROL!$C$15, $E$9, 100%, $G$9) + CHOOSE(CONTROL!$C$38, 0.0369, 0)</f>
        <v>16.432299999999998</v>
      </c>
      <c r="J76" s="44">
        <f>117.5955</f>
        <v>117.5955</v>
      </c>
    </row>
    <row r="77" spans="1:10" ht="15" x14ac:dyDescent="0.2">
      <c r="A77" s="13">
        <v>43252</v>
      </c>
      <c r="B77" s="14">
        <f>16.4848 * CHOOSE(CONTROL!$C$15, $E$9, 100%, $G$9) + CHOOSE(CONTROL!$C$38, 0.0278, 0)</f>
        <v>16.512599999999999</v>
      </c>
      <c r="C77" s="14">
        <f>16.0095 * CHOOSE(CONTROL!$C$15, $E$9, 100%, $G$9) + CHOOSE(CONTROL!$C$38, 0.0369, 0)</f>
        <v>16.046399999999998</v>
      </c>
      <c r="D77" s="14">
        <f>16.0017 * CHOOSE(CONTROL!$C$15, $E$9, 100%, $G$9) + CHOOSE(CONTROL!$C$38, 0.0369, 0)</f>
        <v>16.038599999999999</v>
      </c>
      <c r="E77" s="46">
        <f>16.3286 * CHOOSE(CONTROL!$C$15, $E$9, 100%, $G$9) + CHOOSE(CONTROL!$C$38, 0.0369, 0)</f>
        <v>16.365500000000001</v>
      </c>
      <c r="F77" s="45">
        <f>16.3286 * CHOOSE(CONTROL!$C$15, $E$9, 100%, $G$9) + CHOOSE(CONTROL!$C$38, 0.0278, 0)</f>
        <v>16.356400000000001</v>
      </c>
      <c r="G77" s="14">
        <f>16.008 * CHOOSE(CONTROL!$C$15, $E$9, 100%, $G$9) + CHOOSE(CONTROL!$C$38, 0.0369, 0)</f>
        <v>16.044899999999998</v>
      </c>
      <c r="H77" s="14">
        <f>16.008 * CHOOSE(CONTROL!$C$15, $E$9, 100%, $G$9) + CHOOSE(CONTROL!$C$38, 0.0369, 0)</f>
        <v>16.044899999999998</v>
      </c>
      <c r="I77" s="14">
        <f>16.0095 * CHOOSE(CONTROL!$C$15, $E$9, 100%, $G$9) + CHOOSE(CONTROL!$C$38, 0.0369, 0)</f>
        <v>16.046399999999998</v>
      </c>
      <c r="J77" s="44">
        <f>119.5356</f>
        <v>119.5356</v>
      </c>
    </row>
    <row r="78" spans="1:10" ht="15" x14ac:dyDescent="0.2">
      <c r="A78" s="13">
        <v>43282</v>
      </c>
      <c r="B78" s="14">
        <f>16.278 * CHOOSE(CONTROL!$C$15, $E$9, 100%, $G$9) + CHOOSE(CONTROL!$C$38, 0.0278, 0)</f>
        <v>16.305799999999998</v>
      </c>
      <c r="C78" s="14">
        <f>15.8021 * CHOOSE(CONTROL!$C$15, $E$9, 100%, $G$9) + CHOOSE(CONTROL!$C$38, 0.0369, 0)</f>
        <v>15.838999999999999</v>
      </c>
      <c r="D78" s="14">
        <f>15.7943 * CHOOSE(CONTROL!$C$15, $E$9, 100%, $G$9) + CHOOSE(CONTROL!$C$38, 0.0369, 0)</f>
        <v>15.831199999999999</v>
      </c>
      <c r="E78" s="46">
        <f>16.1218 * CHOOSE(CONTROL!$C$15, $E$9, 100%, $G$9) + CHOOSE(CONTROL!$C$38, 0.0369, 0)</f>
        <v>16.1587</v>
      </c>
      <c r="F78" s="45">
        <f>16.1218 * CHOOSE(CONTROL!$C$15, $E$9, 100%, $G$9) + CHOOSE(CONTROL!$C$38, 0.0278, 0)</f>
        <v>16.1496</v>
      </c>
      <c r="G78" s="14">
        <f>15.8005 * CHOOSE(CONTROL!$C$15, $E$9, 100%, $G$9) + CHOOSE(CONTROL!$C$38, 0.0369, 0)</f>
        <v>15.837399999999999</v>
      </c>
      <c r="H78" s="14">
        <f>15.8005 * CHOOSE(CONTROL!$C$15, $E$9, 100%, $G$9) + CHOOSE(CONTROL!$C$38, 0.0369, 0)</f>
        <v>15.837399999999999</v>
      </c>
      <c r="I78" s="14">
        <f>15.8021 * CHOOSE(CONTROL!$C$15, $E$9, 100%, $G$9) + CHOOSE(CONTROL!$C$38, 0.0369, 0)</f>
        <v>15.838999999999999</v>
      </c>
      <c r="J78" s="44">
        <f>119.2216</f>
        <v>119.2216</v>
      </c>
    </row>
    <row r="79" spans="1:10" ht="15" x14ac:dyDescent="0.2">
      <c r="A79" s="13">
        <v>43313</v>
      </c>
      <c r="B79" s="14">
        <f>16.4287 * CHOOSE(CONTROL!$C$15, $E$9, 100%, $G$9) + CHOOSE(CONTROL!$C$38, 0.0278, 0)</f>
        <v>16.456499999999998</v>
      </c>
      <c r="C79" s="14">
        <f>15.9521 * CHOOSE(CONTROL!$C$15, $E$9, 100%, $G$9) + CHOOSE(CONTROL!$C$38, 0.0369, 0)</f>
        <v>15.988999999999999</v>
      </c>
      <c r="D79" s="14">
        <f>15.9443 * CHOOSE(CONTROL!$C$15, $E$9, 100%, $G$9) + CHOOSE(CONTROL!$C$38, 0.0369, 0)</f>
        <v>15.981199999999999</v>
      </c>
      <c r="E79" s="46">
        <f>16.2725 * CHOOSE(CONTROL!$C$15, $E$9, 100%, $G$9) + CHOOSE(CONTROL!$C$38, 0.0369, 0)</f>
        <v>16.3094</v>
      </c>
      <c r="F79" s="45">
        <f>16.2725 * CHOOSE(CONTROL!$C$15, $E$9, 100%, $G$9) + CHOOSE(CONTROL!$C$38, 0.0278, 0)</f>
        <v>16.3003</v>
      </c>
      <c r="G79" s="14">
        <f>15.9505 * CHOOSE(CONTROL!$C$15, $E$9, 100%, $G$9) + CHOOSE(CONTROL!$C$38, 0.0369, 0)</f>
        <v>15.987399999999999</v>
      </c>
      <c r="H79" s="14">
        <f>15.9505 * CHOOSE(CONTROL!$C$15, $E$9, 100%, $G$9) + CHOOSE(CONTROL!$C$38, 0.0369, 0)</f>
        <v>15.987399999999999</v>
      </c>
      <c r="I79" s="14">
        <f>15.9521 * CHOOSE(CONTROL!$C$15, $E$9, 100%, $G$9) + CHOOSE(CONTROL!$C$38, 0.0369, 0)</f>
        <v>15.988999999999999</v>
      </c>
      <c r="J79" s="44">
        <f>116.6861</f>
        <v>116.6861</v>
      </c>
    </row>
    <row r="80" spans="1:10" ht="15" x14ac:dyDescent="0.2">
      <c r="A80" s="13">
        <v>43344</v>
      </c>
      <c r="B80" s="14">
        <f>16.7836 * CHOOSE(CONTROL!$C$15, $E$9, 100%, $G$9) + CHOOSE(CONTROL!$C$38, 0.0278, 0)</f>
        <v>16.811399999999999</v>
      </c>
      <c r="C80" s="14">
        <f>16.3063 * CHOOSE(CONTROL!$C$15, $E$9, 100%, $G$9) + CHOOSE(CONTROL!$C$38, 0.0369, 0)</f>
        <v>16.3432</v>
      </c>
      <c r="D80" s="14">
        <f>16.2985 * CHOOSE(CONTROL!$C$15, $E$9, 100%, $G$9) + CHOOSE(CONTROL!$C$38, 0.0369, 0)</f>
        <v>16.3354</v>
      </c>
      <c r="E80" s="46">
        <f>16.6274 * CHOOSE(CONTROL!$C$15, $E$9, 100%, $G$9) + CHOOSE(CONTROL!$C$38, 0.0369, 0)</f>
        <v>16.664300000000001</v>
      </c>
      <c r="F80" s="45">
        <f>16.6274 * CHOOSE(CONTROL!$C$15, $E$9, 100%, $G$9) + CHOOSE(CONTROL!$C$38, 0.0278, 0)</f>
        <v>16.655200000000001</v>
      </c>
      <c r="G80" s="14">
        <f>16.3048 * CHOOSE(CONTROL!$C$15, $E$9, 100%, $G$9) + CHOOSE(CONTROL!$C$38, 0.0369, 0)</f>
        <v>16.341699999999999</v>
      </c>
      <c r="H80" s="14">
        <f>16.3048 * CHOOSE(CONTROL!$C$15, $E$9, 100%, $G$9) + CHOOSE(CONTROL!$C$38, 0.0369, 0)</f>
        <v>16.341699999999999</v>
      </c>
      <c r="I80" s="14">
        <f>16.3063 * CHOOSE(CONTROL!$C$15, $E$9, 100%, $G$9) + CHOOSE(CONTROL!$C$38, 0.0369, 0)</f>
        <v>16.3432</v>
      </c>
      <c r="J80" s="44">
        <f>113.04</f>
        <v>113.04</v>
      </c>
    </row>
    <row r="81" spans="1:10" ht="15" x14ac:dyDescent="0.2">
      <c r="A81" s="13">
        <v>43374</v>
      </c>
      <c r="B81" s="14">
        <f>17.0874 * CHOOSE(CONTROL!$C$15, $E$9, 100%, $G$9) + CHOOSE(CONTROL!$C$38, 0.0256, 0)</f>
        <v>17.113</v>
      </c>
      <c r="C81" s="14">
        <f>16.6095 * CHOOSE(CONTROL!$C$15, $E$9, 100%, $G$9) + CHOOSE(CONTROL!$C$38, 0.0347, 0)</f>
        <v>16.644200000000001</v>
      </c>
      <c r="D81" s="14">
        <f>16.6017 * CHOOSE(CONTROL!$C$15, $E$9, 100%, $G$9) + CHOOSE(CONTROL!$C$38, 0.0347, 0)</f>
        <v>16.636400000000002</v>
      </c>
      <c r="E81" s="46">
        <f>16.9312 * CHOOSE(CONTROL!$C$15, $E$9, 100%, $G$9) + CHOOSE(CONTROL!$C$38, 0.0347, 0)</f>
        <v>16.965900000000001</v>
      </c>
      <c r="F81" s="45">
        <f>16.9312 * CHOOSE(CONTROL!$C$15, $E$9, 100%, $G$9) + CHOOSE(CONTROL!$C$38, 0.0256, 0)</f>
        <v>16.956800000000001</v>
      </c>
      <c r="G81" s="14">
        <f>16.6079 * CHOOSE(CONTROL!$C$15, $E$9, 100%, $G$9) + CHOOSE(CONTROL!$C$38, 0.0347, 0)</f>
        <v>16.642600000000002</v>
      </c>
      <c r="H81" s="14">
        <f>16.6079 * CHOOSE(CONTROL!$C$15, $E$9, 100%, $G$9) + CHOOSE(CONTROL!$C$38, 0.0347, 0)</f>
        <v>16.642600000000002</v>
      </c>
      <c r="I81" s="14">
        <f>16.6095 * CHOOSE(CONTROL!$C$15, $E$9, 100%, $G$9) + CHOOSE(CONTROL!$C$38, 0.0347, 0)</f>
        <v>16.644200000000001</v>
      </c>
      <c r="J81" s="44">
        <f>109.3557</f>
        <v>109.3557</v>
      </c>
    </row>
    <row r="82" spans="1:10" ht="15" x14ac:dyDescent="0.2">
      <c r="A82" s="13">
        <v>43405</v>
      </c>
      <c r="B82" s="14">
        <f>17.3475 * CHOOSE(CONTROL!$C$15, $E$9, 100%, $G$9) + CHOOSE(CONTROL!$C$38, 0.0256, 0)</f>
        <v>17.373100000000001</v>
      </c>
      <c r="C82" s="14">
        <f>16.8689 * CHOOSE(CONTROL!$C$15, $E$9, 100%, $G$9) + CHOOSE(CONTROL!$C$38, 0.0347, 0)</f>
        <v>16.903600000000001</v>
      </c>
      <c r="D82" s="14">
        <f>16.8611 * CHOOSE(CONTROL!$C$15, $E$9, 100%, $G$9) + CHOOSE(CONTROL!$C$38, 0.0347, 0)</f>
        <v>16.895800000000001</v>
      </c>
      <c r="E82" s="46">
        <f>17.1913 * CHOOSE(CONTROL!$C$15, $E$9, 100%, $G$9) + CHOOSE(CONTROL!$C$38, 0.0347, 0)</f>
        <v>17.225999999999999</v>
      </c>
      <c r="F82" s="45">
        <f>17.1913 * CHOOSE(CONTROL!$C$15, $E$9, 100%, $G$9) + CHOOSE(CONTROL!$C$38, 0.0256, 0)</f>
        <v>17.216899999999999</v>
      </c>
      <c r="G82" s="14">
        <f>16.8674 * CHOOSE(CONTROL!$C$15, $E$9, 100%, $G$9) + CHOOSE(CONTROL!$C$38, 0.0347, 0)</f>
        <v>16.902100000000001</v>
      </c>
      <c r="H82" s="14">
        <f>16.8674 * CHOOSE(CONTROL!$C$15, $E$9, 100%, $G$9) + CHOOSE(CONTROL!$C$38, 0.0347, 0)</f>
        <v>16.902100000000001</v>
      </c>
      <c r="I82" s="14">
        <f>16.8689 * CHOOSE(CONTROL!$C$15, $E$9, 100%, $G$9) + CHOOSE(CONTROL!$C$38, 0.0347, 0)</f>
        <v>16.903600000000001</v>
      </c>
      <c r="J82" s="44">
        <f>108.8002</f>
        <v>108.8002</v>
      </c>
    </row>
    <row r="83" spans="1:10" ht="15" x14ac:dyDescent="0.2">
      <c r="A83" s="13">
        <v>43435</v>
      </c>
      <c r="B83" s="14">
        <f>18.0804 * CHOOSE(CONTROL!$C$15, $E$9, 100%, $G$9) + CHOOSE(CONTROL!$C$38, 0.0256, 0)</f>
        <v>18.106000000000002</v>
      </c>
      <c r="C83" s="14">
        <f>17.6011 * CHOOSE(CONTROL!$C$15, $E$9, 100%, $G$9) + CHOOSE(CONTROL!$C$38, 0.0347, 0)</f>
        <v>17.6358</v>
      </c>
      <c r="D83" s="14">
        <f>17.5933 * CHOOSE(CONTROL!$C$15, $E$9, 100%, $G$9) + CHOOSE(CONTROL!$C$38, 0.0347, 0)</f>
        <v>17.628</v>
      </c>
      <c r="E83" s="46">
        <f>17.9241 * CHOOSE(CONTROL!$C$15, $E$9, 100%, $G$9) + CHOOSE(CONTROL!$C$38, 0.0347, 0)</f>
        <v>17.9588</v>
      </c>
      <c r="F83" s="45">
        <f>17.9241 * CHOOSE(CONTROL!$C$15, $E$9, 100%, $G$9) + CHOOSE(CONTROL!$C$38, 0.0256, 0)</f>
        <v>17.9497</v>
      </c>
      <c r="G83" s="14">
        <f>17.5996 * CHOOSE(CONTROL!$C$15, $E$9, 100%, $G$9) + CHOOSE(CONTROL!$C$38, 0.0347, 0)</f>
        <v>17.6343</v>
      </c>
      <c r="H83" s="14">
        <f>17.5996 * CHOOSE(CONTROL!$C$15, $E$9, 100%, $G$9) + CHOOSE(CONTROL!$C$38, 0.0347, 0)</f>
        <v>17.6343</v>
      </c>
      <c r="I83" s="14">
        <f>17.6011 * CHOOSE(CONTROL!$C$15, $E$9, 100%, $G$9) + CHOOSE(CONTROL!$C$38, 0.0347, 0)</f>
        <v>17.6358</v>
      </c>
      <c r="J83" s="44">
        <f>105.789</f>
        <v>105.789</v>
      </c>
    </row>
    <row r="84" spans="1:10" ht="15" x14ac:dyDescent="0.2">
      <c r="A84" s="13">
        <v>43466</v>
      </c>
      <c r="B84" s="14">
        <f>18.7068 * CHOOSE(CONTROL!$C$15, $E$9, 100%, $G$9) + CHOOSE(CONTROL!$C$38, 0.0256, 0)</f>
        <v>18.732400000000002</v>
      </c>
      <c r="C84" s="14">
        <f>18.2023 * CHOOSE(CONTROL!$C$15, $E$9, 100%, $G$9) + CHOOSE(CONTROL!$C$38, 0.0347, 0)</f>
        <v>18.237000000000002</v>
      </c>
      <c r="D84" s="14">
        <f>18.1945 * CHOOSE(CONTROL!$C$15, $E$9, 100%, $G$9) + CHOOSE(CONTROL!$C$38, 0.0347, 0)</f>
        <v>18.229200000000002</v>
      </c>
      <c r="E84" s="46">
        <f>18.5505 * CHOOSE(CONTROL!$C$15, $E$9, 100%, $G$9) + CHOOSE(CONTROL!$C$38, 0.0347, 0)</f>
        <v>18.5852</v>
      </c>
      <c r="F84" s="45">
        <f>18.5505 * CHOOSE(CONTROL!$C$15, $E$9, 100%, $G$9) + CHOOSE(CONTROL!$C$38, 0.0256, 0)</f>
        <v>18.5761</v>
      </c>
      <c r="G84" s="14">
        <f>18.2008 * CHOOSE(CONTROL!$C$15, $E$9, 100%, $G$9) + CHOOSE(CONTROL!$C$38, 0.0347, 0)</f>
        <v>18.235500000000002</v>
      </c>
      <c r="H84" s="14">
        <f>18.2008 * CHOOSE(CONTROL!$C$15, $E$9, 100%, $G$9) + CHOOSE(CONTROL!$C$38, 0.0347, 0)</f>
        <v>18.235500000000002</v>
      </c>
      <c r="I84" s="14">
        <f>18.2023 * CHOOSE(CONTROL!$C$15, $E$9, 100%, $G$9) + CHOOSE(CONTROL!$C$38, 0.0347, 0)</f>
        <v>18.237000000000002</v>
      </c>
      <c r="J84" s="44">
        <f>103.269</f>
        <v>103.26900000000001</v>
      </c>
    </row>
    <row r="85" spans="1:10" ht="15" x14ac:dyDescent="0.2">
      <c r="A85" s="13">
        <v>43497</v>
      </c>
      <c r="B85" s="14">
        <f>19.0038 * CHOOSE(CONTROL!$C$15, $E$9, 100%, $G$9) + CHOOSE(CONTROL!$C$38, 0.0256, 0)</f>
        <v>19.029399999999999</v>
      </c>
      <c r="C85" s="14">
        <f>18.4986 * CHOOSE(CONTROL!$C$15, $E$9, 100%, $G$9) + CHOOSE(CONTROL!$C$38, 0.0347, 0)</f>
        <v>18.533300000000001</v>
      </c>
      <c r="D85" s="14">
        <f>18.4908 * CHOOSE(CONTROL!$C$15, $E$9, 100%, $G$9) + CHOOSE(CONTROL!$C$38, 0.0347, 0)</f>
        <v>18.525500000000001</v>
      </c>
      <c r="E85" s="46">
        <f>18.8475 * CHOOSE(CONTROL!$C$15, $E$9, 100%, $G$9) + CHOOSE(CONTROL!$C$38, 0.0347, 0)</f>
        <v>18.882200000000001</v>
      </c>
      <c r="F85" s="45">
        <f>18.8475 * CHOOSE(CONTROL!$C$15, $E$9, 100%, $G$9) + CHOOSE(CONTROL!$C$38, 0.0256, 0)</f>
        <v>18.873100000000001</v>
      </c>
      <c r="G85" s="14">
        <f>18.497 * CHOOSE(CONTROL!$C$15, $E$9, 100%, $G$9) + CHOOSE(CONTROL!$C$38, 0.0347, 0)</f>
        <v>18.531700000000001</v>
      </c>
      <c r="H85" s="14">
        <f>18.497 * CHOOSE(CONTROL!$C$15, $E$9, 100%, $G$9) + CHOOSE(CONTROL!$C$38, 0.0347, 0)</f>
        <v>18.531700000000001</v>
      </c>
      <c r="I85" s="14">
        <f>18.4986 * CHOOSE(CONTROL!$C$15, $E$9, 100%, $G$9) + CHOOSE(CONTROL!$C$38, 0.0347, 0)</f>
        <v>18.533300000000001</v>
      </c>
      <c r="J85" s="44">
        <f>103.194</f>
        <v>103.194</v>
      </c>
    </row>
    <row r="86" spans="1:10" ht="15" x14ac:dyDescent="0.2">
      <c r="A86" s="13">
        <v>43525</v>
      </c>
      <c r="B86" s="14">
        <f>18.4392 * CHOOSE(CONTROL!$C$15, $E$9, 100%, $G$9) + CHOOSE(CONTROL!$C$38, 0.0256, 0)</f>
        <v>18.4648</v>
      </c>
      <c r="C86" s="14">
        <f>17.9333 * CHOOSE(CONTROL!$C$15, $E$9, 100%, $G$9) + CHOOSE(CONTROL!$C$38, 0.0347, 0)</f>
        <v>17.968</v>
      </c>
      <c r="D86" s="14">
        <f>17.9255 * CHOOSE(CONTROL!$C$15, $E$9, 100%, $G$9) + CHOOSE(CONTROL!$C$38, 0.0347, 0)</f>
        <v>17.9602</v>
      </c>
      <c r="E86" s="46">
        <f>18.2829 * CHOOSE(CONTROL!$C$15, $E$9, 100%, $G$9) + CHOOSE(CONTROL!$C$38, 0.0347, 0)</f>
        <v>18.317600000000002</v>
      </c>
      <c r="F86" s="45">
        <f>18.2829 * CHOOSE(CONTROL!$C$15, $E$9, 100%, $G$9) + CHOOSE(CONTROL!$C$38, 0.0256, 0)</f>
        <v>18.308500000000002</v>
      </c>
      <c r="G86" s="14">
        <f>17.9317 * CHOOSE(CONTROL!$C$15, $E$9, 100%, $G$9) + CHOOSE(CONTROL!$C$38, 0.0347, 0)</f>
        <v>17.9664</v>
      </c>
      <c r="H86" s="14">
        <f>17.9317 * CHOOSE(CONTROL!$C$15, $E$9, 100%, $G$9) + CHOOSE(CONTROL!$C$38, 0.0347, 0)</f>
        <v>17.9664</v>
      </c>
      <c r="I86" s="14">
        <f>17.9333 * CHOOSE(CONTROL!$C$15, $E$9, 100%, $G$9) + CHOOSE(CONTROL!$C$38, 0.0347, 0)</f>
        <v>17.968</v>
      </c>
      <c r="J86" s="44">
        <f>108.8567</f>
        <v>108.8567</v>
      </c>
    </row>
    <row r="87" spans="1:10" ht="15" x14ac:dyDescent="0.2">
      <c r="A87" s="13">
        <v>43556</v>
      </c>
      <c r="B87" s="14">
        <f>17.8909 * CHOOSE(CONTROL!$C$15, $E$9, 100%, $G$9) + CHOOSE(CONTROL!$C$38, 0.0256, 0)</f>
        <v>17.916499999999999</v>
      </c>
      <c r="C87" s="14">
        <f>17.3843 * CHOOSE(CONTROL!$C$15, $E$9, 100%, $G$9) + CHOOSE(CONTROL!$C$38, 0.0347, 0)</f>
        <v>17.419</v>
      </c>
      <c r="D87" s="14">
        <f>17.3765 * CHOOSE(CONTROL!$C$15, $E$9, 100%, $G$9) + CHOOSE(CONTROL!$C$38, 0.0347, 0)</f>
        <v>17.411200000000001</v>
      </c>
      <c r="E87" s="46">
        <f>17.7346 * CHOOSE(CONTROL!$C$15, $E$9, 100%, $G$9) + CHOOSE(CONTROL!$C$38, 0.0347, 0)</f>
        <v>17.769300000000001</v>
      </c>
      <c r="F87" s="45">
        <f>17.7346 * CHOOSE(CONTROL!$C$15, $E$9, 100%, $G$9) + CHOOSE(CONTROL!$C$38, 0.0256, 0)</f>
        <v>17.760200000000001</v>
      </c>
      <c r="G87" s="14">
        <f>17.3827 * CHOOSE(CONTROL!$C$15, $E$9, 100%, $G$9) + CHOOSE(CONTROL!$C$38, 0.0347, 0)</f>
        <v>17.417400000000001</v>
      </c>
      <c r="H87" s="14">
        <f>17.3827 * CHOOSE(CONTROL!$C$15, $E$9, 100%, $G$9) + CHOOSE(CONTROL!$C$38, 0.0347, 0)</f>
        <v>17.417400000000001</v>
      </c>
      <c r="I87" s="14">
        <f>17.3843 * CHOOSE(CONTROL!$C$15, $E$9, 100%, $G$9) + CHOOSE(CONTROL!$C$38, 0.0347, 0)</f>
        <v>17.419</v>
      </c>
      <c r="J87" s="44">
        <f>116.163</f>
        <v>116.163</v>
      </c>
    </row>
    <row r="88" spans="1:10" ht="15" x14ac:dyDescent="0.2">
      <c r="A88" s="13">
        <v>43586</v>
      </c>
      <c r="B88" s="14">
        <f>17.3155 * CHOOSE(CONTROL!$C$15, $E$9, 100%, $G$9) + CHOOSE(CONTROL!$C$38, 0.0278, 0)</f>
        <v>17.343299999999999</v>
      </c>
      <c r="C88" s="14">
        <f>16.8082 * CHOOSE(CONTROL!$C$15, $E$9, 100%, $G$9) + CHOOSE(CONTROL!$C$38, 0.0369, 0)</f>
        <v>16.845099999999999</v>
      </c>
      <c r="D88" s="14">
        <f>16.8004 * CHOOSE(CONTROL!$C$15, $E$9, 100%, $G$9) + CHOOSE(CONTROL!$C$38, 0.0369, 0)</f>
        <v>16.837299999999999</v>
      </c>
      <c r="E88" s="46">
        <f>17.1592 * CHOOSE(CONTROL!$C$15, $E$9, 100%, $G$9) + CHOOSE(CONTROL!$C$38, 0.0369, 0)</f>
        <v>17.196099999999998</v>
      </c>
      <c r="F88" s="45">
        <f>17.1592 * CHOOSE(CONTROL!$C$15, $E$9, 100%, $G$9) + CHOOSE(CONTROL!$C$38, 0.0278, 0)</f>
        <v>17.186999999999998</v>
      </c>
      <c r="G88" s="14">
        <f>16.8066 * CHOOSE(CONTROL!$C$15, $E$9, 100%, $G$9) + CHOOSE(CONTROL!$C$38, 0.0369, 0)</f>
        <v>16.843499999999999</v>
      </c>
      <c r="H88" s="14">
        <f>16.8066 * CHOOSE(CONTROL!$C$15, $E$9, 100%, $G$9) + CHOOSE(CONTROL!$C$38, 0.0369, 0)</f>
        <v>16.843499999999999</v>
      </c>
      <c r="I88" s="14">
        <f>16.8082 * CHOOSE(CONTROL!$C$15, $E$9, 100%, $G$9) + CHOOSE(CONTROL!$C$38, 0.0369, 0)</f>
        <v>16.845099999999999</v>
      </c>
      <c r="J88" s="44">
        <f>120.3085</f>
        <v>120.3085</v>
      </c>
    </row>
    <row r="89" spans="1:10" ht="15" x14ac:dyDescent="0.2">
      <c r="A89" s="13">
        <v>43617</v>
      </c>
      <c r="B89" s="14">
        <f>16.9207 * CHOOSE(CONTROL!$C$15, $E$9, 100%, $G$9) + CHOOSE(CONTROL!$C$38, 0.0278, 0)</f>
        <v>16.948499999999999</v>
      </c>
      <c r="C89" s="14">
        <f>16.4126 * CHOOSE(CONTROL!$C$15, $E$9, 100%, $G$9) + CHOOSE(CONTROL!$C$38, 0.0369, 0)</f>
        <v>16.4495</v>
      </c>
      <c r="D89" s="14">
        <f>16.4048 * CHOOSE(CONTROL!$C$15, $E$9, 100%, $G$9) + CHOOSE(CONTROL!$C$38, 0.0369, 0)</f>
        <v>16.441700000000001</v>
      </c>
      <c r="E89" s="46">
        <f>16.7644 * CHOOSE(CONTROL!$C$15, $E$9, 100%, $G$9) + CHOOSE(CONTROL!$C$38, 0.0369, 0)</f>
        <v>16.801299999999998</v>
      </c>
      <c r="F89" s="45">
        <f>16.7644 * CHOOSE(CONTROL!$C$15, $E$9, 100%, $G$9) + CHOOSE(CONTROL!$C$38, 0.0278, 0)</f>
        <v>16.792199999999998</v>
      </c>
      <c r="G89" s="14">
        <f>16.4111 * CHOOSE(CONTROL!$C$15, $E$9, 100%, $G$9) + CHOOSE(CONTROL!$C$38, 0.0369, 0)</f>
        <v>16.448</v>
      </c>
      <c r="H89" s="14">
        <f>16.4111 * CHOOSE(CONTROL!$C$15, $E$9, 100%, $G$9) + CHOOSE(CONTROL!$C$38, 0.0369, 0)</f>
        <v>16.448</v>
      </c>
      <c r="I89" s="14">
        <f>16.4126 * CHOOSE(CONTROL!$C$15, $E$9, 100%, $G$9) + CHOOSE(CONTROL!$C$38, 0.0369, 0)</f>
        <v>16.4495</v>
      </c>
      <c r="J89" s="44">
        <f>122.2934</f>
        <v>122.29340000000001</v>
      </c>
    </row>
    <row r="90" spans="1:10" ht="15" x14ac:dyDescent="0.2">
      <c r="A90" s="13">
        <v>43647</v>
      </c>
      <c r="B90" s="14">
        <f>16.7088 * CHOOSE(CONTROL!$C$15, $E$9, 100%, $G$9) + CHOOSE(CONTROL!$C$38, 0.0278, 0)</f>
        <v>16.736599999999999</v>
      </c>
      <c r="C90" s="14">
        <f>16.2 * CHOOSE(CONTROL!$C$15, $E$9, 100%, $G$9) + CHOOSE(CONTROL!$C$38, 0.0369, 0)</f>
        <v>16.236899999999999</v>
      </c>
      <c r="D90" s="14">
        <f>16.1922 * CHOOSE(CONTROL!$C$15, $E$9, 100%, $G$9) + CHOOSE(CONTROL!$C$38, 0.0369, 0)</f>
        <v>16.229099999999999</v>
      </c>
      <c r="E90" s="46">
        <f>16.5525 * CHOOSE(CONTROL!$C$15, $E$9, 100%, $G$9) + CHOOSE(CONTROL!$C$38, 0.0369, 0)</f>
        <v>16.589399999999998</v>
      </c>
      <c r="F90" s="45">
        <f>16.5525 * CHOOSE(CONTROL!$C$15, $E$9, 100%, $G$9) + CHOOSE(CONTROL!$C$38, 0.0278, 0)</f>
        <v>16.580299999999998</v>
      </c>
      <c r="G90" s="14">
        <f>16.1985 * CHOOSE(CONTROL!$C$15, $E$9, 100%, $G$9) + CHOOSE(CONTROL!$C$38, 0.0369, 0)</f>
        <v>16.235399999999998</v>
      </c>
      <c r="H90" s="14">
        <f>16.1985 * CHOOSE(CONTROL!$C$15, $E$9, 100%, $G$9) + CHOOSE(CONTROL!$C$38, 0.0369, 0)</f>
        <v>16.235399999999998</v>
      </c>
      <c r="I90" s="14">
        <f>16.2 * CHOOSE(CONTROL!$C$15, $E$9, 100%, $G$9) + CHOOSE(CONTROL!$C$38, 0.0369, 0)</f>
        <v>16.236899999999999</v>
      </c>
      <c r="J90" s="44">
        <f>121.9722</f>
        <v>121.9722</v>
      </c>
    </row>
    <row r="91" spans="1:10" ht="15" x14ac:dyDescent="0.2">
      <c r="A91" s="13">
        <v>43678</v>
      </c>
      <c r="B91" s="14">
        <f>16.8633 * CHOOSE(CONTROL!$C$15, $E$9, 100%, $G$9) + CHOOSE(CONTROL!$C$38, 0.0278, 0)</f>
        <v>16.891099999999998</v>
      </c>
      <c r="C91" s="14">
        <f>16.3538 * CHOOSE(CONTROL!$C$15, $E$9, 100%, $G$9) + CHOOSE(CONTROL!$C$38, 0.0369, 0)</f>
        <v>16.390699999999999</v>
      </c>
      <c r="D91" s="14">
        <f>16.346 * CHOOSE(CONTROL!$C$15, $E$9, 100%, $G$9) + CHOOSE(CONTROL!$C$38, 0.0369, 0)</f>
        <v>16.382899999999999</v>
      </c>
      <c r="E91" s="46">
        <f>16.7071 * CHOOSE(CONTROL!$C$15, $E$9, 100%, $G$9) + CHOOSE(CONTROL!$C$38, 0.0369, 0)</f>
        <v>16.744</v>
      </c>
      <c r="F91" s="45">
        <f>16.7071 * CHOOSE(CONTROL!$C$15, $E$9, 100%, $G$9) + CHOOSE(CONTROL!$C$38, 0.0278, 0)</f>
        <v>16.7349</v>
      </c>
      <c r="G91" s="14">
        <f>16.3523 * CHOOSE(CONTROL!$C$15, $E$9, 100%, $G$9) + CHOOSE(CONTROL!$C$38, 0.0369, 0)</f>
        <v>16.389199999999999</v>
      </c>
      <c r="H91" s="14">
        <f>16.3523 * CHOOSE(CONTROL!$C$15, $E$9, 100%, $G$9) + CHOOSE(CONTROL!$C$38, 0.0369, 0)</f>
        <v>16.389199999999999</v>
      </c>
      <c r="I91" s="14">
        <f>16.3538 * CHOOSE(CONTROL!$C$15, $E$9, 100%, $G$9) + CHOOSE(CONTROL!$C$38, 0.0369, 0)</f>
        <v>16.390699999999999</v>
      </c>
      <c r="J91" s="44">
        <f>119.3781</f>
        <v>119.3781</v>
      </c>
    </row>
    <row r="92" spans="1:10" ht="15" x14ac:dyDescent="0.2">
      <c r="A92" s="13">
        <v>43709</v>
      </c>
      <c r="B92" s="14">
        <f>17.2272 * CHOOSE(CONTROL!$C$15, $E$9, 100%, $G$9) + CHOOSE(CONTROL!$C$38, 0.0278, 0)</f>
        <v>17.254999999999999</v>
      </c>
      <c r="C92" s="14">
        <f>16.7169 * CHOOSE(CONTROL!$C$15, $E$9, 100%, $G$9) + CHOOSE(CONTROL!$C$38, 0.0369, 0)</f>
        <v>16.753799999999998</v>
      </c>
      <c r="D92" s="14">
        <f>16.7091 * CHOOSE(CONTROL!$C$15, $E$9, 100%, $G$9) + CHOOSE(CONTROL!$C$38, 0.0369, 0)</f>
        <v>16.745999999999999</v>
      </c>
      <c r="E92" s="46">
        <f>17.0709 * CHOOSE(CONTROL!$C$15, $E$9, 100%, $G$9) + CHOOSE(CONTROL!$C$38, 0.0369, 0)</f>
        <v>17.107800000000001</v>
      </c>
      <c r="F92" s="45">
        <f>17.0709 * CHOOSE(CONTROL!$C$15, $E$9, 100%, $G$9) + CHOOSE(CONTROL!$C$38, 0.0278, 0)</f>
        <v>17.098700000000001</v>
      </c>
      <c r="G92" s="14">
        <f>16.7154 * CHOOSE(CONTROL!$C$15, $E$9, 100%, $G$9) + CHOOSE(CONTROL!$C$38, 0.0369, 0)</f>
        <v>16.752299999999998</v>
      </c>
      <c r="H92" s="14">
        <f>16.7154 * CHOOSE(CONTROL!$C$15, $E$9, 100%, $G$9) + CHOOSE(CONTROL!$C$38, 0.0369, 0)</f>
        <v>16.752299999999998</v>
      </c>
      <c r="I92" s="14">
        <f>16.7169 * CHOOSE(CONTROL!$C$15, $E$9, 100%, $G$9) + CHOOSE(CONTROL!$C$38, 0.0369, 0)</f>
        <v>16.753799999999998</v>
      </c>
      <c r="J92" s="44">
        <f>115.648</f>
        <v>115.648</v>
      </c>
    </row>
    <row r="93" spans="1:10" ht="15" x14ac:dyDescent="0.2">
      <c r="A93" s="13">
        <v>43739</v>
      </c>
      <c r="B93" s="14">
        <f>17.5387 * CHOOSE(CONTROL!$C$15, $E$9, 100%, $G$9) + CHOOSE(CONTROL!$C$38, 0.0256, 0)</f>
        <v>17.564299999999999</v>
      </c>
      <c r="C93" s="14">
        <f>17.0277 * CHOOSE(CONTROL!$C$15, $E$9, 100%, $G$9) + CHOOSE(CONTROL!$C$38, 0.0347, 0)</f>
        <v>17.0624</v>
      </c>
      <c r="D93" s="14">
        <f>17.0199 * CHOOSE(CONTROL!$C$15, $E$9, 100%, $G$9) + CHOOSE(CONTROL!$C$38, 0.0347, 0)</f>
        <v>17.054600000000001</v>
      </c>
      <c r="E93" s="46">
        <f>17.3824 * CHOOSE(CONTROL!$C$15, $E$9, 100%, $G$9) + CHOOSE(CONTROL!$C$38, 0.0347, 0)</f>
        <v>17.417100000000001</v>
      </c>
      <c r="F93" s="45">
        <f>17.3824 * CHOOSE(CONTROL!$C$15, $E$9, 100%, $G$9) + CHOOSE(CONTROL!$C$38, 0.0256, 0)</f>
        <v>17.408000000000001</v>
      </c>
      <c r="G93" s="14">
        <f>17.0261 * CHOOSE(CONTROL!$C$15, $E$9, 100%, $G$9) + CHOOSE(CONTROL!$C$38, 0.0347, 0)</f>
        <v>17.0608</v>
      </c>
      <c r="H93" s="14">
        <f>17.0261 * CHOOSE(CONTROL!$C$15, $E$9, 100%, $G$9) + CHOOSE(CONTROL!$C$38, 0.0347, 0)</f>
        <v>17.0608</v>
      </c>
      <c r="I93" s="14">
        <f>17.0277 * CHOOSE(CONTROL!$C$15, $E$9, 100%, $G$9) + CHOOSE(CONTROL!$C$38, 0.0347, 0)</f>
        <v>17.0624</v>
      </c>
      <c r="J93" s="44">
        <f>111.8787</f>
        <v>111.87869999999999</v>
      </c>
    </row>
    <row r="94" spans="1:10" ht="15" x14ac:dyDescent="0.2">
      <c r="A94" s="13">
        <v>43770</v>
      </c>
      <c r="B94" s="14">
        <f>17.8054 * CHOOSE(CONTROL!$C$15, $E$9, 100%, $G$9) + CHOOSE(CONTROL!$C$38, 0.0256, 0)</f>
        <v>17.831</v>
      </c>
      <c r="C94" s="14">
        <f>17.2937 * CHOOSE(CONTROL!$C$15, $E$9, 100%, $G$9) + CHOOSE(CONTROL!$C$38, 0.0347, 0)</f>
        <v>17.328400000000002</v>
      </c>
      <c r="D94" s="14">
        <f>17.2859 * CHOOSE(CONTROL!$C$15, $E$9, 100%, $G$9) + CHOOSE(CONTROL!$C$38, 0.0347, 0)</f>
        <v>17.320600000000002</v>
      </c>
      <c r="E94" s="46">
        <f>17.6491 * CHOOSE(CONTROL!$C$15, $E$9, 100%, $G$9) + CHOOSE(CONTROL!$C$38, 0.0347, 0)</f>
        <v>17.683800000000002</v>
      </c>
      <c r="F94" s="45">
        <f>17.6491 * CHOOSE(CONTROL!$C$15, $E$9, 100%, $G$9) + CHOOSE(CONTROL!$C$38, 0.0256, 0)</f>
        <v>17.674700000000001</v>
      </c>
      <c r="G94" s="14">
        <f>17.2921 * CHOOSE(CONTROL!$C$15, $E$9, 100%, $G$9) + CHOOSE(CONTROL!$C$38, 0.0347, 0)</f>
        <v>17.326800000000002</v>
      </c>
      <c r="H94" s="14">
        <f>17.2921 * CHOOSE(CONTROL!$C$15, $E$9, 100%, $G$9) + CHOOSE(CONTROL!$C$38, 0.0347, 0)</f>
        <v>17.326800000000002</v>
      </c>
      <c r="I94" s="14">
        <f>17.2937 * CHOOSE(CONTROL!$C$15, $E$9, 100%, $G$9) + CHOOSE(CONTROL!$C$38, 0.0347, 0)</f>
        <v>17.328400000000002</v>
      </c>
      <c r="J94" s="44">
        <f>111.3104</f>
        <v>111.3104</v>
      </c>
    </row>
    <row r="95" spans="1:10" ht="15" x14ac:dyDescent="0.2">
      <c r="A95" s="13">
        <v>43800</v>
      </c>
      <c r="B95" s="14">
        <f>18.5566 * CHOOSE(CONTROL!$C$15, $E$9, 100%, $G$9) + CHOOSE(CONTROL!$C$38, 0.0256, 0)</f>
        <v>18.5822</v>
      </c>
      <c r="C95" s="14">
        <f>18.0442 * CHOOSE(CONTROL!$C$15, $E$9, 100%, $G$9) + CHOOSE(CONTROL!$C$38, 0.0347, 0)</f>
        <v>18.078900000000001</v>
      </c>
      <c r="D95" s="14">
        <f>18.0364 * CHOOSE(CONTROL!$C$15, $E$9, 100%, $G$9) + CHOOSE(CONTROL!$C$38, 0.0347, 0)</f>
        <v>18.071100000000001</v>
      </c>
      <c r="E95" s="46">
        <f>18.4004 * CHOOSE(CONTROL!$C$15, $E$9, 100%, $G$9) + CHOOSE(CONTROL!$C$38, 0.0347, 0)</f>
        <v>18.435100000000002</v>
      </c>
      <c r="F95" s="45">
        <f>18.4004 * CHOOSE(CONTROL!$C$15, $E$9, 100%, $G$9) + CHOOSE(CONTROL!$C$38, 0.0256, 0)</f>
        <v>18.426000000000002</v>
      </c>
      <c r="G95" s="14">
        <f>18.0426 * CHOOSE(CONTROL!$C$15, $E$9, 100%, $G$9) + CHOOSE(CONTROL!$C$38, 0.0347, 0)</f>
        <v>18.077300000000001</v>
      </c>
      <c r="H95" s="14">
        <f>18.0426 * CHOOSE(CONTROL!$C$15, $E$9, 100%, $G$9) + CHOOSE(CONTROL!$C$38, 0.0347, 0)</f>
        <v>18.077300000000001</v>
      </c>
      <c r="I95" s="14">
        <f>18.0442 * CHOOSE(CONTROL!$C$15, $E$9, 100%, $G$9) + CHOOSE(CONTROL!$C$38, 0.0347, 0)</f>
        <v>18.078900000000001</v>
      </c>
      <c r="J95" s="44">
        <f>108.2297</f>
        <v>108.22969999999999</v>
      </c>
    </row>
    <row r="96" spans="1:10" ht="15" x14ac:dyDescent="0.2">
      <c r="A96" s="13">
        <v>43831</v>
      </c>
      <c r="B96" s="14">
        <f>19.3044 * CHOOSE(CONTROL!$C$15, $E$9, 100%, $G$9) + CHOOSE(CONTROL!$C$38, 0.0256, 0)</f>
        <v>19.330000000000002</v>
      </c>
      <c r="C96" s="14">
        <f>18.6484 * CHOOSE(CONTROL!$C$15, $E$9, 100%, $G$9) + CHOOSE(CONTROL!$C$38, 0.0347, 0)</f>
        <v>18.6831</v>
      </c>
      <c r="D96" s="14">
        <f>18.6405 * CHOOSE(CONTROL!$C$15, $E$9, 100%, $G$9) + CHOOSE(CONTROL!$C$38, 0.0347, 0)</f>
        <v>18.6752</v>
      </c>
      <c r="E96" s="46">
        <f>19.1481 * CHOOSE(CONTROL!$C$15, $E$9, 100%, $G$9) + CHOOSE(CONTROL!$C$38, 0.0347, 0)</f>
        <v>19.1828</v>
      </c>
      <c r="F96" s="45">
        <f>19.1481 * CHOOSE(CONTROL!$C$15, $E$9, 100%, $G$9) + CHOOSE(CONTROL!$C$38, 0.0256, 0)</f>
        <v>19.1737</v>
      </c>
      <c r="G96" s="14">
        <f>18.6468 * CHOOSE(CONTROL!$C$15, $E$9, 100%, $G$9) + CHOOSE(CONTROL!$C$38, 0.0347, 0)</f>
        <v>18.6815</v>
      </c>
      <c r="H96" s="14">
        <f>18.6468 * CHOOSE(CONTROL!$C$15, $E$9, 100%, $G$9) + CHOOSE(CONTROL!$C$38, 0.0347, 0)</f>
        <v>18.6815</v>
      </c>
      <c r="I96" s="14">
        <f>18.6484 * CHOOSE(CONTROL!$C$15, $E$9, 100%, $G$9) + CHOOSE(CONTROL!$C$38, 0.0347, 0)</f>
        <v>18.6831</v>
      </c>
      <c r="J96" s="44">
        <f>105.5959</f>
        <v>105.5959</v>
      </c>
    </row>
    <row r="97" spans="1:10" ht="15" x14ac:dyDescent="0.2">
      <c r="A97" s="13">
        <v>43862</v>
      </c>
      <c r="B97" s="14">
        <f>19.6091 * CHOOSE(CONTROL!$C$15, $E$9, 100%, $G$9) + CHOOSE(CONTROL!$C$38, 0.0256, 0)</f>
        <v>19.634700000000002</v>
      </c>
      <c r="C97" s="14">
        <f>18.952 * CHOOSE(CONTROL!$C$15, $E$9, 100%, $G$9) + CHOOSE(CONTROL!$C$38, 0.0347, 0)</f>
        <v>18.986700000000003</v>
      </c>
      <c r="D97" s="14">
        <f>18.9442 * CHOOSE(CONTROL!$C$15, $E$9, 100%, $G$9) + CHOOSE(CONTROL!$C$38, 0.0347, 0)</f>
        <v>18.978899999999999</v>
      </c>
      <c r="E97" s="46">
        <f>19.4529 * CHOOSE(CONTROL!$C$15, $E$9, 100%, $G$9) + CHOOSE(CONTROL!$C$38, 0.0347, 0)</f>
        <v>19.4876</v>
      </c>
      <c r="F97" s="45">
        <f>19.4529 * CHOOSE(CONTROL!$C$15, $E$9, 100%, $G$9) + CHOOSE(CONTROL!$C$38, 0.0256, 0)</f>
        <v>19.4785</v>
      </c>
      <c r="G97" s="14">
        <f>18.9505 * CHOOSE(CONTROL!$C$15, $E$9, 100%, $G$9) + CHOOSE(CONTROL!$C$38, 0.0347, 0)</f>
        <v>18.985200000000003</v>
      </c>
      <c r="H97" s="14">
        <f>18.9505 * CHOOSE(CONTROL!$C$15, $E$9, 100%, $G$9) + CHOOSE(CONTROL!$C$38, 0.0347, 0)</f>
        <v>18.985200000000003</v>
      </c>
      <c r="I97" s="14">
        <f>18.952 * CHOOSE(CONTROL!$C$15, $E$9, 100%, $G$9) + CHOOSE(CONTROL!$C$38, 0.0347, 0)</f>
        <v>18.986700000000003</v>
      </c>
      <c r="J97" s="44">
        <f>105.5193</f>
        <v>105.5193</v>
      </c>
    </row>
    <row r="98" spans="1:10" ht="15" x14ac:dyDescent="0.2">
      <c r="A98" s="13">
        <v>43891</v>
      </c>
      <c r="B98" s="14">
        <f>19.0307 * CHOOSE(CONTROL!$C$15, $E$9, 100%, $G$9) + CHOOSE(CONTROL!$C$38, 0.0256, 0)</f>
        <v>19.0563</v>
      </c>
      <c r="C98" s="14">
        <f>18.3726 * CHOOSE(CONTROL!$C$15, $E$9, 100%, $G$9) + CHOOSE(CONTROL!$C$38, 0.0347, 0)</f>
        <v>18.407299999999999</v>
      </c>
      <c r="D98" s="14">
        <f>18.3648 * CHOOSE(CONTROL!$C$15, $E$9, 100%, $G$9) + CHOOSE(CONTROL!$C$38, 0.0347, 0)</f>
        <v>18.3995</v>
      </c>
      <c r="E98" s="46">
        <f>18.8744 * CHOOSE(CONTROL!$C$15, $E$9, 100%, $G$9) + CHOOSE(CONTROL!$C$38, 0.0347, 0)</f>
        <v>18.909100000000002</v>
      </c>
      <c r="F98" s="45">
        <f>18.8744 * CHOOSE(CONTROL!$C$15, $E$9, 100%, $G$9) + CHOOSE(CONTROL!$C$38, 0.0256, 0)</f>
        <v>18.900000000000002</v>
      </c>
      <c r="G98" s="14">
        <f>18.371 * CHOOSE(CONTROL!$C$15, $E$9, 100%, $G$9) + CHOOSE(CONTROL!$C$38, 0.0347, 0)</f>
        <v>18.4057</v>
      </c>
      <c r="H98" s="14">
        <f>18.371 * CHOOSE(CONTROL!$C$15, $E$9, 100%, $G$9) + CHOOSE(CONTROL!$C$38, 0.0347, 0)</f>
        <v>18.4057</v>
      </c>
      <c r="I98" s="14">
        <f>18.3726 * CHOOSE(CONTROL!$C$15, $E$9, 100%, $G$9) + CHOOSE(CONTROL!$C$38, 0.0347, 0)</f>
        <v>18.407299999999999</v>
      </c>
      <c r="J98" s="44">
        <f>111.3096</f>
        <v>111.3096</v>
      </c>
    </row>
    <row r="99" spans="1:10" ht="15" x14ac:dyDescent="0.2">
      <c r="A99" s="13">
        <v>43922</v>
      </c>
      <c r="B99" s="14">
        <f>18.469 * CHOOSE(CONTROL!$C$15, $E$9, 100%, $G$9) + CHOOSE(CONTROL!$C$38, 0.0256, 0)</f>
        <v>18.494600000000002</v>
      </c>
      <c r="C99" s="14">
        <f>17.8099 * CHOOSE(CONTROL!$C$15, $E$9, 100%, $G$9) + CHOOSE(CONTROL!$C$38, 0.0347, 0)</f>
        <v>17.8446</v>
      </c>
      <c r="D99" s="14">
        <f>17.8021 * CHOOSE(CONTROL!$C$15, $E$9, 100%, $G$9) + CHOOSE(CONTROL!$C$38, 0.0347, 0)</f>
        <v>17.8368</v>
      </c>
      <c r="E99" s="46">
        <f>18.3128 * CHOOSE(CONTROL!$C$15, $E$9, 100%, $G$9) + CHOOSE(CONTROL!$C$38, 0.0347, 0)</f>
        <v>18.3475</v>
      </c>
      <c r="F99" s="45">
        <f>18.3128 * CHOOSE(CONTROL!$C$15, $E$9, 100%, $G$9) + CHOOSE(CONTROL!$C$38, 0.0256, 0)</f>
        <v>18.3384</v>
      </c>
      <c r="G99" s="14">
        <f>17.8083 * CHOOSE(CONTROL!$C$15, $E$9, 100%, $G$9) + CHOOSE(CONTROL!$C$38, 0.0347, 0)</f>
        <v>17.843</v>
      </c>
      <c r="H99" s="14">
        <f>17.8083 * CHOOSE(CONTROL!$C$15, $E$9, 100%, $G$9) + CHOOSE(CONTROL!$C$38, 0.0347, 0)</f>
        <v>17.843</v>
      </c>
      <c r="I99" s="14">
        <f>17.8099 * CHOOSE(CONTROL!$C$15, $E$9, 100%, $G$9) + CHOOSE(CONTROL!$C$38, 0.0347, 0)</f>
        <v>17.8446</v>
      </c>
      <c r="J99" s="44">
        <f>118.7805</f>
        <v>118.7805</v>
      </c>
    </row>
    <row r="100" spans="1:10" ht="15" x14ac:dyDescent="0.2">
      <c r="A100" s="13">
        <v>43952</v>
      </c>
      <c r="B100" s="14">
        <f>17.8795 * CHOOSE(CONTROL!$C$15, $E$9, 100%, $G$9) + CHOOSE(CONTROL!$C$38, 0.0278, 0)</f>
        <v>17.907299999999999</v>
      </c>
      <c r="C100" s="14">
        <f>17.2194 * CHOOSE(CONTROL!$C$15, $E$9, 100%, $G$9) + CHOOSE(CONTROL!$C$38, 0.0369, 0)</f>
        <v>17.2563</v>
      </c>
      <c r="D100" s="14">
        <f>17.2115 * CHOOSE(CONTROL!$C$15, $E$9, 100%, $G$9) + CHOOSE(CONTROL!$C$38, 0.0369, 0)</f>
        <v>17.2484</v>
      </c>
      <c r="E100" s="46">
        <f>17.7233 * CHOOSE(CONTROL!$C$15, $E$9, 100%, $G$9) + CHOOSE(CONTROL!$C$38, 0.0369, 0)</f>
        <v>17.760199999999998</v>
      </c>
      <c r="F100" s="45">
        <f>17.7233 * CHOOSE(CONTROL!$C$15, $E$9, 100%, $G$9) + CHOOSE(CONTROL!$C$38, 0.0278, 0)</f>
        <v>17.751099999999997</v>
      </c>
      <c r="G100" s="14">
        <f>17.2178 * CHOOSE(CONTROL!$C$15, $E$9, 100%, $G$9) + CHOOSE(CONTROL!$C$38, 0.0369, 0)</f>
        <v>17.2547</v>
      </c>
      <c r="H100" s="14">
        <f>17.2178 * CHOOSE(CONTROL!$C$15, $E$9, 100%, $G$9) + CHOOSE(CONTROL!$C$38, 0.0369, 0)</f>
        <v>17.2547</v>
      </c>
      <c r="I100" s="14">
        <f>17.2194 * CHOOSE(CONTROL!$C$15, $E$9, 100%, $G$9) + CHOOSE(CONTROL!$C$38, 0.0369, 0)</f>
        <v>17.2563</v>
      </c>
      <c r="J100" s="44">
        <f>123.0194</f>
        <v>123.0194</v>
      </c>
    </row>
    <row r="101" spans="1:10" ht="15" x14ac:dyDescent="0.2">
      <c r="A101" s="13">
        <v>43983</v>
      </c>
      <c r="B101" s="14">
        <f>17.4751 * CHOOSE(CONTROL!$C$15, $E$9, 100%, $G$9) + CHOOSE(CONTROL!$C$38, 0.0278, 0)</f>
        <v>17.5029</v>
      </c>
      <c r="C101" s="14">
        <f>16.8139 * CHOOSE(CONTROL!$C$15, $E$9, 100%, $G$9) + CHOOSE(CONTROL!$C$38, 0.0369, 0)</f>
        <v>16.8508</v>
      </c>
      <c r="D101" s="14">
        <f>16.8061 * CHOOSE(CONTROL!$C$15, $E$9, 100%, $G$9) + CHOOSE(CONTROL!$C$38, 0.0369, 0)</f>
        <v>16.843</v>
      </c>
      <c r="E101" s="46">
        <f>17.3189 * CHOOSE(CONTROL!$C$15, $E$9, 100%, $G$9) + CHOOSE(CONTROL!$C$38, 0.0369, 0)</f>
        <v>17.355799999999999</v>
      </c>
      <c r="F101" s="45">
        <f>17.3189 * CHOOSE(CONTROL!$C$15, $E$9, 100%, $G$9) + CHOOSE(CONTROL!$C$38, 0.0278, 0)</f>
        <v>17.346699999999998</v>
      </c>
      <c r="G101" s="14">
        <f>16.8124 * CHOOSE(CONTROL!$C$15, $E$9, 100%, $G$9) + CHOOSE(CONTROL!$C$38, 0.0369, 0)</f>
        <v>16.849299999999999</v>
      </c>
      <c r="H101" s="14">
        <f>16.8124 * CHOOSE(CONTROL!$C$15, $E$9, 100%, $G$9) + CHOOSE(CONTROL!$C$38, 0.0369, 0)</f>
        <v>16.849299999999999</v>
      </c>
      <c r="I101" s="14">
        <f>16.8139 * CHOOSE(CONTROL!$C$15, $E$9, 100%, $G$9) + CHOOSE(CONTROL!$C$38, 0.0369, 0)</f>
        <v>16.8508</v>
      </c>
      <c r="J101" s="44">
        <f>125.049</f>
        <v>125.04900000000001</v>
      </c>
    </row>
    <row r="102" spans="1:10" ht="15" x14ac:dyDescent="0.2">
      <c r="A102" s="13">
        <v>44013</v>
      </c>
      <c r="B102" s="14">
        <f>17.2583 * CHOOSE(CONTROL!$C$15, $E$9, 100%, $G$9) + CHOOSE(CONTROL!$C$38, 0.0278, 0)</f>
        <v>17.286099999999998</v>
      </c>
      <c r="C102" s="14">
        <f>16.596 * CHOOSE(CONTROL!$C$15, $E$9, 100%, $G$9) + CHOOSE(CONTROL!$C$38, 0.0369, 0)</f>
        <v>16.632899999999999</v>
      </c>
      <c r="D102" s="14">
        <f>16.5882 * CHOOSE(CONTROL!$C$15, $E$9, 100%, $G$9) + CHOOSE(CONTROL!$C$38, 0.0369, 0)</f>
        <v>16.6251</v>
      </c>
      <c r="E102" s="46">
        <f>17.102 * CHOOSE(CONTROL!$C$15, $E$9, 100%, $G$9) + CHOOSE(CONTROL!$C$38, 0.0369, 0)</f>
        <v>17.1389</v>
      </c>
      <c r="F102" s="45">
        <f>17.102 * CHOOSE(CONTROL!$C$15, $E$9, 100%, $G$9) + CHOOSE(CONTROL!$C$38, 0.0278, 0)</f>
        <v>17.129799999999999</v>
      </c>
      <c r="G102" s="14">
        <f>16.5945 * CHOOSE(CONTROL!$C$15, $E$9, 100%, $G$9) + CHOOSE(CONTROL!$C$38, 0.0369, 0)</f>
        <v>16.631399999999999</v>
      </c>
      <c r="H102" s="14">
        <f>16.5945 * CHOOSE(CONTROL!$C$15, $E$9, 100%, $G$9) + CHOOSE(CONTROL!$C$38, 0.0369, 0)</f>
        <v>16.631399999999999</v>
      </c>
      <c r="I102" s="14">
        <f>16.596 * CHOOSE(CONTROL!$C$15, $E$9, 100%, $G$9) + CHOOSE(CONTROL!$C$38, 0.0369, 0)</f>
        <v>16.632899999999999</v>
      </c>
      <c r="J102" s="44">
        <f>124.7206</f>
        <v>124.7206</v>
      </c>
    </row>
    <row r="103" spans="1:10" ht="15" x14ac:dyDescent="0.2">
      <c r="A103" s="13">
        <v>44044</v>
      </c>
      <c r="B103" s="14">
        <f>17.417 * CHOOSE(CONTROL!$C$15, $E$9, 100%, $G$9) + CHOOSE(CONTROL!$C$38, 0.0278, 0)</f>
        <v>17.444800000000001</v>
      </c>
      <c r="C103" s="14">
        <f>16.7537 * CHOOSE(CONTROL!$C$15, $E$9, 100%, $G$9) + CHOOSE(CONTROL!$C$38, 0.0369, 0)</f>
        <v>16.790599999999998</v>
      </c>
      <c r="D103" s="14">
        <f>16.7459 * CHOOSE(CONTROL!$C$15, $E$9, 100%, $G$9) + CHOOSE(CONTROL!$C$38, 0.0369, 0)</f>
        <v>16.782799999999998</v>
      </c>
      <c r="E103" s="46">
        <f>17.2607 * CHOOSE(CONTROL!$C$15, $E$9, 100%, $G$9) + CHOOSE(CONTROL!$C$38, 0.0369, 0)</f>
        <v>17.297599999999999</v>
      </c>
      <c r="F103" s="45">
        <f>17.2607 * CHOOSE(CONTROL!$C$15, $E$9, 100%, $G$9) + CHOOSE(CONTROL!$C$38, 0.0278, 0)</f>
        <v>17.288499999999999</v>
      </c>
      <c r="G103" s="14">
        <f>16.7521 * CHOOSE(CONTROL!$C$15, $E$9, 100%, $G$9) + CHOOSE(CONTROL!$C$38, 0.0369, 0)</f>
        <v>16.788999999999998</v>
      </c>
      <c r="H103" s="14">
        <f>16.7521 * CHOOSE(CONTROL!$C$15, $E$9, 100%, $G$9) + CHOOSE(CONTROL!$C$38, 0.0369, 0)</f>
        <v>16.788999999999998</v>
      </c>
      <c r="I103" s="14">
        <f>16.7537 * CHOOSE(CONTROL!$C$15, $E$9, 100%, $G$9) + CHOOSE(CONTROL!$C$38, 0.0369, 0)</f>
        <v>16.790599999999998</v>
      </c>
      <c r="J103" s="44">
        <f>122.0681</f>
        <v>122.0681</v>
      </c>
    </row>
    <row r="104" spans="1:10" ht="15" x14ac:dyDescent="0.2">
      <c r="A104" s="13">
        <v>44075</v>
      </c>
      <c r="B104" s="14">
        <f>17.7902 * CHOOSE(CONTROL!$C$15, $E$9, 100%, $G$9) + CHOOSE(CONTROL!$C$38, 0.0278, 0)</f>
        <v>17.817999999999998</v>
      </c>
      <c r="C104" s="14">
        <f>17.1259 * CHOOSE(CONTROL!$C$15, $E$9, 100%, $G$9) + CHOOSE(CONTROL!$C$38, 0.0369, 0)</f>
        <v>17.162800000000001</v>
      </c>
      <c r="D104" s="14">
        <f>17.1181 * CHOOSE(CONTROL!$C$15, $E$9, 100%, $G$9) + CHOOSE(CONTROL!$C$38, 0.0369, 0)</f>
        <v>17.154999999999998</v>
      </c>
      <c r="E104" s="46">
        <f>17.634 * CHOOSE(CONTROL!$C$15, $E$9, 100%, $G$9) + CHOOSE(CONTROL!$C$38, 0.0369, 0)</f>
        <v>17.6709</v>
      </c>
      <c r="F104" s="45">
        <f>17.634 * CHOOSE(CONTROL!$C$15, $E$9, 100%, $G$9) + CHOOSE(CONTROL!$C$38, 0.0278, 0)</f>
        <v>17.661799999999999</v>
      </c>
      <c r="G104" s="14">
        <f>17.1243 * CHOOSE(CONTROL!$C$15, $E$9, 100%, $G$9) + CHOOSE(CONTROL!$C$38, 0.0369, 0)</f>
        <v>17.161200000000001</v>
      </c>
      <c r="H104" s="14">
        <f>17.1243 * CHOOSE(CONTROL!$C$15, $E$9, 100%, $G$9) + CHOOSE(CONTROL!$C$38, 0.0369, 0)</f>
        <v>17.161200000000001</v>
      </c>
      <c r="I104" s="14">
        <f>17.1259 * CHOOSE(CONTROL!$C$15, $E$9, 100%, $G$9) + CHOOSE(CONTROL!$C$38, 0.0369, 0)</f>
        <v>17.162800000000001</v>
      </c>
      <c r="J104" s="44">
        <f>118.2538</f>
        <v>118.2538</v>
      </c>
    </row>
    <row r="105" spans="1:10" ht="15" x14ac:dyDescent="0.2">
      <c r="A105" s="13">
        <v>44105</v>
      </c>
      <c r="B105" s="14">
        <f>18.1098 * CHOOSE(CONTROL!$C$15, $E$9, 100%, $G$9) + CHOOSE(CONTROL!$C$38, 0.0256, 0)</f>
        <v>18.135400000000001</v>
      </c>
      <c r="C105" s="14">
        <f>17.4444 * CHOOSE(CONTROL!$C$15, $E$9, 100%, $G$9) + CHOOSE(CONTROL!$C$38, 0.0347, 0)</f>
        <v>17.479100000000003</v>
      </c>
      <c r="D105" s="14">
        <f>17.4366 * CHOOSE(CONTROL!$C$15, $E$9, 100%, $G$9) + CHOOSE(CONTROL!$C$38, 0.0347, 0)</f>
        <v>17.471299999999999</v>
      </c>
      <c r="E105" s="46">
        <f>17.9535 * CHOOSE(CONTROL!$C$15, $E$9, 100%, $G$9) + CHOOSE(CONTROL!$C$38, 0.0347, 0)</f>
        <v>17.988199999999999</v>
      </c>
      <c r="F105" s="45">
        <f>17.9535 * CHOOSE(CONTROL!$C$15, $E$9, 100%, $G$9) + CHOOSE(CONTROL!$C$38, 0.0256, 0)</f>
        <v>17.979099999999999</v>
      </c>
      <c r="G105" s="14">
        <f>17.4429 * CHOOSE(CONTROL!$C$15, $E$9, 100%, $G$9) + CHOOSE(CONTROL!$C$38, 0.0347, 0)</f>
        <v>17.477600000000002</v>
      </c>
      <c r="H105" s="14">
        <f>17.4429 * CHOOSE(CONTROL!$C$15, $E$9, 100%, $G$9) + CHOOSE(CONTROL!$C$38, 0.0347, 0)</f>
        <v>17.477600000000002</v>
      </c>
      <c r="I105" s="14">
        <f>17.4444 * CHOOSE(CONTROL!$C$15, $E$9, 100%, $G$9) + CHOOSE(CONTROL!$C$38, 0.0347, 0)</f>
        <v>17.479100000000003</v>
      </c>
      <c r="J105" s="44">
        <f>114.3996</f>
        <v>114.39960000000001</v>
      </c>
    </row>
    <row r="106" spans="1:10" ht="15" x14ac:dyDescent="0.2">
      <c r="A106" s="13">
        <v>44136</v>
      </c>
      <c r="B106" s="14">
        <f>18.3835 * CHOOSE(CONTROL!$C$15, $E$9, 100%, $G$9) + CHOOSE(CONTROL!$C$38, 0.0256, 0)</f>
        <v>18.409100000000002</v>
      </c>
      <c r="C106" s="14">
        <f>17.717 * CHOOSE(CONTROL!$C$15, $E$9, 100%, $G$9) + CHOOSE(CONTROL!$C$38, 0.0347, 0)</f>
        <v>17.7517</v>
      </c>
      <c r="D106" s="14">
        <f>17.7092 * CHOOSE(CONTROL!$C$15, $E$9, 100%, $G$9) + CHOOSE(CONTROL!$C$38, 0.0347, 0)</f>
        <v>17.7439</v>
      </c>
      <c r="E106" s="46">
        <f>18.2272 * CHOOSE(CONTROL!$C$15, $E$9, 100%, $G$9) + CHOOSE(CONTROL!$C$38, 0.0347, 0)</f>
        <v>18.261900000000001</v>
      </c>
      <c r="F106" s="45">
        <f>18.2272 * CHOOSE(CONTROL!$C$15, $E$9, 100%, $G$9) + CHOOSE(CONTROL!$C$38, 0.0256, 0)</f>
        <v>18.252800000000001</v>
      </c>
      <c r="G106" s="14">
        <f>17.7155 * CHOOSE(CONTROL!$C$15, $E$9, 100%, $G$9) + CHOOSE(CONTROL!$C$38, 0.0347, 0)</f>
        <v>17.7502</v>
      </c>
      <c r="H106" s="14">
        <f>17.7155 * CHOOSE(CONTROL!$C$15, $E$9, 100%, $G$9) + CHOOSE(CONTROL!$C$38, 0.0347, 0)</f>
        <v>17.7502</v>
      </c>
      <c r="I106" s="14">
        <f>17.717 * CHOOSE(CONTROL!$C$15, $E$9, 100%, $G$9) + CHOOSE(CONTROL!$C$38, 0.0347, 0)</f>
        <v>17.7517</v>
      </c>
      <c r="J106" s="44">
        <f>113.8185</f>
        <v>113.8185</v>
      </c>
    </row>
    <row r="107" spans="1:10" ht="15" x14ac:dyDescent="0.2">
      <c r="A107" s="13">
        <v>44166</v>
      </c>
      <c r="B107" s="14">
        <f>19.1538 * CHOOSE(CONTROL!$C$15, $E$9, 100%, $G$9) + CHOOSE(CONTROL!$C$38, 0.0256, 0)</f>
        <v>19.179400000000001</v>
      </c>
      <c r="C107" s="14">
        <f>18.4863 * CHOOSE(CONTROL!$C$15, $E$9, 100%, $G$9) + CHOOSE(CONTROL!$C$38, 0.0347, 0)</f>
        <v>18.521000000000001</v>
      </c>
      <c r="D107" s="14">
        <f>18.4785 * CHOOSE(CONTROL!$C$15, $E$9, 100%, $G$9) + CHOOSE(CONTROL!$C$38, 0.0347, 0)</f>
        <v>18.513200000000001</v>
      </c>
      <c r="E107" s="46">
        <f>18.9976 * CHOOSE(CONTROL!$C$15, $E$9, 100%, $G$9) + CHOOSE(CONTROL!$C$38, 0.0347, 0)</f>
        <v>19.032299999999999</v>
      </c>
      <c r="F107" s="45">
        <f>18.9976 * CHOOSE(CONTROL!$C$15, $E$9, 100%, $G$9) + CHOOSE(CONTROL!$C$38, 0.0256, 0)</f>
        <v>19.023199999999999</v>
      </c>
      <c r="G107" s="14">
        <f>18.4848 * CHOOSE(CONTROL!$C$15, $E$9, 100%, $G$9) + CHOOSE(CONTROL!$C$38, 0.0347, 0)</f>
        <v>18.519500000000001</v>
      </c>
      <c r="H107" s="14">
        <f>18.4848 * CHOOSE(CONTROL!$C$15, $E$9, 100%, $G$9) + CHOOSE(CONTROL!$C$38, 0.0347, 0)</f>
        <v>18.519500000000001</v>
      </c>
      <c r="I107" s="14">
        <f>18.4863 * CHOOSE(CONTROL!$C$15, $E$9, 100%, $G$9) + CHOOSE(CONTROL!$C$38, 0.0347, 0)</f>
        <v>18.521000000000001</v>
      </c>
      <c r="J107" s="44">
        <f>110.6684</f>
        <v>110.66840000000001</v>
      </c>
    </row>
    <row r="108" spans="1:10" ht="15" x14ac:dyDescent="0.2">
      <c r="A108" s="13">
        <v>44197</v>
      </c>
      <c r="B108" s="14">
        <f>20.3954 * CHOOSE(CONTROL!$C$15, $E$9, 100%, $G$9) + CHOOSE(CONTROL!$C$38, 0.0256, 0)</f>
        <v>20.420999999999999</v>
      </c>
      <c r="C108" s="14">
        <f>19.4419 * CHOOSE(CONTROL!$C$15, $E$9, 100%, $G$9) + CHOOSE(CONTROL!$C$38, 0.0347, 0)</f>
        <v>19.476600000000001</v>
      </c>
      <c r="D108" s="14">
        <f>19.4341 * CHOOSE(CONTROL!$C$15, $E$9, 100%, $G$9) + CHOOSE(CONTROL!$C$38, 0.0347, 0)</f>
        <v>19.468800000000002</v>
      </c>
      <c r="E108" s="46">
        <f>20.2391 * CHOOSE(CONTROL!$C$15, $E$9, 100%, $G$9) + CHOOSE(CONTROL!$C$38, 0.0347, 0)</f>
        <v>20.273800000000001</v>
      </c>
      <c r="F108" s="45">
        <f>20.2391 * CHOOSE(CONTROL!$C$15, $E$9, 100%, $G$9) + CHOOSE(CONTROL!$C$38, 0.0256, 0)</f>
        <v>20.264700000000001</v>
      </c>
      <c r="G108" s="14">
        <f>19.4404 * CHOOSE(CONTROL!$C$15, $E$9, 100%, $G$9) + CHOOSE(CONTROL!$C$38, 0.0347, 0)</f>
        <v>19.475100000000001</v>
      </c>
      <c r="H108" s="14">
        <f>19.4404 * CHOOSE(CONTROL!$C$15, $E$9, 100%, $G$9) + CHOOSE(CONTROL!$C$38, 0.0347, 0)</f>
        <v>19.475100000000001</v>
      </c>
      <c r="I108" s="14">
        <f>19.4419 * CHOOSE(CONTROL!$C$15, $E$9, 100%, $G$9) + CHOOSE(CONTROL!$C$38, 0.0347, 0)</f>
        <v>19.476600000000001</v>
      </c>
      <c r="J108" s="44">
        <f>110.9959</f>
        <v>110.99590000000001</v>
      </c>
    </row>
    <row r="109" spans="1:10" ht="15" x14ac:dyDescent="0.2">
      <c r="A109" s="13">
        <v>44228</v>
      </c>
      <c r="B109" s="14">
        <f>20.709 * CHOOSE(CONTROL!$C$15, $E$9, 100%, $G$9) + CHOOSE(CONTROL!$C$38, 0.0256, 0)</f>
        <v>20.7346</v>
      </c>
      <c r="C109" s="14">
        <f>19.7539 * CHOOSE(CONTROL!$C$15, $E$9, 100%, $G$9) + CHOOSE(CONTROL!$C$38, 0.0347, 0)</f>
        <v>19.788600000000002</v>
      </c>
      <c r="D109" s="14">
        <f>19.7461 * CHOOSE(CONTROL!$C$15, $E$9, 100%, $G$9) + CHOOSE(CONTROL!$C$38, 0.0347, 0)</f>
        <v>19.780799999999999</v>
      </c>
      <c r="E109" s="46">
        <f>20.5527 * CHOOSE(CONTROL!$C$15, $E$9, 100%, $G$9) + CHOOSE(CONTROL!$C$38, 0.0347, 0)</f>
        <v>20.587400000000002</v>
      </c>
      <c r="F109" s="45">
        <f>20.5527 * CHOOSE(CONTROL!$C$15, $E$9, 100%, $G$9) + CHOOSE(CONTROL!$C$38, 0.0256, 0)</f>
        <v>20.578300000000002</v>
      </c>
      <c r="G109" s="14">
        <f>19.7523 * CHOOSE(CONTROL!$C$15, $E$9, 100%, $G$9) + CHOOSE(CONTROL!$C$38, 0.0347, 0)</f>
        <v>19.787000000000003</v>
      </c>
      <c r="H109" s="14">
        <f>19.7523 * CHOOSE(CONTROL!$C$15, $E$9, 100%, $G$9) + CHOOSE(CONTROL!$C$38, 0.0347, 0)</f>
        <v>19.787000000000003</v>
      </c>
      <c r="I109" s="14">
        <f>19.7539 * CHOOSE(CONTROL!$C$15, $E$9, 100%, $G$9) + CHOOSE(CONTROL!$C$38, 0.0347, 0)</f>
        <v>19.788600000000002</v>
      </c>
      <c r="J109" s="44">
        <f>110.9153</f>
        <v>110.9153</v>
      </c>
    </row>
    <row r="110" spans="1:10" ht="15" x14ac:dyDescent="0.2">
      <c r="A110" s="13">
        <v>44256</v>
      </c>
      <c r="B110" s="14">
        <f>20.1174 * CHOOSE(CONTROL!$C$15, $E$9, 100%, $G$9) + CHOOSE(CONTROL!$C$38, 0.0256, 0)</f>
        <v>20.143000000000001</v>
      </c>
      <c r="C110" s="14">
        <f>19.1607 * CHOOSE(CONTROL!$C$15, $E$9, 100%, $G$9) + CHOOSE(CONTROL!$C$38, 0.0347, 0)</f>
        <v>19.195399999999999</v>
      </c>
      <c r="D110" s="14">
        <f>19.1528 * CHOOSE(CONTROL!$C$15, $E$9, 100%, $G$9) + CHOOSE(CONTROL!$C$38, 0.0347, 0)</f>
        <v>19.1875</v>
      </c>
      <c r="E110" s="46">
        <f>19.9611 * CHOOSE(CONTROL!$C$15, $E$9, 100%, $G$9) + CHOOSE(CONTROL!$C$38, 0.0347, 0)</f>
        <v>19.995799999999999</v>
      </c>
      <c r="F110" s="45">
        <f>19.9611 * CHOOSE(CONTROL!$C$15, $E$9, 100%, $G$9) + CHOOSE(CONTROL!$C$38, 0.0256, 0)</f>
        <v>19.986699999999999</v>
      </c>
      <c r="G110" s="14">
        <f>19.1591 * CHOOSE(CONTROL!$C$15, $E$9, 100%, $G$9) + CHOOSE(CONTROL!$C$38, 0.0347, 0)</f>
        <v>19.1938</v>
      </c>
      <c r="H110" s="14">
        <f>19.1591 * CHOOSE(CONTROL!$C$15, $E$9, 100%, $G$9) + CHOOSE(CONTROL!$C$38, 0.0347, 0)</f>
        <v>19.1938</v>
      </c>
      <c r="I110" s="14">
        <f>19.1607 * CHOOSE(CONTROL!$C$15, $E$9, 100%, $G$9) + CHOOSE(CONTROL!$C$38, 0.0347, 0)</f>
        <v>19.195399999999999</v>
      </c>
      <c r="J110" s="44">
        <f>117.0017</f>
        <v>117.0017</v>
      </c>
    </row>
    <row r="111" spans="1:10" ht="15" x14ac:dyDescent="0.2">
      <c r="A111" s="13">
        <v>44287</v>
      </c>
      <c r="B111" s="14">
        <f>19.5429 * CHOOSE(CONTROL!$C$15, $E$9, 100%, $G$9) + CHOOSE(CONTROL!$C$38, 0.0256, 0)</f>
        <v>19.5685</v>
      </c>
      <c r="C111" s="14">
        <f>18.5846 * CHOOSE(CONTROL!$C$15, $E$9, 100%, $G$9) + CHOOSE(CONTROL!$C$38, 0.0347, 0)</f>
        <v>18.619299999999999</v>
      </c>
      <c r="D111" s="14">
        <f>18.5768 * CHOOSE(CONTROL!$C$15, $E$9, 100%, $G$9) + CHOOSE(CONTROL!$C$38, 0.0347, 0)</f>
        <v>18.611499999999999</v>
      </c>
      <c r="E111" s="46">
        <f>19.3867 * CHOOSE(CONTROL!$C$15, $E$9, 100%, $G$9) + CHOOSE(CONTROL!$C$38, 0.0347, 0)</f>
        <v>19.421400000000002</v>
      </c>
      <c r="F111" s="45">
        <f>19.3867 * CHOOSE(CONTROL!$C$15, $E$9, 100%, $G$9) + CHOOSE(CONTROL!$C$38, 0.0256, 0)</f>
        <v>19.412300000000002</v>
      </c>
      <c r="G111" s="14">
        <f>18.583 * CHOOSE(CONTROL!$C$15, $E$9, 100%, $G$9) + CHOOSE(CONTROL!$C$38, 0.0347, 0)</f>
        <v>18.617699999999999</v>
      </c>
      <c r="H111" s="14">
        <f>18.583 * CHOOSE(CONTROL!$C$15, $E$9, 100%, $G$9) + CHOOSE(CONTROL!$C$38, 0.0347, 0)</f>
        <v>18.617699999999999</v>
      </c>
      <c r="I111" s="14">
        <f>18.5846 * CHOOSE(CONTROL!$C$15, $E$9, 100%, $G$9) + CHOOSE(CONTROL!$C$38, 0.0347, 0)</f>
        <v>18.619299999999999</v>
      </c>
      <c r="J111" s="44">
        <f>124.8547</f>
        <v>124.85469999999999</v>
      </c>
    </row>
    <row r="112" spans="1:10" ht="15" x14ac:dyDescent="0.2">
      <c r="A112" s="13">
        <v>44317</v>
      </c>
      <c r="B112" s="14">
        <f>18.94 * CHOOSE(CONTROL!$C$15, $E$9, 100%, $G$9) + CHOOSE(CONTROL!$C$38, 0.0278, 0)</f>
        <v>18.9678</v>
      </c>
      <c r="C112" s="14">
        <f>17.98 * CHOOSE(CONTROL!$C$15, $E$9, 100%, $G$9) + CHOOSE(CONTROL!$C$38, 0.0369, 0)</f>
        <v>18.0169</v>
      </c>
      <c r="D112" s="14">
        <f>17.9722 * CHOOSE(CONTROL!$C$15, $E$9, 100%, $G$9) + CHOOSE(CONTROL!$C$38, 0.0369, 0)</f>
        <v>18.0091</v>
      </c>
      <c r="E112" s="46">
        <f>18.7838 * CHOOSE(CONTROL!$C$15, $E$9, 100%, $G$9) + CHOOSE(CONTROL!$C$38, 0.0369, 0)</f>
        <v>18.820699999999999</v>
      </c>
      <c r="F112" s="45">
        <f>18.7838 * CHOOSE(CONTROL!$C$15, $E$9, 100%, $G$9) + CHOOSE(CONTROL!$C$38, 0.0278, 0)</f>
        <v>18.811599999999999</v>
      </c>
      <c r="G112" s="14">
        <f>17.9784 * CHOOSE(CONTROL!$C$15, $E$9, 100%, $G$9) + CHOOSE(CONTROL!$C$38, 0.0369, 0)</f>
        <v>18.0153</v>
      </c>
      <c r="H112" s="14">
        <f>17.9784 * CHOOSE(CONTROL!$C$15, $E$9, 100%, $G$9) + CHOOSE(CONTROL!$C$38, 0.0369, 0)</f>
        <v>18.0153</v>
      </c>
      <c r="I112" s="14">
        <f>17.98 * CHOOSE(CONTROL!$C$15, $E$9, 100%, $G$9) + CHOOSE(CONTROL!$C$38, 0.0369, 0)</f>
        <v>18.0169</v>
      </c>
      <c r="J112" s="44">
        <f>129.3104</f>
        <v>129.31039999999999</v>
      </c>
    </row>
    <row r="113" spans="1:10" ht="15" x14ac:dyDescent="0.2">
      <c r="A113" s="13">
        <v>44348</v>
      </c>
      <c r="B113" s="14">
        <f>18.5268 * CHOOSE(CONTROL!$C$15, $E$9, 100%, $G$9) + CHOOSE(CONTROL!$C$38, 0.0278, 0)</f>
        <v>18.554600000000001</v>
      </c>
      <c r="C113" s="14">
        <f>17.5651 * CHOOSE(CONTROL!$C$15, $E$9, 100%, $G$9) + CHOOSE(CONTROL!$C$38, 0.0369, 0)</f>
        <v>17.602</v>
      </c>
      <c r="D113" s="14">
        <f>17.5573 * CHOOSE(CONTROL!$C$15, $E$9, 100%, $G$9) + CHOOSE(CONTROL!$C$38, 0.0369, 0)</f>
        <v>17.594200000000001</v>
      </c>
      <c r="E113" s="46">
        <f>18.3706 * CHOOSE(CONTROL!$C$15, $E$9, 100%, $G$9) + CHOOSE(CONTROL!$C$38, 0.0369, 0)</f>
        <v>18.407499999999999</v>
      </c>
      <c r="F113" s="45">
        <f>18.3706 * CHOOSE(CONTROL!$C$15, $E$9, 100%, $G$9) + CHOOSE(CONTROL!$C$38, 0.0278, 0)</f>
        <v>18.398399999999999</v>
      </c>
      <c r="G113" s="14">
        <f>17.5636 * CHOOSE(CONTROL!$C$15, $E$9, 100%, $G$9) + CHOOSE(CONTROL!$C$38, 0.0369, 0)</f>
        <v>17.6005</v>
      </c>
      <c r="H113" s="14">
        <f>17.5636 * CHOOSE(CONTROL!$C$15, $E$9, 100%, $G$9) + CHOOSE(CONTROL!$C$38, 0.0369, 0)</f>
        <v>17.6005</v>
      </c>
      <c r="I113" s="14">
        <f>17.5651 * CHOOSE(CONTROL!$C$15, $E$9, 100%, $G$9) + CHOOSE(CONTROL!$C$38, 0.0369, 0)</f>
        <v>17.602</v>
      </c>
      <c r="J113" s="44">
        <f>131.4438</f>
        <v>131.44380000000001</v>
      </c>
    </row>
    <row r="114" spans="1:10" ht="15" x14ac:dyDescent="0.2">
      <c r="A114" s="13">
        <v>44378</v>
      </c>
      <c r="B114" s="14">
        <f>18.3058 * CHOOSE(CONTROL!$C$15, $E$9, 100%, $G$9) + CHOOSE(CONTROL!$C$38, 0.0278, 0)</f>
        <v>18.333600000000001</v>
      </c>
      <c r="C114" s="14">
        <f>17.3425 * CHOOSE(CONTROL!$C$15, $E$9, 100%, $G$9) + CHOOSE(CONTROL!$C$38, 0.0369, 0)</f>
        <v>17.3794</v>
      </c>
      <c r="D114" s="14">
        <f>17.3347 * CHOOSE(CONTROL!$C$15, $E$9, 100%, $G$9) + CHOOSE(CONTROL!$C$38, 0.0369, 0)</f>
        <v>17.371600000000001</v>
      </c>
      <c r="E114" s="46">
        <f>18.1496 * CHOOSE(CONTROL!$C$15, $E$9, 100%, $G$9) + CHOOSE(CONTROL!$C$38, 0.0369, 0)</f>
        <v>18.186499999999999</v>
      </c>
      <c r="F114" s="45">
        <f>18.1496 * CHOOSE(CONTROL!$C$15, $E$9, 100%, $G$9) + CHOOSE(CONTROL!$C$38, 0.0278, 0)</f>
        <v>18.177399999999999</v>
      </c>
      <c r="G114" s="14">
        <f>17.3409 * CHOOSE(CONTROL!$C$15, $E$9, 100%, $G$9) + CHOOSE(CONTROL!$C$38, 0.0369, 0)</f>
        <v>17.377800000000001</v>
      </c>
      <c r="H114" s="14">
        <f>17.3409 * CHOOSE(CONTROL!$C$15, $E$9, 100%, $G$9) + CHOOSE(CONTROL!$C$38, 0.0369, 0)</f>
        <v>17.377800000000001</v>
      </c>
      <c r="I114" s="14">
        <f>17.3425 * CHOOSE(CONTROL!$C$15, $E$9, 100%, $G$9) + CHOOSE(CONTROL!$C$38, 0.0369, 0)</f>
        <v>17.3794</v>
      </c>
      <c r="J114" s="44">
        <f>131.0985</f>
        <v>131.0985</v>
      </c>
    </row>
    <row r="115" spans="1:10" ht="15" x14ac:dyDescent="0.2">
      <c r="A115" s="13">
        <v>44409</v>
      </c>
      <c r="B115" s="14">
        <f>18.4698 * CHOOSE(CONTROL!$C$15, $E$9, 100%, $G$9) + CHOOSE(CONTROL!$C$38, 0.0278, 0)</f>
        <v>18.497599999999998</v>
      </c>
      <c r="C115" s="14">
        <f>17.5048 * CHOOSE(CONTROL!$C$15, $E$9, 100%, $G$9) + CHOOSE(CONTROL!$C$38, 0.0369, 0)</f>
        <v>17.541699999999999</v>
      </c>
      <c r="D115" s="14">
        <f>17.497 * CHOOSE(CONTROL!$C$15, $E$9, 100%, $G$9) + CHOOSE(CONTROL!$C$38, 0.0369, 0)</f>
        <v>17.533899999999999</v>
      </c>
      <c r="E115" s="46">
        <f>18.3135 * CHOOSE(CONTROL!$C$15, $E$9, 100%, $G$9) + CHOOSE(CONTROL!$C$38, 0.0369, 0)</f>
        <v>18.3504</v>
      </c>
      <c r="F115" s="45">
        <f>18.3135 * CHOOSE(CONTROL!$C$15, $E$9, 100%, $G$9) + CHOOSE(CONTROL!$C$38, 0.0278, 0)</f>
        <v>18.3413</v>
      </c>
      <c r="G115" s="14">
        <f>17.5032 * CHOOSE(CONTROL!$C$15, $E$9, 100%, $G$9) + CHOOSE(CONTROL!$C$38, 0.0369, 0)</f>
        <v>17.540099999999999</v>
      </c>
      <c r="H115" s="14">
        <f>17.5032 * CHOOSE(CONTROL!$C$15, $E$9, 100%, $G$9) + CHOOSE(CONTROL!$C$38, 0.0369, 0)</f>
        <v>17.540099999999999</v>
      </c>
      <c r="I115" s="14">
        <f>17.5048 * CHOOSE(CONTROL!$C$15, $E$9, 100%, $G$9) + CHOOSE(CONTROL!$C$38, 0.0369, 0)</f>
        <v>17.541699999999999</v>
      </c>
      <c r="J115" s="44">
        <f>128.3104</f>
        <v>128.31039999999999</v>
      </c>
    </row>
    <row r="116" spans="1:10" ht="15" x14ac:dyDescent="0.2">
      <c r="A116" s="13">
        <v>44440</v>
      </c>
      <c r="B116" s="14">
        <f>18.8537 * CHOOSE(CONTROL!$C$15, $E$9, 100%, $G$9) + CHOOSE(CONTROL!$C$38, 0.0278, 0)</f>
        <v>18.881499999999999</v>
      </c>
      <c r="C116" s="14">
        <f>17.887 * CHOOSE(CONTROL!$C$15, $E$9, 100%, $G$9) + CHOOSE(CONTROL!$C$38, 0.0369, 0)</f>
        <v>17.9239</v>
      </c>
      <c r="D116" s="14">
        <f>17.8792 * CHOOSE(CONTROL!$C$15, $E$9, 100%, $G$9) + CHOOSE(CONTROL!$C$38, 0.0369, 0)</f>
        <v>17.9161</v>
      </c>
      <c r="E116" s="46">
        <f>18.6974 * CHOOSE(CONTROL!$C$15, $E$9, 100%, $G$9) + CHOOSE(CONTROL!$C$38, 0.0369, 0)</f>
        <v>18.734299999999998</v>
      </c>
      <c r="F116" s="45">
        <f>18.6974 * CHOOSE(CONTROL!$C$15, $E$9, 100%, $G$9) + CHOOSE(CONTROL!$C$38, 0.0278, 0)</f>
        <v>18.725199999999997</v>
      </c>
      <c r="G116" s="14">
        <f>17.8854 * CHOOSE(CONTROL!$C$15, $E$9, 100%, $G$9) + CHOOSE(CONTROL!$C$38, 0.0369, 0)</f>
        <v>17.9223</v>
      </c>
      <c r="H116" s="14">
        <f>17.8854 * CHOOSE(CONTROL!$C$15, $E$9, 100%, $G$9) + CHOOSE(CONTROL!$C$38, 0.0369, 0)</f>
        <v>17.9223</v>
      </c>
      <c r="I116" s="14">
        <f>17.887 * CHOOSE(CONTROL!$C$15, $E$9, 100%, $G$9) + CHOOSE(CONTROL!$C$38, 0.0369, 0)</f>
        <v>17.9239</v>
      </c>
      <c r="J116" s="44">
        <f>124.3011</f>
        <v>124.30110000000001</v>
      </c>
    </row>
    <row r="117" spans="1:10" ht="15" x14ac:dyDescent="0.2">
      <c r="A117" s="13">
        <v>44470</v>
      </c>
      <c r="B117" s="14">
        <f>19.1825 * CHOOSE(CONTROL!$C$15, $E$9, 100%, $G$9) + CHOOSE(CONTROL!$C$38, 0.0256, 0)</f>
        <v>19.208100000000002</v>
      </c>
      <c r="C117" s="14">
        <f>18.2142 * CHOOSE(CONTROL!$C$15, $E$9, 100%, $G$9) + CHOOSE(CONTROL!$C$38, 0.0347, 0)</f>
        <v>18.248900000000003</v>
      </c>
      <c r="D117" s="14">
        <f>18.2064 * CHOOSE(CONTROL!$C$15, $E$9, 100%, $G$9) + CHOOSE(CONTROL!$C$38, 0.0347, 0)</f>
        <v>18.241099999999999</v>
      </c>
      <c r="E117" s="46">
        <f>19.0263 * CHOOSE(CONTROL!$C$15, $E$9, 100%, $G$9) + CHOOSE(CONTROL!$C$38, 0.0347, 0)</f>
        <v>19.061</v>
      </c>
      <c r="F117" s="45">
        <f>19.0263 * CHOOSE(CONTROL!$C$15, $E$9, 100%, $G$9) + CHOOSE(CONTROL!$C$38, 0.0256, 0)</f>
        <v>19.0519</v>
      </c>
      <c r="G117" s="14">
        <f>18.2126 * CHOOSE(CONTROL!$C$15, $E$9, 100%, $G$9) + CHOOSE(CONTROL!$C$38, 0.0347, 0)</f>
        <v>18.247299999999999</v>
      </c>
      <c r="H117" s="14">
        <f>18.2126 * CHOOSE(CONTROL!$C$15, $E$9, 100%, $G$9) + CHOOSE(CONTROL!$C$38, 0.0347, 0)</f>
        <v>18.247299999999999</v>
      </c>
      <c r="I117" s="14">
        <f>18.2142 * CHOOSE(CONTROL!$C$15, $E$9, 100%, $G$9) + CHOOSE(CONTROL!$C$38, 0.0347, 0)</f>
        <v>18.248900000000003</v>
      </c>
      <c r="J117" s="44">
        <f>120.2498</f>
        <v>120.24979999999999</v>
      </c>
    </row>
    <row r="118" spans="1:10" ht="15" x14ac:dyDescent="0.2">
      <c r="A118" s="13">
        <v>44501</v>
      </c>
      <c r="B118" s="14">
        <f>19.4644 * CHOOSE(CONTROL!$C$15, $E$9, 100%, $G$9) + CHOOSE(CONTROL!$C$38, 0.0256, 0)</f>
        <v>19.490000000000002</v>
      </c>
      <c r="C118" s="14">
        <f>18.4944 * CHOOSE(CONTROL!$C$15, $E$9, 100%, $G$9) + CHOOSE(CONTROL!$C$38, 0.0347, 0)</f>
        <v>18.5291</v>
      </c>
      <c r="D118" s="14">
        <f>18.4865 * CHOOSE(CONTROL!$C$15, $E$9, 100%, $G$9) + CHOOSE(CONTROL!$C$38, 0.0347, 0)</f>
        <v>18.5212</v>
      </c>
      <c r="E118" s="46">
        <f>19.3081 * CHOOSE(CONTROL!$C$15, $E$9, 100%, $G$9) + CHOOSE(CONTROL!$C$38, 0.0347, 0)</f>
        <v>19.3428</v>
      </c>
      <c r="F118" s="45">
        <f>19.3081 * CHOOSE(CONTROL!$C$15, $E$9, 100%, $G$9) + CHOOSE(CONTROL!$C$38, 0.0256, 0)</f>
        <v>19.3337</v>
      </c>
      <c r="G118" s="14">
        <f>18.4928 * CHOOSE(CONTROL!$C$15, $E$9, 100%, $G$9) + CHOOSE(CONTROL!$C$38, 0.0347, 0)</f>
        <v>18.5275</v>
      </c>
      <c r="H118" s="14">
        <f>18.4928 * CHOOSE(CONTROL!$C$15, $E$9, 100%, $G$9) + CHOOSE(CONTROL!$C$38, 0.0347, 0)</f>
        <v>18.5275</v>
      </c>
      <c r="I118" s="14">
        <f>18.4944 * CHOOSE(CONTROL!$C$15, $E$9, 100%, $G$9) + CHOOSE(CONTROL!$C$38, 0.0347, 0)</f>
        <v>18.5291</v>
      </c>
      <c r="J118" s="44">
        <f>119.6389</f>
        <v>119.63890000000001</v>
      </c>
    </row>
    <row r="119" spans="1:10" ht="15" x14ac:dyDescent="0.2">
      <c r="A119" s="13">
        <v>44531</v>
      </c>
      <c r="B119" s="14">
        <f>20.2553 * CHOOSE(CONTROL!$C$15, $E$9, 100%, $G$9) + CHOOSE(CONTROL!$C$38, 0.0256, 0)</f>
        <v>20.280899999999999</v>
      </c>
      <c r="C119" s="14">
        <f>19.2836 * CHOOSE(CONTROL!$C$15, $E$9, 100%, $G$9) + CHOOSE(CONTROL!$C$38, 0.0347, 0)</f>
        <v>19.318300000000001</v>
      </c>
      <c r="D119" s="14">
        <f>19.2758 * CHOOSE(CONTROL!$C$15, $E$9, 100%, $G$9) + CHOOSE(CONTROL!$C$38, 0.0347, 0)</f>
        <v>19.310500000000001</v>
      </c>
      <c r="E119" s="46">
        <f>20.099 * CHOOSE(CONTROL!$C$15, $E$9, 100%, $G$9) + CHOOSE(CONTROL!$C$38, 0.0347, 0)</f>
        <v>20.133700000000001</v>
      </c>
      <c r="F119" s="45">
        <f>20.099 * CHOOSE(CONTROL!$C$15, $E$9, 100%, $G$9) + CHOOSE(CONTROL!$C$38, 0.0256, 0)</f>
        <v>20.124600000000001</v>
      </c>
      <c r="G119" s="14">
        <f>19.282 * CHOOSE(CONTROL!$C$15, $E$9, 100%, $G$9) + CHOOSE(CONTROL!$C$38, 0.0347, 0)</f>
        <v>19.316700000000001</v>
      </c>
      <c r="H119" s="14">
        <f>19.282 * CHOOSE(CONTROL!$C$15, $E$9, 100%, $G$9) + CHOOSE(CONTROL!$C$38, 0.0347, 0)</f>
        <v>19.316700000000001</v>
      </c>
      <c r="I119" s="14">
        <f>19.2836 * CHOOSE(CONTROL!$C$15, $E$9, 100%, $G$9) + CHOOSE(CONTROL!$C$38, 0.0347, 0)</f>
        <v>19.318300000000001</v>
      </c>
      <c r="J119" s="44">
        <f>116.3278</f>
        <v>116.3278</v>
      </c>
    </row>
    <row r="120" spans="1:10" ht="15" x14ac:dyDescent="0.2">
      <c r="A120" s="13">
        <v>44562</v>
      </c>
      <c r="B120" s="14">
        <f>21.2567 * CHOOSE(CONTROL!$C$15, $E$9, 100%, $G$9) + CHOOSE(CONTROL!$C$38, 0.0256, 0)</f>
        <v>21.282299999999999</v>
      </c>
      <c r="C120" s="14">
        <f>20.2993 * CHOOSE(CONTROL!$C$15, $E$9, 100%, $G$9) + CHOOSE(CONTROL!$C$38, 0.0347, 0)</f>
        <v>20.334</v>
      </c>
      <c r="D120" s="14">
        <f>20.2915 * CHOOSE(CONTROL!$C$15, $E$9, 100%, $G$9) + CHOOSE(CONTROL!$C$38, 0.0347, 0)</f>
        <v>20.3262</v>
      </c>
      <c r="E120" s="46">
        <f>21.1004 * CHOOSE(CONTROL!$C$15, $E$9, 100%, $G$9) + CHOOSE(CONTROL!$C$38, 0.0347, 0)</f>
        <v>21.135100000000001</v>
      </c>
      <c r="F120" s="45">
        <f>21.1004 * CHOOSE(CONTROL!$C$15, $E$9, 100%, $G$9) + CHOOSE(CONTROL!$C$38, 0.0256, 0)</f>
        <v>21.126000000000001</v>
      </c>
      <c r="G120" s="14">
        <f>20.2978 * CHOOSE(CONTROL!$C$15, $E$9, 100%, $G$9) + CHOOSE(CONTROL!$C$38, 0.0347, 0)</f>
        <v>20.3325</v>
      </c>
      <c r="H120" s="14">
        <f>20.2978 * CHOOSE(CONTROL!$C$15, $E$9, 100%, $G$9) + CHOOSE(CONTROL!$C$38, 0.0347, 0)</f>
        <v>20.3325</v>
      </c>
      <c r="I120" s="14">
        <f>20.2993 * CHOOSE(CONTROL!$C$15, $E$9, 100%, $G$9) + CHOOSE(CONTROL!$C$38, 0.0347, 0)</f>
        <v>20.334</v>
      </c>
      <c r="J120" s="44">
        <f>116.6657</f>
        <v>116.6657</v>
      </c>
    </row>
    <row r="121" spans="1:10" ht="15" x14ac:dyDescent="0.2">
      <c r="A121" s="13">
        <v>44593</v>
      </c>
      <c r="B121" s="14">
        <f>21.5789 * CHOOSE(CONTROL!$C$15, $E$9, 100%, $G$9) + CHOOSE(CONTROL!$C$38, 0.0256, 0)</f>
        <v>21.604500000000002</v>
      </c>
      <c r="C121" s="14">
        <f>20.6199 * CHOOSE(CONTROL!$C$15, $E$9, 100%, $G$9) + CHOOSE(CONTROL!$C$38, 0.0347, 0)</f>
        <v>20.654600000000002</v>
      </c>
      <c r="D121" s="14">
        <f>20.6121 * CHOOSE(CONTROL!$C$15, $E$9, 100%, $G$9) + CHOOSE(CONTROL!$C$38, 0.0347, 0)</f>
        <v>20.646800000000002</v>
      </c>
      <c r="E121" s="46">
        <f>21.4226 * CHOOSE(CONTROL!$C$15, $E$9, 100%, $G$9) + CHOOSE(CONTROL!$C$38, 0.0347, 0)</f>
        <v>21.4573</v>
      </c>
      <c r="F121" s="45">
        <f>21.4226 * CHOOSE(CONTROL!$C$15, $E$9, 100%, $G$9) + CHOOSE(CONTROL!$C$38, 0.0256, 0)</f>
        <v>21.4482</v>
      </c>
      <c r="G121" s="14">
        <f>20.6183 * CHOOSE(CONTROL!$C$15, $E$9, 100%, $G$9) + CHOOSE(CONTROL!$C$38, 0.0347, 0)</f>
        <v>20.653000000000002</v>
      </c>
      <c r="H121" s="14">
        <f>20.6183 * CHOOSE(CONTROL!$C$15, $E$9, 100%, $G$9) + CHOOSE(CONTROL!$C$38, 0.0347, 0)</f>
        <v>20.653000000000002</v>
      </c>
      <c r="I121" s="14">
        <f>20.6199 * CHOOSE(CONTROL!$C$15, $E$9, 100%, $G$9) + CHOOSE(CONTROL!$C$38, 0.0347, 0)</f>
        <v>20.654600000000002</v>
      </c>
      <c r="J121" s="44">
        <f>116.5811</f>
        <v>116.58110000000001</v>
      </c>
    </row>
    <row r="122" spans="1:10" ht="15" x14ac:dyDescent="0.2">
      <c r="A122" s="13">
        <v>44621</v>
      </c>
      <c r="B122" s="14">
        <f>20.9733 * CHOOSE(CONTROL!$C$15, $E$9, 100%, $G$9) + CHOOSE(CONTROL!$C$38, 0.0256, 0)</f>
        <v>20.998899999999999</v>
      </c>
      <c r="C122" s="14">
        <f>20.0126 * CHOOSE(CONTROL!$C$15, $E$9, 100%, $G$9) + CHOOSE(CONTROL!$C$38, 0.0347, 0)</f>
        <v>20.0473</v>
      </c>
      <c r="D122" s="14">
        <f>20.0048 * CHOOSE(CONTROL!$C$15, $E$9, 100%, $G$9) + CHOOSE(CONTROL!$C$38, 0.0347, 0)</f>
        <v>20.0395</v>
      </c>
      <c r="E122" s="46">
        <f>20.817 * CHOOSE(CONTROL!$C$15, $E$9, 100%, $G$9) + CHOOSE(CONTROL!$C$38, 0.0347, 0)</f>
        <v>20.851700000000001</v>
      </c>
      <c r="F122" s="45">
        <f>20.817 * CHOOSE(CONTROL!$C$15, $E$9, 100%, $G$9) + CHOOSE(CONTROL!$C$38, 0.0256, 0)</f>
        <v>20.842600000000001</v>
      </c>
      <c r="G122" s="14">
        <f>20.011 * CHOOSE(CONTROL!$C$15, $E$9, 100%, $G$9) + CHOOSE(CONTROL!$C$38, 0.0347, 0)</f>
        <v>20.0457</v>
      </c>
      <c r="H122" s="14">
        <f>20.011 * CHOOSE(CONTROL!$C$15, $E$9, 100%, $G$9) + CHOOSE(CONTROL!$C$38, 0.0347, 0)</f>
        <v>20.0457</v>
      </c>
      <c r="I122" s="14">
        <f>20.0126 * CHOOSE(CONTROL!$C$15, $E$9, 100%, $G$9) + CHOOSE(CONTROL!$C$38, 0.0347, 0)</f>
        <v>20.0473</v>
      </c>
      <c r="J122" s="44">
        <f>122.9784</f>
        <v>122.97839999999999</v>
      </c>
    </row>
    <row r="123" spans="1:10" ht="15" x14ac:dyDescent="0.2">
      <c r="A123" s="13">
        <v>44652</v>
      </c>
      <c r="B123" s="14">
        <f>20.3852 * CHOOSE(CONTROL!$C$15, $E$9, 100%, $G$9) + CHOOSE(CONTROL!$C$38, 0.0256, 0)</f>
        <v>20.410800000000002</v>
      </c>
      <c r="C123" s="14">
        <f>19.4229 * CHOOSE(CONTROL!$C$15, $E$9, 100%, $G$9) + CHOOSE(CONTROL!$C$38, 0.0347, 0)</f>
        <v>19.457599999999999</v>
      </c>
      <c r="D123" s="14">
        <f>19.4151 * CHOOSE(CONTROL!$C$15, $E$9, 100%, $G$9) + CHOOSE(CONTROL!$C$38, 0.0347, 0)</f>
        <v>19.4498</v>
      </c>
      <c r="E123" s="46">
        <f>20.229 * CHOOSE(CONTROL!$C$15, $E$9, 100%, $G$9) + CHOOSE(CONTROL!$C$38, 0.0347, 0)</f>
        <v>20.2637</v>
      </c>
      <c r="F123" s="45">
        <f>20.229 * CHOOSE(CONTROL!$C$15, $E$9, 100%, $G$9) + CHOOSE(CONTROL!$C$38, 0.0256, 0)</f>
        <v>20.2546</v>
      </c>
      <c r="G123" s="14">
        <f>19.4213 * CHOOSE(CONTROL!$C$15, $E$9, 100%, $G$9) + CHOOSE(CONTROL!$C$38, 0.0347, 0)</f>
        <v>19.456</v>
      </c>
      <c r="H123" s="14">
        <f>19.4213 * CHOOSE(CONTROL!$C$15, $E$9, 100%, $G$9) + CHOOSE(CONTROL!$C$38, 0.0347, 0)</f>
        <v>19.456</v>
      </c>
      <c r="I123" s="14">
        <f>19.4229 * CHOOSE(CONTROL!$C$15, $E$9, 100%, $G$9) + CHOOSE(CONTROL!$C$38, 0.0347, 0)</f>
        <v>19.457599999999999</v>
      </c>
      <c r="J123" s="44">
        <f>131.2325</f>
        <v>131.23249999999999</v>
      </c>
    </row>
    <row r="124" spans="1:10" ht="15" x14ac:dyDescent="0.2">
      <c r="A124" s="13">
        <v>44682</v>
      </c>
      <c r="B124" s="14">
        <f>19.768 * CHOOSE(CONTROL!$C$15, $E$9, 100%, $G$9) + CHOOSE(CONTROL!$C$38, 0.0278, 0)</f>
        <v>19.7958</v>
      </c>
      <c r="C124" s="14">
        <f>18.804 * CHOOSE(CONTROL!$C$15, $E$9, 100%, $G$9) + CHOOSE(CONTROL!$C$38, 0.0369, 0)</f>
        <v>18.840899999999998</v>
      </c>
      <c r="D124" s="14">
        <f>18.7962 * CHOOSE(CONTROL!$C$15, $E$9, 100%, $G$9) + CHOOSE(CONTROL!$C$38, 0.0369, 0)</f>
        <v>18.833099999999998</v>
      </c>
      <c r="E124" s="46">
        <f>19.6117 * CHOOSE(CONTROL!$C$15, $E$9, 100%, $G$9) + CHOOSE(CONTROL!$C$38, 0.0369, 0)</f>
        <v>19.648599999999998</v>
      </c>
      <c r="F124" s="45">
        <f>19.6117 * CHOOSE(CONTROL!$C$15, $E$9, 100%, $G$9) + CHOOSE(CONTROL!$C$38, 0.0278, 0)</f>
        <v>19.639499999999998</v>
      </c>
      <c r="G124" s="14">
        <f>18.8024 * CHOOSE(CONTROL!$C$15, $E$9, 100%, $G$9) + CHOOSE(CONTROL!$C$38, 0.0369, 0)</f>
        <v>18.839299999999998</v>
      </c>
      <c r="H124" s="14">
        <f>18.8024 * CHOOSE(CONTROL!$C$15, $E$9, 100%, $G$9) + CHOOSE(CONTROL!$C$38, 0.0369, 0)</f>
        <v>18.839299999999998</v>
      </c>
      <c r="I124" s="14">
        <f>18.804 * CHOOSE(CONTROL!$C$15, $E$9, 100%, $G$9) + CHOOSE(CONTROL!$C$38, 0.0369, 0)</f>
        <v>18.840899999999998</v>
      </c>
      <c r="J124" s="44">
        <f>135.9158</f>
        <v>135.91579999999999</v>
      </c>
    </row>
    <row r="125" spans="1:10" ht="15" x14ac:dyDescent="0.2">
      <c r="A125" s="13">
        <v>44713</v>
      </c>
      <c r="B125" s="14">
        <f>19.3452 * CHOOSE(CONTROL!$C$15, $E$9, 100%, $G$9) + CHOOSE(CONTROL!$C$38, 0.0278, 0)</f>
        <v>19.372999999999998</v>
      </c>
      <c r="C125" s="14">
        <f>18.3796 * CHOOSE(CONTROL!$C$15, $E$9, 100%, $G$9) + CHOOSE(CONTROL!$C$38, 0.0369, 0)</f>
        <v>18.416499999999999</v>
      </c>
      <c r="D125" s="14">
        <f>18.3718 * CHOOSE(CONTROL!$C$15, $E$9, 100%, $G$9) + CHOOSE(CONTROL!$C$38, 0.0369, 0)</f>
        <v>18.4087</v>
      </c>
      <c r="E125" s="46">
        <f>19.1889 * CHOOSE(CONTROL!$C$15, $E$9, 100%, $G$9) + CHOOSE(CONTROL!$C$38, 0.0369, 0)</f>
        <v>19.2258</v>
      </c>
      <c r="F125" s="45">
        <f>19.1889 * CHOOSE(CONTROL!$C$15, $E$9, 100%, $G$9) + CHOOSE(CONTROL!$C$38, 0.0278, 0)</f>
        <v>19.216699999999999</v>
      </c>
      <c r="G125" s="14">
        <f>18.378 * CHOOSE(CONTROL!$C$15, $E$9, 100%, $G$9) + CHOOSE(CONTROL!$C$38, 0.0369, 0)</f>
        <v>18.414899999999999</v>
      </c>
      <c r="H125" s="14">
        <f>18.378 * CHOOSE(CONTROL!$C$15, $E$9, 100%, $G$9) + CHOOSE(CONTROL!$C$38, 0.0369, 0)</f>
        <v>18.414899999999999</v>
      </c>
      <c r="I125" s="14">
        <f>18.3796 * CHOOSE(CONTROL!$C$15, $E$9, 100%, $G$9) + CHOOSE(CONTROL!$C$38, 0.0369, 0)</f>
        <v>18.416499999999999</v>
      </c>
      <c r="J125" s="44">
        <f>138.1582</f>
        <v>138.15819999999999</v>
      </c>
    </row>
    <row r="126" spans="1:10" ht="15" x14ac:dyDescent="0.2">
      <c r="A126" s="13">
        <v>44743</v>
      </c>
      <c r="B126" s="14">
        <f>19.1195 * CHOOSE(CONTROL!$C$15, $E$9, 100%, $G$9) + CHOOSE(CONTROL!$C$38, 0.0278, 0)</f>
        <v>19.147299999999998</v>
      </c>
      <c r="C126" s="14">
        <f>18.1522 * CHOOSE(CONTROL!$C$15, $E$9, 100%, $G$9) + CHOOSE(CONTROL!$C$38, 0.0369, 0)</f>
        <v>18.1891</v>
      </c>
      <c r="D126" s="14">
        <f>18.1443 * CHOOSE(CONTROL!$C$15, $E$9, 100%, $G$9) + CHOOSE(CONTROL!$C$38, 0.0369, 0)</f>
        <v>18.1812</v>
      </c>
      <c r="E126" s="46">
        <f>18.9632 * CHOOSE(CONTROL!$C$15, $E$9, 100%, $G$9) + CHOOSE(CONTROL!$C$38, 0.0369, 0)</f>
        <v>19.0001</v>
      </c>
      <c r="F126" s="45">
        <f>18.9632 * CHOOSE(CONTROL!$C$15, $E$9, 100%, $G$9) + CHOOSE(CONTROL!$C$38, 0.0278, 0)</f>
        <v>18.991</v>
      </c>
      <c r="G126" s="14">
        <f>18.1506 * CHOOSE(CONTROL!$C$15, $E$9, 100%, $G$9) + CHOOSE(CONTROL!$C$38, 0.0369, 0)</f>
        <v>18.1875</v>
      </c>
      <c r="H126" s="14">
        <f>18.1506 * CHOOSE(CONTROL!$C$15, $E$9, 100%, $G$9) + CHOOSE(CONTROL!$C$38, 0.0369, 0)</f>
        <v>18.1875</v>
      </c>
      <c r="I126" s="14">
        <f>18.1522 * CHOOSE(CONTROL!$C$15, $E$9, 100%, $G$9) + CHOOSE(CONTROL!$C$38, 0.0369, 0)</f>
        <v>18.1891</v>
      </c>
      <c r="J126" s="44">
        <f>137.7953</f>
        <v>137.7953</v>
      </c>
    </row>
    <row r="127" spans="1:10" ht="15" x14ac:dyDescent="0.2">
      <c r="A127" s="13">
        <v>44774</v>
      </c>
      <c r="B127" s="14">
        <f>19.2883 * CHOOSE(CONTROL!$C$15, $E$9, 100%, $G$9) + CHOOSE(CONTROL!$C$38, 0.0278, 0)</f>
        <v>19.316099999999999</v>
      </c>
      <c r="C127" s="14">
        <f>18.3193 * CHOOSE(CONTROL!$C$15, $E$9, 100%, $G$9) + CHOOSE(CONTROL!$C$38, 0.0369, 0)</f>
        <v>18.356199999999998</v>
      </c>
      <c r="D127" s="14">
        <f>18.3115 * CHOOSE(CONTROL!$C$15, $E$9, 100%, $G$9) + CHOOSE(CONTROL!$C$38, 0.0369, 0)</f>
        <v>18.348399999999998</v>
      </c>
      <c r="E127" s="46">
        <f>19.132 * CHOOSE(CONTROL!$C$15, $E$9, 100%, $G$9) + CHOOSE(CONTROL!$C$38, 0.0369, 0)</f>
        <v>19.168900000000001</v>
      </c>
      <c r="F127" s="45">
        <f>19.132 * CHOOSE(CONTROL!$C$15, $E$9, 100%, $G$9) + CHOOSE(CONTROL!$C$38, 0.0278, 0)</f>
        <v>19.159800000000001</v>
      </c>
      <c r="G127" s="14">
        <f>18.3178 * CHOOSE(CONTROL!$C$15, $E$9, 100%, $G$9) + CHOOSE(CONTROL!$C$38, 0.0369, 0)</f>
        <v>18.354699999999998</v>
      </c>
      <c r="H127" s="14">
        <f>18.3178 * CHOOSE(CONTROL!$C$15, $E$9, 100%, $G$9) + CHOOSE(CONTROL!$C$38, 0.0369, 0)</f>
        <v>18.354699999999998</v>
      </c>
      <c r="I127" s="14">
        <f>18.3193 * CHOOSE(CONTROL!$C$15, $E$9, 100%, $G$9) + CHOOSE(CONTROL!$C$38, 0.0369, 0)</f>
        <v>18.356199999999998</v>
      </c>
      <c r="J127" s="44">
        <f>134.8647</f>
        <v>134.8647</v>
      </c>
    </row>
    <row r="128" spans="1:10" ht="15" x14ac:dyDescent="0.2">
      <c r="A128" s="13">
        <v>44805</v>
      </c>
      <c r="B128" s="14">
        <f>19.6825 * CHOOSE(CONTROL!$C$15, $E$9, 100%, $G$9) + CHOOSE(CONTROL!$C$38, 0.0278, 0)</f>
        <v>19.7103</v>
      </c>
      <c r="C128" s="14">
        <f>18.7119 * CHOOSE(CONTROL!$C$15, $E$9, 100%, $G$9) + CHOOSE(CONTROL!$C$38, 0.0369, 0)</f>
        <v>18.748799999999999</v>
      </c>
      <c r="D128" s="14">
        <f>18.7041 * CHOOSE(CONTROL!$C$15, $E$9, 100%, $G$9) + CHOOSE(CONTROL!$C$38, 0.0369, 0)</f>
        <v>18.741</v>
      </c>
      <c r="E128" s="46">
        <f>19.5263 * CHOOSE(CONTROL!$C$15, $E$9, 100%, $G$9) + CHOOSE(CONTROL!$C$38, 0.0369, 0)</f>
        <v>19.563199999999998</v>
      </c>
      <c r="F128" s="45">
        <f>19.5263 * CHOOSE(CONTROL!$C$15, $E$9, 100%, $G$9) + CHOOSE(CONTROL!$C$38, 0.0278, 0)</f>
        <v>19.554099999999998</v>
      </c>
      <c r="G128" s="14">
        <f>18.7103 * CHOOSE(CONTROL!$C$15, $E$9, 100%, $G$9) + CHOOSE(CONTROL!$C$38, 0.0369, 0)</f>
        <v>18.747199999999999</v>
      </c>
      <c r="H128" s="14">
        <f>18.7103 * CHOOSE(CONTROL!$C$15, $E$9, 100%, $G$9) + CHOOSE(CONTROL!$C$38, 0.0369, 0)</f>
        <v>18.747199999999999</v>
      </c>
      <c r="I128" s="14">
        <f>18.7119 * CHOOSE(CONTROL!$C$15, $E$9, 100%, $G$9) + CHOOSE(CONTROL!$C$38, 0.0369, 0)</f>
        <v>18.748799999999999</v>
      </c>
      <c r="J128" s="44">
        <f>130.6506</f>
        <v>130.6506</v>
      </c>
    </row>
    <row r="129" spans="1:10" ht="15" x14ac:dyDescent="0.2">
      <c r="A129" s="13">
        <v>44835</v>
      </c>
      <c r="B129" s="14">
        <f>20.0204 * CHOOSE(CONTROL!$C$15, $E$9, 100%, $G$9) + CHOOSE(CONTROL!$C$38, 0.0256, 0)</f>
        <v>20.045999999999999</v>
      </c>
      <c r="C129" s="14">
        <f>19.0481 * CHOOSE(CONTROL!$C$15, $E$9, 100%, $G$9) + CHOOSE(CONTROL!$C$38, 0.0347, 0)</f>
        <v>19.082800000000002</v>
      </c>
      <c r="D129" s="14">
        <f>19.0403 * CHOOSE(CONTROL!$C$15, $E$9, 100%, $G$9) + CHOOSE(CONTROL!$C$38, 0.0347, 0)</f>
        <v>19.074999999999999</v>
      </c>
      <c r="E129" s="46">
        <f>19.8641 * CHOOSE(CONTROL!$C$15, $E$9, 100%, $G$9) + CHOOSE(CONTROL!$C$38, 0.0347, 0)</f>
        <v>19.898800000000001</v>
      </c>
      <c r="F129" s="45">
        <f>19.8641 * CHOOSE(CONTROL!$C$15, $E$9, 100%, $G$9) + CHOOSE(CONTROL!$C$38, 0.0256, 0)</f>
        <v>19.889700000000001</v>
      </c>
      <c r="G129" s="14">
        <f>19.0465 * CHOOSE(CONTROL!$C$15, $E$9, 100%, $G$9) + CHOOSE(CONTROL!$C$38, 0.0347, 0)</f>
        <v>19.081200000000003</v>
      </c>
      <c r="H129" s="14">
        <f>19.0465 * CHOOSE(CONTROL!$C$15, $E$9, 100%, $G$9) + CHOOSE(CONTROL!$C$38, 0.0347, 0)</f>
        <v>19.081200000000003</v>
      </c>
      <c r="I129" s="14">
        <f>19.0481 * CHOOSE(CONTROL!$C$15, $E$9, 100%, $G$9) + CHOOSE(CONTROL!$C$38, 0.0347, 0)</f>
        <v>19.082800000000002</v>
      </c>
      <c r="J129" s="44">
        <f>126.3924</f>
        <v>126.39239999999999</v>
      </c>
    </row>
    <row r="130" spans="1:10" ht="15" x14ac:dyDescent="0.2">
      <c r="A130" s="13">
        <v>44866</v>
      </c>
      <c r="B130" s="14">
        <f>20.31 * CHOOSE(CONTROL!$C$15, $E$9, 100%, $G$9) + CHOOSE(CONTROL!$C$38, 0.0256, 0)</f>
        <v>20.335599999999999</v>
      </c>
      <c r="C130" s="14">
        <f>19.336 * CHOOSE(CONTROL!$C$15, $E$9, 100%, $G$9) + CHOOSE(CONTROL!$C$38, 0.0347, 0)</f>
        <v>19.370699999999999</v>
      </c>
      <c r="D130" s="14">
        <f>19.3282 * CHOOSE(CONTROL!$C$15, $E$9, 100%, $G$9) + CHOOSE(CONTROL!$C$38, 0.0347, 0)</f>
        <v>19.3629</v>
      </c>
      <c r="E130" s="46">
        <f>20.1538 * CHOOSE(CONTROL!$C$15, $E$9, 100%, $G$9) + CHOOSE(CONTROL!$C$38, 0.0347, 0)</f>
        <v>20.188500000000001</v>
      </c>
      <c r="F130" s="45">
        <f>20.1538 * CHOOSE(CONTROL!$C$15, $E$9, 100%, $G$9) + CHOOSE(CONTROL!$C$38, 0.0256, 0)</f>
        <v>20.179400000000001</v>
      </c>
      <c r="G130" s="14">
        <f>19.3345 * CHOOSE(CONTROL!$C$15, $E$9, 100%, $G$9) + CHOOSE(CONTROL!$C$38, 0.0347, 0)</f>
        <v>19.369199999999999</v>
      </c>
      <c r="H130" s="14">
        <f>19.3345 * CHOOSE(CONTROL!$C$15, $E$9, 100%, $G$9) + CHOOSE(CONTROL!$C$38, 0.0347, 0)</f>
        <v>19.369199999999999</v>
      </c>
      <c r="I130" s="14">
        <f>19.336 * CHOOSE(CONTROL!$C$15, $E$9, 100%, $G$9) + CHOOSE(CONTROL!$C$38, 0.0347, 0)</f>
        <v>19.370699999999999</v>
      </c>
      <c r="J130" s="44">
        <f>125.7503</f>
        <v>125.7503</v>
      </c>
    </row>
    <row r="131" spans="1:10" ht="15" x14ac:dyDescent="0.2">
      <c r="A131" s="13">
        <v>44896</v>
      </c>
      <c r="B131" s="14">
        <f>21.1215 * CHOOSE(CONTROL!$C$15, $E$9, 100%, $G$9) + CHOOSE(CONTROL!$C$38, 0.0256, 0)</f>
        <v>21.147100000000002</v>
      </c>
      <c r="C131" s="14">
        <f>20.1458 * CHOOSE(CONTROL!$C$15, $E$9, 100%, $G$9) + CHOOSE(CONTROL!$C$38, 0.0347, 0)</f>
        <v>20.180500000000002</v>
      </c>
      <c r="D131" s="14">
        <f>20.138 * CHOOSE(CONTROL!$C$15, $E$9, 100%, $G$9) + CHOOSE(CONTROL!$C$38, 0.0347, 0)</f>
        <v>20.172700000000003</v>
      </c>
      <c r="E131" s="46">
        <f>20.9652 * CHOOSE(CONTROL!$C$15, $E$9, 100%, $G$9) + CHOOSE(CONTROL!$C$38, 0.0347, 0)</f>
        <v>20.9999</v>
      </c>
      <c r="F131" s="45">
        <f>20.9652 * CHOOSE(CONTROL!$C$15, $E$9, 100%, $G$9) + CHOOSE(CONTROL!$C$38, 0.0256, 0)</f>
        <v>20.9908</v>
      </c>
      <c r="G131" s="14">
        <f>20.1442 * CHOOSE(CONTROL!$C$15, $E$9, 100%, $G$9) + CHOOSE(CONTROL!$C$38, 0.0347, 0)</f>
        <v>20.178900000000002</v>
      </c>
      <c r="H131" s="14">
        <f>20.1442 * CHOOSE(CONTROL!$C$15, $E$9, 100%, $G$9) + CHOOSE(CONTROL!$C$38, 0.0347, 0)</f>
        <v>20.178900000000002</v>
      </c>
      <c r="I131" s="14">
        <f>20.1458 * CHOOSE(CONTROL!$C$15, $E$9, 100%, $G$9) + CHOOSE(CONTROL!$C$38, 0.0347, 0)</f>
        <v>20.180500000000002</v>
      </c>
      <c r="J131" s="44">
        <f>122.27</f>
        <v>122.27</v>
      </c>
    </row>
    <row r="132" spans="1:10" ht="15" x14ac:dyDescent="0.2">
      <c r="A132" s="13">
        <v>44927</v>
      </c>
      <c r="B132" s="14">
        <f>22.3759 * CHOOSE(CONTROL!$C$15, $E$9, 100%, $G$9) + CHOOSE(CONTROL!$C$38, 0.0256, 0)</f>
        <v>22.401500000000002</v>
      </c>
      <c r="C132" s="14">
        <f>21.2536 * CHOOSE(CONTROL!$C$15, $E$9, 100%, $G$9) + CHOOSE(CONTROL!$C$38, 0.0347, 0)</f>
        <v>21.2883</v>
      </c>
      <c r="D132" s="14">
        <f>21.2458 * CHOOSE(CONTROL!$C$15, $E$9, 100%, $G$9) + CHOOSE(CONTROL!$C$38, 0.0347, 0)</f>
        <v>21.2805</v>
      </c>
      <c r="E132" s="46">
        <f>22.2197 * CHOOSE(CONTROL!$C$15, $E$9, 100%, $G$9) + CHOOSE(CONTROL!$C$38, 0.0347, 0)</f>
        <v>22.2544</v>
      </c>
      <c r="F132" s="45">
        <f>22.2197 * CHOOSE(CONTROL!$C$15, $E$9, 100%, $G$9) + CHOOSE(CONTROL!$C$38, 0.0256, 0)</f>
        <v>22.2453</v>
      </c>
      <c r="G132" s="14">
        <f>21.2521 * CHOOSE(CONTROL!$C$15, $E$9, 100%, $G$9) + CHOOSE(CONTROL!$C$38, 0.0347, 0)</f>
        <v>21.286799999999999</v>
      </c>
      <c r="H132" s="14">
        <f>21.2521 * CHOOSE(CONTROL!$C$15, $E$9, 100%, $G$9) + CHOOSE(CONTROL!$C$38, 0.0347, 0)</f>
        <v>21.286799999999999</v>
      </c>
      <c r="I132" s="14">
        <f>21.2536 * CHOOSE(CONTROL!$C$15, $E$9, 100%, $G$9) + CHOOSE(CONTROL!$C$38, 0.0347, 0)</f>
        <v>21.2883</v>
      </c>
      <c r="J132" s="44">
        <f>122.6189</f>
        <v>122.6189</v>
      </c>
    </row>
    <row r="133" spans="1:10" ht="15" x14ac:dyDescent="0.2">
      <c r="A133" s="13">
        <v>44958</v>
      </c>
      <c r="B133" s="14">
        <f>22.7074 * CHOOSE(CONTROL!$C$15, $E$9, 100%, $G$9) + CHOOSE(CONTROL!$C$38, 0.0256, 0)</f>
        <v>22.733000000000001</v>
      </c>
      <c r="C133" s="14">
        <f>21.5831 * CHOOSE(CONTROL!$C$15, $E$9, 100%, $G$9) + CHOOSE(CONTROL!$C$38, 0.0347, 0)</f>
        <v>21.617800000000003</v>
      </c>
      <c r="D133" s="14">
        <f>21.5753 * CHOOSE(CONTROL!$C$15, $E$9, 100%, $G$9) + CHOOSE(CONTROL!$C$38, 0.0347, 0)</f>
        <v>21.61</v>
      </c>
      <c r="E133" s="46">
        <f>22.5512 * CHOOSE(CONTROL!$C$15, $E$9, 100%, $G$9) + CHOOSE(CONTROL!$C$38, 0.0347, 0)</f>
        <v>22.585900000000002</v>
      </c>
      <c r="F133" s="45">
        <f>22.5512 * CHOOSE(CONTROL!$C$15, $E$9, 100%, $G$9) + CHOOSE(CONTROL!$C$38, 0.0256, 0)</f>
        <v>22.576800000000002</v>
      </c>
      <c r="G133" s="14">
        <f>21.5816 * CHOOSE(CONTROL!$C$15, $E$9, 100%, $G$9) + CHOOSE(CONTROL!$C$38, 0.0347, 0)</f>
        <v>21.616300000000003</v>
      </c>
      <c r="H133" s="14">
        <f>21.5816 * CHOOSE(CONTROL!$C$15, $E$9, 100%, $G$9) + CHOOSE(CONTROL!$C$38, 0.0347, 0)</f>
        <v>21.616300000000003</v>
      </c>
      <c r="I133" s="14">
        <f>21.5831 * CHOOSE(CONTROL!$C$15, $E$9, 100%, $G$9) + CHOOSE(CONTROL!$C$38, 0.0347, 0)</f>
        <v>21.617800000000003</v>
      </c>
      <c r="J133" s="44">
        <f>122.53</f>
        <v>122.53</v>
      </c>
    </row>
    <row r="134" spans="1:10" ht="15" x14ac:dyDescent="0.2">
      <c r="A134" s="13">
        <v>44986</v>
      </c>
      <c r="B134" s="14">
        <f>22.0879 * CHOOSE(CONTROL!$C$15, $E$9, 100%, $G$9) + CHOOSE(CONTROL!$C$38, 0.0256, 0)</f>
        <v>22.113500000000002</v>
      </c>
      <c r="C134" s="14">
        <f>20.9616 * CHOOSE(CONTROL!$C$15, $E$9, 100%, $G$9) + CHOOSE(CONTROL!$C$38, 0.0347, 0)</f>
        <v>20.996300000000002</v>
      </c>
      <c r="D134" s="14">
        <f>20.9538 * CHOOSE(CONTROL!$C$15, $E$9, 100%, $G$9) + CHOOSE(CONTROL!$C$38, 0.0347, 0)</f>
        <v>20.988500000000002</v>
      </c>
      <c r="E134" s="46">
        <f>21.9316 * CHOOSE(CONTROL!$C$15, $E$9, 100%, $G$9) + CHOOSE(CONTROL!$C$38, 0.0347, 0)</f>
        <v>21.9663</v>
      </c>
      <c r="F134" s="45">
        <f>21.9316 * CHOOSE(CONTROL!$C$15, $E$9, 100%, $G$9) + CHOOSE(CONTROL!$C$38, 0.0256, 0)</f>
        <v>21.9572</v>
      </c>
      <c r="G134" s="14">
        <f>20.9601 * CHOOSE(CONTROL!$C$15, $E$9, 100%, $G$9) + CHOOSE(CONTROL!$C$38, 0.0347, 0)</f>
        <v>20.994800000000001</v>
      </c>
      <c r="H134" s="14">
        <f>20.9601 * CHOOSE(CONTROL!$C$15, $E$9, 100%, $G$9) + CHOOSE(CONTROL!$C$38, 0.0347, 0)</f>
        <v>20.994800000000001</v>
      </c>
      <c r="I134" s="14">
        <f>20.9616 * CHOOSE(CONTROL!$C$15, $E$9, 100%, $G$9) + CHOOSE(CONTROL!$C$38, 0.0347, 0)</f>
        <v>20.996300000000002</v>
      </c>
      <c r="J134" s="44">
        <f>129.2537</f>
        <v>129.25370000000001</v>
      </c>
    </row>
    <row r="135" spans="1:10" ht="15" x14ac:dyDescent="0.2">
      <c r="A135" s="13">
        <v>45017</v>
      </c>
      <c r="B135" s="14">
        <f>21.4864 * CHOOSE(CONTROL!$C$15, $E$9, 100%, $G$9) + CHOOSE(CONTROL!$C$38, 0.0256, 0)</f>
        <v>21.512</v>
      </c>
      <c r="C135" s="14">
        <f>20.3581 * CHOOSE(CONTROL!$C$15, $E$9, 100%, $G$9) + CHOOSE(CONTROL!$C$38, 0.0347, 0)</f>
        <v>20.392800000000001</v>
      </c>
      <c r="D135" s="14">
        <f>20.3503 * CHOOSE(CONTROL!$C$15, $E$9, 100%, $G$9) + CHOOSE(CONTROL!$C$38, 0.0347, 0)</f>
        <v>20.385000000000002</v>
      </c>
      <c r="E135" s="46">
        <f>21.3302 * CHOOSE(CONTROL!$C$15, $E$9, 100%, $G$9) + CHOOSE(CONTROL!$C$38, 0.0347, 0)</f>
        <v>21.364900000000002</v>
      </c>
      <c r="F135" s="45">
        <f>21.3302 * CHOOSE(CONTROL!$C$15, $E$9, 100%, $G$9) + CHOOSE(CONTROL!$C$38, 0.0256, 0)</f>
        <v>21.355800000000002</v>
      </c>
      <c r="G135" s="14">
        <f>20.3566 * CHOOSE(CONTROL!$C$15, $E$9, 100%, $G$9) + CHOOSE(CONTROL!$C$38, 0.0347, 0)</f>
        <v>20.391300000000001</v>
      </c>
      <c r="H135" s="14">
        <f>20.3566 * CHOOSE(CONTROL!$C$15, $E$9, 100%, $G$9) + CHOOSE(CONTROL!$C$38, 0.0347, 0)</f>
        <v>20.391300000000001</v>
      </c>
      <c r="I135" s="14">
        <f>20.3581 * CHOOSE(CONTROL!$C$15, $E$9, 100%, $G$9) + CHOOSE(CONTROL!$C$38, 0.0347, 0)</f>
        <v>20.392800000000001</v>
      </c>
      <c r="J135" s="44">
        <f>137.929</f>
        <v>137.929</v>
      </c>
    </row>
    <row r="136" spans="1:10" ht="15" x14ac:dyDescent="0.2">
      <c r="A136" s="13">
        <v>45047</v>
      </c>
      <c r="B136" s="14">
        <f>20.855 * CHOOSE(CONTROL!$C$15, $E$9, 100%, $G$9) + CHOOSE(CONTROL!$C$38, 0.0278, 0)</f>
        <v>20.8828</v>
      </c>
      <c r="C136" s="14">
        <f>19.7247 * CHOOSE(CONTROL!$C$15, $E$9, 100%, $G$9) + CHOOSE(CONTROL!$C$38, 0.0369, 0)</f>
        <v>19.761599999999998</v>
      </c>
      <c r="D136" s="14">
        <f>19.7169 * CHOOSE(CONTROL!$C$15, $E$9, 100%, $G$9) + CHOOSE(CONTROL!$C$38, 0.0369, 0)</f>
        <v>19.753799999999998</v>
      </c>
      <c r="E136" s="46">
        <f>20.6987 * CHOOSE(CONTROL!$C$15, $E$9, 100%, $G$9) + CHOOSE(CONTROL!$C$38, 0.0369, 0)</f>
        <v>20.735599999999998</v>
      </c>
      <c r="F136" s="45">
        <f>20.6987 * CHOOSE(CONTROL!$C$15, $E$9, 100%, $G$9) + CHOOSE(CONTROL!$C$38, 0.0278, 0)</f>
        <v>20.726499999999998</v>
      </c>
      <c r="G136" s="14">
        <f>19.7232 * CHOOSE(CONTROL!$C$15, $E$9, 100%, $G$9) + CHOOSE(CONTROL!$C$38, 0.0369, 0)</f>
        <v>19.760099999999998</v>
      </c>
      <c r="H136" s="14">
        <f>19.7232 * CHOOSE(CONTROL!$C$15, $E$9, 100%, $G$9) + CHOOSE(CONTROL!$C$38, 0.0369, 0)</f>
        <v>19.760099999999998</v>
      </c>
      <c r="I136" s="14">
        <f>19.7247 * CHOOSE(CONTROL!$C$15, $E$9, 100%, $G$9) + CHOOSE(CONTROL!$C$38, 0.0369, 0)</f>
        <v>19.761599999999998</v>
      </c>
      <c r="J136" s="44">
        <f>142.8513</f>
        <v>142.85130000000001</v>
      </c>
    </row>
    <row r="137" spans="1:10" ht="15" x14ac:dyDescent="0.2">
      <c r="A137" s="13">
        <v>45078</v>
      </c>
      <c r="B137" s="14">
        <f>20.4229 * CHOOSE(CONTROL!$C$15, $E$9, 100%, $G$9) + CHOOSE(CONTROL!$C$38, 0.0278, 0)</f>
        <v>20.450699999999998</v>
      </c>
      <c r="C137" s="14">
        <f>19.2906 * CHOOSE(CONTROL!$C$15, $E$9, 100%, $G$9) + CHOOSE(CONTROL!$C$38, 0.0369, 0)</f>
        <v>19.327500000000001</v>
      </c>
      <c r="D137" s="14">
        <f>19.2828 * CHOOSE(CONTROL!$C$15, $E$9, 100%, $G$9) + CHOOSE(CONTROL!$C$38, 0.0369, 0)</f>
        <v>19.319700000000001</v>
      </c>
      <c r="E137" s="46">
        <f>20.2666 * CHOOSE(CONTROL!$C$15, $E$9, 100%, $G$9) + CHOOSE(CONTROL!$C$38, 0.0369, 0)</f>
        <v>20.3035</v>
      </c>
      <c r="F137" s="45">
        <f>20.2666 * CHOOSE(CONTROL!$C$15, $E$9, 100%, $G$9) + CHOOSE(CONTROL!$C$38, 0.0278, 0)</f>
        <v>20.2944</v>
      </c>
      <c r="G137" s="14">
        <f>19.2891 * CHOOSE(CONTROL!$C$15, $E$9, 100%, $G$9) + CHOOSE(CONTROL!$C$38, 0.0369, 0)</f>
        <v>19.326000000000001</v>
      </c>
      <c r="H137" s="14">
        <f>19.2891 * CHOOSE(CONTROL!$C$15, $E$9, 100%, $G$9) + CHOOSE(CONTROL!$C$38, 0.0369, 0)</f>
        <v>19.326000000000001</v>
      </c>
      <c r="I137" s="14">
        <f>19.2906 * CHOOSE(CONTROL!$C$15, $E$9, 100%, $G$9) + CHOOSE(CONTROL!$C$38, 0.0369, 0)</f>
        <v>19.327500000000001</v>
      </c>
      <c r="J137" s="44">
        <f>145.2081</f>
        <v>145.2081</v>
      </c>
    </row>
    <row r="138" spans="1:10" ht="15" x14ac:dyDescent="0.2">
      <c r="A138" s="13">
        <v>45108</v>
      </c>
      <c r="B138" s="14">
        <f>20.1928 * CHOOSE(CONTROL!$C$15, $E$9, 100%, $G$9) + CHOOSE(CONTROL!$C$38, 0.0278, 0)</f>
        <v>20.220599999999997</v>
      </c>
      <c r="C138" s="14">
        <f>19.0585 * CHOOSE(CONTROL!$C$15, $E$9, 100%, $G$9) + CHOOSE(CONTROL!$C$38, 0.0369, 0)</f>
        <v>19.095399999999998</v>
      </c>
      <c r="D138" s="14">
        <f>19.0507 * CHOOSE(CONTROL!$C$15, $E$9, 100%, $G$9) + CHOOSE(CONTROL!$C$38, 0.0369, 0)</f>
        <v>19.087599999999998</v>
      </c>
      <c r="E138" s="46">
        <f>20.0365 * CHOOSE(CONTROL!$C$15, $E$9, 100%, $G$9) + CHOOSE(CONTROL!$C$38, 0.0369, 0)</f>
        <v>20.073399999999999</v>
      </c>
      <c r="F138" s="45">
        <f>20.0365 * CHOOSE(CONTROL!$C$15, $E$9, 100%, $G$9) + CHOOSE(CONTROL!$C$38, 0.0278, 0)</f>
        <v>20.064299999999999</v>
      </c>
      <c r="G138" s="14">
        <f>19.0569 * CHOOSE(CONTROL!$C$15, $E$9, 100%, $G$9) + CHOOSE(CONTROL!$C$38, 0.0369, 0)</f>
        <v>19.093799999999998</v>
      </c>
      <c r="H138" s="14">
        <f>19.0569 * CHOOSE(CONTROL!$C$15, $E$9, 100%, $G$9) + CHOOSE(CONTROL!$C$38, 0.0369, 0)</f>
        <v>19.093799999999998</v>
      </c>
      <c r="I138" s="14">
        <f>19.0585 * CHOOSE(CONTROL!$C$15, $E$9, 100%, $G$9) + CHOOSE(CONTROL!$C$38, 0.0369, 0)</f>
        <v>19.095399999999998</v>
      </c>
      <c r="J138" s="44">
        <f>144.8267</f>
        <v>144.82669999999999</v>
      </c>
    </row>
    <row r="139" spans="1:10" ht="15" x14ac:dyDescent="0.2">
      <c r="A139" s="13">
        <v>45139</v>
      </c>
      <c r="B139" s="14">
        <f>20.3671 * CHOOSE(CONTROL!$C$15, $E$9, 100%, $G$9) + CHOOSE(CONTROL!$C$38, 0.0278, 0)</f>
        <v>20.3949</v>
      </c>
      <c r="C139" s="14">
        <f>19.2308 * CHOOSE(CONTROL!$C$15, $E$9, 100%, $G$9) + CHOOSE(CONTROL!$C$38, 0.0369, 0)</f>
        <v>19.267699999999998</v>
      </c>
      <c r="D139" s="14">
        <f>19.223 * CHOOSE(CONTROL!$C$15, $E$9, 100%, $G$9) + CHOOSE(CONTROL!$C$38, 0.0369, 0)</f>
        <v>19.259899999999998</v>
      </c>
      <c r="E139" s="46">
        <f>20.2108 * CHOOSE(CONTROL!$C$15, $E$9, 100%, $G$9) + CHOOSE(CONTROL!$C$38, 0.0369, 0)</f>
        <v>20.247699999999998</v>
      </c>
      <c r="F139" s="45">
        <f>20.2108 * CHOOSE(CONTROL!$C$15, $E$9, 100%, $G$9) + CHOOSE(CONTROL!$C$38, 0.0278, 0)</f>
        <v>20.238599999999998</v>
      </c>
      <c r="G139" s="14">
        <f>19.2292 * CHOOSE(CONTROL!$C$15, $E$9, 100%, $G$9) + CHOOSE(CONTROL!$C$38, 0.0369, 0)</f>
        <v>19.266099999999998</v>
      </c>
      <c r="H139" s="14">
        <f>19.2292 * CHOOSE(CONTROL!$C$15, $E$9, 100%, $G$9) + CHOOSE(CONTROL!$C$38, 0.0369, 0)</f>
        <v>19.266099999999998</v>
      </c>
      <c r="I139" s="14">
        <f>19.2308 * CHOOSE(CONTROL!$C$15, $E$9, 100%, $G$9) + CHOOSE(CONTROL!$C$38, 0.0369, 0)</f>
        <v>19.267699999999998</v>
      </c>
      <c r="J139" s="44">
        <f>141.7466</f>
        <v>141.7466</v>
      </c>
    </row>
    <row r="140" spans="1:10" ht="15" x14ac:dyDescent="0.2">
      <c r="A140" s="13">
        <v>45170</v>
      </c>
      <c r="B140" s="14">
        <f>20.7724 * CHOOSE(CONTROL!$C$15, $E$9, 100%, $G$9) + CHOOSE(CONTROL!$C$38, 0.0278, 0)</f>
        <v>20.8002</v>
      </c>
      <c r="C140" s="14">
        <f>19.6341 * CHOOSE(CONTROL!$C$15, $E$9, 100%, $G$9) + CHOOSE(CONTROL!$C$38, 0.0369, 0)</f>
        <v>19.670999999999999</v>
      </c>
      <c r="D140" s="14">
        <f>19.6263 * CHOOSE(CONTROL!$C$15, $E$9, 100%, $G$9) + CHOOSE(CONTROL!$C$38, 0.0369, 0)</f>
        <v>19.6632</v>
      </c>
      <c r="E140" s="46">
        <f>20.6162 * CHOOSE(CONTROL!$C$15, $E$9, 100%, $G$9) + CHOOSE(CONTROL!$C$38, 0.0369, 0)</f>
        <v>20.653099999999998</v>
      </c>
      <c r="F140" s="45">
        <f>20.6162 * CHOOSE(CONTROL!$C$15, $E$9, 100%, $G$9) + CHOOSE(CONTROL!$C$38, 0.0278, 0)</f>
        <v>20.643999999999998</v>
      </c>
      <c r="G140" s="14">
        <f>19.6326 * CHOOSE(CONTROL!$C$15, $E$9, 100%, $G$9) + CHOOSE(CONTROL!$C$38, 0.0369, 0)</f>
        <v>19.669499999999999</v>
      </c>
      <c r="H140" s="14">
        <f>19.6326 * CHOOSE(CONTROL!$C$15, $E$9, 100%, $G$9) + CHOOSE(CONTROL!$C$38, 0.0369, 0)</f>
        <v>19.669499999999999</v>
      </c>
      <c r="I140" s="14">
        <f>19.6341 * CHOOSE(CONTROL!$C$15, $E$9, 100%, $G$9) + CHOOSE(CONTROL!$C$38, 0.0369, 0)</f>
        <v>19.670999999999999</v>
      </c>
      <c r="J140" s="44">
        <f>137.3174</f>
        <v>137.31739999999999</v>
      </c>
    </row>
    <row r="141" spans="1:10" ht="15" x14ac:dyDescent="0.2">
      <c r="A141" s="13">
        <v>45200</v>
      </c>
      <c r="B141" s="14">
        <f>21.12 * CHOOSE(CONTROL!$C$15, $E$9, 100%, $G$9) + CHOOSE(CONTROL!$C$38, 0.0256, 0)</f>
        <v>21.145600000000002</v>
      </c>
      <c r="C141" s="14">
        <f>19.9797 * CHOOSE(CONTROL!$C$15, $E$9, 100%, $G$9) + CHOOSE(CONTROL!$C$38, 0.0347, 0)</f>
        <v>20.014400000000002</v>
      </c>
      <c r="D141" s="14">
        <f>19.9719 * CHOOSE(CONTROL!$C$15, $E$9, 100%, $G$9) + CHOOSE(CONTROL!$C$38, 0.0347, 0)</f>
        <v>20.006600000000002</v>
      </c>
      <c r="E141" s="46">
        <f>20.9637 * CHOOSE(CONTROL!$C$15, $E$9, 100%, $G$9) + CHOOSE(CONTROL!$C$38, 0.0347, 0)</f>
        <v>20.9984</v>
      </c>
      <c r="F141" s="45">
        <f>20.9637 * CHOOSE(CONTROL!$C$15, $E$9, 100%, $G$9) + CHOOSE(CONTROL!$C$38, 0.0256, 0)</f>
        <v>20.9893</v>
      </c>
      <c r="G141" s="14">
        <f>19.9781 * CHOOSE(CONTROL!$C$15, $E$9, 100%, $G$9) + CHOOSE(CONTROL!$C$38, 0.0347, 0)</f>
        <v>20.012800000000002</v>
      </c>
      <c r="H141" s="14">
        <f>19.9781 * CHOOSE(CONTROL!$C$15, $E$9, 100%, $G$9) + CHOOSE(CONTROL!$C$38, 0.0347, 0)</f>
        <v>20.012800000000002</v>
      </c>
      <c r="I141" s="14">
        <f>19.9797 * CHOOSE(CONTROL!$C$15, $E$9, 100%, $G$9) + CHOOSE(CONTROL!$C$38, 0.0347, 0)</f>
        <v>20.014400000000002</v>
      </c>
      <c r="J141" s="44">
        <f>132.8419</f>
        <v>132.84190000000001</v>
      </c>
    </row>
    <row r="142" spans="1:10" ht="15" x14ac:dyDescent="0.2">
      <c r="A142" s="13">
        <v>45231</v>
      </c>
      <c r="B142" s="14">
        <f>21.4181 * CHOOSE(CONTROL!$C$15, $E$9, 100%, $G$9) + CHOOSE(CONTROL!$C$38, 0.0256, 0)</f>
        <v>21.4437</v>
      </c>
      <c r="C142" s="14">
        <f>20.2758 * CHOOSE(CONTROL!$C$15, $E$9, 100%, $G$9) + CHOOSE(CONTROL!$C$38, 0.0347, 0)</f>
        <v>20.310500000000001</v>
      </c>
      <c r="D142" s="14">
        <f>20.268 * CHOOSE(CONTROL!$C$15, $E$9, 100%, $G$9) + CHOOSE(CONTROL!$C$38, 0.0347, 0)</f>
        <v>20.302700000000002</v>
      </c>
      <c r="E142" s="46">
        <f>21.2619 * CHOOSE(CONTROL!$C$15, $E$9, 100%, $G$9) + CHOOSE(CONTROL!$C$38, 0.0347, 0)</f>
        <v>21.296600000000002</v>
      </c>
      <c r="F142" s="45">
        <f>21.2619 * CHOOSE(CONTROL!$C$15, $E$9, 100%, $G$9) + CHOOSE(CONTROL!$C$38, 0.0256, 0)</f>
        <v>21.287500000000001</v>
      </c>
      <c r="G142" s="14">
        <f>20.2742 * CHOOSE(CONTROL!$C$15, $E$9, 100%, $G$9) + CHOOSE(CONTROL!$C$38, 0.0347, 0)</f>
        <v>20.308900000000001</v>
      </c>
      <c r="H142" s="14">
        <f>20.2742 * CHOOSE(CONTROL!$C$15, $E$9, 100%, $G$9) + CHOOSE(CONTROL!$C$38, 0.0347, 0)</f>
        <v>20.308900000000001</v>
      </c>
      <c r="I142" s="14">
        <f>20.2758 * CHOOSE(CONTROL!$C$15, $E$9, 100%, $G$9) + CHOOSE(CONTROL!$C$38, 0.0347, 0)</f>
        <v>20.310500000000001</v>
      </c>
      <c r="J142" s="44">
        <f>132.1671</f>
        <v>132.1671</v>
      </c>
    </row>
    <row r="143" spans="1:10" ht="15" x14ac:dyDescent="0.2">
      <c r="A143" s="13">
        <v>45261</v>
      </c>
      <c r="B143" s="14">
        <f>22.2512 * CHOOSE(CONTROL!$C$15, $E$9, 100%, $G$9) + CHOOSE(CONTROL!$C$38, 0.0256, 0)</f>
        <v>22.276800000000001</v>
      </c>
      <c r="C143" s="14">
        <f>21.1068 * CHOOSE(CONTROL!$C$15, $E$9, 100%, $G$9) + CHOOSE(CONTROL!$C$38, 0.0347, 0)</f>
        <v>21.141500000000001</v>
      </c>
      <c r="D143" s="14">
        <f>21.099 * CHOOSE(CONTROL!$C$15, $E$9, 100%, $G$9) + CHOOSE(CONTROL!$C$38, 0.0347, 0)</f>
        <v>21.133700000000001</v>
      </c>
      <c r="E143" s="46">
        <f>22.0949 * CHOOSE(CONTROL!$C$15, $E$9, 100%, $G$9) + CHOOSE(CONTROL!$C$38, 0.0347, 0)</f>
        <v>22.1296</v>
      </c>
      <c r="F143" s="45">
        <f>22.0949 * CHOOSE(CONTROL!$C$15, $E$9, 100%, $G$9) + CHOOSE(CONTROL!$C$38, 0.0256, 0)</f>
        <v>22.1205</v>
      </c>
      <c r="G143" s="14">
        <f>21.1052 * CHOOSE(CONTROL!$C$15, $E$9, 100%, $G$9) + CHOOSE(CONTROL!$C$38, 0.0347, 0)</f>
        <v>21.139900000000001</v>
      </c>
      <c r="H143" s="14">
        <f>21.1052 * CHOOSE(CONTROL!$C$15, $E$9, 100%, $G$9) + CHOOSE(CONTROL!$C$38, 0.0347, 0)</f>
        <v>21.139900000000001</v>
      </c>
      <c r="I143" s="14">
        <f>21.1068 * CHOOSE(CONTROL!$C$15, $E$9, 100%, $G$9) + CHOOSE(CONTROL!$C$38, 0.0347, 0)</f>
        <v>21.141500000000001</v>
      </c>
      <c r="J143" s="44">
        <f>128.5092</f>
        <v>128.50919999999999</v>
      </c>
    </row>
    <row r="144" spans="1:10" ht="15" x14ac:dyDescent="0.2">
      <c r="A144" s="13">
        <v>45292</v>
      </c>
      <c r="B144" s="14">
        <f>23.5321 * CHOOSE(CONTROL!$C$15, $E$9, 100%, $G$9) + CHOOSE(CONTROL!$C$38, 0.0256, 0)</f>
        <v>23.557700000000001</v>
      </c>
      <c r="C144" s="14">
        <f>22.2433 * CHOOSE(CONTROL!$C$15, $E$9, 100%, $G$9) + CHOOSE(CONTROL!$C$38, 0.0347, 0)</f>
        <v>22.278000000000002</v>
      </c>
      <c r="D144" s="14">
        <f>22.2355 * CHOOSE(CONTROL!$C$15, $E$9, 100%, $G$9) + CHOOSE(CONTROL!$C$38, 0.0347, 0)</f>
        <v>22.270199999999999</v>
      </c>
      <c r="E144" s="46">
        <f>23.3759 * CHOOSE(CONTROL!$C$15, $E$9, 100%, $G$9) + CHOOSE(CONTROL!$C$38, 0.0347, 0)</f>
        <v>23.410600000000002</v>
      </c>
      <c r="F144" s="45">
        <f>23.3759 * CHOOSE(CONTROL!$C$15, $E$9, 100%, $G$9) + CHOOSE(CONTROL!$C$38, 0.0256, 0)</f>
        <v>23.401500000000002</v>
      </c>
      <c r="G144" s="14">
        <f>22.2417 * CHOOSE(CONTROL!$C$15, $E$9, 100%, $G$9) + CHOOSE(CONTROL!$C$38, 0.0347, 0)</f>
        <v>22.276400000000002</v>
      </c>
      <c r="H144" s="14">
        <f>22.2417 * CHOOSE(CONTROL!$C$15, $E$9, 100%, $G$9) + CHOOSE(CONTROL!$C$38, 0.0347, 0)</f>
        <v>22.276400000000002</v>
      </c>
      <c r="I144" s="14">
        <f>22.2433 * CHOOSE(CONTROL!$C$15, $E$9, 100%, $G$9) + CHOOSE(CONTROL!$C$38, 0.0347, 0)</f>
        <v>22.278000000000002</v>
      </c>
      <c r="J144" s="44">
        <f>128.8694</f>
        <v>128.86940000000001</v>
      </c>
    </row>
    <row r="145" spans="1:10" ht="15" x14ac:dyDescent="0.2">
      <c r="A145" s="13">
        <v>45323</v>
      </c>
      <c r="B145" s="14">
        <f>23.8732 * CHOOSE(CONTROL!$C$15, $E$9, 100%, $G$9) + CHOOSE(CONTROL!$C$38, 0.0256, 0)</f>
        <v>23.898800000000001</v>
      </c>
      <c r="C145" s="14">
        <f>22.582 * CHOOSE(CONTROL!$C$15, $E$9, 100%, $G$9) + CHOOSE(CONTROL!$C$38, 0.0347, 0)</f>
        <v>22.616700000000002</v>
      </c>
      <c r="D145" s="14">
        <f>22.5742 * CHOOSE(CONTROL!$C$15, $E$9, 100%, $G$9) + CHOOSE(CONTROL!$C$38, 0.0347, 0)</f>
        <v>22.608900000000002</v>
      </c>
      <c r="E145" s="46">
        <f>23.7169 * CHOOSE(CONTROL!$C$15, $E$9, 100%, $G$9) + CHOOSE(CONTROL!$C$38, 0.0347, 0)</f>
        <v>23.7516</v>
      </c>
      <c r="F145" s="45">
        <f>23.7169 * CHOOSE(CONTROL!$C$15, $E$9, 100%, $G$9) + CHOOSE(CONTROL!$C$38, 0.0256, 0)</f>
        <v>23.7425</v>
      </c>
      <c r="G145" s="14">
        <f>22.5805 * CHOOSE(CONTROL!$C$15, $E$9, 100%, $G$9) + CHOOSE(CONTROL!$C$38, 0.0347, 0)</f>
        <v>22.615200000000002</v>
      </c>
      <c r="H145" s="14">
        <f>22.5805 * CHOOSE(CONTROL!$C$15, $E$9, 100%, $G$9) + CHOOSE(CONTROL!$C$38, 0.0347, 0)</f>
        <v>22.615200000000002</v>
      </c>
      <c r="I145" s="14">
        <f>22.582 * CHOOSE(CONTROL!$C$15, $E$9, 100%, $G$9) + CHOOSE(CONTROL!$C$38, 0.0347, 0)</f>
        <v>22.616700000000002</v>
      </c>
      <c r="J145" s="44">
        <f>128.7759</f>
        <v>128.77590000000001</v>
      </c>
    </row>
    <row r="146" spans="1:10" ht="15" x14ac:dyDescent="0.2">
      <c r="A146" s="13">
        <v>45352</v>
      </c>
      <c r="B146" s="14">
        <f>23.2394 * CHOOSE(CONTROL!$C$15, $E$9, 100%, $G$9) + CHOOSE(CONTROL!$C$38, 0.0256, 0)</f>
        <v>23.265000000000001</v>
      </c>
      <c r="C146" s="14">
        <f>21.946 * CHOOSE(CONTROL!$C$15, $E$9, 100%, $G$9) + CHOOSE(CONTROL!$C$38, 0.0347, 0)</f>
        <v>21.980700000000002</v>
      </c>
      <c r="D146" s="14">
        <f>21.9381 * CHOOSE(CONTROL!$C$15, $E$9, 100%, $G$9) + CHOOSE(CONTROL!$C$38, 0.0347, 0)</f>
        <v>21.972799999999999</v>
      </c>
      <c r="E146" s="46">
        <f>23.0832 * CHOOSE(CONTROL!$C$15, $E$9, 100%, $G$9) + CHOOSE(CONTROL!$C$38, 0.0347, 0)</f>
        <v>23.117900000000002</v>
      </c>
      <c r="F146" s="45">
        <f>23.0832 * CHOOSE(CONTROL!$C$15, $E$9, 100%, $G$9) + CHOOSE(CONTROL!$C$38, 0.0256, 0)</f>
        <v>23.108800000000002</v>
      </c>
      <c r="G146" s="14">
        <f>21.9444 * CHOOSE(CONTROL!$C$15, $E$9, 100%, $G$9) + CHOOSE(CONTROL!$C$38, 0.0347, 0)</f>
        <v>21.979100000000003</v>
      </c>
      <c r="H146" s="14">
        <f>21.9444 * CHOOSE(CONTROL!$C$15, $E$9, 100%, $G$9) + CHOOSE(CONTROL!$C$38, 0.0347, 0)</f>
        <v>21.979100000000003</v>
      </c>
      <c r="I146" s="14">
        <f>21.946 * CHOOSE(CONTROL!$C$15, $E$9, 100%, $G$9) + CHOOSE(CONTROL!$C$38, 0.0347, 0)</f>
        <v>21.980700000000002</v>
      </c>
      <c r="J146" s="44">
        <f>135.8424</f>
        <v>135.8424</v>
      </c>
    </row>
    <row r="147" spans="1:10" ht="15" x14ac:dyDescent="0.2">
      <c r="A147" s="13">
        <v>45383</v>
      </c>
      <c r="B147" s="14">
        <f>22.6242 * CHOOSE(CONTROL!$C$15, $E$9, 100%, $G$9) + CHOOSE(CONTROL!$C$38, 0.0256, 0)</f>
        <v>22.649799999999999</v>
      </c>
      <c r="C147" s="14">
        <f>21.3283 * CHOOSE(CONTROL!$C$15, $E$9, 100%, $G$9) + CHOOSE(CONTROL!$C$38, 0.0347, 0)</f>
        <v>21.363</v>
      </c>
      <c r="D147" s="14">
        <f>21.3205 * CHOOSE(CONTROL!$C$15, $E$9, 100%, $G$9) + CHOOSE(CONTROL!$C$38, 0.0347, 0)</f>
        <v>21.3552</v>
      </c>
      <c r="E147" s="46">
        <f>22.4679 * CHOOSE(CONTROL!$C$15, $E$9, 100%, $G$9) + CHOOSE(CONTROL!$C$38, 0.0347, 0)</f>
        <v>22.502600000000001</v>
      </c>
      <c r="F147" s="45">
        <f>22.4679 * CHOOSE(CONTROL!$C$15, $E$9, 100%, $G$9) + CHOOSE(CONTROL!$C$38, 0.0256, 0)</f>
        <v>22.493500000000001</v>
      </c>
      <c r="G147" s="14">
        <f>21.3268 * CHOOSE(CONTROL!$C$15, $E$9, 100%, $G$9) + CHOOSE(CONTROL!$C$38, 0.0347, 0)</f>
        <v>21.361499999999999</v>
      </c>
      <c r="H147" s="14">
        <f>21.3268 * CHOOSE(CONTROL!$C$15, $E$9, 100%, $G$9) + CHOOSE(CONTROL!$C$38, 0.0347, 0)</f>
        <v>21.361499999999999</v>
      </c>
      <c r="I147" s="14">
        <f>21.3283 * CHOOSE(CONTROL!$C$15, $E$9, 100%, $G$9) + CHOOSE(CONTROL!$C$38, 0.0347, 0)</f>
        <v>21.363</v>
      </c>
      <c r="J147" s="44">
        <f>144.9599</f>
        <v>144.9599</v>
      </c>
    </row>
    <row r="148" spans="1:10" ht="15" x14ac:dyDescent="0.2">
      <c r="A148" s="13">
        <v>45413</v>
      </c>
      <c r="B148" s="14">
        <f>21.9782 * CHOOSE(CONTROL!$C$15, $E$9, 100%, $G$9) + CHOOSE(CONTROL!$C$38, 0.0278, 0)</f>
        <v>22.006</v>
      </c>
      <c r="C148" s="14">
        <f>20.6801 * CHOOSE(CONTROL!$C$15, $E$9, 100%, $G$9) + CHOOSE(CONTROL!$C$38, 0.0369, 0)</f>
        <v>20.716999999999999</v>
      </c>
      <c r="D148" s="14">
        <f>20.6722 * CHOOSE(CONTROL!$C$15, $E$9, 100%, $G$9) + CHOOSE(CONTROL!$C$38, 0.0369, 0)</f>
        <v>20.709099999999999</v>
      </c>
      <c r="E148" s="46">
        <f>21.822 * CHOOSE(CONTROL!$C$15, $E$9, 100%, $G$9) + CHOOSE(CONTROL!$C$38, 0.0369, 0)</f>
        <v>21.858899999999998</v>
      </c>
      <c r="F148" s="45">
        <f>21.822 * CHOOSE(CONTROL!$C$15, $E$9, 100%, $G$9) + CHOOSE(CONTROL!$C$38, 0.0278, 0)</f>
        <v>21.849799999999998</v>
      </c>
      <c r="G148" s="14">
        <f>20.6785 * CHOOSE(CONTROL!$C$15, $E$9, 100%, $G$9) + CHOOSE(CONTROL!$C$38, 0.0369, 0)</f>
        <v>20.715399999999999</v>
      </c>
      <c r="H148" s="14">
        <f>20.6785 * CHOOSE(CONTROL!$C$15, $E$9, 100%, $G$9) + CHOOSE(CONTROL!$C$38, 0.0369, 0)</f>
        <v>20.715399999999999</v>
      </c>
      <c r="I148" s="14">
        <f>20.6801 * CHOOSE(CONTROL!$C$15, $E$9, 100%, $G$9) + CHOOSE(CONTROL!$C$38, 0.0369, 0)</f>
        <v>20.716999999999999</v>
      </c>
      <c r="J148" s="44">
        <f>150.1331</f>
        <v>150.13310000000001</v>
      </c>
    </row>
    <row r="149" spans="1:10" ht="15" x14ac:dyDescent="0.2">
      <c r="A149" s="13">
        <v>45444</v>
      </c>
      <c r="B149" s="14">
        <f>21.5366 * CHOOSE(CONTROL!$C$15, $E$9, 100%, $G$9) + CHOOSE(CONTROL!$C$38, 0.0278, 0)</f>
        <v>21.564399999999999</v>
      </c>
      <c r="C149" s="14">
        <f>20.2361 * CHOOSE(CONTROL!$C$15, $E$9, 100%, $G$9) + CHOOSE(CONTROL!$C$38, 0.0369, 0)</f>
        <v>20.273</v>
      </c>
      <c r="D149" s="14">
        <f>20.2283 * CHOOSE(CONTROL!$C$15, $E$9, 100%, $G$9) + CHOOSE(CONTROL!$C$38, 0.0369, 0)</f>
        <v>20.2652</v>
      </c>
      <c r="E149" s="46">
        <f>21.3804 * CHOOSE(CONTROL!$C$15, $E$9, 100%, $G$9) + CHOOSE(CONTROL!$C$38, 0.0369, 0)</f>
        <v>21.417300000000001</v>
      </c>
      <c r="F149" s="45">
        <f>21.3804 * CHOOSE(CONTROL!$C$15, $E$9, 100%, $G$9) + CHOOSE(CONTROL!$C$38, 0.0278, 0)</f>
        <v>21.408200000000001</v>
      </c>
      <c r="G149" s="14">
        <f>20.2345 * CHOOSE(CONTROL!$C$15, $E$9, 100%, $G$9) + CHOOSE(CONTROL!$C$38, 0.0369, 0)</f>
        <v>20.2714</v>
      </c>
      <c r="H149" s="14">
        <f>20.2345 * CHOOSE(CONTROL!$C$15, $E$9, 100%, $G$9) + CHOOSE(CONTROL!$C$38, 0.0369, 0)</f>
        <v>20.2714</v>
      </c>
      <c r="I149" s="14">
        <f>20.2361 * CHOOSE(CONTROL!$C$15, $E$9, 100%, $G$9) + CHOOSE(CONTROL!$C$38, 0.0369, 0)</f>
        <v>20.273</v>
      </c>
      <c r="J149" s="44">
        <f>152.6101</f>
        <v>152.61009999999999</v>
      </c>
    </row>
    <row r="150" spans="1:10" ht="15" x14ac:dyDescent="0.2">
      <c r="A150" s="13">
        <v>45474</v>
      </c>
      <c r="B150" s="14">
        <f>21.302 * CHOOSE(CONTROL!$C$15, $E$9, 100%, $G$9) + CHOOSE(CONTROL!$C$38, 0.0278, 0)</f>
        <v>21.329799999999999</v>
      </c>
      <c r="C150" s="14">
        <f>19.9991 * CHOOSE(CONTROL!$C$15, $E$9, 100%, $G$9) + CHOOSE(CONTROL!$C$38, 0.0369, 0)</f>
        <v>20.035999999999998</v>
      </c>
      <c r="D150" s="14">
        <f>19.9913 * CHOOSE(CONTROL!$C$15, $E$9, 100%, $G$9) + CHOOSE(CONTROL!$C$38, 0.0369, 0)</f>
        <v>20.028199999999998</v>
      </c>
      <c r="E150" s="46">
        <f>21.1457 * CHOOSE(CONTROL!$C$15, $E$9, 100%, $G$9) + CHOOSE(CONTROL!$C$38, 0.0369, 0)</f>
        <v>21.182600000000001</v>
      </c>
      <c r="F150" s="45">
        <f>21.1457 * CHOOSE(CONTROL!$C$15, $E$9, 100%, $G$9) + CHOOSE(CONTROL!$C$38, 0.0278, 0)</f>
        <v>21.173500000000001</v>
      </c>
      <c r="G150" s="14">
        <f>19.9975 * CHOOSE(CONTROL!$C$15, $E$9, 100%, $G$9) + CHOOSE(CONTROL!$C$38, 0.0369, 0)</f>
        <v>20.034399999999998</v>
      </c>
      <c r="H150" s="14">
        <f>19.9975 * CHOOSE(CONTROL!$C$15, $E$9, 100%, $G$9) + CHOOSE(CONTROL!$C$38, 0.0369, 0)</f>
        <v>20.034399999999998</v>
      </c>
      <c r="I150" s="14">
        <f>19.9991 * CHOOSE(CONTROL!$C$15, $E$9, 100%, $G$9) + CHOOSE(CONTROL!$C$38, 0.0369, 0)</f>
        <v>20.035999999999998</v>
      </c>
      <c r="J150" s="44">
        <f>152.2093</f>
        <v>152.20930000000001</v>
      </c>
    </row>
    <row r="151" spans="1:10" ht="15" x14ac:dyDescent="0.2">
      <c r="A151" s="13">
        <v>45505</v>
      </c>
      <c r="B151" s="14">
        <f>21.4819 * CHOOSE(CONTROL!$C$15, $E$9, 100%, $G$9) + CHOOSE(CONTROL!$C$38, 0.0278, 0)</f>
        <v>21.509699999999999</v>
      </c>
      <c r="C151" s="14">
        <f>20.1767 * CHOOSE(CONTROL!$C$15, $E$9, 100%, $G$9) + CHOOSE(CONTROL!$C$38, 0.0369, 0)</f>
        <v>20.2136</v>
      </c>
      <c r="D151" s="14">
        <f>20.1689 * CHOOSE(CONTROL!$C$15, $E$9, 100%, $G$9) + CHOOSE(CONTROL!$C$38, 0.0369, 0)</f>
        <v>20.2058</v>
      </c>
      <c r="E151" s="46">
        <f>21.3257 * CHOOSE(CONTROL!$C$15, $E$9, 100%, $G$9) + CHOOSE(CONTROL!$C$38, 0.0369, 0)</f>
        <v>21.3626</v>
      </c>
      <c r="F151" s="45">
        <f>21.3257 * CHOOSE(CONTROL!$C$15, $E$9, 100%, $G$9) + CHOOSE(CONTROL!$C$38, 0.0278, 0)</f>
        <v>21.3535</v>
      </c>
      <c r="G151" s="14">
        <f>20.1751 * CHOOSE(CONTROL!$C$15, $E$9, 100%, $G$9) + CHOOSE(CONTROL!$C$38, 0.0369, 0)</f>
        <v>20.212</v>
      </c>
      <c r="H151" s="14">
        <f>20.1751 * CHOOSE(CONTROL!$C$15, $E$9, 100%, $G$9) + CHOOSE(CONTROL!$C$38, 0.0369, 0)</f>
        <v>20.212</v>
      </c>
      <c r="I151" s="14">
        <f>20.1767 * CHOOSE(CONTROL!$C$15, $E$9, 100%, $G$9) + CHOOSE(CONTROL!$C$38, 0.0369, 0)</f>
        <v>20.2136</v>
      </c>
      <c r="J151" s="44">
        <f>148.9721</f>
        <v>148.97210000000001</v>
      </c>
    </row>
    <row r="152" spans="1:10" ht="15" x14ac:dyDescent="0.2">
      <c r="A152" s="13">
        <v>45536</v>
      </c>
      <c r="B152" s="14">
        <f>21.8987 * CHOOSE(CONTROL!$C$15, $E$9, 100%, $G$9) + CHOOSE(CONTROL!$C$38, 0.0278, 0)</f>
        <v>21.926500000000001</v>
      </c>
      <c r="C152" s="14">
        <f>20.5911 * CHOOSE(CONTROL!$C$15, $E$9, 100%, $G$9) + CHOOSE(CONTROL!$C$38, 0.0369, 0)</f>
        <v>20.628</v>
      </c>
      <c r="D152" s="14">
        <f>20.5833 * CHOOSE(CONTROL!$C$15, $E$9, 100%, $G$9) + CHOOSE(CONTROL!$C$38, 0.0369, 0)</f>
        <v>20.620200000000001</v>
      </c>
      <c r="E152" s="46">
        <f>21.7425 * CHOOSE(CONTROL!$C$15, $E$9, 100%, $G$9) + CHOOSE(CONTROL!$C$38, 0.0369, 0)</f>
        <v>21.779399999999999</v>
      </c>
      <c r="F152" s="45">
        <f>21.7425 * CHOOSE(CONTROL!$C$15, $E$9, 100%, $G$9) + CHOOSE(CONTROL!$C$38, 0.0278, 0)</f>
        <v>21.770299999999999</v>
      </c>
      <c r="G152" s="14">
        <f>20.5895 * CHOOSE(CONTROL!$C$15, $E$9, 100%, $G$9) + CHOOSE(CONTROL!$C$38, 0.0369, 0)</f>
        <v>20.6264</v>
      </c>
      <c r="H152" s="14">
        <f>20.5895 * CHOOSE(CONTROL!$C$15, $E$9, 100%, $G$9) + CHOOSE(CONTROL!$C$38, 0.0369, 0)</f>
        <v>20.6264</v>
      </c>
      <c r="I152" s="14">
        <f>20.5911 * CHOOSE(CONTROL!$C$15, $E$9, 100%, $G$9) + CHOOSE(CONTROL!$C$38, 0.0369, 0)</f>
        <v>20.628</v>
      </c>
      <c r="J152" s="44">
        <f>144.3172</f>
        <v>144.31720000000001</v>
      </c>
    </row>
    <row r="153" spans="1:10" ht="15" x14ac:dyDescent="0.2">
      <c r="A153" s="13">
        <v>45566</v>
      </c>
      <c r="B153" s="14">
        <f>22.2563 * CHOOSE(CONTROL!$C$15, $E$9, 100%, $G$9) + CHOOSE(CONTROL!$C$38, 0.0256, 0)</f>
        <v>22.2819</v>
      </c>
      <c r="C153" s="14">
        <f>20.9463 * CHOOSE(CONTROL!$C$15, $E$9, 100%, $G$9) + CHOOSE(CONTROL!$C$38, 0.0347, 0)</f>
        <v>20.981000000000002</v>
      </c>
      <c r="D153" s="14">
        <f>20.9385 * CHOOSE(CONTROL!$C$15, $E$9, 100%, $G$9) + CHOOSE(CONTROL!$C$38, 0.0347, 0)</f>
        <v>20.973200000000002</v>
      </c>
      <c r="E153" s="46">
        <f>22.1 * CHOOSE(CONTROL!$C$15, $E$9, 100%, $G$9) + CHOOSE(CONTROL!$C$38, 0.0347, 0)</f>
        <v>22.134700000000002</v>
      </c>
      <c r="F153" s="45">
        <f>22.1 * CHOOSE(CONTROL!$C$15, $E$9, 100%, $G$9) + CHOOSE(CONTROL!$C$38, 0.0256, 0)</f>
        <v>22.125600000000002</v>
      </c>
      <c r="G153" s="14">
        <f>20.9447 * CHOOSE(CONTROL!$C$15, $E$9, 100%, $G$9) + CHOOSE(CONTROL!$C$38, 0.0347, 0)</f>
        <v>20.979400000000002</v>
      </c>
      <c r="H153" s="14">
        <f>20.9447 * CHOOSE(CONTROL!$C$15, $E$9, 100%, $G$9) + CHOOSE(CONTROL!$C$38, 0.0347, 0)</f>
        <v>20.979400000000002</v>
      </c>
      <c r="I153" s="14">
        <f>20.9463 * CHOOSE(CONTROL!$C$15, $E$9, 100%, $G$9) + CHOOSE(CONTROL!$C$38, 0.0347, 0)</f>
        <v>20.981000000000002</v>
      </c>
      <c r="J153" s="44">
        <f>139.6136</f>
        <v>139.61359999999999</v>
      </c>
    </row>
    <row r="154" spans="1:10" ht="15" x14ac:dyDescent="0.2">
      <c r="A154" s="13">
        <v>45597</v>
      </c>
      <c r="B154" s="14">
        <f>22.5631 * CHOOSE(CONTROL!$C$15, $E$9, 100%, $G$9) + CHOOSE(CONTROL!$C$38, 0.0256, 0)</f>
        <v>22.588699999999999</v>
      </c>
      <c r="C154" s="14">
        <f>21.2508 * CHOOSE(CONTROL!$C$15, $E$9, 100%, $G$9) + CHOOSE(CONTROL!$C$38, 0.0347, 0)</f>
        <v>21.285500000000003</v>
      </c>
      <c r="D154" s="14">
        <f>21.243 * CHOOSE(CONTROL!$C$15, $E$9, 100%, $G$9) + CHOOSE(CONTROL!$C$38, 0.0347, 0)</f>
        <v>21.277699999999999</v>
      </c>
      <c r="E154" s="46">
        <f>22.4069 * CHOOSE(CONTROL!$C$15, $E$9, 100%, $G$9) + CHOOSE(CONTROL!$C$38, 0.0347, 0)</f>
        <v>22.441600000000001</v>
      </c>
      <c r="F154" s="45">
        <f>22.4069 * CHOOSE(CONTROL!$C$15, $E$9, 100%, $G$9) + CHOOSE(CONTROL!$C$38, 0.0256, 0)</f>
        <v>22.432500000000001</v>
      </c>
      <c r="G154" s="14">
        <f>21.2492 * CHOOSE(CONTROL!$C$15, $E$9, 100%, $G$9) + CHOOSE(CONTROL!$C$38, 0.0347, 0)</f>
        <v>21.283899999999999</v>
      </c>
      <c r="H154" s="14">
        <f>21.2492 * CHOOSE(CONTROL!$C$15, $E$9, 100%, $G$9) + CHOOSE(CONTROL!$C$38, 0.0347, 0)</f>
        <v>21.283899999999999</v>
      </c>
      <c r="I154" s="14">
        <f>21.2508 * CHOOSE(CONTROL!$C$15, $E$9, 100%, $G$9) + CHOOSE(CONTROL!$C$38, 0.0347, 0)</f>
        <v>21.285500000000003</v>
      </c>
      <c r="J154" s="44">
        <f>138.9043</f>
        <v>138.90430000000001</v>
      </c>
    </row>
    <row r="155" spans="1:10" ht="15" x14ac:dyDescent="0.2">
      <c r="A155" s="13">
        <v>45627</v>
      </c>
      <c r="B155" s="14">
        <f>23.4183 * CHOOSE(CONTROL!$C$15, $E$9, 100%, $G$9) + CHOOSE(CONTROL!$C$38, 0.0256, 0)</f>
        <v>23.443899999999999</v>
      </c>
      <c r="C155" s="14">
        <f>22.1035 * CHOOSE(CONTROL!$C$15, $E$9, 100%, $G$9) + CHOOSE(CONTROL!$C$38, 0.0347, 0)</f>
        <v>22.138200000000001</v>
      </c>
      <c r="D155" s="14">
        <f>22.0957 * CHOOSE(CONTROL!$C$15, $E$9, 100%, $G$9) + CHOOSE(CONTROL!$C$38, 0.0347, 0)</f>
        <v>22.130400000000002</v>
      </c>
      <c r="E155" s="46">
        <f>23.262 * CHOOSE(CONTROL!$C$15, $E$9, 100%, $G$9) + CHOOSE(CONTROL!$C$38, 0.0347, 0)</f>
        <v>23.296700000000001</v>
      </c>
      <c r="F155" s="45">
        <f>23.262 * CHOOSE(CONTROL!$C$15, $E$9, 100%, $G$9) + CHOOSE(CONTROL!$C$38, 0.0256, 0)</f>
        <v>23.287600000000001</v>
      </c>
      <c r="G155" s="14">
        <f>22.102 * CHOOSE(CONTROL!$C$15, $E$9, 100%, $G$9) + CHOOSE(CONTROL!$C$38, 0.0347, 0)</f>
        <v>22.136700000000001</v>
      </c>
      <c r="H155" s="14">
        <f>22.102 * CHOOSE(CONTROL!$C$15, $E$9, 100%, $G$9) + CHOOSE(CONTROL!$C$38, 0.0347, 0)</f>
        <v>22.136700000000001</v>
      </c>
      <c r="I155" s="14">
        <f>22.1035 * CHOOSE(CONTROL!$C$15, $E$9, 100%, $G$9) + CHOOSE(CONTROL!$C$38, 0.0347, 0)</f>
        <v>22.138200000000001</v>
      </c>
      <c r="J155" s="44">
        <f>135.0599</f>
        <v>135.0599</v>
      </c>
    </row>
    <row r="156" spans="1:10" ht="15" x14ac:dyDescent="0.2">
      <c r="A156" s="13">
        <v>45658</v>
      </c>
      <c r="B156" s="14">
        <f>24.6951 * CHOOSE(CONTROL!$C$15, $E$9, 100%, $G$9) + CHOOSE(CONTROL!$C$38, 0.0256, 0)</f>
        <v>24.720700000000001</v>
      </c>
      <c r="C156" s="14">
        <f>23.2382 * CHOOSE(CONTROL!$C$15, $E$9, 100%, $G$9) + CHOOSE(CONTROL!$C$38, 0.0347, 0)</f>
        <v>23.2729</v>
      </c>
      <c r="D156" s="14">
        <f>23.2304 * CHOOSE(CONTROL!$C$15, $E$9, 100%, $G$9) + CHOOSE(CONTROL!$C$38, 0.0347, 0)</f>
        <v>23.2651</v>
      </c>
      <c r="E156" s="46">
        <f>24.5389 * CHOOSE(CONTROL!$C$15, $E$9, 100%, $G$9) + CHOOSE(CONTROL!$C$38, 0.0347, 0)</f>
        <v>24.573600000000003</v>
      </c>
      <c r="F156" s="45">
        <f>24.5389 * CHOOSE(CONTROL!$C$15, $E$9, 100%, $G$9) + CHOOSE(CONTROL!$C$38, 0.0256, 0)</f>
        <v>24.564500000000002</v>
      </c>
      <c r="G156" s="14">
        <f>23.2366 * CHOOSE(CONTROL!$C$15, $E$9, 100%, $G$9) + CHOOSE(CONTROL!$C$38, 0.0347, 0)</f>
        <v>23.2713</v>
      </c>
      <c r="H156" s="14">
        <f>23.2366 * CHOOSE(CONTROL!$C$15, $E$9, 100%, $G$9) + CHOOSE(CONTROL!$C$38, 0.0347, 0)</f>
        <v>23.2713</v>
      </c>
      <c r="I156" s="14">
        <f>23.2382 * CHOOSE(CONTROL!$C$15, $E$9, 100%, $G$9) + CHOOSE(CONTROL!$C$38, 0.0347, 0)</f>
        <v>23.2729</v>
      </c>
      <c r="J156" s="44">
        <f>135.432</f>
        <v>135.43199999999999</v>
      </c>
    </row>
    <row r="157" spans="1:10" ht="15" x14ac:dyDescent="0.2">
      <c r="A157" s="13">
        <v>45689</v>
      </c>
      <c r="B157" s="14">
        <f>25.0459 * CHOOSE(CONTROL!$C$15, $E$9, 100%, $G$9) + CHOOSE(CONTROL!$C$38, 0.0256, 0)</f>
        <v>25.0715</v>
      </c>
      <c r="C157" s="14">
        <f>23.5863 * CHOOSE(CONTROL!$C$15, $E$9, 100%, $G$9) + CHOOSE(CONTROL!$C$38, 0.0347, 0)</f>
        <v>23.621000000000002</v>
      </c>
      <c r="D157" s="14">
        <f>23.5785 * CHOOSE(CONTROL!$C$15, $E$9, 100%, $G$9) + CHOOSE(CONTROL!$C$38, 0.0347, 0)</f>
        <v>23.613199999999999</v>
      </c>
      <c r="E157" s="46">
        <f>24.8897 * CHOOSE(CONTROL!$C$15, $E$9, 100%, $G$9) + CHOOSE(CONTROL!$C$38, 0.0347, 0)</f>
        <v>24.924400000000002</v>
      </c>
      <c r="F157" s="45">
        <f>24.8897 * CHOOSE(CONTROL!$C$15, $E$9, 100%, $G$9) + CHOOSE(CONTROL!$C$38, 0.0256, 0)</f>
        <v>24.915300000000002</v>
      </c>
      <c r="G157" s="14">
        <f>23.5848 * CHOOSE(CONTROL!$C$15, $E$9, 100%, $G$9) + CHOOSE(CONTROL!$C$38, 0.0347, 0)</f>
        <v>23.619500000000002</v>
      </c>
      <c r="H157" s="14">
        <f>23.5848 * CHOOSE(CONTROL!$C$15, $E$9, 100%, $G$9) + CHOOSE(CONTROL!$C$38, 0.0347, 0)</f>
        <v>23.619500000000002</v>
      </c>
      <c r="I157" s="14">
        <f>23.5863 * CHOOSE(CONTROL!$C$15, $E$9, 100%, $G$9) + CHOOSE(CONTROL!$C$38, 0.0347, 0)</f>
        <v>23.621000000000002</v>
      </c>
      <c r="J157" s="44">
        <f>135.3337</f>
        <v>135.33369999999999</v>
      </c>
    </row>
    <row r="158" spans="1:10" ht="15" x14ac:dyDescent="0.2">
      <c r="A158" s="13">
        <v>45717</v>
      </c>
      <c r="B158" s="14">
        <f>24.3976 * CHOOSE(CONTROL!$C$15, $E$9, 100%, $G$9) + CHOOSE(CONTROL!$C$38, 0.0256, 0)</f>
        <v>24.423200000000001</v>
      </c>
      <c r="C158" s="14">
        <f>22.9353 * CHOOSE(CONTROL!$C$15, $E$9, 100%, $G$9) + CHOOSE(CONTROL!$C$38, 0.0347, 0)</f>
        <v>22.970000000000002</v>
      </c>
      <c r="D158" s="14">
        <f>22.9274 * CHOOSE(CONTROL!$C$15, $E$9, 100%, $G$9) + CHOOSE(CONTROL!$C$38, 0.0347, 0)</f>
        <v>22.9621</v>
      </c>
      <c r="E158" s="46">
        <f>24.2413 * CHOOSE(CONTROL!$C$15, $E$9, 100%, $G$9) + CHOOSE(CONTROL!$C$38, 0.0347, 0)</f>
        <v>24.276</v>
      </c>
      <c r="F158" s="45">
        <f>24.2413 * CHOOSE(CONTROL!$C$15, $E$9, 100%, $G$9) + CHOOSE(CONTROL!$C$38, 0.0256, 0)</f>
        <v>24.2669</v>
      </c>
      <c r="G158" s="14">
        <f>22.9337 * CHOOSE(CONTROL!$C$15, $E$9, 100%, $G$9) + CHOOSE(CONTROL!$C$38, 0.0347, 0)</f>
        <v>22.968400000000003</v>
      </c>
      <c r="H158" s="14">
        <f>22.9337 * CHOOSE(CONTROL!$C$15, $E$9, 100%, $G$9) + CHOOSE(CONTROL!$C$38, 0.0347, 0)</f>
        <v>22.968400000000003</v>
      </c>
      <c r="I158" s="14">
        <f>22.9353 * CHOOSE(CONTROL!$C$15, $E$9, 100%, $G$9) + CHOOSE(CONTROL!$C$38, 0.0347, 0)</f>
        <v>22.970000000000002</v>
      </c>
      <c r="J158" s="44">
        <f>142.7601</f>
        <v>142.76009999999999</v>
      </c>
    </row>
    <row r="159" spans="1:10" ht="15" x14ac:dyDescent="0.2">
      <c r="A159" s="13">
        <v>45748</v>
      </c>
      <c r="B159" s="14">
        <f>23.7681 * CHOOSE(CONTROL!$C$15, $E$9, 100%, $G$9) + CHOOSE(CONTROL!$C$38, 0.0256, 0)</f>
        <v>23.793700000000001</v>
      </c>
      <c r="C159" s="14">
        <f>22.3031 * CHOOSE(CONTROL!$C$15, $E$9, 100%, $G$9) + CHOOSE(CONTROL!$C$38, 0.0347, 0)</f>
        <v>22.337800000000001</v>
      </c>
      <c r="D159" s="14">
        <f>22.2953 * CHOOSE(CONTROL!$C$15, $E$9, 100%, $G$9) + CHOOSE(CONTROL!$C$38, 0.0347, 0)</f>
        <v>22.330000000000002</v>
      </c>
      <c r="E159" s="46">
        <f>23.6119 * CHOOSE(CONTROL!$C$15, $E$9, 100%, $G$9) + CHOOSE(CONTROL!$C$38, 0.0347, 0)</f>
        <v>23.646599999999999</v>
      </c>
      <c r="F159" s="45">
        <f>23.6119 * CHOOSE(CONTROL!$C$15, $E$9, 100%, $G$9) + CHOOSE(CONTROL!$C$38, 0.0256, 0)</f>
        <v>23.637499999999999</v>
      </c>
      <c r="G159" s="14">
        <f>22.3016 * CHOOSE(CONTROL!$C$15, $E$9, 100%, $G$9) + CHOOSE(CONTROL!$C$38, 0.0347, 0)</f>
        <v>22.336300000000001</v>
      </c>
      <c r="H159" s="14">
        <f>22.3016 * CHOOSE(CONTROL!$C$15, $E$9, 100%, $G$9) + CHOOSE(CONTROL!$C$38, 0.0347, 0)</f>
        <v>22.336300000000001</v>
      </c>
      <c r="I159" s="14">
        <f>22.3031 * CHOOSE(CONTROL!$C$15, $E$9, 100%, $G$9) + CHOOSE(CONTROL!$C$38, 0.0347, 0)</f>
        <v>22.337800000000001</v>
      </c>
      <c r="J159" s="44">
        <f>152.3419</f>
        <v>152.34190000000001</v>
      </c>
    </row>
    <row r="160" spans="1:10" ht="15" x14ac:dyDescent="0.2">
      <c r="A160" s="13">
        <v>45778</v>
      </c>
      <c r="B160" s="14">
        <f>23.1073 * CHOOSE(CONTROL!$C$15, $E$9, 100%, $G$9) + CHOOSE(CONTROL!$C$38, 0.0278, 0)</f>
        <v>23.135099999999998</v>
      </c>
      <c r="C160" s="14">
        <f>21.6396 * CHOOSE(CONTROL!$C$15, $E$9, 100%, $G$9) + CHOOSE(CONTROL!$C$38, 0.0369, 0)</f>
        <v>21.676500000000001</v>
      </c>
      <c r="D160" s="14">
        <f>21.6318 * CHOOSE(CONTROL!$C$15, $E$9, 100%, $G$9) + CHOOSE(CONTROL!$C$38, 0.0369, 0)</f>
        <v>21.668699999999998</v>
      </c>
      <c r="E160" s="46">
        <f>22.951 * CHOOSE(CONTROL!$C$15, $E$9, 100%, $G$9) + CHOOSE(CONTROL!$C$38, 0.0369, 0)</f>
        <v>22.9879</v>
      </c>
      <c r="F160" s="45">
        <f>22.951 * CHOOSE(CONTROL!$C$15, $E$9, 100%, $G$9) + CHOOSE(CONTROL!$C$38, 0.0278, 0)</f>
        <v>22.9788</v>
      </c>
      <c r="G160" s="14">
        <f>21.638 * CHOOSE(CONTROL!$C$15, $E$9, 100%, $G$9) + CHOOSE(CONTROL!$C$38, 0.0369, 0)</f>
        <v>21.674900000000001</v>
      </c>
      <c r="H160" s="14">
        <f>21.638 * CHOOSE(CONTROL!$C$15, $E$9, 100%, $G$9) + CHOOSE(CONTROL!$C$38, 0.0369, 0)</f>
        <v>21.674900000000001</v>
      </c>
      <c r="I160" s="14">
        <f>21.6396 * CHOOSE(CONTROL!$C$15, $E$9, 100%, $G$9) + CHOOSE(CONTROL!$C$38, 0.0369, 0)</f>
        <v>21.676500000000001</v>
      </c>
      <c r="J160" s="44">
        <f>157.7785</f>
        <v>157.77850000000001</v>
      </c>
    </row>
    <row r="161" spans="1:10" ht="15" x14ac:dyDescent="0.2">
      <c r="A161" s="13">
        <v>45809</v>
      </c>
      <c r="B161" s="14">
        <f>22.6558 * CHOOSE(CONTROL!$C$15, $E$9, 100%, $G$9) + CHOOSE(CONTROL!$C$38, 0.0278, 0)</f>
        <v>22.683599999999998</v>
      </c>
      <c r="C161" s="14">
        <f>21.1854 * CHOOSE(CONTROL!$C$15, $E$9, 100%, $G$9) + CHOOSE(CONTROL!$C$38, 0.0369, 0)</f>
        <v>21.222300000000001</v>
      </c>
      <c r="D161" s="14">
        <f>21.1776 * CHOOSE(CONTROL!$C$15, $E$9, 100%, $G$9) + CHOOSE(CONTROL!$C$38, 0.0369, 0)</f>
        <v>21.214500000000001</v>
      </c>
      <c r="E161" s="46">
        <f>22.4996 * CHOOSE(CONTROL!$C$15, $E$9, 100%, $G$9) + CHOOSE(CONTROL!$C$38, 0.0369, 0)</f>
        <v>22.5365</v>
      </c>
      <c r="F161" s="45">
        <f>22.4996 * CHOOSE(CONTROL!$C$15, $E$9, 100%, $G$9) + CHOOSE(CONTROL!$C$38, 0.0278, 0)</f>
        <v>22.5274</v>
      </c>
      <c r="G161" s="14">
        <f>21.1839 * CHOOSE(CONTROL!$C$15, $E$9, 100%, $G$9) + CHOOSE(CONTROL!$C$38, 0.0369, 0)</f>
        <v>21.220800000000001</v>
      </c>
      <c r="H161" s="14">
        <f>21.1839 * CHOOSE(CONTROL!$C$15, $E$9, 100%, $G$9) + CHOOSE(CONTROL!$C$38, 0.0369, 0)</f>
        <v>21.220800000000001</v>
      </c>
      <c r="I161" s="14">
        <f>21.1854 * CHOOSE(CONTROL!$C$15, $E$9, 100%, $G$9) + CHOOSE(CONTROL!$C$38, 0.0369, 0)</f>
        <v>21.222300000000001</v>
      </c>
      <c r="J161" s="44">
        <f>160.3816</f>
        <v>160.38159999999999</v>
      </c>
    </row>
    <row r="162" spans="1:10" ht="15" x14ac:dyDescent="0.2">
      <c r="A162" s="13">
        <v>45839</v>
      </c>
      <c r="B162" s="14">
        <f>22.4166 * CHOOSE(CONTROL!$C$15, $E$9, 100%, $G$9) + CHOOSE(CONTROL!$C$38, 0.0278, 0)</f>
        <v>22.444399999999998</v>
      </c>
      <c r="C162" s="14">
        <f>20.9435 * CHOOSE(CONTROL!$C$15, $E$9, 100%, $G$9) + CHOOSE(CONTROL!$C$38, 0.0369, 0)</f>
        <v>20.980399999999999</v>
      </c>
      <c r="D162" s="14">
        <f>20.9357 * CHOOSE(CONTROL!$C$15, $E$9, 100%, $G$9) + CHOOSE(CONTROL!$C$38, 0.0369, 0)</f>
        <v>20.9726</v>
      </c>
      <c r="E162" s="46">
        <f>22.2603 * CHOOSE(CONTROL!$C$15, $E$9, 100%, $G$9) + CHOOSE(CONTROL!$C$38, 0.0369, 0)</f>
        <v>22.2972</v>
      </c>
      <c r="F162" s="45">
        <f>22.2603 * CHOOSE(CONTROL!$C$15, $E$9, 100%, $G$9) + CHOOSE(CONTROL!$C$38, 0.0278, 0)</f>
        <v>22.2881</v>
      </c>
      <c r="G162" s="14">
        <f>20.9419 * CHOOSE(CONTROL!$C$15, $E$9, 100%, $G$9) + CHOOSE(CONTROL!$C$38, 0.0369, 0)</f>
        <v>20.9788</v>
      </c>
      <c r="H162" s="14">
        <f>20.9419 * CHOOSE(CONTROL!$C$15, $E$9, 100%, $G$9) + CHOOSE(CONTROL!$C$38, 0.0369, 0)</f>
        <v>20.9788</v>
      </c>
      <c r="I162" s="14">
        <f>20.9435 * CHOOSE(CONTROL!$C$15, $E$9, 100%, $G$9) + CHOOSE(CONTROL!$C$38, 0.0369, 0)</f>
        <v>20.980399999999999</v>
      </c>
      <c r="J162" s="44">
        <f>159.9604</f>
        <v>159.96039999999999</v>
      </c>
    </row>
    <row r="163" spans="1:10" ht="15" x14ac:dyDescent="0.2">
      <c r="A163" s="13">
        <v>45870</v>
      </c>
      <c r="B163" s="14">
        <f>22.6023 * CHOOSE(CONTROL!$C$15, $E$9, 100%, $G$9) + CHOOSE(CONTROL!$C$38, 0.0278, 0)</f>
        <v>22.630099999999999</v>
      </c>
      <c r="C163" s="14">
        <f>21.1265 * CHOOSE(CONTROL!$C$15, $E$9, 100%, $G$9) + CHOOSE(CONTROL!$C$38, 0.0369, 0)</f>
        <v>21.163399999999999</v>
      </c>
      <c r="D163" s="14">
        <f>21.1186 * CHOOSE(CONTROL!$C$15, $E$9, 100%, $G$9) + CHOOSE(CONTROL!$C$38, 0.0369, 0)</f>
        <v>21.1555</v>
      </c>
      <c r="E163" s="46">
        <f>22.446 * CHOOSE(CONTROL!$C$15, $E$9, 100%, $G$9) + CHOOSE(CONTROL!$C$38, 0.0369, 0)</f>
        <v>22.482900000000001</v>
      </c>
      <c r="F163" s="45">
        <f>22.446 * CHOOSE(CONTROL!$C$15, $E$9, 100%, $G$9) + CHOOSE(CONTROL!$C$38, 0.0278, 0)</f>
        <v>22.473800000000001</v>
      </c>
      <c r="G163" s="14">
        <f>21.1249 * CHOOSE(CONTROL!$C$15, $E$9, 100%, $G$9) + CHOOSE(CONTROL!$C$38, 0.0369, 0)</f>
        <v>21.161799999999999</v>
      </c>
      <c r="H163" s="14">
        <f>21.1249 * CHOOSE(CONTROL!$C$15, $E$9, 100%, $G$9) + CHOOSE(CONTROL!$C$38, 0.0369, 0)</f>
        <v>21.161799999999999</v>
      </c>
      <c r="I163" s="14">
        <f>21.1265 * CHOOSE(CONTROL!$C$15, $E$9, 100%, $G$9) + CHOOSE(CONTROL!$C$38, 0.0369, 0)</f>
        <v>21.163399999999999</v>
      </c>
      <c r="J163" s="44">
        <f>156.5584</f>
        <v>156.55840000000001</v>
      </c>
    </row>
    <row r="164" spans="1:10" ht="15" x14ac:dyDescent="0.2">
      <c r="A164" s="13">
        <v>45901</v>
      </c>
      <c r="B164" s="14">
        <f>23.0307 * CHOOSE(CONTROL!$C$15, $E$9, 100%, $G$9) + CHOOSE(CONTROL!$C$38, 0.0278, 0)</f>
        <v>23.058499999999999</v>
      </c>
      <c r="C164" s="14">
        <f>21.5522 * CHOOSE(CONTROL!$C$15, $E$9, 100%, $G$9) + CHOOSE(CONTROL!$C$38, 0.0369, 0)</f>
        <v>21.589099999999998</v>
      </c>
      <c r="D164" s="14">
        <f>21.5443 * CHOOSE(CONTROL!$C$15, $E$9, 100%, $G$9) + CHOOSE(CONTROL!$C$38, 0.0369, 0)</f>
        <v>21.581199999999999</v>
      </c>
      <c r="E164" s="46">
        <f>22.8744 * CHOOSE(CONTROL!$C$15, $E$9, 100%, $G$9) + CHOOSE(CONTROL!$C$38, 0.0369, 0)</f>
        <v>22.911300000000001</v>
      </c>
      <c r="F164" s="45">
        <f>22.8744 * CHOOSE(CONTROL!$C$15, $E$9, 100%, $G$9) + CHOOSE(CONTROL!$C$38, 0.0278, 0)</f>
        <v>22.902200000000001</v>
      </c>
      <c r="G164" s="14">
        <f>21.5506 * CHOOSE(CONTROL!$C$15, $E$9, 100%, $G$9) + CHOOSE(CONTROL!$C$38, 0.0369, 0)</f>
        <v>21.587499999999999</v>
      </c>
      <c r="H164" s="14">
        <f>21.5506 * CHOOSE(CONTROL!$C$15, $E$9, 100%, $G$9) + CHOOSE(CONTROL!$C$38, 0.0369, 0)</f>
        <v>21.587499999999999</v>
      </c>
      <c r="I164" s="14">
        <f>21.5522 * CHOOSE(CONTROL!$C$15, $E$9, 100%, $G$9) + CHOOSE(CONTROL!$C$38, 0.0369, 0)</f>
        <v>21.589099999999998</v>
      </c>
      <c r="J164" s="44">
        <f>151.6664</f>
        <v>151.66640000000001</v>
      </c>
    </row>
    <row r="165" spans="1:10" ht="15" x14ac:dyDescent="0.2">
      <c r="A165" s="13">
        <v>45931</v>
      </c>
      <c r="B165" s="14">
        <f>23.3984 * CHOOSE(CONTROL!$C$15, $E$9, 100%, $G$9) + CHOOSE(CONTROL!$C$38, 0.0256, 0)</f>
        <v>23.423999999999999</v>
      </c>
      <c r="C165" s="14">
        <f>21.9172 * CHOOSE(CONTROL!$C$15, $E$9, 100%, $G$9) + CHOOSE(CONTROL!$C$38, 0.0347, 0)</f>
        <v>21.951900000000002</v>
      </c>
      <c r="D165" s="14">
        <f>21.9093 * CHOOSE(CONTROL!$C$15, $E$9, 100%, $G$9) + CHOOSE(CONTROL!$C$38, 0.0347, 0)</f>
        <v>21.944000000000003</v>
      </c>
      <c r="E165" s="46">
        <f>23.2422 * CHOOSE(CONTROL!$C$15, $E$9, 100%, $G$9) + CHOOSE(CONTROL!$C$38, 0.0347, 0)</f>
        <v>23.276900000000001</v>
      </c>
      <c r="F165" s="45">
        <f>23.2422 * CHOOSE(CONTROL!$C$15, $E$9, 100%, $G$9) + CHOOSE(CONTROL!$C$38, 0.0256, 0)</f>
        <v>23.267800000000001</v>
      </c>
      <c r="G165" s="14">
        <f>21.9156 * CHOOSE(CONTROL!$C$15, $E$9, 100%, $G$9) + CHOOSE(CONTROL!$C$38, 0.0347, 0)</f>
        <v>21.950300000000002</v>
      </c>
      <c r="H165" s="14">
        <f>21.9156 * CHOOSE(CONTROL!$C$15, $E$9, 100%, $G$9) + CHOOSE(CONTROL!$C$38, 0.0347, 0)</f>
        <v>21.950300000000002</v>
      </c>
      <c r="I165" s="14">
        <f>21.9172 * CHOOSE(CONTROL!$C$15, $E$9, 100%, $G$9) + CHOOSE(CONTROL!$C$38, 0.0347, 0)</f>
        <v>21.951900000000002</v>
      </c>
      <c r="J165" s="44">
        <f>146.7233</f>
        <v>146.72329999999999</v>
      </c>
    </row>
    <row r="166" spans="1:10" ht="15" x14ac:dyDescent="0.2">
      <c r="A166" s="13">
        <v>45962</v>
      </c>
      <c r="B166" s="14">
        <f>23.7142 * CHOOSE(CONTROL!$C$15, $E$9, 100%, $G$9) + CHOOSE(CONTROL!$C$38, 0.0256, 0)</f>
        <v>23.739800000000002</v>
      </c>
      <c r="C166" s="14">
        <f>22.2302 * CHOOSE(CONTROL!$C$15, $E$9, 100%, $G$9) + CHOOSE(CONTROL!$C$38, 0.0347, 0)</f>
        <v>22.264900000000001</v>
      </c>
      <c r="D166" s="14">
        <f>22.2224 * CHOOSE(CONTROL!$C$15, $E$9, 100%, $G$9) + CHOOSE(CONTROL!$C$38, 0.0347, 0)</f>
        <v>22.257100000000001</v>
      </c>
      <c r="E166" s="46">
        <f>23.558 * CHOOSE(CONTROL!$C$15, $E$9, 100%, $G$9) + CHOOSE(CONTROL!$C$38, 0.0347, 0)</f>
        <v>23.592700000000001</v>
      </c>
      <c r="F166" s="45">
        <f>23.558 * CHOOSE(CONTROL!$C$15, $E$9, 100%, $G$9) + CHOOSE(CONTROL!$C$38, 0.0256, 0)</f>
        <v>23.583600000000001</v>
      </c>
      <c r="G166" s="14">
        <f>22.2287 * CHOOSE(CONTROL!$C$15, $E$9, 100%, $G$9) + CHOOSE(CONTROL!$C$38, 0.0347, 0)</f>
        <v>22.263400000000001</v>
      </c>
      <c r="H166" s="14">
        <f>22.2287 * CHOOSE(CONTROL!$C$15, $E$9, 100%, $G$9) + CHOOSE(CONTROL!$C$38, 0.0347, 0)</f>
        <v>22.263400000000001</v>
      </c>
      <c r="I166" s="14">
        <f>22.2302 * CHOOSE(CONTROL!$C$15, $E$9, 100%, $G$9) + CHOOSE(CONTROL!$C$38, 0.0347, 0)</f>
        <v>22.264900000000001</v>
      </c>
      <c r="J166" s="44">
        <f>145.9779</f>
        <v>145.97790000000001</v>
      </c>
    </row>
    <row r="167" spans="1:10" ht="15" x14ac:dyDescent="0.2">
      <c r="A167" s="13">
        <v>45992</v>
      </c>
      <c r="B167" s="14">
        <f>24.592 * CHOOSE(CONTROL!$C$15, $E$9, 100%, $G$9) + CHOOSE(CONTROL!$C$38, 0.0256, 0)</f>
        <v>24.617599999999999</v>
      </c>
      <c r="C167" s="14">
        <f>23.1052 * CHOOSE(CONTROL!$C$15, $E$9, 100%, $G$9) + CHOOSE(CONTROL!$C$38, 0.0347, 0)</f>
        <v>23.139900000000001</v>
      </c>
      <c r="D167" s="14">
        <f>23.0974 * CHOOSE(CONTROL!$C$15, $E$9, 100%, $G$9) + CHOOSE(CONTROL!$C$38, 0.0347, 0)</f>
        <v>23.132100000000001</v>
      </c>
      <c r="E167" s="46">
        <f>24.4357 * CHOOSE(CONTROL!$C$15, $E$9, 100%, $G$9) + CHOOSE(CONTROL!$C$38, 0.0347, 0)</f>
        <v>24.470400000000001</v>
      </c>
      <c r="F167" s="45">
        <f>24.4357 * CHOOSE(CONTROL!$C$15, $E$9, 100%, $G$9) + CHOOSE(CONTROL!$C$38, 0.0256, 0)</f>
        <v>24.461300000000001</v>
      </c>
      <c r="G167" s="14">
        <f>23.1037 * CHOOSE(CONTROL!$C$15, $E$9, 100%, $G$9) + CHOOSE(CONTROL!$C$38, 0.0347, 0)</f>
        <v>23.138400000000001</v>
      </c>
      <c r="H167" s="14">
        <f>23.1037 * CHOOSE(CONTROL!$C$15, $E$9, 100%, $G$9) + CHOOSE(CONTROL!$C$38, 0.0347, 0)</f>
        <v>23.138400000000001</v>
      </c>
      <c r="I167" s="14">
        <f>23.1052 * CHOOSE(CONTROL!$C$15, $E$9, 100%, $G$9) + CHOOSE(CONTROL!$C$38, 0.0347, 0)</f>
        <v>23.139900000000001</v>
      </c>
      <c r="J167" s="44">
        <f>141.9377</f>
        <v>141.93770000000001</v>
      </c>
    </row>
    <row r="168" spans="1:10" ht="15" x14ac:dyDescent="0.2">
      <c r="A168" s="13">
        <v>46023</v>
      </c>
      <c r="B168" s="14">
        <f>25.2649 * CHOOSE(CONTROL!$C$15, $E$9, 100%, $G$9) + CHOOSE(CONTROL!$C$38, 0.0256, 0)</f>
        <v>25.290500000000002</v>
      </c>
      <c r="C168" s="14">
        <f>23.8016 * CHOOSE(CONTROL!$C$15, $E$9, 100%, $G$9) + CHOOSE(CONTROL!$C$38, 0.0347, 0)</f>
        <v>23.836300000000001</v>
      </c>
      <c r="D168" s="14">
        <f>23.7938 * CHOOSE(CONTROL!$C$15, $E$9, 100%, $G$9) + CHOOSE(CONTROL!$C$38, 0.0347, 0)</f>
        <v>23.828500000000002</v>
      </c>
      <c r="E168" s="46">
        <f>25.1087 * CHOOSE(CONTROL!$C$15, $E$9, 100%, $G$9) + CHOOSE(CONTROL!$C$38, 0.0347, 0)</f>
        <v>25.1434</v>
      </c>
      <c r="F168" s="45">
        <f>25.1087 * CHOOSE(CONTROL!$C$15, $E$9, 100%, $G$9) + CHOOSE(CONTROL!$C$38, 0.0256, 0)</f>
        <v>25.1343</v>
      </c>
      <c r="G168" s="14">
        <f>23.8001 * CHOOSE(CONTROL!$C$15, $E$9, 100%, $G$9) + CHOOSE(CONTROL!$C$38, 0.0347, 0)</f>
        <v>23.834800000000001</v>
      </c>
      <c r="H168" s="14">
        <f>23.8001 * CHOOSE(CONTROL!$C$15, $E$9, 100%, $G$9) + CHOOSE(CONTROL!$C$38, 0.0347, 0)</f>
        <v>23.834800000000001</v>
      </c>
      <c r="I168" s="14">
        <f>23.8016 * CHOOSE(CONTROL!$C$15, $E$9, 100%, $G$9) + CHOOSE(CONTROL!$C$38, 0.0347, 0)</f>
        <v>23.836300000000001</v>
      </c>
      <c r="J168" s="44">
        <f>138.8436</f>
        <v>138.84360000000001</v>
      </c>
    </row>
    <row r="169" spans="1:10" ht="15" x14ac:dyDescent="0.2">
      <c r="A169" s="13">
        <v>46054</v>
      </c>
      <c r="B169" s="14">
        <f>25.6245 * CHOOSE(CONTROL!$C$15, $E$9, 100%, $G$9) + CHOOSE(CONTROL!$C$38, 0.0256, 0)</f>
        <v>25.650100000000002</v>
      </c>
      <c r="C169" s="14">
        <f>24.1584 * CHOOSE(CONTROL!$C$15, $E$9, 100%, $G$9) + CHOOSE(CONTROL!$C$38, 0.0347, 0)</f>
        <v>24.193100000000001</v>
      </c>
      <c r="D169" s="14">
        <f>24.1506 * CHOOSE(CONTROL!$C$15, $E$9, 100%, $G$9) + CHOOSE(CONTROL!$C$38, 0.0347, 0)</f>
        <v>24.185300000000002</v>
      </c>
      <c r="E169" s="46">
        <f>25.4682 * CHOOSE(CONTROL!$C$15, $E$9, 100%, $G$9) + CHOOSE(CONTROL!$C$38, 0.0347, 0)</f>
        <v>25.5029</v>
      </c>
      <c r="F169" s="45">
        <f>25.4682 * CHOOSE(CONTROL!$C$15, $E$9, 100%, $G$9) + CHOOSE(CONTROL!$C$38, 0.0256, 0)</f>
        <v>25.4938</v>
      </c>
      <c r="G169" s="14">
        <f>24.1569 * CHOOSE(CONTROL!$C$15, $E$9, 100%, $G$9) + CHOOSE(CONTROL!$C$38, 0.0347, 0)</f>
        <v>24.191600000000001</v>
      </c>
      <c r="H169" s="14">
        <f>24.1569 * CHOOSE(CONTROL!$C$15, $E$9, 100%, $G$9) + CHOOSE(CONTROL!$C$38, 0.0347, 0)</f>
        <v>24.191600000000001</v>
      </c>
      <c r="I169" s="14">
        <f>24.1584 * CHOOSE(CONTROL!$C$15, $E$9, 100%, $G$9) + CHOOSE(CONTROL!$C$38, 0.0347, 0)</f>
        <v>24.193100000000001</v>
      </c>
      <c r="J169" s="44">
        <f>138.7429</f>
        <v>138.74289999999999</v>
      </c>
    </row>
    <row r="170" spans="1:10" ht="15" x14ac:dyDescent="0.2">
      <c r="A170" s="13">
        <v>46082</v>
      </c>
      <c r="B170" s="14">
        <f>24.9598 * CHOOSE(CONTROL!$C$15, $E$9, 100%, $G$9) + CHOOSE(CONTROL!$C$38, 0.0256, 0)</f>
        <v>24.985400000000002</v>
      </c>
      <c r="C170" s="14">
        <f>23.4911 * CHOOSE(CONTROL!$C$15, $E$9, 100%, $G$9) + CHOOSE(CONTROL!$C$38, 0.0347, 0)</f>
        <v>23.5258</v>
      </c>
      <c r="D170" s="14">
        <f>23.4833 * CHOOSE(CONTROL!$C$15, $E$9, 100%, $G$9) + CHOOSE(CONTROL!$C$38, 0.0347, 0)</f>
        <v>23.518000000000001</v>
      </c>
      <c r="E170" s="46">
        <f>24.8036 * CHOOSE(CONTROL!$C$15, $E$9, 100%, $G$9) + CHOOSE(CONTROL!$C$38, 0.0347, 0)</f>
        <v>24.8383</v>
      </c>
      <c r="F170" s="45">
        <f>24.8036 * CHOOSE(CONTROL!$C$15, $E$9, 100%, $G$9) + CHOOSE(CONTROL!$C$38, 0.0256, 0)</f>
        <v>24.8292</v>
      </c>
      <c r="G170" s="14">
        <f>23.4895 * CHOOSE(CONTROL!$C$15, $E$9, 100%, $G$9) + CHOOSE(CONTROL!$C$38, 0.0347, 0)</f>
        <v>23.5242</v>
      </c>
      <c r="H170" s="14">
        <f>23.4895 * CHOOSE(CONTROL!$C$15, $E$9, 100%, $G$9) + CHOOSE(CONTROL!$C$38, 0.0347, 0)</f>
        <v>23.5242</v>
      </c>
      <c r="I170" s="14">
        <f>23.4911 * CHOOSE(CONTROL!$C$15, $E$9, 100%, $G$9) + CHOOSE(CONTROL!$C$38, 0.0347, 0)</f>
        <v>23.5258</v>
      </c>
      <c r="J170" s="44">
        <f>146.3563</f>
        <v>146.3563</v>
      </c>
    </row>
    <row r="171" spans="1:10" ht="15" x14ac:dyDescent="0.2">
      <c r="A171" s="13">
        <v>46113</v>
      </c>
      <c r="B171" s="14">
        <f>24.3146 * CHOOSE(CONTROL!$C$15, $E$9, 100%, $G$9) + CHOOSE(CONTROL!$C$38, 0.0256, 0)</f>
        <v>24.340199999999999</v>
      </c>
      <c r="C171" s="14">
        <f>22.8432 * CHOOSE(CONTROL!$C$15, $E$9, 100%, $G$9) + CHOOSE(CONTROL!$C$38, 0.0347, 0)</f>
        <v>22.8779</v>
      </c>
      <c r="D171" s="14">
        <f>22.8354 * CHOOSE(CONTROL!$C$15, $E$9, 100%, $G$9) + CHOOSE(CONTROL!$C$38, 0.0347, 0)</f>
        <v>22.870100000000001</v>
      </c>
      <c r="E171" s="46">
        <f>24.1583 * CHOOSE(CONTROL!$C$15, $E$9, 100%, $G$9) + CHOOSE(CONTROL!$C$38, 0.0347, 0)</f>
        <v>24.193000000000001</v>
      </c>
      <c r="F171" s="45">
        <f>24.1583 * CHOOSE(CONTROL!$C$15, $E$9, 100%, $G$9) + CHOOSE(CONTROL!$C$38, 0.0256, 0)</f>
        <v>24.183900000000001</v>
      </c>
      <c r="G171" s="14">
        <f>22.8416 * CHOOSE(CONTROL!$C$15, $E$9, 100%, $G$9) + CHOOSE(CONTROL!$C$38, 0.0347, 0)</f>
        <v>22.876300000000001</v>
      </c>
      <c r="H171" s="14">
        <f>22.8416 * CHOOSE(CONTROL!$C$15, $E$9, 100%, $G$9) + CHOOSE(CONTROL!$C$38, 0.0347, 0)</f>
        <v>22.876300000000001</v>
      </c>
      <c r="I171" s="14">
        <f>22.8432 * CHOOSE(CONTROL!$C$15, $E$9, 100%, $G$9) + CHOOSE(CONTROL!$C$38, 0.0347, 0)</f>
        <v>22.8779</v>
      </c>
      <c r="J171" s="44">
        <f>156.1795</f>
        <v>156.17949999999999</v>
      </c>
    </row>
    <row r="172" spans="1:10" ht="15" x14ac:dyDescent="0.2">
      <c r="A172" s="13">
        <v>46143</v>
      </c>
      <c r="B172" s="14">
        <f>23.6371 * CHOOSE(CONTROL!$C$15, $E$9, 100%, $G$9) + CHOOSE(CONTROL!$C$38, 0.0278, 0)</f>
        <v>23.664899999999999</v>
      </c>
      <c r="C172" s="14">
        <f>22.163 * CHOOSE(CONTROL!$C$15, $E$9, 100%, $G$9) + CHOOSE(CONTROL!$C$38, 0.0369, 0)</f>
        <v>22.1999</v>
      </c>
      <c r="D172" s="14">
        <f>22.1552 * CHOOSE(CONTROL!$C$15, $E$9, 100%, $G$9) + CHOOSE(CONTROL!$C$38, 0.0369, 0)</f>
        <v>22.1921</v>
      </c>
      <c r="E172" s="46">
        <f>23.4809 * CHOOSE(CONTROL!$C$15, $E$9, 100%, $G$9) + CHOOSE(CONTROL!$C$38, 0.0369, 0)</f>
        <v>23.517799999999998</v>
      </c>
      <c r="F172" s="45">
        <f>23.4809 * CHOOSE(CONTROL!$C$15, $E$9, 100%, $G$9) + CHOOSE(CONTROL!$C$38, 0.0278, 0)</f>
        <v>23.508699999999997</v>
      </c>
      <c r="G172" s="14">
        <f>22.1614 * CHOOSE(CONTROL!$C$15, $E$9, 100%, $G$9) + CHOOSE(CONTROL!$C$38, 0.0369, 0)</f>
        <v>22.1983</v>
      </c>
      <c r="H172" s="14">
        <f>22.1614 * CHOOSE(CONTROL!$C$15, $E$9, 100%, $G$9) + CHOOSE(CONTROL!$C$38, 0.0369, 0)</f>
        <v>22.1983</v>
      </c>
      <c r="I172" s="14">
        <f>22.163 * CHOOSE(CONTROL!$C$15, $E$9, 100%, $G$9) + CHOOSE(CONTROL!$C$38, 0.0369, 0)</f>
        <v>22.1999</v>
      </c>
      <c r="J172" s="44">
        <f>161.7531</f>
        <v>161.75309999999999</v>
      </c>
    </row>
    <row r="173" spans="1:10" ht="15" x14ac:dyDescent="0.2">
      <c r="A173" s="13">
        <v>46174</v>
      </c>
      <c r="B173" s="14">
        <f>23.1743 * CHOOSE(CONTROL!$C$15, $E$9, 100%, $G$9) + CHOOSE(CONTROL!$C$38, 0.0278, 0)</f>
        <v>23.202099999999998</v>
      </c>
      <c r="C173" s="14">
        <f>21.6975 * CHOOSE(CONTROL!$C$15, $E$9, 100%, $G$9) + CHOOSE(CONTROL!$C$38, 0.0369, 0)</f>
        <v>21.734400000000001</v>
      </c>
      <c r="D173" s="14">
        <f>21.6897 * CHOOSE(CONTROL!$C$15, $E$9, 100%, $G$9) + CHOOSE(CONTROL!$C$38, 0.0369, 0)</f>
        <v>21.726599999999998</v>
      </c>
      <c r="E173" s="46">
        <f>23.0181 * CHOOSE(CONTROL!$C$15, $E$9, 100%, $G$9) + CHOOSE(CONTROL!$C$38, 0.0369, 0)</f>
        <v>23.055</v>
      </c>
      <c r="F173" s="45">
        <f>23.0181 * CHOOSE(CONTROL!$C$15, $E$9, 100%, $G$9) + CHOOSE(CONTROL!$C$38, 0.0278, 0)</f>
        <v>23.0459</v>
      </c>
      <c r="G173" s="14">
        <f>21.6959 * CHOOSE(CONTROL!$C$15, $E$9, 100%, $G$9) + CHOOSE(CONTROL!$C$38, 0.0369, 0)</f>
        <v>21.732800000000001</v>
      </c>
      <c r="H173" s="14">
        <f>21.6959 * CHOOSE(CONTROL!$C$15, $E$9, 100%, $G$9) + CHOOSE(CONTROL!$C$38, 0.0369, 0)</f>
        <v>21.732800000000001</v>
      </c>
      <c r="I173" s="14">
        <f>21.6975 * CHOOSE(CONTROL!$C$15, $E$9, 100%, $G$9) + CHOOSE(CONTROL!$C$38, 0.0369, 0)</f>
        <v>21.734400000000001</v>
      </c>
      <c r="J173" s="44">
        <f>164.4217</f>
        <v>164.42169999999999</v>
      </c>
    </row>
    <row r="174" spans="1:10" ht="15" x14ac:dyDescent="0.2">
      <c r="A174" s="13">
        <v>46204</v>
      </c>
      <c r="B174" s="14">
        <f>22.929 * CHOOSE(CONTROL!$C$15, $E$9, 100%, $G$9) + CHOOSE(CONTROL!$C$38, 0.0278, 0)</f>
        <v>22.956799999999998</v>
      </c>
      <c r="C174" s="14">
        <f>21.4495 * CHOOSE(CONTROL!$C$15, $E$9, 100%, $G$9) + CHOOSE(CONTROL!$C$38, 0.0369, 0)</f>
        <v>21.4864</v>
      </c>
      <c r="D174" s="14">
        <f>21.4417 * CHOOSE(CONTROL!$C$15, $E$9, 100%, $G$9) + CHOOSE(CONTROL!$C$38, 0.0369, 0)</f>
        <v>21.4786</v>
      </c>
      <c r="E174" s="46">
        <f>22.7728 * CHOOSE(CONTROL!$C$15, $E$9, 100%, $G$9) + CHOOSE(CONTROL!$C$38, 0.0369, 0)</f>
        <v>22.809699999999999</v>
      </c>
      <c r="F174" s="45">
        <f>22.7728 * CHOOSE(CONTROL!$C$15, $E$9, 100%, $G$9) + CHOOSE(CONTROL!$C$38, 0.0278, 0)</f>
        <v>22.800599999999999</v>
      </c>
      <c r="G174" s="14">
        <f>21.4479 * CHOOSE(CONTROL!$C$15, $E$9, 100%, $G$9) + CHOOSE(CONTROL!$C$38, 0.0369, 0)</f>
        <v>21.4848</v>
      </c>
      <c r="H174" s="14">
        <f>21.4479 * CHOOSE(CONTROL!$C$15, $E$9, 100%, $G$9) + CHOOSE(CONTROL!$C$38, 0.0369, 0)</f>
        <v>21.4848</v>
      </c>
      <c r="I174" s="14">
        <f>21.4495 * CHOOSE(CONTROL!$C$15, $E$9, 100%, $G$9) + CHOOSE(CONTROL!$C$38, 0.0369, 0)</f>
        <v>21.4864</v>
      </c>
      <c r="J174" s="44">
        <f>163.9899</f>
        <v>163.98990000000001</v>
      </c>
    </row>
    <row r="175" spans="1:10" ht="15" x14ac:dyDescent="0.2">
      <c r="A175" s="13">
        <v>46235</v>
      </c>
      <c r="B175" s="14">
        <f>23.1193 * CHOOSE(CONTROL!$C$15, $E$9, 100%, $G$9) + CHOOSE(CONTROL!$C$38, 0.0278, 0)</f>
        <v>23.147099999999998</v>
      </c>
      <c r="C175" s="14">
        <f>21.637 * CHOOSE(CONTROL!$C$15, $E$9, 100%, $G$9) + CHOOSE(CONTROL!$C$38, 0.0369, 0)</f>
        <v>21.6739</v>
      </c>
      <c r="D175" s="14">
        <f>21.6292 * CHOOSE(CONTROL!$C$15, $E$9, 100%, $G$9) + CHOOSE(CONTROL!$C$38, 0.0369, 0)</f>
        <v>21.6661</v>
      </c>
      <c r="E175" s="46">
        <f>22.963 * CHOOSE(CONTROL!$C$15, $E$9, 100%, $G$9) + CHOOSE(CONTROL!$C$38, 0.0369, 0)</f>
        <v>22.9999</v>
      </c>
      <c r="F175" s="45">
        <f>22.963 * CHOOSE(CONTROL!$C$15, $E$9, 100%, $G$9) + CHOOSE(CONTROL!$C$38, 0.0278, 0)</f>
        <v>22.9908</v>
      </c>
      <c r="G175" s="14">
        <f>21.6354 * CHOOSE(CONTROL!$C$15, $E$9, 100%, $G$9) + CHOOSE(CONTROL!$C$38, 0.0369, 0)</f>
        <v>21.6723</v>
      </c>
      <c r="H175" s="14">
        <f>21.6354 * CHOOSE(CONTROL!$C$15, $E$9, 100%, $G$9) + CHOOSE(CONTROL!$C$38, 0.0369, 0)</f>
        <v>21.6723</v>
      </c>
      <c r="I175" s="14">
        <f>21.637 * CHOOSE(CONTROL!$C$15, $E$9, 100%, $G$9) + CHOOSE(CONTROL!$C$38, 0.0369, 0)</f>
        <v>21.6739</v>
      </c>
      <c r="J175" s="44">
        <f>160.5022</f>
        <v>160.50219999999999</v>
      </c>
    </row>
    <row r="176" spans="1:10" ht="15" x14ac:dyDescent="0.2">
      <c r="A176" s="13">
        <v>46266</v>
      </c>
      <c r="B176" s="14">
        <f>23.5584 * CHOOSE(CONTROL!$C$15, $E$9, 100%, $G$9) + CHOOSE(CONTROL!$C$38, 0.0278, 0)</f>
        <v>23.586199999999998</v>
      </c>
      <c r="C176" s="14">
        <f>22.0733 * CHOOSE(CONTROL!$C$15, $E$9, 100%, $G$9) + CHOOSE(CONTROL!$C$38, 0.0369, 0)</f>
        <v>22.110199999999999</v>
      </c>
      <c r="D176" s="14">
        <f>22.0655 * CHOOSE(CONTROL!$C$15, $E$9, 100%, $G$9) + CHOOSE(CONTROL!$C$38, 0.0369, 0)</f>
        <v>22.102399999999999</v>
      </c>
      <c r="E176" s="46">
        <f>23.4021 * CHOOSE(CONTROL!$C$15, $E$9, 100%, $G$9) + CHOOSE(CONTROL!$C$38, 0.0369, 0)</f>
        <v>23.439</v>
      </c>
      <c r="F176" s="45">
        <f>23.4021 * CHOOSE(CONTROL!$C$15, $E$9, 100%, $G$9) + CHOOSE(CONTROL!$C$38, 0.0278, 0)</f>
        <v>23.4299</v>
      </c>
      <c r="G176" s="14">
        <f>22.0718 * CHOOSE(CONTROL!$C$15, $E$9, 100%, $G$9) + CHOOSE(CONTROL!$C$38, 0.0369, 0)</f>
        <v>22.108699999999999</v>
      </c>
      <c r="H176" s="14">
        <f>22.0718 * CHOOSE(CONTROL!$C$15, $E$9, 100%, $G$9) + CHOOSE(CONTROL!$C$38, 0.0369, 0)</f>
        <v>22.108699999999999</v>
      </c>
      <c r="I176" s="14">
        <f>22.0733 * CHOOSE(CONTROL!$C$15, $E$9, 100%, $G$9) + CHOOSE(CONTROL!$C$38, 0.0369, 0)</f>
        <v>22.110199999999999</v>
      </c>
      <c r="J176" s="44">
        <f>155.487</f>
        <v>155.48699999999999</v>
      </c>
    </row>
    <row r="177" spans="1:10" ht="15" x14ac:dyDescent="0.2">
      <c r="A177" s="13">
        <v>46296</v>
      </c>
      <c r="B177" s="14">
        <f>23.9352 * CHOOSE(CONTROL!$C$15, $E$9, 100%, $G$9) + CHOOSE(CONTROL!$C$38, 0.0256, 0)</f>
        <v>23.960799999999999</v>
      </c>
      <c r="C177" s="14">
        <f>22.4474 * CHOOSE(CONTROL!$C$15, $E$9, 100%, $G$9) + CHOOSE(CONTROL!$C$38, 0.0347, 0)</f>
        <v>22.482099999999999</v>
      </c>
      <c r="D177" s="14">
        <f>22.4396 * CHOOSE(CONTROL!$C$15, $E$9, 100%, $G$9) + CHOOSE(CONTROL!$C$38, 0.0347, 0)</f>
        <v>22.474299999999999</v>
      </c>
      <c r="E177" s="46">
        <f>23.779 * CHOOSE(CONTROL!$C$15, $E$9, 100%, $G$9) + CHOOSE(CONTROL!$C$38, 0.0347, 0)</f>
        <v>23.813700000000001</v>
      </c>
      <c r="F177" s="45">
        <f>23.779 * CHOOSE(CONTROL!$C$15, $E$9, 100%, $G$9) + CHOOSE(CONTROL!$C$38, 0.0256, 0)</f>
        <v>23.804600000000001</v>
      </c>
      <c r="G177" s="14">
        <f>22.4459 * CHOOSE(CONTROL!$C$15, $E$9, 100%, $G$9) + CHOOSE(CONTROL!$C$38, 0.0347, 0)</f>
        <v>22.480600000000003</v>
      </c>
      <c r="H177" s="14">
        <f>22.4459 * CHOOSE(CONTROL!$C$15, $E$9, 100%, $G$9) + CHOOSE(CONTROL!$C$38, 0.0347, 0)</f>
        <v>22.480600000000003</v>
      </c>
      <c r="I177" s="14">
        <f>22.4474 * CHOOSE(CONTROL!$C$15, $E$9, 100%, $G$9) + CHOOSE(CONTROL!$C$38, 0.0347, 0)</f>
        <v>22.482099999999999</v>
      </c>
      <c r="J177" s="44">
        <f>150.4193</f>
        <v>150.41929999999999</v>
      </c>
    </row>
    <row r="178" spans="1:10" ht="15" x14ac:dyDescent="0.2">
      <c r="A178" s="13">
        <v>46327</v>
      </c>
      <c r="B178" s="14">
        <f>24.2588 * CHOOSE(CONTROL!$C$15, $E$9, 100%, $G$9) + CHOOSE(CONTROL!$C$38, 0.0256, 0)</f>
        <v>24.284400000000002</v>
      </c>
      <c r="C178" s="14">
        <f>22.7683 * CHOOSE(CONTROL!$C$15, $E$9, 100%, $G$9) + CHOOSE(CONTROL!$C$38, 0.0347, 0)</f>
        <v>22.803000000000001</v>
      </c>
      <c r="D178" s="14">
        <f>22.7605 * CHOOSE(CONTROL!$C$15, $E$9, 100%, $G$9) + CHOOSE(CONTROL!$C$38, 0.0347, 0)</f>
        <v>22.795200000000001</v>
      </c>
      <c r="E178" s="46">
        <f>24.1026 * CHOOSE(CONTROL!$C$15, $E$9, 100%, $G$9) + CHOOSE(CONTROL!$C$38, 0.0347, 0)</f>
        <v>24.1373</v>
      </c>
      <c r="F178" s="45">
        <f>24.1026 * CHOOSE(CONTROL!$C$15, $E$9, 100%, $G$9) + CHOOSE(CONTROL!$C$38, 0.0256, 0)</f>
        <v>24.1282</v>
      </c>
      <c r="G178" s="14">
        <f>22.7668 * CHOOSE(CONTROL!$C$15, $E$9, 100%, $G$9) + CHOOSE(CONTROL!$C$38, 0.0347, 0)</f>
        <v>22.801500000000001</v>
      </c>
      <c r="H178" s="14">
        <f>22.7668 * CHOOSE(CONTROL!$C$15, $E$9, 100%, $G$9) + CHOOSE(CONTROL!$C$38, 0.0347, 0)</f>
        <v>22.801500000000001</v>
      </c>
      <c r="I178" s="14">
        <f>22.7683 * CHOOSE(CONTROL!$C$15, $E$9, 100%, $G$9) + CHOOSE(CONTROL!$C$38, 0.0347, 0)</f>
        <v>22.803000000000001</v>
      </c>
      <c r="J178" s="44">
        <f>149.6551</f>
        <v>149.6551</v>
      </c>
    </row>
    <row r="179" spans="1:10" ht="15" x14ac:dyDescent="0.2">
      <c r="A179" s="13">
        <v>46357</v>
      </c>
      <c r="B179" s="14">
        <f>25.1585 * CHOOSE(CONTROL!$C$15, $E$9, 100%, $G$9) + CHOOSE(CONTROL!$C$38, 0.0256, 0)</f>
        <v>25.184100000000001</v>
      </c>
      <c r="C179" s="14">
        <f>23.6652 * CHOOSE(CONTROL!$C$15, $E$9, 100%, $G$9) + CHOOSE(CONTROL!$C$38, 0.0347, 0)</f>
        <v>23.6999</v>
      </c>
      <c r="D179" s="14">
        <f>23.6574 * CHOOSE(CONTROL!$C$15, $E$9, 100%, $G$9) + CHOOSE(CONTROL!$C$38, 0.0347, 0)</f>
        <v>23.6921</v>
      </c>
      <c r="E179" s="46">
        <f>25.0022 * CHOOSE(CONTROL!$C$15, $E$9, 100%, $G$9) + CHOOSE(CONTROL!$C$38, 0.0347, 0)</f>
        <v>25.036899999999999</v>
      </c>
      <c r="F179" s="45">
        <f>25.0022 * CHOOSE(CONTROL!$C$15, $E$9, 100%, $G$9) + CHOOSE(CONTROL!$C$38, 0.0256, 0)</f>
        <v>25.027799999999999</v>
      </c>
      <c r="G179" s="14">
        <f>23.6637 * CHOOSE(CONTROL!$C$15, $E$9, 100%, $G$9) + CHOOSE(CONTROL!$C$38, 0.0347, 0)</f>
        <v>23.698399999999999</v>
      </c>
      <c r="H179" s="14">
        <f>23.6637 * CHOOSE(CONTROL!$C$15, $E$9, 100%, $G$9) + CHOOSE(CONTROL!$C$38, 0.0347, 0)</f>
        <v>23.698399999999999</v>
      </c>
      <c r="I179" s="14">
        <f>23.6652 * CHOOSE(CONTROL!$C$15, $E$9, 100%, $G$9) + CHOOSE(CONTROL!$C$38, 0.0347, 0)</f>
        <v>23.6999</v>
      </c>
      <c r="J179" s="44">
        <f>145.5132</f>
        <v>145.51320000000001</v>
      </c>
    </row>
    <row r="180" spans="1:10" ht="15" x14ac:dyDescent="0.2">
      <c r="A180" s="13">
        <v>46388</v>
      </c>
      <c r="B180" s="14">
        <f>25.8917 * CHOOSE(CONTROL!$C$15, $E$9, 100%, $G$9) + CHOOSE(CONTROL!$C$38, 0.0256, 0)</f>
        <v>25.917300000000001</v>
      </c>
      <c r="C180" s="14">
        <f>24.422 * CHOOSE(CONTROL!$C$15, $E$9, 100%, $G$9) + CHOOSE(CONTROL!$C$38, 0.0347, 0)</f>
        <v>24.456700000000001</v>
      </c>
      <c r="D180" s="14">
        <f>24.4142 * CHOOSE(CONTROL!$C$15, $E$9, 100%, $G$9) + CHOOSE(CONTROL!$C$38, 0.0347, 0)</f>
        <v>24.448900000000002</v>
      </c>
      <c r="E180" s="46">
        <f>25.7354 * CHOOSE(CONTROL!$C$15, $E$9, 100%, $G$9) + CHOOSE(CONTROL!$C$38, 0.0347, 0)</f>
        <v>25.770099999999999</v>
      </c>
      <c r="F180" s="45">
        <f>25.7354 * CHOOSE(CONTROL!$C$15, $E$9, 100%, $G$9) + CHOOSE(CONTROL!$C$38, 0.0256, 0)</f>
        <v>25.760999999999999</v>
      </c>
      <c r="G180" s="14">
        <f>24.4204 * CHOOSE(CONTROL!$C$15, $E$9, 100%, $G$9) + CHOOSE(CONTROL!$C$38, 0.0347, 0)</f>
        <v>24.455100000000002</v>
      </c>
      <c r="H180" s="14">
        <f>24.4204 * CHOOSE(CONTROL!$C$15, $E$9, 100%, $G$9) + CHOOSE(CONTROL!$C$38, 0.0347, 0)</f>
        <v>24.455100000000002</v>
      </c>
      <c r="I180" s="14">
        <f>24.422 * CHOOSE(CONTROL!$C$15, $E$9, 100%, $G$9) + CHOOSE(CONTROL!$C$38, 0.0347, 0)</f>
        <v>24.456700000000001</v>
      </c>
      <c r="J180" s="44">
        <f>142.3411</f>
        <v>142.34110000000001</v>
      </c>
    </row>
    <row r="181" spans="1:10" ht="15" x14ac:dyDescent="0.2">
      <c r="A181" s="13">
        <v>46419</v>
      </c>
      <c r="B181" s="14">
        <f>26.2602 * CHOOSE(CONTROL!$C$15, $E$9, 100%, $G$9) + CHOOSE(CONTROL!$C$38, 0.0256, 0)</f>
        <v>26.285800000000002</v>
      </c>
      <c r="C181" s="14">
        <f>24.7878 * CHOOSE(CONTROL!$C$15, $E$9, 100%, $G$9) + CHOOSE(CONTROL!$C$38, 0.0347, 0)</f>
        <v>24.822500000000002</v>
      </c>
      <c r="D181" s="14">
        <f>24.78 * CHOOSE(CONTROL!$C$15, $E$9, 100%, $G$9) + CHOOSE(CONTROL!$C$38, 0.0347, 0)</f>
        <v>24.814700000000002</v>
      </c>
      <c r="E181" s="46">
        <f>26.104 * CHOOSE(CONTROL!$C$15, $E$9, 100%, $G$9) + CHOOSE(CONTROL!$C$38, 0.0347, 0)</f>
        <v>26.1387</v>
      </c>
      <c r="F181" s="45">
        <f>26.104 * CHOOSE(CONTROL!$C$15, $E$9, 100%, $G$9) + CHOOSE(CONTROL!$C$38, 0.0256, 0)</f>
        <v>26.1296</v>
      </c>
      <c r="G181" s="14">
        <f>24.7862 * CHOOSE(CONTROL!$C$15, $E$9, 100%, $G$9) + CHOOSE(CONTROL!$C$38, 0.0347, 0)</f>
        <v>24.820900000000002</v>
      </c>
      <c r="H181" s="14">
        <f>24.7862 * CHOOSE(CONTROL!$C$15, $E$9, 100%, $G$9) + CHOOSE(CONTROL!$C$38, 0.0347, 0)</f>
        <v>24.820900000000002</v>
      </c>
      <c r="I181" s="14">
        <f>24.7878 * CHOOSE(CONTROL!$C$15, $E$9, 100%, $G$9) + CHOOSE(CONTROL!$C$38, 0.0347, 0)</f>
        <v>24.822500000000002</v>
      </c>
      <c r="J181" s="44">
        <f>142.2378</f>
        <v>142.23779999999999</v>
      </c>
    </row>
    <row r="182" spans="1:10" ht="15" x14ac:dyDescent="0.2">
      <c r="A182" s="13">
        <v>46447</v>
      </c>
      <c r="B182" s="14">
        <f>25.579 * CHOOSE(CONTROL!$C$15, $E$9, 100%, $G$9) + CHOOSE(CONTROL!$C$38, 0.0256, 0)</f>
        <v>25.604600000000001</v>
      </c>
      <c r="C182" s="14">
        <f>24.1038 * CHOOSE(CONTROL!$C$15, $E$9, 100%, $G$9) + CHOOSE(CONTROL!$C$38, 0.0347, 0)</f>
        <v>24.138500000000001</v>
      </c>
      <c r="D182" s="14">
        <f>24.096 * CHOOSE(CONTROL!$C$15, $E$9, 100%, $G$9) + CHOOSE(CONTROL!$C$38, 0.0347, 0)</f>
        <v>24.130700000000001</v>
      </c>
      <c r="E182" s="46">
        <f>25.4227 * CHOOSE(CONTROL!$C$15, $E$9, 100%, $G$9) + CHOOSE(CONTROL!$C$38, 0.0347, 0)</f>
        <v>25.4574</v>
      </c>
      <c r="F182" s="45">
        <f>25.4227 * CHOOSE(CONTROL!$C$15, $E$9, 100%, $G$9) + CHOOSE(CONTROL!$C$38, 0.0256, 0)</f>
        <v>25.4483</v>
      </c>
      <c r="G182" s="14">
        <f>24.1023 * CHOOSE(CONTROL!$C$15, $E$9, 100%, $G$9) + CHOOSE(CONTROL!$C$38, 0.0347, 0)</f>
        <v>24.137</v>
      </c>
      <c r="H182" s="14">
        <f>24.1023 * CHOOSE(CONTROL!$C$15, $E$9, 100%, $G$9) + CHOOSE(CONTROL!$C$38, 0.0347, 0)</f>
        <v>24.137</v>
      </c>
      <c r="I182" s="14">
        <f>24.1038 * CHOOSE(CONTROL!$C$15, $E$9, 100%, $G$9) + CHOOSE(CONTROL!$C$38, 0.0347, 0)</f>
        <v>24.138500000000001</v>
      </c>
      <c r="J182" s="44">
        <f>150.043</f>
        <v>150.04300000000001</v>
      </c>
    </row>
    <row r="183" spans="1:10" ht="15" x14ac:dyDescent="0.2">
      <c r="A183" s="13">
        <v>46478</v>
      </c>
      <c r="B183" s="14">
        <f>24.9176 * CHOOSE(CONTROL!$C$15, $E$9, 100%, $G$9) + CHOOSE(CONTROL!$C$38, 0.0256, 0)</f>
        <v>24.943200000000001</v>
      </c>
      <c r="C183" s="14">
        <f>23.4398 * CHOOSE(CONTROL!$C$15, $E$9, 100%, $G$9) + CHOOSE(CONTROL!$C$38, 0.0347, 0)</f>
        <v>23.474500000000003</v>
      </c>
      <c r="D183" s="14">
        <f>23.432 * CHOOSE(CONTROL!$C$15, $E$9, 100%, $G$9) + CHOOSE(CONTROL!$C$38, 0.0347, 0)</f>
        <v>23.466699999999999</v>
      </c>
      <c r="E183" s="46">
        <f>24.7614 * CHOOSE(CONTROL!$C$15, $E$9, 100%, $G$9) + CHOOSE(CONTROL!$C$38, 0.0347, 0)</f>
        <v>24.796099999999999</v>
      </c>
      <c r="F183" s="45">
        <f>24.7614 * CHOOSE(CONTROL!$C$15, $E$9, 100%, $G$9) + CHOOSE(CONTROL!$C$38, 0.0256, 0)</f>
        <v>24.786999999999999</v>
      </c>
      <c r="G183" s="14">
        <f>23.4382 * CHOOSE(CONTROL!$C$15, $E$9, 100%, $G$9) + CHOOSE(CONTROL!$C$38, 0.0347, 0)</f>
        <v>23.472899999999999</v>
      </c>
      <c r="H183" s="14">
        <f>23.4382 * CHOOSE(CONTROL!$C$15, $E$9, 100%, $G$9) + CHOOSE(CONTROL!$C$38, 0.0347, 0)</f>
        <v>23.472899999999999</v>
      </c>
      <c r="I183" s="14">
        <f>23.4398 * CHOOSE(CONTROL!$C$15, $E$9, 100%, $G$9) + CHOOSE(CONTROL!$C$38, 0.0347, 0)</f>
        <v>23.474500000000003</v>
      </c>
      <c r="J183" s="44">
        <f>160.1136</f>
        <v>160.11359999999999</v>
      </c>
    </row>
    <row r="184" spans="1:10" ht="15" x14ac:dyDescent="0.2">
      <c r="A184" s="13">
        <v>46508</v>
      </c>
      <c r="B184" s="14">
        <f>24.2233 * CHOOSE(CONTROL!$C$15, $E$9, 100%, $G$9) + CHOOSE(CONTROL!$C$38, 0.0278, 0)</f>
        <v>24.251099999999997</v>
      </c>
      <c r="C184" s="14">
        <f>22.7427 * CHOOSE(CONTROL!$C$15, $E$9, 100%, $G$9) + CHOOSE(CONTROL!$C$38, 0.0369, 0)</f>
        <v>22.779599999999999</v>
      </c>
      <c r="D184" s="14">
        <f>22.7349 * CHOOSE(CONTROL!$C$15, $E$9, 100%, $G$9) + CHOOSE(CONTROL!$C$38, 0.0369, 0)</f>
        <v>22.771799999999999</v>
      </c>
      <c r="E184" s="46">
        <f>24.067 * CHOOSE(CONTROL!$C$15, $E$9, 100%, $G$9) + CHOOSE(CONTROL!$C$38, 0.0369, 0)</f>
        <v>24.103899999999999</v>
      </c>
      <c r="F184" s="45">
        <f>24.067 * CHOOSE(CONTROL!$C$15, $E$9, 100%, $G$9) + CHOOSE(CONTROL!$C$38, 0.0278, 0)</f>
        <v>24.094799999999999</v>
      </c>
      <c r="G184" s="14">
        <f>22.7411 * CHOOSE(CONTROL!$C$15, $E$9, 100%, $G$9) + CHOOSE(CONTROL!$C$38, 0.0369, 0)</f>
        <v>22.777999999999999</v>
      </c>
      <c r="H184" s="14">
        <f>22.7411 * CHOOSE(CONTROL!$C$15, $E$9, 100%, $G$9) + CHOOSE(CONTROL!$C$38, 0.0369, 0)</f>
        <v>22.777999999999999</v>
      </c>
      <c r="I184" s="14">
        <f>22.7427 * CHOOSE(CONTROL!$C$15, $E$9, 100%, $G$9) + CHOOSE(CONTROL!$C$38, 0.0369, 0)</f>
        <v>22.779599999999999</v>
      </c>
      <c r="J184" s="44">
        <f>165.8276</f>
        <v>165.82759999999999</v>
      </c>
    </row>
    <row r="185" spans="1:10" ht="15" x14ac:dyDescent="0.2">
      <c r="A185" s="13">
        <v>46539</v>
      </c>
      <c r="B185" s="14">
        <f>23.7489 * CHOOSE(CONTROL!$C$15, $E$9, 100%, $G$9) + CHOOSE(CONTROL!$C$38, 0.0278, 0)</f>
        <v>23.776699999999998</v>
      </c>
      <c r="C185" s="14">
        <f>22.2656 * CHOOSE(CONTROL!$C$15, $E$9, 100%, $G$9) + CHOOSE(CONTROL!$C$38, 0.0369, 0)</f>
        <v>22.302499999999998</v>
      </c>
      <c r="D185" s="14">
        <f>22.2578 * CHOOSE(CONTROL!$C$15, $E$9, 100%, $G$9) + CHOOSE(CONTROL!$C$38, 0.0369, 0)</f>
        <v>22.294699999999999</v>
      </c>
      <c r="E185" s="46">
        <f>23.5927 * CHOOSE(CONTROL!$C$15, $E$9, 100%, $G$9) + CHOOSE(CONTROL!$C$38, 0.0369, 0)</f>
        <v>23.6296</v>
      </c>
      <c r="F185" s="45">
        <f>23.5927 * CHOOSE(CONTROL!$C$15, $E$9, 100%, $G$9) + CHOOSE(CONTROL!$C$38, 0.0278, 0)</f>
        <v>23.6205</v>
      </c>
      <c r="G185" s="14">
        <f>22.2641 * CHOOSE(CONTROL!$C$15, $E$9, 100%, $G$9) + CHOOSE(CONTROL!$C$38, 0.0369, 0)</f>
        <v>22.300999999999998</v>
      </c>
      <c r="H185" s="14">
        <f>22.2641 * CHOOSE(CONTROL!$C$15, $E$9, 100%, $G$9) + CHOOSE(CONTROL!$C$38, 0.0369, 0)</f>
        <v>22.300999999999998</v>
      </c>
      <c r="I185" s="14">
        <f>22.2656 * CHOOSE(CONTROL!$C$15, $E$9, 100%, $G$9) + CHOOSE(CONTROL!$C$38, 0.0369, 0)</f>
        <v>22.302499999999998</v>
      </c>
      <c r="J185" s="44">
        <f>168.5635</f>
        <v>168.5635</v>
      </c>
    </row>
    <row r="186" spans="1:10" ht="15" x14ac:dyDescent="0.2">
      <c r="A186" s="13">
        <v>46569</v>
      </c>
      <c r="B186" s="14">
        <f>23.4975 * CHOOSE(CONTROL!$C$15, $E$9, 100%, $G$9) + CHOOSE(CONTROL!$C$38, 0.0278, 0)</f>
        <v>23.525299999999998</v>
      </c>
      <c r="C186" s="14">
        <f>22.0115 * CHOOSE(CONTROL!$C$15, $E$9, 100%, $G$9) + CHOOSE(CONTROL!$C$38, 0.0369, 0)</f>
        <v>22.048400000000001</v>
      </c>
      <c r="D186" s="14">
        <f>22.0037 * CHOOSE(CONTROL!$C$15, $E$9, 100%, $G$9) + CHOOSE(CONTROL!$C$38, 0.0369, 0)</f>
        <v>22.040599999999998</v>
      </c>
      <c r="E186" s="46">
        <f>23.3413 * CHOOSE(CONTROL!$C$15, $E$9, 100%, $G$9) + CHOOSE(CONTROL!$C$38, 0.0369, 0)</f>
        <v>23.3782</v>
      </c>
      <c r="F186" s="45">
        <f>23.3413 * CHOOSE(CONTROL!$C$15, $E$9, 100%, $G$9) + CHOOSE(CONTROL!$C$38, 0.0278, 0)</f>
        <v>23.3691</v>
      </c>
      <c r="G186" s="14">
        <f>22.0099 * CHOOSE(CONTROL!$C$15, $E$9, 100%, $G$9) + CHOOSE(CONTROL!$C$38, 0.0369, 0)</f>
        <v>22.046799999999998</v>
      </c>
      <c r="H186" s="14">
        <f>22.0099 * CHOOSE(CONTROL!$C$15, $E$9, 100%, $G$9) + CHOOSE(CONTROL!$C$38, 0.0369, 0)</f>
        <v>22.046799999999998</v>
      </c>
      <c r="I186" s="14">
        <f>22.0115 * CHOOSE(CONTROL!$C$15, $E$9, 100%, $G$9) + CHOOSE(CONTROL!$C$38, 0.0369, 0)</f>
        <v>22.048400000000001</v>
      </c>
      <c r="J186" s="44">
        <f>168.1208</f>
        <v>168.1208</v>
      </c>
    </row>
    <row r="187" spans="1:10" ht="15" x14ac:dyDescent="0.2">
      <c r="A187" s="13">
        <v>46600</v>
      </c>
      <c r="B187" s="14">
        <f>23.6926 * CHOOSE(CONTROL!$C$15, $E$9, 100%, $G$9) + CHOOSE(CONTROL!$C$38, 0.0278, 0)</f>
        <v>23.720399999999998</v>
      </c>
      <c r="C187" s="14">
        <f>22.2038 * CHOOSE(CONTROL!$C$15, $E$9, 100%, $G$9) + CHOOSE(CONTROL!$C$38, 0.0369, 0)</f>
        <v>22.2407</v>
      </c>
      <c r="D187" s="14">
        <f>22.196 * CHOOSE(CONTROL!$C$15, $E$9, 100%, $G$9) + CHOOSE(CONTROL!$C$38, 0.0369, 0)</f>
        <v>22.232900000000001</v>
      </c>
      <c r="E187" s="46">
        <f>23.5363 * CHOOSE(CONTROL!$C$15, $E$9, 100%, $G$9) + CHOOSE(CONTROL!$C$38, 0.0369, 0)</f>
        <v>23.5732</v>
      </c>
      <c r="F187" s="45">
        <f>23.5363 * CHOOSE(CONTROL!$C$15, $E$9, 100%, $G$9) + CHOOSE(CONTROL!$C$38, 0.0278, 0)</f>
        <v>23.5641</v>
      </c>
      <c r="G187" s="14">
        <f>22.2022 * CHOOSE(CONTROL!$C$15, $E$9, 100%, $G$9) + CHOOSE(CONTROL!$C$38, 0.0369, 0)</f>
        <v>22.239100000000001</v>
      </c>
      <c r="H187" s="14">
        <f>22.2022 * CHOOSE(CONTROL!$C$15, $E$9, 100%, $G$9) + CHOOSE(CONTROL!$C$38, 0.0369, 0)</f>
        <v>22.239100000000001</v>
      </c>
      <c r="I187" s="14">
        <f>22.2038 * CHOOSE(CONTROL!$C$15, $E$9, 100%, $G$9) + CHOOSE(CONTROL!$C$38, 0.0369, 0)</f>
        <v>22.2407</v>
      </c>
      <c r="J187" s="44">
        <f>164.5452</f>
        <v>164.54519999999999</v>
      </c>
    </row>
    <row r="188" spans="1:10" ht="15" x14ac:dyDescent="0.2">
      <c r="A188" s="13">
        <v>46631</v>
      </c>
      <c r="B188" s="14">
        <f>24.1426 * CHOOSE(CONTROL!$C$15, $E$9, 100%, $G$9) + CHOOSE(CONTROL!$C$38, 0.0278, 0)</f>
        <v>24.170400000000001</v>
      </c>
      <c r="C188" s="14">
        <f>22.6511 * CHOOSE(CONTROL!$C$15, $E$9, 100%, $G$9) + CHOOSE(CONTROL!$C$38, 0.0369, 0)</f>
        <v>22.687999999999999</v>
      </c>
      <c r="D188" s="14">
        <f>22.6433 * CHOOSE(CONTROL!$C$15, $E$9, 100%, $G$9) + CHOOSE(CONTROL!$C$38, 0.0369, 0)</f>
        <v>22.680199999999999</v>
      </c>
      <c r="E188" s="46">
        <f>23.9864 * CHOOSE(CONTROL!$C$15, $E$9, 100%, $G$9) + CHOOSE(CONTROL!$C$38, 0.0369, 0)</f>
        <v>24.023299999999999</v>
      </c>
      <c r="F188" s="45">
        <f>23.9864 * CHOOSE(CONTROL!$C$15, $E$9, 100%, $G$9) + CHOOSE(CONTROL!$C$38, 0.0278, 0)</f>
        <v>24.014199999999999</v>
      </c>
      <c r="G188" s="14">
        <f>22.6495 * CHOOSE(CONTROL!$C$15, $E$9, 100%, $G$9) + CHOOSE(CONTROL!$C$38, 0.0369, 0)</f>
        <v>22.686399999999999</v>
      </c>
      <c r="H188" s="14">
        <f>22.6495 * CHOOSE(CONTROL!$C$15, $E$9, 100%, $G$9) + CHOOSE(CONTROL!$C$38, 0.0369, 0)</f>
        <v>22.686399999999999</v>
      </c>
      <c r="I188" s="14">
        <f>22.6511 * CHOOSE(CONTROL!$C$15, $E$9, 100%, $G$9) + CHOOSE(CONTROL!$C$38, 0.0369, 0)</f>
        <v>22.687999999999999</v>
      </c>
      <c r="J188" s="44">
        <f>159.4037</f>
        <v>159.40369999999999</v>
      </c>
    </row>
    <row r="189" spans="1:10" ht="15" x14ac:dyDescent="0.2">
      <c r="A189" s="13">
        <v>46661</v>
      </c>
      <c r="B189" s="14">
        <f>24.5289 * CHOOSE(CONTROL!$C$15, $E$9, 100%, $G$9) + CHOOSE(CONTROL!$C$38, 0.0256, 0)</f>
        <v>24.554500000000001</v>
      </c>
      <c r="C189" s="14">
        <f>23.0346 * CHOOSE(CONTROL!$C$15, $E$9, 100%, $G$9) + CHOOSE(CONTROL!$C$38, 0.0347, 0)</f>
        <v>23.069300000000002</v>
      </c>
      <c r="D189" s="14">
        <f>23.0268 * CHOOSE(CONTROL!$C$15, $E$9, 100%, $G$9) + CHOOSE(CONTROL!$C$38, 0.0347, 0)</f>
        <v>23.061500000000002</v>
      </c>
      <c r="E189" s="46">
        <f>24.3727 * CHOOSE(CONTROL!$C$15, $E$9, 100%, $G$9) + CHOOSE(CONTROL!$C$38, 0.0347, 0)</f>
        <v>24.407399999999999</v>
      </c>
      <c r="F189" s="45">
        <f>24.3727 * CHOOSE(CONTROL!$C$15, $E$9, 100%, $G$9) + CHOOSE(CONTROL!$C$38, 0.0256, 0)</f>
        <v>24.398299999999999</v>
      </c>
      <c r="G189" s="14">
        <f>23.0331 * CHOOSE(CONTROL!$C$15, $E$9, 100%, $G$9) + CHOOSE(CONTROL!$C$38, 0.0347, 0)</f>
        <v>23.067800000000002</v>
      </c>
      <c r="H189" s="14">
        <f>23.0331 * CHOOSE(CONTROL!$C$15, $E$9, 100%, $G$9) + CHOOSE(CONTROL!$C$38, 0.0347, 0)</f>
        <v>23.067800000000002</v>
      </c>
      <c r="I189" s="14">
        <f>23.0346 * CHOOSE(CONTROL!$C$15, $E$9, 100%, $G$9) + CHOOSE(CONTROL!$C$38, 0.0347, 0)</f>
        <v>23.069300000000002</v>
      </c>
      <c r="J189" s="44">
        <f>154.2083</f>
        <v>154.20830000000001</v>
      </c>
    </row>
    <row r="190" spans="1:10" ht="15" x14ac:dyDescent="0.2">
      <c r="A190" s="13">
        <v>46692</v>
      </c>
      <c r="B190" s="14">
        <f>24.8606 * CHOOSE(CONTROL!$C$15, $E$9, 100%, $G$9) + CHOOSE(CONTROL!$C$38, 0.0256, 0)</f>
        <v>24.886200000000002</v>
      </c>
      <c r="C190" s="14">
        <f>23.3636 * CHOOSE(CONTROL!$C$15, $E$9, 100%, $G$9) + CHOOSE(CONTROL!$C$38, 0.0347, 0)</f>
        <v>23.398300000000003</v>
      </c>
      <c r="D190" s="14">
        <f>23.3558 * CHOOSE(CONTROL!$C$15, $E$9, 100%, $G$9) + CHOOSE(CONTROL!$C$38, 0.0347, 0)</f>
        <v>23.390499999999999</v>
      </c>
      <c r="E190" s="46">
        <f>24.7044 * CHOOSE(CONTROL!$C$15, $E$9, 100%, $G$9) + CHOOSE(CONTROL!$C$38, 0.0347, 0)</f>
        <v>24.739100000000001</v>
      </c>
      <c r="F190" s="45">
        <f>24.7044 * CHOOSE(CONTROL!$C$15, $E$9, 100%, $G$9) + CHOOSE(CONTROL!$C$38, 0.0256, 0)</f>
        <v>24.73</v>
      </c>
      <c r="G190" s="14">
        <f>23.362 * CHOOSE(CONTROL!$C$15, $E$9, 100%, $G$9) + CHOOSE(CONTROL!$C$38, 0.0347, 0)</f>
        <v>23.396699999999999</v>
      </c>
      <c r="H190" s="14">
        <f>23.362 * CHOOSE(CONTROL!$C$15, $E$9, 100%, $G$9) + CHOOSE(CONTROL!$C$38, 0.0347, 0)</f>
        <v>23.396699999999999</v>
      </c>
      <c r="I190" s="14">
        <f>23.3636 * CHOOSE(CONTROL!$C$15, $E$9, 100%, $G$9) + CHOOSE(CONTROL!$C$38, 0.0347, 0)</f>
        <v>23.398300000000003</v>
      </c>
      <c r="J190" s="44">
        <f>153.4249</f>
        <v>153.42490000000001</v>
      </c>
    </row>
    <row r="191" spans="1:10" ht="15" x14ac:dyDescent="0.2">
      <c r="A191" s="13">
        <v>46722</v>
      </c>
      <c r="B191" s="14">
        <f>25.7828 * CHOOSE(CONTROL!$C$15, $E$9, 100%, $G$9) + CHOOSE(CONTROL!$C$38, 0.0256, 0)</f>
        <v>25.808400000000002</v>
      </c>
      <c r="C191" s="14">
        <f>24.283 * CHOOSE(CONTROL!$C$15, $E$9, 100%, $G$9) + CHOOSE(CONTROL!$C$38, 0.0347, 0)</f>
        <v>24.317700000000002</v>
      </c>
      <c r="D191" s="14">
        <f>24.2752 * CHOOSE(CONTROL!$C$15, $E$9, 100%, $G$9) + CHOOSE(CONTROL!$C$38, 0.0347, 0)</f>
        <v>24.309900000000003</v>
      </c>
      <c r="E191" s="46">
        <f>25.6265 * CHOOSE(CONTROL!$C$15, $E$9, 100%, $G$9) + CHOOSE(CONTROL!$C$38, 0.0347, 0)</f>
        <v>25.661200000000001</v>
      </c>
      <c r="F191" s="45">
        <f>25.6265 * CHOOSE(CONTROL!$C$15, $E$9, 100%, $G$9) + CHOOSE(CONTROL!$C$38, 0.0256, 0)</f>
        <v>25.652100000000001</v>
      </c>
      <c r="G191" s="14">
        <f>24.2814 * CHOOSE(CONTROL!$C$15, $E$9, 100%, $G$9) + CHOOSE(CONTROL!$C$38, 0.0347, 0)</f>
        <v>24.316100000000002</v>
      </c>
      <c r="H191" s="14">
        <f>24.2814 * CHOOSE(CONTROL!$C$15, $E$9, 100%, $G$9) + CHOOSE(CONTROL!$C$38, 0.0347, 0)</f>
        <v>24.316100000000002</v>
      </c>
      <c r="I191" s="14">
        <f>24.283 * CHOOSE(CONTROL!$C$15, $E$9, 100%, $G$9) + CHOOSE(CONTROL!$C$38, 0.0347, 0)</f>
        <v>24.317700000000002</v>
      </c>
      <c r="J191" s="44">
        <f>149.1787</f>
        <v>149.17869999999999</v>
      </c>
    </row>
    <row r="192" spans="1:10" ht="15" x14ac:dyDescent="0.2">
      <c r="A192" s="13">
        <v>46753</v>
      </c>
      <c r="B192" s="14">
        <f>26.4692 * CHOOSE(CONTROL!$C$15, $E$9, 100%, $G$9) + CHOOSE(CONTROL!$C$38, 0.0256, 0)</f>
        <v>26.494800000000001</v>
      </c>
      <c r="C192" s="14">
        <f>24.993 * CHOOSE(CONTROL!$C$15, $E$9, 100%, $G$9) + CHOOSE(CONTROL!$C$38, 0.0347, 0)</f>
        <v>25.027699999999999</v>
      </c>
      <c r="D192" s="14">
        <f>24.9852 * CHOOSE(CONTROL!$C$15, $E$9, 100%, $G$9) + CHOOSE(CONTROL!$C$38, 0.0347, 0)</f>
        <v>25.0199</v>
      </c>
      <c r="E192" s="46">
        <f>26.3129 * CHOOSE(CONTROL!$C$15, $E$9, 100%, $G$9) + CHOOSE(CONTROL!$C$38, 0.0347, 0)</f>
        <v>26.3476</v>
      </c>
      <c r="F192" s="45">
        <f>26.3129 * CHOOSE(CONTROL!$C$15, $E$9, 100%, $G$9) + CHOOSE(CONTROL!$C$38, 0.0256, 0)</f>
        <v>26.3385</v>
      </c>
      <c r="G192" s="14">
        <f>24.9914 * CHOOSE(CONTROL!$C$15, $E$9, 100%, $G$9) + CHOOSE(CONTROL!$C$38, 0.0347, 0)</f>
        <v>25.0261</v>
      </c>
      <c r="H192" s="14">
        <f>24.9914 * CHOOSE(CONTROL!$C$15, $E$9, 100%, $G$9) + CHOOSE(CONTROL!$C$38, 0.0347, 0)</f>
        <v>25.0261</v>
      </c>
      <c r="I192" s="14">
        <f>24.993 * CHOOSE(CONTROL!$C$15, $E$9, 100%, $G$9) + CHOOSE(CONTROL!$C$38, 0.0347, 0)</f>
        <v>25.027699999999999</v>
      </c>
      <c r="J192" s="44">
        <f>145.9265</f>
        <v>145.9265</v>
      </c>
    </row>
    <row r="193" spans="1:10" ht="15" x14ac:dyDescent="0.2">
      <c r="A193" s="13">
        <v>46784</v>
      </c>
      <c r="B193" s="14">
        <f>26.8468 * CHOOSE(CONTROL!$C$15, $E$9, 100%, $G$9) + CHOOSE(CONTROL!$C$38, 0.0256, 0)</f>
        <v>26.872400000000003</v>
      </c>
      <c r="C193" s="14">
        <f>25.3679 * CHOOSE(CONTROL!$C$15, $E$9, 100%, $G$9) + CHOOSE(CONTROL!$C$38, 0.0347, 0)</f>
        <v>25.4026</v>
      </c>
      <c r="D193" s="14">
        <f>25.3601 * CHOOSE(CONTROL!$C$15, $E$9, 100%, $G$9) + CHOOSE(CONTROL!$C$38, 0.0347, 0)</f>
        <v>25.3948</v>
      </c>
      <c r="E193" s="46">
        <f>26.6905 * CHOOSE(CONTROL!$C$15, $E$9, 100%, $G$9) + CHOOSE(CONTROL!$C$38, 0.0347, 0)</f>
        <v>26.725200000000001</v>
      </c>
      <c r="F193" s="45">
        <f>26.6905 * CHOOSE(CONTROL!$C$15, $E$9, 100%, $G$9) + CHOOSE(CONTROL!$C$38, 0.0256, 0)</f>
        <v>26.716100000000001</v>
      </c>
      <c r="G193" s="14">
        <f>25.3663 * CHOOSE(CONTROL!$C$15, $E$9, 100%, $G$9) + CHOOSE(CONTROL!$C$38, 0.0347, 0)</f>
        <v>25.401</v>
      </c>
      <c r="H193" s="14">
        <f>25.3663 * CHOOSE(CONTROL!$C$15, $E$9, 100%, $G$9) + CHOOSE(CONTROL!$C$38, 0.0347, 0)</f>
        <v>25.401</v>
      </c>
      <c r="I193" s="14">
        <f>25.3679 * CHOOSE(CONTROL!$C$15, $E$9, 100%, $G$9) + CHOOSE(CONTROL!$C$38, 0.0347, 0)</f>
        <v>25.4026</v>
      </c>
      <c r="J193" s="44">
        <f>145.8207</f>
        <v>145.82069999999999</v>
      </c>
    </row>
    <row r="194" spans="1:10" ht="15" x14ac:dyDescent="0.2">
      <c r="A194" s="13">
        <v>46813</v>
      </c>
      <c r="B194" s="14">
        <f>26.1484 * CHOOSE(CONTROL!$C$15, $E$9, 100%, $G$9) + CHOOSE(CONTROL!$C$38, 0.0256, 0)</f>
        <v>26.173999999999999</v>
      </c>
      <c r="C194" s="14">
        <f>24.6668 * CHOOSE(CONTROL!$C$15, $E$9, 100%, $G$9) + CHOOSE(CONTROL!$C$38, 0.0347, 0)</f>
        <v>24.701499999999999</v>
      </c>
      <c r="D194" s="14">
        <f>24.659 * CHOOSE(CONTROL!$C$15, $E$9, 100%, $G$9) + CHOOSE(CONTROL!$C$38, 0.0347, 0)</f>
        <v>24.6937</v>
      </c>
      <c r="E194" s="46">
        <f>25.9922 * CHOOSE(CONTROL!$C$15, $E$9, 100%, $G$9) + CHOOSE(CONTROL!$C$38, 0.0347, 0)</f>
        <v>26.026900000000001</v>
      </c>
      <c r="F194" s="45">
        <f>25.9922 * CHOOSE(CONTROL!$C$15, $E$9, 100%, $G$9) + CHOOSE(CONTROL!$C$38, 0.0256, 0)</f>
        <v>26.017800000000001</v>
      </c>
      <c r="G194" s="14">
        <f>24.6652 * CHOOSE(CONTROL!$C$15, $E$9, 100%, $G$9) + CHOOSE(CONTROL!$C$38, 0.0347, 0)</f>
        <v>24.6999</v>
      </c>
      <c r="H194" s="14">
        <f>24.6652 * CHOOSE(CONTROL!$C$15, $E$9, 100%, $G$9) + CHOOSE(CONTROL!$C$38, 0.0347, 0)</f>
        <v>24.6999</v>
      </c>
      <c r="I194" s="14">
        <f>24.6668 * CHOOSE(CONTROL!$C$15, $E$9, 100%, $G$9) + CHOOSE(CONTROL!$C$38, 0.0347, 0)</f>
        <v>24.701499999999999</v>
      </c>
      <c r="J194" s="44">
        <f>153.8224</f>
        <v>153.82239999999999</v>
      </c>
    </row>
    <row r="195" spans="1:10" ht="15" x14ac:dyDescent="0.2">
      <c r="A195" s="13">
        <v>46844</v>
      </c>
      <c r="B195" s="14">
        <f>25.4704 * CHOOSE(CONTROL!$C$15, $E$9, 100%, $G$9) + CHOOSE(CONTROL!$C$38, 0.0256, 0)</f>
        <v>25.496000000000002</v>
      </c>
      <c r="C195" s="14">
        <f>23.9861 * CHOOSE(CONTROL!$C$15, $E$9, 100%, $G$9) + CHOOSE(CONTROL!$C$38, 0.0347, 0)</f>
        <v>24.020800000000001</v>
      </c>
      <c r="D195" s="14">
        <f>23.9783 * CHOOSE(CONTROL!$C$15, $E$9, 100%, $G$9) + CHOOSE(CONTROL!$C$38, 0.0347, 0)</f>
        <v>24.013000000000002</v>
      </c>
      <c r="E195" s="46">
        <f>25.3142 * CHOOSE(CONTROL!$C$15, $E$9, 100%, $G$9) + CHOOSE(CONTROL!$C$38, 0.0347, 0)</f>
        <v>25.3489</v>
      </c>
      <c r="F195" s="45">
        <f>25.3142 * CHOOSE(CONTROL!$C$15, $E$9, 100%, $G$9) + CHOOSE(CONTROL!$C$38, 0.0256, 0)</f>
        <v>25.3398</v>
      </c>
      <c r="G195" s="14">
        <f>23.9845 * CHOOSE(CONTROL!$C$15, $E$9, 100%, $G$9) + CHOOSE(CONTROL!$C$38, 0.0347, 0)</f>
        <v>24.019200000000001</v>
      </c>
      <c r="H195" s="14">
        <f>23.9845 * CHOOSE(CONTROL!$C$15, $E$9, 100%, $G$9) + CHOOSE(CONTROL!$C$38, 0.0347, 0)</f>
        <v>24.019200000000001</v>
      </c>
      <c r="I195" s="14">
        <f>23.9861 * CHOOSE(CONTROL!$C$15, $E$9, 100%, $G$9) + CHOOSE(CONTROL!$C$38, 0.0347, 0)</f>
        <v>24.020800000000001</v>
      </c>
      <c r="J195" s="44">
        <f>164.1468</f>
        <v>164.14680000000001</v>
      </c>
    </row>
    <row r="196" spans="1:10" ht="15" x14ac:dyDescent="0.2">
      <c r="A196" s="13">
        <v>46874</v>
      </c>
      <c r="B196" s="14">
        <f>24.7586 * CHOOSE(CONTROL!$C$15, $E$9, 100%, $G$9) + CHOOSE(CONTROL!$C$38, 0.0278, 0)</f>
        <v>24.7864</v>
      </c>
      <c r="C196" s="14">
        <f>23.2715 * CHOOSE(CONTROL!$C$15, $E$9, 100%, $G$9) + CHOOSE(CONTROL!$C$38, 0.0369, 0)</f>
        <v>23.308399999999999</v>
      </c>
      <c r="D196" s="14">
        <f>23.2637 * CHOOSE(CONTROL!$C$15, $E$9, 100%, $G$9) + CHOOSE(CONTROL!$C$38, 0.0369, 0)</f>
        <v>23.300599999999999</v>
      </c>
      <c r="E196" s="46">
        <f>24.6023 * CHOOSE(CONTROL!$C$15, $E$9, 100%, $G$9) + CHOOSE(CONTROL!$C$38, 0.0369, 0)</f>
        <v>24.639199999999999</v>
      </c>
      <c r="F196" s="45">
        <f>24.6023 * CHOOSE(CONTROL!$C$15, $E$9, 100%, $G$9) + CHOOSE(CONTROL!$C$38, 0.0278, 0)</f>
        <v>24.630099999999999</v>
      </c>
      <c r="G196" s="14">
        <f>23.27 * CHOOSE(CONTROL!$C$15, $E$9, 100%, $G$9) + CHOOSE(CONTROL!$C$38, 0.0369, 0)</f>
        <v>23.306899999999999</v>
      </c>
      <c r="H196" s="14">
        <f>23.27 * CHOOSE(CONTROL!$C$15, $E$9, 100%, $G$9) + CHOOSE(CONTROL!$C$38, 0.0369, 0)</f>
        <v>23.306899999999999</v>
      </c>
      <c r="I196" s="14">
        <f>23.2715 * CHOOSE(CONTROL!$C$15, $E$9, 100%, $G$9) + CHOOSE(CONTROL!$C$38, 0.0369, 0)</f>
        <v>23.308399999999999</v>
      </c>
      <c r="J196" s="44">
        <f>170.0047</f>
        <v>170.00470000000001</v>
      </c>
    </row>
    <row r="197" spans="1:10" ht="15" x14ac:dyDescent="0.2">
      <c r="A197" s="13">
        <v>46905</v>
      </c>
      <c r="B197" s="14">
        <f>24.2723 * CHOOSE(CONTROL!$C$15, $E$9, 100%, $G$9) + CHOOSE(CONTROL!$C$38, 0.0278, 0)</f>
        <v>24.3001</v>
      </c>
      <c r="C197" s="14">
        <f>22.7825 * CHOOSE(CONTROL!$C$15, $E$9, 100%, $G$9) + CHOOSE(CONTROL!$C$38, 0.0369, 0)</f>
        <v>22.819399999999998</v>
      </c>
      <c r="D197" s="14">
        <f>22.7747 * CHOOSE(CONTROL!$C$15, $E$9, 100%, $G$9) + CHOOSE(CONTROL!$C$38, 0.0369, 0)</f>
        <v>22.811599999999999</v>
      </c>
      <c r="E197" s="46">
        <f>24.116 * CHOOSE(CONTROL!$C$15, $E$9, 100%, $G$9) + CHOOSE(CONTROL!$C$38, 0.0369, 0)</f>
        <v>24.152899999999999</v>
      </c>
      <c r="F197" s="45">
        <f>24.116 * CHOOSE(CONTROL!$C$15, $E$9, 100%, $G$9) + CHOOSE(CONTROL!$C$38, 0.0278, 0)</f>
        <v>24.143799999999999</v>
      </c>
      <c r="G197" s="14">
        <f>22.7809 * CHOOSE(CONTROL!$C$15, $E$9, 100%, $G$9) + CHOOSE(CONTROL!$C$38, 0.0369, 0)</f>
        <v>22.817799999999998</v>
      </c>
      <c r="H197" s="14">
        <f>22.7809 * CHOOSE(CONTROL!$C$15, $E$9, 100%, $G$9) + CHOOSE(CONTROL!$C$38, 0.0369, 0)</f>
        <v>22.817799999999998</v>
      </c>
      <c r="I197" s="14">
        <f>22.7825 * CHOOSE(CONTROL!$C$15, $E$9, 100%, $G$9) + CHOOSE(CONTROL!$C$38, 0.0369, 0)</f>
        <v>22.819399999999998</v>
      </c>
      <c r="J197" s="44">
        <f>172.8095</f>
        <v>172.80950000000001</v>
      </c>
    </row>
    <row r="198" spans="1:10" ht="15" x14ac:dyDescent="0.2">
      <c r="A198" s="13">
        <v>46935</v>
      </c>
      <c r="B198" s="14">
        <f>24.0145 * CHOOSE(CONTROL!$C$15, $E$9, 100%, $G$9) + CHOOSE(CONTROL!$C$38, 0.0278, 0)</f>
        <v>24.042300000000001</v>
      </c>
      <c r="C198" s="14">
        <f>22.5219 * CHOOSE(CONTROL!$C$15, $E$9, 100%, $G$9) + CHOOSE(CONTROL!$C$38, 0.0369, 0)</f>
        <v>22.558799999999998</v>
      </c>
      <c r="D198" s="14">
        <f>22.5141 * CHOOSE(CONTROL!$C$15, $E$9, 100%, $G$9) + CHOOSE(CONTROL!$C$38, 0.0369, 0)</f>
        <v>22.550999999999998</v>
      </c>
      <c r="E198" s="46">
        <f>23.8582 * CHOOSE(CONTROL!$C$15, $E$9, 100%, $G$9) + CHOOSE(CONTROL!$C$38, 0.0369, 0)</f>
        <v>23.895099999999999</v>
      </c>
      <c r="F198" s="45">
        <f>23.8582 * CHOOSE(CONTROL!$C$15, $E$9, 100%, $G$9) + CHOOSE(CONTROL!$C$38, 0.0278, 0)</f>
        <v>23.885999999999999</v>
      </c>
      <c r="G198" s="14">
        <f>22.5203 * CHOOSE(CONTROL!$C$15, $E$9, 100%, $G$9) + CHOOSE(CONTROL!$C$38, 0.0369, 0)</f>
        <v>22.557199999999998</v>
      </c>
      <c r="H198" s="14">
        <f>22.5203 * CHOOSE(CONTROL!$C$15, $E$9, 100%, $G$9) + CHOOSE(CONTROL!$C$38, 0.0369, 0)</f>
        <v>22.557199999999998</v>
      </c>
      <c r="I198" s="14">
        <f>22.5219 * CHOOSE(CONTROL!$C$15, $E$9, 100%, $G$9) + CHOOSE(CONTROL!$C$38, 0.0369, 0)</f>
        <v>22.558799999999998</v>
      </c>
      <c r="J198" s="44">
        <f>172.3556</f>
        <v>172.35560000000001</v>
      </c>
    </row>
    <row r="199" spans="1:10" ht="15" x14ac:dyDescent="0.2">
      <c r="A199" s="13">
        <v>46966</v>
      </c>
      <c r="B199" s="14">
        <f>24.2143 * CHOOSE(CONTROL!$C$15, $E$9, 100%, $G$9) + CHOOSE(CONTROL!$C$38, 0.0278, 0)</f>
        <v>24.242100000000001</v>
      </c>
      <c r="C199" s="14">
        <f>22.7189 * CHOOSE(CONTROL!$C$15, $E$9, 100%, $G$9) + CHOOSE(CONTROL!$C$38, 0.0369, 0)</f>
        <v>22.755800000000001</v>
      </c>
      <c r="D199" s="14">
        <f>22.7111 * CHOOSE(CONTROL!$C$15, $E$9, 100%, $G$9) + CHOOSE(CONTROL!$C$38, 0.0369, 0)</f>
        <v>22.747999999999998</v>
      </c>
      <c r="E199" s="46">
        <f>24.058 * CHOOSE(CONTROL!$C$15, $E$9, 100%, $G$9) + CHOOSE(CONTROL!$C$38, 0.0369, 0)</f>
        <v>24.094899999999999</v>
      </c>
      <c r="F199" s="45">
        <f>24.058 * CHOOSE(CONTROL!$C$15, $E$9, 100%, $G$9) + CHOOSE(CONTROL!$C$38, 0.0278, 0)</f>
        <v>24.085799999999999</v>
      </c>
      <c r="G199" s="14">
        <f>22.7174 * CHOOSE(CONTROL!$C$15, $E$9, 100%, $G$9) + CHOOSE(CONTROL!$C$38, 0.0369, 0)</f>
        <v>22.754300000000001</v>
      </c>
      <c r="H199" s="14">
        <f>22.7174 * CHOOSE(CONTROL!$C$15, $E$9, 100%, $G$9) + CHOOSE(CONTROL!$C$38, 0.0369, 0)</f>
        <v>22.754300000000001</v>
      </c>
      <c r="I199" s="14">
        <f>22.7189 * CHOOSE(CONTROL!$C$15, $E$9, 100%, $G$9) + CHOOSE(CONTROL!$C$38, 0.0369, 0)</f>
        <v>22.755800000000001</v>
      </c>
      <c r="J199" s="44">
        <f>168.69</f>
        <v>168.69</v>
      </c>
    </row>
    <row r="200" spans="1:10" ht="15" x14ac:dyDescent="0.2">
      <c r="A200" s="13">
        <v>46997</v>
      </c>
      <c r="B200" s="14">
        <f>24.6755 * CHOOSE(CONTROL!$C$15, $E$9, 100%, $G$9) + CHOOSE(CONTROL!$C$38, 0.0278, 0)</f>
        <v>24.703299999999999</v>
      </c>
      <c r="C200" s="14">
        <f>23.1774 * CHOOSE(CONTROL!$C$15, $E$9, 100%, $G$9) + CHOOSE(CONTROL!$C$38, 0.0369, 0)</f>
        <v>23.214299999999998</v>
      </c>
      <c r="D200" s="14">
        <f>23.1696 * CHOOSE(CONTROL!$C$15, $E$9, 100%, $G$9) + CHOOSE(CONTROL!$C$38, 0.0369, 0)</f>
        <v>23.206499999999998</v>
      </c>
      <c r="E200" s="46">
        <f>24.5192 * CHOOSE(CONTROL!$C$15, $E$9, 100%, $G$9) + CHOOSE(CONTROL!$C$38, 0.0369, 0)</f>
        <v>24.556100000000001</v>
      </c>
      <c r="F200" s="45">
        <f>24.5192 * CHOOSE(CONTROL!$C$15, $E$9, 100%, $G$9) + CHOOSE(CONTROL!$C$38, 0.0278, 0)</f>
        <v>24.547000000000001</v>
      </c>
      <c r="G200" s="14">
        <f>23.1758 * CHOOSE(CONTROL!$C$15, $E$9, 100%, $G$9) + CHOOSE(CONTROL!$C$38, 0.0369, 0)</f>
        <v>23.212699999999998</v>
      </c>
      <c r="H200" s="14">
        <f>23.1758 * CHOOSE(CONTROL!$C$15, $E$9, 100%, $G$9) + CHOOSE(CONTROL!$C$38, 0.0369, 0)</f>
        <v>23.212699999999998</v>
      </c>
      <c r="I200" s="14">
        <f>23.1774 * CHOOSE(CONTROL!$C$15, $E$9, 100%, $G$9) + CHOOSE(CONTROL!$C$38, 0.0369, 0)</f>
        <v>23.214299999999998</v>
      </c>
      <c r="J200" s="44">
        <f>163.419</f>
        <v>163.41900000000001</v>
      </c>
    </row>
    <row r="201" spans="1:10" ht="15" x14ac:dyDescent="0.2">
      <c r="A201" s="13">
        <v>47027</v>
      </c>
      <c r="B201" s="14">
        <f>25.0713 * CHOOSE(CONTROL!$C$15, $E$9, 100%, $G$9) + CHOOSE(CONTROL!$C$38, 0.0256, 0)</f>
        <v>25.096900000000002</v>
      </c>
      <c r="C201" s="14">
        <f>23.5705 * CHOOSE(CONTROL!$C$15, $E$9, 100%, $G$9) + CHOOSE(CONTROL!$C$38, 0.0347, 0)</f>
        <v>23.6052</v>
      </c>
      <c r="D201" s="14">
        <f>23.5627 * CHOOSE(CONTROL!$C$15, $E$9, 100%, $G$9) + CHOOSE(CONTROL!$C$38, 0.0347, 0)</f>
        <v>23.5974</v>
      </c>
      <c r="E201" s="46">
        <f>24.9151 * CHOOSE(CONTROL!$C$15, $E$9, 100%, $G$9) + CHOOSE(CONTROL!$C$38, 0.0347, 0)</f>
        <v>24.9498</v>
      </c>
      <c r="F201" s="45">
        <f>24.9151 * CHOOSE(CONTROL!$C$15, $E$9, 100%, $G$9) + CHOOSE(CONTROL!$C$38, 0.0256, 0)</f>
        <v>24.9407</v>
      </c>
      <c r="G201" s="14">
        <f>23.5689 * CHOOSE(CONTROL!$C$15, $E$9, 100%, $G$9) + CHOOSE(CONTROL!$C$38, 0.0347, 0)</f>
        <v>23.6036</v>
      </c>
      <c r="H201" s="14">
        <f>23.5689 * CHOOSE(CONTROL!$C$15, $E$9, 100%, $G$9) + CHOOSE(CONTROL!$C$38, 0.0347, 0)</f>
        <v>23.6036</v>
      </c>
      <c r="I201" s="14">
        <f>23.5705 * CHOOSE(CONTROL!$C$15, $E$9, 100%, $G$9) + CHOOSE(CONTROL!$C$38, 0.0347, 0)</f>
        <v>23.6052</v>
      </c>
      <c r="J201" s="44">
        <f>158.0927</f>
        <v>158.09270000000001</v>
      </c>
    </row>
    <row r="202" spans="1:10" ht="15" x14ac:dyDescent="0.2">
      <c r="A202" s="13">
        <v>47058</v>
      </c>
      <c r="B202" s="14">
        <f>25.4112 * CHOOSE(CONTROL!$C$15, $E$9, 100%, $G$9) + CHOOSE(CONTROL!$C$38, 0.0256, 0)</f>
        <v>25.436800000000002</v>
      </c>
      <c r="C202" s="14">
        <f>23.9076 * CHOOSE(CONTROL!$C$15, $E$9, 100%, $G$9) + CHOOSE(CONTROL!$C$38, 0.0347, 0)</f>
        <v>23.942299999999999</v>
      </c>
      <c r="D202" s="14">
        <f>23.8998 * CHOOSE(CONTROL!$C$15, $E$9, 100%, $G$9) + CHOOSE(CONTROL!$C$38, 0.0347, 0)</f>
        <v>23.9345</v>
      </c>
      <c r="E202" s="46">
        <f>25.255 * CHOOSE(CONTROL!$C$15, $E$9, 100%, $G$9) + CHOOSE(CONTROL!$C$38, 0.0347, 0)</f>
        <v>25.2897</v>
      </c>
      <c r="F202" s="45">
        <f>25.255 * CHOOSE(CONTROL!$C$15, $E$9, 100%, $G$9) + CHOOSE(CONTROL!$C$38, 0.0256, 0)</f>
        <v>25.2806</v>
      </c>
      <c r="G202" s="14">
        <f>23.906 * CHOOSE(CONTROL!$C$15, $E$9, 100%, $G$9) + CHOOSE(CONTROL!$C$38, 0.0347, 0)</f>
        <v>23.9407</v>
      </c>
      <c r="H202" s="14">
        <f>23.906 * CHOOSE(CONTROL!$C$15, $E$9, 100%, $G$9) + CHOOSE(CONTROL!$C$38, 0.0347, 0)</f>
        <v>23.9407</v>
      </c>
      <c r="I202" s="14">
        <f>23.9076 * CHOOSE(CONTROL!$C$15, $E$9, 100%, $G$9) + CHOOSE(CONTROL!$C$38, 0.0347, 0)</f>
        <v>23.942299999999999</v>
      </c>
      <c r="J202" s="44">
        <f>157.2896</f>
        <v>157.28960000000001</v>
      </c>
    </row>
    <row r="203" spans="1:10" ht="15" x14ac:dyDescent="0.2">
      <c r="A203" s="13">
        <v>47088</v>
      </c>
      <c r="B203" s="14">
        <f>26.3563 * CHOOSE(CONTROL!$C$15, $E$9, 100%, $G$9) + CHOOSE(CONTROL!$C$38, 0.0256, 0)</f>
        <v>26.381900000000002</v>
      </c>
      <c r="C203" s="14">
        <f>24.8499 * CHOOSE(CONTROL!$C$15, $E$9, 100%, $G$9) + CHOOSE(CONTROL!$C$38, 0.0347, 0)</f>
        <v>24.884600000000002</v>
      </c>
      <c r="D203" s="14">
        <f>24.8421 * CHOOSE(CONTROL!$C$15, $E$9, 100%, $G$9) + CHOOSE(CONTROL!$C$38, 0.0347, 0)</f>
        <v>24.876799999999999</v>
      </c>
      <c r="E203" s="46">
        <f>26.2001 * CHOOSE(CONTROL!$C$15, $E$9, 100%, $G$9) + CHOOSE(CONTROL!$C$38, 0.0347, 0)</f>
        <v>26.2348</v>
      </c>
      <c r="F203" s="45">
        <f>26.2001 * CHOOSE(CONTROL!$C$15, $E$9, 100%, $G$9) + CHOOSE(CONTROL!$C$38, 0.0256, 0)</f>
        <v>26.2257</v>
      </c>
      <c r="G203" s="14">
        <f>24.8484 * CHOOSE(CONTROL!$C$15, $E$9, 100%, $G$9) + CHOOSE(CONTROL!$C$38, 0.0347, 0)</f>
        <v>24.883100000000002</v>
      </c>
      <c r="H203" s="14">
        <f>24.8484 * CHOOSE(CONTROL!$C$15, $E$9, 100%, $G$9) + CHOOSE(CONTROL!$C$38, 0.0347, 0)</f>
        <v>24.883100000000002</v>
      </c>
      <c r="I203" s="14">
        <f>24.8499 * CHOOSE(CONTROL!$C$15, $E$9, 100%, $G$9) + CHOOSE(CONTROL!$C$38, 0.0347, 0)</f>
        <v>24.884600000000002</v>
      </c>
      <c r="J203" s="44">
        <f>152.9364</f>
        <v>152.93639999999999</v>
      </c>
    </row>
    <row r="204" spans="1:10" ht="15" x14ac:dyDescent="0.2">
      <c r="A204" s="13">
        <v>47119</v>
      </c>
      <c r="B204" s="14">
        <f>27.1295 * CHOOSE(CONTROL!$C$15, $E$9, 100%, $G$9) + CHOOSE(CONTROL!$C$38, 0.0256, 0)</f>
        <v>27.155100000000001</v>
      </c>
      <c r="C204" s="14">
        <f>25.6469 * CHOOSE(CONTROL!$C$15, $E$9, 100%, $G$9) + CHOOSE(CONTROL!$C$38, 0.0347, 0)</f>
        <v>25.6816</v>
      </c>
      <c r="D204" s="14">
        <f>25.6391 * CHOOSE(CONTROL!$C$15, $E$9, 100%, $G$9) + CHOOSE(CONTROL!$C$38, 0.0347, 0)</f>
        <v>25.6738</v>
      </c>
      <c r="E204" s="46">
        <f>26.9733 * CHOOSE(CONTROL!$C$15, $E$9, 100%, $G$9) + CHOOSE(CONTROL!$C$38, 0.0347, 0)</f>
        <v>27.007999999999999</v>
      </c>
      <c r="F204" s="45">
        <f>26.9733 * CHOOSE(CONTROL!$C$15, $E$9, 100%, $G$9) + CHOOSE(CONTROL!$C$38, 0.0256, 0)</f>
        <v>26.998899999999999</v>
      </c>
      <c r="G204" s="14">
        <f>25.6453 * CHOOSE(CONTROL!$C$15, $E$9, 100%, $G$9) + CHOOSE(CONTROL!$C$38, 0.0347, 0)</f>
        <v>25.68</v>
      </c>
      <c r="H204" s="14">
        <f>25.6453 * CHOOSE(CONTROL!$C$15, $E$9, 100%, $G$9) + CHOOSE(CONTROL!$C$38, 0.0347, 0)</f>
        <v>25.68</v>
      </c>
      <c r="I204" s="14">
        <f>25.6469 * CHOOSE(CONTROL!$C$15, $E$9, 100%, $G$9) + CHOOSE(CONTROL!$C$38, 0.0347, 0)</f>
        <v>25.6816</v>
      </c>
      <c r="J204" s="44">
        <f>149.6023</f>
        <v>149.60230000000001</v>
      </c>
    </row>
    <row r="205" spans="1:10" ht="15" x14ac:dyDescent="0.2">
      <c r="A205" s="13">
        <v>47150</v>
      </c>
      <c r="B205" s="14">
        <f>27.5166 * CHOOSE(CONTROL!$C$15, $E$9, 100%, $G$9) + CHOOSE(CONTROL!$C$38, 0.0256, 0)</f>
        <v>27.542200000000001</v>
      </c>
      <c r="C205" s="14">
        <f>26.0312 * CHOOSE(CONTROL!$C$15, $E$9, 100%, $G$9) + CHOOSE(CONTROL!$C$38, 0.0347, 0)</f>
        <v>26.065899999999999</v>
      </c>
      <c r="D205" s="14">
        <f>26.0234 * CHOOSE(CONTROL!$C$15, $E$9, 100%, $G$9) + CHOOSE(CONTROL!$C$38, 0.0347, 0)</f>
        <v>26.0581</v>
      </c>
      <c r="E205" s="46">
        <f>27.3604 * CHOOSE(CONTROL!$C$15, $E$9, 100%, $G$9) + CHOOSE(CONTROL!$C$38, 0.0347, 0)</f>
        <v>27.395099999999999</v>
      </c>
      <c r="F205" s="45">
        <f>27.3604 * CHOOSE(CONTROL!$C$15, $E$9, 100%, $G$9) + CHOOSE(CONTROL!$C$38, 0.0256, 0)</f>
        <v>27.385999999999999</v>
      </c>
      <c r="G205" s="14">
        <f>26.0297 * CHOOSE(CONTROL!$C$15, $E$9, 100%, $G$9) + CHOOSE(CONTROL!$C$38, 0.0347, 0)</f>
        <v>26.064399999999999</v>
      </c>
      <c r="H205" s="14">
        <f>26.0297 * CHOOSE(CONTROL!$C$15, $E$9, 100%, $G$9) + CHOOSE(CONTROL!$C$38, 0.0347, 0)</f>
        <v>26.064399999999999</v>
      </c>
      <c r="I205" s="14">
        <f>26.0312 * CHOOSE(CONTROL!$C$15, $E$9, 100%, $G$9) + CHOOSE(CONTROL!$C$38, 0.0347, 0)</f>
        <v>26.065899999999999</v>
      </c>
      <c r="J205" s="44">
        <f>149.4937</f>
        <v>149.49369999999999</v>
      </c>
    </row>
    <row r="206" spans="1:10" ht="15" x14ac:dyDescent="0.2">
      <c r="A206" s="13">
        <v>47178</v>
      </c>
      <c r="B206" s="14">
        <f>26.8008 * CHOOSE(CONTROL!$C$15, $E$9, 100%, $G$9) + CHOOSE(CONTROL!$C$38, 0.0256, 0)</f>
        <v>26.8264</v>
      </c>
      <c r="C206" s="14">
        <f>25.3127 * CHOOSE(CONTROL!$C$15, $E$9, 100%, $G$9) + CHOOSE(CONTROL!$C$38, 0.0347, 0)</f>
        <v>25.3474</v>
      </c>
      <c r="D206" s="14">
        <f>25.3049 * CHOOSE(CONTROL!$C$15, $E$9, 100%, $G$9) + CHOOSE(CONTROL!$C$38, 0.0347, 0)</f>
        <v>25.339600000000001</v>
      </c>
      <c r="E206" s="46">
        <f>26.6445 * CHOOSE(CONTROL!$C$15, $E$9, 100%, $G$9) + CHOOSE(CONTROL!$C$38, 0.0347, 0)</f>
        <v>26.679200000000002</v>
      </c>
      <c r="F206" s="45">
        <f>26.6445 * CHOOSE(CONTROL!$C$15, $E$9, 100%, $G$9) + CHOOSE(CONTROL!$C$38, 0.0256, 0)</f>
        <v>26.670100000000001</v>
      </c>
      <c r="G206" s="14">
        <f>25.3111 * CHOOSE(CONTROL!$C$15, $E$9, 100%, $G$9) + CHOOSE(CONTROL!$C$38, 0.0347, 0)</f>
        <v>25.345800000000001</v>
      </c>
      <c r="H206" s="14">
        <f>25.3111 * CHOOSE(CONTROL!$C$15, $E$9, 100%, $G$9) + CHOOSE(CONTROL!$C$38, 0.0347, 0)</f>
        <v>25.345800000000001</v>
      </c>
      <c r="I206" s="14">
        <f>25.3127 * CHOOSE(CONTROL!$C$15, $E$9, 100%, $G$9) + CHOOSE(CONTROL!$C$38, 0.0347, 0)</f>
        <v>25.3474</v>
      </c>
      <c r="J206" s="44">
        <f>157.6971</f>
        <v>157.69710000000001</v>
      </c>
    </row>
    <row r="207" spans="1:10" ht="15" x14ac:dyDescent="0.2">
      <c r="A207" s="13">
        <v>47209</v>
      </c>
      <c r="B207" s="14">
        <f>26.1059 * CHOOSE(CONTROL!$C$15, $E$9, 100%, $G$9) + CHOOSE(CONTROL!$C$38, 0.0256, 0)</f>
        <v>26.131499999999999</v>
      </c>
      <c r="C207" s="14">
        <f>24.615 * CHOOSE(CONTROL!$C$15, $E$9, 100%, $G$9) + CHOOSE(CONTROL!$C$38, 0.0347, 0)</f>
        <v>24.649699999999999</v>
      </c>
      <c r="D207" s="14">
        <f>24.6072 * CHOOSE(CONTROL!$C$15, $E$9, 100%, $G$9) + CHOOSE(CONTROL!$C$38, 0.0347, 0)</f>
        <v>24.6419</v>
      </c>
      <c r="E207" s="46">
        <f>25.9496 * CHOOSE(CONTROL!$C$15, $E$9, 100%, $G$9) + CHOOSE(CONTROL!$C$38, 0.0347, 0)</f>
        <v>25.984300000000001</v>
      </c>
      <c r="F207" s="45">
        <f>25.9496 * CHOOSE(CONTROL!$C$15, $E$9, 100%, $G$9) + CHOOSE(CONTROL!$C$38, 0.0256, 0)</f>
        <v>25.975200000000001</v>
      </c>
      <c r="G207" s="14">
        <f>24.6135 * CHOOSE(CONTROL!$C$15, $E$9, 100%, $G$9) + CHOOSE(CONTROL!$C$38, 0.0347, 0)</f>
        <v>24.648199999999999</v>
      </c>
      <c r="H207" s="14">
        <f>24.6135 * CHOOSE(CONTROL!$C$15, $E$9, 100%, $G$9) + CHOOSE(CONTROL!$C$38, 0.0347, 0)</f>
        <v>24.648199999999999</v>
      </c>
      <c r="I207" s="14">
        <f>24.615 * CHOOSE(CONTROL!$C$15, $E$9, 100%, $G$9) + CHOOSE(CONTROL!$C$38, 0.0347, 0)</f>
        <v>24.649699999999999</v>
      </c>
      <c r="J207" s="44">
        <f>168.2814</f>
        <v>168.28139999999999</v>
      </c>
    </row>
    <row r="208" spans="1:10" ht="15" x14ac:dyDescent="0.2">
      <c r="A208" s="13">
        <v>47239</v>
      </c>
      <c r="B208" s="14">
        <f>25.3763 * CHOOSE(CONTROL!$C$15, $E$9, 100%, $G$9) + CHOOSE(CONTROL!$C$38, 0.0278, 0)</f>
        <v>25.4041</v>
      </c>
      <c r="C208" s="14">
        <f>23.8827 * CHOOSE(CONTROL!$C$15, $E$9, 100%, $G$9) + CHOOSE(CONTROL!$C$38, 0.0369, 0)</f>
        <v>23.919599999999999</v>
      </c>
      <c r="D208" s="14">
        <f>23.8749 * CHOOSE(CONTROL!$C$15, $E$9, 100%, $G$9) + CHOOSE(CONTROL!$C$38, 0.0369, 0)</f>
        <v>23.911799999999999</v>
      </c>
      <c r="E208" s="46">
        <f>25.22 * CHOOSE(CONTROL!$C$15, $E$9, 100%, $G$9) + CHOOSE(CONTROL!$C$38, 0.0369, 0)</f>
        <v>25.256899999999998</v>
      </c>
      <c r="F208" s="45">
        <f>25.22 * CHOOSE(CONTROL!$C$15, $E$9, 100%, $G$9) + CHOOSE(CONTROL!$C$38, 0.0278, 0)</f>
        <v>25.247799999999998</v>
      </c>
      <c r="G208" s="14">
        <f>23.8811 * CHOOSE(CONTROL!$C$15, $E$9, 100%, $G$9) + CHOOSE(CONTROL!$C$38, 0.0369, 0)</f>
        <v>23.917999999999999</v>
      </c>
      <c r="H208" s="14">
        <f>23.8811 * CHOOSE(CONTROL!$C$15, $E$9, 100%, $G$9) + CHOOSE(CONTROL!$C$38, 0.0369, 0)</f>
        <v>23.917999999999999</v>
      </c>
      <c r="I208" s="14">
        <f>23.8827 * CHOOSE(CONTROL!$C$15, $E$9, 100%, $G$9) + CHOOSE(CONTROL!$C$38, 0.0369, 0)</f>
        <v>23.919599999999999</v>
      </c>
      <c r="J208" s="44">
        <f>174.2869</f>
        <v>174.2869</v>
      </c>
    </row>
    <row r="209" spans="1:10" ht="15" x14ac:dyDescent="0.2">
      <c r="A209" s="13">
        <v>47270</v>
      </c>
      <c r="B209" s="14">
        <f>24.8778 * CHOOSE(CONTROL!$C$15, $E$9, 100%, $G$9) + CHOOSE(CONTROL!$C$38, 0.0278, 0)</f>
        <v>24.9056</v>
      </c>
      <c r="C209" s="14">
        <f>23.3815 * CHOOSE(CONTROL!$C$15, $E$9, 100%, $G$9) + CHOOSE(CONTROL!$C$38, 0.0369, 0)</f>
        <v>23.418399999999998</v>
      </c>
      <c r="D209" s="14">
        <f>23.3737 * CHOOSE(CONTROL!$C$15, $E$9, 100%, $G$9) + CHOOSE(CONTROL!$C$38, 0.0369, 0)</f>
        <v>23.410599999999999</v>
      </c>
      <c r="E209" s="46">
        <f>24.7216 * CHOOSE(CONTROL!$C$15, $E$9, 100%, $G$9) + CHOOSE(CONTROL!$C$38, 0.0369, 0)</f>
        <v>24.758499999999998</v>
      </c>
      <c r="F209" s="45">
        <f>24.7216 * CHOOSE(CONTROL!$C$15, $E$9, 100%, $G$9) + CHOOSE(CONTROL!$C$38, 0.0278, 0)</f>
        <v>24.749399999999998</v>
      </c>
      <c r="G209" s="14">
        <f>23.3799 * CHOOSE(CONTROL!$C$15, $E$9, 100%, $G$9) + CHOOSE(CONTROL!$C$38, 0.0369, 0)</f>
        <v>23.416799999999999</v>
      </c>
      <c r="H209" s="14">
        <f>23.3799 * CHOOSE(CONTROL!$C$15, $E$9, 100%, $G$9) + CHOOSE(CONTROL!$C$38, 0.0369, 0)</f>
        <v>23.416799999999999</v>
      </c>
      <c r="I209" s="14">
        <f>23.3815 * CHOOSE(CONTROL!$C$15, $E$9, 100%, $G$9) + CHOOSE(CONTROL!$C$38, 0.0369, 0)</f>
        <v>23.418399999999998</v>
      </c>
      <c r="J209" s="44">
        <f>177.1624</f>
        <v>177.16239999999999</v>
      </c>
    </row>
    <row r="210" spans="1:10" ht="15" x14ac:dyDescent="0.2">
      <c r="A210" s="13">
        <v>47300</v>
      </c>
      <c r="B210" s="14">
        <f>24.6136 * CHOOSE(CONTROL!$C$15, $E$9, 100%, $G$9) + CHOOSE(CONTROL!$C$38, 0.0278, 0)</f>
        <v>24.641400000000001</v>
      </c>
      <c r="C210" s="14">
        <f>23.1145 * CHOOSE(CONTROL!$C$15, $E$9, 100%, $G$9) + CHOOSE(CONTROL!$C$38, 0.0369, 0)</f>
        <v>23.151399999999999</v>
      </c>
      <c r="D210" s="14">
        <f>23.1067 * CHOOSE(CONTROL!$C$15, $E$9, 100%, $G$9) + CHOOSE(CONTROL!$C$38, 0.0369, 0)</f>
        <v>23.143599999999999</v>
      </c>
      <c r="E210" s="46">
        <f>24.4574 * CHOOSE(CONTROL!$C$15, $E$9, 100%, $G$9) + CHOOSE(CONTROL!$C$38, 0.0369, 0)</f>
        <v>24.494299999999999</v>
      </c>
      <c r="F210" s="45">
        <f>24.4574 * CHOOSE(CONTROL!$C$15, $E$9, 100%, $G$9) + CHOOSE(CONTROL!$C$38, 0.0278, 0)</f>
        <v>24.485199999999999</v>
      </c>
      <c r="G210" s="14">
        <f>23.1129 * CHOOSE(CONTROL!$C$15, $E$9, 100%, $G$9) + CHOOSE(CONTROL!$C$38, 0.0369, 0)</f>
        <v>23.149799999999999</v>
      </c>
      <c r="H210" s="14">
        <f>23.1129 * CHOOSE(CONTROL!$C$15, $E$9, 100%, $G$9) + CHOOSE(CONTROL!$C$38, 0.0369, 0)</f>
        <v>23.149799999999999</v>
      </c>
      <c r="I210" s="14">
        <f>23.1145 * CHOOSE(CONTROL!$C$15, $E$9, 100%, $G$9) + CHOOSE(CONTROL!$C$38, 0.0369, 0)</f>
        <v>23.151399999999999</v>
      </c>
      <c r="J210" s="44">
        <f>176.697</f>
        <v>176.697</v>
      </c>
    </row>
    <row r="211" spans="1:10" ht="15" x14ac:dyDescent="0.2">
      <c r="A211" s="13">
        <v>47331</v>
      </c>
      <c r="B211" s="14">
        <f>24.8184 * CHOOSE(CONTROL!$C$15, $E$9, 100%, $G$9) + CHOOSE(CONTROL!$C$38, 0.0278, 0)</f>
        <v>24.8462</v>
      </c>
      <c r="C211" s="14">
        <f>23.3166 * CHOOSE(CONTROL!$C$15, $E$9, 100%, $G$9) + CHOOSE(CONTROL!$C$38, 0.0369, 0)</f>
        <v>23.3535</v>
      </c>
      <c r="D211" s="14">
        <f>23.3087 * CHOOSE(CONTROL!$C$15, $E$9, 100%, $G$9) + CHOOSE(CONTROL!$C$38, 0.0369, 0)</f>
        <v>23.345600000000001</v>
      </c>
      <c r="E211" s="46">
        <f>24.6622 * CHOOSE(CONTROL!$C$15, $E$9, 100%, $G$9) + CHOOSE(CONTROL!$C$38, 0.0369, 0)</f>
        <v>24.699099999999998</v>
      </c>
      <c r="F211" s="45">
        <f>24.6622 * CHOOSE(CONTROL!$C$15, $E$9, 100%, $G$9) + CHOOSE(CONTROL!$C$38, 0.0278, 0)</f>
        <v>24.689999999999998</v>
      </c>
      <c r="G211" s="14">
        <f>23.315 * CHOOSE(CONTROL!$C$15, $E$9, 100%, $G$9) + CHOOSE(CONTROL!$C$38, 0.0369, 0)</f>
        <v>23.351900000000001</v>
      </c>
      <c r="H211" s="14">
        <f>23.315 * CHOOSE(CONTROL!$C$15, $E$9, 100%, $G$9) + CHOOSE(CONTROL!$C$38, 0.0369, 0)</f>
        <v>23.351900000000001</v>
      </c>
      <c r="I211" s="14">
        <f>23.3166 * CHOOSE(CONTROL!$C$15, $E$9, 100%, $G$9) + CHOOSE(CONTROL!$C$38, 0.0369, 0)</f>
        <v>23.3535</v>
      </c>
      <c r="J211" s="44">
        <f>172.9391</f>
        <v>172.9391</v>
      </c>
    </row>
    <row r="212" spans="1:10" ht="15" x14ac:dyDescent="0.2">
      <c r="A212" s="13">
        <v>47362</v>
      </c>
      <c r="B212" s="14">
        <f>25.2912 * CHOOSE(CONTROL!$C$15, $E$9, 100%, $G$9) + CHOOSE(CONTROL!$C$38, 0.0278, 0)</f>
        <v>25.318999999999999</v>
      </c>
      <c r="C212" s="14">
        <f>23.7865 * CHOOSE(CONTROL!$C$15, $E$9, 100%, $G$9) + CHOOSE(CONTROL!$C$38, 0.0369, 0)</f>
        <v>23.823399999999999</v>
      </c>
      <c r="D212" s="14">
        <f>23.7787 * CHOOSE(CONTROL!$C$15, $E$9, 100%, $G$9) + CHOOSE(CONTROL!$C$38, 0.0369, 0)</f>
        <v>23.8156</v>
      </c>
      <c r="E212" s="46">
        <f>25.135 * CHOOSE(CONTROL!$C$15, $E$9, 100%, $G$9) + CHOOSE(CONTROL!$C$38, 0.0369, 0)</f>
        <v>25.171900000000001</v>
      </c>
      <c r="F212" s="45">
        <f>25.135 * CHOOSE(CONTROL!$C$15, $E$9, 100%, $G$9) + CHOOSE(CONTROL!$C$38, 0.0278, 0)</f>
        <v>25.162800000000001</v>
      </c>
      <c r="G212" s="14">
        <f>23.785 * CHOOSE(CONTROL!$C$15, $E$9, 100%, $G$9) + CHOOSE(CONTROL!$C$38, 0.0369, 0)</f>
        <v>23.821899999999999</v>
      </c>
      <c r="H212" s="14">
        <f>23.785 * CHOOSE(CONTROL!$C$15, $E$9, 100%, $G$9) + CHOOSE(CONTROL!$C$38, 0.0369, 0)</f>
        <v>23.821899999999999</v>
      </c>
      <c r="I212" s="14">
        <f>23.7865 * CHOOSE(CONTROL!$C$15, $E$9, 100%, $G$9) + CHOOSE(CONTROL!$C$38, 0.0369, 0)</f>
        <v>23.823399999999999</v>
      </c>
      <c r="J212" s="44">
        <f>167.5353</f>
        <v>167.53530000000001</v>
      </c>
    </row>
    <row r="213" spans="1:10" ht="15" x14ac:dyDescent="0.2">
      <c r="A213" s="13">
        <v>47392</v>
      </c>
      <c r="B213" s="14">
        <f>25.697 * CHOOSE(CONTROL!$C$15, $E$9, 100%, $G$9) + CHOOSE(CONTROL!$C$38, 0.0256, 0)</f>
        <v>25.7226</v>
      </c>
      <c r="C213" s="14">
        <f>24.1895 * CHOOSE(CONTROL!$C$15, $E$9, 100%, $G$9) + CHOOSE(CONTROL!$C$38, 0.0347, 0)</f>
        <v>24.2242</v>
      </c>
      <c r="D213" s="14">
        <f>24.1817 * CHOOSE(CONTROL!$C$15, $E$9, 100%, $G$9) + CHOOSE(CONTROL!$C$38, 0.0347, 0)</f>
        <v>24.2164</v>
      </c>
      <c r="E213" s="46">
        <f>25.5407 * CHOOSE(CONTROL!$C$15, $E$9, 100%, $G$9) + CHOOSE(CONTROL!$C$38, 0.0347, 0)</f>
        <v>25.575400000000002</v>
      </c>
      <c r="F213" s="45">
        <f>25.5407 * CHOOSE(CONTROL!$C$15, $E$9, 100%, $G$9) + CHOOSE(CONTROL!$C$38, 0.0256, 0)</f>
        <v>25.566300000000002</v>
      </c>
      <c r="G213" s="14">
        <f>24.188 * CHOOSE(CONTROL!$C$15, $E$9, 100%, $G$9) + CHOOSE(CONTROL!$C$38, 0.0347, 0)</f>
        <v>24.2227</v>
      </c>
      <c r="H213" s="14">
        <f>24.188 * CHOOSE(CONTROL!$C$15, $E$9, 100%, $G$9) + CHOOSE(CONTROL!$C$38, 0.0347, 0)</f>
        <v>24.2227</v>
      </c>
      <c r="I213" s="14">
        <f>24.1895 * CHOOSE(CONTROL!$C$15, $E$9, 100%, $G$9) + CHOOSE(CONTROL!$C$38, 0.0347, 0)</f>
        <v>24.2242</v>
      </c>
      <c r="J213" s="44">
        <f>162.0749</f>
        <v>162.07490000000001</v>
      </c>
    </row>
    <row r="214" spans="1:10" ht="15" x14ac:dyDescent="0.2">
      <c r="A214" s="13">
        <v>47423</v>
      </c>
      <c r="B214" s="14">
        <f>26.0454 * CHOOSE(CONTROL!$C$15, $E$9, 100%, $G$9) + CHOOSE(CONTROL!$C$38, 0.0256, 0)</f>
        <v>26.071000000000002</v>
      </c>
      <c r="C214" s="14">
        <f>24.5352 * CHOOSE(CONTROL!$C$15, $E$9, 100%, $G$9) + CHOOSE(CONTROL!$C$38, 0.0347, 0)</f>
        <v>24.569900000000001</v>
      </c>
      <c r="D214" s="14">
        <f>24.5274 * CHOOSE(CONTROL!$C$15, $E$9, 100%, $G$9) + CHOOSE(CONTROL!$C$38, 0.0347, 0)</f>
        <v>24.562100000000001</v>
      </c>
      <c r="E214" s="46">
        <f>25.8891 * CHOOSE(CONTROL!$C$15, $E$9, 100%, $G$9) + CHOOSE(CONTROL!$C$38, 0.0347, 0)</f>
        <v>25.9238</v>
      </c>
      <c r="F214" s="45">
        <f>25.8891 * CHOOSE(CONTROL!$C$15, $E$9, 100%, $G$9) + CHOOSE(CONTROL!$C$38, 0.0256, 0)</f>
        <v>25.9147</v>
      </c>
      <c r="G214" s="14">
        <f>24.5336 * CHOOSE(CONTROL!$C$15, $E$9, 100%, $G$9) + CHOOSE(CONTROL!$C$38, 0.0347, 0)</f>
        <v>24.568300000000001</v>
      </c>
      <c r="H214" s="14">
        <f>24.5336 * CHOOSE(CONTROL!$C$15, $E$9, 100%, $G$9) + CHOOSE(CONTROL!$C$38, 0.0347, 0)</f>
        <v>24.568300000000001</v>
      </c>
      <c r="I214" s="14">
        <f>24.5352 * CHOOSE(CONTROL!$C$15, $E$9, 100%, $G$9) + CHOOSE(CONTROL!$C$38, 0.0347, 0)</f>
        <v>24.569900000000001</v>
      </c>
      <c r="J214" s="44">
        <f>161.2516</f>
        <v>161.2516</v>
      </c>
    </row>
    <row r="215" spans="1:10" ht="15" x14ac:dyDescent="0.2">
      <c r="A215" s="13">
        <v>47453</v>
      </c>
      <c r="B215" s="14">
        <f>27.0141 * CHOOSE(CONTROL!$C$15, $E$9, 100%, $G$9) + CHOOSE(CONTROL!$C$38, 0.0256, 0)</f>
        <v>27.0397</v>
      </c>
      <c r="C215" s="14">
        <f>25.5011 * CHOOSE(CONTROL!$C$15, $E$9, 100%, $G$9) + CHOOSE(CONTROL!$C$38, 0.0347, 0)</f>
        <v>25.535800000000002</v>
      </c>
      <c r="D215" s="14">
        <f>25.4933 * CHOOSE(CONTROL!$C$15, $E$9, 100%, $G$9) + CHOOSE(CONTROL!$C$38, 0.0347, 0)</f>
        <v>25.528000000000002</v>
      </c>
      <c r="E215" s="46">
        <f>26.8579 * CHOOSE(CONTROL!$C$15, $E$9, 100%, $G$9) + CHOOSE(CONTROL!$C$38, 0.0347, 0)</f>
        <v>26.892600000000002</v>
      </c>
      <c r="F215" s="45">
        <f>26.8579 * CHOOSE(CONTROL!$C$15, $E$9, 100%, $G$9) + CHOOSE(CONTROL!$C$38, 0.0256, 0)</f>
        <v>26.883500000000002</v>
      </c>
      <c r="G215" s="14">
        <f>25.4996 * CHOOSE(CONTROL!$C$15, $E$9, 100%, $G$9) + CHOOSE(CONTROL!$C$38, 0.0347, 0)</f>
        <v>25.534300000000002</v>
      </c>
      <c r="H215" s="14">
        <f>25.4996 * CHOOSE(CONTROL!$C$15, $E$9, 100%, $G$9) + CHOOSE(CONTROL!$C$38, 0.0347, 0)</f>
        <v>25.534300000000002</v>
      </c>
      <c r="I215" s="14">
        <f>25.5011 * CHOOSE(CONTROL!$C$15, $E$9, 100%, $G$9) + CHOOSE(CONTROL!$C$38, 0.0347, 0)</f>
        <v>25.535800000000002</v>
      </c>
      <c r="J215" s="44">
        <f>156.7887</f>
        <v>156.78870000000001</v>
      </c>
    </row>
    <row r="216" spans="1:10" ht="15" x14ac:dyDescent="0.2">
      <c r="A216" s="13">
        <v>47484</v>
      </c>
      <c r="B216" s="14">
        <f>27.7509 * CHOOSE(CONTROL!$C$15, $E$9, 100%, $G$9) + CHOOSE(CONTROL!$C$38, 0.0256, 0)</f>
        <v>27.776500000000002</v>
      </c>
      <c r="C216" s="14">
        <f>26.2618 * CHOOSE(CONTROL!$C$15, $E$9, 100%, $G$9) + CHOOSE(CONTROL!$C$38, 0.0347, 0)</f>
        <v>26.296500000000002</v>
      </c>
      <c r="D216" s="14">
        <f>26.254 * CHOOSE(CONTROL!$C$15, $E$9, 100%, $G$9) + CHOOSE(CONTROL!$C$38, 0.0347, 0)</f>
        <v>26.288700000000002</v>
      </c>
      <c r="E216" s="46">
        <f>27.5947 * CHOOSE(CONTROL!$C$15, $E$9, 100%, $G$9) + CHOOSE(CONTROL!$C$38, 0.0347, 0)</f>
        <v>27.6294</v>
      </c>
      <c r="F216" s="45">
        <f>27.5947 * CHOOSE(CONTROL!$C$15, $E$9, 100%, $G$9) + CHOOSE(CONTROL!$C$38, 0.0256, 0)</f>
        <v>27.6203</v>
      </c>
      <c r="G216" s="14">
        <f>26.2602 * CHOOSE(CONTROL!$C$15, $E$9, 100%, $G$9) + CHOOSE(CONTROL!$C$38, 0.0347, 0)</f>
        <v>26.294900000000002</v>
      </c>
      <c r="H216" s="14">
        <f>26.2602 * CHOOSE(CONTROL!$C$15, $E$9, 100%, $G$9) + CHOOSE(CONTROL!$C$38, 0.0347, 0)</f>
        <v>26.294900000000002</v>
      </c>
      <c r="I216" s="14">
        <f>26.2618 * CHOOSE(CONTROL!$C$15, $E$9, 100%, $G$9) + CHOOSE(CONTROL!$C$38, 0.0347, 0)</f>
        <v>26.296500000000002</v>
      </c>
      <c r="J216" s="44">
        <f>153.3705</f>
        <v>153.37049999999999</v>
      </c>
    </row>
    <row r="217" spans="1:10" ht="15" x14ac:dyDescent="0.2">
      <c r="A217" s="13">
        <v>47515</v>
      </c>
      <c r="B217" s="14">
        <f>28.1476 * CHOOSE(CONTROL!$C$15, $E$9, 100%, $G$9) + CHOOSE(CONTROL!$C$38, 0.0256, 0)</f>
        <v>28.173200000000001</v>
      </c>
      <c r="C217" s="14">
        <f>26.6557 * CHOOSE(CONTROL!$C$15, $E$9, 100%, $G$9) + CHOOSE(CONTROL!$C$38, 0.0347, 0)</f>
        <v>26.6904</v>
      </c>
      <c r="D217" s="14">
        <f>26.6479 * CHOOSE(CONTROL!$C$15, $E$9, 100%, $G$9) + CHOOSE(CONTROL!$C$38, 0.0347, 0)</f>
        <v>26.682600000000001</v>
      </c>
      <c r="E217" s="46">
        <f>27.9914 * CHOOSE(CONTROL!$C$15, $E$9, 100%, $G$9) + CHOOSE(CONTROL!$C$38, 0.0347, 0)</f>
        <v>28.0261</v>
      </c>
      <c r="F217" s="45">
        <f>27.9914 * CHOOSE(CONTROL!$C$15, $E$9, 100%, $G$9) + CHOOSE(CONTROL!$C$38, 0.0256, 0)</f>
        <v>28.016999999999999</v>
      </c>
      <c r="G217" s="14">
        <f>26.6542 * CHOOSE(CONTROL!$C$15, $E$9, 100%, $G$9) + CHOOSE(CONTROL!$C$38, 0.0347, 0)</f>
        <v>26.6889</v>
      </c>
      <c r="H217" s="14">
        <f>26.6542 * CHOOSE(CONTROL!$C$15, $E$9, 100%, $G$9) + CHOOSE(CONTROL!$C$38, 0.0347, 0)</f>
        <v>26.6889</v>
      </c>
      <c r="I217" s="14">
        <f>26.6557 * CHOOSE(CONTROL!$C$15, $E$9, 100%, $G$9) + CHOOSE(CONTROL!$C$38, 0.0347, 0)</f>
        <v>26.6904</v>
      </c>
      <c r="J217" s="44">
        <f>153.2592</f>
        <v>153.25919999999999</v>
      </c>
    </row>
    <row r="218" spans="1:10" ht="15" x14ac:dyDescent="0.2">
      <c r="A218" s="13">
        <v>47543</v>
      </c>
      <c r="B218" s="14">
        <f>27.4138 * CHOOSE(CONTROL!$C$15, $E$9, 100%, $G$9) + CHOOSE(CONTROL!$C$38, 0.0256, 0)</f>
        <v>27.439399999999999</v>
      </c>
      <c r="C218" s="14">
        <f>25.9192 * CHOOSE(CONTROL!$C$15, $E$9, 100%, $G$9) + CHOOSE(CONTROL!$C$38, 0.0347, 0)</f>
        <v>25.953900000000001</v>
      </c>
      <c r="D218" s="14">
        <f>25.9114 * CHOOSE(CONTROL!$C$15, $E$9, 100%, $G$9) + CHOOSE(CONTROL!$C$38, 0.0347, 0)</f>
        <v>25.946100000000001</v>
      </c>
      <c r="E218" s="46">
        <f>27.2576 * CHOOSE(CONTROL!$C$15, $E$9, 100%, $G$9) + CHOOSE(CONTROL!$C$38, 0.0347, 0)</f>
        <v>27.292300000000001</v>
      </c>
      <c r="F218" s="45">
        <f>27.2576 * CHOOSE(CONTROL!$C$15, $E$9, 100%, $G$9) + CHOOSE(CONTROL!$C$38, 0.0256, 0)</f>
        <v>27.283200000000001</v>
      </c>
      <c r="G218" s="14">
        <f>25.9176 * CHOOSE(CONTROL!$C$15, $E$9, 100%, $G$9) + CHOOSE(CONTROL!$C$38, 0.0347, 0)</f>
        <v>25.952300000000001</v>
      </c>
      <c r="H218" s="14">
        <f>25.9176 * CHOOSE(CONTROL!$C$15, $E$9, 100%, $G$9) + CHOOSE(CONTROL!$C$38, 0.0347, 0)</f>
        <v>25.952300000000001</v>
      </c>
      <c r="I218" s="14">
        <f>25.9192 * CHOOSE(CONTROL!$C$15, $E$9, 100%, $G$9) + CHOOSE(CONTROL!$C$38, 0.0347, 0)</f>
        <v>25.953900000000001</v>
      </c>
      <c r="J218" s="44">
        <f>161.6692</f>
        <v>161.66919999999999</v>
      </c>
    </row>
    <row r="219" spans="1:10" ht="15" x14ac:dyDescent="0.2">
      <c r="A219" s="13">
        <v>47574</v>
      </c>
      <c r="B219" s="14">
        <f>26.7015 * CHOOSE(CONTROL!$C$15, $E$9, 100%, $G$9) + CHOOSE(CONTROL!$C$38, 0.0256, 0)</f>
        <v>26.7271</v>
      </c>
      <c r="C219" s="14">
        <f>25.2041 * CHOOSE(CONTROL!$C$15, $E$9, 100%, $G$9) + CHOOSE(CONTROL!$C$38, 0.0347, 0)</f>
        <v>25.238800000000001</v>
      </c>
      <c r="D219" s="14">
        <f>25.1963 * CHOOSE(CONTROL!$C$15, $E$9, 100%, $G$9) + CHOOSE(CONTROL!$C$38, 0.0347, 0)</f>
        <v>25.231000000000002</v>
      </c>
      <c r="E219" s="46">
        <f>26.5452 * CHOOSE(CONTROL!$C$15, $E$9, 100%, $G$9) + CHOOSE(CONTROL!$C$38, 0.0347, 0)</f>
        <v>26.579900000000002</v>
      </c>
      <c r="F219" s="45">
        <f>26.5452 * CHOOSE(CONTROL!$C$15, $E$9, 100%, $G$9) + CHOOSE(CONTROL!$C$38, 0.0256, 0)</f>
        <v>26.570800000000002</v>
      </c>
      <c r="G219" s="14">
        <f>25.2025 * CHOOSE(CONTROL!$C$15, $E$9, 100%, $G$9) + CHOOSE(CONTROL!$C$38, 0.0347, 0)</f>
        <v>25.237200000000001</v>
      </c>
      <c r="H219" s="14">
        <f>25.2025 * CHOOSE(CONTROL!$C$15, $E$9, 100%, $G$9) + CHOOSE(CONTROL!$C$38, 0.0347, 0)</f>
        <v>25.237200000000001</v>
      </c>
      <c r="I219" s="14">
        <f>25.2041 * CHOOSE(CONTROL!$C$15, $E$9, 100%, $G$9) + CHOOSE(CONTROL!$C$38, 0.0347, 0)</f>
        <v>25.238800000000001</v>
      </c>
      <c r="J219" s="44">
        <f>172.5201</f>
        <v>172.52010000000001</v>
      </c>
    </row>
    <row r="220" spans="1:10" ht="15" x14ac:dyDescent="0.2">
      <c r="A220" s="13">
        <v>47604</v>
      </c>
      <c r="B220" s="14">
        <f>25.9535 * CHOOSE(CONTROL!$C$15, $E$9, 100%, $G$9) + CHOOSE(CONTROL!$C$38, 0.0278, 0)</f>
        <v>25.981299999999997</v>
      </c>
      <c r="C220" s="14">
        <f>24.4534 * CHOOSE(CONTROL!$C$15, $E$9, 100%, $G$9) + CHOOSE(CONTROL!$C$38, 0.0369, 0)</f>
        <v>24.490299999999998</v>
      </c>
      <c r="D220" s="14">
        <f>24.4456 * CHOOSE(CONTROL!$C$15, $E$9, 100%, $G$9) + CHOOSE(CONTROL!$C$38, 0.0369, 0)</f>
        <v>24.482499999999998</v>
      </c>
      <c r="E220" s="46">
        <f>25.7973 * CHOOSE(CONTROL!$C$15, $E$9, 100%, $G$9) + CHOOSE(CONTROL!$C$38, 0.0369, 0)</f>
        <v>25.834199999999999</v>
      </c>
      <c r="F220" s="45">
        <f>25.7973 * CHOOSE(CONTROL!$C$15, $E$9, 100%, $G$9) + CHOOSE(CONTROL!$C$38, 0.0278, 0)</f>
        <v>25.825099999999999</v>
      </c>
      <c r="G220" s="14">
        <f>24.4518 * CHOOSE(CONTROL!$C$15, $E$9, 100%, $G$9) + CHOOSE(CONTROL!$C$38, 0.0369, 0)</f>
        <v>24.488699999999998</v>
      </c>
      <c r="H220" s="14">
        <f>24.4518 * CHOOSE(CONTROL!$C$15, $E$9, 100%, $G$9) + CHOOSE(CONTROL!$C$38, 0.0369, 0)</f>
        <v>24.488699999999998</v>
      </c>
      <c r="I220" s="14">
        <f>24.4534 * CHOOSE(CONTROL!$C$15, $E$9, 100%, $G$9) + CHOOSE(CONTROL!$C$38, 0.0369, 0)</f>
        <v>24.490299999999998</v>
      </c>
      <c r="J220" s="44">
        <f>178.6769</f>
        <v>178.67689999999999</v>
      </c>
    </row>
    <row r="221" spans="1:10" ht="15" x14ac:dyDescent="0.2">
      <c r="A221" s="13">
        <v>47635</v>
      </c>
      <c r="B221" s="14">
        <f>25.4425 * CHOOSE(CONTROL!$C$15, $E$9, 100%, $G$9) + CHOOSE(CONTROL!$C$38, 0.0278, 0)</f>
        <v>25.470299999999998</v>
      </c>
      <c r="C221" s="14">
        <f>23.9396 * CHOOSE(CONTROL!$C$15, $E$9, 100%, $G$9) + CHOOSE(CONTROL!$C$38, 0.0369, 0)</f>
        <v>23.976499999999998</v>
      </c>
      <c r="D221" s="14">
        <f>23.9318 * CHOOSE(CONTROL!$C$15, $E$9, 100%, $G$9) + CHOOSE(CONTROL!$C$38, 0.0369, 0)</f>
        <v>23.968699999999998</v>
      </c>
      <c r="E221" s="46">
        <f>25.2863 * CHOOSE(CONTROL!$C$15, $E$9, 100%, $G$9) + CHOOSE(CONTROL!$C$38, 0.0369, 0)</f>
        <v>25.3232</v>
      </c>
      <c r="F221" s="45">
        <f>25.2863 * CHOOSE(CONTROL!$C$15, $E$9, 100%, $G$9) + CHOOSE(CONTROL!$C$38, 0.0278, 0)</f>
        <v>25.3141</v>
      </c>
      <c r="G221" s="14">
        <f>23.9381 * CHOOSE(CONTROL!$C$15, $E$9, 100%, $G$9) + CHOOSE(CONTROL!$C$38, 0.0369, 0)</f>
        <v>23.974999999999998</v>
      </c>
      <c r="H221" s="14">
        <f>23.9381 * CHOOSE(CONTROL!$C$15, $E$9, 100%, $G$9) + CHOOSE(CONTROL!$C$38, 0.0369, 0)</f>
        <v>23.974999999999998</v>
      </c>
      <c r="I221" s="14">
        <f>23.9396 * CHOOSE(CONTROL!$C$15, $E$9, 100%, $G$9) + CHOOSE(CONTROL!$C$38, 0.0369, 0)</f>
        <v>23.976499999999998</v>
      </c>
      <c r="J221" s="44">
        <f>181.6248</f>
        <v>181.62479999999999</v>
      </c>
    </row>
    <row r="222" spans="1:10" ht="15" x14ac:dyDescent="0.2">
      <c r="A222" s="13">
        <v>47665</v>
      </c>
      <c r="B222" s="14">
        <f>25.1716 * CHOOSE(CONTROL!$C$15, $E$9, 100%, $G$9) + CHOOSE(CONTROL!$C$38, 0.0278, 0)</f>
        <v>25.199400000000001</v>
      </c>
      <c r="C222" s="14">
        <f>23.6659 * CHOOSE(CONTROL!$C$15, $E$9, 100%, $G$9) + CHOOSE(CONTROL!$C$38, 0.0369, 0)</f>
        <v>23.7028</v>
      </c>
      <c r="D222" s="14">
        <f>23.6581 * CHOOSE(CONTROL!$C$15, $E$9, 100%, $G$9) + CHOOSE(CONTROL!$C$38, 0.0369, 0)</f>
        <v>23.695</v>
      </c>
      <c r="E222" s="46">
        <f>25.0154 * CHOOSE(CONTROL!$C$15, $E$9, 100%, $G$9) + CHOOSE(CONTROL!$C$38, 0.0369, 0)</f>
        <v>25.052299999999999</v>
      </c>
      <c r="F222" s="45">
        <f>25.0154 * CHOOSE(CONTROL!$C$15, $E$9, 100%, $G$9) + CHOOSE(CONTROL!$C$38, 0.0278, 0)</f>
        <v>25.043199999999999</v>
      </c>
      <c r="G222" s="14">
        <f>23.6644 * CHOOSE(CONTROL!$C$15, $E$9, 100%, $G$9) + CHOOSE(CONTROL!$C$38, 0.0369, 0)</f>
        <v>23.7013</v>
      </c>
      <c r="H222" s="14">
        <f>23.6644 * CHOOSE(CONTROL!$C$15, $E$9, 100%, $G$9) + CHOOSE(CONTROL!$C$38, 0.0369, 0)</f>
        <v>23.7013</v>
      </c>
      <c r="I222" s="14">
        <f>23.6659 * CHOOSE(CONTROL!$C$15, $E$9, 100%, $G$9) + CHOOSE(CONTROL!$C$38, 0.0369, 0)</f>
        <v>23.7028</v>
      </c>
      <c r="J222" s="44">
        <f>181.1477</f>
        <v>181.14769999999999</v>
      </c>
    </row>
    <row r="223" spans="1:10" ht="15" x14ac:dyDescent="0.2">
      <c r="A223" s="13">
        <v>47696</v>
      </c>
      <c r="B223" s="14">
        <f>25.3306 * CHOOSE(CONTROL!$C$15, $E$9, 100%, $G$9) + CHOOSE(CONTROL!$C$38, 0.0278, 0)</f>
        <v>25.3584</v>
      </c>
      <c r="C223" s="14">
        <f>23.8249 * CHOOSE(CONTROL!$C$15, $E$9, 100%, $G$9) + CHOOSE(CONTROL!$C$38, 0.0369, 0)</f>
        <v>23.861799999999999</v>
      </c>
      <c r="D223" s="14">
        <f>23.8171 * CHOOSE(CONTROL!$C$15, $E$9, 100%, $G$9) + CHOOSE(CONTROL!$C$38, 0.0369, 0)</f>
        <v>23.853999999999999</v>
      </c>
      <c r="E223" s="46">
        <f>25.1743 * CHOOSE(CONTROL!$C$15, $E$9, 100%, $G$9) + CHOOSE(CONTROL!$C$38, 0.0369, 0)</f>
        <v>25.211199999999998</v>
      </c>
      <c r="F223" s="45">
        <f>25.1743 * CHOOSE(CONTROL!$C$15, $E$9, 100%, $G$9) + CHOOSE(CONTROL!$C$38, 0.0278, 0)</f>
        <v>25.202099999999998</v>
      </c>
      <c r="G223" s="14">
        <f>23.8233 * CHOOSE(CONTROL!$C$15, $E$9, 100%, $G$9) + CHOOSE(CONTROL!$C$38, 0.0369, 0)</f>
        <v>23.860199999999999</v>
      </c>
      <c r="H223" s="14">
        <f>23.8233 * CHOOSE(CONTROL!$C$15, $E$9, 100%, $G$9) + CHOOSE(CONTROL!$C$38, 0.0369, 0)</f>
        <v>23.860199999999999</v>
      </c>
      <c r="I223" s="14">
        <f>23.8249 * CHOOSE(CONTROL!$C$15, $E$9, 100%, $G$9) + CHOOSE(CONTROL!$C$38, 0.0369, 0)</f>
        <v>23.861799999999999</v>
      </c>
      <c r="J223" s="44">
        <f>176.9307</f>
        <v>176.9307</v>
      </c>
    </row>
    <row r="224" spans="1:10" ht="15" x14ac:dyDescent="0.2">
      <c r="A224" s="13">
        <v>47727</v>
      </c>
      <c r="B224" s="14">
        <f>25.7623 * CHOOSE(CONTROL!$C$15, $E$9, 100%, $G$9) + CHOOSE(CONTROL!$C$38, 0.0278, 0)</f>
        <v>25.790099999999999</v>
      </c>
      <c r="C224" s="14">
        <f>24.2566 * CHOOSE(CONTROL!$C$15, $E$9, 100%, $G$9) + CHOOSE(CONTROL!$C$38, 0.0369, 0)</f>
        <v>24.293499999999998</v>
      </c>
      <c r="D224" s="14">
        <f>24.2488 * CHOOSE(CONTROL!$C$15, $E$9, 100%, $G$9) + CHOOSE(CONTROL!$C$38, 0.0369, 0)</f>
        <v>24.285699999999999</v>
      </c>
      <c r="E224" s="46">
        <f>25.606 * CHOOSE(CONTROL!$C$15, $E$9, 100%, $G$9) + CHOOSE(CONTROL!$C$38, 0.0369, 0)</f>
        <v>25.642900000000001</v>
      </c>
      <c r="F224" s="45">
        <f>25.606 * CHOOSE(CONTROL!$C$15, $E$9, 100%, $G$9) + CHOOSE(CONTROL!$C$38, 0.0278, 0)</f>
        <v>25.633800000000001</v>
      </c>
      <c r="G224" s="14">
        <f>24.255 * CHOOSE(CONTROL!$C$15, $E$9, 100%, $G$9) + CHOOSE(CONTROL!$C$38, 0.0369, 0)</f>
        <v>24.291899999999998</v>
      </c>
      <c r="H224" s="14">
        <f>24.255 * CHOOSE(CONTROL!$C$15, $E$9, 100%, $G$9) + CHOOSE(CONTROL!$C$38, 0.0369, 0)</f>
        <v>24.291899999999998</v>
      </c>
      <c r="I224" s="14">
        <f>24.2566 * CHOOSE(CONTROL!$C$15, $E$9, 100%, $G$9) + CHOOSE(CONTROL!$C$38, 0.0369, 0)</f>
        <v>24.293499999999998</v>
      </c>
      <c r="J224" s="44">
        <f>171.0498</f>
        <v>171.0498</v>
      </c>
    </row>
    <row r="225" spans="1:10" ht="15" x14ac:dyDescent="0.2">
      <c r="A225" s="13">
        <v>47757</v>
      </c>
      <c r="B225" s="14">
        <f>26.1238 * CHOOSE(CONTROL!$C$15, $E$9, 100%, $G$9) + CHOOSE(CONTROL!$C$38, 0.0256, 0)</f>
        <v>26.1494</v>
      </c>
      <c r="C225" s="14">
        <f>24.6181 * CHOOSE(CONTROL!$C$15, $E$9, 100%, $G$9) + CHOOSE(CONTROL!$C$38, 0.0347, 0)</f>
        <v>24.652799999999999</v>
      </c>
      <c r="D225" s="14">
        <f>24.6103 * CHOOSE(CONTROL!$C$15, $E$9, 100%, $G$9) + CHOOSE(CONTROL!$C$38, 0.0347, 0)</f>
        <v>24.645</v>
      </c>
      <c r="E225" s="46">
        <f>25.9676 * CHOOSE(CONTROL!$C$15, $E$9, 100%, $G$9) + CHOOSE(CONTROL!$C$38, 0.0347, 0)</f>
        <v>26.002300000000002</v>
      </c>
      <c r="F225" s="45">
        <f>25.9676 * CHOOSE(CONTROL!$C$15, $E$9, 100%, $G$9) + CHOOSE(CONTROL!$C$38, 0.0256, 0)</f>
        <v>25.993200000000002</v>
      </c>
      <c r="G225" s="14">
        <f>24.6166 * CHOOSE(CONTROL!$C$15, $E$9, 100%, $G$9) + CHOOSE(CONTROL!$C$38, 0.0347, 0)</f>
        <v>24.651299999999999</v>
      </c>
      <c r="H225" s="14">
        <f>24.6166 * CHOOSE(CONTROL!$C$15, $E$9, 100%, $G$9) + CHOOSE(CONTROL!$C$38, 0.0347, 0)</f>
        <v>24.651299999999999</v>
      </c>
      <c r="I225" s="14">
        <f>24.6181 * CHOOSE(CONTROL!$C$15, $E$9, 100%, $G$9) + CHOOSE(CONTROL!$C$38, 0.0347, 0)</f>
        <v>24.652799999999999</v>
      </c>
      <c r="J225" s="44">
        <f>165.1347</f>
        <v>165.13470000000001</v>
      </c>
    </row>
    <row r="226" spans="1:10" ht="15" x14ac:dyDescent="0.2">
      <c r="A226" s="13">
        <v>47788</v>
      </c>
      <c r="B226" s="14">
        <f>26.4256 * CHOOSE(CONTROL!$C$15, $E$9, 100%, $G$9) + CHOOSE(CONTROL!$C$38, 0.0256, 0)</f>
        <v>26.4512</v>
      </c>
      <c r="C226" s="14">
        <f>24.9199 * CHOOSE(CONTROL!$C$15, $E$9, 100%, $G$9) + CHOOSE(CONTROL!$C$38, 0.0347, 0)</f>
        <v>24.954599999999999</v>
      </c>
      <c r="D226" s="14">
        <f>24.912 * CHOOSE(CONTROL!$C$15, $E$9, 100%, $G$9) + CHOOSE(CONTROL!$C$38, 0.0347, 0)</f>
        <v>24.9467</v>
      </c>
      <c r="E226" s="46">
        <f>26.2693 * CHOOSE(CONTROL!$C$15, $E$9, 100%, $G$9) + CHOOSE(CONTROL!$C$38, 0.0347, 0)</f>
        <v>26.304000000000002</v>
      </c>
      <c r="F226" s="45">
        <f>26.2693 * CHOOSE(CONTROL!$C$15, $E$9, 100%, $G$9) + CHOOSE(CONTROL!$C$38, 0.0256, 0)</f>
        <v>26.294900000000002</v>
      </c>
      <c r="G226" s="14">
        <f>24.9183 * CHOOSE(CONTROL!$C$15, $E$9, 100%, $G$9) + CHOOSE(CONTROL!$C$38, 0.0347, 0)</f>
        <v>24.952999999999999</v>
      </c>
      <c r="H226" s="14">
        <f>24.9183 * CHOOSE(CONTROL!$C$15, $E$9, 100%, $G$9) + CHOOSE(CONTROL!$C$38, 0.0347, 0)</f>
        <v>24.952999999999999</v>
      </c>
      <c r="I226" s="14">
        <f>24.9199 * CHOOSE(CONTROL!$C$15, $E$9, 100%, $G$9) + CHOOSE(CONTROL!$C$38, 0.0347, 0)</f>
        <v>24.954599999999999</v>
      </c>
      <c r="J226" s="44">
        <f>163.9581</f>
        <v>163.9581</v>
      </c>
    </row>
    <row r="227" spans="1:10" ht="15" x14ac:dyDescent="0.2">
      <c r="A227" s="13">
        <v>47818</v>
      </c>
      <c r="B227" s="14">
        <f>27.3552 * CHOOSE(CONTROL!$C$15, $E$9, 100%, $G$9) + CHOOSE(CONTROL!$C$38, 0.0256, 0)</f>
        <v>27.380800000000001</v>
      </c>
      <c r="C227" s="14">
        <f>25.8495 * CHOOSE(CONTROL!$C$15, $E$9, 100%, $G$9) + CHOOSE(CONTROL!$C$38, 0.0347, 0)</f>
        <v>25.8842</v>
      </c>
      <c r="D227" s="14">
        <f>25.8417 * CHOOSE(CONTROL!$C$15, $E$9, 100%, $G$9) + CHOOSE(CONTROL!$C$38, 0.0347, 0)</f>
        <v>25.8764</v>
      </c>
      <c r="E227" s="46">
        <f>27.199 * CHOOSE(CONTROL!$C$15, $E$9, 100%, $G$9) + CHOOSE(CONTROL!$C$38, 0.0347, 0)</f>
        <v>27.233700000000002</v>
      </c>
      <c r="F227" s="45">
        <f>27.199 * CHOOSE(CONTROL!$C$15, $E$9, 100%, $G$9) + CHOOSE(CONTROL!$C$38, 0.0256, 0)</f>
        <v>27.224600000000002</v>
      </c>
      <c r="G227" s="14">
        <f>25.848 * CHOOSE(CONTROL!$C$15, $E$9, 100%, $G$9) + CHOOSE(CONTROL!$C$38, 0.0347, 0)</f>
        <v>25.8827</v>
      </c>
      <c r="H227" s="14">
        <f>25.848 * CHOOSE(CONTROL!$C$15, $E$9, 100%, $G$9) + CHOOSE(CONTROL!$C$38, 0.0347, 0)</f>
        <v>25.8827</v>
      </c>
      <c r="I227" s="14">
        <f>25.8495 * CHOOSE(CONTROL!$C$15, $E$9, 100%, $G$9) + CHOOSE(CONTROL!$C$38, 0.0347, 0)</f>
        <v>25.8842</v>
      </c>
      <c r="J227" s="44">
        <f>159.0926</f>
        <v>159.0926</v>
      </c>
    </row>
    <row r="228" spans="1:10" ht="15" x14ac:dyDescent="0.2">
      <c r="A228" s="13">
        <v>47849</v>
      </c>
      <c r="B228" s="14">
        <f>28.5239 * CHOOSE(CONTROL!$C$15, $E$9, 100%, $G$9) + CHOOSE(CONTROL!$C$38, 0.0256, 0)</f>
        <v>28.549500000000002</v>
      </c>
      <c r="C228" s="14">
        <f>26.9955 * CHOOSE(CONTROL!$C$15, $E$9, 100%, $G$9) + CHOOSE(CONTROL!$C$38, 0.0347, 0)</f>
        <v>27.030200000000001</v>
      </c>
      <c r="D228" s="14">
        <f>26.9877 * CHOOSE(CONTROL!$C$15, $E$9, 100%, $G$9) + CHOOSE(CONTROL!$C$38, 0.0347, 0)</f>
        <v>27.022400000000001</v>
      </c>
      <c r="E228" s="46">
        <f>28.3676 * CHOOSE(CONTROL!$C$15, $E$9, 100%, $G$9) + CHOOSE(CONTROL!$C$38, 0.0347, 0)</f>
        <v>28.4023</v>
      </c>
      <c r="F228" s="45">
        <f>28.3676 * CHOOSE(CONTROL!$C$15, $E$9, 100%, $G$9) + CHOOSE(CONTROL!$C$38, 0.0256, 0)</f>
        <v>28.3932</v>
      </c>
      <c r="G228" s="14">
        <f>26.9939 * CHOOSE(CONTROL!$C$15, $E$9, 100%, $G$9) + CHOOSE(CONTROL!$C$38, 0.0347, 0)</f>
        <v>27.028600000000001</v>
      </c>
      <c r="H228" s="14">
        <f>26.9939 * CHOOSE(CONTROL!$C$15, $E$9, 100%, $G$9) + CHOOSE(CONTROL!$C$38, 0.0347, 0)</f>
        <v>27.028600000000001</v>
      </c>
      <c r="I228" s="14">
        <f>26.9955 * CHOOSE(CONTROL!$C$15, $E$9, 100%, $G$9) + CHOOSE(CONTROL!$C$38, 0.0347, 0)</f>
        <v>27.030200000000001</v>
      </c>
      <c r="J228" s="44">
        <f>158.9778</f>
        <v>158.9778</v>
      </c>
    </row>
    <row r="229" spans="1:10" ht="15" x14ac:dyDescent="0.2">
      <c r="A229" s="13">
        <v>47880</v>
      </c>
      <c r="B229" s="14">
        <f>28.8682 * CHOOSE(CONTROL!$C$15, $E$9, 100%, $G$9) + CHOOSE(CONTROL!$C$38, 0.0256, 0)</f>
        <v>28.893800000000002</v>
      </c>
      <c r="C229" s="14">
        <f>27.3398 * CHOOSE(CONTROL!$C$15, $E$9, 100%, $G$9) + CHOOSE(CONTROL!$C$38, 0.0347, 0)</f>
        <v>27.374500000000001</v>
      </c>
      <c r="D229" s="14">
        <f>27.332 * CHOOSE(CONTROL!$C$15, $E$9, 100%, $G$9) + CHOOSE(CONTROL!$C$38, 0.0347, 0)</f>
        <v>27.366700000000002</v>
      </c>
      <c r="E229" s="46">
        <f>28.7119 * CHOOSE(CONTROL!$C$15, $E$9, 100%, $G$9) + CHOOSE(CONTROL!$C$38, 0.0347, 0)</f>
        <v>28.746600000000001</v>
      </c>
      <c r="F229" s="45">
        <f>28.7119 * CHOOSE(CONTROL!$C$15, $E$9, 100%, $G$9) + CHOOSE(CONTROL!$C$38, 0.0256, 0)</f>
        <v>28.737500000000001</v>
      </c>
      <c r="G229" s="14">
        <f>27.3383 * CHOOSE(CONTROL!$C$15, $E$9, 100%, $G$9) + CHOOSE(CONTROL!$C$38, 0.0347, 0)</f>
        <v>27.373000000000001</v>
      </c>
      <c r="H229" s="14">
        <f>27.3383 * CHOOSE(CONTROL!$C$15, $E$9, 100%, $G$9) + CHOOSE(CONTROL!$C$38, 0.0347, 0)</f>
        <v>27.373000000000001</v>
      </c>
      <c r="I229" s="14">
        <f>27.3398 * CHOOSE(CONTROL!$C$15, $E$9, 100%, $G$9) + CHOOSE(CONTROL!$C$38, 0.0347, 0)</f>
        <v>27.374500000000001</v>
      </c>
      <c r="J229" s="44">
        <f>158.5359</f>
        <v>158.5359</v>
      </c>
    </row>
    <row r="230" spans="1:10" ht="15" x14ac:dyDescent="0.2">
      <c r="A230" s="13">
        <v>47908</v>
      </c>
      <c r="B230" s="14">
        <f>28.0712 * CHOOSE(CONTROL!$C$15, $E$9, 100%, $G$9) + CHOOSE(CONTROL!$C$38, 0.0256, 0)</f>
        <v>28.096800000000002</v>
      </c>
      <c r="C230" s="14">
        <f>26.5428 * CHOOSE(CONTROL!$C$15, $E$9, 100%, $G$9) + CHOOSE(CONTROL!$C$38, 0.0347, 0)</f>
        <v>26.577500000000001</v>
      </c>
      <c r="D230" s="14">
        <f>26.535 * CHOOSE(CONTROL!$C$15, $E$9, 100%, $G$9) + CHOOSE(CONTROL!$C$38, 0.0347, 0)</f>
        <v>26.569700000000001</v>
      </c>
      <c r="E230" s="46">
        <f>27.9149 * CHOOSE(CONTROL!$C$15, $E$9, 100%, $G$9) + CHOOSE(CONTROL!$C$38, 0.0347, 0)</f>
        <v>27.9496</v>
      </c>
      <c r="F230" s="45">
        <f>27.9149 * CHOOSE(CONTROL!$C$15, $E$9, 100%, $G$9) + CHOOSE(CONTROL!$C$38, 0.0256, 0)</f>
        <v>27.9405</v>
      </c>
      <c r="G230" s="14">
        <f>26.5412 * CHOOSE(CONTROL!$C$15, $E$9, 100%, $G$9) + CHOOSE(CONTROL!$C$38, 0.0347, 0)</f>
        <v>26.575900000000001</v>
      </c>
      <c r="H230" s="14">
        <f>26.5412 * CHOOSE(CONTROL!$C$15, $E$9, 100%, $G$9) + CHOOSE(CONTROL!$C$38, 0.0347, 0)</f>
        <v>26.575900000000001</v>
      </c>
      <c r="I230" s="14">
        <f>26.5428 * CHOOSE(CONTROL!$C$15, $E$9, 100%, $G$9) + CHOOSE(CONTROL!$C$38, 0.0347, 0)</f>
        <v>26.577500000000001</v>
      </c>
      <c r="J230" s="44">
        <f>166.8916</f>
        <v>166.89160000000001</v>
      </c>
    </row>
    <row r="231" spans="1:10" ht="15" x14ac:dyDescent="0.2">
      <c r="A231" s="13">
        <v>47939</v>
      </c>
      <c r="B231" s="14">
        <f>27.2988 * CHOOSE(CONTROL!$C$15, $E$9, 100%, $G$9) + CHOOSE(CONTROL!$C$38, 0.0256, 0)</f>
        <v>27.324400000000001</v>
      </c>
      <c r="C231" s="14">
        <f>25.7705 * CHOOSE(CONTROL!$C$15, $E$9, 100%, $G$9) + CHOOSE(CONTROL!$C$38, 0.0347, 0)</f>
        <v>25.805199999999999</v>
      </c>
      <c r="D231" s="14">
        <f>25.7627 * CHOOSE(CONTROL!$C$15, $E$9, 100%, $G$9) + CHOOSE(CONTROL!$C$38, 0.0347, 0)</f>
        <v>25.7974</v>
      </c>
      <c r="E231" s="46">
        <f>27.1426 * CHOOSE(CONTROL!$C$15, $E$9, 100%, $G$9) + CHOOSE(CONTROL!$C$38, 0.0347, 0)</f>
        <v>27.177300000000002</v>
      </c>
      <c r="F231" s="45">
        <f>27.1426 * CHOOSE(CONTROL!$C$15, $E$9, 100%, $G$9) + CHOOSE(CONTROL!$C$38, 0.0256, 0)</f>
        <v>27.168200000000002</v>
      </c>
      <c r="G231" s="14">
        <f>25.7689 * CHOOSE(CONTROL!$C$15, $E$9, 100%, $G$9) + CHOOSE(CONTROL!$C$38, 0.0347, 0)</f>
        <v>25.803599999999999</v>
      </c>
      <c r="H231" s="14">
        <f>25.7689 * CHOOSE(CONTROL!$C$15, $E$9, 100%, $G$9) + CHOOSE(CONTROL!$C$38, 0.0347, 0)</f>
        <v>25.803599999999999</v>
      </c>
      <c r="I231" s="14">
        <f>25.7705 * CHOOSE(CONTROL!$C$15, $E$9, 100%, $G$9) + CHOOSE(CONTROL!$C$38, 0.0347, 0)</f>
        <v>25.805199999999999</v>
      </c>
      <c r="J231" s="44">
        <f>177.727</f>
        <v>177.727</v>
      </c>
    </row>
    <row r="232" spans="1:10" ht="15" x14ac:dyDescent="0.2">
      <c r="A232" s="13">
        <v>47969</v>
      </c>
      <c r="B232" s="14">
        <f>26.4939 * CHOOSE(CONTROL!$C$15, $E$9, 100%, $G$9) + CHOOSE(CONTROL!$C$38, 0.0278, 0)</f>
        <v>26.521699999999999</v>
      </c>
      <c r="C232" s="14">
        <f>24.9655 * CHOOSE(CONTROL!$C$15, $E$9, 100%, $G$9) + CHOOSE(CONTROL!$C$38, 0.0369, 0)</f>
        <v>25.002399999999998</v>
      </c>
      <c r="D232" s="14">
        <f>24.9577 * CHOOSE(CONTROL!$C$15, $E$9, 100%, $G$9) + CHOOSE(CONTROL!$C$38, 0.0369, 0)</f>
        <v>24.994599999999998</v>
      </c>
      <c r="E232" s="46">
        <f>26.3376 * CHOOSE(CONTROL!$C$15, $E$9, 100%, $G$9) + CHOOSE(CONTROL!$C$38, 0.0369, 0)</f>
        <v>26.374499999999998</v>
      </c>
      <c r="F232" s="45">
        <f>26.3376 * CHOOSE(CONTROL!$C$15, $E$9, 100%, $G$9) + CHOOSE(CONTROL!$C$38, 0.0278, 0)</f>
        <v>26.365399999999998</v>
      </c>
      <c r="G232" s="14">
        <f>24.9639 * CHOOSE(CONTROL!$C$15, $E$9, 100%, $G$9) + CHOOSE(CONTROL!$C$38, 0.0369, 0)</f>
        <v>25.000799999999998</v>
      </c>
      <c r="H232" s="14">
        <f>24.9639 * CHOOSE(CONTROL!$C$15, $E$9, 100%, $G$9) + CHOOSE(CONTROL!$C$38, 0.0369, 0)</f>
        <v>25.000799999999998</v>
      </c>
      <c r="I232" s="14">
        <f>24.9655 * CHOOSE(CONTROL!$C$15, $E$9, 100%, $G$9) + CHOOSE(CONTROL!$C$38, 0.0369, 0)</f>
        <v>25.002399999999998</v>
      </c>
      <c r="J232" s="44">
        <f>183.6912</f>
        <v>183.69120000000001</v>
      </c>
    </row>
    <row r="233" spans="1:10" ht="15" x14ac:dyDescent="0.2">
      <c r="A233" s="13">
        <v>48000</v>
      </c>
      <c r="B233" s="14">
        <f>25.9295 * CHOOSE(CONTROL!$C$15, $E$9, 100%, $G$9) + CHOOSE(CONTROL!$C$38, 0.0278, 0)</f>
        <v>25.9573</v>
      </c>
      <c r="C233" s="14">
        <f>24.4012 * CHOOSE(CONTROL!$C$15, $E$9, 100%, $G$9) + CHOOSE(CONTROL!$C$38, 0.0369, 0)</f>
        <v>24.438099999999999</v>
      </c>
      <c r="D233" s="14">
        <f>24.3934 * CHOOSE(CONTROL!$C$15, $E$9, 100%, $G$9) + CHOOSE(CONTROL!$C$38, 0.0369, 0)</f>
        <v>24.430299999999999</v>
      </c>
      <c r="E233" s="46">
        <f>25.7733 * CHOOSE(CONTROL!$C$15, $E$9, 100%, $G$9) + CHOOSE(CONTROL!$C$38, 0.0369, 0)</f>
        <v>25.810199999999998</v>
      </c>
      <c r="F233" s="45">
        <f>25.7733 * CHOOSE(CONTROL!$C$15, $E$9, 100%, $G$9) + CHOOSE(CONTROL!$C$38, 0.0278, 0)</f>
        <v>25.801099999999998</v>
      </c>
      <c r="G233" s="14">
        <f>24.3996 * CHOOSE(CONTROL!$C$15, $E$9, 100%, $G$9) + CHOOSE(CONTROL!$C$38, 0.0369, 0)</f>
        <v>24.436499999999999</v>
      </c>
      <c r="H233" s="14">
        <f>24.3996 * CHOOSE(CONTROL!$C$15, $E$9, 100%, $G$9) + CHOOSE(CONTROL!$C$38, 0.0369, 0)</f>
        <v>24.436499999999999</v>
      </c>
      <c r="I233" s="14">
        <f>24.4012 * CHOOSE(CONTROL!$C$15, $E$9, 100%, $G$9) + CHOOSE(CONTROL!$C$38, 0.0369, 0)</f>
        <v>24.438099999999999</v>
      </c>
      <c r="J233" s="44">
        <f>186.338</f>
        <v>186.33799999999999</v>
      </c>
    </row>
    <row r="234" spans="1:10" ht="15" x14ac:dyDescent="0.2">
      <c r="A234" s="13">
        <v>48030</v>
      </c>
      <c r="B234" s="14">
        <f>25.6075 * CHOOSE(CONTROL!$C$15, $E$9, 100%, $G$9) + CHOOSE(CONTROL!$C$38, 0.0278, 0)</f>
        <v>25.635300000000001</v>
      </c>
      <c r="C234" s="14">
        <f>24.0791 * CHOOSE(CONTROL!$C$15, $E$9, 100%, $G$9) + CHOOSE(CONTROL!$C$38, 0.0369, 0)</f>
        <v>24.116</v>
      </c>
      <c r="D234" s="14">
        <f>24.0713 * CHOOSE(CONTROL!$C$15, $E$9, 100%, $G$9) + CHOOSE(CONTROL!$C$38, 0.0369, 0)</f>
        <v>24.1082</v>
      </c>
      <c r="E234" s="46">
        <f>25.4512 * CHOOSE(CONTROL!$C$15, $E$9, 100%, $G$9) + CHOOSE(CONTROL!$C$38, 0.0369, 0)</f>
        <v>25.488099999999999</v>
      </c>
      <c r="F234" s="45">
        <f>25.4512 * CHOOSE(CONTROL!$C$15, $E$9, 100%, $G$9) + CHOOSE(CONTROL!$C$38, 0.0278, 0)</f>
        <v>25.478999999999999</v>
      </c>
      <c r="G234" s="14">
        <f>24.0776 * CHOOSE(CONTROL!$C$15, $E$9, 100%, $G$9) + CHOOSE(CONTROL!$C$38, 0.0369, 0)</f>
        <v>24.1145</v>
      </c>
      <c r="H234" s="14">
        <f>24.0776 * CHOOSE(CONTROL!$C$15, $E$9, 100%, $G$9) + CHOOSE(CONTROL!$C$38, 0.0369, 0)</f>
        <v>24.1145</v>
      </c>
      <c r="I234" s="14">
        <f>24.0791 * CHOOSE(CONTROL!$C$15, $E$9, 100%, $G$9) + CHOOSE(CONTROL!$C$38, 0.0369, 0)</f>
        <v>24.116</v>
      </c>
      <c r="J234" s="44">
        <f>185.4666</f>
        <v>185.4666</v>
      </c>
    </row>
    <row r="235" spans="1:10" ht="15" x14ac:dyDescent="0.2">
      <c r="A235" s="13">
        <v>48061</v>
      </c>
      <c r="B235" s="14">
        <f>25.7664 * CHOOSE(CONTROL!$C$15, $E$9, 100%, $G$9) + CHOOSE(CONTROL!$C$38, 0.0278, 0)</f>
        <v>25.7942</v>
      </c>
      <c r="C235" s="14">
        <f>24.2381 * CHOOSE(CONTROL!$C$15, $E$9, 100%, $G$9) + CHOOSE(CONTROL!$C$38, 0.0369, 0)</f>
        <v>24.274999999999999</v>
      </c>
      <c r="D235" s="14">
        <f>24.2303 * CHOOSE(CONTROL!$C$15, $E$9, 100%, $G$9) + CHOOSE(CONTROL!$C$38, 0.0369, 0)</f>
        <v>24.267199999999999</v>
      </c>
      <c r="E235" s="46">
        <f>25.6102 * CHOOSE(CONTROL!$C$15, $E$9, 100%, $G$9) + CHOOSE(CONTROL!$C$38, 0.0369, 0)</f>
        <v>25.647099999999998</v>
      </c>
      <c r="F235" s="45">
        <f>25.6102 * CHOOSE(CONTROL!$C$15, $E$9, 100%, $G$9) + CHOOSE(CONTROL!$C$38, 0.0278, 0)</f>
        <v>25.637999999999998</v>
      </c>
      <c r="G235" s="14">
        <f>24.2365 * CHOOSE(CONTROL!$C$15, $E$9, 100%, $G$9) + CHOOSE(CONTROL!$C$38, 0.0369, 0)</f>
        <v>24.273399999999999</v>
      </c>
      <c r="H235" s="14">
        <f>24.2365 * CHOOSE(CONTROL!$C$15, $E$9, 100%, $G$9) + CHOOSE(CONTROL!$C$38, 0.0369, 0)</f>
        <v>24.273399999999999</v>
      </c>
      <c r="I235" s="14">
        <f>24.2381 * CHOOSE(CONTROL!$C$15, $E$9, 100%, $G$9) + CHOOSE(CONTROL!$C$38, 0.0369, 0)</f>
        <v>24.274999999999999</v>
      </c>
      <c r="J235" s="44">
        <f>181.149</f>
        <v>181.149</v>
      </c>
    </row>
    <row r="236" spans="1:10" ht="15" x14ac:dyDescent="0.2">
      <c r="A236" s="13">
        <v>48092</v>
      </c>
      <c r="B236" s="14">
        <f>26.1981 * CHOOSE(CONTROL!$C$15, $E$9, 100%, $G$9) + CHOOSE(CONTROL!$C$38, 0.0278, 0)</f>
        <v>26.225899999999999</v>
      </c>
      <c r="C236" s="14">
        <f>24.6698 * CHOOSE(CONTROL!$C$15, $E$9, 100%, $G$9) + CHOOSE(CONTROL!$C$38, 0.0369, 0)</f>
        <v>24.706699999999998</v>
      </c>
      <c r="D236" s="14">
        <f>24.662 * CHOOSE(CONTROL!$C$15, $E$9, 100%, $G$9) + CHOOSE(CONTROL!$C$38, 0.0369, 0)</f>
        <v>24.698899999999998</v>
      </c>
      <c r="E236" s="46">
        <f>26.0419 * CHOOSE(CONTROL!$C$15, $E$9, 100%, $G$9) + CHOOSE(CONTROL!$C$38, 0.0369, 0)</f>
        <v>26.078799999999998</v>
      </c>
      <c r="F236" s="45">
        <f>26.0419 * CHOOSE(CONTROL!$C$15, $E$9, 100%, $G$9) + CHOOSE(CONTROL!$C$38, 0.0278, 0)</f>
        <v>26.069699999999997</v>
      </c>
      <c r="G236" s="14">
        <f>24.6682 * CHOOSE(CONTROL!$C$15, $E$9, 100%, $G$9) + CHOOSE(CONTROL!$C$38, 0.0369, 0)</f>
        <v>24.705099999999998</v>
      </c>
      <c r="H236" s="14">
        <f>24.6682 * CHOOSE(CONTROL!$C$15, $E$9, 100%, $G$9) + CHOOSE(CONTROL!$C$38, 0.0369, 0)</f>
        <v>24.705099999999998</v>
      </c>
      <c r="I236" s="14">
        <f>24.6698 * CHOOSE(CONTROL!$C$15, $E$9, 100%, $G$9) + CHOOSE(CONTROL!$C$38, 0.0369, 0)</f>
        <v>24.706699999999998</v>
      </c>
      <c r="J236" s="44">
        <f>175.1279</f>
        <v>175.12790000000001</v>
      </c>
    </row>
    <row r="237" spans="1:10" ht="15" x14ac:dyDescent="0.2">
      <c r="A237" s="13">
        <v>48122</v>
      </c>
      <c r="B237" s="14">
        <f>26.5597 * CHOOSE(CONTROL!$C$15, $E$9, 100%, $G$9) + CHOOSE(CONTROL!$C$38, 0.0256, 0)</f>
        <v>26.5853</v>
      </c>
      <c r="C237" s="14">
        <f>25.0313 * CHOOSE(CONTROL!$C$15, $E$9, 100%, $G$9) + CHOOSE(CONTROL!$C$38, 0.0347, 0)</f>
        <v>25.066000000000003</v>
      </c>
      <c r="D237" s="14">
        <f>25.0235 * CHOOSE(CONTROL!$C$15, $E$9, 100%, $G$9) + CHOOSE(CONTROL!$C$38, 0.0347, 0)</f>
        <v>25.058199999999999</v>
      </c>
      <c r="E237" s="46">
        <f>26.4035 * CHOOSE(CONTROL!$C$15, $E$9, 100%, $G$9) + CHOOSE(CONTROL!$C$38, 0.0347, 0)</f>
        <v>26.438200000000002</v>
      </c>
      <c r="F237" s="45">
        <f>26.4035 * CHOOSE(CONTROL!$C$15, $E$9, 100%, $G$9) + CHOOSE(CONTROL!$C$38, 0.0256, 0)</f>
        <v>26.429100000000002</v>
      </c>
      <c r="G237" s="14">
        <f>25.0298 * CHOOSE(CONTROL!$C$15, $E$9, 100%, $G$9) + CHOOSE(CONTROL!$C$38, 0.0347, 0)</f>
        <v>25.064500000000002</v>
      </c>
      <c r="H237" s="14">
        <f>25.0298 * CHOOSE(CONTROL!$C$15, $E$9, 100%, $G$9) + CHOOSE(CONTROL!$C$38, 0.0347, 0)</f>
        <v>25.064500000000002</v>
      </c>
      <c r="I237" s="14">
        <f>25.0313 * CHOOSE(CONTROL!$C$15, $E$9, 100%, $G$9) + CHOOSE(CONTROL!$C$38, 0.0347, 0)</f>
        <v>25.066000000000003</v>
      </c>
      <c r="J237" s="44">
        <f>169.0718</f>
        <v>169.0718</v>
      </c>
    </row>
    <row r="238" spans="1:10" ht="15" x14ac:dyDescent="0.2">
      <c r="A238" s="13">
        <v>48153</v>
      </c>
      <c r="B238" s="14">
        <f>26.8614 * CHOOSE(CONTROL!$C$15, $E$9, 100%, $G$9) + CHOOSE(CONTROL!$C$38, 0.0256, 0)</f>
        <v>26.887</v>
      </c>
      <c r="C238" s="14">
        <f>25.333 * CHOOSE(CONTROL!$C$15, $E$9, 100%, $G$9) + CHOOSE(CONTROL!$C$38, 0.0347, 0)</f>
        <v>25.367699999999999</v>
      </c>
      <c r="D238" s="14">
        <f>25.3252 * CHOOSE(CONTROL!$C$15, $E$9, 100%, $G$9) + CHOOSE(CONTROL!$C$38, 0.0347, 0)</f>
        <v>25.3599</v>
      </c>
      <c r="E238" s="46">
        <f>26.7052 * CHOOSE(CONTROL!$C$15, $E$9, 100%, $G$9) + CHOOSE(CONTROL!$C$38, 0.0347, 0)</f>
        <v>26.739900000000002</v>
      </c>
      <c r="F238" s="45">
        <f>26.7052 * CHOOSE(CONTROL!$C$15, $E$9, 100%, $G$9) + CHOOSE(CONTROL!$C$38, 0.0256, 0)</f>
        <v>26.730800000000002</v>
      </c>
      <c r="G238" s="14">
        <f>25.3315 * CHOOSE(CONTROL!$C$15, $E$9, 100%, $G$9) + CHOOSE(CONTROL!$C$38, 0.0347, 0)</f>
        <v>25.366199999999999</v>
      </c>
      <c r="H238" s="14">
        <f>25.3315 * CHOOSE(CONTROL!$C$15, $E$9, 100%, $G$9) + CHOOSE(CONTROL!$C$38, 0.0347, 0)</f>
        <v>25.366199999999999</v>
      </c>
      <c r="I238" s="14">
        <f>25.333 * CHOOSE(CONTROL!$C$15, $E$9, 100%, $G$9) + CHOOSE(CONTROL!$C$38, 0.0347, 0)</f>
        <v>25.367699999999999</v>
      </c>
      <c r="J238" s="44">
        <f>167.8671</f>
        <v>167.86709999999999</v>
      </c>
    </row>
    <row r="239" spans="1:10" ht="15" x14ac:dyDescent="0.2">
      <c r="A239" s="13">
        <v>48183</v>
      </c>
      <c r="B239" s="14">
        <f>27.7911 * CHOOSE(CONTROL!$C$15, $E$9, 100%, $G$9) + CHOOSE(CONTROL!$C$38, 0.0256, 0)</f>
        <v>27.816700000000001</v>
      </c>
      <c r="C239" s="14">
        <f>26.2627 * CHOOSE(CONTROL!$C$15, $E$9, 100%, $G$9) + CHOOSE(CONTROL!$C$38, 0.0347, 0)</f>
        <v>26.2974</v>
      </c>
      <c r="D239" s="14">
        <f>26.2549 * CHOOSE(CONTROL!$C$15, $E$9, 100%, $G$9) + CHOOSE(CONTROL!$C$38, 0.0347, 0)</f>
        <v>26.2896</v>
      </c>
      <c r="E239" s="46">
        <f>27.6348 * CHOOSE(CONTROL!$C$15, $E$9, 100%, $G$9) + CHOOSE(CONTROL!$C$38, 0.0347, 0)</f>
        <v>27.669499999999999</v>
      </c>
      <c r="F239" s="45">
        <f>27.6348 * CHOOSE(CONTROL!$C$15, $E$9, 100%, $G$9) + CHOOSE(CONTROL!$C$38, 0.0256, 0)</f>
        <v>27.660399999999999</v>
      </c>
      <c r="G239" s="14">
        <f>26.2611 * CHOOSE(CONTROL!$C$15, $E$9, 100%, $G$9) + CHOOSE(CONTROL!$C$38, 0.0347, 0)</f>
        <v>26.2958</v>
      </c>
      <c r="H239" s="14">
        <f>26.2611 * CHOOSE(CONTROL!$C$15, $E$9, 100%, $G$9) + CHOOSE(CONTROL!$C$38, 0.0347, 0)</f>
        <v>26.2958</v>
      </c>
      <c r="I239" s="14">
        <f>26.2627 * CHOOSE(CONTROL!$C$15, $E$9, 100%, $G$9) + CHOOSE(CONTROL!$C$38, 0.0347, 0)</f>
        <v>26.2974</v>
      </c>
      <c r="J239" s="44">
        <f>162.8856</f>
        <v>162.88560000000001</v>
      </c>
    </row>
    <row r="240" spans="1:10" ht="15" x14ac:dyDescent="0.2">
      <c r="A240" s="13">
        <v>48214</v>
      </c>
      <c r="B240" s="14">
        <f>28.9671 * CHOOSE(CONTROL!$C$15, $E$9, 100%, $G$9) + CHOOSE(CONTROL!$C$38, 0.0256, 0)</f>
        <v>28.992699999999999</v>
      </c>
      <c r="C240" s="14">
        <f>27.4156 * CHOOSE(CONTROL!$C$15, $E$9, 100%, $G$9) + CHOOSE(CONTROL!$C$38, 0.0347, 0)</f>
        <v>27.450300000000002</v>
      </c>
      <c r="D240" s="14">
        <f>27.4078 * CHOOSE(CONTROL!$C$15, $E$9, 100%, $G$9) + CHOOSE(CONTROL!$C$38, 0.0347, 0)</f>
        <v>27.442500000000003</v>
      </c>
      <c r="E240" s="46">
        <f>28.8108 * CHOOSE(CONTROL!$C$15, $E$9, 100%, $G$9) + CHOOSE(CONTROL!$C$38, 0.0347, 0)</f>
        <v>28.845500000000001</v>
      </c>
      <c r="F240" s="45">
        <f>28.8108 * CHOOSE(CONTROL!$C$15, $E$9, 100%, $G$9) + CHOOSE(CONTROL!$C$38, 0.0256, 0)</f>
        <v>28.836400000000001</v>
      </c>
      <c r="G240" s="14">
        <f>27.4141 * CHOOSE(CONTROL!$C$15, $E$9, 100%, $G$9) + CHOOSE(CONTROL!$C$38, 0.0347, 0)</f>
        <v>27.448800000000002</v>
      </c>
      <c r="H240" s="14">
        <f>27.4141 * CHOOSE(CONTROL!$C$15, $E$9, 100%, $G$9) + CHOOSE(CONTROL!$C$38, 0.0347, 0)</f>
        <v>27.448800000000002</v>
      </c>
      <c r="I240" s="14">
        <f>27.4156 * CHOOSE(CONTROL!$C$15, $E$9, 100%, $G$9) + CHOOSE(CONTROL!$C$38, 0.0347, 0)</f>
        <v>27.450300000000002</v>
      </c>
      <c r="J240" s="44">
        <f>162.768</f>
        <v>162.768</v>
      </c>
    </row>
    <row r="241" spans="1:10" ht="15" x14ac:dyDescent="0.2">
      <c r="A241" s="13">
        <v>48245</v>
      </c>
      <c r="B241" s="14">
        <f>29.3114 * CHOOSE(CONTROL!$C$15, $E$9, 100%, $G$9) + CHOOSE(CONTROL!$C$38, 0.0256, 0)</f>
        <v>29.337</v>
      </c>
      <c r="C241" s="14">
        <f>27.76 * CHOOSE(CONTROL!$C$15, $E$9, 100%, $G$9) + CHOOSE(CONTROL!$C$38, 0.0347, 0)</f>
        <v>27.794700000000002</v>
      </c>
      <c r="D241" s="14">
        <f>27.7521 * CHOOSE(CONTROL!$C$15, $E$9, 100%, $G$9) + CHOOSE(CONTROL!$C$38, 0.0347, 0)</f>
        <v>27.786799999999999</v>
      </c>
      <c r="E241" s="46">
        <f>29.1551 * CHOOSE(CONTROL!$C$15, $E$9, 100%, $G$9) + CHOOSE(CONTROL!$C$38, 0.0347, 0)</f>
        <v>29.189800000000002</v>
      </c>
      <c r="F241" s="45">
        <f>29.1551 * CHOOSE(CONTROL!$C$15, $E$9, 100%, $G$9) + CHOOSE(CONTROL!$C$38, 0.0256, 0)</f>
        <v>29.180700000000002</v>
      </c>
      <c r="G241" s="14">
        <f>27.7584 * CHOOSE(CONTROL!$C$15, $E$9, 100%, $G$9) + CHOOSE(CONTROL!$C$38, 0.0347, 0)</f>
        <v>27.793100000000003</v>
      </c>
      <c r="H241" s="14">
        <f>27.7584 * CHOOSE(CONTROL!$C$15, $E$9, 100%, $G$9) + CHOOSE(CONTROL!$C$38, 0.0347, 0)</f>
        <v>27.793100000000003</v>
      </c>
      <c r="I241" s="14">
        <f>27.76 * CHOOSE(CONTROL!$C$15, $E$9, 100%, $G$9) + CHOOSE(CONTROL!$C$38, 0.0347, 0)</f>
        <v>27.794700000000002</v>
      </c>
      <c r="J241" s="44">
        <f>162.3156</f>
        <v>162.31559999999999</v>
      </c>
    </row>
    <row r="242" spans="1:10" ht="15" x14ac:dyDescent="0.2">
      <c r="A242" s="13">
        <v>48274</v>
      </c>
      <c r="B242" s="14">
        <f>28.5143 * CHOOSE(CONTROL!$C$15, $E$9, 100%, $G$9) + CHOOSE(CONTROL!$C$38, 0.0256, 0)</f>
        <v>28.539899999999999</v>
      </c>
      <c r="C242" s="14">
        <f>26.9629 * CHOOSE(CONTROL!$C$15, $E$9, 100%, $G$9) + CHOOSE(CONTROL!$C$38, 0.0347, 0)</f>
        <v>26.997600000000002</v>
      </c>
      <c r="D242" s="14">
        <f>26.9551 * CHOOSE(CONTROL!$C$15, $E$9, 100%, $G$9) + CHOOSE(CONTROL!$C$38, 0.0347, 0)</f>
        <v>26.989800000000002</v>
      </c>
      <c r="E242" s="46">
        <f>28.3581 * CHOOSE(CONTROL!$C$15, $E$9, 100%, $G$9) + CHOOSE(CONTROL!$C$38, 0.0347, 0)</f>
        <v>28.392800000000001</v>
      </c>
      <c r="F242" s="45">
        <f>28.3581 * CHOOSE(CONTROL!$C$15, $E$9, 100%, $G$9) + CHOOSE(CONTROL!$C$38, 0.0256, 0)</f>
        <v>28.383700000000001</v>
      </c>
      <c r="G242" s="14">
        <f>26.9614 * CHOOSE(CONTROL!$C$15, $E$9, 100%, $G$9) + CHOOSE(CONTROL!$C$38, 0.0347, 0)</f>
        <v>26.996100000000002</v>
      </c>
      <c r="H242" s="14">
        <f>26.9614 * CHOOSE(CONTROL!$C$15, $E$9, 100%, $G$9) + CHOOSE(CONTROL!$C$38, 0.0347, 0)</f>
        <v>26.996100000000002</v>
      </c>
      <c r="I242" s="14">
        <f>26.9629 * CHOOSE(CONTROL!$C$15, $E$9, 100%, $G$9) + CHOOSE(CONTROL!$C$38, 0.0347, 0)</f>
        <v>26.997600000000002</v>
      </c>
      <c r="J242" s="44">
        <f>170.8706</f>
        <v>170.8706</v>
      </c>
    </row>
    <row r="243" spans="1:10" ht="15" x14ac:dyDescent="0.2">
      <c r="A243" s="13">
        <v>48305</v>
      </c>
      <c r="B243" s="14">
        <f>27.742 * CHOOSE(CONTROL!$C$15, $E$9, 100%, $G$9) + CHOOSE(CONTROL!$C$38, 0.0256, 0)</f>
        <v>27.767600000000002</v>
      </c>
      <c r="C243" s="14">
        <f>26.1906 * CHOOSE(CONTROL!$C$15, $E$9, 100%, $G$9) + CHOOSE(CONTROL!$C$38, 0.0347, 0)</f>
        <v>26.225300000000001</v>
      </c>
      <c r="D243" s="14">
        <f>26.1828 * CHOOSE(CONTROL!$C$15, $E$9, 100%, $G$9) + CHOOSE(CONTROL!$C$38, 0.0347, 0)</f>
        <v>26.217500000000001</v>
      </c>
      <c r="E243" s="46">
        <f>27.5858 * CHOOSE(CONTROL!$C$15, $E$9, 100%, $G$9) + CHOOSE(CONTROL!$C$38, 0.0347, 0)</f>
        <v>27.6205</v>
      </c>
      <c r="F243" s="45">
        <f>27.5858 * CHOOSE(CONTROL!$C$15, $E$9, 100%, $G$9) + CHOOSE(CONTROL!$C$38, 0.0256, 0)</f>
        <v>27.6114</v>
      </c>
      <c r="G243" s="14">
        <f>26.189 * CHOOSE(CONTROL!$C$15, $E$9, 100%, $G$9) + CHOOSE(CONTROL!$C$38, 0.0347, 0)</f>
        <v>26.223700000000001</v>
      </c>
      <c r="H243" s="14">
        <f>26.189 * CHOOSE(CONTROL!$C$15, $E$9, 100%, $G$9) + CHOOSE(CONTROL!$C$38, 0.0347, 0)</f>
        <v>26.223700000000001</v>
      </c>
      <c r="I243" s="14">
        <f>26.1906 * CHOOSE(CONTROL!$C$15, $E$9, 100%, $G$9) + CHOOSE(CONTROL!$C$38, 0.0347, 0)</f>
        <v>26.225300000000001</v>
      </c>
      <c r="J243" s="44">
        <f>181.9643</f>
        <v>181.96430000000001</v>
      </c>
    </row>
    <row r="244" spans="1:10" ht="15" x14ac:dyDescent="0.2">
      <c r="A244" s="13">
        <v>48335</v>
      </c>
      <c r="B244" s="14">
        <f>26.9371 * CHOOSE(CONTROL!$C$15, $E$9, 100%, $G$9) + CHOOSE(CONTROL!$C$38, 0.0278, 0)</f>
        <v>26.9649</v>
      </c>
      <c r="C244" s="14">
        <f>25.3856 * CHOOSE(CONTROL!$C$15, $E$9, 100%, $G$9) + CHOOSE(CONTROL!$C$38, 0.0369, 0)</f>
        <v>25.422499999999999</v>
      </c>
      <c r="D244" s="14">
        <f>25.3778 * CHOOSE(CONTROL!$C$15, $E$9, 100%, $G$9) + CHOOSE(CONTROL!$C$38, 0.0369, 0)</f>
        <v>25.4147</v>
      </c>
      <c r="E244" s="46">
        <f>26.7808 * CHOOSE(CONTROL!$C$15, $E$9, 100%, $G$9) + CHOOSE(CONTROL!$C$38, 0.0369, 0)</f>
        <v>26.817699999999999</v>
      </c>
      <c r="F244" s="45">
        <f>26.7808 * CHOOSE(CONTROL!$C$15, $E$9, 100%, $G$9) + CHOOSE(CONTROL!$C$38, 0.0278, 0)</f>
        <v>26.808599999999998</v>
      </c>
      <c r="G244" s="14">
        <f>25.3841 * CHOOSE(CONTROL!$C$15, $E$9, 100%, $G$9) + CHOOSE(CONTROL!$C$38, 0.0369, 0)</f>
        <v>25.420999999999999</v>
      </c>
      <c r="H244" s="14">
        <f>25.3841 * CHOOSE(CONTROL!$C$15, $E$9, 100%, $G$9) + CHOOSE(CONTROL!$C$38, 0.0369, 0)</f>
        <v>25.420999999999999</v>
      </c>
      <c r="I244" s="14">
        <f>25.3856 * CHOOSE(CONTROL!$C$15, $E$9, 100%, $G$9) + CHOOSE(CONTROL!$C$38, 0.0369, 0)</f>
        <v>25.422499999999999</v>
      </c>
      <c r="J244" s="44">
        <f>188.0707</f>
        <v>188.07069999999999</v>
      </c>
    </row>
    <row r="245" spans="1:10" ht="15" x14ac:dyDescent="0.2">
      <c r="A245" s="13">
        <v>48366</v>
      </c>
      <c r="B245" s="14">
        <f>26.3727 * CHOOSE(CONTROL!$C$15, $E$9, 100%, $G$9) + CHOOSE(CONTROL!$C$38, 0.0278, 0)</f>
        <v>26.400499999999997</v>
      </c>
      <c r="C245" s="14">
        <f>24.8213 * CHOOSE(CONTROL!$C$15, $E$9, 100%, $G$9) + CHOOSE(CONTROL!$C$38, 0.0369, 0)</f>
        <v>24.8582</v>
      </c>
      <c r="D245" s="14">
        <f>24.8135 * CHOOSE(CONTROL!$C$15, $E$9, 100%, $G$9) + CHOOSE(CONTROL!$C$38, 0.0369, 0)</f>
        <v>24.8504</v>
      </c>
      <c r="E245" s="46">
        <f>26.2165 * CHOOSE(CONTROL!$C$15, $E$9, 100%, $G$9) + CHOOSE(CONTROL!$C$38, 0.0369, 0)</f>
        <v>26.253399999999999</v>
      </c>
      <c r="F245" s="45">
        <f>26.2165 * CHOOSE(CONTROL!$C$15, $E$9, 100%, $G$9) + CHOOSE(CONTROL!$C$38, 0.0278, 0)</f>
        <v>26.244299999999999</v>
      </c>
      <c r="G245" s="14">
        <f>24.8197 * CHOOSE(CONTROL!$C$15, $E$9, 100%, $G$9) + CHOOSE(CONTROL!$C$38, 0.0369, 0)</f>
        <v>24.8566</v>
      </c>
      <c r="H245" s="14">
        <f>24.8197 * CHOOSE(CONTROL!$C$15, $E$9, 100%, $G$9) + CHOOSE(CONTROL!$C$38, 0.0369, 0)</f>
        <v>24.8566</v>
      </c>
      <c r="I245" s="14">
        <f>24.8213 * CHOOSE(CONTROL!$C$15, $E$9, 100%, $G$9) + CHOOSE(CONTROL!$C$38, 0.0369, 0)</f>
        <v>24.8582</v>
      </c>
      <c r="J245" s="44">
        <f>190.7806</f>
        <v>190.78059999999999</v>
      </c>
    </row>
    <row r="246" spans="1:10" ht="15" x14ac:dyDescent="0.2">
      <c r="A246" s="13">
        <v>48396</v>
      </c>
      <c r="B246" s="14">
        <f>26.0507 * CHOOSE(CONTROL!$C$15, $E$9, 100%, $G$9) + CHOOSE(CONTROL!$C$38, 0.0278, 0)</f>
        <v>26.078499999999998</v>
      </c>
      <c r="C246" s="14">
        <f>24.4993 * CHOOSE(CONTROL!$C$15, $E$9, 100%, $G$9) + CHOOSE(CONTROL!$C$38, 0.0369, 0)</f>
        <v>24.536200000000001</v>
      </c>
      <c r="D246" s="14">
        <f>24.4914 * CHOOSE(CONTROL!$C$15, $E$9, 100%, $G$9) + CHOOSE(CONTROL!$C$38, 0.0369, 0)</f>
        <v>24.528299999999998</v>
      </c>
      <c r="E246" s="46">
        <f>25.8944 * CHOOSE(CONTROL!$C$15, $E$9, 100%, $G$9) + CHOOSE(CONTROL!$C$38, 0.0369, 0)</f>
        <v>25.9313</v>
      </c>
      <c r="F246" s="45">
        <f>25.8944 * CHOOSE(CONTROL!$C$15, $E$9, 100%, $G$9) + CHOOSE(CONTROL!$C$38, 0.0278, 0)</f>
        <v>25.9222</v>
      </c>
      <c r="G246" s="14">
        <f>24.4977 * CHOOSE(CONTROL!$C$15, $E$9, 100%, $G$9) + CHOOSE(CONTROL!$C$38, 0.0369, 0)</f>
        <v>24.534599999999998</v>
      </c>
      <c r="H246" s="14">
        <f>24.4977 * CHOOSE(CONTROL!$C$15, $E$9, 100%, $G$9) + CHOOSE(CONTROL!$C$38, 0.0369, 0)</f>
        <v>24.534599999999998</v>
      </c>
      <c r="I246" s="14">
        <f>24.4993 * CHOOSE(CONTROL!$C$15, $E$9, 100%, $G$9) + CHOOSE(CONTROL!$C$38, 0.0369, 0)</f>
        <v>24.536200000000001</v>
      </c>
      <c r="J246" s="44">
        <f>189.8884</f>
        <v>189.88839999999999</v>
      </c>
    </row>
    <row r="247" spans="1:10" ht="15" x14ac:dyDescent="0.2">
      <c r="A247" s="13">
        <v>48427</v>
      </c>
      <c r="B247" s="14">
        <f>26.2096 * CHOOSE(CONTROL!$C$15, $E$9, 100%, $G$9) + CHOOSE(CONTROL!$C$38, 0.0278, 0)</f>
        <v>26.237399999999997</v>
      </c>
      <c r="C247" s="14">
        <f>24.6582 * CHOOSE(CONTROL!$C$15, $E$9, 100%, $G$9) + CHOOSE(CONTROL!$C$38, 0.0369, 0)</f>
        <v>24.6951</v>
      </c>
      <c r="D247" s="14">
        <f>24.6504 * CHOOSE(CONTROL!$C$15, $E$9, 100%, $G$9) + CHOOSE(CONTROL!$C$38, 0.0369, 0)</f>
        <v>24.6873</v>
      </c>
      <c r="E247" s="46">
        <f>26.0534 * CHOOSE(CONTROL!$C$15, $E$9, 100%, $G$9) + CHOOSE(CONTROL!$C$38, 0.0369, 0)</f>
        <v>26.090299999999999</v>
      </c>
      <c r="F247" s="45">
        <f>26.0534 * CHOOSE(CONTROL!$C$15, $E$9, 100%, $G$9) + CHOOSE(CONTROL!$C$38, 0.0278, 0)</f>
        <v>26.081199999999999</v>
      </c>
      <c r="G247" s="14">
        <f>24.6566 * CHOOSE(CONTROL!$C$15, $E$9, 100%, $G$9) + CHOOSE(CONTROL!$C$38, 0.0369, 0)</f>
        <v>24.6935</v>
      </c>
      <c r="H247" s="14">
        <f>24.6566 * CHOOSE(CONTROL!$C$15, $E$9, 100%, $G$9) + CHOOSE(CONTROL!$C$38, 0.0369, 0)</f>
        <v>24.6935</v>
      </c>
      <c r="I247" s="14">
        <f>24.6582 * CHOOSE(CONTROL!$C$15, $E$9, 100%, $G$9) + CHOOSE(CONTROL!$C$38, 0.0369, 0)</f>
        <v>24.6951</v>
      </c>
      <c r="J247" s="44">
        <f>185.4678</f>
        <v>185.46780000000001</v>
      </c>
    </row>
    <row r="248" spans="1:10" ht="15" x14ac:dyDescent="0.2">
      <c r="A248" s="13">
        <v>48458</v>
      </c>
      <c r="B248" s="14">
        <f>26.6413 * CHOOSE(CONTROL!$C$15, $E$9, 100%, $G$9) + CHOOSE(CONTROL!$C$38, 0.0278, 0)</f>
        <v>26.6691</v>
      </c>
      <c r="C248" s="14">
        <f>25.0899 * CHOOSE(CONTROL!$C$15, $E$9, 100%, $G$9) + CHOOSE(CONTROL!$C$38, 0.0369, 0)</f>
        <v>25.126799999999999</v>
      </c>
      <c r="D248" s="14">
        <f>25.0821 * CHOOSE(CONTROL!$C$15, $E$9, 100%, $G$9) + CHOOSE(CONTROL!$C$38, 0.0369, 0)</f>
        <v>25.119</v>
      </c>
      <c r="E248" s="46">
        <f>26.4851 * CHOOSE(CONTROL!$C$15, $E$9, 100%, $G$9) + CHOOSE(CONTROL!$C$38, 0.0369, 0)</f>
        <v>26.521999999999998</v>
      </c>
      <c r="F248" s="45">
        <f>26.4851 * CHOOSE(CONTROL!$C$15, $E$9, 100%, $G$9) + CHOOSE(CONTROL!$C$38, 0.0278, 0)</f>
        <v>26.512899999999998</v>
      </c>
      <c r="G248" s="14">
        <f>25.0883 * CHOOSE(CONTROL!$C$15, $E$9, 100%, $G$9) + CHOOSE(CONTROL!$C$38, 0.0369, 0)</f>
        <v>25.1252</v>
      </c>
      <c r="H248" s="14">
        <f>25.0883 * CHOOSE(CONTROL!$C$15, $E$9, 100%, $G$9) + CHOOSE(CONTROL!$C$38, 0.0369, 0)</f>
        <v>25.1252</v>
      </c>
      <c r="I248" s="14">
        <f>25.0899 * CHOOSE(CONTROL!$C$15, $E$9, 100%, $G$9) + CHOOSE(CONTROL!$C$38, 0.0369, 0)</f>
        <v>25.126799999999999</v>
      </c>
      <c r="J248" s="44">
        <f>179.3032</f>
        <v>179.3032</v>
      </c>
    </row>
    <row r="249" spans="1:10" ht="15" x14ac:dyDescent="0.2">
      <c r="A249" s="13">
        <v>48488</v>
      </c>
      <c r="B249" s="14">
        <f>27.0029 * CHOOSE(CONTROL!$C$15, $E$9, 100%, $G$9) + CHOOSE(CONTROL!$C$38, 0.0256, 0)</f>
        <v>27.028500000000001</v>
      </c>
      <c r="C249" s="14">
        <f>25.4515 * CHOOSE(CONTROL!$C$15, $E$9, 100%, $G$9) + CHOOSE(CONTROL!$C$38, 0.0347, 0)</f>
        <v>25.4862</v>
      </c>
      <c r="D249" s="14">
        <f>25.4437 * CHOOSE(CONTROL!$C$15, $E$9, 100%, $G$9) + CHOOSE(CONTROL!$C$38, 0.0347, 0)</f>
        <v>25.478400000000001</v>
      </c>
      <c r="E249" s="46">
        <f>26.8466 * CHOOSE(CONTROL!$C$15, $E$9, 100%, $G$9) + CHOOSE(CONTROL!$C$38, 0.0347, 0)</f>
        <v>26.8813</v>
      </c>
      <c r="F249" s="45">
        <f>26.8466 * CHOOSE(CONTROL!$C$15, $E$9, 100%, $G$9) + CHOOSE(CONTROL!$C$38, 0.0256, 0)</f>
        <v>26.872199999999999</v>
      </c>
      <c r="G249" s="14">
        <f>25.4499 * CHOOSE(CONTROL!$C$15, $E$9, 100%, $G$9) + CHOOSE(CONTROL!$C$38, 0.0347, 0)</f>
        <v>25.4846</v>
      </c>
      <c r="H249" s="14">
        <f>25.4499 * CHOOSE(CONTROL!$C$15, $E$9, 100%, $G$9) + CHOOSE(CONTROL!$C$38, 0.0347, 0)</f>
        <v>25.4846</v>
      </c>
      <c r="I249" s="14">
        <f>25.4515 * CHOOSE(CONTROL!$C$15, $E$9, 100%, $G$9) + CHOOSE(CONTROL!$C$38, 0.0347, 0)</f>
        <v>25.4862</v>
      </c>
      <c r="J249" s="44">
        <f>173.1027</f>
        <v>173.1027</v>
      </c>
    </row>
    <row r="250" spans="1:10" ht="15" x14ac:dyDescent="0.2">
      <c r="A250" s="13">
        <v>48519</v>
      </c>
      <c r="B250" s="14">
        <f>27.3046 * CHOOSE(CONTROL!$C$15, $E$9, 100%, $G$9) + CHOOSE(CONTROL!$C$38, 0.0256, 0)</f>
        <v>27.330200000000001</v>
      </c>
      <c r="C250" s="14">
        <f>25.7532 * CHOOSE(CONTROL!$C$15, $E$9, 100%, $G$9) + CHOOSE(CONTROL!$C$38, 0.0347, 0)</f>
        <v>25.7879</v>
      </c>
      <c r="D250" s="14">
        <f>25.7454 * CHOOSE(CONTROL!$C$15, $E$9, 100%, $G$9) + CHOOSE(CONTROL!$C$38, 0.0347, 0)</f>
        <v>25.780100000000001</v>
      </c>
      <c r="E250" s="46">
        <f>27.1483 * CHOOSE(CONTROL!$C$15, $E$9, 100%, $G$9) + CHOOSE(CONTROL!$C$38, 0.0347, 0)</f>
        <v>27.183</v>
      </c>
      <c r="F250" s="45">
        <f>27.1483 * CHOOSE(CONTROL!$C$15, $E$9, 100%, $G$9) + CHOOSE(CONTROL!$C$38, 0.0256, 0)</f>
        <v>27.1739</v>
      </c>
      <c r="G250" s="14">
        <f>25.7516 * CHOOSE(CONTROL!$C$15, $E$9, 100%, $G$9) + CHOOSE(CONTROL!$C$38, 0.0347, 0)</f>
        <v>25.786300000000001</v>
      </c>
      <c r="H250" s="14">
        <f>25.7516 * CHOOSE(CONTROL!$C$15, $E$9, 100%, $G$9) + CHOOSE(CONTROL!$C$38, 0.0347, 0)</f>
        <v>25.786300000000001</v>
      </c>
      <c r="I250" s="14">
        <f>25.7532 * CHOOSE(CONTROL!$C$15, $E$9, 100%, $G$9) + CHOOSE(CONTROL!$C$38, 0.0347, 0)</f>
        <v>25.7879</v>
      </c>
      <c r="J250" s="44">
        <f>171.8693</f>
        <v>171.86930000000001</v>
      </c>
    </row>
    <row r="251" spans="1:10" ht="15" x14ac:dyDescent="0.2">
      <c r="A251" s="13">
        <v>48549</v>
      </c>
      <c r="B251" s="14">
        <f>28.2343 * CHOOSE(CONTROL!$C$15, $E$9, 100%, $G$9) + CHOOSE(CONTROL!$C$38, 0.0256, 0)</f>
        <v>28.259900000000002</v>
      </c>
      <c r="C251" s="14">
        <f>26.6828 * CHOOSE(CONTROL!$C$15, $E$9, 100%, $G$9) + CHOOSE(CONTROL!$C$38, 0.0347, 0)</f>
        <v>26.717500000000001</v>
      </c>
      <c r="D251" s="14">
        <f>26.675 * CHOOSE(CONTROL!$C$15, $E$9, 100%, $G$9) + CHOOSE(CONTROL!$C$38, 0.0347, 0)</f>
        <v>26.709700000000002</v>
      </c>
      <c r="E251" s="46">
        <f>28.078 * CHOOSE(CONTROL!$C$15, $E$9, 100%, $G$9) + CHOOSE(CONTROL!$C$38, 0.0347, 0)</f>
        <v>28.1127</v>
      </c>
      <c r="F251" s="45">
        <f>28.078 * CHOOSE(CONTROL!$C$15, $E$9, 100%, $G$9) + CHOOSE(CONTROL!$C$38, 0.0256, 0)</f>
        <v>28.1036</v>
      </c>
      <c r="G251" s="14">
        <f>26.6813 * CHOOSE(CONTROL!$C$15, $E$9, 100%, $G$9) + CHOOSE(CONTROL!$C$38, 0.0347, 0)</f>
        <v>26.716000000000001</v>
      </c>
      <c r="H251" s="14">
        <f>26.6813 * CHOOSE(CONTROL!$C$15, $E$9, 100%, $G$9) + CHOOSE(CONTROL!$C$38, 0.0347, 0)</f>
        <v>26.716000000000001</v>
      </c>
      <c r="I251" s="14">
        <f>26.6828 * CHOOSE(CONTROL!$C$15, $E$9, 100%, $G$9) + CHOOSE(CONTROL!$C$38, 0.0347, 0)</f>
        <v>26.717500000000001</v>
      </c>
      <c r="J251" s="44">
        <f>166.7691</f>
        <v>166.76910000000001</v>
      </c>
    </row>
    <row r="252" spans="1:10" ht="15" x14ac:dyDescent="0.2">
      <c r="A252" s="13">
        <v>48580</v>
      </c>
      <c r="B252" s="14">
        <f>29.4177 * CHOOSE(CONTROL!$C$15, $E$9, 100%, $G$9) + CHOOSE(CONTROL!$C$38, 0.0256, 0)</f>
        <v>29.443300000000001</v>
      </c>
      <c r="C252" s="14">
        <f>27.8428 * CHOOSE(CONTROL!$C$15, $E$9, 100%, $G$9) + CHOOSE(CONTROL!$C$38, 0.0347, 0)</f>
        <v>27.877500000000001</v>
      </c>
      <c r="D252" s="14">
        <f>27.835 * CHOOSE(CONTROL!$C$15, $E$9, 100%, $G$9) + CHOOSE(CONTROL!$C$38, 0.0347, 0)</f>
        <v>27.869700000000002</v>
      </c>
      <c r="E252" s="46">
        <f>29.2614 * CHOOSE(CONTROL!$C$15, $E$9, 100%, $G$9) + CHOOSE(CONTROL!$C$38, 0.0347, 0)</f>
        <v>29.296099999999999</v>
      </c>
      <c r="F252" s="45">
        <f>29.2614 * CHOOSE(CONTROL!$C$15, $E$9, 100%, $G$9) + CHOOSE(CONTROL!$C$38, 0.0256, 0)</f>
        <v>29.286999999999999</v>
      </c>
      <c r="G252" s="14">
        <f>27.8413 * CHOOSE(CONTROL!$C$15, $E$9, 100%, $G$9) + CHOOSE(CONTROL!$C$38, 0.0347, 0)</f>
        <v>27.876000000000001</v>
      </c>
      <c r="H252" s="14">
        <f>27.8413 * CHOOSE(CONTROL!$C$15, $E$9, 100%, $G$9) + CHOOSE(CONTROL!$C$38, 0.0347, 0)</f>
        <v>27.876000000000001</v>
      </c>
      <c r="I252" s="14">
        <f>27.8428 * CHOOSE(CONTROL!$C$15, $E$9, 100%, $G$9) + CHOOSE(CONTROL!$C$38, 0.0347, 0)</f>
        <v>27.877500000000001</v>
      </c>
      <c r="J252" s="44">
        <f>166.6487</f>
        <v>166.64869999999999</v>
      </c>
    </row>
    <row r="253" spans="1:10" ht="15" x14ac:dyDescent="0.2">
      <c r="A253" s="13">
        <v>48611</v>
      </c>
      <c r="B253" s="14">
        <f>29.762 * CHOOSE(CONTROL!$C$15, $E$9, 100%, $G$9) + CHOOSE(CONTROL!$C$38, 0.0256, 0)</f>
        <v>29.787600000000001</v>
      </c>
      <c r="C253" s="14">
        <f>28.1871 * CHOOSE(CONTROL!$C$15, $E$9, 100%, $G$9) + CHOOSE(CONTROL!$C$38, 0.0347, 0)</f>
        <v>28.221800000000002</v>
      </c>
      <c r="D253" s="14">
        <f>28.1793 * CHOOSE(CONTROL!$C$15, $E$9, 100%, $G$9) + CHOOSE(CONTROL!$C$38, 0.0347, 0)</f>
        <v>28.214000000000002</v>
      </c>
      <c r="E253" s="46">
        <f>29.6058 * CHOOSE(CONTROL!$C$15, $E$9, 100%, $G$9) + CHOOSE(CONTROL!$C$38, 0.0347, 0)</f>
        <v>29.640499999999999</v>
      </c>
      <c r="F253" s="45">
        <f>29.6058 * CHOOSE(CONTROL!$C$15, $E$9, 100%, $G$9) + CHOOSE(CONTROL!$C$38, 0.0256, 0)</f>
        <v>29.631399999999999</v>
      </c>
      <c r="G253" s="14">
        <f>28.1856 * CHOOSE(CONTROL!$C$15, $E$9, 100%, $G$9) + CHOOSE(CONTROL!$C$38, 0.0347, 0)</f>
        <v>28.220300000000002</v>
      </c>
      <c r="H253" s="14">
        <f>28.1856 * CHOOSE(CONTROL!$C$15, $E$9, 100%, $G$9) + CHOOSE(CONTROL!$C$38, 0.0347, 0)</f>
        <v>28.220300000000002</v>
      </c>
      <c r="I253" s="14">
        <f>28.1871 * CHOOSE(CONTROL!$C$15, $E$9, 100%, $G$9) + CHOOSE(CONTROL!$C$38, 0.0347, 0)</f>
        <v>28.221800000000002</v>
      </c>
      <c r="J253" s="44">
        <f>166.1854</f>
        <v>166.18539999999999</v>
      </c>
    </row>
    <row r="254" spans="1:10" ht="15" x14ac:dyDescent="0.2">
      <c r="A254" s="13">
        <v>48639</v>
      </c>
      <c r="B254" s="14">
        <f>28.965 * CHOOSE(CONTROL!$C$15, $E$9, 100%, $G$9) + CHOOSE(CONTROL!$C$38, 0.0256, 0)</f>
        <v>28.990600000000001</v>
      </c>
      <c r="C254" s="14">
        <f>27.3901 * CHOOSE(CONTROL!$C$15, $E$9, 100%, $G$9) + CHOOSE(CONTROL!$C$38, 0.0347, 0)</f>
        <v>27.424800000000001</v>
      </c>
      <c r="D254" s="14">
        <f>27.3823 * CHOOSE(CONTROL!$C$15, $E$9, 100%, $G$9) + CHOOSE(CONTROL!$C$38, 0.0347, 0)</f>
        <v>27.417000000000002</v>
      </c>
      <c r="E254" s="46">
        <f>28.8087 * CHOOSE(CONTROL!$C$15, $E$9, 100%, $G$9) + CHOOSE(CONTROL!$C$38, 0.0347, 0)</f>
        <v>28.843400000000003</v>
      </c>
      <c r="F254" s="45">
        <f>28.8087 * CHOOSE(CONTROL!$C$15, $E$9, 100%, $G$9) + CHOOSE(CONTROL!$C$38, 0.0256, 0)</f>
        <v>28.834300000000002</v>
      </c>
      <c r="G254" s="14">
        <f>27.3885 * CHOOSE(CONTROL!$C$15, $E$9, 100%, $G$9) + CHOOSE(CONTROL!$C$38, 0.0347, 0)</f>
        <v>27.423200000000001</v>
      </c>
      <c r="H254" s="14">
        <f>27.3885 * CHOOSE(CONTROL!$C$15, $E$9, 100%, $G$9) + CHOOSE(CONTROL!$C$38, 0.0347, 0)</f>
        <v>27.423200000000001</v>
      </c>
      <c r="I254" s="14">
        <f>27.3901 * CHOOSE(CONTROL!$C$15, $E$9, 100%, $G$9) + CHOOSE(CONTROL!$C$38, 0.0347, 0)</f>
        <v>27.424800000000001</v>
      </c>
      <c r="J254" s="44">
        <f>174.9444</f>
        <v>174.9444</v>
      </c>
    </row>
    <row r="255" spans="1:10" ht="15" x14ac:dyDescent="0.2">
      <c r="A255" s="13">
        <v>48670</v>
      </c>
      <c r="B255" s="14">
        <f>28.1927 * CHOOSE(CONTROL!$C$15, $E$9, 100%, $G$9) + CHOOSE(CONTROL!$C$38, 0.0256, 0)</f>
        <v>28.218299999999999</v>
      </c>
      <c r="C255" s="14">
        <f>26.6178 * CHOOSE(CONTROL!$C$15, $E$9, 100%, $G$9) + CHOOSE(CONTROL!$C$38, 0.0347, 0)</f>
        <v>26.6525</v>
      </c>
      <c r="D255" s="14">
        <f>26.61 * CHOOSE(CONTROL!$C$15, $E$9, 100%, $G$9) + CHOOSE(CONTROL!$C$38, 0.0347, 0)</f>
        <v>26.6447</v>
      </c>
      <c r="E255" s="46">
        <f>28.0364 * CHOOSE(CONTROL!$C$15, $E$9, 100%, $G$9) + CHOOSE(CONTROL!$C$38, 0.0347, 0)</f>
        <v>28.071100000000001</v>
      </c>
      <c r="F255" s="45">
        <f>28.0364 * CHOOSE(CONTROL!$C$15, $E$9, 100%, $G$9) + CHOOSE(CONTROL!$C$38, 0.0256, 0)</f>
        <v>28.062000000000001</v>
      </c>
      <c r="G255" s="14">
        <f>26.6162 * CHOOSE(CONTROL!$C$15, $E$9, 100%, $G$9) + CHOOSE(CONTROL!$C$38, 0.0347, 0)</f>
        <v>26.6509</v>
      </c>
      <c r="H255" s="14">
        <f>26.6162 * CHOOSE(CONTROL!$C$15, $E$9, 100%, $G$9) + CHOOSE(CONTROL!$C$38, 0.0347, 0)</f>
        <v>26.6509</v>
      </c>
      <c r="I255" s="14">
        <f>26.6178 * CHOOSE(CONTROL!$C$15, $E$9, 100%, $G$9) + CHOOSE(CONTROL!$C$38, 0.0347, 0)</f>
        <v>26.6525</v>
      </c>
      <c r="J255" s="44">
        <f>186.3026</f>
        <v>186.30260000000001</v>
      </c>
    </row>
    <row r="256" spans="1:10" ht="15" x14ac:dyDescent="0.2">
      <c r="A256" s="13">
        <v>48700</v>
      </c>
      <c r="B256" s="14">
        <f>27.3877 * CHOOSE(CONTROL!$C$15, $E$9, 100%, $G$9) + CHOOSE(CONTROL!$C$38, 0.0278, 0)</f>
        <v>27.415499999999998</v>
      </c>
      <c r="C256" s="14">
        <f>25.8128 * CHOOSE(CONTROL!$C$15, $E$9, 100%, $G$9) + CHOOSE(CONTROL!$C$38, 0.0369, 0)</f>
        <v>25.849699999999999</v>
      </c>
      <c r="D256" s="14">
        <f>25.805 * CHOOSE(CONTROL!$C$15, $E$9, 100%, $G$9) + CHOOSE(CONTROL!$C$38, 0.0369, 0)</f>
        <v>25.841899999999999</v>
      </c>
      <c r="E256" s="46">
        <f>27.2314 * CHOOSE(CONTROL!$C$15, $E$9, 100%, $G$9) + CHOOSE(CONTROL!$C$38, 0.0369, 0)</f>
        <v>27.2683</v>
      </c>
      <c r="F256" s="45">
        <f>27.2314 * CHOOSE(CONTROL!$C$15, $E$9, 100%, $G$9) + CHOOSE(CONTROL!$C$38, 0.0278, 0)</f>
        <v>27.2592</v>
      </c>
      <c r="G256" s="14">
        <f>25.8113 * CHOOSE(CONTROL!$C$15, $E$9, 100%, $G$9) + CHOOSE(CONTROL!$C$38, 0.0369, 0)</f>
        <v>25.848199999999999</v>
      </c>
      <c r="H256" s="14">
        <f>25.8113 * CHOOSE(CONTROL!$C$15, $E$9, 100%, $G$9) + CHOOSE(CONTROL!$C$38, 0.0369, 0)</f>
        <v>25.848199999999999</v>
      </c>
      <c r="I256" s="14">
        <f>25.8128 * CHOOSE(CONTROL!$C$15, $E$9, 100%, $G$9) + CHOOSE(CONTROL!$C$38, 0.0369, 0)</f>
        <v>25.849699999999999</v>
      </c>
      <c r="J256" s="44">
        <f>192.5546</f>
        <v>192.55459999999999</v>
      </c>
    </row>
    <row r="257" spans="1:10" ht="15" x14ac:dyDescent="0.2">
      <c r="A257" s="13">
        <v>48731</v>
      </c>
      <c r="B257" s="14">
        <f>26.8234 * CHOOSE(CONTROL!$C$15, $E$9, 100%, $G$9) + CHOOSE(CONTROL!$C$38, 0.0278, 0)</f>
        <v>26.851199999999999</v>
      </c>
      <c r="C257" s="14">
        <f>25.2485 * CHOOSE(CONTROL!$C$15, $E$9, 100%, $G$9) + CHOOSE(CONTROL!$C$38, 0.0369, 0)</f>
        <v>25.285399999999999</v>
      </c>
      <c r="D257" s="14">
        <f>25.2407 * CHOOSE(CONTROL!$C$15, $E$9, 100%, $G$9) + CHOOSE(CONTROL!$C$38, 0.0369, 0)</f>
        <v>25.2776</v>
      </c>
      <c r="E257" s="46">
        <f>26.6671 * CHOOSE(CONTROL!$C$15, $E$9, 100%, $G$9) + CHOOSE(CONTROL!$C$38, 0.0369, 0)</f>
        <v>26.704000000000001</v>
      </c>
      <c r="F257" s="45">
        <f>26.6671 * CHOOSE(CONTROL!$C$15, $E$9, 100%, $G$9) + CHOOSE(CONTROL!$C$38, 0.0278, 0)</f>
        <v>26.694900000000001</v>
      </c>
      <c r="G257" s="14">
        <f>25.2469 * CHOOSE(CONTROL!$C$15, $E$9, 100%, $G$9) + CHOOSE(CONTROL!$C$38, 0.0369, 0)</f>
        <v>25.283799999999999</v>
      </c>
      <c r="H257" s="14">
        <f>25.2469 * CHOOSE(CONTROL!$C$15, $E$9, 100%, $G$9) + CHOOSE(CONTROL!$C$38, 0.0369, 0)</f>
        <v>25.283799999999999</v>
      </c>
      <c r="I257" s="14">
        <f>25.2485 * CHOOSE(CONTROL!$C$15, $E$9, 100%, $G$9) + CHOOSE(CONTROL!$C$38, 0.0369, 0)</f>
        <v>25.285399999999999</v>
      </c>
      <c r="J257" s="44">
        <f>195.3291</f>
        <v>195.32910000000001</v>
      </c>
    </row>
    <row r="258" spans="1:10" ht="15" x14ac:dyDescent="0.2">
      <c r="A258" s="13">
        <v>48761</v>
      </c>
      <c r="B258" s="14">
        <f>26.5013 * CHOOSE(CONTROL!$C$15, $E$9, 100%, $G$9) + CHOOSE(CONTROL!$C$38, 0.0278, 0)</f>
        <v>26.5291</v>
      </c>
      <c r="C258" s="14">
        <f>24.9264 * CHOOSE(CONTROL!$C$15, $E$9, 100%, $G$9) + CHOOSE(CONTROL!$C$38, 0.0369, 0)</f>
        <v>24.9633</v>
      </c>
      <c r="D258" s="14">
        <f>24.9186 * CHOOSE(CONTROL!$C$15, $E$9, 100%, $G$9) + CHOOSE(CONTROL!$C$38, 0.0369, 0)</f>
        <v>24.955500000000001</v>
      </c>
      <c r="E258" s="46">
        <f>26.3451 * CHOOSE(CONTROL!$C$15, $E$9, 100%, $G$9) + CHOOSE(CONTROL!$C$38, 0.0369, 0)</f>
        <v>26.381999999999998</v>
      </c>
      <c r="F258" s="45">
        <f>26.3451 * CHOOSE(CONTROL!$C$15, $E$9, 100%, $G$9) + CHOOSE(CONTROL!$C$38, 0.0278, 0)</f>
        <v>26.372899999999998</v>
      </c>
      <c r="G258" s="14">
        <f>24.9249 * CHOOSE(CONTROL!$C$15, $E$9, 100%, $G$9) + CHOOSE(CONTROL!$C$38, 0.0369, 0)</f>
        <v>24.9618</v>
      </c>
      <c r="H258" s="14">
        <f>24.9249 * CHOOSE(CONTROL!$C$15, $E$9, 100%, $G$9) + CHOOSE(CONTROL!$C$38, 0.0369, 0)</f>
        <v>24.9618</v>
      </c>
      <c r="I258" s="14">
        <f>24.9264 * CHOOSE(CONTROL!$C$15, $E$9, 100%, $G$9) + CHOOSE(CONTROL!$C$38, 0.0369, 0)</f>
        <v>24.9633</v>
      </c>
      <c r="J258" s="44">
        <f>194.4156</f>
        <v>194.41560000000001</v>
      </c>
    </row>
    <row r="259" spans="1:10" ht="15" x14ac:dyDescent="0.2">
      <c r="A259" s="13">
        <v>48792</v>
      </c>
      <c r="B259" s="14">
        <f>26.6602 * CHOOSE(CONTROL!$C$15, $E$9, 100%, $G$9) + CHOOSE(CONTROL!$C$38, 0.0278, 0)</f>
        <v>26.687999999999999</v>
      </c>
      <c r="C259" s="14">
        <f>25.0854 * CHOOSE(CONTROL!$C$15, $E$9, 100%, $G$9) + CHOOSE(CONTROL!$C$38, 0.0369, 0)</f>
        <v>25.122299999999999</v>
      </c>
      <c r="D259" s="14">
        <f>25.0776 * CHOOSE(CONTROL!$C$15, $E$9, 100%, $G$9) + CHOOSE(CONTROL!$C$38, 0.0369, 0)</f>
        <v>25.1145</v>
      </c>
      <c r="E259" s="46">
        <f>26.504 * CHOOSE(CONTROL!$C$15, $E$9, 100%, $G$9) + CHOOSE(CONTROL!$C$38, 0.0369, 0)</f>
        <v>26.540900000000001</v>
      </c>
      <c r="F259" s="45">
        <f>26.504 * CHOOSE(CONTROL!$C$15, $E$9, 100%, $G$9) + CHOOSE(CONTROL!$C$38, 0.0278, 0)</f>
        <v>26.5318</v>
      </c>
      <c r="G259" s="14">
        <f>25.0838 * CHOOSE(CONTROL!$C$15, $E$9, 100%, $G$9) + CHOOSE(CONTROL!$C$38, 0.0369, 0)</f>
        <v>25.120699999999999</v>
      </c>
      <c r="H259" s="14">
        <f>25.0838 * CHOOSE(CONTROL!$C$15, $E$9, 100%, $G$9) + CHOOSE(CONTROL!$C$38, 0.0369, 0)</f>
        <v>25.120699999999999</v>
      </c>
      <c r="I259" s="14">
        <f>25.0854 * CHOOSE(CONTROL!$C$15, $E$9, 100%, $G$9) + CHOOSE(CONTROL!$C$38, 0.0369, 0)</f>
        <v>25.122299999999999</v>
      </c>
      <c r="J259" s="44">
        <f>189.8897</f>
        <v>189.8897</v>
      </c>
    </row>
    <row r="260" spans="1:10" ht="15" x14ac:dyDescent="0.2">
      <c r="A260" s="13">
        <v>48823</v>
      </c>
      <c r="B260" s="14">
        <f>27.092 * CHOOSE(CONTROL!$C$15, $E$9, 100%, $G$9) + CHOOSE(CONTROL!$C$38, 0.0278, 0)</f>
        <v>27.119799999999998</v>
      </c>
      <c r="C260" s="14">
        <f>25.5171 * CHOOSE(CONTROL!$C$15, $E$9, 100%, $G$9) + CHOOSE(CONTROL!$C$38, 0.0369, 0)</f>
        <v>25.553999999999998</v>
      </c>
      <c r="D260" s="14">
        <f>25.5093 * CHOOSE(CONTROL!$C$15, $E$9, 100%, $G$9) + CHOOSE(CONTROL!$C$38, 0.0369, 0)</f>
        <v>25.546199999999999</v>
      </c>
      <c r="E260" s="46">
        <f>26.9357 * CHOOSE(CONTROL!$C$15, $E$9, 100%, $G$9) + CHOOSE(CONTROL!$C$38, 0.0369, 0)</f>
        <v>26.9726</v>
      </c>
      <c r="F260" s="45">
        <f>26.9357 * CHOOSE(CONTROL!$C$15, $E$9, 100%, $G$9) + CHOOSE(CONTROL!$C$38, 0.0278, 0)</f>
        <v>26.9635</v>
      </c>
      <c r="G260" s="14">
        <f>25.5155 * CHOOSE(CONTROL!$C$15, $E$9, 100%, $G$9) + CHOOSE(CONTROL!$C$38, 0.0369, 0)</f>
        <v>25.552399999999999</v>
      </c>
      <c r="H260" s="14">
        <f>25.5155 * CHOOSE(CONTROL!$C$15, $E$9, 100%, $G$9) + CHOOSE(CONTROL!$C$38, 0.0369, 0)</f>
        <v>25.552399999999999</v>
      </c>
      <c r="I260" s="14">
        <f>25.5171 * CHOOSE(CONTROL!$C$15, $E$9, 100%, $G$9) + CHOOSE(CONTROL!$C$38, 0.0369, 0)</f>
        <v>25.553999999999998</v>
      </c>
      <c r="J260" s="44">
        <f>183.5781</f>
        <v>183.57810000000001</v>
      </c>
    </row>
    <row r="261" spans="1:10" ht="15" x14ac:dyDescent="0.2">
      <c r="A261" s="13">
        <v>48853</v>
      </c>
      <c r="B261" s="14">
        <f>27.4535 * CHOOSE(CONTROL!$C$15, $E$9, 100%, $G$9) + CHOOSE(CONTROL!$C$38, 0.0256, 0)</f>
        <v>27.479099999999999</v>
      </c>
      <c r="C261" s="14">
        <f>25.8787 * CHOOSE(CONTROL!$C$15, $E$9, 100%, $G$9) + CHOOSE(CONTROL!$C$38, 0.0347, 0)</f>
        <v>25.913399999999999</v>
      </c>
      <c r="D261" s="14">
        <f>25.8708 * CHOOSE(CONTROL!$C$15, $E$9, 100%, $G$9) + CHOOSE(CONTROL!$C$38, 0.0347, 0)</f>
        <v>25.9055</v>
      </c>
      <c r="E261" s="46">
        <f>27.2973 * CHOOSE(CONTROL!$C$15, $E$9, 100%, $G$9) + CHOOSE(CONTROL!$C$38, 0.0347, 0)</f>
        <v>27.332000000000001</v>
      </c>
      <c r="F261" s="45">
        <f>27.2973 * CHOOSE(CONTROL!$C$15, $E$9, 100%, $G$9) + CHOOSE(CONTROL!$C$38, 0.0256, 0)</f>
        <v>27.322900000000001</v>
      </c>
      <c r="G261" s="14">
        <f>25.8771 * CHOOSE(CONTROL!$C$15, $E$9, 100%, $G$9) + CHOOSE(CONTROL!$C$38, 0.0347, 0)</f>
        <v>25.911799999999999</v>
      </c>
      <c r="H261" s="14">
        <f>25.8771 * CHOOSE(CONTROL!$C$15, $E$9, 100%, $G$9) + CHOOSE(CONTROL!$C$38, 0.0347, 0)</f>
        <v>25.911799999999999</v>
      </c>
      <c r="I261" s="14">
        <f>25.8787 * CHOOSE(CONTROL!$C$15, $E$9, 100%, $G$9) + CHOOSE(CONTROL!$C$38, 0.0347, 0)</f>
        <v>25.913399999999999</v>
      </c>
      <c r="J261" s="44">
        <f>177.2297</f>
        <v>177.22970000000001</v>
      </c>
    </row>
    <row r="262" spans="1:10" ht="15" x14ac:dyDescent="0.2">
      <c r="A262" s="13">
        <v>48884</v>
      </c>
      <c r="B262" s="14">
        <f>27.7552 * CHOOSE(CONTROL!$C$15, $E$9, 100%, $G$9) + CHOOSE(CONTROL!$C$38, 0.0256, 0)</f>
        <v>27.780799999999999</v>
      </c>
      <c r="C262" s="14">
        <f>26.1804 * CHOOSE(CONTROL!$C$15, $E$9, 100%, $G$9) + CHOOSE(CONTROL!$C$38, 0.0347, 0)</f>
        <v>26.2151</v>
      </c>
      <c r="D262" s="14">
        <f>26.1725 * CHOOSE(CONTROL!$C$15, $E$9, 100%, $G$9) + CHOOSE(CONTROL!$C$38, 0.0347, 0)</f>
        <v>26.2072</v>
      </c>
      <c r="E262" s="46">
        <f>27.599 * CHOOSE(CONTROL!$C$15, $E$9, 100%, $G$9) + CHOOSE(CONTROL!$C$38, 0.0347, 0)</f>
        <v>27.633700000000001</v>
      </c>
      <c r="F262" s="45">
        <f>27.599 * CHOOSE(CONTROL!$C$15, $E$9, 100%, $G$9) + CHOOSE(CONTROL!$C$38, 0.0256, 0)</f>
        <v>27.624600000000001</v>
      </c>
      <c r="G262" s="14">
        <f>26.1788 * CHOOSE(CONTROL!$C$15, $E$9, 100%, $G$9) + CHOOSE(CONTROL!$C$38, 0.0347, 0)</f>
        <v>26.2135</v>
      </c>
      <c r="H262" s="14">
        <f>26.1788 * CHOOSE(CONTROL!$C$15, $E$9, 100%, $G$9) + CHOOSE(CONTROL!$C$38, 0.0347, 0)</f>
        <v>26.2135</v>
      </c>
      <c r="I262" s="14">
        <f>26.1804 * CHOOSE(CONTROL!$C$15, $E$9, 100%, $G$9) + CHOOSE(CONTROL!$C$38, 0.0347, 0)</f>
        <v>26.2151</v>
      </c>
      <c r="J262" s="44">
        <f>175.9669</f>
        <v>175.96690000000001</v>
      </c>
    </row>
    <row r="263" spans="1:10" ht="15" x14ac:dyDescent="0.2">
      <c r="A263" s="13">
        <v>48914</v>
      </c>
      <c r="B263" s="14">
        <f>28.6849 * CHOOSE(CONTROL!$C$15, $E$9, 100%, $G$9) + CHOOSE(CONTROL!$C$38, 0.0256, 0)</f>
        <v>28.7105</v>
      </c>
      <c r="C263" s="14">
        <f>27.11 * CHOOSE(CONTROL!$C$15, $E$9, 100%, $G$9) + CHOOSE(CONTROL!$C$38, 0.0347, 0)</f>
        <v>27.1447</v>
      </c>
      <c r="D263" s="14">
        <f>27.1022 * CHOOSE(CONTROL!$C$15, $E$9, 100%, $G$9) + CHOOSE(CONTROL!$C$38, 0.0347, 0)</f>
        <v>27.136900000000001</v>
      </c>
      <c r="E263" s="46">
        <f>28.5286 * CHOOSE(CONTROL!$C$15, $E$9, 100%, $G$9) + CHOOSE(CONTROL!$C$38, 0.0347, 0)</f>
        <v>28.563300000000002</v>
      </c>
      <c r="F263" s="45">
        <f>28.5286 * CHOOSE(CONTROL!$C$15, $E$9, 100%, $G$9) + CHOOSE(CONTROL!$C$38, 0.0256, 0)</f>
        <v>28.554200000000002</v>
      </c>
      <c r="G263" s="14">
        <f>27.1085 * CHOOSE(CONTROL!$C$15, $E$9, 100%, $G$9) + CHOOSE(CONTROL!$C$38, 0.0347, 0)</f>
        <v>27.1432</v>
      </c>
      <c r="H263" s="14">
        <f>27.1085 * CHOOSE(CONTROL!$C$15, $E$9, 100%, $G$9) + CHOOSE(CONTROL!$C$38, 0.0347, 0)</f>
        <v>27.1432</v>
      </c>
      <c r="I263" s="14">
        <f>27.11 * CHOOSE(CONTROL!$C$15, $E$9, 100%, $G$9) + CHOOSE(CONTROL!$C$38, 0.0347, 0)</f>
        <v>27.1447</v>
      </c>
      <c r="J263" s="44">
        <f>170.7451</f>
        <v>170.74510000000001</v>
      </c>
    </row>
    <row r="264" spans="1:10" ht="15" x14ac:dyDescent="0.2">
      <c r="A264" s="13">
        <v>48945</v>
      </c>
      <c r="B264" s="14">
        <f>29.8759 * CHOOSE(CONTROL!$C$15, $E$9, 100%, $G$9) + CHOOSE(CONTROL!$C$38, 0.0256, 0)</f>
        <v>29.901500000000002</v>
      </c>
      <c r="C264" s="14">
        <f>28.2772 * CHOOSE(CONTROL!$C$15, $E$9, 100%, $G$9) + CHOOSE(CONTROL!$C$38, 0.0347, 0)</f>
        <v>28.311900000000001</v>
      </c>
      <c r="D264" s="14">
        <f>28.2694 * CHOOSE(CONTROL!$C$15, $E$9, 100%, $G$9) + CHOOSE(CONTROL!$C$38, 0.0347, 0)</f>
        <v>28.304100000000002</v>
      </c>
      <c r="E264" s="46">
        <f>29.7196 * CHOOSE(CONTROL!$C$15, $E$9, 100%, $G$9) + CHOOSE(CONTROL!$C$38, 0.0347, 0)</f>
        <v>29.754300000000001</v>
      </c>
      <c r="F264" s="45">
        <f>29.7196 * CHOOSE(CONTROL!$C$15, $E$9, 100%, $G$9) + CHOOSE(CONTROL!$C$38, 0.0256, 0)</f>
        <v>29.745200000000001</v>
      </c>
      <c r="G264" s="14">
        <f>28.2756 * CHOOSE(CONTROL!$C$15, $E$9, 100%, $G$9) + CHOOSE(CONTROL!$C$38, 0.0347, 0)</f>
        <v>28.310300000000002</v>
      </c>
      <c r="H264" s="14">
        <f>28.2756 * CHOOSE(CONTROL!$C$15, $E$9, 100%, $G$9) + CHOOSE(CONTROL!$C$38, 0.0347, 0)</f>
        <v>28.310300000000002</v>
      </c>
      <c r="I264" s="14">
        <f>28.2772 * CHOOSE(CONTROL!$C$15, $E$9, 100%, $G$9) + CHOOSE(CONTROL!$C$38, 0.0347, 0)</f>
        <v>28.311900000000001</v>
      </c>
      <c r="J264" s="44">
        <f>170.6218</f>
        <v>170.62180000000001</v>
      </c>
    </row>
    <row r="265" spans="1:10" ht="15" x14ac:dyDescent="0.2">
      <c r="A265" s="13">
        <v>48976</v>
      </c>
      <c r="B265" s="14">
        <f>30.2202 * CHOOSE(CONTROL!$C$15, $E$9, 100%, $G$9) + CHOOSE(CONTROL!$C$38, 0.0256, 0)</f>
        <v>30.245799999999999</v>
      </c>
      <c r="C265" s="14">
        <f>28.6215 * CHOOSE(CONTROL!$C$15, $E$9, 100%, $G$9) + CHOOSE(CONTROL!$C$38, 0.0347, 0)</f>
        <v>28.656200000000002</v>
      </c>
      <c r="D265" s="14">
        <f>28.6137 * CHOOSE(CONTROL!$C$15, $E$9, 100%, $G$9) + CHOOSE(CONTROL!$C$38, 0.0347, 0)</f>
        <v>28.648400000000002</v>
      </c>
      <c r="E265" s="46">
        <f>30.0639 * CHOOSE(CONTROL!$C$15, $E$9, 100%, $G$9) + CHOOSE(CONTROL!$C$38, 0.0347, 0)</f>
        <v>30.098600000000001</v>
      </c>
      <c r="F265" s="45">
        <f>30.0639 * CHOOSE(CONTROL!$C$15, $E$9, 100%, $G$9) + CHOOSE(CONTROL!$C$38, 0.0256, 0)</f>
        <v>30.089500000000001</v>
      </c>
      <c r="G265" s="14">
        <f>28.6199 * CHOOSE(CONTROL!$C$15, $E$9, 100%, $G$9) + CHOOSE(CONTROL!$C$38, 0.0347, 0)</f>
        <v>28.654600000000002</v>
      </c>
      <c r="H265" s="14">
        <f>28.6199 * CHOOSE(CONTROL!$C$15, $E$9, 100%, $G$9) + CHOOSE(CONTROL!$C$38, 0.0347, 0)</f>
        <v>28.654600000000002</v>
      </c>
      <c r="I265" s="14">
        <f>28.6215 * CHOOSE(CONTROL!$C$15, $E$9, 100%, $G$9) + CHOOSE(CONTROL!$C$38, 0.0347, 0)</f>
        <v>28.656200000000002</v>
      </c>
      <c r="J265" s="44">
        <f>170.1476</f>
        <v>170.14760000000001</v>
      </c>
    </row>
    <row r="266" spans="1:10" ht="15" x14ac:dyDescent="0.2">
      <c r="A266" s="13">
        <v>49004</v>
      </c>
      <c r="B266" s="14">
        <f>29.4232 * CHOOSE(CONTROL!$C$15, $E$9, 100%, $G$9) + CHOOSE(CONTROL!$C$38, 0.0256, 0)</f>
        <v>29.448800000000002</v>
      </c>
      <c r="C266" s="14">
        <f>27.8245 * CHOOSE(CONTROL!$C$15, $E$9, 100%, $G$9) + CHOOSE(CONTROL!$C$38, 0.0347, 0)</f>
        <v>27.859200000000001</v>
      </c>
      <c r="D266" s="14">
        <f>27.8167 * CHOOSE(CONTROL!$C$15, $E$9, 100%, $G$9) + CHOOSE(CONTROL!$C$38, 0.0347, 0)</f>
        <v>27.851400000000002</v>
      </c>
      <c r="E266" s="46">
        <f>29.2669 * CHOOSE(CONTROL!$C$15, $E$9, 100%, $G$9) + CHOOSE(CONTROL!$C$38, 0.0347, 0)</f>
        <v>29.301600000000001</v>
      </c>
      <c r="F266" s="45">
        <f>29.2669 * CHOOSE(CONTROL!$C$15, $E$9, 100%, $G$9) + CHOOSE(CONTROL!$C$38, 0.0256, 0)</f>
        <v>29.2925</v>
      </c>
      <c r="G266" s="14">
        <f>27.8229 * CHOOSE(CONTROL!$C$15, $E$9, 100%, $G$9) + CHOOSE(CONTROL!$C$38, 0.0347, 0)</f>
        <v>27.857600000000001</v>
      </c>
      <c r="H266" s="14">
        <f>27.8229 * CHOOSE(CONTROL!$C$15, $E$9, 100%, $G$9) + CHOOSE(CONTROL!$C$38, 0.0347, 0)</f>
        <v>27.857600000000001</v>
      </c>
      <c r="I266" s="14">
        <f>27.8245 * CHOOSE(CONTROL!$C$15, $E$9, 100%, $G$9) + CHOOSE(CONTROL!$C$38, 0.0347, 0)</f>
        <v>27.859200000000001</v>
      </c>
      <c r="J266" s="44">
        <f>179.1153</f>
        <v>179.11529999999999</v>
      </c>
    </row>
    <row r="267" spans="1:10" ht="15" x14ac:dyDescent="0.2">
      <c r="A267" s="13">
        <v>49035</v>
      </c>
      <c r="B267" s="14">
        <f>28.6509 * CHOOSE(CONTROL!$C$15, $E$9, 100%, $G$9) + CHOOSE(CONTROL!$C$38, 0.0256, 0)</f>
        <v>28.676500000000001</v>
      </c>
      <c r="C267" s="14">
        <f>27.0522 * CHOOSE(CONTROL!$C$15, $E$9, 100%, $G$9) + CHOOSE(CONTROL!$C$38, 0.0347, 0)</f>
        <v>27.0869</v>
      </c>
      <c r="D267" s="14">
        <f>27.0443 * CHOOSE(CONTROL!$C$15, $E$9, 100%, $G$9) + CHOOSE(CONTROL!$C$38, 0.0347, 0)</f>
        <v>27.079000000000001</v>
      </c>
      <c r="E267" s="46">
        <f>28.4946 * CHOOSE(CONTROL!$C$15, $E$9, 100%, $G$9) + CHOOSE(CONTROL!$C$38, 0.0347, 0)</f>
        <v>28.529299999999999</v>
      </c>
      <c r="F267" s="45">
        <f>28.4946 * CHOOSE(CONTROL!$C$15, $E$9, 100%, $G$9) + CHOOSE(CONTROL!$C$38, 0.0256, 0)</f>
        <v>28.520199999999999</v>
      </c>
      <c r="G267" s="14">
        <f>27.0506 * CHOOSE(CONTROL!$C$15, $E$9, 100%, $G$9) + CHOOSE(CONTROL!$C$38, 0.0347, 0)</f>
        <v>27.0853</v>
      </c>
      <c r="H267" s="14">
        <f>27.0506 * CHOOSE(CONTROL!$C$15, $E$9, 100%, $G$9) + CHOOSE(CONTROL!$C$38, 0.0347, 0)</f>
        <v>27.0853</v>
      </c>
      <c r="I267" s="14">
        <f>27.0522 * CHOOSE(CONTROL!$C$15, $E$9, 100%, $G$9) + CHOOSE(CONTROL!$C$38, 0.0347, 0)</f>
        <v>27.0869</v>
      </c>
      <c r="J267" s="44">
        <f>190.7444</f>
        <v>190.74440000000001</v>
      </c>
    </row>
    <row r="268" spans="1:10" ht="15" x14ac:dyDescent="0.2">
      <c r="A268" s="13">
        <v>49065</v>
      </c>
      <c r="B268" s="14">
        <f>27.8459 * CHOOSE(CONTROL!$C$15, $E$9, 100%, $G$9) + CHOOSE(CONTROL!$C$38, 0.0278, 0)</f>
        <v>27.873699999999999</v>
      </c>
      <c r="C268" s="14">
        <f>26.2472 * CHOOSE(CONTROL!$C$15, $E$9, 100%, $G$9) + CHOOSE(CONTROL!$C$38, 0.0369, 0)</f>
        <v>26.284099999999999</v>
      </c>
      <c r="D268" s="14">
        <f>26.2394 * CHOOSE(CONTROL!$C$15, $E$9, 100%, $G$9) + CHOOSE(CONTROL!$C$38, 0.0369, 0)</f>
        <v>26.276299999999999</v>
      </c>
      <c r="E268" s="46">
        <f>27.6896 * CHOOSE(CONTROL!$C$15, $E$9, 100%, $G$9) + CHOOSE(CONTROL!$C$38, 0.0369, 0)</f>
        <v>27.726499999999998</v>
      </c>
      <c r="F268" s="45">
        <f>27.6896 * CHOOSE(CONTROL!$C$15, $E$9, 100%, $G$9) + CHOOSE(CONTROL!$C$38, 0.0278, 0)</f>
        <v>27.717399999999998</v>
      </c>
      <c r="G268" s="14">
        <f>26.2456 * CHOOSE(CONTROL!$C$15, $E$9, 100%, $G$9) + CHOOSE(CONTROL!$C$38, 0.0369, 0)</f>
        <v>26.282499999999999</v>
      </c>
      <c r="H268" s="14">
        <f>26.2456 * CHOOSE(CONTROL!$C$15, $E$9, 100%, $G$9) + CHOOSE(CONTROL!$C$38, 0.0369, 0)</f>
        <v>26.282499999999999</v>
      </c>
      <c r="I268" s="14">
        <f>26.2472 * CHOOSE(CONTROL!$C$15, $E$9, 100%, $G$9) + CHOOSE(CONTROL!$C$38, 0.0369, 0)</f>
        <v>26.284099999999999</v>
      </c>
      <c r="J268" s="44">
        <f>197.1454</f>
        <v>197.1454</v>
      </c>
    </row>
    <row r="269" spans="1:10" ht="15" x14ac:dyDescent="0.2">
      <c r="A269" s="13">
        <v>49096</v>
      </c>
      <c r="B269" s="14">
        <f>27.2816 * CHOOSE(CONTROL!$C$15, $E$9, 100%, $G$9) + CHOOSE(CONTROL!$C$38, 0.0278, 0)</f>
        <v>27.3094</v>
      </c>
      <c r="C269" s="14">
        <f>25.6829 * CHOOSE(CONTROL!$C$15, $E$9, 100%, $G$9) + CHOOSE(CONTROL!$C$38, 0.0369, 0)</f>
        <v>25.719799999999999</v>
      </c>
      <c r="D269" s="14">
        <f>25.675 * CHOOSE(CONTROL!$C$15, $E$9, 100%, $G$9) + CHOOSE(CONTROL!$C$38, 0.0369, 0)</f>
        <v>25.7119</v>
      </c>
      <c r="E269" s="46">
        <f>27.1253 * CHOOSE(CONTROL!$C$15, $E$9, 100%, $G$9) + CHOOSE(CONTROL!$C$38, 0.0369, 0)</f>
        <v>27.162199999999999</v>
      </c>
      <c r="F269" s="45">
        <f>27.1253 * CHOOSE(CONTROL!$C$15, $E$9, 100%, $G$9) + CHOOSE(CONTROL!$C$38, 0.0278, 0)</f>
        <v>27.153099999999998</v>
      </c>
      <c r="G269" s="14">
        <f>25.6813 * CHOOSE(CONTROL!$C$15, $E$9, 100%, $G$9) + CHOOSE(CONTROL!$C$38, 0.0369, 0)</f>
        <v>25.7182</v>
      </c>
      <c r="H269" s="14">
        <f>25.6813 * CHOOSE(CONTROL!$C$15, $E$9, 100%, $G$9) + CHOOSE(CONTROL!$C$38, 0.0369, 0)</f>
        <v>25.7182</v>
      </c>
      <c r="I269" s="14">
        <f>25.6829 * CHOOSE(CONTROL!$C$15, $E$9, 100%, $G$9) + CHOOSE(CONTROL!$C$38, 0.0369, 0)</f>
        <v>25.719799999999999</v>
      </c>
      <c r="J269" s="44">
        <f>199.986</f>
        <v>199.98599999999999</v>
      </c>
    </row>
    <row r="270" spans="1:10" ht="15" x14ac:dyDescent="0.2">
      <c r="A270" s="13">
        <v>49126</v>
      </c>
      <c r="B270" s="14">
        <f>26.9595 * CHOOSE(CONTROL!$C$15, $E$9, 100%, $G$9) + CHOOSE(CONTROL!$C$38, 0.0278, 0)</f>
        <v>26.987299999999998</v>
      </c>
      <c r="C270" s="14">
        <f>25.3608 * CHOOSE(CONTROL!$C$15, $E$9, 100%, $G$9) + CHOOSE(CONTROL!$C$38, 0.0369, 0)</f>
        <v>25.3977</v>
      </c>
      <c r="D270" s="14">
        <f>25.353 * CHOOSE(CONTROL!$C$15, $E$9, 100%, $G$9) + CHOOSE(CONTROL!$C$38, 0.0369, 0)</f>
        <v>25.389900000000001</v>
      </c>
      <c r="E270" s="46">
        <f>26.8033 * CHOOSE(CONTROL!$C$15, $E$9, 100%, $G$9) + CHOOSE(CONTROL!$C$38, 0.0369, 0)</f>
        <v>26.840199999999999</v>
      </c>
      <c r="F270" s="45">
        <f>26.8033 * CHOOSE(CONTROL!$C$15, $E$9, 100%, $G$9) + CHOOSE(CONTROL!$C$38, 0.0278, 0)</f>
        <v>26.831099999999999</v>
      </c>
      <c r="G270" s="14">
        <f>25.3592 * CHOOSE(CONTROL!$C$15, $E$9, 100%, $G$9) + CHOOSE(CONTROL!$C$38, 0.0369, 0)</f>
        <v>25.396100000000001</v>
      </c>
      <c r="H270" s="14">
        <f>25.3592 * CHOOSE(CONTROL!$C$15, $E$9, 100%, $G$9) + CHOOSE(CONTROL!$C$38, 0.0369, 0)</f>
        <v>25.396100000000001</v>
      </c>
      <c r="I270" s="14">
        <f>25.3608 * CHOOSE(CONTROL!$C$15, $E$9, 100%, $G$9) + CHOOSE(CONTROL!$C$38, 0.0369, 0)</f>
        <v>25.3977</v>
      </c>
      <c r="J270" s="44">
        <f>199.0507</f>
        <v>199.05070000000001</v>
      </c>
    </row>
    <row r="271" spans="1:10" ht="15" x14ac:dyDescent="0.2">
      <c r="A271" s="13">
        <v>49157</v>
      </c>
      <c r="B271" s="14">
        <f>27.1184 * CHOOSE(CONTROL!$C$15, $E$9, 100%, $G$9) + CHOOSE(CONTROL!$C$38, 0.0278, 0)</f>
        <v>27.1462</v>
      </c>
      <c r="C271" s="14">
        <f>25.5198 * CHOOSE(CONTROL!$C$15, $E$9, 100%, $G$9) + CHOOSE(CONTROL!$C$38, 0.0369, 0)</f>
        <v>25.556699999999999</v>
      </c>
      <c r="D271" s="14">
        <f>25.5119 * CHOOSE(CONTROL!$C$15, $E$9, 100%, $G$9) + CHOOSE(CONTROL!$C$38, 0.0369, 0)</f>
        <v>25.5488</v>
      </c>
      <c r="E271" s="46">
        <f>26.9622 * CHOOSE(CONTROL!$C$15, $E$9, 100%, $G$9) + CHOOSE(CONTROL!$C$38, 0.0369, 0)</f>
        <v>26.999099999999999</v>
      </c>
      <c r="F271" s="45">
        <f>26.9622 * CHOOSE(CONTROL!$C$15, $E$9, 100%, $G$9) + CHOOSE(CONTROL!$C$38, 0.0278, 0)</f>
        <v>26.99</v>
      </c>
      <c r="G271" s="14">
        <f>25.5182 * CHOOSE(CONTROL!$C$15, $E$9, 100%, $G$9) + CHOOSE(CONTROL!$C$38, 0.0369, 0)</f>
        <v>25.555099999999999</v>
      </c>
      <c r="H271" s="14">
        <f>25.5182 * CHOOSE(CONTROL!$C$15, $E$9, 100%, $G$9) + CHOOSE(CONTROL!$C$38, 0.0369, 0)</f>
        <v>25.555099999999999</v>
      </c>
      <c r="I271" s="14">
        <f>25.5198 * CHOOSE(CONTROL!$C$15, $E$9, 100%, $G$9) + CHOOSE(CONTROL!$C$38, 0.0369, 0)</f>
        <v>25.556699999999999</v>
      </c>
      <c r="J271" s="44">
        <f>194.4169</f>
        <v>194.4169</v>
      </c>
    </row>
    <row r="272" spans="1:10" ht="15" x14ac:dyDescent="0.2">
      <c r="A272" s="13">
        <v>49188</v>
      </c>
      <c r="B272" s="14">
        <f>27.5502 * CHOOSE(CONTROL!$C$15, $E$9, 100%, $G$9) + CHOOSE(CONTROL!$C$38, 0.0278, 0)</f>
        <v>27.577999999999999</v>
      </c>
      <c r="C272" s="14">
        <f>25.9515 * CHOOSE(CONTROL!$C$15, $E$9, 100%, $G$9) + CHOOSE(CONTROL!$C$38, 0.0369, 0)</f>
        <v>25.988399999999999</v>
      </c>
      <c r="D272" s="14">
        <f>25.9436 * CHOOSE(CONTROL!$C$15, $E$9, 100%, $G$9) + CHOOSE(CONTROL!$C$38, 0.0369, 0)</f>
        <v>25.980499999999999</v>
      </c>
      <c r="E272" s="46">
        <f>27.3939 * CHOOSE(CONTROL!$C$15, $E$9, 100%, $G$9) + CHOOSE(CONTROL!$C$38, 0.0369, 0)</f>
        <v>27.430799999999998</v>
      </c>
      <c r="F272" s="45">
        <f>27.3939 * CHOOSE(CONTROL!$C$15, $E$9, 100%, $G$9) + CHOOSE(CONTROL!$C$38, 0.0278, 0)</f>
        <v>27.421699999999998</v>
      </c>
      <c r="G272" s="14">
        <f>25.9499 * CHOOSE(CONTROL!$C$15, $E$9, 100%, $G$9) + CHOOSE(CONTROL!$C$38, 0.0369, 0)</f>
        <v>25.986799999999999</v>
      </c>
      <c r="H272" s="14">
        <f>25.9499 * CHOOSE(CONTROL!$C$15, $E$9, 100%, $G$9) + CHOOSE(CONTROL!$C$38, 0.0369, 0)</f>
        <v>25.986799999999999</v>
      </c>
      <c r="I272" s="14">
        <f>25.9515 * CHOOSE(CONTROL!$C$15, $E$9, 100%, $G$9) + CHOOSE(CONTROL!$C$38, 0.0369, 0)</f>
        <v>25.988399999999999</v>
      </c>
      <c r="J272" s="44">
        <f>187.9548</f>
        <v>187.95480000000001</v>
      </c>
    </row>
    <row r="273" spans="1:10" ht="15" x14ac:dyDescent="0.2">
      <c r="A273" s="13">
        <v>49218</v>
      </c>
      <c r="B273" s="14">
        <f>27.9117 * CHOOSE(CONTROL!$C$15, $E$9, 100%, $G$9) + CHOOSE(CONTROL!$C$38, 0.0256, 0)</f>
        <v>27.9373</v>
      </c>
      <c r="C273" s="14">
        <f>26.313 * CHOOSE(CONTROL!$C$15, $E$9, 100%, $G$9) + CHOOSE(CONTROL!$C$38, 0.0347, 0)</f>
        <v>26.3477</v>
      </c>
      <c r="D273" s="14">
        <f>26.3052 * CHOOSE(CONTROL!$C$15, $E$9, 100%, $G$9) + CHOOSE(CONTROL!$C$38, 0.0347, 0)</f>
        <v>26.3399</v>
      </c>
      <c r="E273" s="46">
        <f>27.7555 * CHOOSE(CONTROL!$C$15, $E$9, 100%, $G$9) + CHOOSE(CONTROL!$C$38, 0.0347, 0)</f>
        <v>27.790200000000002</v>
      </c>
      <c r="F273" s="45">
        <f>27.7555 * CHOOSE(CONTROL!$C$15, $E$9, 100%, $G$9) + CHOOSE(CONTROL!$C$38, 0.0256, 0)</f>
        <v>27.781100000000002</v>
      </c>
      <c r="G273" s="14">
        <f>26.3115 * CHOOSE(CONTROL!$C$15, $E$9, 100%, $G$9) + CHOOSE(CONTROL!$C$38, 0.0347, 0)</f>
        <v>26.3462</v>
      </c>
      <c r="H273" s="14">
        <f>26.3115 * CHOOSE(CONTROL!$C$15, $E$9, 100%, $G$9) + CHOOSE(CONTROL!$C$38, 0.0347, 0)</f>
        <v>26.3462</v>
      </c>
      <c r="I273" s="14">
        <f>26.313 * CHOOSE(CONTROL!$C$15, $E$9, 100%, $G$9) + CHOOSE(CONTROL!$C$38, 0.0347, 0)</f>
        <v>26.3477</v>
      </c>
      <c r="J273" s="44">
        <f>181.4552</f>
        <v>181.45519999999999</v>
      </c>
    </row>
    <row r="274" spans="1:10" ht="15" x14ac:dyDescent="0.2">
      <c r="A274" s="13">
        <v>49249</v>
      </c>
      <c r="B274" s="14">
        <f>28.2134 * CHOOSE(CONTROL!$C$15, $E$9, 100%, $G$9) + CHOOSE(CONTROL!$C$38, 0.0256, 0)</f>
        <v>28.239000000000001</v>
      </c>
      <c r="C274" s="14">
        <f>26.6147 * CHOOSE(CONTROL!$C$15, $E$9, 100%, $G$9) + CHOOSE(CONTROL!$C$38, 0.0347, 0)</f>
        <v>26.6494</v>
      </c>
      <c r="D274" s="14">
        <f>26.6069 * CHOOSE(CONTROL!$C$15, $E$9, 100%, $G$9) + CHOOSE(CONTROL!$C$38, 0.0347, 0)</f>
        <v>26.6416</v>
      </c>
      <c r="E274" s="46">
        <f>28.0572 * CHOOSE(CONTROL!$C$15, $E$9, 100%, $G$9) + CHOOSE(CONTROL!$C$38, 0.0347, 0)</f>
        <v>28.091900000000003</v>
      </c>
      <c r="F274" s="45">
        <f>28.0572 * CHOOSE(CONTROL!$C$15, $E$9, 100%, $G$9) + CHOOSE(CONTROL!$C$38, 0.0256, 0)</f>
        <v>28.082800000000002</v>
      </c>
      <c r="G274" s="14">
        <f>26.6132 * CHOOSE(CONTROL!$C$15, $E$9, 100%, $G$9) + CHOOSE(CONTROL!$C$38, 0.0347, 0)</f>
        <v>26.6479</v>
      </c>
      <c r="H274" s="14">
        <f>26.6132 * CHOOSE(CONTROL!$C$15, $E$9, 100%, $G$9) + CHOOSE(CONTROL!$C$38, 0.0347, 0)</f>
        <v>26.6479</v>
      </c>
      <c r="I274" s="14">
        <f>26.6147 * CHOOSE(CONTROL!$C$15, $E$9, 100%, $G$9) + CHOOSE(CONTROL!$C$38, 0.0347, 0)</f>
        <v>26.6494</v>
      </c>
      <c r="J274" s="44">
        <f>180.1622</f>
        <v>180.16220000000001</v>
      </c>
    </row>
    <row r="275" spans="1:10" ht="15" x14ac:dyDescent="0.2">
      <c r="A275" s="13">
        <v>49279</v>
      </c>
      <c r="B275" s="14">
        <f>29.1431 * CHOOSE(CONTROL!$C$15, $E$9, 100%, $G$9) + CHOOSE(CONTROL!$C$38, 0.0256, 0)</f>
        <v>29.168700000000001</v>
      </c>
      <c r="C275" s="14">
        <f>27.5444 * CHOOSE(CONTROL!$C$15, $E$9, 100%, $G$9) + CHOOSE(CONTROL!$C$38, 0.0347, 0)</f>
        <v>27.5791</v>
      </c>
      <c r="D275" s="14">
        <f>27.5366 * CHOOSE(CONTROL!$C$15, $E$9, 100%, $G$9) + CHOOSE(CONTROL!$C$38, 0.0347, 0)</f>
        <v>27.571300000000001</v>
      </c>
      <c r="E275" s="46">
        <f>28.9868 * CHOOSE(CONTROL!$C$15, $E$9, 100%, $G$9) + CHOOSE(CONTROL!$C$38, 0.0347, 0)</f>
        <v>29.0215</v>
      </c>
      <c r="F275" s="45">
        <f>28.9868 * CHOOSE(CONTROL!$C$15, $E$9, 100%, $G$9) + CHOOSE(CONTROL!$C$38, 0.0256, 0)</f>
        <v>29.0124</v>
      </c>
      <c r="G275" s="14">
        <f>27.5428 * CHOOSE(CONTROL!$C$15, $E$9, 100%, $G$9) + CHOOSE(CONTROL!$C$38, 0.0347, 0)</f>
        <v>27.577500000000001</v>
      </c>
      <c r="H275" s="14">
        <f>27.5428 * CHOOSE(CONTROL!$C$15, $E$9, 100%, $G$9) + CHOOSE(CONTROL!$C$38, 0.0347, 0)</f>
        <v>27.577500000000001</v>
      </c>
      <c r="I275" s="14">
        <f>27.5444 * CHOOSE(CONTROL!$C$15, $E$9, 100%, $G$9) + CHOOSE(CONTROL!$C$38, 0.0347, 0)</f>
        <v>27.5791</v>
      </c>
      <c r="J275" s="44">
        <f>174.8159</f>
        <v>174.8159</v>
      </c>
    </row>
    <row r="276" spans="1:10" ht="15" x14ac:dyDescent="0.2">
      <c r="A276" s="13">
        <v>49310</v>
      </c>
      <c r="B276" s="14">
        <f>30.3418 * CHOOSE(CONTROL!$C$15, $E$9, 100%, $G$9) + CHOOSE(CONTROL!$C$38, 0.0256, 0)</f>
        <v>30.3674</v>
      </c>
      <c r="C276" s="14">
        <f>28.7189 * CHOOSE(CONTROL!$C$15, $E$9, 100%, $G$9) + CHOOSE(CONTROL!$C$38, 0.0347, 0)</f>
        <v>28.753600000000002</v>
      </c>
      <c r="D276" s="14">
        <f>28.711 * CHOOSE(CONTROL!$C$15, $E$9, 100%, $G$9) + CHOOSE(CONTROL!$C$38, 0.0347, 0)</f>
        <v>28.745699999999999</v>
      </c>
      <c r="E276" s="46">
        <f>30.1855 * CHOOSE(CONTROL!$C$15, $E$9, 100%, $G$9) + CHOOSE(CONTROL!$C$38, 0.0347, 0)</f>
        <v>30.220200000000002</v>
      </c>
      <c r="F276" s="45">
        <f>30.1855 * CHOOSE(CONTROL!$C$15, $E$9, 100%, $G$9) + CHOOSE(CONTROL!$C$38, 0.0256, 0)</f>
        <v>30.211100000000002</v>
      </c>
      <c r="G276" s="14">
        <f>28.7173 * CHOOSE(CONTROL!$C$15, $E$9, 100%, $G$9) + CHOOSE(CONTROL!$C$38, 0.0347, 0)</f>
        <v>28.752000000000002</v>
      </c>
      <c r="H276" s="14">
        <f>28.7173 * CHOOSE(CONTROL!$C$15, $E$9, 100%, $G$9) + CHOOSE(CONTROL!$C$38, 0.0347, 0)</f>
        <v>28.752000000000002</v>
      </c>
      <c r="I276" s="14">
        <f>28.7189 * CHOOSE(CONTROL!$C$15, $E$9, 100%, $G$9) + CHOOSE(CONTROL!$C$38, 0.0347, 0)</f>
        <v>28.753600000000002</v>
      </c>
      <c r="J276" s="44">
        <f>174.6897</f>
        <v>174.68969999999999</v>
      </c>
    </row>
    <row r="277" spans="1:10" ht="15" x14ac:dyDescent="0.2">
      <c r="A277" s="13">
        <v>49341</v>
      </c>
      <c r="B277" s="14">
        <f>30.6861 * CHOOSE(CONTROL!$C$15, $E$9, 100%, $G$9) + CHOOSE(CONTROL!$C$38, 0.0256, 0)</f>
        <v>30.7117</v>
      </c>
      <c r="C277" s="14">
        <f>29.0632 * CHOOSE(CONTROL!$C$15, $E$9, 100%, $G$9) + CHOOSE(CONTROL!$C$38, 0.0347, 0)</f>
        <v>29.097899999999999</v>
      </c>
      <c r="D277" s="14">
        <f>29.0554 * CHOOSE(CONTROL!$C$15, $E$9, 100%, $G$9) + CHOOSE(CONTROL!$C$38, 0.0347, 0)</f>
        <v>29.0901</v>
      </c>
      <c r="E277" s="46">
        <f>30.5298 * CHOOSE(CONTROL!$C$15, $E$9, 100%, $G$9) + CHOOSE(CONTROL!$C$38, 0.0347, 0)</f>
        <v>30.564500000000002</v>
      </c>
      <c r="F277" s="45">
        <f>30.5298 * CHOOSE(CONTROL!$C$15, $E$9, 100%, $G$9) + CHOOSE(CONTROL!$C$38, 0.0256, 0)</f>
        <v>30.555400000000002</v>
      </c>
      <c r="G277" s="14">
        <f>29.0616 * CHOOSE(CONTROL!$C$15, $E$9, 100%, $G$9) + CHOOSE(CONTROL!$C$38, 0.0347, 0)</f>
        <v>29.096299999999999</v>
      </c>
      <c r="H277" s="14">
        <f>29.0616 * CHOOSE(CONTROL!$C$15, $E$9, 100%, $G$9) + CHOOSE(CONTROL!$C$38, 0.0347, 0)</f>
        <v>29.096299999999999</v>
      </c>
      <c r="I277" s="14">
        <f>29.0632 * CHOOSE(CONTROL!$C$15, $E$9, 100%, $G$9) + CHOOSE(CONTROL!$C$38, 0.0347, 0)</f>
        <v>29.097899999999999</v>
      </c>
      <c r="J277" s="44">
        <f>174.2041</f>
        <v>174.20410000000001</v>
      </c>
    </row>
    <row r="278" spans="1:10" ht="15" x14ac:dyDescent="0.2">
      <c r="A278" s="13">
        <v>49369</v>
      </c>
      <c r="B278" s="14">
        <f>29.8891 * CHOOSE(CONTROL!$C$15, $E$9, 100%, $G$9) + CHOOSE(CONTROL!$C$38, 0.0256, 0)</f>
        <v>29.9147</v>
      </c>
      <c r="C278" s="14">
        <f>28.2661 * CHOOSE(CONTROL!$C$15, $E$9, 100%, $G$9) + CHOOSE(CONTROL!$C$38, 0.0347, 0)</f>
        <v>28.300800000000002</v>
      </c>
      <c r="D278" s="14">
        <f>28.2583 * CHOOSE(CONTROL!$C$15, $E$9, 100%, $G$9) + CHOOSE(CONTROL!$C$38, 0.0347, 0)</f>
        <v>28.292999999999999</v>
      </c>
      <c r="E278" s="46">
        <f>29.7328 * CHOOSE(CONTROL!$C$15, $E$9, 100%, $G$9) + CHOOSE(CONTROL!$C$38, 0.0347, 0)</f>
        <v>29.767500000000002</v>
      </c>
      <c r="F278" s="45">
        <f>29.7328 * CHOOSE(CONTROL!$C$15, $E$9, 100%, $G$9) + CHOOSE(CONTROL!$C$38, 0.0256, 0)</f>
        <v>29.758400000000002</v>
      </c>
      <c r="G278" s="14">
        <f>28.2646 * CHOOSE(CONTROL!$C$15, $E$9, 100%, $G$9) + CHOOSE(CONTROL!$C$38, 0.0347, 0)</f>
        <v>28.299300000000002</v>
      </c>
      <c r="H278" s="14">
        <f>28.2646 * CHOOSE(CONTROL!$C$15, $E$9, 100%, $G$9) + CHOOSE(CONTROL!$C$38, 0.0347, 0)</f>
        <v>28.299300000000002</v>
      </c>
      <c r="I278" s="14">
        <f>28.2661 * CHOOSE(CONTROL!$C$15, $E$9, 100%, $G$9) + CHOOSE(CONTROL!$C$38, 0.0347, 0)</f>
        <v>28.300800000000002</v>
      </c>
      <c r="J278" s="44">
        <f>183.3857</f>
        <v>183.38570000000001</v>
      </c>
    </row>
    <row r="279" spans="1:10" ht="15" x14ac:dyDescent="0.2">
      <c r="A279" s="13">
        <v>49400</v>
      </c>
      <c r="B279" s="14">
        <f>29.1167 * CHOOSE(CONTROL!$C$15, $E$9, 100%, $G$9) + CHOOSE(CONTROL!$C$38, 0.0256, 0)</f>
        <v>29.142300000000002</v>
      </c>
      <c r="C279" s="14">
        <f>27.4938 * CHOOSE(CONTROL!$C$15, $E$9, 100%, $G$9) + CHOOSE(CONTROL!$C$38, 0.0347, 0)</f>
        <v>27.528500000000001</v>
      </c>
      <c r="D279" s="14">
        <f>27.486 * CHOOSE(CONTROL!$C$15, $E$9, 100%, $G$9) + CHOOSE(CONTROL!$C$38, 0.0347, 0)</f>
        <v>27.520700000000001</v>
      </c>
      <c r="E279" s="46">
        <f>28.9605 * CHOOSE(CONTROL!$C$15, $E$9, 100%, $G$9) + CHOOSE(CONTROL!$C$38, 0.0347, 0)</f>
        <v>28.995200000000001</v>
      </c>
      <c r="F279" s="45">
        <f>28.9605 * CHOOSE(CONTROL!$C$15, $E$9, 100%, $G$9) + CHOOSE(CONTROL!$C$38, 0.0256, 0)</f>
        <v>28.9861</v>
      </c>
      <c r="G279" s="14">
        <f>27.4923 * CHOOSE(CONTROL!$C$15, $E$9, 100%, $G$9) + CHOOSE(CONTROL!$C$38, 0.0347, 0)</f>
        <v>27.527000000000001</v>
      </c>
      <c r="H279" s="14">
        <f>27.4923 * CHOOSE(CONTROL!$C$15, $E$9, 100%, $G$9) + CHOOSE(CONTROL!$C$38, 0.0347, 0)</f>
        <v>27.527000000000001</v>
      </c>
      <c r="I279" s="14">
        <f>27.4938 * CHOOSE(CONTROL!$C$15, $E$9, 100%, $G$9) + CHOOSE(CONTROL!$C$38, 0.0347, 0)</f>
        <v>27.528500000000001</v>
      </c>
      <c r="J279" s="44">
        <f>195.292</f>
        <v>195.292</v>
      </c>
    </row>
    <row r="280" spans="1:10" ht="15" x14ac:dyDescent="0.2">
      <c r="A280" s="13">
        <v>49430</v>
      </c>
      <c r="B280" s="14">
        <f>28.3118 * CHOOSE(CONTROL!$C$15, $E$9, 100%, $G$9) + CHOOSE(CONTROL!$C$38, 0.0278, 0)</f>
        <v>28.339600000000001</v>
      </c>
      <c r="C280" s="14">
        <f>26.6889 * CHOOSE(CONTROL!$C$15, $E$9, 100%, $G$9) + CHOOSE(CONTROL!$C$38, 0.0369, 0)</f>
        <v>26.7258</v>
      </c>
      <c r="D280" s="14">
        <f>26.681 * CHOOSE(CONTROL!$C$15, $E$9, 100%, $G$9) + CHOOSE(CONTROL!$C$38, 0.0369, 0)</f>
        <v>26.7179</v>
      </c>
      <c r="E280" s="46">
        <f>28.1555 * CHOOSE(CONTROL!$C$15, $E$9, 100%, $G$9) + CHOOSE(CONTROL!$C$38, 0.0369, 0)</f>
        <v>28.192399999999999</v>
      </c>
      <c r="F280" s="45">
        <f>28.1555 * CHOOSE(CONTROL!$C$15, $E$9, 100%, $G$9) + CHOOSE(CONTROL!$C$38, 0.0278, 0)</f>
        <v>28.183299999999999</v>
      </c>
      <c r="G280" s="14">
        <f>26.6873 * CHOOSE(CONTROL!$C$15, $E$9, 100%, $G$9) + CHOOSE(CONTROL!$C$38, 0.0369, 0)</f>
        <v>26.7242</v>
      </c>
      <c r="H280" s="14">
        <f>26.6873 * CHOOSE(CONTROL!$C$15, $E$9, 100%, $G$9) + CHOOSE(CONTROL!$C$38, 0.0369, 0)</f>
        <v>26.7242</v>
      </c>
      <c r="I280" s="14">
        <f>26.6889 * CHOOSE(CONTROL!$C$15, $E$9, 100%, $G$9) + CHOOSE(CONTROL!$C$38, 0.0369, 0)</f>
        <v>26.7258</v>
      </c>
      <c r="J280" s="44">
        <f>201.8456</f>
        <v>201.84559999999999</v>
      </c>
    </row>
    <row r="281" spans="1:10" ht="15" x14ac:dyDescent="0.2">
      <c r="A281" s="34">
        <v>49461</v>
      </c>
      <c r="B281" s="14">
        <f>27.7474 * CHOOSE(CONTROL!$C$15, $E$9, 100%, $G$9) + CHOOSE(CONTROL!$C$38, 0.0278, 0)</f>
        <v>27.775199999999998</v>
      </c>
      <c r="C281" s="14">
        <f>26.1245 * CHOOSE(CONTROL!$C$15, $E$9, 100%, $G$9) + CHOOSE(CONTROL!$C$38, 0.0369, 0)</f>
        <v>26.1614</v>
      </c>
      <c r="D281" s="14">
        <f>26.1167 * CHOOSE(CONTROL!$C$15, $E$9, 100%, $G$9) + CHOOSE(CONTROL!$C$38, 0.0369, 0)</f>
        <v>26.153600000000001</v>
      </c>
      <c r="E281" s="46">
        <f>27.5912 * CHOOSE(CONTROL!$C$15, $E$9, 100%, $G$9) + CHOOSE(CONTROL!$C$38, 0.0369, 0)</f>
        <v>27.6281</v>
      </c>
      <c r="F281" s="45">
        <f>27.5912 * CHOOSE(CONTROL!$C$15, $E$9, 100%, $G$9) + CHOOSE(CONTROL!$C$38, 0.0278, 0)</f>
        <v>27.619</v>
      </c>
      <c r="G281" s="14">
        <f>26.123 * CHOOSE(CONTROL!$C$15, $E$9, 100%, $G$9) + CHOOSE(CONTROL!$C$38, 0.0369, 0)</f>
        <v>26.1599</v>
      </c>
      <c r="H281" s="14">
        <f>26.123 * CHOOSE(CONTROL!$C$15, $E$9, 100%, $G$9) + CHOOSE(CONTROL!$C$38, 0.0369, 0)</f>
        <v>26.1599</v>
      </c>
      <c r="I281" s="14">
        <f>26.1245 * CHOOSE(CONTROL!$C$15, $E$9, 100%, $G$9) + CHOOSE(CONTROL!$C$38, 0.0369, 0)</f>
        <v>26.1614</v>
      </c>
      <c r="J281" s="44">
        <f>204.754</f>
        <v>204.75399999999999</v>
      </c>
    </row>
    <row r="282" spans="1:10" ht="15" x14ac:dyDescent="0.2">
      <c r="A282" s="34">
        <v>49491</v>
      </c>
      <c r="B282" s="14">
        <f>27.4254 * CHOOSE(CONTROL!$C$15, $E$9, 100%, $G$9) + CHOOSE(CONTROL!$C$38, 0.0278, 0)</f>
        <v>27.453199999999999</v>
      </c>
      <c r="C282" s="14">
        <f>25.8025 * CHOOSE(CONTROL!$C$15, $E$9, 100%, $G$9) + CHOOSE(CONTROL!$C$38, 0.0369, 0)</f>
        <v>25.839399999999998</v>
      </c>
      <c r="D282" s="14">
        <f>25.7947 * CHOOSE(CONTROL!$C$15, $E$9, 100%, $G$9) + CHOOSE(CONTROL!$C$38, 0.0369, 0)</f>
        <v>25.831599999999998</v>
      </c>
      <c r="E282" s="46">
        <f>27.2691 * CHOOSE(CONTROL!$C$15, $E$9, 100%, $G$9) + CHOOSE(CONTROL!$C$38, 0.0369, 0)</f>
        <v>27.306000000000001</v>
      </c>
      <c r="F282" s="45">
        <f>27.2691 * CHOOSE(CONTROL!$C$15, $E$9, 100%, $G$9) + CHOOSE(CONTROL!$C$38, 0.0278, 0)</f>
        <v>27.296900000000001</v>
      </c>
      <c r="G282" s="14">
        <f>25.8009 * CHOOSE(CONTROL!$C$15, $E$9, 100%, $G$9) + CHOOSE(CONTROL!$C$38, 0.0369, 0)</f>
        <v>25.837799999999998</v>
      </c>
      <c r="H282" s="14">
        <f>25.8009 * CHOOSE(CONTROL!$C$15, $E$9, 100%, $G$9) + CHOOSE(CONTROL!$C$38, 0.0369, 0)</f>
        <v>25.837799999999998</v>
      </c>
      <c r="I282" s="14">
        <f>25.8025 * CHOOSE(CONTROL!$C$15, $E$9, 100%, $G$9) + CHOOSE(CONTROL!$C$38, 0.0369, 0)</f>
        <v>25.839399999999998</v>
      </c>
      <c r="J282" s="44">
        <f>203.7964</f>
        <v>203.79640000000001</v>
      </c>
    </row>
    <row r="283" spans="1:10" ht="15" x14ac:dyDescent="0.2">
      <c r="A283" s="34">
        <v>49522</v>
      </c>
      <c r="B283" s="14">
        <f>27.5843 * CHOOSE(CONTROL!$C$15, $E$9, 100%, $G$9) + CHOOSE(CONTROL!$C$38, 0.0278, 0)</f>
        <v>27.612099999999998</v>
      </c>
      <c r="C283" s="14">
        <f>25.9614 * CHOOSE(CONTROL!$C$15, $E$9, 100%, $G$9) + CHOOSE(CONTROL!$C$38, 0.0369, 0)</f>
        <v>25.9983</v>
      </c>
      <c r="D283" s="14">
        <f>25.9536 * CHOOSE(CONTROL!$C$15, $E$9, 100%, $G$9) + CHOOSE(CONTROL!$C$38, 0.0369, 0)</f>
        <v>25.990500000000001</v>
      </c>
      <c r="E283" s="46">
        <f>27.4281 * CHOOSE(CONTROL!$C$15, $E$9, 100%, $G$9) + CHOOSE(CONTROL!$C$38, 0.0369, 0)</f>
        <v>27.465</v>
      </c>
      <c r="F283" s="45">
        <f>27.4281 * CHOOSE(CONTROL!$C$15, $E$9, 100%, $G$9) + CHOOSE(CONTROL!$C$38, 0.0278, 0)</f>
        <v>27.4559</v>
      </c>
      <c r="G283" s="14">
        <f>25.9599 * CHOOSE(CONTROL!$C$15, $E$9, 100%, $G$9) + CHOOSE(CONTROL!$C$38, 0.0369, 0)</f>
        <v>25.9968</v>
      </c>
      <c r="H283" s="14">
        <f>25.9599 * CHOOSE(CONTROL!$C$15, $E$9, 100%, $G$9) + CHOOSE(CONTROL!$C$38, 0.0369, 0)</f>
        <v>25.9968</v>
      </c>
      <c r="I283" s="14">
        <f>25.9614 * CHOOSE(CONTROL!$C$15, $E$9, 100%, $G$9) + CHOOSE(CONTROL!$C$38, 0.0369, 0)</f>
        <v>25.9983</v>
      </c>
      <c r="J283" s="44">
        <f>199.0521</f>
        <v>199.0521</v>
      </c>
    </row>
    <row r="284" spans="1:10" ht="15" x14ac:dyDescent="0.2">
      <c r="A284" s="34">
        <v>49553</v>
      </c>
      <c r="B284" s="14">
        <f>28.016 * CHOOSE(CONTROL!$C$15, $E$9, 100%, $G$9) + CHOOSE(CONTROL!$C$38, 0.0278, 0)</f>
        <v>28.043799999999997</v>
      </c>
      <c r="C284" s="14">
        <f>26.3931 * CHOOSE(CONTROL!$C$15, $E$9, 100%, $G$9) + CHOOSE(CONTROL!$C$38, 0.0369, 0)</f>
        <v>26.43</v>
      </c>
      <c r="D284" s="14">
        <f>26.3853 * CHOOSE(CONTROL!$C$15, $E$9, 100%, $G$9) + CHOOSE(CONTROL!$C$38, 0.0369, 0)</f>
        <v>26.4222</v>
      </c>
      <c r="E284" s="46">
        <f>27.8598 * CHOOSE(CONTROL!$C$15, $E$9, 100%, $G$9) + CHOOSE(CONTROL!$C$38, 0.0369, 0)</f>
        <v>27.896699999999999</v>
      </c>
      <c r="F284" s="45">
        <f>27.8598 * CHOOSE(CONTROL!$C$15, $E$9, 100%, $G$9) + CHOOSE(CONTROL!$C$38, 0.0278, 0)</f>
        <v>27.887599999999999</v>
      </c>
      <c r="G284" s="14">
        <f>26.3916 * CHOOSE(CONTROL!$C$15, $E$9, 100%, $G$9) + CHOOSE(CONTROL!$C$38, 0.0369, 0)</f>
        <v>26.4285</v>
      </c>
      <c r="H284" s="14">
        <f>26.3916 * CHOOSE(CONTROL!$C$15, $E$9, 100%, $G$9) + CHOOSE(CONTROL!$C$38, 0.0369, 0)</f>
        <v>26.4285</v>
      </c>
      <c r="I284" s="14">
        <f>26.3931 * CHOOSE(CONTROL!$C$15, $E$9, 100%, $G$9) + CHOOSE(CONTROL!$C$38, 0.0369, 0)</f>
        <v>26.43</v>
      </c>
      <c r="J284" s="44">
        <f>192.436</f>
        <v>192.43600000000001</v>
      </c>
    </row>
    <row r="285" spans="1:10" ht="15" x14ac:dyDescent="0.2">
      <c r="A285" s="34">
        <v>49583</v>
      </c>
      <c r="B285" s="14">
        <f>28.3776 * CHOOSE(CONTROL!$C$15, $E$9, 100%, $G$9) + CHOOSE(CONTROL!$C$38, 0.0256, 0)</f>
        <v>28.403200000000002</v>
      </c>
      <c r="C285" s="14">
        <f>26.7547 * CHOOSE(CONTROL!$C$15, $E$9, 100%, $G$9) + CHOOSE(CONTROL!$C$38, 0.0347, 0)</f>
        <v>26.789400000000001</v>
      </c>
      <c r="D285" s="14">
        <f>26.7469 * CHOOSE(CONTROL!$C$15, $E$9, 100%, $G$9) + CHOOSE(CONTROL!$C$38, 0.0347, 0)</f>
        <v>26.781600000000001</v>
      </c>
      <c r="E285" s="46">
        <f>28.2214 * CHOOSE(CONTROL!$C$15, $E$9, 100%, $G$9) + CHOOSE(CONTROL!$C$38, 0.0347, 0)</f>
        <v>28.2561</v>
      </c>
      <c r="F285" s="45">
        <f>28.2214 * CHOOSE(CONTROL!$C$15, $E$9, 100%, $G$9) + CHOOSE(CONTROL!$C$38, 0.0256, 0)</f>
        <v>28.247</v>
      </c>
      <c r="G285" s="14">
        <f>26.7531 * CHOOSE(CONTROL!$C$15, $E$9, 100%, $G$9) + CHOOSE(CONTROL!$C$38, 0.0347, 0)</f>
        <v>26.787800000000001</v>
      </c>
      <c r="H285" s="14">
        <f>26.7531 * CHOOSE(CONTROL!$C$15, $E$9, 100%, $G$9) + CHOOSE(CONTROL!$C$38, 0.0347, 0)</f>
        <v>26.787800000000001</v>
      </c>
      <c r="I285" s="14">
        <f>26.7547 * CHOOSE(CONTROL!$C$15, $E$9, 100%, $G$9) + CHOOSE(CONTROL!$C$38, 0.0347, 0)</f>
        <v>26.789400000000001</v>
      </c>
      <c r="J285" s="44">
        <f>185.7813</f>
        <v>185.78129999999999</v>
      </c>
    </row>
    <row r="286" spans="1:10" ht="15" x14ac:dyDescent="0.2">
      <c r="A286" s="34">
        <v>49614</v>
      </c>
      <c r="B286" s="14">
        <f>28.6793 * CHOOSE(CONTROL!$C$15, $E$9, 100%, $G$9) + CHOOSE(CONTROL!$C$38, 0.0256, 0)</f>
        <v>28.704900000000002</v>
      </c>
      <c r="C286" s="14">
        <f>27.0564 * CHOOSE(CONTROL!$C$15, $E$9, 100%, $G$9) + CHOOSE(CONTROL!$C$38, 0.0347, 0)</f>
        <v>27.091100000000001</v>
      </c>
      <c r="D286" s="14">
        <f>27.0486 * CHOOSE(CONTROL!$C$15, $E$9, 100%, $G$9) + CHOOSE(CONTROL!$C$38, 0.0347, 0)</f>
        <v>27.083300000000001</v>
      </c>
      <c r="E286" s="46">
        <f>28.5231 * CHOOSE(CONTROL!$C$15, $E$9, 100%, $G$9) + CHOOSE(CONTROL!$C$38, 0.0347, 0)</f>
        <v>28.5578</v>
      </c>
      <c r="F286" s="45">
        <f>28.5231 * CHOOSE(CONTROL!$C$15, $E$9, 100%, $G$9) + CHOOSE(CONTROL!$C$38, 0.0256, 0)</f>
        <v>28.5487</v>
      </c>
      <c r="G286" s="14">
        <f>27.0548 * CHOOSE(CONTROL!$C$15, $E$9, 100%, $G$9) + CHOOSE(CONTROL!$C$38, 0.0347, 0)</f>
        <v>27.089500000000001</v>
      </c>
      <c r="H286" s="14">
        <f>27.0548 * CHOOSE(CONTROL!$C$15, $E$9, 100%, $G$9) + CHOOSE(CONTROL!$C$38, 0.0347, 0)</f>
        <v>27.089500000000001</v>
      </c>
      <c r="I286" s="14">
        <f>27.0564 * CHOOSE(CONTROL!$C$15, $E$9, 100%, $G$9) + CHOOSE(CONTROL!$C$38, 0.0347, 0)</f>
        <v>27.091100000000001</v>
      </c>
      <c r="J286" s="44">
        <f>184.4576</f>
        <v>184.45760000000001</v>
      </c>
    </row>
    <row r="287" spans="1:10" ht="15" x14ac:dyDescent="0.2">
      <c r="A287" s="34">
        <v>49644</v>
      </c>
      <c r="B287" s="14">
        <f>29.609 * CHOOSE(CONTROL!$C$15, $E$9, 100%, $G$9) + CHOOSE(CONTROL!$C$38, 0.0256, 0)</f>
        <v>29.634600000000002</v>
      </c>
      <c r="C287" s="14">
        <f>27.9861 * CHOOSE(CONTROL!$C$15, $E$9, 100%, $G$9) + CHOOSE(CONTROL!$C$38, 0.0347, 0)</f>
        <v>28.020800000000001</v>
      </c>
      <c r="D287" s="14">
        <f>27.9782 * CHOOSE(CONTROL!$C$15, $E$9, 100%, $G$9) + CHOOSE(CONTROL!$C$38, 0.0347, 0)</f>
        <v>28.012900000000002</v>
      </c>
      <c r="E287" s="46">
        <f>29.4527 * CHOOSE(CONTROL!$C$15, $E$9, 100%, $G$9) + CHOOSE(CONTROL!$C$38, 0.0347, 0)</f>
        <v>29.487400000000001</v>
      </c>
      <c r="F287" s="45">
        <f>29.4527 * CHOOSE(CONTROL!$C$15, $E$9, 100%, $G$9) + CHOOSE(CONTROL!$C$38, 0.0256, 0)</f>
        <v>29.478300000000001</v>
      </c>
      <c r="G287" s="14">
        <f>27.9845 * CHOOSE(CONTROL!$C$15, $E$9, 100%, $G$9) + CHOOSE(CONTROL!$C$38, 0.0347, 0)</f>
        <v>28.019200000000001</v>
      </c>
      <c r="H287" s="14">
        <f>27.9845 * CHOOSE(CONTROL!$C$15, $E$9, 100%, $G$9) + CHOOSE(CONTROL!$C$38, 0.0347, 0)</f>
        <v>28.019200000000001</v>
      </c>
      <c r="I287" s="14">
        <f>27.9861 * CHOOSE(CONTROL!$C$15, $E$9, 100%, $G$9) + CHOOSE(CONTROL!$C$38, 0.0347, 0)</f>
        <v>28.020800000000001</v>
      </c>
      <c r="J287" s="44">
        <f>178.9838</f>
        <v>178.9838</v>
      </c>
    </row>
    <row r="288" spans="1:10" ht="15" x14ac:dyDescent="0.2">
      <c r="A288" s="34">
        <v>49675</v>
      </c>
      <c r="B288" s="14">
        <f>30.8155 * CHOOSE(CONTROL!$C$15, $E$9, 100%, $G$9) + CHOOSE(CONTROL!$C$38, 0.0256, 0)</f>
        <v>30.841100000000001</v>
      </c>
      <c r="C288" s="14">
        <f>29.1679 * CHOOSE(CONTROL!$C$15, $E$9, 100%, $G$9) + CHOOSE(CONTROL!$C$38, 0.0347, 0)</f>
        <v>29.2026</v>
      </c>
      <c r="D288" s="14">
        <f>29.1601 * CHOOSE(CONTROL!$C$15, $E$9, 100%, $G$9) + CHOOSE(CONTROL!$C$38, 0.0347, 0)</f>
        <v>29.194800000000001</v>
      </c>
      <c r="E288" s="46">
        <f>30.6593 * CHOOSE(CONTROL!$C$15, $E$9, 100%, $G$9) + CHOOSE(CONTROL!$C$38, 0.0347, 0)</f>
        <v>30.694000000000003</v>
      </c>
      <c r="F288" s="45">
        <f>30.6593 * CHOOSE(CONTROL!$C$15, $E$9, 100%, $G$9) + CHOOSE(CONTROL!$C$38, 0.0256, 0)</f>
        <v>30.684900000000003</v>
      </c>
      <c r="G288" s="14">
        <f>29.1664 * CHOOSE(CONTROL!$C$15, $E$9, 100%, $G$9) + CHOOSE(CONTROL!$C$38, 0.0347, 0)</f>
        <v>29.2011</v>
      </c>
      <c r="H288" s="14">
        <f>29.1664 * CHOOSE(CONTROL!$C$15, $E$9, 100%, $G$9) + CHOOSE(CONTROL!$C$38, 0.0347, 0)</f>
        <v>29.2011</v>
      </c>
      <c r="I288" s="14">
        <f>29.1679 * CHOOSE(CONTROL!$C$15, $E$9, 100%, $G$9) + CHOOSE(CONTROL!$C$38, 0.0347, 0)</f>
        <v>29.2026</v>
      </c>
      <c r="J288" s="44">
        <f>178.8546</f>
        <v>178.8546</v>
      </c>
    </row>
    <row r="289" spans="1:10" ht="15" x14ac:dyDescent="0.2">
      <c r="A289" s="34">
        <v>49706</v>
      </c>
      <c r="B289" s="14">
        <f>31.1598 * CHOOSE(CONTROL!$C$15, $E$9, 100%, $G$9) + CHOOSE(CONTROL!$C$38, 0.0256, 0)</f>
        <v>31.185400000000001</v>
      </c>
      <c r="C289" s="14">
        <f>29.5123 * CHOOSE(CONTROL!$C$15, $E$9, 100%, $G$9) + CHOOSE(CONTROL!$C$38, 0.0347, 0)</f>
        <v>29.547000000000001</v>
      </c>
      <c r="D289" s="14">
        <f>29.5044 * CHOOSE(CONTROL!$C$15, $E$9, 100%, $G$9) + CHOOSE(CONTROL!$C$38, 0.0347, 0)</f>
        <v>29.539100000000001</v>
      </c>
      <c r="E289" s="46">
        <f>31.0036 * CHOOSE(CONTROL!$C$15, $E$9, 100%, $G$9) + CHOOSE(CONTROL!$C$38, 0.0347, 0)</f>
        <v>31.0383</v>
      </c>
      <c r="F289" s="45">
        <f>31.0036 * CHOOSE(CONTROL!$C$15, $E$9, 100%, $G$9) + CHOOSE(CONTROL!$C$38, 0.0256, 0)</f>
        <v>31.029199999999999</v>
      </c>
      <c r="G289" s="14">
        <f>29.5107 * CHOOSE(CONTROL!$C$15, $E$9, 100%, $G$9) + CHOOSE(CONTROL!$C$38, 0.0347, 0)</f>
        <v>29.545400000000001</v>
      </c>
      <c r="H289" s="14">
        <f>29.5107 * CHOOSE(CONTROL!$C$15, $E$9, 100%, $G$9) + CHOOSE(CONTROL!$C$38, 0.0347, 0)</f>
        <v>29.545400000000001</v>
      </c>
      <c r="I289" s="14">
        <f>29.5123 * CHOOSE(CONTROL!$C$15, $E$9, 100%, $G$9) + CHOOSE(CONTROL!$C$38, 0.0347, 0)</f>
        <v>29.547000000000001</v>
      </c>
      <c r="J289" s="44">
        <f>178.3574</f>
        <v>178.35740000000001</v>
      </c>
    </row>
    <row r="290" spans="1:10" ht="15" x14ac:dyDescent="0.2">
      <c r="A290" s="34">
        <v>49735</v>
      </c>
      <c r="B290" s="14">
        <f>30.3628 * CHOOSE(CONTROL!$C$15, $E$9, 100%, $G$9) + CHOOSE(CONTROL!$C$38, 0.0256, 0)</f>
        <v>30.388400000000001</v>
      </c>
      <c r="C290" s="14">
        <f>28.7152 * CHOOSE(CONTROL!$C$15, $E$9, 100%, $G$9) + CHOOSE(CONTROL!$C$38, 0.0347, 0)</f>
        <v>28.7499</v>
      </c>
      <c r="D290" s="14">
        <f>28.7074 * CHOOSE(CONTROL!$C$15, $E$9, 100%, $G$9) + CHOOSE(CONTROL!$C$38, 0.0347, 0)</f>
        <v>28.742100000000001</v>
      </c>
      <c r="E290" s="46">
        <f>30.2065 * CHOOSE(CONTROL!$C$15, $E$9, 100%, $G$9) + CHOOSE(CONTROL!$C$38, 0.0347, 0)</f>
        <v>30.241199999999999</v>
      </c>
      <c r="F290" s="45">
        <f>30.2065 * CHOOSE(CONTROL!$C$15, $E$9, 100%, $G$9) + CHOOSE(CONTROL!$C$38, 0.0256, 0)</f>
        <v>30.232099999999999</v>
      </c>
      <c r="G290" s="14">
        <f>28.7137 * CHOOSE(CONTROL!$C$15, $E$9, 100%, $G$9) + CHOOSE(CONTROL!$C$38, 0.0347, 0)</f>
        <v>28.7484</v>
      </c>
      <c r="H290" s="14">
        <f>28.7137 * CHOOSE(CONTROL!$C$15, $E$9, 100%, $G$9) + CHOOSE(CONTROL!$C$38, 0.0347, 0)</f>
        <v>28.7484</v>
      </c>
      <c r="I290" s="14">
        <f>28.7152 * CHOOSE(CONTROL!$C$15, $E$9, 100%, $G$9) + CHOOSE(CONTROL!$C$38, 0.0347, 0)</f>
        <v>28.7499</v>
      </c>
      <c r="J290" s="44">
        <f>187.7579</f>
        <v>187.75790000000001</v>
      </c>
    </row>
    <row r="291" spans="1:10" ht="15" x14ac:dyDescent="0.2">
      <c r="A291" s="34">
        <v>49766</v>
      </c>
      <c r="B291" s="14">
        <f>29.5905 * CHOOSE(CONTROL!$C$15, $E$9, 100%, $G$9) + CHOOSE(CONTROL!$C$38, 0.0256, 0)</f>
        <v>29.616099999999999</v>
      </c>
      <c r="C291" s="14">
        <f>27.9429 * CHOOSE(CONTROL!$C$15, $E$9, 100%, $G$9) + CHOOSE(CONTROL!$C$38, 0.0347, 0)</f>
        <v>27.977600000000002</v>
      </c>
      <c r="D291" s="14">
        <f>27.9351 * CHOOSE(CONTROL!$C$15, $E$9, 100%, $G$9) + CHOOSE(CONTROL!$C$38, 0.0347, 0)</f>
        <v>27.969799999999999</v>
      </c>
      <c r="E291" s="46">
        <f>29.4342 * CHOOSE(CONTROL!$C$15, $E$9, 100%, $G$9) + CHOOSE(CONTROL!$C$38, 0.0347, 0)</f>
        <v>29.468900000000001</v>
      </c>
      <c r="F291" s="45">
        <f>29.4342 * CHOOSE(CONTROL!$C$15, $E$9, 100%, $G$9) + CHOOSE(CONTROL!$C$38, 0.0256, 0)</f>
        <v>29.459800000000001</v>
      </c>
      <c r="G291" s="14">
        <f>27.9413 * CHOOSE(CONTROL!$C$15, $E$9, 100%, $G$9) + CHOOSE(CONTROL!$C$38, 0.0347, 0)</f>
        <v>27.975999999999999</v>
      </c>
      <c r="H291" s="14">
        <f>27.9413 * CHOOSE(CONTROL!$C$15, $E$9, 100%, $G$9) + CHOOSE(CONTROL!$C$38, 0.0347, 0)</f>
        <v>27.975999999999999</v>
      </c>
      <c r="I291" s="14">
        <f>27.9429 * CHOOSE(CONTROL!$C$15, $E$9, 100%, $G$9) + CHOOSE(CONTROL!$C$38, 0.0347, 0)</f>
        <v>27.977600000000002</v>
      </c>
      <c r="J291" s="44">
        <f>199.948</f>
        <v>199.94800000000001</v>
      </c>
    </row>
    <row r="292" spans="1:10" ht="15" x14ac:dyDescent="0.2">
      <c r="A292" s="34">
        <v>49796</v>
      </c>
      <c r="B292" s="14">
        <f>28.7855 * CHOOSE(CONTROL!$C$15, $E$9, 100%, $G$9) + CHOOSE(CONTROL!$C$38, 0.0278, 0)</f>
        <v>28.813299999999998</v>
      </c>
      <c r="C292" s="14">
        <f>27.1379 * CHOOSE(CONTROL!$C$15, $E$9, 100%, $G$9) + CHOOSE(CONTROL!$C$38, 0.0369, 0)</f>
        <v>27.174799999999998</v>
      </c>
      <c r="D292" s="14">
        <f>27.1301 * CHOOSE(CONTROL!$C$15, $E$9, 100%, $G$9) + CHOOSE(CONTROL!$C$38, 0.0369, 0)</f>
        <v>27.166999999999998</v>
      </c>
      <c r="E292" s="46">
        <f>28.6293 * CHOOSE(CONTROL!$C$15, $E$9, 100%, $G$9) + CHOOSE(CONTROL!$C$38, 0.0369, 0)</f>
        <v>28.6662</v>
      </c>
      <c r="F292" s="45">
        <f>28.6293 * CHOOSE(CONTROL!$C$15, $E$9, 100%, $G$9) + CHOOSE(CONTROL!$C$38, 0.0278, 0)</f>
        <v>28.6571</v>
      </c>
      <c r="G292" s="14">
        <f>27.1364 * CHOOSE(CONTROL!$C$15, $E$9, 100%, $G$9) + CHOOSE(CONTROL!$C$38, 0.0369, 0)</f>
        <v>27.173299999999998</v>
      </c>
      <c r="H292" s="14">
        <f>27.1364 * CHOOSE(CONTROL!$C$15, $E$9, 100%, $G$9) + CHOOSE(CONTROL!$C$38, 0.0369, 0)</f>
        <v>27.173299999999998</v>
      </c>
      <c r="I292" s="14">
        <f>27.1379 * CHOOSE(CONTROL!$C$15, $E$9, 100%, $G$9) + CHOOSE(CONTROL!$C$38, 0.0369, 0)</f>
        <v>27.174799999999998</v>
      </c>
      <c r="J292" s="44">
        <f>206.6579</f>
        <v>206.65790000000001</v>
      </c>
    </row>
    <row r="293" spans="1:10" ht="15" x14ac:dyDescent="0.2">
      <c r="A293" s="34">
        <v>49827</v>
      </c>
      <c r="B293" s="14">
        <f>28.2212 * CHOOSE(CONTROL!$C$15, $E$9, 100%, $G$9) + CHOOSE(CONTROL!$C$38, 0.0278, 0)</f>
        <v>28.248999999999999</v>
      </c>
      <c r="C293" s="14">
        <f>26.5736 * CHOOSE(CONTROL!$C$15, $E$9, 100%, $G$9) + CHOOSE(CONTROL!$C$38, 0.0369, 0)</f>
        <v>26.610499999999998</v>
      </c>
      <c r="D293" s="14">
        <f>26.5658 * CHOOSE(CONTROL!$C$15, $E$9, 100%, $G$9) + CHOOSE(CONTROL!$C$38, 0.0369, 0)</f>
        <v>26.602699999999999</v>
      </c>
      <c r="E293" s="46">
        <f>28.0649 * CHOOSE(CONTROL!$C$15, $E$9, 100%, $G$9) + CHOOSE(CONTROL!$C$38, 0.0369, 0)</f>
        <v>28.101800000000001</v>
      </c>
      <c r="F293" s="45">
        <f>28.0649 * CHOOSE(CONTROL!$C$15, $E$9, 100%, $G$9) + CHOOSE(CONTROL!$C$38, 0.0278, 0)</f>
        <v>28.092700000000001</v>
      </c>
      <c r="G293" s="14">
        <f>26.572 * CHOOSE(CONTROL!$C$15, $E$9, 100%, $G$9) + CHOOSE(CONTROL!$C$38, 0.0369, 0)</f>
        <v>26.608899999999998</v>
      </c>
      <c r="H293" s="14">
        <f>26.572 * CHOOSE(CONTROL!$C$15, $E$9, 100%, $G$9) + CHOOSE(CONTROL!$C$38, 0.0369, 0)</f>
        <v>26.608899999999998</v>
      </c>
      <c r="I293" s="14">
        <f>26.5736 * CHOOSE(CONTROL!$C$15, $E$9, 100%, $G$9) + CHOOSE(CONTROL!$C$38, 0.0369, 0)</f>
        <v>26.610499999999998</v>
      </c>
      <c r="J293" s="44">
        <f>209.6356</f>
        <v>209.63560000000001</v>
      </c>
    </row>
    <row r="294" spans="1:10" ht="15" x14ac:dyDescent="0.2">
      <c r="A294" s="34">
        <v>49857</v>
      </c>
      <c r="B294" s="14">
        <f>27.8991 * CHOOSE(CONTROL!$C$15, $E$9, 100%, $G$9) + CHOOSE(CONTROL!$C$38, 0.0278, 0)</f>
        <v>27.9269</v>
      </c>
      <c r="C294" s="14">
        <f>26.2516 * CHOOSE(CONTROL!$C$15, $E$9, 100%, $G$9) + CHOOSE(CONTROL!$C$38, 0.0369, 0)</f>
        <v>26.288499999999999</v>
      </c>
      <c r="D294" s="14">
        <f>26.2437 * CHOOSE(CONTROL!$C$15, $E$9, 100%, $G$9) + CHOOSE(CONTROL!$C$38, 0.0369, 0)</f>
        <v>26.2806</v>
      </c>
      <c r="E294" s="46">
        <f>27.7429 * CHOOSE(CONTROL!$C$15, $E$9, 100%, $G$9) + CHOOSE(CONTROL!$C$38, 0.0369, 0)</f>
        <v>27.779799999999998</v>
      </c>
      <c r="F294" s="45">
        <f>27.7429 * CHOOSE(CONTROL!$C$15, $E$9, 100%, $G$9) + CHOOSE(CONTROL!$C$38, 0.0278, 0)</f>
        <v>27.770699999999998</v>
      </c>
      <c r="G294" s="14">
        <f>26.25 * CHOOSE(CONTROL!$C$15, $E$9, 100%, $G$9) + CHOOSE(CONTROL!$C$38, 0.0369, 0)</f>
        <v>26.286899999999999</v>
      </c>
      <c r="H294" s="14">
        <f>26.25 * CHOOSE(CONTROL!$C$15, $E$9, 100%, $G$9) + CHOOSE(CONTROL!$C$38, 0.0369, 0)</f>
        <v>26.286899999999999</v>
      </c>
      <c r="I294" s="14">
        <f>26.2516 * CHOOSE(CONTROL!$C$15, $E$9, 100%, $G$9) + CHOOSE(CONTROL!$C$38, 0.0369, 0)</f>
        <v>26.288499999999999</v>
      </c>
      <c r="J294" s="44">
        <f>208.6552</f>
        <v>208.65520000000001</v>
      </c>
    </row>
    <row r="295" spans="1:10" ht="15" x14ac:dyDescent="0.2">
      <c r="A295" s="34">
        <v>49888</v>
      </c>
      <c r="B295" s="14">
        <f>28.0581 * CHOOSE(CONTROL!$C$15, $E$9, 100%, $G$9) + CHOOSE(CONTROL!$C$38, 0.0278, 0)</f>
        <v>28.085899999999999</v>
      </c>
      <c r="C295" s="14">
        <f>26.4105 * CHOOSE(CONTROL!$C$15, $E$9, 100%, $G$9) + CHOOSE(CONTROL!$C$38, 0.0369, 0)</f>
        <v>26.447399999999998</v>
      </c>
      <c r="D295" s="14">
        <f>26.4027 * CHOOSE(CONTROL!$C$15, $E$9, 100%, $G$9) + CHOOSE(CONTROL!$C$38, 0.0369, 0)</f>
        <v>26.439599999999999</v>
      </c>
      <c r="E295" s="46">
        <f>27.9018 * CHOOSE(CONTROL!$C$15, $E$9, 100%, $G$9) + CHOOSE(CONTROL!$C$38, 0.0369, 0)</f>
        <v>27.938700000000001</v>
      </c>
      <c r="F295" s="45">
        <f>27.9018 * CHOOSE(CONTROL!$C$15, $E$9, 100%, $G$9) + CHOOSE(CONTROL!$C$38, 0.0278, 0)</f>
        <v>27.929600000000001</v>
      </c>
      <c r="G295" s="14">
        <f>26.4089 * CHOOSE(CONTROL!$C$15, $E$9, 100%, $G$9) + CHOOSE(CONTROL!$C$38, 0.0369, 0)</f>
        <v>26.445799999999998</v>
      </c>
      <c r="H295" s="14">
        <f>26.4089 * CHOOSE(CONTROL!$C$15, $E$9, 100%, $G$9) + CHOOSE(CONTROL!$C$38, 0.0369, 0)</f>
        <v>26.445799999999998</v>
      </c>
      <c r="I295" s="14">
        <f>26.4105 * CHOOSE(CONTROL!$C$15, $E$9, 100%, $G$9) + CHOOSE(CONTROL!$C$38, 0.0369, 0)</f>
        <v>26.447399999999998</v>
      </c>
      <c r="J295" s="44">
        <f>203.7978</f>
        <v>203.7978</v>
      </c>
    </row>
    <row r="296" spans="1:10" ht="15" x14ac:dyDescent="0.2">
      <c r="A296" s="34">
        <v>49919</v>
      </c>
      <c r="B296" s="14">
        <f>28.4898 * CHOOSE(CONTROL!$C$15, $E$9, 100%, $G$9) + CHOOSE(CONTROL!$C$38, 0.0278, 0)</f>
        <v>28.517599999999998</v>
      </c>
      <c r="C296" s="14">
        <f>26.8422 * CHOOSE(CONTROL!$C$15, $E$9, 100%, $G$9) + CHOOSE(CONTROL!$C$38, 0.0369, 0)</f>
        <v>26.879099999999998</v>
      </c>
      <c r="D296" s="14">
        <f>26.8344 * CHOOSE(CONTROL!$C$15, $E$9, 100%, $G$9) + CHOOSE(CONTROL!$C$38, 0.0369, 0)</f>
        <v>26.871299999999998</v>
      </c>
      <c r="E296" s="46">
        <f>28.3335 * CHOOSE(CONTROL!$C$15, $E$9, 100%, $G$9) + CHOOSE(CONTROL!$C$38, 0.0369, 0)</f>
        <v>28.3704</v>
      </c>
      <c r="F296" s="45">
        <f>28.3335 * CHOOSE(CONTROL!$C$15, $E$9, 100%, $G$9) + CHOOSE(CONTROL!$C$38, 0.0278, 0)</f>
        <v>28.3613</v>
      </c>
      <c r="G296" s="14">
        <f>26.8406 * CHOOSE(CONTROL!$C$15, $E$9, 100%, $G$9) + CHOOSE(CONTROL!$C$38, 0.0369, 0)</f>
        <v>26.877499999999998</v>
      </c>
      <c r="H296" s="14">
        <f>26.8406 * CHOOSE(CONTROL!$C$15, $E$9, 100%, $G$9) + CHOOSE(CONTROL!$C$38, 0.0369, 0)</f>
        <v>26.877499999999998</v>
      </c>
      <c r="I296" s="14">
        <f>26.8422 * CHOOSE(CONTROL!$C$15, $E$9, 100%, $G$9) + CHOOSE(CONTROL!$C$38, 0.0369, 0)</f>
        <v>26.879099999999998</v>
      </c>
      <c r="J296" s="44">
        <f>197.0239</f>
        <v>197.0239</v>
      </c>
    </row>
    <row r="297" spans="1:10" ht="15" x14ac:dyDescent="0.2">
      <c r="A297" s="34">
        <v>49949</v>
      </c>
      <c r="B297" s="14">
        <f>28.8513 * CHOOSE(CONTROL!$C$15, $E$9, 100%, $G$9) + CHOOSE(CONTROL!$C$38, 0.0256, 0)</f>
        <v>28.876899999999999</v>
      </c>
      <c r="C297" s="14">
        <f>27.2038 * CHOOSE(CONTROL!$C$15, $E$9, 100%, $G$9) + CHOOSE(CONTROL!$C$38, 0.0347, 0)</f>
        <v>27.238500000000002</v>
      </c>
      <c r="D297" s="14">
        <f>27.196 * CHOOSE(CONTROL!$C$15, $E$9, 100%, $G$9) + CHOOSE(CONTROL!$C$38, 0.0347, 0)</f>
        <v>27.230700000000002</v>
      </c>
      <c r="E297" s="46">
        <f>28.6951 * CHOOSE(CONTROL!$C$15, $E$9, 100%, $G$9) + CHOOSE(CONTROL!$C$38, 0.0347, 0)</f>
        <v>28.729800000000001</v>
      </c>
      <c r="F297" s="45">
        <f>28.6951 * CHOOSE(CONTROL!$C$15, $E$9, 100%, $G$9) + CHOOSE(CONTROL!$C$38, 0.0256, 0)</f>
        <v>28.720700000000001</v>
      </c>
      <c r="G297" s="14">
        <f>27.2022 * CHOOSE(CONTROL!$C$15, $E$9, 100%, $G$9) + CHOOSE(CONTROL!$C$38, 0.0347, 0)</f>
        <v>27.236900000000002</v>
      </c>
      <c r="H297" s="14">
        <f>27.2022 * CHOOSE(CONTROL!$C$15, $E$9, 100%, $G$9) + CHOOSE(CONTROL!$C$38, 0.0347, 0)</f>
        <v>27.236900000000002</v>
      </c>
      <c r="I297" s="14">
        <f>27.2038 * CHOOSE(CONTROL!$C$15, $E$9, 100%, $G$9) + CHOOSE(CONTROL!$C$38, 0.0347, 0)</f>
        <v>27.238500000000002</v>
      </c>
      <c r="J297" s="44">
        <f>190.2106</f>
        <v>190.2106</v>
      </c>
    </row>
    <row r="298" spans="1:10" ht="15" x14ac:dyDescent="0.2">
      <c r="A298" s="34">
        <v>49980</v>
      </c>
      <c r="B298" s="14">
        <f>29.153 * CHOOSE(CONTROL!$C$15, $E$9, 100%, $G$9) + CHOOSE(CONTROL!$C$38, 0.0256, 0)</f>
        <v>29.178599999999999</v>
      </c>
      <c r="C298" s="14">
        <f>27.5055 * CHOOSE(CONTROL!$C$15, $E$9, 100%, $G$9) + CHOOSE(CONTROL!$C$38, 0.0347, 0)</f>
        <v>27.540200000000002</v>
      </c>
      <c r="D298" s="14">
        <f>27.4977 * CHOOSE(CONTROL!$C$15, $E$9, 100%, $G$9) + CHOOSE(CONTROL!$C$38, 0.0347, 0)</f>
        <v>27.532399999999999</v>
      </c>
      <c r="E298" s="46">
        <f>28.9968 * CHOOSE(CONTROL!$C$15, $E$9, 100%, $G$9) + CHOOSE(CONTROL!$C$38, 0.0347, 0)</f>
        <v>29.031500000000001</v>
      </c>
      <c r="F298" s="45">
        <f>28.9968 * CHOOSE(CONTROL!$C$15, $E$9, 100%, $G$9) + CHOOSE(CONTROL!$C$38, 0.0256, 0)</f>
        <v>29.022400000000001</v>
      </c>
      <c r="G298" s="14">
        <f>27.5039 * CHOOSE(CONTROL!$C$15, $E$9, 100%, $G$9) + CHOOSE(CONTROL!$C$38, 0.0347, 0)</f>
        <v>27.538600000000002</v>
      </c>
      <c r="H298" s="14">
        <f>27.5039 * CHOOSE(CONTROL!$C$15, $E$9, 100%, $G$9) + CHOOSE(CONTROL!$C$38, 0.0347, 0)</f>
        <v>27.538600000000002</v>
      </c>
      <c r="I298" s="14">
        <f>27.5055 * CHOOSE(CONTROL!$C$15, $E$9, 100%, $G$9) + CHOOSE(CONTROL!$C$38, 0.0347, 0)</f>
        <v>27.540200000000002</v>
      </c>
      <c r="J298" s="44">
        <f>188.8553</f>
        <v>188.8553</v>
      </c>
    </row>
    <row r="299" spans="1:10" ht="15" x14ac:dyDescent="0.2">
      <c r="A299" s="34">
        <v>50010</v>
      </c>
      <c r="B299" s="14">
        <f>30.0827 * CHOOSE(CONTROL!$C$15, $E$9, 100%, $G$9) + CHOOSE(CONTROL!$C$38, 0.0256, 0)</f>
        <v>30.1083</v>
      </c>
      <c r="C299" s="14">
        <f>28.4351 * CHOOSE(CONTROL!$C$15, $E$9, 100%, $G$9) + CHOOSE(CONTROL!$C$38, 0.0347, 0)</f>
        <v>28.469799999999999</v>
      </c>
      <c r="D299" s="14">
        <f>28.4273 * CHOOSE(CONTROL!$C$15, $E$9, 100%, $G$9) + CHOOSE(CONTROL!$C$38, 0.0347, 0)</f>
        <v>28.462</v>
      </c>
      <c r="E299" s="46">
        <f>29.9265 * CHOOSE(CONTROL!$C$15, $E$9, 100%, $G$9) + CHOOSE(CONTROL!$C$38, 0.0347, 0)</f>
        <v>29.961200000000002</v>
      </c>
      <c r="F299" s="45">
        <f>29.9265 * CHOOSE(CONTROL!$C$15, $E$9, 100%, $G$9) + CHOOSE(CONTROL!$C$38, 0.0256, 0)</f>
        <v>29.952100000000002</v>
      </c>
      <c r="G299" s="14">
        <f>28.4336 * CHOOSE(CONTROL!$C$15, $E$9, 100%, $G$9) + CHOOSE(CONTROL!$C$38, 0.0347, 0)</f>
        <v>28.468299999999999</v>
      </c>
      <c r="H299" s="14">
        <f>28.4336 * CHOOSE(CONTROL!$C$15, $E$9, 100%, $G$9) + CHOOSE(CONTROL!$C$38, 0.0347, 0)</f>
        <v>28.468299999999999</v>
      </c>
      <c r="I299" s="14">
        <f>28.4351 * CHOOSE(CONTROL!$C$15, $E$9, 100%, $G$9) + CHOOSE(CONTROL!$C$38, 0.0347, 0)</f>
        <v>28.469799999999999</v>
      </c>
      <c r="J299" s="44">
        <f>183.251</f>
        <v>183.251</v>
      </c>
    </row>
    <row r="300" spans="1:10" ht="15" x14ac:dyDescent="0.2">
      <c r="A300" s="34">
        <v>50041</v>
      </c>
      <c r="B300" s="14">
        <f>31.2972 * CHOOSE(CONTROL!$C$15, $E$9, 100%, $G$9) + CHOOSE(CONTROL!$C$38, 0.0256, 0)</f>
        <v>31.322800000000001</v>
      </c>
      <c r="C300" s="14">
        <f>29.6246 * CHOOSE(CONTROL!$C$15, $E$9, 100%, $G$9) + CHOOSE(CONTROL!$C$38, 0.0347, 0)</f>
        <v>29.659300000000002</v>
      </c>
      <c r="D300" s="14">
        <f>29.6168 * CHOOSE(CONTROL!$C$15, $E$9, 100%, $G$9) + CHOOSE(CONTROL!$C$38, 0.0347, 0)</f>
        <v>29.651500000000002</v>
      </c>
      <c r="E300" s="46">
        <f>31.1409 * CHOOSE(CONTROL!$C$15, $E$9, 100%, $G$9) + CHOOSE(CONTROL!$C$38, 0.0347, 0)</f>
        <v>31.175599999999999</v>
      </c>
      <c r="F300" s="45">
        <f>31.1409 * CHOOSE(CONTROL!$C$15, $E$9, 100%, $G$9) + CHOOSE(CONTROL!$C$38, 0.0256, 0)</f>
        <v>31.166499999999999</v>
      </c>
      <c r="G300" s="14">
        <f>29.623 * CHOOSE(CONTROL!$C$15, $E$9, 100%, $G$9) + CHOOSE(CONTROL!$C$38, 0.0347, 0)</f>
        <v>29.657700000000002</v>
      </c>
      <c r="H300" s="14">
        <f>29.623 * CHOOSE(CONTROL!$C$15, $E$9, 100%, $G$9) + CHOOSE(CONTROL!$C$38, 0.0347, 0)</f>
        <v>29.657700000000002</v>
      </c>
      <c r="I300" s="14">
        <f>29.6246 * CHOOSE(CONTROL!$C$15, $E$9, 100%, $G$9) + CHOOSE(CONTROL!$C$38, 0.0347, 0)</f>
        <v>29.659300000000002</v>
      </c>
      <c r="J300" s="44">
        <f>183.1187</f>
        <v>183.11869999999999</v>
      </c>
    </row>
    <row r="301" spans="1:10" ht="15" x14ac:dyDescent="0.2">
      <c r="A301" s="34">
        <v>50072</v>
      </c>
      <c r="B301" s="14">
        <f>31.6415 * CHOOSE(CONTROL!$C$15, $E$9, 100%, $G$9) + CHOOSE(CONTROL!$C$38, 0.0256, 0)</f>
        <v>31.667100000000001</v>
      </c>
      <c r="C301" s="14">
        <f>29.9689 * CHOOSE(CONTROL!$C$15, $E$9, 100%, $G$9) + CHOOSE(CONTROL!$C$38, 0.0347, 0)</f>
        <v>30.003600000000002</v>
      </c>
      <c r="D301" s="14">
        <f>29.9611 * CHOOSE(CONTROL!$C$15, $E$9, 100%, $G$9) + CHOOSE(CONTROL!$C$38, 0.0347, 0)</f>
        <v>29.995799999999999</v>
      </c>
      <c r="E301" s="46">
        <f>31.4852 * CHOOSE(CONTROL!$C$15, $E$9, 100%, $G$9) + CHOOSE(CONTROL!$C$38, 0.0347, 0)</f>
        <v>31.5199</v>
      </c>
      <c r="F301" s="45">
        <f>31.4852 * CHOOSE(CONTROL!$C$15, $E$9, 100%, $G$9) + CHOOSE(CONTROL!$C$38, 0.0256, 0)</f>
        <v>31.5108</v>
      </c>
      <c r="G301" s="14">
        <f>29.9673 * CHOOSE(CONTROL!$C$15, $E$9, 100%, $G$9) + CHOOSE(CONTROL!$C$38, 0.0347, 0)</f>
        <v>30.002000000000002</v>
      </c>
      <c r="H301" s="14">
        <f>29.9673 * CHOOSE(CONTROL!$C$15, $E$9, 100%, $G$9) + CHOOSE(CONTROL!$C$38, 0.0347, 0)</f>
        <v>30.002000000000002</v>
      </c>
      <c r="I301" s="14">
        <f>29.9689 * CHOOSE(CONTROL!$C$15, $E$9, 100%, $G$9) + CHOOSE(CONTROL!$C$38, 0.0347, 0)</f>
        <v>30.003600000000002</v>
      </c>
      <c r="J301" s="44">
        <f>182.6097</f>
        <v>182.6097</v>
      </c>
    </row>
    <row r="302" spans="1:10" ht="15" x14ac:dyDescent="0.2">
      <c r="A302" s="34">
        <v>50100</v>
      </c>
      <c r="B302" s="14">
        <f>30.8445 * CHOOSE(CONTROL!$C$15, $E$9, 100%, $G$9) + CHOOSE(CONTROL!$C$38, 0.0256, 0)</f>
        <v>30.870100000000001</v>
      </c>
      <c r="C302" s="14">
        <f>29.1718 * CHOOSE(CONTROL!$C$15, $E$9, 100%, $G$9) + CHOOSE(CONTROL!$C$38, 0.0347, 0)</f>
        <v>29.206500000000002</v>
      </c>
      <c r="D302" s="14">
        <f>29.164 * CHOOSE(CONTROL!$C$15, $E$9, 100%, $G$9) + CHOOSE(CONTROL!$C$38, 0.0347, 0)</f>
        <v>29.198700000000002</v>
      </c>
      <c r="E302" s="46">
        <f>30.6882 * CHOOSE(CONTROL!$C$15, $E$9, 100%, $G$9) + CHOOSE(CONTROL!$C$38, 0.0347, 0)</f>
        <v>30.722899999999999</v>
      </c>
      <c r="F302" s="45">
        <f>30.6882 * CHOOSE(CONTROL!$C$15, $E$9, 100%, $G$9) + CHOOSE(CONTROL!$C$38, 0.0256, 0)</f>
        <v>30.713799999999999</v>
      </c>
      <c r="G302" s="14">
        <f>29.1703 * CHOOSE(CONTROL!$C$15, $E$9, 100%, $G$9) + CHOOSE(CONTROL!$C$38, 0.0347, 0)</f>
        <v>29.205000000000002</v>
      </c>
      <c r="H302" s="14">
        <f>29.1703 * CHOOSE(CONTROL!$C$15, $E$9, 100%, $G$9) + CHOOSE(CONTROL!$C$38, 0.0347, 0)</f>
        <v>29.205000000000002</v>
      </c>
      <c r="I302" s="14">
        <f>29.1718 * CHOOSE(CONTROL!$C$15, $E$9, 100%, $G$9) + CHOOSE(CONTROL!$C$38, 0.0347, 0)</f>
        <v>29.206500000000002</v>
      </c>
      <c r="J302" s="44">
        <f>192.2343</f>
        <v>192.23429999999999</v>
      </c>
    </row>
    <row r="303" spans="1:10" ht="15" x14ac:dyDescent="0.2">
      <c r="A303" s="34">
        <v>50131</v>
      </c>
      <c r="B303" s="14">
        <f>30.0722 * CHOOSE(CONTROL!$C$15, $E$9, 100%, $G$9) + CHOOSE(CONTROL!$C$38, 0.0256, 0)</f>
        <v>30.097799999999999</v>
      </c>
      <c r="C303" s="14">
        <f>28.3995 * CHOOSE(CONTROL!$C$15, $E$9, 100%, $G$9) + CHOOSE(CONTROL!$C$38, 0.0347, 0)</f>
        <v>28.434200000000001</v>
      </c>
      <c r="D303" s="14">
        <f>28.3917 * CHOOSE(CONTROL!$C$15, $E$9, 100%, $G$9) + CHOOSE(CONTROL!$C$38, 0.0347, 0)</f>
        <v>28.426400000000001</v>
      </c>
      <c r="E303" s="46">
        <f>29.9159 * CHOOSE(CONTROL!$C$15, $E$9, 100%, $G$9) + CHOOSE(CONTROL!$C$38, 0.0347, 0)</f>
        <v>29.950600000000001</v>
      </c>
      <c r="F303" s="45">
        <f>29.9159 * CHOOSE(CONTROL!$C$15, $E$9, 100%, $G$9) + CHOOSE(CONTROL!$C$38, 0.0256, 0)</f>
        <v>29.941500000000001</v>
      </c>
      <c r="G303" s="14">
        <f>28.398 * CHOOSE(CONTROL!$C$15, $E$9, 100%, $G$9) + CHOOSE(CONTROL!$C$38, 0.0347, 0)</f>
        <v>28.432700000000001</v>
      </c>
      <c r="H303" s="14">
        <f>28.398 * CHOOSE(CONTROL!$C$15, $E$9, 100%, $G$9) + CHOOSE(CONTROL!$C$38, 0.0347, 0)</f>
        <v>28.432700000000001</v>
      </c>
      <c r="I303" s="14">
        <f>28.3995 * CHOOSE(CONTROL!$C$15, $E$9, 100%, $G$9) + CHOOSE(CONTROL!$C$38, 0.0347, 0)</f>
        <v>28.434200000000001</v>
      </c>
      <c r="J303" s="44">
        <f>204.7151</f>
        <v>204.71510000000001</v>
      </c>
    </row>
    <row r="304" spans="1:10" ht="15" x14ac:dyDescent="0.2">
      <c r="A304" s="34">
        <v>50161</v>
      </c>
      <c r="B304" s="14">
        <f>29.2672 * CHOOSE(CONTROL!$C$15, $E$9, 100%, $G$9) + CHOOSE(CONTROL!$C$38, 0.0278, 0)</f>
        <v>29.294999999999998</v>
      </c>
      <c r="C304" s="14">
        <f>27.5946 * CHOOSE(CONTROL!$C$15, $E$9, 100%, $G$9) + CHOOSE(CONTROL!$C$38, 0.0369, 0)</f>
        <v>27.631499999999999</v>
      </c>
      <c r="D304" s="14">
        <f>27.5868 * CHOOSE(CONTROL!$C$15, $E$9, 100%, $G$9) + CHOOSE(CONTROL!$C$38, 0.0369, 0)</f>
        <v>27.623699999999999</v>
      </c>
      <c r="E304" s="46">
        <f>29.1109 * CHOOSE(CONTROL!$C$15, $E$9, 100%, $G$9) + CHOOSE(CONTROL!$C$38, 0.0369, 0)</f>
        <v>29.1478</v>
      </c>
      <c r="F304" s="45">
        <f>29.1109 * CHOOSE(CONTROL!$C$15, $E$9, 100%, $G$9) + CHOOSE(CONTROL!$C$38, 0.0278, 0)</f>
        <v>29.1387</v>
      </c>
      <c r="G304" s="14">
        <f>27.593 * CHOOSE(CONTROL!$C$15, $E$9, 100%, $G$9) + CHOOSE(CONTROL!$C$38, 0.0369, 0)</f>
        <v>27.629899999999999</v>
      </c>
      <c r="H304" s="14">
        <f>27.593 * CHOOSE(CONTROL!$C$15, $E$9, 100%, $G$9) + CHOOSE(CONTROL!$C$38, 0.0369, 0)</f>
        <v>27.629899999999999</v>
      </c>
      <c r="I304" s="14">
        <f>27.5946 * CHOOSE(CONTROL!$C$15, $E$9, 100%, $G$9) + CHOOSE(CONTROL!$C$38, 0.0369, 0)</f>
        <v>27.631499999999999</v>
      </c>
      <c r="J304" s="44">
        <f>211.5849</f>
        <v>211.5849</v>
      </c>
    </row>
    <row r="305" spans="1:10" ht="15" x14ac:dyDescent="0.2">
      <c r="A305" s="34">
        <v>50192</v>
      </c>
      <c r="B305" s="14">
        <f>28.7029 * CHOOSE(CONTROL!$C$15, $E$9, 100%, $G$9) + CHOOSE(CONTROL!$C$38, 0.0278, 0)</f>
        <v>28.730699999999999</v>
      </c>
      <c r="C305" s="14">
        <f>27.0302 * CHOOSE(CONTROL!$C$15, $E$9, 100%, $G$9) + CHOOSE(CONTROL!$C$38, 0.0369, 0)</f>
        <v>27.0671</v>
      </c>
      <c r="D305" s="14">
        <f>27.0224 * CHOOSE(CONTROL!$C$15, $E$9, 100%, $G$9) + CHOOSE(CONTROL!$C$38, 0.0369, 0)</f>
        <v>27.0593</v>
      </c>
      <c r="E305" s="46">
        <f>28.5466 * CHOOSE(CONTROL!$C$15, $E$9, 100%, $G$9) + CHOOSE(CONTROL!$C$38, 0.0369, 0)</f>
        <v>28.583500000000001</v>
      </c>
      <c r="F305" s="45">
        <f>28.5466 * CHOOSE(CONTROL!$C$15, $E$9, 100%, $G$9) + CHOOSE(CONTROL!$C$38, 0.0278, 0)</f>
        <v>28.574400000000001</v>
      </c>
      <c r="G305" s="14">
        <f>27.0287 * CHOOSE(CONTROL!$C$15, $E$9, 100%, $G$9) + CHOOSE(CONTROL!$C$38, 0.0369, 0)</f>
        <v>27.0656</v>
      </c>
      <c r="H305" s="14">
        <f>27.0287 * CHOOSE(CONTROL!$C$15, $E$9, 100%, $G$9) + CHOOSE(CONTROL!$C$38, 0.0369, 0)</f>
        <v>27.0656</v>
      </c>
      <c r="I305" s="14">
        <f>27.0302 * CHOOSE(CONTROL!$C$15, $E$9, 100%, $G$9) + CHOOSE(CONTROL!$C$38, 0.0369, 0)</f>
        <v>27.0671</v>
      </c>
      <c r="J305" s="44">
        <f>214.6336</f>
        <v>214.6336</v>
      </c>
    </row>
    <row r="306" spans="1:10" ht="15" x14ac:dyDescent="0.2">
      <c r="A306" s="34">
        <v>50222</v>
      </c>
      <c r="B306" s="14">
        <f>28.3808 * CHOOSE(CONTROL!$C$15, $E$9, 100%, $G$9) + CHOOSE(CONTROL!$C$38, 0.0278, 0)</f>
        <v>28.4086</v>
      </c>
      <c r="C306" s="14">
        <f>26.7082 * CHOOSE(CONTROL!$C$15, $E$9, 100%, $G$9) + CHOOSE(CONTROL!$C$38, 0.0369, 0)</f>
        <v>26.745100000000001</v>
      </c>
      <c r="D306" s="14">
        <f>26.7004 * CHOOSE(CONTROL!$C$15, $E$9, 100%, $G$9) + CHOOSE(CONTROL!$C$38, 0.0369, 0)</f>
        <v>26.737299999999998</v>
      </c>
      <c r="E306" s="46">
        <f>28.2245 * CHOOSE(CONTROL!$C$15, $E$9, 100%, $G$9) + CHOOSE(CONTROL!$C$38, 0.0369, 0)</f>
        <v>28.261399999999998</v>
      </c>
      <c r="F306" s="45">
        <f>28.2245 * CHOOSE(CONTROL!$C$15, $E$9, 100%, $G$9) + CHOOSE(CONTROL!$C$38, 0.0278, 0)</f>
        <v>28.252299999999998</v>
      </c>
      <c r="G306" s="14">
        <f>26.7066 * CHOOSE(CONTROL!$C$15, $E$9, 100%, $G$9) + CHOOSE(CONTROL!$C$38, 0.0369, 0)</f>
        <v>26.743500000000001</v>
      </c>
      <c r="H306" s="14">
        <f>26.7066 * CHOOSE(CONTROL!$C$15, $E$9, 100%, $G$9) + CHOOSE(CONTROL!$C$38, 0.0369, 0)</f>
        <v>26.743500000000001</v>
      </c>
      <c r="I306" s="14">
        <f>26.7082 * CHOOSE(CONTROL!$C$15, $E$9, 100%, $G$9) + CHOOSE(CONTROL!$C$38, 0.0369, 0)</f>
        <v>26.745100000000001</v>
      </c>
      <c r="J306" s="44">
        <f>213.6299</f>
        <v>213.62989999999999</v>
      </c>
    </row>
    <row r="307" spans="1:10" ht="15" x14ac:dyDescent="0.2">
      <c r="A307" s="34">
        <v>50253</v>
      </c>
      <c r="B307" s="14">
        <f>28.5397 * CHOOSE(CONTROL!$C$15, $E$9, 100%, $G$9) + CHOOSE(CONTROL!$C$38, 0.0278, 0)</f>
        <v>28.567499999999999</v>
      </c>
      <c r="C307" s="14">
        <f>26.8671 * CHOOSE(CONTROL!$C$15, $E$9, 100%, $G$9) + CHOOSE(CONTROL!$C$38, 0.0369, 0)</f>
        <v>26.904</v>
      </c>
      <c r="D307" s="14">
        <f>26.8593 * CHOOSE(CONTROL!$C$15, $E$9, 100%, $G$9) + CHOOSE(CONTROL!$C$38, 0.0369, 0)</f>
        <v>26.8962</v>
      </c>
      <c r="E307" s="46">
        <f>28.3835 * CHOOSE(CONTROL!$C$15, $E$9, 100%, $G$9) + CHOOSE(CONTROL!$C$38, 0.0369, 0)</f>
        <v>28.420400000000001</v>
      </c>
      <c r="F307" s="45">
        <f>28.3835 * CHOOSE(CONTROL!$C$15, $E$9, 100%, $G$9) + CHOOSE(CONTROL!$C$38, 0.0278, 0)</f>
        <v>28.411300000000001</v>
      </c>
      <c r="G307" s="14">
        <f>26.8656 * CHOOSE(CONTROL!$C$15, $E$9, 100%, $G$9) + CHOOSE(CONTROL!$C$38, 0.0369, 0)</f>
        <v>26.9025</v>
      </c>
      <c r="H307" s="14">
        <f>26.8656 * CHOOSE(CONTROL!$C$15, $E$9, 100%, $G$9) + CHOOSE(CONTROL!$C$38, 0.0369, 0)</f>
        <v>26.9025</v>
      </c>
      <c r="I307" s="14">
        <f>26.8671 * CHOOSE(CONTROL!$C$15, $E$9, 100%, $G$9) + CHOOSE(CONTROL!$C$38, 0.0369, 0)</f>
        <v>26.904</v>
      </c>
      <c r="J307" s="44">
        <f>208.6567</f>
        <v>208.6567</v>
      </c>
    </row>
    <row r="308" spans="1:10" ht="15" x14ac:dyDescent="0.2">
      <c r="A308" s="34">
        <v>50284</v>
      </c>
      <c r="B308" s="14">
        <f>28.9715 * CHOOSE(CONTROL!$C$15, $E$9, 100%, $G$9) + CHOOSE(CONTROL!$C$38, 0.0278, 0)</f>
        <v>28.999299999999998</v>
      </c>
      <c r="C308" s="14">
        <f>27.2988 * CHOOSE(CONTROL!$C$15, $E$9, 100%, $G$9) + CHOOSE(CONTROL!$C$38, 0.0369, 0)</f>
        <v>27.335699999999999</v>
      </c>
      <c r="D308" s="14">
        <f>27.291 * CHOOSE(CONTROL!$C$15, $E$9, 100%, $G$9) + CHOOSE(CONTROL!$C$38, 0.0369, 0)</f>
        <v>27.3279</v>
      </c>
      <c r="E308" s="46">
        <f>28.8152 * CHOOSE(CONTROL!$C$15, $E$9, 100%, $G$9) + CHOOSE(CONTROL!$C$38, 0.0369, 0)</f>
        <v>28.8521</v>
      </c>
      <c r="F308" s="45">
        <f>28.8152 * CHOOSE(CONTROL!$C$15, $E$9, 100%, $G$9) + CHOOSE(CONTROL!$C$38, 0.0278, 0)</f>
        <v>28.843</v>
      </c>
      <c r="G308" s="14">
        <f>27.2973 * CHOOSE(CONTROL!$C$15, $E$9, 100%, $G$9) + CHOOSE(CONTROL!$C$38, 0.0369, 0)</f>
        <v>27.334199999999999</v>
      </c>
      <c r="H308" s="14">
        <f>27.2973 * CHOOSE(CONTROL!$C$15, $E$9, 100%, $G$9) + CHOOSE(CONTROL!$C$38, 0.0369, 0)</f>
        <v>27.334199999999999</v>
      </c>
      <c r="I308" s="14">
        <f>27.2988 * CHOOSE(CONTROL!$C$15, $E$9, 100%, $G$9) + CHOOSE(CONTROL!$C$38, 0.0369, 0)</f>
        <v>27.335699999999999</v>
      </c>
      <c r="J308" s="44">
        <f>201.7213</f>
        <v>201.72130000000001</v>
      </c>
    </row>
    <row r="309" spans="1:10" ht="15" x14ac:dyDescent="0.2">
      <c r="A309" s="34">
        <v>50314</v>
      </c>
      <c r="B309" s="14">
        <f>29.333 * CHOOSE(CONTROL!$C$15, $E$9, 100%, $G$9) + CHOOSE(CONTROL!$C$38, 0.0256, 0)</f>
        <v>29.358599999999999</v>
      </c>
      <c r="C309" s="14">
        <f>27.6604 * CHOOSE(CONTROL!$C$15, $E$9, 100%, $G$9) + CHOOSE(CONTROL!$C$38, 0.0347, 0)</f>
        <v>27.6951</v>
      </c>
      <c r="D309" s="14">
        <f>27.6526 * CHOOSE(CONTROL!$C$15, $E$9, 100%, $G$9) + CHOOSE(CONTROL!$C$38, 0.0347, 0)</f>
        <v>27.6873</v>
      </c>
      <c r="E309" s="46">
        <f>29.1768 * CHOOSE(CONTROL!$C$15, $E$9, 100%, $G$9) + CHOOSE(CONTROL!$C$38, 0.0347, 0)</f>
        <v>29.211500000000001</v>
      </c>
      <c r="F309" s="45">
        <f>29.1768 * CHOOSE(CONTROL!$C$15, $E$9, 100%, $G$9) + CHOOSE(CONTROL!$C$38, 0.0256, 0)</f>
        <v>29.202400000000001</v>
      </c>
      <c r="G309" s="14">
        <f>27.6588 * CHOOSE(CONTROL!$C$15, $E$9, 100%, $G$9) + CHOOSE(CONTROL!$C$38, 0.0347, 0)</f>
        <v>27.6935</v>
      </c>
      <c r="H309" s="14">
        <f>27.6588 * CHOOSE(CONTROL!$C$15, $E$9, 100%, $G$9) + CHOOSE(CONTROL!$C$38, 0.0347, 0)</f>
        <v>27.6935</v>
      </c>
      <c r="I309" s="14">
        <f>27.6604 * CHOOSE(CONTROL!$C$15, $E$9, 100%, $G$9) + CHOOSE(CONTROL!$C$38, 0.0347, 0)</f>
        <v>27.6951</v>
      </c>
      <c r="J309" s="44">
        <f>194.7455</f>
        <v>194.74549999999999</v>
      </c>
    </row>
    <row r="310" spans="1:10" ht="15" x14ac:dyDescent="0.2">
      <c r="A310" s="34">
        <v>50345</v>
      </c>
      <c r="B310" s="14">
        <f>29.6347 * CHOOSE(CONTROL!$C$15, $E$9, 100%, $G$9) + CHOOSE(CONTROL!$C$38, 0.0256, 0)</f>
        <v>29.660299999999999</v>
      </c>
      <c r="C310" s="14">
        <f>27.9621 * CHOOSE(CONTROL!$C$15, $E$9, 100%, $G$9) + CHOOSE(CONTROL!$C$38, 0.0347, 0)</f>
        <v>27.9968</v>
      </c>
      <c r="D310" s="14">
        <f>27.9543 * CHOOSE(CONTROL!$C$15, $E$9, 100%, $G$9) + CHOOSE(CONTROL!$C$38, 0.0347, 0)</f>
        <v>27.989000000000001</v>
      </c>
      <c r="E310" s="46">
        <f>29.4785 * CHOOSE(CONTROL!$C$15, $E$9, 100%, $G$9) + CHOOSE(CONTROL!$C$38, 0.0347, 0)</f>
        <v>29.513200000000001</v>
      </c>
      <c r="F310" s="45">
        <f>29.4785 * CHOOSE(CONTROL!$C$15, $E$9, 100%, $G$9) + CHOOSE(CONTROL!$C$38, 0.0256, 0)</f>
        <v>29.504100000000001</v>
      </c>
      <c r="G310" s="14">
        <f>27.9605 * CHOOSE(CONTROL!$C$15, $E$9, 100%, $G$9) + CHOOSE(CONTROL!$C$38, 0.0347, 0)</f>
        <v>27.995200000000001</v>
      </c>
      <c r="H310" s="14">
        <f>27.9605 * CHOOSE(CONTROL!$C$15, $E$9, 100%, $G$9) + CHOOSE(CONTROL!$C$38, 0.0347, 0)</f>
        <v>27.995200000000001</v>
      </c>
      <c r="I310" s="14">
        <f>27.9621 * CHOOSE(CONTROL!$C$15, $E$9, 100%, $G$9) + CHOOSE(CONTROL!$C$38, 0.0347, 0)</f>
        <v>27.9968</v>
      </c>
      <c r="J310" s="44">
        <f>193.3579</f>
        <v>193.3579</v>
      </c>
    </row>
    <row r="311" spans="1:10" ht="15" x14ac:dyDescent="0.2">
      <c r="A311" s="34">
        <v>50375</v>
      </c>
      <c r="B311" s="14">
        <f>30.5644 * CHOOSE(CONTROL!$C$15, $E$9, 100%, $G$9) + CHOOSE(CONTROL!$C$38, 0.0256, 0)</f>
        <v>30.59</v>
      </c>
      <c r="C311" s="14">
        <f>28.8918 * CHOOSE(CONTROL!$C$15, $E$9, 100%, $G$9) + CHOOSE(CONTROL!$C$38, 0.0347, 0)</f>
        <v>28.926500000000001</v>
      </c>
      <c r="D311" s="14">
        <f>28.884 * CHOOSE(CONTROL!$C$15, $E$9, 100%, $G$9) + CHOOSE(CONTROL!$C$38, 0.0347, 0)</f>
        <v>28.918700000000001</v>
      </c>
      <c r="E311" s="46">
        <f>30.4081 * CHOOSE(CONTROL!$C$15, $E$9, 100%, $G$9) + CHOOSE(CONTROL!$C$38, 0.0347, 0)</f>
        <v>30.442800000000002</v>
      </c>
      <c r="F311" s="45">
        <f>30.4081 * CHOOSE(CONTROL!$C$15, $E$9, 100%, $G$9) + CHOOSE(CONTROL!$C$38, 0.0256, 0)</f>
        <v>30.433700000000002</v>
      </c>
      <c r="G311" s="14">
        <f>28.8902 * CHOOSE(CONTROL!$C$15, $E$9, 100%, $G$9) + CHOOSE(CONTROL!$C$38, 0.0347, 0)</f>
        <v>28.924900000000001</v>
      </c>
      <c r="H311" s="14">
        <f>28.8902 * CHOOSE(CONTROL!$C$15, $E$9, 100%, $G$9) + CHOOSE(CONTROL!$C$38, 0.0347, 0)</f>
        <v>28.924900000000001</v>
      </c>
      <c r="I311" s="14">
        <f>28.8918 * CHOOSE(CONTROL!$C$15, $E$9, 100%, $G$9) + CHOOSE(CONTROL!$C$38, 0.0347, 0)</f>
        <v>28.926500000000001</v>
      </c>
      <c r="J311" s="44">
        <f>187.62</f>
        <v>187.62</v>
      </c>
    </row>
    <row r="312" spans="1:10" ht="15.75" x14ac:dyDescent="0.25">
      <c r="A312" s="33">
        <v>50436</v>
      </c>
      <c r="B312" s="14">
        <f>31.787 * CHOOSE(CONTROL!$C$15, $E$9, 100%, $G$9) + CHOOSE(CONTROL!$C$38, 0.0256, 0)</f>
        <v>31.8126</v>
      </c>
      <c r="C312" s="14">
        <f>30.0889 * CHOOSE(CONTROL!$C$15, $E$9, 100%, $G$9) + CHOOSE(CONTROL!$C$38, 0.0347, 0)</f>
        <v>30.1236</v>
      </c>
      <c r="D312" s="14">
        <f>30.0811 * CHOOSE(CONTROL!$C$15, $E$9, 100%, $G$9) + CHOOSE(CONTROL!$C$38, 0.0347, 0)</f>
        <v>30.1158</v>
      </c>
      <c r="E312" s="46">
        <f>31.6307 * CHOOSE(CONTROL!$C$15, $E$9, 100%, $G$9) + CHOOSE(CONTROL!$C$38, 0.0347, 0)</f>
        <v>31.665400000000002</v>
      </c>
      <c r="F312" s="45">
        <f>31.6307 * CHOOSE(CONTROL!$C$15, $E$9, 100%, $G$9) + CHOOSE(CONTROL!$C$38, 0.0256, 0)</f>
        <v>31.656300000000002</v>
      </c>
      <c r="G312" s="14">
        <f>30.0873 * CHOOSE(CONTROL!$C$15, $E$9, 100%, $G$9) + CHOOSE(CONTROL!$C$38, 0.0347, 0)</f>
        <v>30.122</v>
      </c>
      <c r="H312" s="14">
        <f>30.0873 * CHOOSE(CONTROL!$C$15, $E$9, 100%, $G$9) + CHOOSE(CONTROL!$C$38, 0.0347, 0)</f>
        <v>30.122</v>
      </c>
      <c r="I312" s="14">
        <f>30.0889 * CHOOSE(CONTROL!$C$15, $E$9, 100%, $G$9) + CHOOSE(CONTROL!$C$38, 0.0347, 0)</f>
        <v>30.1236</v>
      </c>
      <c r="J312" s="44">
        <f>187.4846</f>
        <v>187.4846</v>
      </c>
    </row>
    <row r="313" spans="1:10" ht="15.75" x14ac:dyDescent="0.25">
      <c r="A313" s="33">
        <v>50464</v>
      </c>
      <c r="B313" s="14">
        <f>32.1313 * CHOOSE(CONTROL!$C$15, $E$9, 100%, $G$9) + CHOOSE(CONTROL!$C$38, 0.0256, 0)</f>
        <v>32.1569</v>
      </c>
      <c r="C313" s="14">
        <f>30.4332 * CHOOSE(CONTROL!$C$15, $E$9, 100%, $G$9) + CHOOSE(CONTROL!$C$38, 0.0347, 0)</f>
        <v>30.4679</v>
      </c>
      <c r="D313" s="14">
        <f>30.4254 * CHOOSE(CONTROL!$C$15, $E$9, 100%, $G$9) + CHOOSE(CONTROL!$C$38, 0.0347, 0)</f>
        <v>30.460100000000001</v>
      </c>
      <c r="E313" s="46">
        <f>31.975 * CHOOSE(CONTROL!$C$15, $E$9, 100%, $G$9) + CHOOSE(CONTROL!$C$38, 0.0347, 0)</f>
        <v>32.009700000000002</v>
      </c>
      <c r="F313" s="45">
        <f>31.975 * CHOOSE(CONTROL!$C$15, $E$9, 100%, $G$9) + CHOOSE(CONTROL!$C$38, 0.0256, 0)</f>
        <v>32.000599999999999</v>
      </c>
      <c r="G313" s="14">
        <f>30.4316 * CHOOSE(CONTROL!$C$15, $E$9, 100%, $G$9) + CHOOSE(CONTROL!$C$38, 0.0347, 0)</f>
        <v>30.4663</v>
      </c>
      <c r="H313" s="14">
        <f>30.4316 * CHOOSE(CONTROL!$C$15, $E$9, 100%, $G$9) + CHOOSE(CONTROL!$C$38, 0.0347, 0)</f>
        <v>30.4663</v>
      </c>
      <c r="I313" s="14">
        <f>30.4332 * CHOOSE(CONTROL!$C$15, $E$9, 100%, $G$9) + CHOOSE(CONTROL!$C$38, 0.0347, 0)</f>
        <v>30.4679</v>
      </c>
      <c r="J313" s="44">
        <f>186.9634</f>
        <v>186.96340000000001</v>
      </c>
    </row>
    <row r="314" spans="1:10" ht="15.75" x14ac:dyDescent="0.25">
      <c r="A314" s="33">
        <v>50495</v>
      </c>
      <c r="B314" s="14">
        <f>31.3342 * CHOOSE(CONTROL!$C$15, $E$9, 100%, $G$9) + CHOOSE(CONTROL!$C$38, 0.0256, 0)</f>
        <v>31.3598</v>
      </c>
      <c r="C314" s="14">
        <f>29.6361 * CHOOSE(CONTROL!$C$15, $E$9, 100%, $G$9) + CHOOSE(CONTROL!$C$38, 0.0347, 0)</f>
        <v>29.6708</v>
      </c>
      <c r="D314" s="14">
        <f>29.6283 * CHOOSE(CONTROL!$C$15, $E$9, 100%, $G$9) + CHOOSE(CONTROL!$C$38, 0.0347, 0)</f>
        <v>29.663</v>
      </c>
      <c r="E314" s="46">
        <f>31.178 * CHOOSE(CONTROL!$C$15, $E$9, 100%, $G$9) + CHOOSE(CONTROL!$C$38, 0.0347, 0)</f>
        <v>31.212700000000002</v>
      </c>
      <c r="F314" s="45">
        <f>31.178 * CHOOSE(CONTROL!$C$15, $E$9, 100%, $G$9) + CHOOSE(CONTROL!$C$38, 0.0256, 0)</f>
        <v>31.203600000000002</v>
      </c>
      <c r="G314" s="14">
        <f>29.6346 * CHOOSE(CONTROL!$C$15, $E$9, 100%, $G$9) + CHOOSE(CONTROL!$C$38, 0.0347, 0)</f>
        <v>29.6693</v>
      </c>
      <c r="H314" s="14">
        <f>29.6346 * CHOOSE(CONTROL!$C$15, $E$9, 100%, $G$9) + CHOOSE(CONTROL!$C$38, 0.0347, 0)</f>
        <v>29.6693</v>
      </c>
      <c r="I314" s="14">
        <f>29.6361 * CHOOSE(CONTROL!$C$15, $E$9, 100%, $G$9) + CHOOSE(CONTROL!$C$38, 0.0347, 0)</f>
        <v>29.6708</v>
      </c>
      <c r="J314" s="44">
        <f>196.8175</f>
        <v>196.8175</v>
      </c>
    </row>
    <row r="315" spans="1:10" ht="15.75" x14ac:dyDescent="0.25">
      <c r="A315" s="33">
        <v>50525</v>
      </c>
      <c r="B315" s="14">
        <f>30.5619 * CHOOSE(CONTROL!$C$15, $E$9, 100%, $G$9) + CHOOSE(CONTROL!$C$38, 0.0256, 0)</f>
        <v>30.587500000000002</v>
      </c>
      <c r="C315" s="14">
        <f>28.8638 * CHOOSE(CONTROL!$C$15, $E$9, 100%, $G$9) + CHOOSE(CONTROL!$C$38, 0.0347, 0)</f>
        <v>28.898500000000002</v>
      </c>
      <c r="D315" s="14">
        <f>28.856 * CHOOSE(CONTROL!$C$15, $E$9, 100%, $G$9) + CHOOSE(CONTROL!$C$38, 0.0347, 0)</f>
        <v>28.890700000000002</v>
      </c>
      <c r="E315" s="46">
        <f>30.4057 * CHOOSE(CONTROL!$C$15, $E$9, 100%, $G$9) + CHOOSE(CONTROL!$C$38, 0.0347, 0)</f>
        <v>30.4404</v>
      </c>
      <c r="F315" s="45">
        <f>30.4057 * CHOOSE(CONTROL!$C$15, $E$9, 100%, $G$9) + CHOOSE(CONTROL!$C$38, 0.0256, 0)</f>
        <v>30.4313</v>
      </c>
      <c r="G315" s="14">
        <f>28.8623 * CHOOSE(CONTROL!$C$15, $E$9, 100%, $G$9) + CHOOSE(CONTROL!$C$38, 0.0347, 0)</f>
        <v>28.897000000000002</v>
      </c>
      <c r="H315" s="14">
        <f>28.8623 * CHOOSE(CONTROL!$C$15, $E$9, 100%, $G$9) + CHOOSE(CONTROL!$C$38, 0.0347, 0)</f>
        <v>28.897000000000002</v>
      </c>
      <c r="I315" s="14">
        <f>28.8638 * CHOOSE(CONTROL!$C$15, $E$9, 100%, $G$9) + CHOOSE(CONTROL!$C$38, 0.0347, 0)</f>
        <v>28.898500000000002</v>
      </c>
      <c r="J315" s="44">
        <f>209.5958</f>
        <v>209.5958</v>
      </c>
    </row>
    <row r="316" spans="1:10" ht="15.75" x14ac:dyDescent="0.25">
      <c r="A316" s="33">
        <v>50556</v>
      </c>
      <c r="B316" s="14">
        <f>29.757 * CHOOSE(CONTROL!$C$15, $E$9, 100%, $G$9) + CHOOSE(CONTROL!$C$38, 0.0278, 0)</f>
        <v>29.784800000000001</v>
      </c>
      <c r="C316" s="14">
        <f>28.0589 * CHOOSE(CONTROL!$C$15, $E$9, 100%, $G$9) + CHOOSE(CONTROL!$C$38, 0.0369, 0)</f>
        <v>28.095800000000001</v>
      </c>
      <c r="D316" s="14">
        <f>28.0511 * CHOOSE(CONTROL!$C$15, $E$9, 100%, $G$9) + CHOOSE(CONTROL!$C$38, 0.0369, 0)</f>
        <v>28.088000000000001</v>
      </c>
      <c r="E316" s="46">
        <f>29.6007 * CHOOSE(CONTROL!$C$15, $E$9, 100%, $G$9) + CHOOSE(CONTROL!$C$38, 0.0369, 0)</f>
        <v>29.637599999999999</v>
      </c>
      <c r="F316" s="45">
        <f>29.6007 * CHOOSE(CONTROL!$C$15, $E$9, 100%, $G$9) + CHOOSE(CONTROL!$C$38, 0.0278, 0)</f>
        <v>29.628499999999999</v>
      </c>
      <c r="G316" s="14">
        <f>28.0573 * CHOOSE(CONTROL!$C$15, $E$9, 100%, $G$9) + CHOOSE(CONTROL!$C$38, 0.0369, 0)</f>
        <v>28.094200000000001</v>
      </c>
      <c r="H316" s="14">
        <f>28.0573 * CHOOSE(CONTROL!$C$15, $E$9, 100%, $G$9) + CHOOSE(CONTROL!$C$38, 0.0369, 0)</f>
        <v>28.094200000000001</v>
      </c>
      <c r="I316" s="14">
        <f>28.0589 * CHOOSE(CONTROL!$C$15, $E$9, 100%, $G$9) + CHOOSE(CONTROL!$C$38, 0.0369, 0)</f>
        <v>28.095800000000001</v>
      </c>
      <c r="J316" s="44">
        <f>216.6294</f>
        <v>216.6294</v>
      </c>
    </row>
    <row r="317" spans="1:10" ht="15.75" x14ac:dyDescent="0.25">
      <c r="A317" s="33">
        <v>50586</v>
      </c>
      <c r="B317" s="14">
        <f>29.1926 * CHOOSE(CONTROL!$C$15, $E$9, 100%, $G$9) + CHOOSE(CONTROL!$C$38, 0.0278, 0)</f>
        <v>29.220399999999998</v>
      </c>
      <c r="C317" s="14">
        <f>27.4945 * CHOOSE(CONTROL!$C$15, $E$9, 100%, $G$9) + CHOOSE(CONTROL!$C$38, 0.0369, 0)</f>
        <v>27.531399999999998</v>
      </c>
      <c r="D317" s="14">
        <f>27.4867 * CHOOSE(CONTROL!$C$15, $E$9, 100%, $G$9) + CHOOSE(CONTROL!$C$38, 0.0369, 0)</f>
        <v>27.523599999999998</v>
      </c>
      <c r="E317" s="46">
        <f>29.0364 * CHOOSE(CONTROL!$C$15, $E$9, 100%, $G$9) + CHOOSE(CONTROL!$C$38, 0.0369, 0)</f>
        <v>29.0733</v>
      </c>
      <c r="F317" s="45">
        <f>29.0364 * CHOOSE(CONTROL!$C$15, $E$9, 100%, $G$9) + CHOOSE(CONTROL!$C$38, 0.0278, 0)</f>
        <v>29.0642</v>
      </c>
      <c r="G317" s="14">
        <f>27.493 * CHOOSE(CONTROL!$C$15, $E$9, 100%, $G$9) + CHOOSE(CONTROL!$C$38, 0.0369, 0)</f>
        <v>27.529899999999998</v>
      </c>
      <c r="H317" s="14">
        <f>27.493 * CHOOSE(CONTROL!$C$15, $E$9, 100%, $G$9) + CHOOSE(CONTROL!$C$38, 0.0369, 0)</f>
        <v>27.529899999999998</v>
      </c>
      <c r="I317" s="14">
        <f>27.4945 * CHOOSE(CONTROL!$C$15, $E$9, 100%, $G$9) + CHOOSE(CONTROL!$C$38, 0.0369, 0)</f>
        <v>27.531399999999998</v>
      </c>
      <c r="J317" s="44">
        <f>219.7508</f>
        <v>219.7508</v>
      </c>
    </row>
    <row r="318" spans="1:10" ht="15.75" x14ac:dyDescent="0.25">
      <c r="A318" s="33">
        <v>50617</v>
      </c>
      <c r="B318" s="14">
        <f>28.8706 * CHOOSE(CONTROL!$C$15, $E$9, 100%, $G$9) + CHOOSE(CONTROL!$C$38, 0.0278, 0)</f>
        <v>28.898399999999999</v>
      </c>
      <c r="C318" s="14">
        <f>27.1725 * CHOOSE(CONTROL!$C$15, $E$9, 100%, $G$9) + CHOOSE(CONTROL!$C$38, 0.0369, 0)</f>
        <v>27.209399999999999</v>
      </c>
      <c r="D318" s="14">
        <f>27.1647 * CHOOSE(CONTROL!$C$15, $E$9, 100%, $G$9) + CHOOSE(CONTROL!$C$38, 0.0369, 0)</f>
        <v>27.201599999999999</v>
      </c>
      <c r="E318" s="46">
        <f>28.7143 * CHOOSE(CONTROL!$C$15, $E$9, 100%, $G$9) + CHOOSE(CONTROL!$C$38, 0.0369, 0)</f>
        <v>28.751200000000001</v>
      </c>
      <c r="F318" s="45">
        <f>28.7143 * CHOOSE(CONTROL!$C$15, $E$9, 100%, $G$9) + CHOOSE(CONTROL!$C$38, 0.0278, 0)</f>
        <v>28.742100000000001</v>
      </c>
      <c r="G318" s="14">
        <f>27.1709 * CHOOSE(CONTROL!$C$15, $E$9, 100%, $G$9) + CHOOSE(CONTROL!$C$38, 0.0369, 0)</f>
        <v>27.207799999999999</v>
      </c>
      <c r="H318" s="14">
        <f>27.1709 * CHOOSE(CONTROL!$C$15, $E$9, 100%, $G$9) + CHOOSE(CONTROL!$C$38, 0.0369, 0)</f>
        <v>27.207799999999999</v>
      </c>
      <c r="I318" s="14">
        <f>27.1725 * CHOOSE(CONTROL!$C$15, $E$9, 100%, $G$9) + CHOOSE(CONTROL!$C$38, 0.0369, 0)</f>
        <v>27.209399999999999</v>
      </c>
      <c r="J318" s="44">
        <f>218.7231</f>
        <v>218.72309999999999</v>
      </c>
    </row>
    <row r="319" spans="1:10" ht="15.75" x14ac:dyDescent="0.25">
      <c r="A319" s="33">
        <v>50648</v>
      </c>
      <c r="B319" s="14">
        <f>29.0295 * CHOOSE(CONTROL!$C$15, $E$9, 100%, $G$9) + CHOOSE(CONTROL!$C$38, 0.0278, 0)</f>
        <v>29.057299999999998</v>
      </c>
      <c r="C319" s="14">
        <f>27.3314 * CHOOSE(CONTROL!$C$15, $E$9, 100%, $G$9) + CHOOSE(CONTROL!$C$38, 0.0369, 0)</f>
        <v>27.368299999999998</v>
      </c>
      <c r="D319" s="14">
        <f>27.3236 * CHOOSE(CONTROL!$C$15, $E$9, 100%, $G$9) + CHOOSE(CONTROL!$C$38, 0.0369, 0)</f>
        <v>27.360499999999998</v>
      </c>
      <c r="E319" s="46">
        <f>28.8733 * CHOOSE(CONTROL!$C$15, $E$9, 100%, $G$9) + CHOOSE(CONTROL!$C$38, 0.0369, 0)</f>
        <v>28.9102</v>
      </c>
      <c r="F319" s="45">
        <f>28.8733 * CHOOSE(CONTROL!$C$15, $E$9, 100%, $G$9) + CHOOSE(CONTROL!$C$38, 0.0278, 0)</f>
        <v>28.9011</v>
      </c>
      <c r="G319" s="14">
        <f>27.3299 * CHOOSE(CONTROL!$C$15, $E$9, 100%, $G$9) + CHOOSE(CONTROL!$C$38, 0.0369, 0)</f>
        <v>27.366799999999998</v>
      </c>
      <c r="H319" s="14">
        <f>27.3299 * CHOOSE(CONTROL!$C$15, $E$9, 100%, $G$9) + CHOOSE(CONTROL!$C$38, 0.0369, 0)</f>
        <v>27.366799999999998</v>
      </c>
      <c r="I319" s="14">
        <f>27.3314 * CHOOSE(CONTROL!$C$15, $E$9, 100%, $G$9) + CHOOSE(CONTROL!$C$38, 0.0369, 0)</f>
        <v>27.368299999999998</v>
      </c>
      <c r="J319" s="44">
        <f>213.6313</f>
        <v>213.63130000000001</v>
      </c>
    </row>
    <row r="320" spans="1:10" ht="15.75" x14ac:dyDescent="0.25">
      <c r="A320" s="33">
        <v>50678</v>
      </c>
      <c r="B320" s="14">
        <f>29.4612 * CHOOSE(CONTROL!$C$15, $E$9, 100%, $G$9) + CHOOSE(CONTROL!$C$38, 0.0278, 0)</f>
        <v>29.489000000000001</v>
      </c>
      <c r="C320" s="14">
        <f>27.7631 * CHOOSE(CONTROL!$C$15, $E$9, 100%, $G$9) + CHOOSE(CONTROL!$C$38, 0.0369, 0)</f>
        <v>27.8</v>
      </c>
      <c r="D320" s="14">
        <f>27.7553 * CHOOSE(CONTROL!$C$15, $E$9, 100%, $G$9) + CHOOSE(CONTROL!$C$38, 0.0369, 0)</f>
        <v>27.792199999999998</v>
      </c>
      <c r="E320" s="46">
        <f>29.305 * CHOOSE(CONTROL!$C$15, $E$9, 100%, $G$9) + CHOOSE(CONTROL!$C$38, 0.0369, 0)</f>
        <v>29.341899999999999</v>
      </c>
      <c r="F320" s="45">
        <f>29.305 * CHOOSE(CONTROL!$C$15, $E$9, 100%, $G$9) + CHOOSE(CONTROL!$C$38, 0.0278, 0)</f>
        <v>29.332799999999999</v>
      </c>
      <c r="G320" s="14">
        <f>27.7616 * CHOOSE(CONTROL!$C$15, $E$9, 100%, $G$9) + CHOOSE(CONTROL!$C$38, 0.0369, 0)</f>
        <v>27.798500000000001</v>
      </c>
      <c r="H320" s="14">
        <f>27.7616 * CHOOSE(CONTROL!$C$15, $E$9, 100%, $G$9) + CHOOSE(CONTROL!$C$38, 0.0369, 0)</f>
        <v>27.798500000000001</v>
      </c>
      <c r="I320" s="14">
        <f>27.7631 * CHOOSE(CONTROL!$C$15, $E$9, 100%, $G$9) + CHOOSE(CONTROL!$C$38, 0.0369, 0)</f>
        <v>27.8</v>
      </c>
      <c r="J320" s="44">
        <f>206.5306</f>
        <v>206.53059999999999</v>
      </c>
    </row>
    <row r="321" spans="1:10" ht="15.75" x14ac:dyDescent="0.25">
      <c r="A321" s="33">
        <v>50709</v>
      </c>
      <c r="B321" s="14">
        <f>29.8228 * CHOOSE(CONTROL!$C$15, $E$9, 100%, $G$9) + CHOOSE(CONTROL!$C$38, 0.0256, 0)</f>
        <v>29.848400000000002</v>
      </c>
      <c r="C321" s="14">
        <f>28.1247 * CHOOSE(CONTROL!$C$15, $E$9, 100%, $G$9) + CHOOSE(CONTROL!$C$38, 0.0347, 0)</f>
        <v>28.159400000000002</v>
      </c>
      <c r="D321" s="14">
        <f>28.1169 * CHOOSE(CONTROL!$C$15, $E$9, 100%, $G$9) + CHOOSE(CONTROL!$C$38, 0.0347, 0)</f>
        <v>28.151600000000002</v>
      </c>
      <c r="E321" s="46">
        <f>29.6665 * CHOOSE(CONTROL!$C$15, $E$9, 100%, $G$9) + CHOOSE(CONTROL!$C$38, 0.0347, 0)</f>
        <v>29.7012</v>
      </c>
      <c r="F321" s="45">
        <f>29.6665 * CHOOSE(CONTROL!$C$15, $E$9, 100%, $G$9) + CHOOSE(CONTROL!$C$38, 0.0256, 0)</f>
        <v>29.6921</v>
      </c>
      <c r="G321" s="14">
        <f>28.1231 * CHOOSE(CONTROL!$C$15, $E$9, 100%, $G$9) + CHOOSE(CONTROL!$C$38, 0.0347, 0)</f>
        <v>28.157800000000002</v>
      </c>
      <c r="H321" s="14">
        <f>28.1231 * CHOOSE(CONTROL!$C$15, $E$9, 100%, $G$9) + CHOOSE(CONTROL!$C$38, 0.0347, 0)</f>
        <v>28.157800000000002</v>
      </c>
      <c r="I321" s="14">
        <f>28.1247 * CHOOSE(CONTROL!$C$15, $E$9, 100%, $G$9) + CHOOSE(CONTROL!$C$38, 0.0347, 0)</f>
        <v>28.159400000000002</v>
      </c>
      <c r="J321" s="44">
        <f>199.3886</f>
        <v>199.3886</v>
      </c>
    </row>
    <row r="322" spans="1:10" ht="15.75" x14ac:dyDescent="0.25">
      <c r="A322" s="33">
        <v>50739</v>
      </c>
      <c r="B322" s="14">
        <f>30.1245 * CHOOSE(CONTROL!$C$15, $E$9, 100%, $G$9) + CHOOSE(CONTROL!$C$38, 0.0256, 0)</f>
        <v>30.150100000000002</v>
      </c>
      <c r="C322" s="14">
        <f>28.4264 * CHOOSE(CONTROL!$C$15, $E$9, 100%, $G$9) + CHOOSE(CONTROL!$C$38, 0.0347, 0)</f>
        <v>28.461100000000002</v>
      </c>
      <c r="D322" s="14">
        <f>28.4186 * CHOOSE(CONTROL!$C$15, $E$9, 100%, $G$9) + CHOOSE(CONTROL!$C$38, 0.0347, 0)</f>
        <v>28.453300000000002</v>
      </c>
      <c r="E322" s="46">
        <f>29.9682 * CHOOSE(CONTROL!$C$15, $E$9, 100%, $G$9) + CHOOSE(CONTROL!$C$38, 0.0347, 0)</f>
        <v>30.0029</v>
      </c>
      <c r="F322" s="45">
        <f>29.9682 * CHOOSE(CONTROL!$C$15, $E$9, 100%, $G$9) + CHOOSE(CONTROL!$C$38, 0.0256, 0)</f>
        <v>29.9938</v>
      </c>
      <c r="G322" s="14">
        <f>28.4248 * CHOOSE(CONTROL!$C$15, $E$9, 100%, $G$9) + CHOOSE(CONTROL!$C$38, 0.0347, 0)</f>
        <v>28.459500000000002</v>
      </c>
      <c r="H322" s="14">
        <f>28.4248 * CHOOSE(CONTROL!$C$15, $E$9, 100%, $G$9) + CHOOSE(CONTROL!$C$38, 0.0347, 0)</f>
        <v>28.459500000000002</v>
      </c>
      <c r="I322" s="14">
        <f>28.4264 * CHOOSE(CONTROL!$C$15, $E$9, 100%, $G$9) + CHOOSE(CONTROL!$C$38, 0.0347, 0)</f>
        <v>28.461100000000002</v>
      </c>
      <c r="J322" s="44">
        <f>197.9679</f>
        <v>197.96789999999999</v>
      </c>
    </row>
    <row r="323" spans="1:10" ht="15.75" x14ac:dyDescent="0.25">
      <c r="A323" s="33">
        <v>50770</v>
      </c>
      <c r="B323" s="14">
        <f>31.0542 * CHOOSE(CONTROL!$C$15, $E$9, 100%, $G$9) + CHOOSE(CONTROL!$C$38, 0.0256, 0)</f>
        <v>31.079800000000002</v>
      </c>
      <c r="C323" s="14">
        <f>29.3561 * CHOOSE(CONTROL!$C$15, $E$9, 100%, $G$9) + CHOOSE(CONTROL!$C$38, 0.0347, 0)</f>
        <v>29.390800000000002</v>
      </c>
      <c r="D323" s="14">
        <f>29.3483 * CHOOSE(CONTROL!$C$15, $E$9, 100%, $G$9) + CHOOSE(CONTROL!$C$38, 0.0347, 0)</f>
        <v>29.382999999999999</v>
      </c>
      <c r="E323" s="46">
        <f>30.8979 * CHOOSE(CONTROL!$C$15, $E$9, 100%, $G$9) + CHOOSE(CONTROL!$C$38, 0.0347, 0)</f>
        <v>30.932600000000001</v>
      </c>
      <c r="F323" s="45">
        <f>30.8979 * CHOOSE(CONTROL!$C$15, $E$9, 100%, $G$9) + CHOOSE(CONTROL!$C$38, 0.0256, 0)</f>
        <v>30.923500000000001</v>
      </c>
      <c r="G323" s="14">
        <f>29.3545 * CHOOSE(CONTROL!$C$15, $E$9, 100%, $G$9) + CHOOSE(CONTROL!$C$38, 0.0347, 0)</f>
        <v>29.389200000000002</v>
      </c>
      <c r="H323" s="14">
        <f>29.3545 * CHOOSE(CONTROL!$C$15, $E$9, 100%, $G$9) + CHOOSE(CONTROL!$C$38, 0.0347, 0)</f>
        <v>29.389200000000002</v>
      </c>
      <c r="I323" s="14">
        <f>29.3561 * CHOOSE(CONTROL!$C$15, $E$9, 100%, $G$9) + CHOOSE(CONTROL!$C$38, 0.0347, 0)</f>
        <v>29.390800000000002</v>
      </c>
      <c r="J323" s="44">
        <f>192.0932</f>
        <v>192.0932</v>
      </c>
    </row>
    <row r="324" spans="1:10" ht="15.75" x14ac:dyDescent="0.25">
      <c r="A324" s="33">
        <v>50801</v>
      </c>
      <c r="B324" s="14">
        <f>32.285 * CHOOSE(CONTROL!$C$15, $E$9, 100%, $G$9) + CHOOSE(CONTROL!$C$38, 0.0256, 0)</f>
        <v>32.310599999999994</v>
      </c>
      <c r="C324" s="14">
        <f>30.561 * CHOOSE(CONTROL!$C$15, $E$9, 100%, $G$9) + CHOOSE(CONTROL!$C$38, 0.0347, 0)</f>
        <v>30.595700000000001</v>
      </c>
      <c r="D324" s="14">
        <f>30.5532 * CHOOSE(CONTROL!$C$15, $E$9, 100%, $G$9) + CHOOSE(CONTROL!$C$38, 0.0347, 0)</f>
        <v>30.587900000000001</v>
      </c>
      <c r="E324" s="46">
        <f>32.1287 * CHOOSE(CONTROL!$C$15, $E$9, 100%, $G$9) + CHOOSE(CONTROL!$C$38, 0.0347, 0)</f>
        <v>32.163400000000003</v>
      </c>
      <c r="F324" s="45">
        <f>32.1287 * CHOOSE(CONTROL!$C$15, $E$9, 100%, $G$9) + CHOOSE(CONTROL!$C$38, 0.0256, 0)</f>
        <v>32.154299999999999</v>
      </c>
      <c r="G324" s="14">
        <f>30.5594 * CHOOSE(CONTROL!$C$15, $E$9, 100%, $G$9) + CHOOSE(CONTROL!$C$38, 0.0347, 0)</f>
        <v>30.594100000000001</v>
      </c>
      <c r="H324" s="14">
        <f>30.5594 * CHOOSE(CONTROL!$C$15, $E$9, 100%, $G$9) + CHOOSE(CONTROL!$C$38, 0.0347, 0)</f>
        <v>30.594100000000001</v>
      </c>
      <c r="I324" s="14">
        <f>30.561 * CHOOSE(CONTROL!$C$15, $E$9, 100%, $G$9) + CHOOSE(CONTROL!$C$38, 0.0347, 0)</f>
        <v>30.595700000000001</v>
      </c>
      <c r="J324" s="44">
        <f>191.9545</f>
        <v>191.9545</v>
      </c>
    </row>
    <row r="325" spans="1:10" ht="15.75" x14ac:dyDescent="0.25">
      <c r="A325" s="33">
        <v>50829</v>
      </c>
      <c r="B325" s="14">
        <f>32.6293 * CHOOSE(CONTROL!$C$15, $E$9, 100%, $G$9) + CHOOSE(CONTROL!$C$38, 0.0256, 0)</f>
        <v>32.654899999999998</v>
      </c>
      <c r="C325" s="14">
        <f>30.9053 * CHOOSE(CONTROL!$C$15, $E$9, 100%, $G$9) + CHOOSE(CONTROL!$C$38, 0.0347, 0)</f>
        <v>30.94</v>
      </c>
      <c r="D325" s="14">
        <f>30.8975 * CHOOSE(CONTROL!$C$15, $E$9, 100%, $G$9) + CHOOSE(CONTROL!$C$38, 0.0347, 0)</f>
        <v>30.932200000000002</v>
      </c>
      <c r="E325" s="46">
        <f>32.473 * CHOOSE(CONTROL!$C$15, $E$9, 100%, $G$9) + CHOOSE(CONTROL!$C$38, 0.0347, 0)</f>
        <v>32.5077</v>
      </c>
      <c r="F325" s="45">
        <f>32.473 * CHOOSE(CONTROL!$C$15, $E$9, 100%, $G$9) + CHOOSE(CONTROL!$C$38, 0.0256, 0)</f>
        <v>32.498599999999996</v>
      </c>
      <c r="G325" s="14">
        <f>30.9037 * CHOOSE(CONTROL!$C$15, $E$9, 100%, $G$9) + CHOOSE(CONTROL!$C$38, 0.0347, 0)</f>
        <v>30.938400000000001</v>
      </c>
      <c r="H325" s="14">
        <f>30.9037 * CHOOSE(CONTROL!$C$15, $E$9, 100%, $G$9) + CHOOSE(CONTROL!$C$38, 0.0347, 0)</f>
        <v>30.938400000000001</v>
      </c>
      <c r="I325" s="14">
        <f>30.9053 * CHOOSE(CONTROL!$C$15, $E$9, 100%, $G$9) + CHOOSE(CONTROL!$C$38, 0.0347, 0)</f>
        <v>30.94</v>
      </c>
      <c r="J325" s="44">
        <f>191.4209</f>
        <v>191.42089999999999</v>
      </c>
    </row>
    <row r="326" spans="1:10" ht="15.75" x14ac:dyDescent="0.25">
      <c r="A326" s="33">
        <v>50860</v>
      </c>
      <c r="B326" s="14">
        <f>31.8322 * CHOOSE(CONTROL!$C$15, $E$9, 100%, $G$9) + CHOOSE(CONTROL!$C$38, 0.0256, 0)</f>
        <v>31.857800000000001</v>
      </c>
      <c r="C326" s="14">
        <f>30.1082 * CHOOSE(CONTROL!$C$15, $E$9, 100%, $G$9) + CHOOSE(CONTROL!$C$38, 0.0347, 0)</f>
        <v>30.142900000000001</v>
      </c>
      <c r="D326" s="14">
        <f>30.1004 * CHOOSE(CONTROL!$C$15, $E$9, 100%, $G$9) + CHOOSE(CONTROL!$C$38, 0.0347, 0)</f>
        <v>30.135100000000001</v>
      </c>
      <c r="E326" s="46">
        <f>31.676 * CHOOSE(CONTROL!$C$15, $E$9, 100%, $G$9) + CHOOSE(CONTROL!$C$38, 0.0347, 0)</f>
        <v>31.710699999999999</v>
      </c>
      <c r="F326" s="45">
        <f>31.676 * CHOOSE(CONTROL!$C$15, $E$9, 100%, $G$9) + CHOOSE(CONTROL!$C$38, 0.0256, 0)</f>
        <v>31.701599999999999</v>
      </c>
      <c r="G326" s="14">
        <f>30.1067 * CHOOSE(CONTROL!$C$15, $E$9, 100%, $G$9) + CHOOSE(CONTROL!$C$38, 0.0347, 0)</f>
        <v>30.141400000000001</v>
      </c>
      <c r="H326" s="14">
        <f>30.1067 * CHOOSE(CONTROL!$C$15, $E$9, 100%, $G$9) + CHOOSE(CONTROL!$C$38, 0.0347, 0)</f>
        <v>30.141400000000001</v>
      </c>
      <c r="I326" s="14">
        <f>30.1082 * CHOOSE(CONTROL!$C$15, $E$9, 100%, $G$9) + CHOOSE(CONTROL!$C$38, 0.0347, 0)</f>
        <v>30.142900000000001</v>
      </c>
      <c r="J326" s="44">
        <f>201.5099</f>
        <v>201.50989999999999</v>
      </c>
    </row>
    <row r="327" spans="1:10" ht="15.75" x14ac:dyDescent="0.25">
      <c r="A327" s="33">
        <v>50890</v>
      </c>
      <c r="B327" s="14">
        <f>31.0599 * CHOOSE(CONTROL!$C$15, $E$9, 100%, $G$9) + CHOOSE(CONTROL!$C$38, 0.0256, 0)</f>
        <v>31.0855</v>
      </c>
      <c r="C327" s="14">
        <f>29.3359 * CHOOSE(CONTROL!$C$15, $E$9, 100%, $G$9) + CHOOSE(CONTROL!$C$38, 0.0347, 0)</f>
        <v>29.3706</v>
      </c>
      <c r="D327" s="14">
        <f>29.3281 * CHOOSE(CONTROL!$C$15, $E$9, 100%, $G$9) + CHOOSE(CONTROL!$C$38, 0.0347, 0)</f>
        <v>29.3628</v>
      </c>
      <c r="E327" s="46">
        <f>30.9037 * CHOOSE(CONTROL!$C$15, $E$9, 100%, $G$9) + CHOOSE(CONTROL!$C$38, 0.0347, 0)</f>
        <v>30.938400000000001</v>
      </c>
      <c r="F327" s="45">
        <f>30.9037 * CHOOSE(CONTROL!$C$15, $E$9, 100%, $G$9) + CHOOSE(CONTROL!$C$38, 0.0256, 0)</f>
        <v>30.929300000000001</v>
      </c>
      <c r="G327" s="14">
        <f>29.3344 * CHOOSE(CONTROL!$C$15, $E$9, 100%, $G$9) + CHOOSE(CONTROL!$C$38, 0.0347, 0)</f>
        <v>29.3691</v>
      </c>
      <c r="H327" s="14">
        <f>29.3344 * CHOOSE(CONTROL!$C$15, $E$9, 100%, $G$9) + CHOOSE(CONTROL!$C$38, 0.0347, 0)</f>
        <v>29.3691</v>
      </c>
      <c r="I327" s="14">
        <f>29.3359 * CHOOSE(CONTROL!$C$15, $E$9, 100%, $G$9) + CHOOSE(CONTROL!$C$38, 0.0347, 0)</f>
        <v>29.3706</v>
      </c>
      <c r="J327" s="44">
        <f>214.5929</f>
        <v>214.59289999999999</v>
      </c>
    </row>
    <row r="328" spans="1:10" ht="15.75" x14ac:dyDescent="0.25">
      <c r="A328" s="33">
        <v>50921</v>
      </c>
      <c r="B328" s="14">
        <f>30.255 * CHOOSE(CONTROL!$C$15, $E$9, 100%, $G$9) + CHOOSE(CONTROL!$C$38, 0.0278, 0)</f>
        <v>30.282799999999998</v>
      </c>
      <c r="C328" s="14">
        <f>28.531 * CHOOSE(CONTROL!$C$15, $E$9, 100%, $G$9) + CHOOSE(CONTROL!$C$38, 0.0369, 0)</f>
        <v>28.567899999999998</v>
      </c>
      <c r="D328" s="14">
        <f>28.5232 * CHOOSE(CONTROL!$C$15, $E$9, 100%, $G$9) + CHOOSE(CONTROL!$C$38, 0.0369, 0)</f>
        <v>28.560099999999998</v>
      </c>
      <c r="E328" s="46">
        <f>30.0987 * CHOOSE(CONTROL!$C$15, $E$9, 100%, $G$9) + CHOOSE(CONTROL!$C$38, 0.0369, 0)</f>
        <v>30.1356</v>
      </c>
      <c r="F328" s="45">
        <f>30.0987 * CHOOSE(CONTROL!$C$15, $E$9, 100%, $G$9) + CHOOSE(CONTROL!$C$38, 0.0278, 0)</f>
        <v>30.1265</v>
      </c>
      <c r="G328" s="14">
        <f>28.5294 * CHOOSE(CONTROL!$C$15, $E$9, 100%, $G$9) + CHOOSE(CONTROL!$C$38, 0.0369, 0)</f>
        <v>28.566299999999998</v>
      </c>
      <c r="H328" s="14">
        <f>28.5294 * CHOOSE(CONTROL!$C$15, $E$9, 100%, $G$9) + CHOOSE(CONTROL!$C$38, 0.0369, 0)</f>
        <v>28.566299999999998</v>
      </c>
      <c r="I328" s="14">
        <f>28.531 * CHOOSE(CONTROL!$C$15, $E$9, 100%, $G$9) + CHOOSE(CONTROL!$C$38, 0.0369, 0)</f>
        <v>28.567899999999998</v>
      </c>
      <c r="J328" s="44">
        <f>221.7942</f>
        <v>221.79419999999999</v>
      </c>
    </row>
    <row r="329" spans="1:10" ht="15.75" x14ac:dyDescent="0.25">
      <c r="A329" s="33">
        <v>50951</v>
      </c>
      <c r="B329" s="14">
        <f>29.6906 * CHOOSE(CONTROL!$C$15, $E$9, 100%, $G$9) + CHOOSE(CONTROL!$C$38, 0.0278, 0)</f>
        <v>29.718399999999999</v>
      </c>
      <c r="C329" s="14">
        <f>27.9666 * CHOOSE(CONTROL!$C$15, $E$9, 100%, $G$9) + CHOOSE(CONTROL!$C$38, 0.0369, 0)</f>
        <v>28.003499999999999</v>
      </c>
      <c r="D329" s="14">
        <f>27.9588 * CHOOSE(CONTROL!$C$15, $E$9, 100%, $G$9) + CHOOSE(CONTROL!$C$38, 0.0369, 0)</f>
        <v>27.995699999999999</v>
      </c>
      <c r="E329" s="46">
        <f>29.5344 * CHOOSE(CONTROL!$C$15, $E$9, 100%, $G$9) + CHOOSE(CONTROL!$C$38, 0.0369, 0)</f>
        <v>29.571300000000001</v>
      </c>
      <c r="F329" s="45">
        <f>29.5344 * CHOOSE(CONTROL!$C$15, $E$9, 100%, $G$9) + CHOOSE(CONTROL!$C$38, 0.0278, 0)</f>
        <v>29.562200000000001</v>
      </c>
      <c r="G329" s="14">
        <f>27.9651 * CHOOSE(CONTROL!$C$15, $E$9, 100%, $G$9) + CHOOSE(CONTROL!$C$38, 0.0369, 0)</f>
        <v>28.001999999999999</v>
      </c>
      <c r="H329" s="14">
        <f>27.9651 * CHOOSE(CONTROL!$C$15, $E$9, 100%, $G$9) + CHOOSE(CONTROL!$C$38, 0.0369, 0)</f>
        <v>28.001999999999999</v>
      </c>
      <c r="I329" s="14">
        <f>27.9666 * CHOOSE(CONTROL!$C$15, $E$9, 100%, $G$9) + CHOOSE(CONTROL!$C$38, 0.0369, 0)</f>
        <v>28.003499999999999</v>
      </c>
      <c r="J329" s="44">
        <f>224.99</f>
        <v>224.99</v>
      </c>
    </row>
    <row r="330" spans="1:10" ht="15.75" x14ac:dyDescent="0.25">
      <c r="A330" s="33">
        <v>50982</v>
      </c>
      <c r="B330" s="14">
        <f>29.3686 * CHOOSE(CONTROL!$C$15, $E$9, 100%, $G$9) + CHOOSE(CONTROL!$C$38, 0.0278, 0)</f>
        <v>29.3964</v>
      </c>
      <c r="C330" s="14">
        <f>27.6446 * CHOOSE(CONTROL!$C$15, $E$9, 100%, $G$9) + CHOOSE(CONTROL!$C$38, 0.0369, 0)</f>
        <v>27.6815</v>
      </c>
      <c r="D330" s="14">
        <f>27.6368 * CHOOSE(CONTROL!$C$15, $E$9, 100%, $G$9) + CHOOSE(CONTROL!$C$38, 0.0369, 0)</f>
        <v>27.6737</v>
      </c>
      <c r="E330" s="46">
        <f>29.2123 * CHOOSE(CONTROL!$C$15, $E$9, 100%, $G$9) + CHOOSE(CONTROL!$C$38, 0.0369, 0)</f>
        <v>29.249199999999998</v>
      </c>
      <c r="F330" s="45">
        <f>29.2123 * CHOOSE(CONTROL!$C$15, $E$9, 100%, $G$9) + CHOOSE(CONTROL!$C$38, 0.0278, 0)</f>
        <v>29.240099999999998</v>
      </c>
      <c r="G330" s="14">
        <f>27.643 * CHOOSE(CONTROL!$C$15, $E$9, 100%, $G$9) + CHOOSE(CONTROL!$C$38, 0.0369, 0)</f>
        <v>27.6799</v>
      </c>
      <c r="H330" s="14">
        <f>27.643 * CHOOSE(CONTROL!$C$15, $E$9, 100%, $G$9) + CHOOSE(CONTROL!$C$38, 0.0369, 0)</f>
        <v>27.6799</v>
      </c>
      <c r="I330" s="14">
        <f>27.6446 * CHOOSE(CONTROL!$C$15, $E$9, 100%, $G$9) + CHOOSE(CONTROL!$C$38, 0.0369, 0)</f>
        <v>27.6815</v>
      </c>
      <c r="J330" s="44">
        <f>223.9378</f>
        <v>223.93780000000001</v>
      </c>
    </row>
    <row r="331" spans="1:10" ht="15.75" x14ac:dyDescent="0.25">
      <c r="A331" s="33">
        <v>51013</v>
      </c>
      <c r="B331" s="14">
        <f>29.5275 * CHOOSE(CONTROL!$C$15, $E$9, 100%, $G$9) + CHOOSE(CONTROL!$C$38, 0.0278, 0)</f>
        <v>29.555299999999999</v>
      </c>
      <c r="C331" s="14">
        <f>27.8035 * CHOOSE(CONTROL!$C$15, $E$9, 100%, $G$9) + CHOOSE(CONTROL!$C$38, 0.0369, 0)</f>
        <v>27.840399999999999</v>
      </c>
      <c r="D331" s="14">
        <f>27.7957 * CHOOSE(CONTROL!$C$15, $E$9, 100%, $G$9) + CHOOSE(CONTROL!$C$38, 0.0369, 0)</f>
        <v>27.832599999999999</v>
      </c>
      <c r="E331" s="46">
        <f>29.3713 * CHOOSE(CONTROL!$C$15, $E$9, 100%, $G$9) + CHOOSE(CONTROL!$C$38, 0.0369, 0)</f>
        <v>29.408200000000001</v>
      </c>
      <c r="F331" s="45">
        <f>29.3713 * CHOOSE(CONTROL!$C$15, $E$9, 100%, $G$9) + CHOOSE(CONTROL!$C$38, 0.0278, 0)</f>
        <v>29.399100000000001</v>
      </c>
      <c r="G331" s="14">
        <f>27.802 * CHOOSE(CONTROL!$C$15, $E$9, 100%, $G$9) + CHOOSE(CONTROL!$C$38, 0.0369, 0)</f>
        <v>27.838899999999999</v>
      </c>
      <c r="H331" s="14">
        <f>27.802 * CHOOSE(CONTROL!$C$15, $E$9, 100%, $G$9) + CHOOSE(CONTROL!$C$38, 0.0369, 0)</f>
        <v>27.838899999999999</v>
      </c>
      <c r="I331" s="14">
        <f>27.8035 * CHOOSE(CONTROL!$C$15, $E$9, 100%, $G$9) + CHOOSE(CONTROL!$C$38, 0.0369, 0)</f>
        <v>27.840399999999999</v>
      </c>
      <c r="J331" s="44">
        <f>218.7246</f>
        <v>218.72460000000001</v>
      </c>
    </row>
    <row r="332" spans="1:10" ht="15.75" x14ac:dyDescent="0.25">
      <c r="A332" s="33">
        <v>51043</v>
      </c>
      <c r="B332" s="14">
        <f>29.9592 * CHOOSE(CONTROL!$C$15, $E$9, 100%, $G$9) + CHOOSE(CONTROL!$C$38, 0.0278, 0)</f>
        <v>29.986999999999998</v>
      </c>
      <c r="C332" s="14">
        <f>28.2352 * CHOOSE(CONTROL!$C$15, $E$9, 100%, $G$9) + CHOOSE(CONTROL!$C$38, 0.0369, 0)</f>
        <v>28.272099999999998</v>
      </c>
      <c r="D332" s="14">
        <f>28.2274 * CHOOSE(CONTROL!$C$15, $E$9, 100%, $G$9) + CHOOSE(CONTROL!$C$38, 0.0369, 0)</f>
        <v>28.264299999999999</v>
      </c>
      <c r="E332" s="46">
        <f>29.803 * CHOOSE(CONTROL!$C$15, $E$9, 100%, $G$9) + CHOOSE(CONTROL!$C$38, 0.0369, 0)</f>
        <v>29.8399</v>
      </c>
      <c r="F332" s="45">
        <f>29.803 * CHOOSE(CONTROL!$C$15, $E$9, 100%, $G$9) + CHOOSE(CONTROL!$C$38, 0.0278, 0)</f>
        <v>29.8308</v>
      </c>
      <c r="G332" s="14">
        <f>28.2337 * CHOOSE(CONTROL!$C$15, $E$9, 100%, $G$9) + CHOOSE(CONTROL!$C$38, 0.0369, 0)</f>
        <v>28.270599999999998</v>
      </c>
      <c r="H332" s="14">
        <f>28.2337 * CHOOSE(CONTROL!$C$15, $E$9, 100%, $G$9) + CHOOSE(CONTROL!$C$38, 0.0369, 0)</f>
        <v>28.270599999999998</v>
      </c>
      <c r="I332" s="14">
        <f>28.2352 * CHOOSE(CONTROL!$C$15, $E$9, 100%, $G$9) + CHOOSE(CONTROL!$C$38, 0.0369, 0)</f>
        <v>28.272099999999998</v>
      </c>
      <c r="J332" s="44">
        <f>211.4546</f>
        <v>211.4546</v>
      </c>
    </row>
    <row r="333" spans="1:10" ht="15.75" x14ac:dyDescent="0.25">
      <c r="A333" s="33">
        <v>51074</v>
      </c>
      <c r="B333" s="14">
        <f>30.3208 * CHOOSE(CONTROL!$C$15, $E$9, 100%, $G$9) + CHOOSE(CONTROL!$C$38, 0.0256, 0)</f>
        <v>30.346399999999999</v>
      </c>
      <c r="C333" s="14">
        <f>28.5968 * CHOOSE(CONTROL!$C$15, $E$9, 100%, $G$9) + CHOOSE(CONTROL!$C$38, 0.0347, 0)</f>
        <v>28.631500000000003</v>
      </c>
      <c r="D333" s="14">
        <f>28.589 * CHOOSE(CONTROL!$C$15, $E$9, 100%, $G$9) + CHOOSE(CONTROL!$C$38, 0.0347, 0)</f>
        <v>28.623699999999999</v>
      </c>
      <c r="E333" s="46">
        <f>30.1645 * CHOOSE(CONTROL!$C$15, $E$9, 100%, $G$9) + CHOOSE(CONTROL!$C$38, 0.0347, 0)</f>
        <v>30.199200000000001</v>
      </c>
      <c r="F333" s="45">
        <f>30.1645 * CHOOSE(CONTROL!$C$15, $E$9, 100%, $G$9) + CHOOSE(CONTROL!$C$38, 0.0256, 0)</f>
        <v>30.190100000000001</v>
      </c>
      <c r="G333" s="14">
        <f>28.5952 * CHOOSE(CONTROL!$C$15, $E$9, 100%, $G$9) + CHOOSE(CONTROL!$C$38, 0.0347, 0)</f>
        <v>28.629899999999999</v>
      </c>
      <c r="H333" s="14">
        <f>28.5952 * CHOOSE(CONTROL!$C$15, $E$9, 100%, $G$9) + CHOOSE(CONTROL!$C$38, 0.0347, 0)</f>
        <v>28.629899999999999</v>
      </c>
      <c r="I333" s="14">
        <f>28.5968 * CHOOSE(CONTROL!$C$15, $E$9, 100%, $G$9) + CHOOSE(CONTROL!$C$38, 0.0347, 0)</f>
        <v>28.631500000000003</v>
      </c>
      <c r="J333" s="44">
        <f>204.1423</f>
        <v>204.14230000000001</v>
      </c>
    </row>
    <row r="334" spans="1:10" ht="15.75" x14ac:dyDescent="0.25">
      <c r="A334" s="33">
        <v>51104</v>
      </c>
      <c r="B334" s="14">
        <f>30.6225 * CHOOSE(CONTROL!$C$15, $E$9, 100%, $G$9) + CHOOSE(CONTROL!$C$38, 0.0256, 0)</f>
        <v>30.648099999999999</v>
      </c>
      <c r="C334" s="14">
        <f>28.8985 * CHOOSE(CONTROL!$C$15, $E$9, 100%, $G$9) + CHOOSE(CONTROL!$C$38, 0.0347, 0)</f>
        <v>28.933199999999999</v>
      </c>
      <c r="D334" s="14">
        <f>28.8907 * CHOOSE(CONTROL!$C$15, $E$9, 100%, $G$9) + CHOOSE(CONTROL!$C$38, 0.0347, 0)</f>
        <v>28.9254</v>
      </c>
      <c r="E334" s="46">
        <f>30.4662 * CHOOSE(CONTROL!$C$15, $E$9, 100%, $G$9) + CHOOSE(CONTROL!$C$38, 0.0347, 0)</f>
        <v>30.500900000000001</v>
      </c>
      <c r="F334" s="45">
        <f>30.4662 * CHOOSE(CONTROL!$C$15, $E$9, 100%, $G$9) + CHOOSE(CONTROL!$C$38, 0.0256, 0)</f>
        <v>30.491800000000001</v>
      </c>
      <c r="G334" s="14">
        <f>28.8969 * CHOOSE(CONTROL!$C$15, $E$9, 100%, $G$9) + CHOOSE(CONTROL!$C$38, 0.0347, 0)</f>
        <v>28.9316</v>
      </c>
      <c r="H334" s="14">
        <f>28.8969 * CHOOSE(CONTROL!$C$15, $E$9, 100%, $G$9) + CHOOSE(CONTROL!$C$38, 0.0347, 0)</f>
        <v>28.9316</v>
      </c>
      <c r="I334" s="14">
        <f>28.8985 * CHOOSE(CONTROL!$C$15, $E$9, 100%, $G$9) + CHOOSE(CONTROL!$C$38, 0.0347, 0)</f>
        <v>28.933199999999999</v>
      </c>
      <c r="J334" s="44">
        <f>202.6877</f>
        <v>202.68770000000001</v>
      </c>
    </row>
    <row r="335" spans="1:10" ht="15.75" x14ac:dyDescent="0.25">
      <c r="A335" s="33">
        <v>51135</v>
      </c>
      <c r="B335" s="14">
        <f>31.5522 * CHOOSE(CONTROL!$C$15, $E$9, 100%, $G$9) + CHOOSE(CONTROL!$C$38, 0.0256, 0)</f>
        <v>31.5778</v>
      </c>
      <c r="C335" s="14">
        <f>29.8282 * CHOOSE(CONTROL!$C$15, $E$9, 100%, $G$9) + CHOOSE(CONTROL!$C$38, 0.0347, 0)</f>
        <v>29.8629</v>
      </c>
      <c r="D335" s="14">
        <f>29.8203 * CHOOSE(CONTROL!$C$15, $E$9, 100%, $G$9) + CHOOSE(CONTROL!$C$38, 0.0347, 0)</f>
        <v>29.855</v>
      </c>
      <c r="E335" s="46">
        <f>31.3959 * CHOOSE(CONTROL!$C$15, $E$9, 100%, $G$9) + CHOOSE(CONTROL!$C$38, 0.0347, 0)</f>
        <v>31.430600000000002</v>
      </c>
      <c r="F335" s="45">
        <f>31.3959 * CHOOSE(CONTROL!$C$15, $E$9, 100%, $G$9) + CHOOSE(CONTROL!$C$38, 0.0256, 0)</f>
        <v>31.421500000000002</v>
      </c>
      <c r="G335" s="14">
        <f>29.8266 * CHOOSE(CONTROL!$C$15, $E$9, 100%, $G$9) + CHOOSE(CONTROL!$C$38, 0.0347, 0)</f>
        <v>29.8613</v>
      </c>
      <c r="H335" s="14">
        <f>29.8266 * CHOOSE(CONTROL!$C$15, $E$9, 100%, $G$9) + CHOOSE(CONTROL!$C$38, 0.0347, 0)</f>
        <v>29.8613</v>
      </c>
      <c r="I335" s="14">
        <f>29.8282 * CHOOSE(CONTROL!$C$15, $E$9, 100%, $G$9) + CHOOSE(CONTROL!$C$38, 0.0347, 0)</f>
        <v>29.8629</v>
      </c>
      <c r="J335" s="44">
        <f>196.6729</f>
        <v>196.6729</v>
      </c>
    </row>
    <row r="336" spans="1:10" ht="15.75" x14ac:dyDescent="0.25">
      <c r="A336" s="33">
        <v>51166</v>
      </c>
      <c r="B336" s="14">
        <f>32.7913 * CHOOSE(CONTROL!$C$15, $E$9, 100%, $G$9) + CHOOSE(CONTROL!$C$38, 0.0256, 0)</f>
        <v>32.816899999999997</v>
      </c>
      <c r="C336" s="14">
        <f>31.041 * CHOOSE(CONTROL!$C$15, $E$9, 100%, $G$9) + CHOOSE(CONTROL!$C$38, 0.0347, 0)</f>
        <v>31.075700000000001</v>
      </c>
      <c r="D336" s="14">
        <f>31.0332 * CHOOSE(CONTROL!$C$15, $E$9, 100%, $G$9) + CHOOSE(CONTROL!$C$38, 0.0347, 0)</f>
        <v>31.067900000000002</v>
      </c>
      <c r="E336" s="46">
        <f>32.6351 * CHOOSE(CONTROL!$C$15, $E$9, 100%, $G$9) + CHOOSE(CONTROL!$C$38, 0.0347, 0)</f>
        <v>32.669800000000002</v>
      </c>
      <c r="F336" s="45">
        <f>32.6351 * CHOOSE(CONTROL!$C$15, $E$9, 100%, $G$9) + CHOOSE(CONTROL!$C$38, 0.0256, 0)</f>
        <v>32.660699999999999</v>
      </c>
      <c r="G336" s="14">
        <f>31.0394 * CHOOSE(CONTROL!$C$15, $E$9, 100%, $G$9) + CHOOSE(CONTROL!$C$38, 0.0347, 0)</f>
        <v>31.074100000000001</v>
      </c>
      <c r="H336" s="14">
        <f>31.0394 * CHOOSE(CONTROL!$C$15, $E$9, 100%, $G$9) + CHOOSE(CONTROL!$C$38, 0.0347, 0)</f>
        <v>31.074100000000001</v>
      </c>
      <c r="I336" s="14">
        <f>31.041 * CHOOSE(CONTROL!$C$15, $E$9, 100%, $G$9) + CHOOSE(CONTROL!$C$38, 0.0347, 0)</f>
        <v>31.075700000000001</v>
      </c>
      <c r="J336" s="44">
        <f>196.531</f>
        <v>196.53100000000001</v>
      </c>
    </row>
    <row r="337" spans="1:10" ht="15.75" x14ac:dyDescent="0.25">
      <c r="A337" s="33">
        <v>51194</v>
      </c>
      <c r="B337" s="14">
        <f>33.1356 * CHOOSE(CONTROL!$C$15, $E$9, 100%, $G$9) + CHOOSE(CONTROL!$C$38, 0.0256, 0)</f>
        <v>33.161199999999994</v>
      </c>
      <c r="C337" s="14">
        <f>31.3853 * CHOOSE(CONTROL!$C$15, $E$9, 100%, $G$9) + CHOOSE(CONTROL!$C$38, 0.0347, 0)</f>
        <v>31.42</v>
      </c>
      <c r="D337" s="14">
        <f>31.3775 * CHOOSE(CONTROL!$C$15, $E$9, 100%, $G$9) + CHOOSE(CONTROL!$C$38, 0.0347, 0)</f>
        <v>31.412200000000002</v>
      </c>
      <c r="E337" s="46">
        <f>32.9794 * CHOOSE(CONTROL!$C$15, $E$9, 100%, $G$9) + CHOOSE(CONTROL!$C$38, 0.0347, 0)</f>
        <v>33.014099999999999</v>
      </c>
      <c r="F337" s="45">
        <f>32.9794 * CHOOSE(CONTROL!$C$15, $E$9, 100%, $G$9) + CHOOSE(CONTROL!$C$38, 0.0256, 0)</f>
        <v>33.004999999999995</v>
      </c>
      <c r="G337" s="14">
        <f>31.3837 * CHOOSE(CONTROL!$C$15, $E$9, 100%, $G$9) + CHOOSE(CONTROL!$C$38, 0.0347, 0)</f>
        <v>31.418400000000002</v>
      </c>
      <c r="H337" s="14">
        <f>31.3837 * CHOOSE(CONTROL!$C$15, $E$9, 100%, $G$9) + CHOOSE(CONTROL!$C$38, 0.0347, 0)</f>
        <v>31.418400000000002</v>
      </c>
      <c r="I337" s="14">
        <f>31.3853 * CHOOSE(CONTROL!$C$15, $E$9, 100%, $G$9) + CHOOSE(CONTROL!$C$38, 0.0347, 0)</f>
        <v>31.42</v>
      </c>
      <c r="J337" s="44">
        <f>195.9847</f>
        <v>195.9847</v>
      </c>
    </row>
    <row r="338" spans="1:10" ht="15.75" x14ac:dyDescent="0.25">
      <c r="A338" s="33">
        <v>51226</v>
      </c>
      <c r="B338" s="14">
        <f>32.3386 * CHOOSE(CONTROL!$C$15, $E$9, 100%, $G$9) + CHOOSE(CONTROL!$C$38, 0.0256, 0)</f>
        <v>32.364199999999997</v>
      </c>
      <c r="C338" s="14">
        <f>30.5883 * CHOOSE(CONTROL!$C$15, $E$9, 100%, $G$9) + CHOOSE(CONTROL!$C$38, 0.0347, 0)</f>
        <v>30.623000000000001</v>
      </c>
      <c r="D338" s="14">
        <f>30.5805 * CHOOSE(CONTROL!$C$15, $E$9, 100%, $G$9) + CHOOSE(CONTROL!$C$38, 0.0347, 0)</f>
        <v>30.615200000000002</v>
      </c>
      <c r="E338" s="46">
        <f>32.1824 * CHOOSE(CONTROL!$C$15, $E$9, 100%, $G$9) + CHOOSE(CONTROL!$C$38, 0.0347, 0)</f>
        <v>32.217100000000002</v>
      </c>
      <c r="F338" s="45">
        <f>32.1824 * CHOOSE(CONTROL!$C$15, $E$9, 100%, $G$9) + CHOOSE(CONTROL!$C$38, 0.0256, 0)</f>
        <v>32.207999999999998</v>
      </c>
      <c r="G338" s="14">
        <f>30.5867 * CHOOSE(CONTROL!$C$15, $E$9, 100%, $G$9) + CHOOSE(CONTROL!$C$38, 0.0347, 0)</f>
        <v>30.621400000000001</v>
      </c>
      <c r="H338" s="14">
        <f>30.5867 * CHOOSE(CONTROL!$C$15, $E$9, 100%, $G$9) + CHOOSE(CONTROL!$C$38, 0.0347, 0)</f>
        <v>30.621400000000001</v>
      </c>
      <c r="I338" s="14">
        <f>30.5883 * CHOOSE(CONTROL!$C$15, $E$9, 100%, $G$9) + CHOOSE(CONTROL!$C$38, 0.0347, 0)</f>
        <v>30.623000000000001</v>
      </c>
      <c r="J338" s="44">
        <f>206.3142</f>
        <v>206.3142</v>
      </c>
    </row>
    <row r="339" spans="1:10" ht="15.75" x14ac:dyDescent="0.25">
      <c r="A339" s="33">
        <v>51256</v>
      </c>
      <c r="B339" s="14">
        <f>31.5663 * CHOOSE(CONTROL!$C$15, $E$9, 100%, $G$9) + CHOOSE(CONTROL!$C$38, 0.0256, 0)</f>
        <v>31.591899999999999</v>
      </c>
      <c r="C339" s="14">
        <f>29.816 * CHOOSE(CONTROL!$C$15, $E$9, 100%, $G$9) + CHOOSE(CONTROL!$C$38, 0.0347, 0)</f>
        <v>29.8507</v>
      </c>
      <c r="D339" s="14">
        <f>29.8081 * CHOOSE(CONTROL!$C$15, $E$9, 100%, $G$9) + CHOOSE(CONTROL!$C$38, 0.0347, 0)</f>
        <v>29.8428</v>
      </c>
      <c r="E339" s="46">
        <f>31.41 * CHOOSE(CONTROL!$C$15, $E$9, 100%, $G$9) + CHOOSE(CONTROL!$C$38, 0.0347, 0)</f>
        <v>31.444700000000001</v>
      </c>
      <c r="F339" s="45">
        <f>31.41 * CHOOSE(CONTROL!$C$15, $E$9, 100%, $G$9) + CHOOSE(CONTROL!$C$38, 0.0256, 0)</f>
        <v>31.435600000000001</v>
      </c>
      <c r="G339" s="14">
        <f>29.8144 * CHOOSE(CONTROL!$C$15, $E$9, 100%, $G$9) + CHOOSE(CONTROL!$C$38, 0.0347, 0)</f>
        <v>29.8491</v>
      </c>
      <c r="H339" s="14">
        <f>29.8144 * CHOOSE(CONTROL!$C$15, $E$9, 100%, $G$9) + CHOOSE(CONTROL!$C$38, 0.0347, 0)</f>
        <v>29.8491</v>
      </c>
      <c r="I339" s="14">
        <f>29.816 * CHOOSE(CONTROL!$C$15, $E$9, 100%, $G$9) + CHOOSE(CONTROL!$C$38, 0.0347, 0)</f>
        <v>29.8507</v>
      </c>
      <c r="J339" s="44">
        <f>219.7091</f>
        <v>219.70910000000001</v>
      </c>
    </row>
    <row r="340" spans="1:10" ht="15.75" x14ac:dyDescent="0.25">
      <c r="A340" s="33">
        <v>51287</v>
      </c>
      <c r="B340" s="14">
        <f>30.7613 * CHOOSE(CONTROL!$C$15, $E$9, 100%, $G$9) + CHOOSE(CONTROL!$C$38, 0.0278, 0)</f>
        <v>30.789099999999998</v>
      </c>
      <c r="C340" s="14">
        <f>29.011 * CHOOSE(CONTROL!$C$15, $E$9, 100%, $G$9) + CHOOSE(CONTROL!$C$38, 0.0369, 0)</f>
        <v>29.047899999999998</v>
      </c>
      <c r="D340" s="14">
        <f>29.0032 * CHOOSE(CONTROL!$C$15, $E$9, 100%, $G$9) + CHOOSE(CONTROL!$C$38, 0.0369, 0)</f>
        <v>29.040099999999999</v>
      </c>
      <c r="E340" s="46">
        <f>30.6051 * CHOOSE(CONTROL!$C$15, $E$9, 100%, $G$9) + CHOOSE(CONTROL!$C$38, 0.0369, 0)</f>
        <v>30.641999999999999</v>
      </c>
      <c r="F340" s="45">
        <f>30.6051 * CHOOSE(CONTROL!$C$15, $E$9, 100%, $G$9) + CHOOSE(CONTROL!$C$38, 0.0278, 0)</f>
        <v>30.632899999999999</v>
      </c>
      <c r="G340" s="14">
        <f>29.0094 * CHOOSE(CONTROL!$C$15, $E$9, 100%, $G$9) + CHOOSE(CONTROL!$C$38, 0.0369, 0)</f>
        <v>29.046299999999999</v>
      </c>
      <c r="H340" s="14">
        <f>29.0094 * CHOOSE(CONTROL!$C$15, $E$9, 100%, $G$9) + CHOOSE(CONTROL!$C$38, 0.0369, 0)</f>
        <v>29.046299999999999</v>
      </c>
      <c r="I340" s="14">
        <f>29.011 * CHOOSE(CONTROL!$C$15, $E$9, 100%, $G$9) + CHOOSE(CONTROL!$C$38, 0.0369, 0)</f>
        <v>29.047899999999998</v>
      </c>
      <c r="J340" s="44">
        <f>227.0821</f>
        <v>227.0821</v>
      </c>
    </row>
    <row r="341" spans="1:10" ht="15.75" x14ac:dyDescent="0.25">
      <c r="A341" s="33">
        <v>51317</v>
      </c>
      <c r="B341" s="14">
        <f>30.197 * CHOOSE(CONTROL!$C$15, $E$9, 100%, $G$9) + CHOOSE(CONTROL!$C$38, 0.0278, 0)</f>
        <v>30.224799999999998</v>
      </c>
      <c r="C341" s="14">
        <f>28.4467 * CHOOSE(CONTROL!$C$15, $E$9, 100%, $G$9) + CHOOSE(CONTROL!$C$38, 0.0369, 0)</f>
        <v>28.483599999999999</v>
      </c>
      <c r="D341" s="14">
        <f>28.4388 * CHOOSE(CONTROL!$C$15, $E$9, 100%, $G$9) + CHOOSE(CONTROL!$C$38, 0.0369, 0)</f>
        <v>28.4757</v>
      </c>
      <c r="E341" s="46">
        <f>30.0407 * CHOOSE(CONTROL!$C$15, $E$9, 100%, $G$9) + CHOOSE(CONTROL!$C$38, 0.0369, 0)</f>
        <v>30.0776</v>
      </c>
      <c r="F341" s="45">
        <f>30.0407 * CHOOSE(CONTROL!$C$15, $E$9, 100%, $G$9) + CHOOSE(CONTROL!$C$38, 0.0278, 0)</f>
        <v>30.0685</v>
      </c>
      <c r="G341" s="14">
        <f>28.4451 * CHOOSE(CONTROL!$C$15, $E$9, 100%, $G$9) + CHOOSE(CONTROL!$C$38, 0.0369, 0)</f>
        <v>28.481999999999999</v>
      </c>
      <c r="H341" s="14">
        <f>28.4451 * CHOOSE(CONTROL!$C$15, $E$9, 100%, $G$9) + CHOOSE(CONTROL!$C$38, 0.0369, 0)</f>
        <v>28.481999999999999</v>
      </c>
      <c r="I341" s="14">
        <f>28.4467 * CHOOSE(CONTROL!$C$15, $E$9, 100%, $G$9) + CHOOSE(CONTROL!$C$38, 0.0369, 0)</f>
        <v>28.483599999999999</v>
      </c>
      <c r="J341" s="44">
        <f>230.3541</f>
        <v>230.35409999999999</v>
      </c>
    </row>
    <row r="342" spans="1:10" ht="15.75" x14ac:dyDescent="0.25">
      <c r="A342" s="33">
        <v>51348</v>
      </c>
      <c r="B342" s="14">
        <f>29.8749 * CHOOSE(CONTROL!$C$15, $E$9, 100%, $G$9) + CHOOSE(CONTROL!$C$38, 0.0278, 0)</f>
        <v>29.902699999999999</v>
      </c>
      <c r="C342" s="14">
        <f>28.1246 * CHOOSE(CONTROL!$C$15, $E$9, 100%, $G$9) + CHOOSE(CONTROL!$C$38, 0.0369, 0)</f>
        <v>28.1615</v>
      </c>
      <c r="D342" s="14">
        <f>28.1168 * CHOOSE(CONTROL!$C$15, $E$9, 100%, $G$9) + CHOOSE(CONTROL!$C$38, 0.0369, 0)</f>
        <v>28.153700000000001</v>
      </c>
      <c r="E342" s="46">
        <f>29.7187 * CHOOSE(CONTROL!$C$15, $E$9, 100%, $G$9) + CHOOSE(CONTROL!$C$38, 0.0369, 0)</f>
        <v>29.755599999999998</v>
      </c>
      <c r="F342" s="45">
        <f>29.7187 * CHOOSE(CONTROL!$C$15, $E$9, 100%, $G$9) + CHOOSE(CONTROL!$C$38, 0.0278, 0)</f>
        <v>29.746499999999997</v>
      </c>
      <c r="G342" s="14">
        <f>28.123 * CHOOSE(CONTROL!$C$15, $E$9, 100%, $G$9) + CHOOSE(CONTROL!$C$38, 0.0369, 0)</f>
        <v>28.1599</v>
      </c>
      <c r="H342" s="14">
        <f>28.123 * CHOOSE(CONTROL!$C$15, $E$9, 100%, $G$9) + CHOOSE(CONTROL!$C$38, 0.0369, 0)</f>
        <v>28.1599</v>
      </c>
      <c r="I342" s="14">
        <f>28.1246 * CHOOSE(CONTROL!$C$15, $E$9, 100%, $G$9) + CHOOSE(CONTROL!$C$38, 0.0369, 0)</f>
        <v>28.1615</v>
      </c>
      <c r="J342" s="44">
        <f>229.2768</f>
        <v>229.27680000000001</v>
      </c>
    </row>
    <row r="343" spans="1:10" ht="15.75" x14ac:dyDescent="0.25">
      <c r="A343" s="33">
        <v>51379</v>
      </c>
      <c r="B343" s="14">
        <f>30.0339 * CHOOSE(CONTROL!$C$15, $E$9, 100%, $G$9) + CHOOSE(CONTROL!$C$38, 0.0278, 0)</f>
        <v>30.061699999999998</v>
      </c>
      <c r="C343" s="14">
        <f>28.2836 * CHOOSE(CONTROL!$C$15, $E$9, 100%, $G$9) + CHOOSE(CONTROL!$C$38, 0.0369, 0)</f>
        <v>28.320499999999999</v>
      </c>
      <c r="D343" s="14">
        <f>28.2757 * CHOOSE(CONTROL!$C$15, $E$9, 100%, $G$9) + CHOOSE(CONTROL!$C$38, 0.0369, 0)</f>
        <v>28.3126</v>
      </c>
      <c r="E343" s="46">
        <f>29.8776 * CHOOSE(CONTROL!$C$15, $E$9, 100%, $G$9) + CHOOSE(CONTROL!$C$38, 0.0369, 0)</f>
        <v>29.9145</v>
      </c>
      <c r="F343" s="45">
        <f>29.8776 * CHOOSE(CONTROL!$C$15, $E$9, 100%, $G$9) + CHOOSE(CONTROL!$C$38, 0.0278, 0)</f>
        <v>29.9054</v>
      </c>
      <c r="G343" s="14">
        <f>28.282 * CHOOSE(CONTROL!$C$15, $E$9, 100%, $G$9) + CHOOSE(CONTROL!$C$38, 0.0369, 0)</f>
        <v>28.318899999999999</v>
      </c>
      <c r="H343" s="14">
        <f>28.282 * CHOOSE(CONTROL!$C$15, $E$9, 100%, $G$9) + CHOOSE(CONTROL!$C$38, 0.0369, 0)</f>
        <v>28.318899999999999</v>
      </c>
      <c r="I343" s="14">
        <f>28.2836 * CHOOSE(CONTROL!$C$15, $E$9, 100%, $G$9) + CHOOSE(CONTROL!$C$38, 0.0369, 0)</f>
        <v>28.320499999999999</v>
      </c>
      <c r="J343" s="44">
        <f>223.9394</f>
        <v>223.93940000000001</v>
      </c>
    </row>
    <row r="344" spans="1:10" ht="15.75" x14ac:dyDescent="0.25">
      <c r="A344" s="33">
        <v>51409</v>
      </c>
      <c r="B344" s="14">
        <f>30.4656 * CHOOSE(CONTROL!$C$15, $E$9, 100%, $G$9) + CHOOSE(CONTROL!$C$38, 0.0278, 0)</f>
        <v>30.493399999999998</v>
      </c>
      <c r="C344" s="14">
        <f>28.7153 * CHOOSE(CONTROL!$C$15, $E$9, 100%, $G$9) + CHOOSE(CONTROL!$C$38, 0.0369, 0)</f>
        <v>28.752199999999998</v>
      </c>
      <c r="D344" s="14">
        <f>28.7074 * CHOOSE(CONTROL!$C$15, $E$9, 100%, $G$9) + CHOOSE(CONTROL!$C$38, 0.0369, 0)</f>
        <v>28.744299999999999</v>
      </c>
      <c r="E344" s="46">
        <f>30.3093 * CHOOSE(CONTROL!$C$15, $E$9, 100%, $G$9) + CHOOSE(CONTROL!$C$38, 0.0369, 0)</f>
        <v>30.3462</v>
      </c>
      <c r="F344" s="45">
        <f>30.3093 * CHOOSE(CONTROL!$C$15, $E$9, 100%, $G$9) + CHOOSE(CONTROL!$C$38, 0.0278, 0)</f>
        <v>30.3371</v>
      </c>
      <c r="G344" s="14">
        <f>28.7137 * CHOOSE(CONTROL!$C$15, $E$9, 100%, $G$9) + CHOOSE(CONTROL!$C$38, 0.0369, 0)</f>
        <v>28.750599999999999</v>
      </c>
      <c r="H344" s="14">
        <f>28.7137 * CHOOSE(CONTROL!$C$15, $E$9, 100%, $G$9) + CHOOSE(CONTROL!$C$38, 0.0369, 0)</f>
        <v>28.750599999999999</v>
      </c>
      <c r="I344" s="14">
        <f>28.7153 * CHOOSE(CONTROL!$C$15, $E$9, 100%, $G$9) + CHOOSE(CONTROL!$C$38, 0.0369, 0)</f>
        <v>28.752199999999998</v>
      </c>
      <c r="J344" s="44">
        <f>216.496</f>
        <v>216.49600000000001</v>
      </c>
    </row>
    <row r="345" spans="1:10" ht="15.75" x14ac:dyDescent="0.25">
      <c r="A345" s="33">
        <v>51440</v>
      </c>
      <c r="B345" s="14">
        <f>30.8272 * CHOOSE(CONTROL!$C$15, $E$9, 100%, $G$9) + CHOOSE(CONTROL!$C$38, 0.0256, 0)</f>
        <v>30.852800000000002</v>
      </c>
      <c r="C345" s="14">
        <f>29.0768 * CHOOSE(CONTROL!$C$15, $E$9, 100%, $G$9) + CHOOSE(CONTROL!$C$38, 0.0347, 0)</f>
        <v>29.111499999999999</v>
      </c>
      <c r="D345" s="14">
        <f>29.069 * CHOOSE(CONTROL!$C$15, $E$9, 100%, $G$9) + CHOOSE(CONTROL!$C$38, 0.0347, 0)</f>
        <v>29.1037</v>
      </c>
      <c r="E345" s="46">
        <f>30.6709 * CHOOSE(CONTROL!$C$15, $E$9, 100%, $G$9) + CHOOSE(CONTROL!$C$38, 0.0347, 0)</f>
        <v>30.7056</v>
      </c>
      <c r="F345" s="45">
        <f>30.6709 * CHOOSE(CONTROL!$C$15, $E$9, 100%, $G$9) + CHOOSE(CONTROL!$C$38, 0.0256, 0)</f>
        <v>30.6965</v>
      </c>
      <c r="G345" s="14">
        <f>29.0753 * CHOOSE(CONTROL!$C$15, $E$9, 100%, $G$9) + CHOOSE(CONTROL!$C$38, 0.0347, 0)</f>
        <v>29.11</v>
      </c>
      <c r="H345" s="14">
        <f>29.0753 * CHOOSE(CONTROL!$C$15, $E$9, 100%, $G$9) + CHOOSE(CONTROL!$C$38, 0.0347, 0)</f>
        <v>29.11</v>
      </c>
      <c r="I345" s="14">
        <f>29.0768 * CHOOSE(CONTROL!$C$15, $E$9, 100%, $G$9) + CHOOSE(CONTROL!$C$38, 0.0347, 0)</f>
        <v>29.111499999999999</v>
      </c>
      <c r="J345" s="44">
        <f>209.0093</f>
        <v>209.0093</v>
      </c>
    </row>
    <row r="346" spans="1:10" ht="15.75" x14ac:dyDescent="0.25">
      <c r="A346" s="33">
        <v>51470</v>
      </c>
      <c r="B346" s="14">
        <f>31.1289 * CHOOSE(CONTROL!$C$15, $E$9, 100%, $G$9) + CHOOSE(CONTROL!$C$38, 0.0256, 0)</f>
        <v>31.154500000000002</v>
      </c>
      <c r="C346" s="14">
        <f>29.3785 * CHOOSE(CONTROL!$C$15, $E$9, 100%, $G$9) + CHOOSE(CONTROL!$C$38, 0.0347, 0)</f>
        <v>29.4132</v>
      </c>
      <c r="D346" s="14">
        <f>29.3707 * CHOOSE(CONTROL!$C$15, $E$9, 100%, $G$9) + CHOOSE(CONTROL!$C$38, 0.0347, 0)</f>
        <v>29.4054</v>
      </c>
      <c r="E346" s="46">
        <f>30.9726 * CHOOSE(CONTROL!$C$15, $E$9, 100%, $G$9) + CHOOSE(CONTROL!$C$38, 0.0347, 0)</f>
        <v>31.007300000000001</v>
      </c>
      <c r="F346" s="45">
        <f>30.9726 * CHOOSE(CONTROL!$C$15, $E$9, 100%, $G$9) + CHOOSE(CONTROL!$C$38, 0.0256, 0)</f>
        <v>30.998200000000001</v>
      </c>
      <c r="G346" s="14">
        <f>29.377 * CHOOSE(CONTROL!$C$15, $E$9, 100%, $G$9) + CHOOSE(CONTROL!$C$38, 0.0347, 0)</f>
        <v>29.4117</v>
      </c>
      <c r="H346" s="14">
        <f>29.377 * CHOOSE(CONTROL!$C$15, $E$9, 100%, $G$9) + CHOOSE(CONTROL!$C$38, 0.0347, 0)</f>
        <v>29.4117</v>
      </c>
      <c r="I346" s="14">
        <f>29.3785 * CHOOSE(CONTROL!$C$15, $E$9, 100%, $G$9) + CHOOSE(CONTROL!$C$38, 0.0347, 0)</f>
        <v>29.4132</v>
      </c>
      <c r="J346" s="44">
        <f>207.5201</f>
        <v>207.52010000000001</v>
      </c>
    </row>
    <row r="347" spans="1:10" ht="15.75" x14ac:dyDescent="0.25">
      <c r="A347" s="33">
        <v>51501</v>
      </c>
      <c r="B347" s="14">
        <f>32.0585 * CHOOSE(CONTROL!$C$15, $E$9, 100%, $G$9) + CHOOSE(CONTROL!$C$38, 0.0256, 0)</f>
        <v>32.084099999999999</v>
      </c>
      <c r="C347" s="14">
        <f>30.3082 * CHOOSE(CONTROL!$C$15, $E$9, 100%, $G$9) + CHOOSE(CONTROL!$C$38, 0.0347, 0)</f>
        <v>30.3429</v>
      </c>
      <c r="D347" s="14">
        <f>30.3004 * CHOOSE(CONTROL!$C$15, $E$9, 100%, $G$9) + CHOOSE(CONTROL!$C$38, 0.0347, 0)</f>
        <v>30.335100000000001</v>
      </c>
      <c r="E347" s="46">
        <f>31.9023 * CHOOSE(CONTROL!$C$15, $E$9, 100%, $G$9) + CHOOSE(CONTROL!$C$38, 0.0347, 0)</f>
        <v>31.937000000000001</v>
      </c>
      <c r="F347" s="45">
        <f>31.9023 * CHOOSE(CONTROL!$C$15, $E$9, 100%, $G$9) + CHOOSE(CONTROL!$C$38, 0.0256, 0)</f>
        <v>31.927900000000001</v>
      </c>
      <c r="G347" s="14">
        <f>30.3066 * CHOOSE(CONTROL!$C$15, $E$9, 100%, $G$9) + CHOOSE(CONTROL!$C$38, 0.0347, 0)</f>
        <v>30.3413</v>
      </c>
      <c r="H347" s="14">
        <f>30.3066 * CHOOSE(CONTROL!$C$15, $E$9, 100%, $G$9) + CHOOSE(CONTROL!$C$38, 0.0347, 0)</f>
        <v>30.3413</v>
      </c>
      <c r="I347" s="14">
        <f>30.3082 * CHOOSE(CONTROL!$C$15, $E$9, 100%, $G$9) + CHOOSE(CONTROL!$C$38, 0.0347, 0)</f>
        <v>30.3429</v>
      </c>
      <c r="J347" s="44">
        <f>201.3619</f>
        <v>201.36189999999999</v>
      </c>
    </row>
    <row r="348" spans="1:10" ht="15.75" x14ac:dyDescent="0.25">
      <c r="A348" s="33">
        <v>51532</v>
      </c>
      <c r="B348" s="14">
        <f>33.3062 * CHOOSE(CONTROL!$C$15, $E$9, 100%, $G$9) + CHOOSE(CONTROL!$C$38, 0.0256, 0)</f>
        <v>33.331799999999994</v>
      </c>
      <c r="C348" s="14">
        <f>31.5291 * CHOOSE(CONTROL!$C$15, $E$9, 100%, $G$9) + CHOOSE(CONTROL!$C$38, 0.0347, 0)</f>
        <v>31.563800000000001</v>
      </c>
      <c r="D348" s="14">
        <f>31.5213 * CHOOSE(CONTROL!$C$15, $E$9, 100%, $G$9) + CHOOSE(CONTROL!$C$38, 0.0347, 0)</f>
        <v>31.556000000000001</v>
      </c>
      <c r="E348" s="46">
        <f>33.15 * CHOOSE(CONTROL!$C$15, $E$9, 100%, $G$9) + CHOOSE(CONTROL!$C$38, 0.0347, 0)</f>
        <v>33.184699999999999</v>
      </c>
      <c r="F348" s="45">
        <f>33.15 * CHOOSE(CONTROL!$C$15, $E$9, 100%, $G$9) + CHOOSE(CONTROL!$C$38, 0.0256, 0)</f>
        <v>33.175599999999996</v>
      </c>
      <c r="G348" s="14">
        <f>31.5275 * CHOOSE(CONTROL!$C$15, $E$9, 100%, $G$9) + CHOOSE(CONTROL!$C$38, 0.0347, 0)</f>
        <v>31.562200000000001</v>
      </c>
      <c r="H348" s="14">
        <f>31.5275 * CHOOSE(CONTROL!$C$15, $E$9, 100%, $G$9) + CHOOSE(CONTROL!$C$38, 0.0347, 0)</f>
        <v>31.562200000000001</v>
      </c>
      <c r="I348" s="14">
        <f>31.5291 * CHOOSE(CONTROL!$C$15, $E$9, 100%, $G$9) + CHOOSE(CONTROL!$C$38, 0.0347, 0)</f>
        <v>31.563800000000001</v>
      </c>
      <c r="J348" s="44">
        <f>201.2165</f>
        <v>201.2165</v>
      </c>
    </row>
    <row r="349" spans="1:10" ht="15.75" x14ac:dyDescent="0.25">
      <c r="A349" s="33">
        <v>51560</v>
      </c>
      <c r="B349" s="14">
        <f>33.6505 * CHOOSE(CONTROL!$C$15, $E$9, 100%, $G$9) + CHOOSE(CONTROL!$C$38, 0.0256, 0)</f>
        <v>33.676099999999998</v>
      </c>
      <c r="C349" s="14">
        <f>31.8734 * CHOOSE(CONTROL!$C$15, $E$9, 100%, $G$9) + CHOOSE(CONTROL!$C$38, 0.0347, 0)</f>
        <v>31.908100000000001</v>
      </c>
      <c r="D349" s="14">
        <f>31.8656 * CHOOSE(CONTROL!$C$15, $E$9, 100%, $G$9) + CHOOSE(CONTROL!$C$38, 0.0347, 0)</f>
        <v>31.900300000000001</v>
      </c>
      <c r="E349" s="46">
        <f>33.4943 * CHOOSE(CONTROL!$C$15, $E$9, 100%, $G$9) + CHOOSE(CONTROL!$C$38, 0.0347, 0)</f>
        <v>33.529000000000003</v>
      </c>
      <c r="F349" s="45">
        <f>33.4943 * CHOOSE(CONTROL!$C$15, $E$9, 100%, $G$9) + CHOOSE(CONTROL!$C$38, 0.0256, 0)</f>
        <v>33.5199</v>
      </c>
      <c r="G349" s="14">
        <f>31.8718 * CHOOSE(CONTROL!$C$15, $E$9, 100%, $G$9) + CHOOSE(CONTROL!$C$38, 0.0347, 0)</f>
        <v>31.906500000000001</v>
      </c>
      <c r="H349" s="14">
        <f>31.8718 * CHOOSE(CONTROL!$C$15, $E$9, 100%, $G$9) + CHOOSE(CONTROL!$C$38, 0.0347, 0)</f>
        <v>31.906500000000001</v>
      </c>
      <c r="I349" s="14">
        <f>31.8734 * CHOOSE(CONTROL!$C$15, $E$9, 100%, $G$9) + CHOOSE(CONTROL!$C$38, 0.0347, 0)</f>
        <v>31.908100000000001</v>
      </c>
      <c r="J349" s="44">
        <f>200.6572</f>
        <v>200.65719999999999</v>
      </c>
    </row>
    <row r="350" spans="1:10" ht="15.75" x14ac:dyDescent="0.25">
      <c r="A350" s="33">
        <v>51591</v>
      </c>
      <c r="B350" s="14">
        <f>32.8535 * CHOOSE(CONTROL!$C$15, $E$9, 100%, $G$9) + CHOOSE(CONTROL!$C$38, 0.0256, 0)</f>
        <v>32.879099999999994</v>
      </c>
      <c r="C350" s="14">
        <f>31.0764 * CHOOSE(CONTROL!$C$15, $E$9, 100%, $G$9) + CHOOSE(CONTROL!$C$38, 0.0347, 0)</f>
        <v>31.1111</v>
      </c>
      <c r="D350" s="14">
        <f>31.0686 * CHOOSE(CONTROL!$C$15, $E$9, 100%, $G$9) + CHOOSE(CONTROL!$C$38, 0.0347, 0)</f>
        <v>31.103300000000001</v>
      </c>
      <c r="E350" s="46">
        <f>32.6972 * CHOOSE(CONTROL!$C$15, $E$9, 100%, $G$9) + CHOOSE(CONTROL!$C$38, 0.0347, 0)</f>
        <v>32.731900000000003</v>
      </c>
      <c r="F350" s="45">
        <f>32.6972 * CHOOSE(CONTROL!$C$15, $E$9, 100%, $G$9) + CHOOSE(CONTROL!$C$38, 0.0256, 0)</f>
        <v>32.722799999999999</v>
      </c>
      <c r="G350" s="14">
        <f>31.0748 * CHOOSE(CONTROL!$C$15, $E$9, 100%, $G$9) + CHOOSE(CONTROL!$C$38, 0.0347, 0)</f>
        <v>31.109500000000001</v>
      </c>
      <c r="H350" s="14">
        <f>31.0748 * CHOOSE(CONTROL!$C$15, $E$9, 100%, $G$9) + CHOOSE(CONTROL!$C$38, 0.0347, 0)</f>
        <v>31.109500000000001</v>
      </c>
      <c r="I350" s="14">
        <f>31.0764 * CHOOSE(CONTROL!$C$15, $E$9, 100%, $G$9) + CHOOSE(CONTROL!$C$38, 0.0347, 0)</f>
        <v>31.1111</v>
      </c>
      <c r="J350" s="44">
        <f>211.233</f>
        <v>211.233</v>
      </c>
    </row>
    <row r="351" spans="1:10" ht="15.75" x14ac:dyDescent="0.25">
      <c r="A351" s="33">
        <v>51621</v>
      </c>
      <c r="B351" s="14">
        <f>32.0812 * CHOOSE(CONTROL!$C$15, $E$9, 100%, $G$9) + CHOOSE(CONTROL!$C$38, 0.0256, 0)</f>
        <v>32.1068</v>
      </c>
      <c r="C351" s="14">
        <f>30.3041 * CHOOSE(CONTROL!$C$15, $E$9, 100%, $G$9) + CHOOSE(CONTROL!$C$38, 0.0347, 0)</f>
        <v>30.338799999999999</v>
      </c>
      <c r="D351" s="14">
        <f>30.2962 * CHOOSE(CONTROL!$C$15, $E$9, 100%, $G$9) + CHOOSE(CONTROL!$C$38, 0.0347, 0)</f>
        <v>30.3309</v>
      </c>
      <c r="E351" s="46">
        <f>31.9249 * CHOOSE(CONTROL!$C$15, $E$9, 100%, $G$9) + CHOOSE(CONTROL!$C$38, 0.0347, 0)</f>
        <v>31.959600000000002</v>
      </c>
      <c r="F351" s="45">
        <f>31.9249 * CHOOSE(CONTROL!$C$15, $E$9, 100%, $G$9) + CHOOSE(CONTROL!$C$38, 0.0256, 0)</f>
        <v>31.950500000000002</v>
      </c>
      <c r="G351" s="14">
        <f>30.3025 * CHOOSE(CONTROL!$C$15, $E$9, 100%, $G$9) + CHOOSE(CONTROL!$C$38, 0.0347, 0)</f>
        <v>30.337199999999999</v>
      </c>
      <c r="H351" s="14">
        <f>30.3025 * CHOOSE(CONTROL!$C$15, $E$9, 100%, $G$9) + CHOOSE(CONTROL!$C$38, 0.0347, 0)</f>
        <v>30.337199999999999</v>
      </c>
      <c r="I351" s="14">
        <f>30.3041 * CHOOSE(CONTROL!$C$15, $E$9, 100%, $G$9) + CHOOSE(CONTROL!$C$38, 0.0347, 0)</f>
        <v>30.338799999999999</v>
      </c>
      <c r="J351" s="44">
        <f>224.9473</f>
        <v>224.94730000000001</v>
      </c>
    </row>
    <row r="352" spans="1:10" ht="15.75" x14ac:dyDescent="0.25">
      <c r="A352" s="33">
        <v>51652</v>
      </c>
      <c r="B352" s="14">
        <f>31.2762 * CHOOSE(CONTROL!$C$15, $E$9, 100%, $G$9) + CHOOSE(CONTROL!$C$38, 0.0278, 0)</f>
        <v>31.303999999999998</v>
      </c>
      <c r="C352" s="14">
        <f>29.4991 * CHOOSE(CONTROL!$C$15, $E$9, 100%, $G$9) + CHOOSE(CONTROL!$C$38, 0.0369, 0)</f>
        <v>29.535999999999998</v>
      </c>
      <c r="D352" s="14">
        <f>29.4913 * CHOOSE(CONTROL!$C$15, $E$9, 100%, $G$9) + CHOOSE(CONTROL!$C$38, 0.0369, 0)</f>
        <v>29.528199999999998</v>
      </c>
      <c r="E352" s="46">
        <f>31.12 * CHOOSE(CONTROL!$C$15, $E$9, 100%, $G$9) + CHOOSE(CONTROL!$C$38, 0.0369, 0)</f>
        <v>31.1569</v>
      </c>
      <c r="F352" s="45">
        <f>31.12 * CHOOSE(CONTROL!$C$15, $E$9, 100%, $G$9) + CHOOSE(CONTROL!$C$38, 0.0278, 0)</f>
        <v>31.1478</v>
      </c>
      <c r="G352" s="14">
        <f>29.4975 * CHOOSE(CONTROL!$C$15, $E$9, 100%, $G$9) + CHOOSE(CONTROL!$C$38, 0.0369, 0)</f>
        <v>29.534399999999998</v>
      </c>
      <c r="H352" s="14">
        <f>29.4975 * CHOOSE(CONTROL!$C$15, $E$9, 100%, $G$9) + CHOOSE(CONTROL!$C$38, 0.0369, 0)</f>
        <v>29.534399999999998</v>
      </c>
      <c r="I352" s="14">
        <f>29.4991 * CHOOSE(CONTROL!$C$15, $E$9, 100%, $G$9) + CHOOSE(CONTROL!$C$38, 0.0369, 0)</f>
        <v>29.535999999999998</v>
      </c>
      <c r="J352" s="44">
        <f>232.4961</f>
        <v>232.49610000000001</v>
      </c>
    </row>
    <row r="353" spans="1:10" ht="15.75" x14ac:dyDescent="0.25">
      <c r="A353" s="33">
        <v>51682</v>
      </c>
      <c r="B353" s="14">
        <f>30.7119 * CHOOSE(CONTROL!$C$15, $E$9, 100%, $G$9) + CHOOSE(CONTROL!$C$38, 0.0278, 0)</f>
        <v>30.739699999999999</v>
      </c>
      <c r="C353" s="14">
        <f>28.9348 * CHOOSE(CONTROL!$C$15, $E$9, 100%, $G$9) + CHOOSE(CONTROL!$C$38, 0.0369, 0)</f>
        <v>28.971699999999998</v>
      </c>
      <c r="D353" s="14">
        <f>28.9269 * CHOOSE(CONTROL!$C$15, $E$9, 100%, $G$9) + CHOOSE(CONTROL!$C$38, 0.0369, 0)</f>
        <v>28.963799999999999</v>
      </c>
      <c r="E353" s="46">
        <f>30.5556 * CHOOSE(CONTROL!$C$15, $E$9, 100%, $G$9) + CHOOSE(CONTROL!$C$38, 0.0369, 0)</f>
        <v>30.592499999999998</v>
      </c>
      <c r="F353" s="45">
        <f>30.5556 * CHOOSE(CONTROL!$C$15, $E$9, 100%, $G$9) + CHOOSE(CONTROL!$C$38, 0.0278, 0)</f>
        <v>30.583399999999997</v>
      </c>
      <c r="G353" s="14">
        <f>28.9332 * CHOOSE(CONTROL!$C$15, $E$9, 100%, $G$9) + CHOOSE(CONTROL!$C$38, 0.0369, 0)</f>
        <v>28.970099999999999</v>
      </c>
      <c r="H353" s="14">
        <f>28.9332 * CHOOSE(CONTROL!$C$15, $E$9, 100%, $G$9) + CHOOSE(CONTROL!$C$38, 0.0369, 0)</f>
        <v>28.970099999999999</v>
      </c>
      <c r="I353" s="14">
        <f>28.9348 * CHOOSE(CONTROL!$C$15, $E$9, 100%, $G$9) + CHOOSE(CONTROL!$C$38, 0.0369, 0)</f>
        <v>28.971699999999998</v>
      </c>
      <c r="J353" s="44">
        <f>235.8461</f>
        <v>235.84610000000001</v>
      </c>
    </row>
    <row r="354" spans="1:10" ht="15.75" x14ac:dyDescent="0.25">
      <c r="A354" s="33">
        <v>51713</v>
      </c>
      <c r="B354" s="14">
        <f>30.3898 * CHOOSE(CONTROL!$C$15, $E$9, 100%, $G$9) + CHOOSE(CONTROL!$C$38, 0.0278, 0)</f>
        <v>30.4176</v>
      </c>
      <c r="C354" s="14">
        <f>28.6127 * CHOOSE(CONTROL!$C$15, $E$9, 100%, $G$9) + CHOOSE(CONTROL!$C$38, 0.0369, 0)</f>
        <v>28.6496</v>
      </c>
      <c r="D354" s="14">
        <f>28.6049 * CHOOSE(CONTROL!$C$15, $E$9, 100%, $G$9) + CHOOSE(CONTROL!$C$38, 0.0369, 0)</f>
        <v>28.6418</v>
      </c>
      <c r="E354" s="46">
        <f>30.2336 * CHOOSE(CONTROL!$C$15, $E$9, 100%, $G$9) + CHOOSE(CONTROL!$C$38, 0.0369, 0)</f>
        <v>30.270499999999998</v>
      </c>
      <c r="F354" s="45">
        <f>30.2336 * CHOOSE(CONTROL!$C$15, $E$9, 100%, $G$9) + CHOOSE(CONTROL!$C$38, 0.0278, 0)</f>
        <v>30.261399999999998</v>
      </c>
      <c r="G354" s="14">
        <f>28.6111 * CHOOSE(CONTROL!$C$15, $E$9, 100%, $G$9) + CHOOSE(CONTROL!$C$38, 0.0369, 0)</f>
        <v>28.648</v>
      </c>
      <c r="H354" s="14">
        <f>28.6111 * CHOOSE(CONTROL!$C$15, $E$9, 100%, $G$9) + CHOOSE(CONTROL!$C$38, 0.0369, 0)</f>
        <v>28.648</v>
      </c>
      <c r="I354" s="14">
        <f>28.6127 * CHOOSE(CONTROL!$C$15, $E$9, 100%, $G$9) + CHOOSE(CONTROL!$C$38, 0.0369, 0)</f>
        <v>28.6496</v>
      </c>
      <c r="J354" s="44">
        <f>234.7431</f>
        <v>234.7431</v>
      </c>
    </row>
    <row r="355" spans="1:10" ht="15.75" x14ac:dyDescent="0.25">
      <c r="A355" s="33">
        <v>51744</v>
      </c>
      <c r="B355" s="14">
        <f>30.5488 * CHOOSE(CONTROL!$C$15, $E$9, 100%, $G$9) + CHOOSE(CONTROL!$C$38, 0.0278, 0)</f>
        <v>30.576599999999999</v>
      </c>
      <c r="C355" s="14">
        <f>28.7716 * CHOOSE(CONTROL!$C$15, $E$9, 100%, $G$9) + CHOOSE(CONTROL!$C$38, 0.0369, 0)</f>
        <v>28.808499999999999</v>
      </c>
      <c r="D355" s="14">
        <f>28.7638 * CHOOSE(CONTROL!$C$15, $E$9, 100%, $G$9) + CHOOSE(CONTROL!$C$38, 0.0369, 0)</f>
        <v>28.800699999999999</v>
      </c>
      <c r="E355" s="46">
        <f>30.3925 * CHOOSE(CONTROL!$C$15, $E$9, 100%, $G$9) + CHOOSE(CONTROL!$C$38, 0.0369, 0)</f>
        <v>30.429399999999998</v>
      </c>
      <c r="F355" s="45">
        <f>30.3925 * CHOOSE(CONTROL!$C$15, $E$9, 100%, $G$9) + CHOOSE(CONTROL!$C$38, 0.0278, 0)</f>
        <v>30.420299999999997</v>
      </c>
      <c r="G355" s="14">
        <f>28.7701 * CHOOSE(CONTROL!$C$15, $E$9, 100%, $G$9) + CHOOSE(CONTROL!$C$38, 0.0369, 0)</f>
        <v>28.806999999999999</v>
      </c>
      <c r="H355" s="14">
        <f>28.7701 * CHOOSE(CONTROL!$C$15, $E$9, 100%, $G$9) + CHOOSE(CONTROL!$C$38, 0.0369, 0)</f>
        <v>28.806999999999999</v>
      </c>
      <c r="I355" s="14">
        <f>28.7716 * CHOOSE(CONTROL!$C$15, $E$9, 100%, $G$9) + CHOOSE(CONTROL!$C$38, 0.0369, 0)</f>
        <v>28.808499999999999</v>
      </c>
      <c r="J355" s="44">
        <f>229.2784</f>
        <v>229.2784</v>
      </c>
    </row>
    <row r="356" spans="1:10" ht="15.75" x14ac:dyDescent="0.25">
      <c r="A356" s="33">
        <v>51774</v>
      </c>
      <c r="B356" s="14">
        <f>30.9805 * CHOOSE(CONTROL!$C$15, $E$9, 100%, $G$9) + CHOOSE(CONTROL!$C$38, 0.0278, 0)</f>
        <v>31.008299999999998</v>
      </c>
      <c r="C356" s="14">
        <f>29.2034 * CHOOSE(CONTROL!$C$15, $E$9, 100%, $G$9) + CHOOSE(CONTROL!$C$38, 0.0369, 0)</f>
        <v>29.240299999999998</v>
      </c>
      <c r="D356" s="14">
        <f>29.1955 * CHOOSE(CONTROL!$C$15, $E$9, 100%, $G$9) + CHOOSE(CONTROL!$C$38, 0.0369, 0)</f>
        <v>29.232399999999998</v>
      </c>
      <c r="E356" s="46">
        <f>30.8242 * CHOOSE(CONTROL!$C$15, $E$9, 100%, $G$9) + CHOOSE(CONTROL!$C$38, 0.0369, 0)</f>
        <v>30.8611</v>
      </c>
      <c r="F356" s="45">
        <f>30.8242 * CHOOSE(CONTROL!$C$15, $E$9, 100%, $G$9) + CHOOSE(CONTROL!$C$38, 0.0278, 0)</f>
        <v>30.852</v>
      </c>
      <c r="G356" s="14">
        <f>29.2018 * CHOOSE(CONTROL!$C$15, $E$9, 100%, $G$9) + CHOOSE(CONTROL!$C$38, 0.0369, 0)</f>
        <v>29.238699999999998</v>
      </c>
      <c r="H356" s="14">
        <f>29.2018 * CHOOSE(CONTROL!$C$15, $E$9, 100%, $G$9) + CHOOSE(CONTROL!$C$38, 0.0369, 0)</f>
        <v>29.238699999999998</v>
      </c>
      <c r="I356" s="14">
        <f>29.2034 * CHOOSE(CONTROL!$C$15, $E$9, 100%, $G$9) + CHOOSE(CONTROL!$C$38, 0.0369, 0)</f>
        <v>29.240299999999998</v>
      </c>
      <c r="J356" s="44">
        <f>221.6576</f>
        <v>221.6576</v>
      </c>
    </row>
    <row r="357" spans="1:10" ht="15.75" x14ac:dyDescent="0.25">
      <c r="A357" s="33">
        <v>51805</v>
      </c>
      <c r="B357" s="14">
        <f>31.342 * CHOOSE(CONTROL!$C$15, $E$9, 100%, $G$9) + CHOOSE(CONTROL!$C$38, 0.0256, 0)</f>
        <v>31.367599999999999</v>
      </c>
      <c r="C357" s="14">
        <f>29.5649 * CHOOSE(CONTROL!$C$15, $E$9, 100%, $G$9) + CHOOSE(CONTROL!$C$38, 0.0347, 0)</f>
        <v>29.599600000000002</v>
      </c>
      <c r="D357" s="14">
        <f>29.5571 * CHOOSE(CONTROL!$C$15, $E$9, 100%, $G$9) + CHOOSE(CONTROL!$C$38, 0.0347, 0)</f>
        <v>29.591799999999999</v>
      </c>
      <c r="E357" s="46">
        <f>31.1858 * CHOOSE(CONTROL!$C$15, $E$9, 100%, $G$9) + CHOOSE(CONTROL!$C$38, 0.0347, 0)</f>
        <v>31.220500000000001</v>
      </c>
      <c r="F357" s="45">
        <f>31.1858 * CHOOSE(CONTROL!$C$15, $E$9, 100%, $G$9) + CHOOSE(CONTROL!$C$38, 0.0256, 0)</f>
        <v>31.211400000000001</v>
      </c>
      <c r="G357" s="14">
        <f>29.5634 * CHOOSE(CONTROL!$C$15, $E$9, 100%, $G$9) + CHOOSE(CONTROL!$C$38, 0.0347, 0)</f>
        <v>29.598100000000002</v>
      </c>
      <c r="H357" s="14">
        <f>29.5634 * CHOOSE(CONTROL!$C$15, $E$9, 100%, $G$9) + CHOOSE(CONTROL!$C$38, 0.0347, 0)</f>
        <v>29.598100000000002</v>
      </c>
      <c r="I357" s="14">
        <f>29.5649 * CHOOSE(CONTROL!$C$15, $E$9, 100%, $G$9) + CHOOSE(CONTROL!$C$38, 0.0347, 0)</f>
        <v>29.599600000000002</v>
      </c>
      <c r="J357" s="44">
        <f>213.9924</f>
        <v>213.9924</v>
      </c>
    </row>
    <row r="358" spans="1:10" ht="15.75" x14ac:dyDescent="0.25">
      <c r="A358" s="33">
        <v>51835</v>
      </c>
      <c r="B358" s="14">
        <f>31.6437 * CHOOSE(CONTROL!$C$15, $E$9, 100%, $G$9) + CHOOSE(CONTROL!$C$38, 0.0256, 0)</f>
        <v>31.6693</v>
      </c>
      <c r="C358" s="14">
        <f>29.8666 * CHOOSE(CONTROL!$C$15, $E$9, 100%, $G$9) + CHOOSE(CONTROL!$C$38, 0.0347, 0)</f>
        <v>29.901299999999999</v>
      </c>
      <c r="D358" s="14">
        <f>29.8588 * CHOOSE(CONTROL!$C$15, $E$9, 100%, $G$9) + CHOOSE(CONTROL!$C$38, 0.0347, 0)</f>
        <v>29.8935</v>
      </c>
      <c r="E358" s="46">
        <f>31.4875 * CHOOSE(CONTROL!$C$15, $E$9, 100%, $G$9) + CHOOSE(CONTROL!$C$38, 0.0347, 0)</f>
        <v>31.522200000000002</v>
      </c>
      <c r="F358" s="45">
        <f>31.4875 * CHOOSE(CONTROL!$C$15, $E$9, 100%, $G$9) + CHOOSE(CONTROL!$C$38, 0.0256, 0)</f>
        <v>31.513100000000001</v>
      </c>
      <c r="G358" s="14">
        <f>29.8651 * CHOOSE(CONTROL!$C$15, $E$9, 100%, $G$9) + CHOOSE(CONTROL!$C$38, 0.0347, 0)</f>
        <v>29.899800000000003</v>
      </c>
      <c r="H358" s="14">
        <f>29.8651 * CHOOSE(CONTROL!$C$15, $E$9, 100%, $G$9) + CHOOSE(CONTROL!$C$38, 0.0347, 0)</f>
        <v>29.899800000000003</v>
      </c>
      <c r="I358" s="14">
        <f>29.8666 * CHOOSE(CONTROL!$C$15, $E$9, 100%, $G$9) + CHOOSE(CONTROL!$C$38, 0.0347, 0)</f>
        <v>29.901299999999999</v>
      </c>
      <c r="J358" s="44">
        <f>212.4677</f>
        <v>212.46770000000001</v>
      </c>
    </row>
    <row r="359" spans="1:10" ht="15.75" x14ac:dyDescent="0.25">
      <c r="A359" s="33">
        <v>51866</v>
      </c>
      <c r="B359" s="14">
        <f>32.5734 * CHOOSE(CONTROL!$C$15, $E$9, 100%, $G$9) + CHOOSE(CONTROL!$C$38, 0.0256, 0)</f>
        <v>32.598999999999997</v>
      </c>
      <c r="C359" s="14">
        <f>30.7963 * CHOOSE(CONTROL!$C$15, $E$9, 100%, $G$9) + CHOOSE(CONTROL!$C$38, 0.0347, 0)</f>
        <v>30.831</v>
      </c>
      <c r="D359" s="14">
        <f>30.7885 * CHOOSE(CONTROL!$C$15, $E$9, 100%, $G$9) + CHOOSE(CONTROL!$C$38, 0.0347, 0)</f>
        <v>30.8232</v>
      </c>
      <c r="E359" s="46">
        <f>32.4172 * CHOOSE(CONTROL!$C$15, $E$9, 100%, $G$9) + CHOOSE(CONTROL!$C$38, 0.0347, 0)</f>
        <v>32.451900000000002</v>
      </c>
      <c r="F359" s="45">
        <f>32.4172 * CHOOSE(CONTROL!$C$15, $E$9, 100%, $G$9) + CHOOSE(CONTROL!$C$38, 0.0256, 0)</f>
        <v>32.442799999999998</v>
      </c>
      <c r="G359" s="14">
        <f>30.7947 * CHOOSE(CONTROL!$C$15, $E$9, 100%, $G$9) + CHOOSE(CONTROL!$C$38, 0.0347, 0)</f>
        <v>30.8294</v>
      </c>
      <c r="H359" s="14">
        <f>30.7947 * CHOOSE(CONTROL!$C$15, $E$9, 100%, $G$9) + CHOOSE(CONTROL!$C$38, 0.0347, 0)</f>
        <v>30.8294</v>
      </c>
      <c r="I359" s="14">
        <f>30.7963 * CHOOSE(CONTROL!$C$15, $E$9, 100%, $G$9) + CHOOSE(CONTROL!$C$38, 0.0347, 0)</f>
        <v>30.831</v>
      </c>
      <c r="J359" s="44">
        <f>206.1627</f>
        <v>206.1627</v>
      </c>
    </row>
    <row r="360" spans="1:10" ht="15.75" x14ac:dyDescent="0.25">
      <c r="A360" s="33">
        <v>51897</v>
      </c>
      <c r="B360" s="14">
        <f>33.8297 * CHOOSE(CONTROL!$C$15, $E$9, 100%, $G$9) + CHOOSE(CONTROL!$C$38, 0.0256, 0)</f>
        <v>33.8553</v>
      </c>
      <c r="C360" s="14">
        <f>32.0254 * CHOOSE(CONTROL!$C$15, $E$9, 100%, $G$9) + CHOOSE(CONTROL!$C$38, 0.0347, 0)</f>
        <v>32.060099999999998</v>
      </c>
      <c r="D360" s="14">
        <f>32.0176 * CHOOSE(CONTROL!$C$15, $E$9, 100%, $G$9) + CHOOSE(CONTROL!$C$38, 0.0347, 0)</f>
        <v>32.052300000000002</v>
      </c>
      <c r="E360" s="46">
        <f>33.6735 * CHOOSE(CONTROL!$C$15, $E$9, 100%, $G$9) + CHOOSE(CONTROL!$C$38, 0.0347, 0)</f>
        <v>33.708199999999998</v>
      </c>
      <c r="F360" s="45">
        <f>33.6735 * CHOOSE(CONTROL!$C$15, $E$9, 100%, $G$9) + CHOOSE(CONTROL!$C$38, 0.0256, 0)</f>
        <v>33.699099999999994</v>
      </c>
      <c r="G360" s="14">
        <f>32.0238 * CHOOSE(CONTROL!$C$15, $E$9, 100%, $G$9) + CHOOSE(CONTROL!$C$38, 0.0347, 0)</f>
        <v>32.058500000000002</v>
      </c>
      <c r="H360" s="14">
        <f>32.0238 * CHOOSE(CONTROL!$C$15, $E$9, 100%, $G$9) + CHOOSE(CONTROL!$C$38, 0.0347, 0)</f>
        <v>32.058500000000002</v>
      </c>
      <c r="I360" s="14">
        <f>32.0254 * CHOOSE(CONTROL!$C$15, $E$9, 100%, $G$9) + CHOOSE(CONTROL!$C$38, 0.0347, 0)</f>
        <v>32.060099999999998</v>
      </c>
      <c r="J360" s="44">
        <f>206.0138</f>
        <v>206.0138</v>
      </c>
    </row>
    <row r="361" spans="1:10" ht="15.75" x14ac:dyDescent="0.25">
      <c r="A361" s="33">
        <v>51925</v>
      </c>
      <c r="B361" s="14">
        <f>34.174 * CHOOSE(CONTROL!$C$15, $E$9, 100%, $G$9) + CHOOSE(CONTROL!$C$38, 0.0256, 0)</f>
        <v>34.199599999999997</v>
      </c>
      <c r="C361" s="14">
        <f>32.3697 * CHOOSE(CONTROL!$C$15, $E$9, 100%, $G$9) + CHOOSE(CONTROL!$C$38, 0.0347, 0)</f>
        <v>32.404400000000003</v>
      </c>
      <c r="D361" s="14">
        <f>32.3619 * CHOOSE(CONTROL!$C$15, $E$9, 100%, $G$9) + CHOOSE(CONTROL!$C$38, 0.0347, 0)</f>
        <v>32.396599999999999</v>
      </c>
      <c r="E361" s="46">
        <f>34.0178 * CHOOSE(CONTROL!$C$15, $E$9, 100%, $G$9) + CHOOSE(CONTROL!$C$38, 0.0347, 0)</f>
        <v>34.052500000000002</v>
      </c>
      <c r="F361" s="45">
        <f>34.0178 * CHOOSE(CONTROL!$C$15, $E$9, 100%, $G$9) + CHOOSE(CONTROL!$C$38, 0.0256, 0)</f>
        <v>34.043399999999998</v>
      </c>
      <c r="G361" s="14">
        <f>32.3681 * CHOOSE(CONTROL!$C$15, $E$9, 100%, $G$9) + CHOOSE(CONTROL!$C$38, 0.0347, 0)</f>
        <v>32.402799999999999</v>
      </c>
      <c r="H361" s="14">
        <f>32.3681 * CHOOSE(CONTROL!$C$15, $E$9, 100%, $G$9) + CHOOSE(CONTROL!$C$38, 0.0347, 0)</f>
        <v>32.402799999999999</v>
      </c>
      <c r="I361" s="14">
        <f>32.3697 * CHOOSE(CONTROL!$C$15, $E$9, 100%, $G$9) + CHOOSE(CONTROL!$C$38, 0.0347, 0)</f>
        <v>32.404400000000003</v>
      </c>
      <c r="J361" s="44">
        <f>205.4412</f>
        <v>205.44120000000001</v>
      </c>
    </row>
    <row r="362" spans="1:10" ht="15.75" x14ac:dyDescent="0.25">
      <c r="A362" s="33">
        <v>51956</v>
      </c>
      <c r="B362" s="14">
        <f>33.377 * CHOOSE(CONTROL!$C$15, $E$9, 100%, $G$9) + CHOOSE(CONTROL!$C$38, 0.0256, 0)</f>
        <v>33.4026</v>
      </c>
      <c r="C362" s="14">
        <f>31.5727 * CHOOSE(CONTROL!$C$15, $E$9, 100%, $G$9) + CHOOSE(CONTROL!$C$38, 0.0347, 0)</f>
        <v>31.607400000000002</v>
      </c>
      <c r="D362" s="14">
        <f>31.5648 * CHOOSE(CONTROL!$C$15, $E$9, 100%, $G$9) + CHOOSE(CONTROL!$C$38, 0.0347, 0)</f>
        <v>31.599500000000003</v>
      </c>
      <c r="E362" s="46">
        <f>33.2208 * CHOOSE(CONTROL!$C$15, $E$9, 100%, $G$9) + CHOOSE(CONTROL!$C$38, 0.0347, 0)</f>
        <v>33.255499999999998</v>
      </c>
      <c r="F362" s="45">
        <f>33.2208 * CHOOSE(CONTROL!$C$15, $E$9, 100%, $G$9) + CHOOSE(CONTROL!$C$38, 0.0256, 0)</f>
        <v>33.246399999999994</v>
      </c>
      <c r="G362" s="14">
        <f>31.5711 * CHOOSE(CONTROL!$C$15, $E$9, 100%, $G$9) + CHOOSE(CONTROL!$C$38, 0.0347, 0)</f>
        <v>31.605800000000002</v>
      </c>
      <c r="H362" s="14">
        <f>31.5711 * CHOOSE(CONTROL!$C$15, $E$9, 100%, $G$9) + CHOOSE(CONTROL!$C$38, 0.0347, 0)</f>
        <v>31.605800000000002</v>
      </c>
      <c r="I362" s="14">
        <f>31.5727 * CHOOSE(CONTROL!$C$15, $E$9, 100%, $G$9) + CHOOSE(CONTROL!$C$38, 0.0347, 0)</f>
        <v>31.607400000000002</v>
      </c>
      <c r="J362" s="44">
        <f>216.2691</f>
        <v>216.26910000000001</v>
      </c>
    </row>
    <row r="363" spans="1:10" ht="15.75" x14ac:dyDescent="0.25">
      <c r="A363" s="33">
        <v>51986</v>
      </c>
      <c r="B363" s="14">
        <f>32.6047 * CHOOSE(CONTROL!$C$15, $E$9, 100%, $G$9) + CHOOSE(CONTROL!$C$38, 0.0256, 0)</f>
        <v>32.630299999999998</v>
      </c>
      <c r="C363" s="14">
        <f>30.8003 * CHOOSE(CONTROL!$C$15, $E$9, 100%, $G$9) + CHOOSE(CONTROL!$C$38, 0.0347, 0)</f>
        <v>30.835000000000001</v>
      </c>
      <c r="D363" s="14">
        <f>30.7925 * CHOOSE(CONTROL!$C$15, $E$9, 100%, $G$9) + CHOOSE(CONTROL!$C$38, 0.0347, 0)</f>
        <v>30.827200000000001</v>
      </c>
      <c r="E363" s="46">
        <f>32.4484 * CHOOSE(CONTROL!$C$15, $E$9, 100%, $G$9) + CHOOSE(CONTROL!$C$38, 0.0347, 0)</f>
        <v>32.4831</v>
      </c>
      <c r="F363" s="45">
        <f>32.4484 * CHOOSE(CONTROL!$C$15, $E$9, 100%, $G$9) + CHOOSE(CONTROL!$C$38, 0.0256, 0)</f>
        <v>32.473999999999997</v>
      </c>
      <c r="G363" s="14">
        <f>30.7988 * CHOOSE(CONTROL!$C$15, $E$9, 100%, $G$9) + CHOOSE(CONTROL!$C$38, 0.0347, 0)</f>
        <v>30.833500000000001</v>
      </c>
      <c r="H363" s="14">
        <f>30.7988 * CHOOSE(CONTROL!$C$15, $E$9, 100%, $G$9) + CHOOSE(CONTROL!$C$38, 0.0347, 0)</f>
        <v>30.833500000000001</v>
      </c>
      <c r="I363" s="14">
        <f>30.8003 * CHOOSE(CONTROL!$C$15, $E$9, 100%, $G$9) + CHOOSE(CONTROL!$C$38, 0.0347, 0)</f>
        <v>30.835000000000001</v>
      </c>
      <c r="J363" s="44">
        <f>230.3104</f>
        <v>230.31039999999999</v>
      </c>
    </row>
    <row r="364" spans="1:10" ht="15.75" x14ac:dyDescent="0.25">
      <c r="A364" s="33">
        <v>52017</v>
      </c>
      <c r="B364" s="14">
        <f>31.7997 * CHOOSE(CONTROL!$C$15, $E$9, 100%, $G$9) + CHOOSE(CONTROL!$C$38, 0.0278, 0)</f>
        <v>31.827500000000001</v>
      </c>
      <c r="C364" s="14">
        <f>29.9954 * CHOOSE(CONTROL!$C$15, $E$9, 100%, $G$9) + CHOOSE(CONTROL!$C$38, 0.0369, 0)</f>
        <v>30.032299999999999</v>
      </c>
      <c r="D364" s="14">
        <f>29.9876 * CHOOSE(CONTROL!$C$15, $E$9, 100%, $G$9) + CHOOSE(CONTROL!$C$38, 0.0369, 0)</f>
        <v>30.0245</v>
      </c>
      <c r="E364" s="46">
        <f>31.6435 * CHOOSE(CONTROL!$C$15, $E$9, 100%, $G$9) + CHOOSE(CONTROL!$C$38, 0.0369, 0)</f>
        <v>31.680399999999999</v>
      </c>
      <c r="F364" s="45">
        <f>31.6435 * CHOOSE(CONTROL!$C$15, $E$9, 100%, $G$9) + CHOOSE(CONTROL!$C$38, 0.0278, 0)</f>
        <v>31.671299999999999</v>
      </c>
      <c r="G364" s="14">
        <f>29.9938 * CHOOSE(CONTROL!$C$15, $E$9, 100%, $G$9) + CHOOSE(CONTROL!$C$38, 0.0369, 0)</f>
        <v>30.0307</v>
      </c>
      <c r="H364" s="14">
        <f>29.9938 * CHOOSE(CONTROL!$C$15, $E$9, 100%, $G$9) + CHOOSE(CONTROL!$C$38, 0.0369, 0)</f>
        <v>30.0307</v>
      </c>
      <c r="I364" s="14">
        <f>29.9954 * CHOOSE(CONTROL!$C$15, $E$9, 100%, $G$9) + CHOOSE(CONTROL!$C$38, 0.0369, 0)</f>
        <v>30.032299999999999</v>
      </c>
      <c r="J364" s="44">
        <f>238.0392</f>
        <v>238.03919999999999</v>
      </c>
    </row>
    <row r="365" spans="1:10" ht="15.75" x14ac:dyDescent="0.25">
      <c r="A365" s="33">
        <v>52047</v>
      </c>
      <c r="B365" s="14">
        <f>31.2354 * CHOOSE(CONTROL!$C$15, $E$9, 100%, $G$9) + CHOOSE(CONTROL!$C$38, 0.0278, 0)</f>
        <v>31.263199999999998</v>
      </c>
      <c r="C365" s="14">
        <f>29.431 * CHOOSE(CONTROL!$C$15, $E$9, 100%, $G$9) + CHOOSE(CONTROL!$C$38, 0.0369, 0)</f>
        <v>29.4679</v>
      </c>
      <c r="D365" s="14">
        <f>29.4232 * CHOOSE(CONTROL!$C$15, $E$9, 100%, $G$9) + CHOOSE(CONTROL!$C$38, 0.0369, 0)</f>
        <v>29.460100000000001</v>
      </c>
      <c r="E365" s="46">
        <f>31.0791 * CHOOSE(CONTROL!$C$15, $E$9, 100%, $G$9) + CHOOSE(CONTROL!$C$38, 0.0369, 0)</f>
        <v>31.116</v>
      </c>
      <c r="F365" s="45">
        <f>31.0791 * CHOOSE(CONTROL!$C$15, $E$9, 100%, $G$9) + CHOOSE(CONTROL!$C$38, 0.0278, 0)</f>
        <v>31.1069</v>
      </c>
      <c r="G365" s="14">
        <f>29.4295 * CHOOSE(CONTROL!$C$15, $E$9, 100%, $G$9) + CHOOSE(CONTROL!$C$38, 0.0369, 0)</f>
        <v>29.4664</v>
      </c>
      <c r="H365" s="14">
        <f>29.4295 * CHOOSE(CONTROL!$C$15, $E$9, 100%, $G$9) + CHOOSE(CONTROL!$C$38, 0.0369, 0)</f>
        <v>29.4664</v>
      </c>
      <c r="I365" s="14">
        <f>29.431 * CHOOSE(CONTROL!$C$15, $E$9, 100%, $G$9) + CHOOSE(CONTROL!$C$38, 0.0369, 0)</f>
        <v>29.4679</v>
      </c>
      <c r="J365" s="44">
        <f>241.469</f>
        <v>241.46899999999999</v>
      </c>
    </row>
    <row r="366" spans="1:10" ht="15.75" x14ac:dyDescent="0.25">
      <c r="A366" s="33">
        <v>52078</v>
      </c>
      <c r="B366" s="14">
        <f>30.9133 * CHOOSE(CONTROL!$C$15, $E$9, 100%, $G$9) + CHOOSE(CONTROL!$C$38, 0.0278, 0)</f>
        <v>30.941099999999999</v>
      </c>
      <c r="C366" s="14">
        <f>29.109 * CHOOSE(CONTROL!$C$15, $E$9, 100%, $G$9) + CHOOSE(CONTROL!$C$38, 0.0369, 0)</f>
        <v>29.145900000000001</v>
      </c>
      <c r="D366" s="14">
        <f>29.1012 * CHOOSE(CONTROL!$C$15, $E$9, 100%, $G$9) + CHOOSE(CONTROL!$C$38, 0.0369, 0)</f>
        <v>29.138099999999998</v>
      </c>
      <c r="E366" s="46">
        <f>30.7571 * CHOOSE(CONTROL!$C$15, $E$9, 100%, $G$9) + CHOOSE(CONTROL!$C$38, 0.0369, 0)</f>
        <v>30.794</v>
      </c>
      <c r="F366" s="45">
        <f>30.7571 * CHOOSE(CONTROL!$C$15, $E$9, 100%, $G$9) + CHOOSE(CONTROL!$C$38, 0.0278, 0)</f>
        <v>30.7849</v>
      </c>
      <c r="G366" s="14">
        <f>29.1074 * CHOOSE(CONTROL!$C$15, $E$9, 100%, $G$9) + CHOOSE(CONTROL!$C$38, 0.0369, 0)</f>
        <v>29.144299999999998</v>
      </c>
      <c r="H366" s="14">
        <f>29.1074 * CHOOSE(CONTROL!$C$15, $E$9, 100%, $G$9) + CHOOSE(CONTROL!$C$38, 0.0369, 0)</f>
        <v>29.144299999999998</v>
      </c>
      <c r="I366" s="14">
        <f>29.109 * CHOOSE(CONTROL!$C$15, $E$9, 100%, $G$9) + CHOOSE(CONTROL!$C$38, 0.0369, 0)</f>
        <v>29.145900000000001</v>
      </c>
      <c r="J366" s="44">
        <f>240.3398</f>
        <v>240.3398</v>
      </c>
    </row>
    <row r="367" spans="1:10" ht="15.75" x14ac:dyDescent="0.25">
      <c r="A367" s="33">
        <v>52109</v>
      </c>
      <c r="B367" s="14">
        <f>31.0723 * CHOOSE(CONTROL!$C$15, $E$9, 100%, $G$9) + CHOOSE(CONTROL!$C$38, 0.0278, 0)</f>
        <v>31.100099999999998</v>
      </c>
      <c r="C367" s="14">
        <f>29.2679 * CHOOSE(CONTROL!$C$15, $E$9, 100%, $G$9) + CHOOSE(CONTROL!$C$38, 0.0369, 0)</f>
        <v>29.3048</v>
      </c>
      <c r="D367" s="14">
        <f>29.2601 * CHOOSE(CONTROL!$C$15, $E$9, 100%, $G$9) + CHOOSE(CONTROL!$C$38, 0.0369, 0)</f>
        <v>29.297000000000001</v>
      </c>
      <c r="E367" s="46">
        <f>30.916 * CHOOSE(CONTROL!$C$15, $E$9, 100%, $G$9) + CHOOSE(CONTROL!$C$38, 0.0369, 0)</f>
        <v>30.9529</v>
      </c>
      <c r="F367" s="45">
        <f>30.916 * CHOOSE(CONTROL!$C$15, $E$9, 100%, $G$9) + CHOOSE(CONTROL!$C$38, 0.0278, 0)</f>
        <v>30.9438</v>
      </c>
      <c r="G367" s="14">
        <f>29.2664 * CHOOSE(CONTROL!$C$15, $E$9, 100%, $G$9) + CHOOSE(CONTROL!$C$38, 0.0369, 0)</f>
        <v>29.3033</v>
      </c>
      <c r="H367" s="14">
        <f>29.2664 * CHOOSE(CONTROL!$C$15, $E$9, 100%, $G$9) + CHOOSE(CONTROL!$C$38, 0.0369, 0)</f>
        <v>29.3033</v>
      </c>
      <c r="I367" s="14">
        <f>29.2679 * CHOOSE(CONTROL!$C$15, $E$9, 100%, $G$9) + CHOOSE(CONTROL!$C$38, 0.0369, 0)</f>
        <v>29.3048</v>
      </c>
      <c r="J367" s="44">
        <f>234.7447</f>
        <v>234.74469999999999</v>
      </c>
    </row>
    <row r="368" spans="1:10" ht="15.75" x14ac:dyDescent="0.25">
      <c r="A368" s="33">
        <v>52139</v>
      </c>
      <c r="B368" s="14">
        <f>31.504 * CHOOSE(CONTROL!$C$15, $E$9, 100%, $G$9) + CHOOSE(CONTROL!$C$38, 0.0278, 0)</f>
        <v>31.5318</v>
      </c>
      <c r="C368" s="14">
        <f>29.6996 * CHOOSE(CONTROL!$C$15, $E$9, 100%, $G$9) + CHOOSE(CONTROL!$C$38, 0.0369, 0)</f>
        <v>29.736499999999999</v>
      </c>
      <c r="D368" s="14">
        <f>29.6918 * CHOOSE(CONTROL!$C$15, $E$9, 100%, $G$9) + CHOOSE(CONTROL!$C$38, 0.0369, 0)</f>
        <v>29.7287</v>
      </c>
      <c r="E368" s="46">
        <f>31.3477 * CHOOSE(CONTROL!$C$15, $E$9, 100%, $G$9) + CHOOSE(CONTROL!$C$38, 0.0369, 0)</f>
        <v>31.384599999999999</v>
      </c>
      <c r="F368" s="45">
        <f>31.3477 * CHOOSE(CONTROL!$C$15, $E$9, 100%, $G$9) + CHOOSE(CONTROL!$C$38, 0.0278, 0)</f>
        <v>31.375499999999999</v>
      </c>
      <c r="G368" s="14">
        <f>29.6981 * CHOOSE(CONTROL!$C$15, $E$9, 100%, $G$9) + CHOOSE(CONTROL!$C$38, 0.0369, 0)</f>
        <v>29.734999999999999</v>
      </c>
      <c r="H368" s="14">
        <f>29.6981 * CHOOSE(CONTROL!$C$15, $E$9, 100%, $G$9) + CHOOSE(CONTROL!$C$38, 0.0369, 0)</f>
        <v>29.734999999999999</v>
      </c>
      <c r="I368" s="14">
        <f>29.6996 * CHOOSE(CONTROL!$C$15, $E$9, 100%, $G$9) + CHOOSE(CONTROL!$C$38, 0.0369, 0)</f>
        <v>29.736499999999999</v>
      </c>
      <c r="J368" s="44">
        <f>226.9422</f>
        <v>226.94220000000001</v>
      </c>
    </row>
    <row r="369" spans="1:10" ht="15.75" x14ac:dyDescent="0.25">
      <c r="A369" s="33">
        <v>52170</v>
      </c>
      <c r="B369" s="14">
        <f>31.8656 * CHOOSE(CONTROL!$C$15, $E$9, 100%, $G$9) + CHOOSE(CONTROL!$C$38, 0.0256, 0)</f>
        <v>31.891200000000001</v>
      </c>
      <c r="C369" s="14">
        <f>30.0612 * CHOOSE(CONTROL!$C$15, $E$9, 100%, $G$9) + CHOOSE(CONTROL!$C$38, 0.0347, 0)</f>
        <v>30.0959</v>
      </c>
      <c r="D369" s="14">
        <f>30.0534 * CHOOSE(CONTROL!$C$15, $E$9, 100%, $G$9) + CHOOSE(CONTROL!$C$38, 0.0347, 0)</f>
        <v>30.088100000000001</v>
      </c>
      <c r="E369" s="46">
        <f>31.7093 * CHOOSE(CONTROL!$C$15, $E$9, 100%, $G$9) + CHOOSE(CONTROL!$C$38, 0.0347, 0)</f>
        <v>31.744</v>
      </c>
      <c r="F369" s="45">
        <f>31.7093 * CHOOSE(CONTROL!$C$15, $E$9, 100%, $G$9) + CHOOSE(CONTROL!$C$38, 0.0256, 0)</f>
        <v>31.7349</v>
      </c>
      <c r="G369" s="14">
        <f>30.0597 * CHOOSE(CONTROL!$C$15, $E$9, 100%, $G$9) + CHOOSE(CONTROL!$C$38, 0.0347, 0)</f>
        <v>30.0944</v>
      </c>
      <c r="H369" s="14">
        <f>30.0597 * CHOOSE(CONTROL!$C$15, $E$9, 100%, $G$9) + CHOOSE(CONTROL!$C$38, 0.0347, 0)</f>
        <v>30.0944</v>
      </c>
      <c r="I369" s="14">
        <f>30.0612 * CHOOSE(CONTROL!$C$15, $E$9, 100%, $G$9) + CHOOSE(CONTROL!$C$38, 0.0347, 0)</f>
        <v>30.0959</v>
      </c>
      <c r="J369" s="44">
        <f>219.0943</f>
        <v>219.0943</v>
      </c>
    </row>
    <row r="370" spans="1:10" ht="15.75" x14ac:dyDescent="0.25">
      <c r="A370" s="33">
        <v>52200</v>
      </c>
      <c r="B370" s="14">
        <f>32.1673 * CHOOSE(CONTROL!$C$15, $E$9, 100%, $G$9) + CHOOSE(CONTROL!$C$38, 0.0256, 0)</f>
        <v>32.192899999999995</v>
      </c>
      <c r="C370" s="14">
        <f>30.3629 * CHOOSE(CONTROL!$C$15, $E$9, 100%, $G$9) + CHOOSE(CONTROL!$C$38, 0.0347, 0)</f>
        <v>30.397600000000001</v>
      </c>
      <c r="D370" s="14">
        <f>30.3551 * CHOOSE(CONTROL!$C$15, $E$9, 100%, $G$9) + CHOOSE(CONTROL!$C$38, 0.0347, 0)</f>
        <v>30.389800000000001</v>
      </c>
      <c r="E370" s="46">
        <f>32.011 * CHOOSE(CONTROL!$C$15, $E$9, 100%, $G$9) + CHOOSE(CONTROL!$C$38, 0.0347, 0)</f>
        <v>32.045700000000004</v>
      </c>
      <c r="F370" s="45">
        <f>32.011 * CHOOSE(CONTROL!$C$15, $E$9, 100%, $G$9) + CHOOSE(CONTROL!$C$38, 0.0256, 0)</f>
        <v>32.0366</v>
      </c>
      <c r="G370" s="14">
        <f>30.3614 * CHOOSE(CONTROL!$C$15, $E$9, 100%, $G$9) + CHOOSE(CONTROL!$C$38, 0.0347, 0)</f>
        <v>30.396100000000001</v>
      </c>
      <c r="H370" s="14">
        <f>30.3614 * CHOOSE(CONTROL!$C$15, $E$9, 100%, $G$9) + CHOOSE(CONTROL!$C$38, 0.0347, 0)</f>
        <v>30.396100000000001</v>
      </c>
      <c r="I370" s="14">
        <f>30.3629 * CHOOSE(CONTROL!$C$15, $E$9, 100%, $G$9) + CHOOSE(CONTROL!$C$38, 0.0347, 0)</f>
        <v>30.397600000000001</v>
      </c>
      <c r="J370" s="44">
        <f>217.5332</f>
        <v>217.53319999999999</v>
      </c>
    </row>
    <row r="371" spans="1:10" ht="15.75" x14ac:dyDescent="0.25">
      <c r="A371" s="33">
        <v>52231</v>
      </c>
      <c r="B371" s="14">
        <f>33.0969 * CHOOSE(CONTROL!$C$15, $E$9, 100%, $G$9) + CHOOSE(CONTROL!$C$38, 0.0256, 0)</f>
        <v>33.122499999999995</v>
      </c>
      <c r="C371" s="14">
        <f>31.2926 * CHOOSE(CONTROL!$C$15, $E$9, 100%, $G$9) + CHOOSE(CONTROL!$C$38, 0.0347, 0)</f>
        <v>31.327300000000001</v>
      </c>
      <c r="D371" s="14">
        <f>31.2848 * CHOOSE(CONTROL!$C$15, $E$9, 100%, $G$9) + CHOOSE(CONTROL!$C$38, 0.0347, 0)</f>
        <v>31.319500000000001</v>
      </c>
      <c r="E371" s="46">
        <f>32.9407 * CHOOSE(CONTROL!$C$15, $E$9, 100%, $G$9) + CHOOSE(CONTROL!$C$38, 0.0347, 0)</f>
        <v>32.9754</v>
      </c>
      <c r="F371" s="45">
        <f>32.9407 * CHOOSE(CONTROL!$C$15, $E$9, 100%, $G$9) + CHOOSE(CONTROL!$C$38, 0.0256, 0)</f>
        <v>32.966299999999997</v>
      </c>
      <c r="G371" s="14">
        <f>31.291 * CHOOSE(CONTROL!$C$15, $E$9, 100%, $G$9) + CHOOSE(CONTROL!$C$38, 0.0347, 0)</f>
        <v>31.325700000000001</v>
      </c>
      <c r="H371" s="14">
        <f>31.291 * CHOOSE(CONTROL!$C$15, $E$9, 100%, $G$9) + CHOOSE(CONTROL!$C$38, 0.0347, 0)</f>
        <v>31.325700000000001</v>
      </c>
      <c r="I371" s="14">
        <f>31.2926 * CHOOSE(CONTROL!$C$15, $E$9, 100%, $G$9) + CHOOSE(CONTROL!$C$38, 0.0347, 0)</f>
        <v>31.327300000000001</v>
      </c>
      <c r="J371" s="44">
        <f>211.0779</f>
        <v>211.0779</v>
      </c>
    </row>
    <row r="372" spans="1:10" ht="15.75" x14ac:dyDescent="0.25">
      <c r="A372" s="33">
        <v>52262</v>
      </c>
      <c r="B372" s="14">
        <f>34.362 * CHOOSE(CONTROL!$C$15, $E$9, 100%, $G$9) + CHOOSE(CONTROL!$C$38, 0.0256, 0)</f>
        <v>34.387599999999999</v>
      </c>
      <c r="C372" s="14">
        <f>32.53 * CHOOSE(CONTROL!$C$15, $E$9, 100%, $G$9) + CHOOSE(CONTROL!$C$38, 0.0347, 0)</f>
        <v>32.564700000000002</v>
      </c>
      <c r="D372" s="14">
        <f>32.5222 * CHOOSE(CONTROL!$C$15, $E$9, 100%, $G$9) + CHOOSE(CONTROL!$C$38, 0.0347, 0)</f>
        <v>32.556899999999999</v>
      </c>
      <c r="E372" s="46">
        <f>34.2058 * CHOOSE(CONTROL!$C$15, $E$9, 100%, $G$9) + CHOOSE(CONTROL!$C$38, 0.0347, 0)</f>
        <v>34.240500000000004</v>
      </c>
      <c r="F372" s="45">
        <f>34.2058 * CHOOSE(CONTROL!$C$15, $E$9, 100%, $G$9) + CHOOSE(CONTROL!$C$38, 0.0256, 0)</f>
        <v>34.231400000000001</v>
      </c>
      <c r="G372" s="14">
        <f>32.5285 * CHOOSE(CONTROL!$C$15, $E$9, 100%, $G$9) + CHOOSE(CONTROL!$C$38, 0.0347, 0)</f>
        <v>32.563200000000002</v>
      </c>
      <c r="H372" s="14">
        <f>32.5285 * CHOOSE(CONTROL!$C$15, $E$9, 100%, $G$9) + CHOOSE(CONTROL!$C$38, 0.0347, 0)</f>
        <v>32.563200000000002</v>
      </c>
      <c r="I372" s="14">
        <f>32.53 * CHOOSE(CONTROL!$C$15, $E$9, 100%, $G$9) + CHOOSE(CONTROL!$C$38, 0.0347, 0)</f>
        <v>32.564700000000002</v>
      </c>
      <c r="J372" s="44">
        <f>210.9255</f>
        <v>210.9255</v>
      </c>
    </row>
    <row r="373" spans="1:10" ht="15.75" x14ac:dyDescent="0.25">
      <c r="A373" s="33">
        <v>52290</v>
      </c>
      <c r="B373" s="14">
        <f>34.7064 * CHOOSE(CONTROL!$C$15, $E$9, 100%, $G$9) + CHOOSE(CONTROL!$C$38, 0.0256, 0)</f>
        <v>34.731999999999999</v>
      </c>
      <c r="C373" s="14">
        <f>32.8743 * CHOOSE(CONTROL!$C$15, $E$9, 100%, $G$9) + CHOOSE(CONTROL!$C$38, 0.0347, 0)</f>
        <v>32.908999999999999</v>
      </c>
      <c r="D373" s="14">
        <f>32.8665 * CHOOSE(CONTROL!$C$15, $E$9, 100%, $G$9) + CHOOSE(CONTROL!$C$38, 0.0347, 0)</f>
        <v>32.901200000000003</v>
      </c>
      <c r="E373" s="46">
        <f>34.5501 * CHOOSE(CONTROL!$C$15, $E$9, 100%, $G$9) + CHOOSE(CONTROL!$C$38, 0.0347, 0)</f>
        <v>34.584800000000001</v>
      </c>
      <c r="F373" s="45">
        <f>34.5501 * CHOOSE(CONTROL!$C$15, $E$9, 100%, $G$9) + CHOOSE(CONTROL!$C$38, 0.0256, 0)</f>
        <v>34.575699999999998</v>
      </c>
      <c r="G373" s="14">
        <f>32.8728 * CHOOSE(CONTROL!$C$15, $E$9, 100%, $G$9) + CHOOSE(CONTROL!$C$38, 0.0347, 0)</f>
        <v>32.907499999999999</v>
      </c>
      <c r="H373" s="14">
        <f>32.8728 * CHOOSE(CONTROL!$C$15, $E$9, 100%, $G$9) + CHOOSE(CONTROL!$C$38, 0.0347, 0)</f>
        <v>32.907499999999999</v>
      </c>
      <c r="I373" s="14">
        <f>32.8743 * CHOOSE(CONTROL!$C$15, $E$9, 100%, $G$9) + CHOOSE(CONTROL!$C$38, 0.0347, 0)</f>
        <v>32.908999999999999</v>
      </c>
      <c r="J373" s="44">
        <f>210.3392</f>
        <v>210.33920000000001</v>
      </c>
    </row>
    <row r="374" spans="1:10" ht="15.75" x14ac:dyDescent="0.25">
      <c r="A374" s="33">
        <v>52321</v>
      </c>
      <c r="B374" s="14">
        <f>33.9093 * CHOOSE(CONTROL!$C$15, $E$9, 100%, $G$9) + CHOOSE(CONTROL!$C$38, 0.0256, 0)</f>
        <v>33.934899999999999</v>
      </c>
      <c r="C374" s="14">
        <f>32.0773 * CHOOSE(CONTROL!$C$15, $E$9, 100%, $G$9) + CHOOSE(CONTROL!$C$38, 0.0347, 0)</f>
        <v>32.112000000000002</v>
      </c>
      <c r="D374" s="14">
        <f>32.0695 * CHOOSE(CONTROL!$C$15, $E$9, 100%, $G$9) + CHOOSE(CONTROL!$C$38, 0.0347, 0)</f>
        <v>32.104199999999999</v>
      </c>
      <c r="E374" s="46">
        <f>33.7531 * CHOOSE(CONTROL!$C$15, $E$9, 100%, $G$9) + CHOOSE(CONTROL!$C$38, 0.0347, 0)</f>
        <v>33.787800000000004</v>
      </c>
      <c r="F374" s="45">
        <f>33.7531 * CHOOSE(CONTROL!$C$15, $E$9, 100%, $G$9) + CHOOSE(CONTROL!$C$38, 0.0256, 0)</f>
        <v>33.778700000000001</v>
      </c>
      <c r="G374" s="14">
        <f>32.0757 * CHOOSE(CONTROL!$C$15, $E$9, 100%, $G$9) + CHOOSE(CONTROL!$C$38, 0.0347, 0)</f>
        <v>32.110399999999998</v>
      </c>
      <c r="H374" s="14">
        <f>32.0757 * CHOOSE(CONTROL!$C$15, $E$9, 100%, $G$9) + CHOOSE(CONTROL!$C$38, 0.0347, 0)</f>
        <v>32.110399999999998</v>
      </c>
      <c r="I374" s="14">
        <f>32.0773 * CHOOSE(CONTROL!$C$15, $E$9, 100%, $G$9) + CHOOSE(CONTROL!$C$38, 0.0347, 0)</f>
        <v>32.112000000000002</v>
      </c>
      <c r="J374" s="44">
        <f>221.4253</f>
        <v>221.42529999999999</v>
      </c>
    </row>
    <row r="375" spans="1:10" ht="15.75" x14ac:dyDescent="0.25">
      <c r="A375" s="33">
        <v>52351</v>
      </c>
      <c r="B375" s="14">
        <f>33.137 * CHOOSE(CONTROL!$C$15, $E$9, 100%, $G$9) + CHOOSE(CONTROL!$C$38, 0.0256, 0)</f>
        <v>33.162599999999998</v>
      </c>
      <c r="C375" s="14">
        <f>31.305 * CHOOSE(CONTROL!$C$15, $E$9, 100%, $G$9) + CHOOSE(CONTROL!$C$38, 0.0347, 0)</f>
        <v>31.339700000000001</v>
      </c>
      <c r="D375" s="14">
        <f>31.2972 * CHOOSE(CONTROL!$C$15, $E$9, 100%, $G$9) + CHOOSE(CONTROL!$C$38, 0.0347, 0)</f>
        <v>31.331900000000001</v>
      </c>
      <c r="E375" s="46">
        <f>32.9808 * CHOOSE(CONTROL!$C$15, $E$9, 100%, $G$9) + CHOOSE(CONTROL!$C$38, 0.0347, 0)</f>
        <v>33.015500000000003</v>
      </c>
      <c r="F375" s="45">
        <f>32.9808 * CHOOSE(CONTROL!$C$15, $E$9, 100%, $G$9) + CHOOSE(CONTROL!$C$38, 0.0256, 0)</f>
        <v>33.006399999999999</v>
      </c>
      <c r="G375" s="14">
        <f>31.3034 * CHOOSE(CONTROL!$C$15, $E$9, 100%, $G$9) + CHOOSE(CONTROL!$C$38, 0.0347, 0)</f>
        <v>31.338100000000001</v>
      </c>
      <c r="H375" s="14">
        <f>31.3034 * CHOOSE(CONTROL!$C$15, $E$9, 100%, $G$9) + CHOOSE(CONTROL!$C$38, 0.0347, 0)</f>
        <v>31.338100000000001</v>
      </c>
      <c r="I375" s="14">
        <f>31.305 * CHOOSE(CONTROL!$C$15, $E$9, 100%, $G$9) + CHOOSE(CONTROL!$C$38, 0.0347, 0)</f>
        <v>31.339700000000001</v>
      </c>
      <c r="J375" s="44">
        <f>235.8013</f>
        <v>235.8013</v>
      </c>
    </row>
    <row r="376" spans="1:10" ht="15.75" x14ac:dyDescent="0.25">
      <c r="A376" s="33">
        <v>52382</v>
      </c>
      <c r="B376" s="14">
        <f>32.3321 * CHOOSE(CONTROL!$C$15, $E$9, 100%, $G$9) + CHOOSE(CONTROL!$C$38, 0.0278, 0)</f>
        <v>32.359899999999996</v>
      </c>
      <c r="C376" s="14">
        <f>30.5 * CHOOSE(CONTROL!$C$15, $E$9, 100%, $G$9) + CHOOSE(CONTROL!$C$38, 0.0369, 0)</f>
        <v>30.536899999999999</v>
      </c>
      <c r="D376" s="14">
        <f>30.4922 * CHOOSE(CONTROL!$C$15, $E$9, 100%, $G$9) + CHOOSE(CONTROL!$C$38, 0.0369, 0)</f>
        <v>30.5291</v>
      </c>
      <c r="E376" s="46">
        <f>32.1758 * CHOOSE(CONTROL!$C$15, $E$9, 100%, $G$9) + CHOOSE(CONTROL!$C$38, 0.0369, 0)</f>
        <v>32.212700000000005</v>
      </c>
      <c r="F376" s="45">
        <f>32.1758 * CHOOSE(CONTROL!$C$15, $E$9, 100%, $G$9) + CHOOSE(CONTROL!$C$38, 0.0278, 0)</f>
        <v>32.203600000000002</v>
      </c>
      <c r="G376" s="14">
        <f>30.4985 * CHOOSE(CONTROL!$C$15, $E$9, 100%, $G$9) + CHOOSE(CONTROL!$C$38, 0.0369, 0)</f>
        <v>30.535399999999999</v>
      </c>
      <c r="H376" s="14">
        <f>30.4985 * CHOOSE(CONTROL!$C$15, $E$9, 100%, $G$9) + CHOOSE(CONTROL!$C$38, 0.0369, 0)</f>
        <v>30.535399999999999</v>
      </c>
      <c r="I376" s="14">
        <f>30.5 * CHOOSE(CONTROL!$C$15, $E$9, 100%, $G$9) + CHOOSE(CONTROL!$C$38, 0.0369, 0)</f>
        <v>30.536899999999999</v>
      </c>
      <c r="J376" s="44">
        <f>243.7144</f>
        <v>243.71440000000001</v>
      </c>
    </row>
    <row r="377" spans="1:10" ht="15.75" x14ac:dyDescent="0.25">
      <c r="A377" s="33">
        <v>52412</v>
      </c>
      <c r="B377" s="14">
        <f>31.7677 * CHOOSE(CONTROL!$C$15, $E$9, 100%, $G$9) + CHOOSE(CONTROL!$C$38, 0.0278, 0)</f>
        <v>31.795500000000001</v>
      </c>
      <c r="C377" s="14">
        <f>29.9357 * CHOOSE(CONTROL!$C$15, $E$9, 100%, $G$9) + CHOOSE(CONTROL!$C$38, 0.0369, 0)</f>
        <v>29.9726</v>
      </c>
      <c r="D377" s="14">
        <f>29.9279 * CHOOSE(CONTROL!$C$15, $E$9, 100%, $G$9) + CHOOSE(CONTROL!$C$38, 0.0369, 0)</f>
        <v>29.9648</v>
      </c>
      <c r="E377" s="46">
        <f>31.6115 * CHOOSE(CONTROL!$C$15, $E$9, 100%, $G$9) + CHOOSE(CONTROL!$C$38, 0.0369, 0)</f>
        <v>31.648399999999999</v>
      </c>
      <c r="F377" s="45">
        <f>31.6115 * CHOOSE(CONTROL!$C$15, $E$9, 100%, $G$9) + CHOOSE(CONTROL!$C$38, 0.0278, 0)</f>
        <v>31.639299999999999</v>
      </c>
      <c r="G377" s="14">
        <f>29.9341 * CHOOSE(CONTROL!$C$15, $E$9, 100%, $G$9) + CHOOSE(CONTROL!$C$38, 0.0369, 0)</f>
        <v>29.971</v>
      </c>
      <c r="H377" s="14">
        <f>29.9341 * CHOOSE(CONTROL!$C$15, $E$9, 100%, $G$9) + CHOOSE(CONTROL!$C$38, 0.0369, 0)</f>
        <v>29.971</v>
      </c>
      <c r="I377" s="14">
        <f>29.9357 * CHOOSE(CONTROL!$C$15, $E$9, 100%, $G$9) + CHOOSE(CONTROL!$C$38, 0.0369, 0)</f>
        <v>29.9726</v>
      </c>
      <c r="J377" s="44">
        <f>247.226</f>
        <v>247.226</v>
      </c>
    </row>
    <row r="378" spans="1:10" ht="15.75" x14ac:dyDescent="0.25">
      <c r="A378" s="33">
        <v>52443</v>
      </c>
      <c r="B378" s="14">
        <f>31.4457 * CHOOSE(CONTROL!$C$15, $E$9, 100%, $G$9) + CHOOSE(CONTROL!$C$38, 0.0278, 0)</f>
        <v>31.473499999999998</v>
      </c>
      <c r="C378" s="14">
        <f>29.6136 * CHOOSE(CONTROL!$C$15, $E$9, 100%, $G$9) + CHOOSE(CONTROL!$C$38, 0.0369, 0)</f>
        <v>29.650500000000001</v>
      </c>
      <c r="D378" s="14">
        <f>29.6058 * CHOOSE(CONTROL!$C$15, $E$9, 100%, $G$9) + CHOOSE(CONTROL!$C$38, 0.0369, 0)</f>
        <v>29.642699999999998</v>
      </c>
      <c r="E378" s="46">
        <f>31.2894 * CHOOSE(CONTROL!$C$15, $E$9, 100%, $G$9) + CHOOSE(CONTROL!$C$38, 0.0369, 0)</f>
        <v>31.3263</v>
      </c>
      <c r="F378" s="45">
        <f>31.2894 * CHOOSE(CONTROL!$C$15, $E$9, 100%, $G$9) + CHOOSE(CONTROL!$C$38, 0.0278, 0)</f>
        <v>31.3172</v>
      </c>
      <c r="G378" s="14">
        <f>29.6121 * CHOOSE(CONTROL!$C$15, $E$9, 100%, $G$9) + CHOOSE(CONTROL!$C$38, 0.0369, 0)</f>
        <v>29.649000000000001</v>
      </c>
      <c r="H378" s="14">
        <f>29.6121 * CHOOSE(CONTROL!$C$15, $E$9, 100%, $G$9) + CHOOSE(CONTROL!$C$38, 0.0369, 0)</f>
        <v>29.649000000000001</v>
      </c>
      <c r="I378" s="14">
        <f>29.6136 * CHOOSE(CONTROL!$C$15, $E$9, 100%, $G$9) + CHOOSE(CONTROL!$C$38, 0.0369, 0)</f>
        <v>29.650500000000001</v>
      </c>
      <c r="J378" s="44">
        <f>246.0698</f>
        <v>246.06979999999999</v>
      </c>
    </row>
    <row r="379" spans="1:10" ht="15.75" x14ac:dyDescent="0.25">
      <c r="A379" s="33">
        <v>52474</v>
      </c>
      <c r="B379" s="14">
        <f>31.6046 * CHOOSE(CONTROL!$C$15, $E$9, 100%, $G$9) + CHOOSE(CONTROL!$C$38, 0.0278, 0)</f>
        <v>31.632400000000001</v>
      </c>
      <c r="C379" s="14">
        <f>29.7726 * CHOOSE(CONTROL!$C$15, $E$9, 100%, $G$9) + CHOOSE(CONTROL!$C$38, 0.0369, 0)</f>
        <v>29.8095</v>
      </c>
      <c r="D379" s="14">
        <f>29.7648 * CHOOSE(CONTROL!$C$15, $E$9, 100%, $G$9) + CHOOSE(CONTROL!$C$38, 0.0369, 0)</f>
        <v>29.8017</v>
      </c>
      <c r="E379" s="46">
        <f>31.4484 * CHOOSE(CONTROL!$C$15, $E$9, 100%, $G$9) + CHOOSE(CONTROL!$C$38, 0.0369, 0)</f>
        <v>31.485299999999999</v>
      </c>
      <c r="F379" s="45">
        <f>31.4484 * CHOOSE(CONTROL!$C$15, $E$9, 100%, $G$9) + CHOOSE(CONTROL!$C$38, 0.0278, 0)</f>
        <v>31.476199999999999</v>
      </c>
      <c r="G379" s="14">
        <f>29.771 * CHOOSE(CONTROL!$C$15, $E$9, 100%, $G$9) + CHOOSE(CONTROL!$C$38, 0.0369, 0)</f>
        <v>29.8079</v>
      </c>
      <c r="H379" s="14">
        <f>29.771 * CHOOSE(CONTROL!$C$15, $E$9, 100%, $G$9) + CHOOSE(CONTROL!$C$38, 0.0369, 0)</f>
        <v>29.8079</v>
      </c>
      <c r="I379" s="14">
        <f>29.7726 * CHOOSE(CONTROL!$C$15, $E$9, 100%, $G$9) + CHOOSE(CONTROL!$C$38, 0.0369, 0)</f>
        <v>29.8095</v>
      </c>
      <c r="J379" s="44">
        <f>240.3414</f>
        <v>240.34139999999999</v>
      </c>
    </row>
    <row r="380" spans="1:10" ht="15.75" x14ac:dyDescent="0.25">
      <c r="A380" s="33">
        <v>52504</v>
      </c>
      <c r="B380" s="14">
        <f>32.0363 * CHOOSE(CONTROL!$C$15, $E$9, 100%, $G$9) + CHOOSE(CONTROL!$C$38, 0.0278, 0)</f>
        <v>32.064099999999996</v>
      </c>
      <c r="C380" s="14">
        <f>30.2043 * CHOOSE(CONTROL!$C$15, $E$9, 100%, $G$9) + CHOOSE(CONTROL!$C$38, 0.0369, 0)</f>
        <v>30.241199999999999</v>
      </c>
      <c r="D380" s="14">
        <f>30.1965 * CHOOSE(CONTROL!$C$15, $E$9, 100%, $G$9) + CHOOSE(CONTROL!$C$38, 0.0369, 0)</f>
        <v>30.2334</v>
      </c>
      <c r="E380" s="46">
        <f>31.8801 * CHOOSE(CONTROL!$C$15, $E$9, 100%, $G$9) + CHOOSE(CONTROL!$C$38, 0.0369, 0)</f>
        <v>31.916999999999998</v>
      </c>
      <c r="F380" s="45">
        <f>31.8801 * CHOOSE(CONTROL!$C$15, $E$9, 100%, $G$9) + CHOOSE(CONTROL!$C$38, 0.0278, 0)</f>
        <v>31.907899999999998</v>
      </c>
      <c r="G380" s="14">
        <f>30.2027 * CHOOSE(CONTROL!$C$15, $E$9, 100%, $G$9) + CHOOSE(CONTROL!$C$38, 0.0369, 0)</f>
        <v>30.239599999999999</v>
      </c>
      <c r="H380" s="14">
        <f>30.2027 * CHOOSE(CONTROL!$C$15, $E$9, 100%, $G$9) + CHOOSE(CONTROL!$C$38, 0.0369, 0)</f>
        <v>30.239599999999999</v>
      </c>
      <c r="I380" s="14">
        <f>30.2043 * CHOOSE(CONTROL!$C$15, $E$9, 100%, $G$9) + CHOOSE(CONTROL!$C$38, 0.0369, 0)</f>
        <v>30.241199999999999</v>
      </c>
      <c r="J380" s="44">
        <f>232.3529</f>
        <v>232.35290000000001</v>
      </c>
    </row>
    <row r="381" spans="1:10" ht="15.75" x14ac:dyDescent="0.25">
      <c r="A381" s="33">
        <v>52535</v>
      </c>
      <c r="B381" s="14">
        <f>32.3979 * CHOOSE(CONTROL!$C$15, $E$9, 100%, $G$9) + CHOOSE(CONTROL!$C$38, 0.0256, 0)</f>
        <v>32.423499999999997</v>
      </c>
      <c r="C381" s="14">
        <f>30.5658 * CHOOSE(CONTROL!$C$15, $E$9, 100%, $G$9) + CHOOSE(CONTROL!$C$38, 0.0347, 0)</f>
        <v>30.6005</v>
      </c>
      <c r="D381" s="14">
        <f>30.558 * CHOOSE(CONTROL!$C$15, $E$9, 100%, $G$9) + CHOOSE(CONTROL!$C$38, 0.0347, 0)</f>
        <v>30.592700000000001</v>
      </c>
      <c r="E381" s="46">
        <f>32.2416 * CHOOSE(CONTROL!$C$15, $E$9, 100%, $G$9) + CHOOSE(CONTROL!$C$38, 0.0347, 0)</f>
        <v>32.276299999999999</v>
      </c>
      <c r="F381" s="45">
        <f>32.2416 * CHOOSE(CONTROL!$C$15, $E$9, 100%, $G$9) + CHOOSE(CONTROL!$C$38, 0.0256, 0)</f>
        <v>32.267199999999995</v>
      </c>
      <c r="G381" s="14">
        <f>30.5643 * CHOOSE(CONTROL!$C$15, $E$9, 100%, $G$9) + CHOOSE(CONTROL!$C$38, 0.0347, 0)</f>
        <v>30.599</v>
      </c>
      <c r="H381" s="14">
        <f>30.5643 * CHOOSE(CONTROL!$C$15, $E$9, 100%, $G$9) + CHOOSE(CONTROL!$C$38, 0.0347, 0)</f>
        <v>30.599</v>
      </c>
      <c r="I381" s="14">
        <f>30.5658 * CHOOSE(CONTROL!$C$15, $E$9, 100%, $G$9) + CHOOSE(CONTROL!$C$38, 0.0347, 0)</f>
        <v>30.6005</v>
      </c>
      <c r="J381" s="44">
        <f>224.3179</f>
        <v>224.31790000000001</v>
      </c>
    </row>
    <row r="382" spans="1:10" ht="15.75" x14ac:dyDescent="0.25">
      <c r="A382" s="33">
        <v>52565</v>
      </c>
      <c r="B382" s="14">
        <f>32.6996 * CHOOSE(CONTROL!$C$15, $E$9, 100%, $G$9) + CHOOSE(CONTROL!$C$38, 0.0256, 0)</f>
        <v>32.725199999999994</v>
      </c>
      <c r="C382" s="14">
        <f>30.8675 * CHOOSE(CONTROL!$C$15, $E$9, 100%, $G$9) + CHOOSE(CONTROL!$C$38, 0.0347, 0)</f>
        <v>30.902200000000001</v>
      </c>
      <c r="D382" s="14">
        <f>30.8597 * CHOOSE(CONTROL!$C$15, $E$9, 100%, $G$9) + CHOOSE(CONTROL!$C$38, 0.0347, 0)</f>
        <v>30.894400000000001</v>
      </c>
      <c r="E382" s="46">
        <f>32.5433 * CHOOSE(CONTROL!$C$15, $E$9, 100%, $G$9) + CHOOSE(CONTROL!$C$38, 0.0347, 0)</f>
        <v>32.578000000000003</v>
      </c>
      <c r="F382" s="45">
        <f>32.5433 * CHOOSE(CONTROL!$C$15, $E$9, 100%, $G$9) + CHOOSE(CONTROL!$C$38, 0.0256, 0)</f>
        <v>32.568899999999999</v>
      </c>
      <c r="G382" s="14">
        <f>30.866 * CHOOSE(CONTROL!$C$15, $E$9, 100%, $G$9) + CHOOSE(CONTROL!$C$38, 0.0347, 0)</f>
        <v>30.900700000000001</v>
      </c>
      <c r="H382" s="14">
        <f>30.866 * CHOOSE(CONTROL!$C$15, $E$9, 100%, $G$9) + CHOOSE(CONTROL!$C$38, 0.0347, 0)</f>
        <v>30.900700000000001</v>
      </c>
      <c r="I382" s="14">
        <f>30.8675 * CHOOSE(CONTROL!$C$15, $E$9, 100%, $G$9) + CHOOSE(CONTROL!$C$38, 0.0347, 0)</f>
        <v>30.902200000000001</v>
      </c>
      <c r="J382" s="44">
        <f>222.7196</f>
        <v>222.71960000000001</v>
      </c>
    </row>
    <row r="383" spans="1:10" ht="15.75" x14ac:dyDescent="0.25">
      <c r="A383" s="33">
        <v>52596</v>
      </c>
      <c r="B383" s="14">
        <f>33.6292 * CHOOSE(CONTROL!$C$15, $E$9, 100%, $G$9) + CHOOSE(CONTROL!$C$38, 0.0256, 0)</f>
        <v>33.654799999999994</v>
      </c>
      <c r="C383" s="14">
        <f>31.7972 * CHOOSE(CONTROL!$C$15, $E$9, 100%, $G$9) + CHOOSE(CONTROL!$C$38, 0.0347, 0)</f>
        <v>31.831900000000001</v>
      </c>
      <c r="D383" s="14">
        <f>31.7894 * CHOOSE(CONTROL!$C$15, $E$9, 100%, $G$9) + CHOOSE(CONTROL!$C$38, 0.0347, 0)</f>
        <v>31.824100000000001</v>
      </c>
      <c r="E383" s="46">
        <f>33.473 * CHOOSE(CONTROL!$C$15, $E$9, 100%, $G$9) + CHOOSE(CONTROL!$C$38, 0.0347, 0)</f>
        <v>33.5077</v>
      </c>
      <c r="F383" s="45">
        <f>33.473 * CHOOSE(CONTROL!$C$15, $E$9, 100%, $G$9) + CHOOSE(CONTROL!$C$38, 0.0256, 0)</f>
        <v>33.498599999999996</v>
      </c>
      <c r="G383" s="14">
        <f>31.7956 * CHOOSE(CONTROL!$C$15, $E$9, 100%, $G$9) + CHOOSE(CONTROL!$C$38, 0.0347, 0)</f>
        <v>31.830300000000001</v>
      </c>
      <c r="H383" s="14">
        <f>31.7956 * CHOOSE(CONTROL!$C$15, $E$9, 100%, $G$9) + CHOOSE(CONTROL!$C$38, 0.0347, 0)</f>
        <v>31.830300000000001</v>
      </c>
      <c r="I383" s="14">
        <f>31.7972 * CHOOSE(CONTROL!$C$15, $E$9, 100%, $G$9) + CHOOSE(CONTROL!$C$38, 0.0347, 0)</f>
        <v>31.831900000000001</v>
      </c>
      <c r="J383" s="44">
        <f>216.1103</f>
        <v>216.1103</v>
      </c>
    </row>
    <row r="384" spans="1:10" ht="15.75" x14ac:dyDescent="0.25">
      <c r="A384" s="33">
        <v>52627</v>
      </c>
      <c r="B384" s="14">
        <f>34.9033 * CHOOSE(CONTROL!$C$15, $E$9, 100%, $G$9) + CHOOSE(CONTROL!$C$38, 0.0256, 0)</f>
        <v>34.928899999999999</v>
      </c>
      <c r="C384" s="14">
        <f>33.0431 * CHOOSE(CONTROL!$C$15, $E$9, 100%, $G$9) + CHOOSE(CONTROL!$C$38, 0.0347, 0)</f>
        <v>33.077800000000003</v>
      </c>
      <c r="D384" s="14">
        <f>33.0353 * CHOOSE(CONTROL!$C$15, $E$9, 100%, $G$9) + CHOOSE(CONTROL!$C$38, 0.0347, 0)</f>
        <v>33.07</v>
      </c>
      <c r="E384" s="46">
        <f>34.7471 * CHOOSE(CONTROL!$C$15, $E$9, 100%, $G$9) + CHOOSE(CONTROL!$C$38, 0.0347, 0)</f>
        <v>34.781800000000004</v>
      </c>
      <c r="F384" s="45">
        <f>34.7471 * CHOOSE(CONTROL!$C$15, $E$9, 100%, $G$9) + CHOOSE(CONTROL!$C$38, 0.0256, 0)</f>
        <v>34.7727</v>
      </c>
      <c r="G384" s="14">
        <f>33.0416 * CHOOSE(CONTROL!$C$15, $E$9, 100%, $G$9) + CHOOSE(CONTROL!$C$38, 0.0347, 0)</f>
        <v>33.076300000000003</v>
      </c>
      <c r="H384" s="14">
        <f>33.0416 * CHOOSE(CONTROL!$C$15, $E$9, 100%, $G$9) + CHOOSE(CONTROL!$C$38, 0.0347, 0)</f>
        <v>33.076300000000003</v>
      </c>
      <c r="I384" s="14">
        <f>33.0431 * CHOOSE(CONTROL!$C$15, $E$9, 100%, $G$9) + CHOOSE(CONTROL!$C$38, 0.0347, 0)</f>
        <v>33.077800000000003</v>
      </c>
      <c r="J384" s="44">
        <f>215.9543</f>
        <v>215.95429999999999</v>
      </c>
    </row>
    <row r="385" spans="1:10" ht="15.75" x14ac:dyDescent="0.25">
      <c r="A385" s="33">
        <v>52655</v>
      </c>
      <c r="B385" s="14">
        <f>35.2476 * CHOOSE(CONTROL!$C$15, $E$9, 100%, $G$9) + CHOOSE(CONTROL!$C$38, 0.0256, 0)</f>
        <v>35.273199999999996</v>
      </c>
      <c r="C385" s="14">
        <f>33.3874 * CHOOSE(CONTROL!$C$15, $E$9, 100%, $G$9) + CHOOSE(CONTROL!$C$38, 0.0347, 0)</f>
        <v>33.4221</v>
      </c>
      <c r="D385" s="14">
        <f>33.3796 * CHOOSE(CONTROL!$C$15, $E$9, 100%, $G$9) + CHOOSE(CONTROL!$C$38, 0.0347, 0)</f>
        <v>33.414300000000004</v>
      </c>
      <c r="E385" s="46">
        <f>35.0914 * CHOOSE(CONTROL!$C$15, $E$9, 100%, $G$9) + CHOOSE(CONTROL!$C$38, 0.0347, 0)</f>
        <v>35.126100000000001</v>
      </c>
      <c r="F385" s="45">
        <f>35.0914 * CHOOSE(CONTROL!$C$15, $E$9, 100%, $G$9) + CHOOSE(CONTROL!$C$38, 0.0256, 0)</f>
        <v>35.116999999999997</v>
      </c>
      <c r="G385" s="14">
        <f>33.3859 * CHOOSE(CONTROL!$C$15, $E$9, 100%, $G$9) + CHOOSE(CONTROL!$C$38, 0.0347, 0)</f>
        <v>33.4206</v>
      </c>
      <c r="H385" s="14">
        <f>33.3859 * CHOOSE(CONTROL!$C$15, $E$9, 100%, $G$9) + CHOOSE(CONTROL!$C$38, 0.0347, 0)</f>
        <v>33.4206</v>
      </c>
      <c r="I385" s="14">
        <f>33.3874 * CHOOSE(CONTROL!$C$15, $E$9, 100%, $G$9) + CHOOSE(CONTROL!$C$38, 0.0347, 0)</f>
        <v>33.4221</v>
      </c>
      <c r="J385" s="44">
        <f>215.354</f>
        <v>215.35400000000001</v>
      </c>
    </row>
    <row r="386" spans="1:10" ht="15.75" x14ac:dyDescent="0.25">
      <c r="A386" s="33">
        <v>52687</v>
      </c>
      <c r="B386" s="14">
        <f>34.4506 * CHOOSE(CONTROL!$C$15, $E$9, 100%, $G$9) + CHOOSE(CONTROL!$C$38, 0.0256, 0)</f>
        <v>34.476199999999999</v>
      </c>
      <c r="C386" s="14">
        <f>32.5904 * CHOOSE(CONTROL!$C$15, $E$9, 100%, $G$9) + CHOOSE(CONTROL!$C$38, 0.0347, 0)</f>
        <v>32.625100000000003</v>
      </c>
      <c r="D386" s="14">
        <f>32.5826 * CHOOSE(CONTROL!$C$15, $E$9, 100%, $G$9) + CHOOSE(CONTROL!$C$38, 0.0347, 0)</f>
        <v>32.6173</v>
      </c>
      <c r="E386" s="46">
        <f>34.2943 * CHOOSE(CONTROL!$C$15, $E$9, 100%, $G$9) + CHOOSE(CONTROL!$C$38, 0.0347, 0)</f>
        <v>34.329000000000001</v>
      </c>
      <c r="F386" s="45">
        <f>34.2943 * CHOOSE(CONTROL!$C$15, $E$9, 100%, $G$9) + CHOOSE(CONTROL!$C$38, 0.0256, 0)</f>
        <v>34.319899999999997</v>
      </c>
      <c r="G386" s="14">
        <f>32.5888 * CHOOSE(CONTROL!$C$15, $E$9, 100%, $G$9) + CHOOSE(CONTROL!$C$38, 0.0347, 0)</f>
        <v>32.6235</v>
      </c>
      <c r="H386" s="14">
        <f>32.5888 * CHOOSE(CONTROL!$C$15, $E$9, 100%, $G$9) + CHOOSE(CONTROL!$C$38, 0.0347, 0)</f>
        <v>32.6235</v>
      </c>
      <c r="I386" s="14">
        <f>32.5904 * CHOOSE(CONTROL!$C$15, $E$9, 100%, $G$9) + CHOOSE(CONTROL!$C$38, 0.0347, 0)</f>
        <v>32.625100000000003</v>
      </c>
      <c r="J386" s="44">
        <f>226.7044</f>
        <v>226.70439999999999</v>
      </c>
    </row>
    <row r="387" spans="1:10" ht="15.75" x14ac:dyDescent="0.25">
      <c r="A387" s="33">
        <v>52717</v>
      </c>
      <c r="B387" s="14">
        <f>33.6783 * CHOOSE(CONTROL!$C$15, $E$9, 100%, $G$9) + CHOOSE(CONTROL!$C$38, 0.0256, 0)</f>
        <v>33.703899999999997</v>
      </c>
      <c r="C387" s="14">
        <f>31.8181 * CHOOSE(CONTROL!$C$15, $E$9, 100%, $G$9) + CHOOSE(CONTROL!$C$38, 0.0347, 0)</f>
        <v>31.852800000000002</v>
      </c>
      <c r="D387" s="14">
        <f>31.8103 * CHOOSE(CONTROL!$C$15, $E$9, 100%, $G$9) + CHOOSE(CONTROL!$C$38, 0.0347, 0)</f>
        <v>31.845000000000002</v>
      </c>
      <c r="E387" s="46">
        <f>33.522 * CHOOSE(CONTROL!$C$15, $E$9, 100%, $G$9) + CHOOSE(CONTROL!$C$38, 0.0347, 0)</f>
        <v>33.556699999999999</v>
      </c>
      <c r="F387" s="45">
        <f>33.522 * CHOOSE(CONTROL!$C$15, $E$9, 100%, $G$9) + CHOOSE(CONTROL!$C$38, 0.0256, 0)</f>
        <v>33.547599999999996</v>
      </c>
      <c r="G387" s="14">
        <f>31.8165 * CHOOSE(CONTROL!$C$15, $E$9, 100%, $G$9) + CHOOSE(CONTROL!$C$38, 0.0347, 0)</f>
        <v>31.851200000000002</v>
      </c>
      <c r="H387" s="14">
        <f>31.8165 * CHOOSE(CONTROL!$C$15, $E$9, 100%, $G$9) + CHOOSE(CONTROL!$C$38, 0.0347, 0)</f>
        <v>31.851200000000002</v>
      </c>
      <c r="I387" s="14">
        <f>31.8181 * CHOOSE(CONTROL!$C$15, $E$9, 100%, $G$9) + CHOOSE(CONTROL!$C$38, 0.0347, 0)</f>
        <v>31.852800000000002</v>
      </c>
      <c r="J387" s="44">
        <f>241.4232</f>
        <v>241.42320000000001</v>
      </c>
    </row>
    <row r="388" spans="1:10" ht="15.75" x14ac:dyDescent="0.25">
      <c r="A388" s="33">
        <v>52748</v>
      </c>
      <c r="B388" s="14">
        <f>32.8733 * CHOOSE(CONTROL!$C$15, $E$9, 100%, $G$9) + CHOOSE(CONTROL!$C$38, 0.0278, 0)</f>
        <v>32.9011</v>
      </c>
      <c r="C388" s="14">
        <f>31.0131 * CHOOSE(CONTROL!$C$15, $E$9, 100%, $G$9) + CHOOSE(CONTROL!$C$38, 0.0369, 0)</f>
        <v>31.05</v>
      </c>
      <c r="D388" s="14">
        <f>31.0053 * CHOOSE(CONTROL!$C$15, $E$9, 100%, $G$9) + CHOOSE(CONTROL!$C$38, 0.0369, 0)</f>
        <v>31.042199999999998</v>
      </c>
      <c r="E388" s="46">
        <f>32.7171 * CHOOSE(CONTROL!$C$15, $E$9, 100%, $G$9) + CHOOSE(CONTROL!$C$38, 0.0369, 0)</f>
        <v>32.754000000000005</v>
      </c>
      <c r="F388" s="45">
        <f>32.7171 * CHOOSE(CONTROL!$C$15, $E$9, 100%, $G$9) + CHOOSE(CONTROL!$C$38, 0.0278, 0)</f>
        <v>32.744900000000001</v>
      </c>
      <c r="G388" s="14">
        <f>31.0116 * CHOOSE(CONTROL!$C$15, $E$9, 100%, $G$9) + CHOOSE(CONTROL!$C$38, 0.0369, 0)</f>
        <v>31.048500000000001</v>
      </c>
      <c r="H388" s="14">
        <f>31.0116 * CHOOSE(CONTROL!$C$15, $E$9, 100%, $G$9) + CHOOSE(CONTROL!$C$38, 0.0369, 0)</f>
        <v>31.048500000000001</v>
      </c>
      <c r="I388" s="14">
        <f>31.0131 * CHOOSE(CONTROL!$C$15, $E$9, 100%, $G$9) + CHOOSE(CONTROL!$C$38, 0.0369, 0)</f>
        <v>31.05</v>
      </c>
      <c r="J388" s="44">
        <f>249.5249</f>
        <v>249.5249</v>
      </c>
    </row>
    <row r="389" spans="1:10" ht="15.75" x14ac:dyDescent="0.25">
      <c r="A389" s="33">
        <v>52778</v>
      </c>
      <c r="B389" s="14">
        <f>32.309 * CHOOSE(CONTROL!$C$15, $E$9, 100%, $G$9) + CHOOSE(CONTROL!$C$38, 0.0278, 0)</f>
        <v>32.336799999999997</v>
      </c>
      <c r="C389" s="14">
        <f>30.4488 * CHOOSE(CONTROL!$C$15, $E$9, 100%, $G$9) + CHOOSE(CONTROL!$C$38, 0.0369, 0)</f>
        <v>30.485699999999998</v>
      </c>
      <c r="D389" s="14">
        <f>30.441 * CHOOSE(CONTROL!$C$15, $E$9, 100%, $G$9) + CHOOSE(CONTROL!$C$38, 0.0369, 0)</f>
        <v>30.477899999999998</v>
      </c>
      <c r="E389" s="46">
        <f>32.1527 * CHOOSE(CONTROL!$C$15, $E$9, 100%, $G$9) + CHOOSE(CONTROL!$C$38, 0.0369, 0)</f>
        <v>32.189600000000006</v>
      </c>
      <c r="F389" s="45">
        <f>32.1527 * CHOOSE(CONTROL!$C$15, $E$9, 100%, $G$9) + CHOOSE(CONTROL!$C$38, 0.0278, 0)</f>
        <v>32.180500000000002</v>
      </c>
      <c r="G389" s="14">
        <f>30.4472 * CHOOSE(CONTROL!$C$15, $E$9, 100%, $G$9) + CHOOSE(CONTROL!$C$38, 0.0369, 0)</f>
        <v>30.484099999999998</v>
      </c>
      <c r="H389" s="14">
        <f>30.4472 * CHOOSE(CONTROL!$C$15, $E$9, 100%, $G$9) + CHOOSE(CONTROL!$C$38, 0.0369, 0)</f>
        <v>30.484099999999998</v>
      </c>
      <c r="I389" s="14">
        <f>30.4488 * CHOOSE(CONTROL!$C$15, $E$9, 100%, $G$9) + CHOOSE(CONTROL!$C$38, 0.0369, 0)</f>
        <v>30.485699999999998</v>
      </c>
      <c r="J389" s="44">
        <f>253.1203</f>
        <v>253.12029999999999</v>
      </c>
    </row>
    <row r="390" spans="1:10" ht="15.75" x14ac:dyDescent="0.25">
      <c r="A390" s="33">
        <v>52809</v>
      </c>
      <c r="B390" s="14">
        <f>31.9869 * CHOOSE(CONTROL!$C$15, $E$9, 100%, $G$9) + CHOOSE(CONTROL!$C$38, 0.0278, 0)</f>
        <v>32.014699999999998</v>
      </c>
      <c r="C390" s="14">
        <f>30.1267 * CHOOSE(CONTROL!$C$15, $E$9, 100%, $G$9) + CHOOSE(CONTROL!$C$38, 0.0369, 0)</f>
        <v>30.163599999999999</v>
      </c>
      <c r="D390" s="14">
        <f>30.1189 * CHOOSE(CONTROL!$C$15, $E$9, 100%, $G$9) + CHOOSE(CONTROL!$C$38, 0.0369, 0)</f>
        <v>30.155799999999999</v>
      </c>
      <c r="E390" s="46">
        <f>31.8307 * CHOOSE(CONTROL!$C$15, $E$9, 100%, $G$9) + CHOOSE(CONTROL!$C$38, 0.0369, 0)</f>
        <v>31.867599999999999</v>
      </c>
      <c r="F390" s="45">
        <f>31.8307 * CHOOSE(CONTROL!$C$15, $E$9, 100%, $G$9) + CHOOSE(CONTROL!$C$38, 0.0278, 0)</f>
        <v>31.858499999999999</v>
      </c>
      <c r="G390" s="14">
        <f>30.1252 * CHOOSE(CONTROL!$C$15, $E$9, 100%, $G$9) + CHOOSE(CONTROL!$C$38, 0.0369, 0)</f>
        <v>30.162099999999999</v>
      </c>
      <c r="H390" s="14">
        <f>30.1252 * CHOOSE(CONTROL!$C$15, $E$9, 100%, $G$9) + CHOOSE(CONTROL!$C$38, 0.0369, 0)</f>
        <v>30.162099999999999</v>
      </c>
      <c r="I390" s="14">
        <f>30.1267 * CHOOSE(CONTROL!$C$15, $E$9, 100%, $G$9) + CHOOSE(CONTROL!$C$38, 0.0369, 0)</f>
        <v>30.163599999999999</v>
      </c>
      <c r="J390" s="44">
        <f>251.9365</f>
        <v>251.9365</v>
      </c>
    </row>
    <row r="391" spans="1:10" ht="15.75" x14ac:dyDescent="0.25">
      <c r="A391" s="33">
        <v>52840</v>
      </c>
      <c r="B391" s="14">
        <f>32.1459 * CHOOSE(CONTROL!$C$15, $E$9, 100%, $G$9) + CHOOSE(CONTROL!$C$38, 0.0278, 0)</f>
        <v>32.173699999999997</v>
      </c>
      <c r="C391" s="14">
        <f>30.2857 * CHOOSE(CONTROL!$C$15, $E$9, 100%, $G$9) + CHOOSE(CONTROL!$C$38, 0.0369, 0)</f>
        <v>30.322599999999998</v>
      </c>
      <c r="D391" s="14">
        <f>30.2779 * CHOOSE(CONTROL!$C$15, $E$9, 100%, $G$9) + CHOOSE(CONTROL!$C$38, 0.0369, 0)</f>
        <v>30.314799999999998</v>
      </c>
      <c r="E391" s="46">
        <f>31.9896 * CHOOSE(CONTROL!$C$15, $E$9, 100%, $G$9) + CHOOSE(CONTROL!$C$38, 0.0369, 0)</f>
        <v>32.026499999999999</v>
      </c>
      <c r="F391" s="45">
        <f>31.9896 * CHOOSE(CONTROL!$C$15, $E$9, 100%, $G$9) + CHOOSE(CONTROL!$C$38, 0.0278, 0)</f>
        <v>32.017400000000002</v>
      </c>
      <c r="G391" s="14">
        <f>30.2841 * CHOOSE(CONTROL!$C$15, $E$9, 100%, $G$9) + CHOOSE(CONTROL!$C$38, 0.0369, 0)</f>
        <v>30.320999999999998</v>
      </c>
      <c r="H391" s="14">
        <f>30.2841 * CHOOSE(CONTROL!$C$15, $E$9, 100%, $G$9) + CHOOSE(CONTROL!$C$38, 0.0369, 0)</f>
        <v>30.320999999999998</v>
      </c>
      <c r="I391" s="14">
        <f>30.2857 * CHOOSE(CONTROL!$C$15, $E$9, 100%, $G$9) + CHOOSE(CONTROL!$C$38, 0.0369, 0)</f>
        <v>30.322599999999998</v>
      </c>
      <c r="J391" s="44">
        <f>246.0715</f>
        <v>246.07149999999999</v>
      </c>
    </row>
    <row r="392" spans="1:10" ht="15.75" x14ac:dyDescent="0.25">
      <c r="A392" s="33">
        <v>52870</v>
      </c>
      <c r="B392" s="14">
        <f>32.5776 * CHOOSE(CONTROL!$C$15, $E$9, 100%, $G$9) + CHOOSE(CONTROL!$C$38, 0.0278, 0)</f>
        <v>32.605399999999996</v>
      </c>
      <c r="C392" s="14">
        <f>30.7174 * CHOOSE(CONTROL!$C$15, $E$9, 100%, $G$9) + CHOOSE(CONTROL!$C$38, 0.0369, 0)</f>
        <v>30.754300000000001</v>
      </c>
      <c r="D392" s="14">
        <f>30.7096 * CHOOSE(CONTROL!$C$15, $E$9, 100%, $G$9) + CHOOSE(CONTROL!$C$38, 0.0369, 0)</f>
        <v>30.746499999999997</v>
      </c>
      <c r="E392" s="46">
        <f>32.4213 * CHOOSE(CONTROL!$C$15, $E$9, 100%, $G$9) + CHOOSE(CONTROL!$C$38, 0.0369, 0)</f>
        <v>32.458200000000005</v>
      </c>
      <c r="F392" s="45">
        <f>32.4213 * CHOOSE(CONTROL!$C$15, $E$9, 100%, $G$9) + CHOOSE(CONTROL!$C$38, 0.0278, 0)</f>
        <v>32.449100000000001</v>
      </c>
      <c r="G392" s="14">
        <f>30.7158 * CHOOSE(CONTROL!$C$15, $E$9, 100%, $G$9) + CHOOSE(CONTROL!$C$38, 0.0369, 0)</f>
        <v>30.752700000000001</v>
      </c>
      <c r="H392" s="14">
        <f>30.7158 * CHOOSE(CONTROL!$C$15, $E$9, 100%, $G$9) + CHOOSE(CONTROL!$C$38, 0.0369, 0)</f>
        <v>30.752700000000001</v>
      </c>
      <c r="I392" s="14">
        <f>30.7174 * CHOOSE(CONTROL!$C$15, $E$9, 100%, $G$9) + CHOOSE(CONTROL!$C$38, 0.0369, 0)</f>
        <v>30.754300000000001</v>
      </c>
      <c r="J392" s="44">
        <f>237.8925</f>
        <v>237.89250000000001</v>
      </c>
    </row>
    <row r="393" spans="1:10" ht="15.75" x14ac:dyDescent="0.25">
      <c r="A393" s="33">
        <v>52901</v>
      </c>
      <c r="B393" s="14">
        <f>32.9391 * CHOOSE(CONTROL!$C$15, $E$9, 100%, $G$9) + CHOOSE(CONTROL!$C$38, 0.0256, 0)</f>
        <v>32.964700000000001</v>
      </c>
      <c r="C393" s="14">
        <f>31.079 * CHOOSE(CONTROL!$C$15, $E$9, 100%, $G$9) + CHOOSE(CONTROL!$C$38, 0.0347, 0)</f>
        <v>31.113700000000001</v>
      </c>
      <c r="D393" s="14">
        <f>31.0711 * CHOOSE(CONTROL!$C$15, $E$9, 100%, $G$9) + CHOOSE(CONTROL!$C$38, 0.0347, 0)</f>
        <v>31.105800000000002</v>
      </c>
      <c r="E393" s="46">
        <f>32.7829 * CHOOSE(CONTROL!$C$15, $E$9, 100%, $G$9) + CHOOSE(CONTROL!$C$38, 0.0347, 0)</f>
        <v>32.817599999999999</v>
      </c>
      <c r="F393" s="45">
        <f>32.7829 * CHOOSE(CONTROL!$C$15, $E$9, 100%, $G$9) + CHOOSE(CONTROL!$C$38, 0.0256, 0)</f>
        <v>32.808499999999995</v>
      </c>
      <c r="G393" s="14">
        <f>31.0774 * CHOOSE(CONTROL!$C$15, $E$9, 100%, $G$9) + CHOOSE(CONTROL!$C$38, 0.0347, 0)</f>
        <v>31.112100000000002</v>
      </c>
      <c r="H393" s="14">
        <f>31.0774 * CHOOSE(CONTROL!$C$15, $E$9, 100%, $G$9) + CHOOSE(CONTROL!$C$38, 0.0347, 0)</f>
        <v>31.112100000000002</v>
      </c>
      <c r="I393" s="14">
        <f>31.079 * CHOOSE(CONTROL!$C$15, $E$9, 100%, $G$9) + CHOOSE(CONTROL!$C$38, 0.0347, 0)</f>
        <v>31.113700000000001</v>
      </c>
      <c r="J393" s="44">
        <f>229.666</f>
        <v>229.666</v>
      </c>
    </row>
    <row r="394" spans="1:10" ht="15.75" x14ac:dyDescent="0.25">
      <c r="A394" s="33">
        <v>52931</v>
      </c>
      <c r="B394" s="14">
        <f>33.2408 * CHOOSE(CONTROL!$C$15, $E$9, 100%, $G$9) + CHOOSE(CONTROL!$C$38, 0.0256, 0)</f>
        <v>33.266399999999997</v>
      </c>
      <c r="C394" s="14">
        <f>31.3807 * CHOOSE(CONTROL!$C$15, $E$9, 100%, $G$9) + CHOOSE(CONTROL!$C$38, 0.0347, 0)</f>
        <v>31.415400000000002</v>
      </c>
      <c r="D394" s="14">
        <f>31.3728 * CHOOSE(CONTROL!$C$15, $E$9, 100%, $G$9) + CHOOSE(CONTROL!$C$38, 0.0347, 0)</f>
        <v>31.407500000000002</v>
      </c>
      <c r="E394" s="46">
        <f>33.0846 * CHOOSE(CONTROL!$C$15, $E$9, 100%, $G$9) + CHOOSE(CONTROL!$C$38, 0.0347, 0)</f>
        <v>33.119300000000003</v>
      </c>
      <c r="F394" s="45">
        <f>33.0846 * CHOOSE(CONTROL!$C$15, $E$9, 100%, $G$9) + CHOOSE(CONTROL!$C$38, 0.0256, 0)</f>
        <v>33.110199999999999</v>
      </c>
      <c r="G394" s="14">
        <f>31.3791 * CHOOSE(CONTROL!$C$15, $E$9, 100%, $G$9) + CHOOSE(CONTROL!$C$38, 0.0347, 0)</f>
        <v>31.413800000000002</v>
      </c>
      <c r="H394" s="14">
        <f>31.3791 * CHOOSE(CONTROL!$C$15, $E$9, 100%, $G$9) + CHOOSE(CONTROL!$C$38, 0.0347, 0)</f>
        <v>31.413800000000002</v>
      </c>
      <c r="I394" s="14">
        <f>31.3807 * CHOOSE(CONTROL!$C$15, $E$9, 100%, $G$9) + CHOOSE(CONTROL!$C$38, 0.0347, 0)</f>
        <v>31.415400000000002</v>
      </c>
      <c r="J394" s="44">
        <f>228.0295</f>
        <v>228.02950000000001</v>
      </c>
    </row>
    <row r="395" spans="1:10" ht="15.75" x14ac:dyDescent="0.25">
      <c r="A395" s="33">
        <v>52962</v>
      </c>
      <c r="B395" s="14">
        <f>34.1705 * CHOOSE(CONTROL!$C$15, $E$9, 100%, $G$9) + CHOOSE(CONTROL!$C$38, 0.0256, 0)</f>
        <v>34.196099999999994</v>
      </c>
      <c r="C395" s="14">
        <f>32.3103 * CHOOSE(CONTROL!$C$15, $E$9, 100%, $G$9) + CHOOSE(CONTROL!$C$38, 0.0347, 0)</f>
        <v>32.344999999999999</v>
      </c>
      <c r="D395" s="14">
        <f>32.3025 * CHOOSE(CONTROL!$C$15, $E$9, 100%, $G$9) + CHOOSE(CONTROL!$C$38, 0.0347, 0)</f>
        <v>32.337200000000003</v>
      </c>
      <c r="E395" s="46">
        <f>34.0143 * CHOOSE(CONTROL!$C$15, $E$9, 100%, $G$9) + CHOOSE(CONTROL!$C$38, 0.0347, 0)</f>
        <v>34.048999999999999</v>
      </c>
      <c r="F395" s="45">
        <f>34.0143 * CHOOSE(CONTROL!$C$15, $E$9, 100%, $G$9) + CHOOSE(CONTROL!$C$38, 0.0256, 0)</f>
        <v>34.039899999999996</v>
      </c>
      <c r="G395" s="14">
        <f>32.3088 * CHOOSE(CONTROL!$C$15, $E$9, 100%, $G$9) + CHOOSE(CONTROL!$C$38, 0.0347, 0)</f>
        <v>32.343499999999999</v>
      </c>
      <c r="H395" s="14">
        <f>32.3088 * CHOOSE(CONTROL!$C$15, $E$9, 100%, $G$9) + CHOOSE(CONTROL!$C$38, 0.0347, 0)</f>
        <v>32.343499999999999</v>
      </c>
      <c r="I395" s="14">
        <f>32.3103 * CHOOSE(CONTROL!$C$15, $E$9, 100%, $G$9) + CHOOSE(CONTROL!$C$38, 0.0347, 0)</f>
        <v>32.344999999999999</v>
      </c>
      <c r="J395" s="44">
        <f>221.2627</f>
        <v>221.2627</v>
      </c>
    </row>
    <row r="396" spans="1:10" ht="15.75" x14ac:dyDescent="0.25">
      <c r="A396" s="33">
        <v>52993</v>
      </c>
      <c r="B396" s="14">
        <f>35.4537 * CHOOSE(CONTROL!$C$15, $E$9, 100%, $G$9) + CHOOSE(CONTROL!$C$38, 0.0256, 0)</f>
        <v>35.479299999999995</v>
      </c>
      <c r="C396" s="14">
        <f>33.5649 * CHOOSE(CONTROL!$C$15, $E$9, 100%, $G$9) + CHOOSE(CONTROL!$C$38, 0.0347, 0)</f>
        <v>33.599600000000002</v>
      </c>
      <c r="D396" s="14">
        <f>33.557 * CHOOSE(CONTROL!$C$15, $E$9, 100%, $G$9) + CHOOSE(CONTROL!$C$38, 0.0347, 0)</f>
        <v>33.591700000000003</v>
      </c>
      <c r="E396" s="46">
        <f>35.2974 * CHOOSE(CONTROL!$C$15, $E$9, 100%, $G$9) + CHOOSE(CONTROL!$C$38, 0.0347, 0)</f>
        <v>35.332100000000004</v>
      </c>
      <c r="F396" s="45">
        <f>35.2974 * CHOOSE(CONTROL!$C$15, $E$9, 100%, $G$9) + CHOOSE(CONTROL!$C$38, 0.0256, 0)</f>
        <v>35.323</v>
      </c>
      <c r="G396" s="14">
        <f>33.5633 * CHOOSE(CONTROL!$C$15, $E$9, 100%, $G$9) + CHOOSE(CONTROL!$C$38, 0.0347, 0)</f>
        <v>33.597999999999999</v>
      </c>
      <c r="H396" s="14">
        <f>33.5633 * CHOOSE(CONTROL!$C$15, $E$9, 100%, $G$9) + CHOOSE(CONTROL!$C$38, 0.0347, 0)</f>
        <v>33.597999999999999</v>
      </c>
      <c r="I396" s="14">
        <f>33.5649 * CHOOSE(CONTROL!$C$15, $E$9, 100%, $G$9) + CHOOSE(CONTROL!$C$38, 0.0347, 0)</f>
        <v>33.599600000000002</v>
      </c>
      <c r="J396" s="44">
        <f>221.103</f>
        <v>221.10300000000001</v>
      </c>
    </row>
    <row r="397" spans="1:10" ht="15.75" x14ac:dyDescent="0.25">
      <c r="A397" s="33">
        <v>53021</v>
      </c>
      <c r="B397" s="14">
        <f>35.798 * CHOOSE(CONTROL!$C$15, $E$9, 100%, $G$9) + CHOOSE(CONTROL!$C$38, 0.0256, 0)</f>
        <v>35.823599999999999</v>
      </c>
      <c r="C397" s="14">
        <f>33.9092 * CHOOSE(CONTROL!$C$15, $E$9, 100%, $G$9) + CHOOSE(CONTROL!$C$38, 0.0347, 0)</f>
        <v>33.943899999999999</v>
      </c>
      <c r="D397" s="14">
        <f>33.9014 * CHOOSE(CONTROL!$C$15, $E$9, 100%, $G$9) + CHOOSE(CONTROL!$C$38, 0.0347, 0)</f>
        <v>33.936100000000003</v>
      </c>
      <c r="E397" s="46">
        <f>35.6417 * CHOOSE(CONTROL!$C$15, $E$9, 100%, $G$9) + CHOOSE(CONTROL!$C$38, 0.0347, 0)</f>
        <v>35.676400000000001</v>
      </c>
      <c r="F397" s="45">
        <f>35.6417 * CHOOSE(CONTROL!$C$15, $E$9, 100%, $G$9) + CHOOSE(CONTROL!$C$38, 0.0256, 0)</f>
        <v>35.667299999999997</v>
      </c>
      <c r="G397" s="14">
        <f>33.9076 * CHOOSE(CONTROL!$C$15, $E$9, 100%, $G$9) + CHOOSE(CONTROL!$C$38, 0.0347, 0)</f>
        <v>33.942300000000003</v>
      </c>
      <c r="H397" s="14">
        <f>33.9076 * CHOOSE(CONTROL!$C$15, $E$9, 100%, $G$9) + CHOOSE(CONTROL!$C$38, 0.0347, 0)</f>
        <v>33.942300000000003</v>
      </c>
      <c r="I397" s="14">
        <f>33.9092 * CHOOSE(CONTROL!$C$15, $E$9, 100%, $G$9) + CHOOSE(CONTROL!$C$38, 0.0347, 0)</f>
        <v>33.943899999999999</v>
      </c>
      <c r="J397" s="44">
        <f>220.4884</f>
        <v>220.48840000000001</v>
      </c>
    </row>
    <row r="398" spans="1:10" ht="15.75" x14ac:dyDescent="0.25">
      <c r="A398" s="33">
        <v>53052</v>
      </c>
      <c r="B398" s="14">
        <f>35.0009 * CHOOSE(CONTROL!$C$15, $E$9, 100%, $G$9) + CHOOSE(CONTROL!$C$38, 0.0256, 0)</f>
        <v>35.026499999999999</v>
      </c>
      <c r="C398" s="14">
        <f>33.1121 * CHOOSE(CONTROL!$C$15, $E$9, 100%, $G$9) + CHOOSE(CONTROL!$C$38, 0.0347, 0)</f>
        <v>33.146799999999999</v>
      </c>
      <c r="D398" s="14">
        <f>33.1043 * CHOOSE(CONTROL!$C$15, $E$9, 100%, $G$9) + CHOOSE(CONTROL!$C$38, 0.0347, 0)</f>
        <v>33.139000000000003</v>
      </c>
      <c r="E398" s="46">
        <f>34.8447 * CHOOSE(CONTROL!$C$15, $E$9, 100%, $G$9) + CHOOSE(CONTROL!$C$38, 0.0347, 0)</f>
        <v>34.879400000000004</v>
      </c>
      <c r="F398" s="45">
        <f>34.8447 * CHOOSE(CONTROL!$C$15, $E$9, 100%, $G$9) + CHOOSE(CONTROL!$C$38, 0.0256, 0)</f>
        <v>34.8703</v>
      </c>
      <c r="G398" s="14">
        <f>33.1106 * CHOOSE(CONTROL!$C$15, $E$9, 100%, $G$9) + CHOOSE(CONTROL!$C$38, 0.0347, 0)</f>
        <v>33.145299999999999</v>
      </c>
      <c r="H398" s="14">
        <f>33.1106 * CHOOSE(CONTROL!$C$15, $E$9, 100%, $G$9) + CHOOSE(CONTROL!$C$38, 0.0347, 0)</f>
        <v>33.145299999999999</v>
      </c>
      <c r="I398" s="14">
        <f>33.1121 * CHOOSE(CONTROL!$C$15, $E$9, 100%, $G$9) + CHOOSE(CONTROL!$C$38, 0.0347, 0)</f>
        <v>33.146799999999999</v>
      </c>
      <c r="J398" s="44">
        <f>232.1094</f>
        <v>232.10939999999999</v>
      </c>
    </row>
    <row r="399" spans="1:10" ht="15.75" x14ac:dyDescent="0.25">
      <c r="A399" s="33">
        <v>53082</v>
      </c>
      <c r="B399" s="14">
        <f>34.2286 * CHOOSE(CONTROL!$C$15, $E$9, 100%, $G$9) + CHOOSE(CONTROL!$C$38, 0.0256, 0)</f>
        <v>34.254199999999997</v>
      </c>
      <c r="C399" s="14">
        <f>32.3398 * CHOOSE(CONTROL!$C$15, $E$9, 100%, $G$9) + CHOOSE(CONTROL!$C$38, 0.0347, 0)</f>
        <v>32.374499999999998</v>
      </c>
      <c r="D399" s="14">
        <f>32.332 * CHOOSE(CONTROL!$C$15, $E$9, 100%, $G$9) + CHOOSE(CONTROL!$C$38, 0.0347, 0)</f>
        <v>32.366700000000002</v>
      </c>
      <c r="E399" s="46">
        <f>34.0724 * CHOOSE(CONTROL!$C$15, $E$9, 100%, $G$9) + CHOOSE(CONTROL!$C$38, 0.0347, 0)</f>
        <v>34.107100000000003</v>
      </c>
      <c r="F399" s="45">
        <f>34.0724 * CHOOSE(CONTROL!$C$15, $E$9, 100%, $G$9) + CHOOSE(CONTROL!$C$38, 0.0256, 0)</f>
        <v>34.097999999999999</v>
      </c>
      <c r="G399" s="14">
        <f>32.3383 * CHOOSE(CONTROL!$C$15, $E$9, 100%, $G$9) + CHOOSE(CONTROL!$C$38, 0.0347, 0)</f>
        <v>32.372999999999998</v>
      </c>
      <c r="H399" s="14">
        <f>32.3383 * CHOOSE(CONTROL!$C$15, $E$9, 100%, $G$9) + CHOOSE(CONTROL!$C$38, 0.0347, 0)</f>
        <v>32.372999999999998</v>
      </c>
      <c r="I399" s="14">
        <f>32.3398 * CHOOSE(CONTROL!$C$15, $E$9, 100%, $G$9) + CHOOSE(CONTROL!$C$38, 0.0347, 0)</f>
        <v>32.374499999999998</v>
      </c>
      <c r="J399" s="44">
        <f>247.1791</f>
        <v>247.17910000000001</v>
      </c>
    </row>
    <row r="400" spans="1:10" ht="15.75" x14ac:dyDescent="0.25">
      <c r="A400" s="33">
        <v>53113</v>
      </c>
      <c r="B400" s="14">
        <f>33.4237 * CHOOSE(CONTROL!$C$15, $E$9, 100%, $G$9) + CHOOSE(CONTROL!$C$38, 0.0278, 0)</f>
        <v>33.451499999999996</v>
      </c>
      <c r="C400" s="14">
        <f>31.5349 * CHOOSE(CONTROL!$C$15, $E$9, 100%, $G$9) + CHOOSE(CONTROL!$C$38, 0.0369, 0)</f>
        <v>31.5718</v>
      </c>
      <c r="D400" s="14">
        <f>31.527 * CHOOSE(CONTROL!$C$15, $E$9, 100%, $G$9) + CHOOSE(CONTROL!$C$38, 0.0369, 0)</f>
        <v>31.5639</v>
      </c>
      <c r="E400" s="46">
        <f>33.2674 * CHOOSE(CONTROL!$C$15, $E$9, 100%, $G$9) + CHOOSE(CONTROL!$C$38, 0.0369, 0)</f>
        <v>33.304300000000005</v>
      </c>
      <c r="F400" s="45">
        <f>33.2674 * CHOOSE(CONTROL!$C$15, $E$9, 100%, $G$9) + CHOOSE(CONTROL!$C$38, 0.0278, 0)</f>
        <v>33.295200000000001</v>
      </c>
      <c r="G400" s="14">
        <f>31.5333 * CHOOSE(CONTROL!$C$15, $E$9, 100%, $G$9) + CHOOSE(CONTROL!$C$38, 0.0369, 0)</f>
        <v>31.5702</v>
      </c>
      <c r="H400" s="14">
        <f>31.5333 * CHOOSE(CONTROL!$C$15, $E$9, 100%, $G$9) + CHOOSE(CONTROL!$C$38, 0.0369, 0)</f>
        <v>31.5702</v>
      </c>
      <c r="I400" s="14">
        <f>31.5349 * CHOOSE(CONTROL!$C$15, $E$9, 100%, $G$9) + CHOOSE(CONTROL!$C$38, 0.0369, 0)</f>
        <v>31.5718</v>
      </c>
      <c r="J400" s="44">
        <f>255.4739</f>
        <v>255.47389999999999</v>
      </c>
    </row>
    <row r="401" spans="1:10" ht="15.75" x14ac:dyDescent="0.25">
      <c r="A401" s="33">
        <v>53143</v>
      </c>
      <c r="B401" s="14">
        <f>32.8593 * CHOOSE(CONTROL!$C$15, $E$9, 100%, $G$9) + CHOOSE(CONTROL!$C$38, 0.0278, 0)</f>
        <v>32.887099999999997</v>
      </c>
      <c r="C401" s="14">
        <f>30.9705 * CHOOSE(CONTROL!$C$15, $E$9, 100%, $G$9) + CHOOSE(CONTROL!$C$38, 0.0369, 0)</f>
        <v>31.007400000000001</v>
      </c>
      <c r="D401" s="14">
        <f>30.9627 * CHOOSE(CONTROL!$C$15, $E$9, 100%, $G$9) + CHOOSE(CONTROL!$C$38, 0.0369, 0)</f>
        <v>30.999600000000001</v>
      </c>
      <c r="E401" s="46">
        <f>32.7031 * CHOOSE(CONTROL!$C$15, $E$9, 100%, $G$9) + CHOOSE(CONTROL!$C$38, 0.0369, 0)</f>
        <v>32.74</v>
      </c>
      <c r="F401" s="45">
        <f>32.7031 * CHOOSE(CONTROL!$C$15, $E$9, 100%, $G$9) + CHOOSE(CONTROL!$C$38, 0.0278, 0)</f>
        <v>32.730899999999998</v>
      </c>
      <c r="G401" s="14">
        <f>30.969 * CHOOSE(CONTROL!$C$15, $E$9, 100%, $G$9) + CHOOSE(CONTROL!$C$38, 0.0369, 0)</f>
        <v>31.0059</v>
      </c>
      <c r="H401" s="14">
        <f>30.969 * CHOOSE(CONTROL!$C$15, $E$9, 100%, $G$9) + CHOOSE(CONTROL!$C$38, 0.0369, 0)</f>
        <v>31.0059</v>
      </c>
      <c r="I401" s="14">
        <f>30.9705 * CHOOSE(CONTROL!$C$15, $E$9, 100%, $G$9) + CHOOSE(CONTROL!$C$38, 0.0369, 0)</f>
        <v>31.007400000000001</v>
      </c>
      <c r="J401" s="44">
        <f>259.155</f>
        <v>259.15499999999997</v>
      </c>
    </row>
    <row r="402" spans="1:10" ht="15.75" x14ac:dyDescent="0.25">
      <c r="A402" s="33">
        <v>53174</v>
      </c>
      <c r="B402" s="14">
        <f>32.5373 * CHOOSE(CONTROL!$C$15, $E$9, 100%, $G$9) + CHOOSE(CONTROL!$C$38, 0.0278, 0)</f>
        <v>32.565100000000001</v>
      </c>
      <c r="C402" s="14">
        <f>30.6485 * CHOOSE(CONTROL!$C$15, $E$9, 100%, $G$9) + CHOOSE(CONTROL!$C$38, 0.0369, 0)</f>
        <v>30.685399999999998</v>
      </c>
      <c r="D402" s="14">
        <f>30.6407 * CHOOSE(CONTROL!$C$15, $E$9, 100%, $G$9) + CHOOSE(CONTROL!$C$38, 0.0369, 0)</f>
        <v>30.677599999999998</v>
      </c>
      <c r="E402" s="46">
        <f>32.381 * CHOOSE(CONTROL!$C$15, $E$9, 100%, $G$9) + CHOOSE(CONTROL!$C$38, 0.0369, 0)</f>
        <v>32.417900000000003</v>
      </c>
      <c r="F402" s="45">
        <f>32.381 * CHOOSE(CONTROL!$C$15, $E$9, 100%, $G$9) + CHOOSE(CONTROL!$C$38, 0.0278, 0)</f>
        <v>32.408799999999999</v>
      </c>
      <c r="G402" s="14">
        <f>30.6469 * CHOOSE(CONTROL!$C$15, $E$9, 100%, $G$9) + CHOOSE(CONTROL!$C$38, 0.0369, 0)</f>
        <v>30.683799999999998</v>
      </c>
      <c r="H402" s="14">
        <f>30.6469 * CHOOSE(CONTROL!$C$15, $E$9, 100%, $G$9) + CHOOSE(CONTROL!$C$38, 0.0369, 0)</f>
        <v>30.683799999999998</v>
      </c>
      <c r="I402" s="14">
        <f>30.6485 * CHOOSE(CONTROL!$C$15, $E$9, 100%, $G$9) + CHOOSE(CONTROL!$C$38, 0.0369, 0)</f>
        <v>30.685399999999998</v>
      </c>
      <c r="J402" s="44">
        <f>257.943</f>
        <v>257.94299999999998</v>
      </c>
    </row>
    <row r="403" spans="1:10" ht="15.75" x14ac:dyDescent="0.25">
      <c r="A403" s="33">
        <v>53205</v>
      </c>
      <c r="B403" s="14">
        <f>32.6962 * CHOOSE(CONTROL!$C$15, $E$9, 100%, $G$9) + CHOOSE(CONTROL!$C$38, 0.0278, 0)</f>
        <v>32.723999999999997</v>
      </c>
      <c r="C403" s="14">
        <f>30.8074 * CHOOSE(CONTROL!$C$15, $E$9, 100%, $G$9) + CHOOSE(CONTROL!$C$38, 0.0369, 0)</f>
        <v>30.8443</v>
      </c>
      <c r="D403" s="14">
        <f>30.7996 * CHOOSE(CONTROL!$C$15, $E$9, 100%, $G$9) + CHOOSE(CONTROL!$C$38, 0.0369, 0)</f>
        <v>30.836500000000001</v>
      </c>
      <c r="E403" s="46">
        <f>32.54 * CHOOSE(CONTROL!$C$15, $E$9, 100%, $G$9) + CHOOSE(CONTROL!$C$38, 0.0369, 0)</f>
        <v>32.576900000000002</v>
      </c>
      <c r="F403" s="45">
        <f>32.54 * CHOOSE(CONTROL!$C$15, $E$9, 100%, $G$9) + CHOOSE(CONTROL!$C$38, 0.0278, 0)</f>
        <v>32.567799999999998</v>
      </c>
      <c r="G403" s="14">
        <f>30.8058 * CHOOSE(CONTROL!$C$15, $E$9, 100%, $G$9) + CHOOSE(CONTROL!$C$38, 0.0369, 0)</f>
        <v>30.842700000000001</v>
      </c>
      <c r="H403" s="14">
        <f>30.8058 * CHOOSE(CONTROL!$C$15, $E$9, 100%, $G$9) + CHOOSE(CONTROL!$C$38, 0.0369, 0)</f>
        <v>30.842700000000001</v>
      </c>
      <c r="I403" s="14">
        <f>30.8074 * CHOOSE(CONTROL!$C$15, $E$9, 100%, $G$9) + CHOOSE(CONTROL!$C$38, 0.0369, 0)</f>
        <v>30.8443</v>
      </c>
      <c r="J403" s="44">
        <f>251.9382</f>
        <v>251.93819999999999</v>
      </c>
    </row>
    <row r="404" spans="1:10" ht="15.75" x14ac:dyDescent="0.25">
      <c r="A404" s="33">
        <v>53235</v>
      </c>
      <c r="B404" s="14">
        <f>33.1279 * CHOOSE(CONTROL!$C$15, $E$9, 100%, $G$9) + CHOOSE(CONTROL!$C$38, 0.0278, 0)</f>
        <v>33.155699999999996</v>
      </c>
      <c r="C404" s="14">
        <f>31.2391 * CHOOSE(CONTROL!$C$15, $E$9, 100%, $G$9) + CHOOSE(CONTROL!$C$38, 0.0369, 0)</f>
        <v>31.276</v>
      </c>
      <c r="D404" s="14">
        <f>31.2313 * CHOOSE(CONTROL!$C$15, $E$9, 100%, $G$9) + CHOOSE(CONTROL!$C$38, 0.0369, 0)</f>
        <v>31.2682</v>
      </c>
      <c r="E404" s="46">
        <f>32.9717 * CHOOSE(CONTROL!$C$15, $E$9, 100%, $G$9) + CHOOSE(CONTROL!$C$38, 0.0369, 0)</f>
        <v>33.008600000000001</v>
      </c>
      <c r="F404" s="45">
        <f>32.9717 * CHOOSE(CONTROL!$C$15, $E$9, 100%, $G$9) + CHOOSE(CONTROL!$C$38, 0.0278, 0)</f>
        <v>32.999499999999998</v>
      </c>
      <c r="G404" s="14">
        <f>31.2376 * CHOOSE(CONTROL!$C$15, $E$9, 100%, $G$9) + CHOOSE(CONTROL!$C$38, 0.0369, 0)</f>
        <v>31.2745</v>
      </c>
      <c r="H404" s="14">
        <f>31.2376 * CHOOSE(CONTROL!$C$15, $E$9, 100%, $G$9) + CHOOSE(CONTROL!$C$38, 0.0369, 0)</f>
        <v>31.2745</v>
      </c>
      <c r="I404" s="14">
        <f>31.2391 * CHOOSE(CONTROL!$C$15, $E$9, 100%, $G$9) + CHOOSE(CONTROL!$C$38, 0.0369, 0)</f>
        <v>31.276</v>
      </c>
      <c r="J404" s="44">
        <f>243.5642</f>
        <v>243.5642</v>
      </c>
    </row>
    <row r="405" spans="1:10" ht="15.75" x14ac:dyDescent="0.25">
      <c r="A405" s="33">
        <v>53266</v>
      </c>
      <c r="B405" s="14">
        <f>33.4895 * CHOOSE(CONTROL!$C$15, $E$9, 100%, $G$9) + CHOOSE(CONTROL!$C$38, 0.0256, 0)</f>
        <v>33.515099999999997</v>
      </c>
      <c r="C405" s="14">
        <f>31.6007 * CHOOSE(CONTROL!$C$15, $E$9, 100%, $G$9) + CHOOSE(CONTROL!$C$38, 0.0347, 0)</f>
        <v>31.635400000000001</v>
      </c>
      <c r="D405" s="14">
        <f>31.5929 * CHOOSE(CONTROL!$C$15, $E$9, 100%, $G$9) + CHOOSE(CONTROL!$C$38, 0.0347, 0)</f>
        <v>31.627600000000001</v>
      </c>
      <c r="E405" s="46">
        <f>33.3332 * CHOOSE(CONTROL!$C$15, $E$9, 100%, $G$9) + CHOOSE(CONTROL!$C$38, 0.0347, 0)</f>
        <v>33.367899999999999</v>
      </c>
      <c r="F405" s="45">
        <f>33.3332 * CHOOSE(CONTROL!$C$15, $E$9, 100%, $G$9) + CHOOSE(CONTROL!$C$38, 0.0256, 0)</f>
        <v>33.358799999999995</v>
      </c>
      <c r="G405" s="14">
        <f>31.5991 * CHOOSE(CONTROL!$C$15, $E$9, 100%, $G$9) + CHOOSE(CONTROL!$C$38, 0.0347, 0)</f>
        <v>31.633800000000001</v>
      </c>
      <c r="H405" s="14">
        <f>31.5991 * CHOOSE(CONTROL!$C$15, $E$9, 100%, $G$9) + CHOOSE(CONTROL!$C$38, 0.0347, 0)</f>
        <v>31.633800000000001</v>
      </c>
      <c r="I405" s="14">
        <f>31.6007 * CHOOSE(CONTROL!$C$15, $E$9, 100%, $G$9) + CHOOSE(CONTROL!$C$38, 0.0347, 0)</f>
        <v>31.635400000000001</v>
      </c>
      <c r="J405" s="44">
        <f>235.1415</f>
        <v>235.14150000000001</v>
      </c>
    </row>
    <row r="406" spans="1:10" ht="15.75" x14ac:dyDescent="0.25">
      <c r="A406" s="33">
        <v>53296</v>
      </c>
      <c r="B406" s="14">
        <f>33.7912 * CHOOSE(CONTROL!$C$15, $E$9, 100%, $G$9) + CHOOSE(CONTROL!$C$38, 0.0256, 0)</f>
        <v>33.816800000000001</v>
      </c>
      <c r="C406" s="14">
        <f>31.9024 * CHOOSE(CONTROL!$C$15, $E$9, 100%, $G$9) + CHOOSE(CONTROL!$C$38, 0.0347, 0)</f>
        <v>31.937100000000001</v>
      </c>
      <c r="D406" s="14">
        <f>31.8946 * CHOOSE(CONTROL!$C$15, $E$9, 100%, $G$9) + CHOOSE(CONTROL!$C$38, 0.0347, 0)</f>
        <v>31.929300000000001</v>
      </c>
      <c r="E406" s="46">
        <f>33.6349 * CHOOSE(CONTROL!$C$15, $E$9, 100%, $G$9) + CHOOSE(CONTROL!$C$38, 0.0347, 0)</f>
        <v>33.669600000000003</v>
      </c>
      <c r="F406" s="45">
        <f>33.6349 * CHOOSE(CONTROL!$C$15, $E$9, 100%, $G$9) + CHOOSE(CONTROL!$C$38, 0.0256, 0)</f>
        <v>33.660499999999999</v>
      </c>
      <c r="G406" s="14">
        <f>31.9008 * CHOOSE(CONTROL!$C$15, $E$9, 100%, $G$9) + CHOOSE(CONTROL!$C$38, 0.0347, 0)</f>
        <v>31.935500000000001</v>
      </c>
      <c r="H406" s="14">
        <f>31.9008 * CHOOSE(CONTROL!$C$15, $E$9, 100%, $G$9) + CHOOSE(CONTROL!$C$38, 0.0347, 0)</f>
        <v>31.935500000000001</v>
      </c>
      <c r="I406" s="14">
        <f>31.9024 * CHOOSE(CONTROL!$C$15, $E$9, 100%, $G$9) + CHOOSE(CONTROL!$C$38, 0.0347, 0)</f>
        <v>31.937100000000001</v>
      </c>
      <c r="J406" s="44">
        <f>233.4661</f>
        <v>233.46610000000001</v>
      </c>
    </row>
    <row r="407" spans="1:10" ht="15.75" x14ac:dyDescent="0.25">
      <c r="A407" s="33">
        <v>53327</v>
      </c>
      <c r="B407" s="14">
        <f>34.7209 * CHOOSE(CONTROL!$C$15, $E$9, 100%, $G$9) + CHOOSE(CONTROL!$C$38, 0.0256, 0)</f>
        <v>34.746499999999997</v>
      </c>
      <c r="C407" s="14">
        <f>32.8321 * CHOOSE(CONTROL!$C$15, $E$9, 100%, $G$9) + CHOOSE(CONTROL!$C$38, 0.0347, 0)</f>
        <v>32.866799999999998</v>
      </c>
      <c r="D407" s="14">
        <f>32.8242 * CHOOSE(CONTROL!$C$15, $E$9, 100%, $G$9) + CHOOSE(CONTROL!$C$38, 0.0347, 0)</f>
        <v>32.858899999999998</v>
      </c>
      <c r="E407" s="46">
        <f>34.5646 * CHOOSE(CONTROL!$C$15, $E$9, 100%, $G$9) + CHOOSE(CONTROL!$C$38, 0.0347, 0)</f>
        <v>34.599299999999999</v>
      </c>
      <c r="F407" s="45">
        <f>34.5646 * CHOOSE(CONTROL!$C$15, $E$9, 100%, $G$9) + CHOOSE(CONTROL!$C$38, 0.0256, 0)</f>
        <v>34.590199999999996</v>
      </c>
      <c r="G407" s="14">
        <f>32.8305 * CHOOSE(CONTROL!$C$15, $E$9, 100%, $G$9) + CHOOSE(CONTROL!$C$38, 0.0347, 0)</f>
        <v>32.865200000000002</v>
      </c>
      <c r="H407" s="14">
        <f>32.8305 * CHOOSE(CONTROL!$C$15, $E$9, 100%, $G$9) + CHOOSE(CONTROL!$C$38, 0.0347, 0)</f>
        <v>32.865200000000002</v>
      </c>
      <c r="I407" s="14">
        <f>32.8321 * CHOOSE(CONTROL!$C$15, $E$9, 100%, $G$9) + CHOOSE(CONTROL!$C$38, 0.0347, 0)</f>
        <v>32.866799999999998</v>
      </c>
      <c r="J407" s="44">
        <f>226.538</f>
        <v>226.53800000000001</v>
      </c>
    </row>
    <row r="408" spans="1:10" ht="15.75" x14ac:dyDescent="0.25">
      <c r="A408" s="33">
        <v>53358</v>
      </c>
      <c r="B408" s="14">
        <f>36.0133 * CHOOSE(CONTROL!$C$15, $E$9, 100%, $G$9) + CHOOSE(CONTROL!$C$38, 0.0256, 0)</f>
        <v>36.038899999999998</v>
      </c>
      <c r="C408" s="14">
        <f>34.0953 * CHOOSE(CONTROL!$C$15, $E$9, 100%, $G$9) + CHOOSE(CONTROL!$C$38, 0.0347, 0)</f>
        <v>34.130000000000003</v>
      </c>
      <c r="D408" s="14">
        <f>34.0875 * CHOOSE(CONTROL!$C$15, $E$9, 100%, $G$9) + CHOOSE(CONTROL!$C$38, 0.0347, 0)</f>
        <v>34.122199999999999</v>
      </c>
      <c r="E408" s="46">
        <f>35.857 * CHOOSE(CONTROL!$C$15, $E$9, 100%, $G$9) + CHOOSE(CONTROL!$C$38, 0.0347, 0)</f>
        <v>35.8917</v>
      </c>
      <c r="F408" s="45">
        <f>35.857 * CHOOSE(CONTROL!$C$15, $E$9, 100%, $G$9) + CHOOSE(CONTROL!$C$38, 0.0256, 0)</f>
        <v>35.882599999999996</v>
      </c>
      <c r="G408" s="14">
        <f>34.0938 * CHOOSE(CONTROL!$C$15, $E$9, 100%, $G$9) + CHOOSE(CONTROL!$C$38, 0.0347, 0)</f>
        <v>34.128500000000003</v>
      </c>
      <c r="H408" s="14">
        <f>34.0938 * CHOOSE(CONTROL!$C$15, $E$9, 100%, $G$9) + CHOOSE(CONTROL!$C$38, 0.0347, 0)</f>
        <v>34.128500000000003</v>
      </c>
      <c r="I408" s="14">
        <f>34.0953 * CHOOSE(CONTROL!$C$15, $E$9, 100%, $G$9) + CHOOSE(CONTROL!$C$38, 0.0347, 0)</f>
        <v>34.130000000000003</v>
      </c>
      <c r="J408" s="44">
        <f>226.3744</f>
        <v>226.37440000000001</v>
      </c>
    </row>
    <row r="409" spans="1:10" ht="15.75" x14ac:dyDescent="0.25">
      <c r="A409" s="33">
        <v>53386</v>
      </c>
      <c r="B409" s="14">
        <f>36.3576 * CHOOSE(CONTROL!$C$15, $E$9, 100%, $G$9) + CHOOSE(CONTROL!$C$38, 0.0256, 0)</f>
        <v>36.383199999999995</v>
      </c>
      <c r="C409" s="14">
        <f>34.4397 * CHOOSE(CONTROL!$C$15, $E$9, 100%, $G$9) + CHOOSE(CONTROL!$C$38, 0.0347, 0)</f>
        <v>34.474400000000003</v>
      </c>
      <c r="D409" s="14">
        <f>34.4318 * CHOOSE(CONTROL!$C$15, $E$9, 100%, $G$9) + CHOOSE(CONTROL!$C$38, 0.0347, 0)</f>
        <v>34.466500000000003</v>
      </c>
      <c r="E409" s="46">
        <f>36.2013 * CHOOSE(CONTROL!$C$15, $E$9, 100%, $G$9) + CHOOSE(CONTROL!$C$38, 0.0347, 0)</f>
        <v>36.236000000000004</v>
      </c>
      <c r="F409" s="45">
        <f>36.2013 * CHOOSE(CONTROL!$C$15, $E$9, 100%, $G$9) + CHOOSE(CONTROL!$C$38, 0.0256, 0)</f>
        <v>36.226900000000001</v>
      </c>
      <c r="G409" s="14">
        <f>34.4381 * CHOOSE(CONTROL!$C$15, $E$9, 100%, $G$9) + CHOOSE(CONTROL!$C$38, 0.0347, 0)</f>
        <v>34.472799999999999</v>
      </c>
      <c r="H409" s="14">
        <f>34.4381 * CHOOSE(CONTROL!$C$15, $E$9, 100%, $G$9) + CHOOSE(CONTROL!$C$38, 0.0347, 0)</f>
        <v>34.472799999999999</v>
      </c>
      <c r="I409" s="14">
        <f>34.4397 * CHOOSE(CONTROL!$C$15, $E$9, 100%, $G$9) + CHOOSE(CONTROL!$C$38, 0.0347, 0)</f>
        <v>34.474400000000003</v>
      </c>
      <c r="J409" s="44">
        <f>225.7452</f>
        <v>225.74520000000001</v>
      </c>
    </row>
    <row r="410" spans="1:10" ht="15.75" x14ac:dyDescent="0.25">
      <c r="A410" s="33">
        <v>53417</v>
      </c>
      <c r="B410" s="14">
        <f>35.5605 * CHOOSE(CONTROL!$C$15, $E$9, 100%, $G$9) + CHOOSE(CONTROL!$C$38, 0.0256, 0)</f>
        <v>35.586099999999995</v>
      </c>
      <c r="C410" s="14">
        <f>33.6426 * CHOOSE(CONTROL!$C$15, $E$9, 100%, $G$9) + CHOOSE(CONTROL!$C$38, 0.0347, 0)</f>
        <v>33.677300000000002</v>
      </c>
      <c r="D410" s="14">
        <f>33.6348 * CHOOSE(CONTROL!$C$15, $E$9, 100%, $G$9) + CHOOSE(CONTROL!$C$38, 0.0347, 0)</f>
        <v>33.669499999999999</v>
      </c>
      <c r="E410" s="46">
        <f>35.4043 * CHOOSE(CONTROL!$C$15, $E$9, 100%, $G$9) + CHOOSE(CONTROL!$C$38, 0.0347, 0)</f>
        <v>35.439</v>
      </c>
      <c r="F410" s="45">
        <f>35.4043 * CHOOSE(CONTROL!$C$15, $E$9, 100%, $G$9) + CHOOSE(CONTROL!$C$38, 0.0256, 0)</f>
        <v>35.429899999999996</v>
      </c>
      <c r="G410" s="14">
        <f>33.6411 * CHOOSE(CONTROL!$C$15, $E$9, 100%, $G$9) + CHOOSE(CONTROL!$C$38, 0.0347, 0)</f>
        <v>33.675800000000002</v>
      </c>
      <c r="H410" s="14">
        <f>33.6411 * CHOOSE(CONTROL!$C$15, $E$9, 100%, $G$9) + CHOOSE(CONTROL!$C$38, 0.0347, 0)</f>
        <v>33.675800000000002</v>
      </c>
      <c r="I410" s="14">
        <f>33.6426 * CHOOSE(CONTROL!$C$15, $E$9, 100%, $G$9) + CHOOSE(CONTROL!$C$38, 0.0347, 0)</f>
        <v>33.677300000000002</v>
      </c>
      <c r="J410" s="44">
        <f>237.6432</f>
        <v>237.64320000000001</v>
      </c>
    </row>
    <row r="411" spans="1:10" ht="15.75" x14ac:dyDescent="0.25">
      <c r="A411" s="33">
        <v>53447</v>
      </c>
      <c r="B411" s="14">
        <f>34.7882 * CHOOSE(CONTROL!$C$15, $E$9, 100%, $G$9) + CHOOSE(CONTROL!$C$38, 0.0256, 0)</f>
        <v>34.813800000000001</v>
      </c>
      <c r="C411" s="14">
        <f>32.8703 * CHOOSE(CONTROL!$C$15, $E$9, 100%, $G$9) + CHOOSE(CONTROL!$C$38, 0.0347, 0)</f>
        <v>32.905000000000001</v>
      </c>
      <c r="D411" s="14">
        <f>32.8625 * CHOOSE(CONTROL!$C$15, $E$9, 100%, $G$9) + CHOOSE(CONTROL!$C$38, 0.0347, 0)</f>
        <v>32.897199999999998</v>
      </c>
      <c r="E411" s="46">
        <f>34.632 * CHOOSE(CONTROL!$C$15, $E$9, 100%, $G$9) + CHOOSE(CONTROL!$C$38, 0.0347, 0)</f>
        <v>34.666699999999999</v>
      </c>
      <c r="F411" s="45">
        <f>34.632 * CHOOSE(CONTROL!$C$15, $E$9, 100%, $G$9) + CHOOSE(CONTROL!$C$38, 0.0256, 0)</f>
        <v>34.657599999999995</v>
      </c>
      <c r="G411" s="14">
        <f>32.8687 * CHOOSE(CONTROL!$C$15, $E$9, 100%, $G$9) + CHOOSE(CONTROL!$C$38, 0.0347, 0)</f>
        <v>32.903399999999998</v>
      </c>
      <c r="H411" s="14">
        <f>32.8687 * CHOOSE(CONTROL!$C$15, $E$9, 100%, $G$9) + CHOOSE(CONTROL!$C$38, 0.0347, 0)</f>
        <v>32.903399999999998</v>
      </c>
      <c r="I411" s="14">
        <f>32.8703 * CHOOSE(CONTROL!$C$15, $E$9, 100%, $G$9) + CHOOSE(CONTROL!$C$38, 0.0347, 0)</f>
        <v>32.905000000000001</v>
      </c>
      <c r="J411" s="44">
        <f>253.0722</f>
        <v>253.07220000000001</v>
      </c>
    </row>
    <row r="412" spans="1:10" ht="15.75" x14ac:dyDescent="0.25">
      <c r="A412" s="33">
        <v>53478</v>
      </c>
      <c r="B412" s="14">
        <f>33.9833 * CHOOSE(CONTROL!$C$15, $E$9, 100%, $G$9) + CHOOSE(CONTROL!$C$38, 0.0278, 0)</f>
        <v>34.011099999999999</v>
      </c>
      <c r="C412" s="14">
        <f>32.0654 * CHOOSE(CONTROL!$C$15, $E$9, 100%, $G$9) + CHOOSE(CONTROL!$C$38, 0.0369, 0)</f>
        <v>32.1023</v>
      </c>
      <c r="D412" s="14">
        <f>32.0575 * CHOOSE(CONTROL!$C$15, $E$9, 100%, $G$9) + CHOOSE(CONTROL!$C$38, 0.0369, 0)</f>
        <v>32.0944</v>
      </c>
      <c r="E412" s="46">
        <f>33.827 * CHOOSE(CONTROL!$C$15, $E$9, 100%, $G$9) + CHOOSE(CONTROL!$C$38, 0.0369, 0)</f>
        <v>33.863900000000001</v>
      </c>
      <c r="F412" s="45">
        <f>33.827 * CHOOSE(CONTROL!$C$15, $E$9, 100%, $G$9) + CHOOSE(CONTROL!$C$38, 0.0278, 0)</f>
        <v>33.854799999999997</v>
      </c>
      <c r="G412" s="14">
        <f>32.0638 * CHOOSE(CONTROL!$C$15, $E$9, 100%, $G$9) + CHOOSE(CONTROL!$C$38, 0.0369, 0)</f>
        <v>32.100700000000003</v>
      </c>
      <c r="H412" s="14">
        <f>32.0638 * CHOOSE(CONTROL!$C$15, $E$9, 100%, $G$9) + CHOOSE(CONTROL!$C$38, 0.0369, 0)</f>
        <v>32.100700000000003</v>
      </c>
      <c r="I412" s="14">
        <f>32.0654 * CHOOSE(CONTROL!$C$15, $E$9, 100%, $G$9) + CHOOSE(CONTROL!$C$38, 0.0369, 0)</f>
        <v>32.1023</v>
      </c>
      <c r="J412" s="44">
        <f>261.5648</f>
        <v>261.56479999999999</v>
      </c>
    </row>
    <row r="413" spans="1:10" ht="15.75" x14ac:dyDescent="0.25">
      <c r="A413" s="33">
        <v>53508</v>
      </c>
      <c r="B413" s="14">
        <f>33.4189 * CHOOSE(CONTROL!$C$15, $E$9, 100%, $G$9) + CHOOSE(CONTROL!$C$38, 0.0278, 0)</f>
        <v>33.4467</v>
      </c>
      <c r="C413" s="14">
        <f>31.501 * CHOOSE(CONTROL!$C$15, $E$9, 100%, $G$9) + CHOOSE(CONTROL!$C$38, 0.0369, 0)</f>
        <v>31.5379</v>
      </c>
      <c r="D413" s="14">
        <f>31.4932 * CHOOSE(CONTROL!$C$15, $E$9, 100%, $G$9) + CHOOSE(CONTROL!$C$38, 0.0369, 0)</f>
        <v>31.530100000000001</v>
      </c>
      <c r="E413" s="46">
        <f>33.2627 * CHOOSE(CONTROL!$C$15, $E$9, 100%, $G$9) + CHOOSE(CONTROL!$C$38, 0.0369, 0)</f>
        <v>33.299600000000005</v>
      </c>
      <c r="F413" s="45">
        <f>33.2627 * CHOOSE(CONTROL!$C$15, $E$9, 100%, $G$9) + CHOOSE(CONTROL!$C$38, 0.0278, 0)</f>
        <v>33.290500000000002</v>
      </c>
      <c r="G413" s="14">
        <f>31.4995 * CHOOSE(CONTROL!$C$15, $E$9, 100%, $G$9) + CHOOSE(CONTROL!$C$38, 0.0369, 0)</f>
        <v>31.5364</v>
      </c>
      <c r="H413" s="14">
        <f>31.4995 * CHOOSE(CONTROL!$C$15, $E$9, 100%, $G$9) + CHOOSE(CONTROL!$C$38, 0.0369, 0)</f>
        <v>31.5364</v>
      </c>
      <c r="I413" s="14">
        <f>31.501 * CHOOSE(CONTROL!$C$15, $E$9, 100%, $G$9) + CHOOSE(CONTROL!$C$38, 0.0369, 0)</f>
        <v>31.5379</v>
      </c>
      <c r="J413" s="44">
        <f>265.3337</f>
        <v>265.33370000000002</v>
      </c>
    </row>
    <row r="414" spans="1:10" ht="15.75" x14ac:dyDescent="0.25">
      <c r="A414" s="33">
        <v>53539</v>
      </c>
      <c r="B414" s="14">
        <f>33.0969 * CHOOSE(CONTROL!$C$15, $E$9, 100%, $G$9) + CHOOSE(CONTROL!$C$38, 0.0278, 0)</f>
        <v>33.124699999999997</v>
      </c>
      <c r="C414" s="14">
        <f>31.179 * CHOOSE(CONTROL!$C$15, $E$9, 100%, $G$9) + CHOOSE(CONTROL!$C$38, 0.0369, 0)</f>
        <v>31.215899999999998</v>
      </c>
      <c r="D414" s="14">
        <f>31.1711 * CHOOSE(CONTROL!$C$15, $E$9, 100%, $G$9) + CHOOSE(CONTROL!$C$38, 0.0369, 0)</f>
        <v>31.207999999999998</v>
      </c>
      <c r="E414" s="46">
        <f>32.9406 * CHOOSE(CONTROL!$C$15, $E$9, 100%, $G$9) + CHOOSE(CONTROL!$C$38, 0.0369, 0)</f>
        <v>32.977500000000006</v>
      </c>
      <c r="F414" s="45">
        <f>32.9406 * CHOOSE(CONTROL!$C$15, $E$9, 100%, $G$9) + CHOOSE(CONTROL!$C$38, 0.0278, 0)</f>
        <v>32.968400000000003</v>
      </c>
      <c r="G414" s="14">
        <f>31.1774 * CHOOSE(CONTROL!$C$15, $E$9, 100%, $G$9) + CHOOSE(CONTROL!$C$38, 0.0369, 0)</f>
        <v>31.214299999999998</v>
      </c>
      <c r="H414" s="14">
        <f>31.1774 * CHOOSE(CONTROL!$C$15, $E$9, 100%, $G$9) + CHOOSE(CONTROL!$C$38, 0.0369, 0)</f>
        <v>31.214299999999998</v>
      </c>
      <c r="I414" s="14">
        <f>31.179 * CHOOSE(CONTROL!$C$15, $E$9, 100%, $G$9) + CHOOSE(CONTROL!$C$38, 0.0369, 0)</f>
        <v>31.215899999999998</v>
      </c>
      <c r="J414" s="44">
        <f>264.0928</f>
        <v>264.09280000000001</v>
      </c>
    </row>
    <row r="415" spans="1:10" ht="15.75" x14ac:dyDescent="0.25">
      <c r="A415" s="33">
        <v>53570</v>
      </c>
      <c r="B415" s="14">
        <f>33.2558 * CHOOSE(CONTROL!$C$15, $E$9, 100%, $G$9) + CHOOSE(CONTROL!$C$38, 0.0278, 0)</f>
        <v>33.2836</v>
      </c>
      <c r="C415" s="14">
        <f>31.3379 * CHOOSE(CONTROL!$C$15, $E$9, 100%, $G$9) + CHOOSE(CONTROL!$C$38, 0.0369, 0)</f>
        <v>31.3748</v>
      </c>
      <c r="D415" s="14">
        <f>31.3301 * CHOOSE(CONTROL!$C$15, $E$9, 100%, $G$9) + CHOOSE(CONTROL!$C$38, 0.0369, 0)</f>
        <v>31.367000000000001</v>
      </c>
      <c r="E415" s="46">
        <f>33.0996 * CHOOSE(CONTROL!$C$15, $E$9, 100%, $G$9) + CHOOSE(CONTROL!$C$38, 0.0369, 0)</f>
        <v>33.136500000000005</v>
      </c>
      <c r="F415" s="45">
        <f>33.0996 * CHOOSE(CONTROL!$C$15, $E$9, 100%, $G$9) + CHOOSE(CONTROL!$C$38, 0.0278, 0)</f>
        <v>33.127400000000002</v>
      </c>
      <c r="G415" s="14">
        <f>31.3363 * CHOOSE(CONTROL!$C$15, $E$9, 100%, $G$9) + CHOOSE(CONTROL!$C$38, 0.0369, 0)</f>
        <v>31.373200000000001</v>
      </c>
      <c r="H415" s="14">
        <f>31.3363 * CHOOSE(CONTROL!$C$15, $E$9, 100%, $G$9) + CHOOSE(CONTROL!$C$38, 0.0369, 0)</f>
        <v>31.373200000000001</v>
      </c>
      <c r="I415" s="14">
        <f>31.3379 * CHOOSE(CONTROL!$C$15, $E$9, 100%, $G$9) + CHOOSE(CONTROL!$C$38, 0.0369, 0)</f>
        <v>31.3748</v>
      </c>
      <c r="J415" s="44">
        <f>257.9448</f>
        <v>257.94479999999999</v>
      </c>
    </row>
    <row r="416" spans="1:10" ht="15.75" x14ac:dyDescent="0.25">
      <c r="A416" s="33">
        <v>53600</v>
      </c>
      <c r="B416" s="14">
        <f>33.6875 * CHOOSE(CONTROL!$C$15, $E$9, 100%, $G$9) + CHOOSE(CONTROL!$C$38, 0.0278, 0)</f>
        <v>33.715299999999999</v>
      </c>
      <c r="C416" s="14">
        <f>31.7696 * CHOOSE(CONTROL!$C$15, $E$9, 100%, $G$9) + CHOOSE(CONTROL!$C$38, 0.0369, 0)</f>
        <v>31.8065</v>
      </c>
      <c r="D416" s="14">
        <f>31.7618 * CHOOSE(CONTROL!$C$15, $E$9, 100%, $G$9) + CHOOSE(CONTROL!$C$38, 0.0369, 0)</f>
        <v>31.7987</v>
      </c>
      <c r="E416" s="46">
        <f>33.5313 * CHOOSE(CONTROL!$C$15, $E$9, 100%, $G$9) + CHOOSE(CONTROL!$C$38, 0.0369, 0)</f>
        <v>33.568200000000004</v>
      </c>
      <c r="F416" s="45">
        <f>33.5313 * CHOOSE(CONTROL!$C$15, $E$9, 100%, $G$9) + CHOOSE(CONTROL!$C$38, 0.0278, 0)</f>
        <v>33.559100000000001</v>
      </c>
      <c r="G416" s="14">
        <f>31.7681 * CHOOSE(CONTROL!$C$15, $E$9, 100%, $G$9) + CHOOSE(CONTROL!$C$38, 0.0369, 0)</f>
        <v>31.805</v>
      </c>
      <c r="H416" s="14">
        <f>31.7681 * CHOOSE(CONTROL!$C$15, $E$9, 100%, $G$9) + CHOOSE(CONTROL!$C$38, 0.0369, 0)</f>
        <v>31.805</v>
      </c>
      <c r="I416" s="14">
        <f>31.7696 * CHOOSE(CONTROL!$C$15, $E$9, 100%, $G$9) + CHOOSE(CONTROL!$C$38, 0.0369, 0)</f>
        <v>31.8065</v>
      </c>
      <c r="J416" s="44">
        <f>249.3712</f>
        <v>249.37119999999999</v>
      </c>
    </row>
    <row r="417" spans="1:10" ht="15.75" x14ac:dyDescent="0.25">
      <c r="A417" s="33">
        <v>53631</v>
      </c>
      <c r="B417" s="14">
        <f>34.0491 * CHOOSE(CONTROL!$C$15, $E$9, 100%, $G$9) + CHOOSE(CONTROL!$C$38, 0.0256, 0)</f>
        <v>34.0747</v>
      </c>
      <c r="C417" s="14">
        <f>32.1312 * CHOOSE(CONTROL!$C$15, $E$9, 100%, $G$9) + CHOOSE(CONTROL!$C$38, 0.0347, 0)</f>
        <v>32.165900000000001</v>
      </c>
      <c r="D417" s="14">
        <f>32.1234 * CHOOSE(CONTROL!$C$15, $E$9, 100%, $G$9) + CHOOSE(CONTROL!$C$38, 0.0347, 0)</f>
        <v>32.158099999999997</v>
      </c>
      <c r="E417" s="46">
        <f>33.8928 * CHOOSE(CONTROL!$C$15, $E$9, 100%, $G$9) + CHOOSE(CONTROL!$C$38, 0.0347, 0)</f>
        <v>33.927500000000002</v>
      </c>
      <c r="F417" s="45">
        <f>33.8928 * CHOOSE(CONTROL!$C$15, $E$9, 100%, $G$9) + CHOOSE(CONTROL!$C$38, 0.0256, 0)</f>
        <v>33.918399999999998</v>
      </c>
      <c r="G417" s="14">
        <f>32.1296 * CHOOSE(CONTROL!$C$15, $E$9, 100%, $G$9) + CHOOSE(CONTROL!$C$38, 0.0347, 0)</f>
        <v>32.164300000000004</v>
      </c>
      <c r="H417" s="14">
        <f>32.1296 * CHOOSE(CONTROL!$C$15, $E$9, 100%, $G$9) + CHOOSE(CONTROL!$C$38, 0.0347, 0)</f>
        <v>32.164300000000004</v>
      </c>
      <c r="I417" s="14">
        <f>32.1312 * CHOOSE(CONTROL!$C$15, $E$9, 100%, $G$9) + CHOOSE(CONTROL!$C$38, 0.0347, 0)</f>
        <v>32.165900000000001</v>
      </c>
      <c r="J417" s="44">
        <f>240.7477</f>
        <v>240.74770000000001</v>
      </c>
    </row>
    <row r="418" spans="1:10" ht="15.75" x14ac:dyDescent="0.25">
      <c r="A418" s="33">
        <v>53661</v>
      </c>
      <c r="B418" s="14">
        <f>34.3508 * CHOOSE(CONTROL!$C$15, $E$9, 100%, $G$9) + CHOOSE(CONTROL!$C$38, 0.0256, 0)</f>
        <v>34.376399999999997</v>
      </c>
      <c r="C418" s="14">
        <f>32.4329 * CHOOSE(CONTROL!$C$15, $E$9, 100%, $G$9) + CHOOSE(CONTROL!$C$38, 0.0347, 0)</f>
        <v>32.467599999999997</v>
      </c>
      <c r="D418" s="14">
        <f>32.4251 * CHOOSE(CONTROL!$C$15, $E$9, 100%, $G$9) + CHOOSE(CONTROL!$C$38, 0.0347, 0)</f>
        <v>32.459800000000001</v>
      </c>
      <c r="E418" s="46">
        <f>34.1945 * CHOOSE(CONTROL!$C$15, $E$9, 100%, $G$9) + CHOOSE(CONTROL!$C$38, 0.0347, 0)</f>
        <v>34.229199999999999</v>
      </c>
      <c r="F418" s="45">
        <f>34.1945 * CHOOSE(CONTROL!$C$15, $E$9, 100%, $G$9) + CHOOSE(CONTROL!$C$38, 0.0256, 0)</f>
        <v>34.220099999999995</v>
      </c>
      <c r="G418" s="14">
        <f>32.4313 * CHOOSE(CONTROL!$C$15, $E$9, 100%, $G$9) + CHOOSE(CONTROL!$C$38, 0.0347, 0)</f>
        <v>32.466000000000001</v>
      </c>
      <c r="H418" s="14">
        <f>32.4313 * CHOOSE(CONTROL!$C$15, $E$9, 100%, $G$9) + CHOOSE(CONTROL!$C$38, 0.0347, 0)</f>
        <v>32.466000000000001</v>
      </c>
      <c r="I418" s="14">
        <f>32.4329 * CHOOSE(CONTROL!$C$15, $E$9, 100%, $G$9) + CHOOSE(CONTROL!$C$38, 0.0347, 0)</f>
        <v>32.467599999999997</v>
      </c>
      <c r="J418" s="44">
        <f>239.0323</f>
        <v>239.03229999999999</v>
      </c>
    </row>
    <row r="419" spans="1:10" ht="15.75" x14ac:dyDescent="0.25">
      <c r="A419" s="33">
        <v>53692</v>
      </c>
      <c r="B419" s="14">
        <f>35.2805 * CHOOSE(CONTROL!$C$15, $E$9, 100%, $G$9) + CHOOSE(CONTROL!$C$38, 0.0256, 0)</f>
        <v>35.306100000000001</v>
      </c>
      <c r="C419" s="14">
        <f>33.3625 * CHOOSE(CONTROL!$C$15, $E$9, 100%, $G$9) + CHOOSE(CONTROL!$C$38, 0.0347, 0)</f>
        <v>33.397199999999998</v>
      </c>
      <c r="D419" s="14">
        <f>33.3547 * CHOOSE(CONTROL!$C$15, $E$9, 100%, $G$9) + CHOOSE(CONTROL!$C$38, 0.0347, 0)</f>
        <v>33.389400000000002</v>
      </c>
      <c r="E419" s="46">
        <f>35.1242 * CHOOSE(CONTROL!$C$15, $E$9, 100%, $G$9) + CHOOSE(CONTROL!$C$38, 0.0347, 0)</f>
        <v>35.158900000000003</v>
      </c>
      <c r="F419" s="45">
        <f>35.1242 * CHOOSE(CONTROL!$C$15, $E$9, 100%, $G$9) + CHOOSE(CONTROL!$C$38, 0.0256, 0)</f>
        <v>35.149799999999999</v>
      </c>
      <c r="G419" s="14">
        <f>33.361 * CHOOSE(CONTROL!$C$15, $E$9, 100%, $G$9) + CHOOSE(CONTROL!$C$38, 0.0347, 0)</f>
        <v>33.395699999999998</v>
      </c>
      <c r="H419" s="14">
        <f>33.361 * CHOOSE(CONTROL!$C$15, $E$9, 100%, $G$9) + CHOOSE(CONTROL!$C$38, 0.0347, 0)</f>
        <v>33.395699999999998</v>
      </c>
      <c r="I419" s="14">
        <f>33.3625 * CHOOSE(CONTROL!$C$15, $E$9, 100%, $G$9) + CHOOSE(CONTROL!$C$38, 0.0347, 0)</f>
        <v>33.397199999999998</v>
      </c>
      <c r="J419" s="44">
        <f>231.939</f>
        <v>231.93899999999999</v>
      </c>
    </row>
    <row r="420" spans="1:10" ht="15.75" x14ac:dyDescent="0.25">
      <c r="A420" s="33">
        <v>53723</v>
      </c>
      <c r="B420" s="14">
        <f>36.5823 * CHOOSE(CONTROL!$C$15, $E$9, 100%, $G$9) + CHOOSE(CONTROL!$C$38, 0.0256, 0)</f>
        <v>36.607899999999994</v>
      </c>
      <c r="C420" s="14">
        <f>34.6348 * CHOOSE(CONTROL!$C$15, $E$9, 100%, $G$9) + CHOOSE(CONTROL!$C$38, 0.0347, 0)</f>
        <v>34.669499999999999</v>
      </c>
      <c r="D420" s="14">
        <f>34.6269 * CHOOSE(CONTROL!$C$15, $E$9, 100%, $G$9) + CHOOSE(CONTROL!$C$38, 0.0347, 0)</f>
        <v>34.6616</v>
      </c>
      <c r="E420" s="46">
        <f>36.426 * CHOOSE(CONTROL!$C$15, $E$9, 100%, $G$9) + CHOOSE(CONTROL!$C$38, 0.0347, 0)</f>
        <v>36.460700000000003</v>
      </c>
      <c r="F420" s="45">
        <f>36.426 * CHOOSE(CONTROL!$C$15, $E$9, 100%, $G$9) + CHOOSE(CONTROL!$C$38, 0.0256, 0)</f>
        <v>36.451599999999999</v>
      </c>
      <c r="G420" s="14">
        <f>34.6332 * CHOOSE(CONTROL!$C$15, $E$9, 100%, $G$9) + CHOOSE(CONTROL!$C$38, 0.0347, 0)</f>
        <v>34.667900000000003</v>
      </c>
      <c r="H420" s="14">
        <f>34.6332 * CHOOSE(CONTROL!$C$15, $E$9, 100%, $G$9) + CHOOSE(CONTROL!$C$38, 0.0347, 0)</f>
        <v>34.667900000000003</v>
      </c>
      <c r="I420" s="14">
        <f>34.6348 * CHOOSE(CONTROL!$C$15, $E$9, 100%, $G$9) + CHOOSE(CONTROL!$C$38, 0.0347, 0)</f>
        <v>34.669499999999999</v>
      </c>
      <c r="J420" s="44">
        <f>231.7715</f>
        <v>231.7715</v>
      </c>
    </row>
    <row r="421" spans="1:10" ht="15.75" x14ac:dyDescent="0.25">
      <c r="A421" s="33">
        <v>53751</v>
      </c>
      <c r="B421" s="14">
        <f>36.9266 * CHOOSE(CONTROL!$C$15, $E$9, 100%, $G$9) + CHOOSE(CONTROL!$C$38, 0.0256, 0)</f>
        <v>36.952199999999998</v>
      </c>
      <c r="C421" s="14">
        <f>34.9791 * CHOOSE(CONTROL!$C$15, $E$9, 100%, $G$9) + CHOOSE(CONTROL!$C$38, 0.0347, 0)</f>
        <v>35.013800000000003</v>
      </c>
      <c r="D421" s="14">
        <f>34.9713 * CHOOSE(CONTROL!$C$15, $E$9, 100%, $G$9) + CHOOSE(CONTROL!$C$38, 0.0347, 0)</f>
        <v>35.006</v>
      </c>
      <c r="E421" s="46">
        <f>36.7703 * CHOOSE(CONTROL!$C$15, $E$9, 100%, $G$9) + CHOOSE(CONTROL!$C$38, 0.0347, 0)</f>
        <v>36.805</v>
      </c>
      <c r="F421" s="45">
        <f>36.7703 * CHOOSE(CONTROL!$C$15, $E$9, 100%, $G$9) + CHOOSE(CONTROL!$C$38, 0.0256, 0)</f>
        <v>36.795899999999996</v>
      </c>
      <c r="G421" s="14">
        <f>34.9775 * CHOOSE(CONTROL!$C$15, $E$9, 100%, $G$9) + CHOOSE(CONTROL!$C$38, 0.0347, 0)</f>
        <v>35.0122</v>
      </c>
      <c r="H421" s="14">
        <f>34.9775 * CHOOSE(CONTROL!$C$15, $E$9, 100%, $G$9) + CHOOSE(CONTROL!$C$38, 0.0347, 0)</f>
        <v>35.0122</v>
      </c>
      <c r="I421" s="14">
        <f>34.9791 * CHOOSE(CONTROL!$C$15, $E$9, 100%, $G$9) + CHOOSE(CONTROL!$C$38, 0.0347, 0)</f>
        <v>35.013800000000003</v>
      </c>
      <c r="J421" s="44">
        <f>231.1273</f>
        <v>231.12729999999999</v>
      </c>
    </row>
    <row r="422" spans="1:10" ht="15.75" x14ac:dyDescent="0.25">
      <c r="A422" s="33">
        <v>53782</v>
      </c>
      <c r="B422" s="14">
        <f>36.1295 * CHOOSE(CONTROL!$C$15, $E$9, 100%, $G$9) + CHOOSE(CONTROL!$C$38, 0.0256, 0)</f>
        <v>36.155099999999997</v>
      </c>
      <c r="C422" s="14">
        <f>34.182 * CHOOSE(CONTROL!$C$15, $E$9, 100%, $G$9) + CHOOSE(CONTROL!$C$38, 0.0347, 0)</f>
        <v>34.216700000000003</v>
      </c>
      <c r="D422" s="14">
        <f>34.1742 * CHOOSE(CONTROL!$C$15, $E$9, 100%, $G$9) + CHOOSE(CONTROL!$C$38, 0.0347, 0)</f>
        <v>34.2089</v>
      </c>
      <c r="E422" s="46">
        <f>35.9733 * CHOOSE(CONTROL!$C$15, $E$9, 100%, $G$9) + CHOOSE(CONTROL!$C$38, 0.0347, 0)</f>
        <v>36.008000000000003</v>
      </c>
      <c r="F422" s="45">
        <f>35.9733 * CHOOSE(CONTROL!$C$15, $E$9, 100%, $G$9) + CHOOSE(CONTROL!$C$38, 0.0256, 0)</f>
        <v>35.998899999999999</v>
      </c>
      <c r="G422" s="14">
        <f>34.1805 * CHOOSE(CONTROL!$C$15, $E$9, 100%, $G$9) + CHOOSE(CONTROL!$C$38, 0.0347, 0)</f>
        <v>34.215200000000003</v>
      </c>
      <c r="H422" s="14">
        <f>34.1805 * CHOOSE(CONTROL!$C$15, $E$9, 100%, $G$9) + CHOOSE(CONTROL!$C$38, 0.0347, 0)</f>
        <v>34.215200000000003</v>
      </c>
      <c r="I422" s="14">
        <f>34.182 * CHOOSE(CONTROL!$C$15, $E$9, 100%, $G$9) + CHOOSE(CONTROL!$C$38, 0.0347, 0)</f>
        <v>34.216700000000003</v>
      </c>
      <c r="J422" s="44">
        <f>243.309</f>
        <v>243.309</v>
      </c>
    </row>
    <row r="423" spans="1:10" ht="15.75" x14ac:dyDescent="0.25">
      <c r="A423" s="33">
        <v>53812</v>
      </c>
      <c r="B423" s="14">
        <f>35.3572 * CHOOSE(CONTROL!$C$15, $E$9, 100%, $G$9) + CHOOSE(CONTROL!$C$38, 0.0256, 0)</f>
        <v>35.382799999999996</v>
      </c>
      <c r="C423" s="14">
        <f>33.4097 * CHOOSE(CONTROL!$C$15, $E$9, 100%, $G$9) + CHOOSE(CONTROL!$C$38, 0.0347, 0)</f>
        <v>33.444400000000002</v>
      </c>
      <c r="D423" s="14">
        <f>33.4019 * CHOOSE(CONTROL!$C$15, $E$9, 100%, $G$9) + CHOOSE(CONTROL!$C$38, 0.0347, 0)</f>
        <v>33.436599999999999</v>
      </c>
      <c r="E423" s="46">
        <f>35.201 * CHOOSE(CONTROL!$C$15, $E$9, 100%, $G$9) + CHOOSE(CONTROL!$C$38, 0.0347, 0)</f>
        <v>35.235700000000001</v>
      </c>
      <c r="F423" s="45">
        <f>35.201 * CHOOSE(CONTROL!$C$15, $E$9, 100%, $G$9) + CHOOSE(CONTROL!$C$38, 0.0256, 0)</f>
        <v>35.226599999999998</v>
      </c>
      <c r="G423" s="14">
        <f>33.4082 * CHOOSE(CONTROL!$C$15, $E$9, 100%, $G$9) + CHOOSE(CONTROL!$C$38, 0.0347, 0)</f>
        <v>33.442900000000002</v>
      </c>
      <c r="H423" s="14">
        <f>33.4082 * CHOOSE(CONTROL!$C$15, $E$9, 100%, $G$9) + CHOOSE(CONTROL!$C$38, 0.0347, 0)</f>
        <v>33.442900000000002</v>
      </c>
      <c r="I423" s="14">
        <f>33.4097 * CHOOSE(CONTROL!$C$15, $E$9, 100%, $G$9) + CHOOSE(CONTROL!$C$38, 0.0347, 0)</f>
        <v>33.444400000000002</v>
      </c>
      <c r="J423" s="44">
        <f>259.1058</f>
        <v>259.10579999999999</v>
      </c>
    </row>
    <row r="424" spans="1:10" ht="15.75" x14ac:dyDescent="0.25">
      <c r="A424" s="33">
        <v>53843</v>
      </c>
      <c r="B424" s="14">
        <f>34.5523 * CHOOSE(CONTROL!$C$15, $E$9, 100%, $G$9) + CHOOSE(CONTROL!$C$38, 0.0278, 0)</f>
        <v>34.580100000000002</v>
      </c>
      <c r="C424" s="14">
        <f>32.6048 * CHOOSE(CONTROL!$C$15, $E$9, 100%, $G$9) + CHOOSE(CONTROL!$C$38, 0.0369, 0)</f>
        <v>32.6417</v>
      </c>
      <c r="D424" s="14">
        <f>32.5969 * CHOOSE(CONTROL!$C$15, $E$9, 100%, $G$9) + CHOOSE(CONTROL!$C$38, 0.0369, 0)</f>
        <v>32.633800000000001</v>
      </c>
      <c r="E424" s="46">
        <f>34.396 * CHOOSE(CONTROL!$C$15, $E$9, 100%, $G$9) + CHOOSE(CONTROL!$C$38, 0.0369, 0)</f>
        <v>34.432900000000004</v>
      </c>
      <c r="F424" s="45">
        <f>34.396 * CHOOSE(CONTROL!$C$15, $E$9, 100%, $G$9) + CHOOSE(CONTROL!$C$38, 0.0278, 0)</f>
        <v>34.4238</v>
      </c>
      <c r="G424" s="14">
        <f>32.6032 * CHOOSE(CONTROL!$C$15, $E$9, 100%, $G$9) + CHOOSE(CONTROL!$C$38, 0.0369, 0)</f>
        <v>32.640100000000004</v>
      </c>
      <c r="H424" s="14">
        <f>32.6032 * CHOOSE(CONTROL!$C$15, $E$9, 100%, $G$9) + CHOOSE(CONTROL!$C$38, 0.0369, 0)</f>
        <v>32.640100000000004</v>
      </c>
      <c r="I424" s="14">
        <f>32.6048 * CHOOSE(CONTROL!$C$15, $E$9, 100%, $G$9) + CHOOSE(CONTROL!$C$38, 0.0369, 0)</f>
        <v>32.6417</v>
      </c>
      <c r="J424" s="44">
        <f>267.8009</f>
        <v>267.80090000000001</v>
      </c>
    </row>
    <row r="425" spans="1:10" ht="15.75" x14ac:dyDescent="0.25">
      <c r="A425" s="33">
        <v>53873</v>
      </c>
      <c r="B425" s="14">
        <f>33.9879 * CHOOSE(CONTROL!$C$15, $E$9, 100%, $G$9) + CHOOSE(CONTROL!$C$38, 0.0278, 0)</f>
        <v>34.015700000000002</v>
      </c>
      <c r="C425" s="14">
        <f>32.0404 * CHOOSE(CONTROL!$C$15, $E$9, 100%, $G$9) + CHOOSE(CONTROL!$C$38, 0.0369, 0)</f>
        <v>32.077300000000001</v>
      </c>
      <c r="D425" s="14">
        <f>32.0326 * CHOOSE(CONTROL!$C$15, $E$9, 100%, $G$9) + CHOOSE(CONTROL!$C$38, 0.0369, 0)</f>
        <v>32.069500000000005</v>
      </c>
      <c r="E425" s="46">
        <f>33.8317 * CHOOSE(CONTROL!$C$15, $E$9, 100%, $G$9) + CHOOSE(CONTROL!$C$38, 0.0369, 0)</f>
        <v>33.868600000000001</v>
      </c>
      <c r="F425" s="45">
        <f>33.8317 * CHOOSE(CONTROL!$C$15, $E$9, 100%, $G$9) + CHOOSE(CONTROL!$C$38, 0.0278, 0)</f>
        <v>33.859499999999997</v>
      </c>
      <c r="G425" s="14">
        <f>32.0389 * CHOOSE(CONTROL!$C$15, $E$9, 100%, $G$9) + CHOOSE(CONTROL!$C$38, 0.0369, 0)</f>
        <v>32.075800000000001</v>
      </c>
      <c r="H425" s="14">
        <f>32.0389 * CHOOSE(CONTROL!$C$15, $E$9, 100%, $G$9) + CHOOSE(CONTROL!$C$38, 0.0369, 0)</f>
        <v>32.075800000000001</v>
      </c>
      <c r="I425" s="14">
        <f>32.0404 * CHOOSE(CONTROL!$C$15, $E$9, 100%, $G$9) + CHOOSE(CONTROL!$C$38, 0.0369, 0)</f>
        <v>32.077300000000001</v>
      </c>
      <c r="J425" s="44">
        <f>271.6596</f>
        <v>271.65960000000001</v>
      </c>
    </row>
    <row r="426" spans="1:10" ht="15.75" x14ac:dyDescent="0.25">
      <c r="A426" s="33">
        <v>53904</v>
      </c>
      <c r="B426" s="14">
        <f>33.6659 * CHOOSE(CONTROL!$C$15, $E$9, 100%, $G$9) + CHOOSE(CONTROL!$C$38, 0.0278, 0)</f>
        <v>33.6937</v>
      </c>
      <c r="C426" s="14">
        <f>31.7184 * CHOOSE(CONTROL!$C$15, $E$9, 100%, $G$9) + CHOOSE(CONTROL!$C$38, 0.0369, 0)</f>
        <v>31.755299999999998</v>
      </c>
      <c r="D426" s="14">
        <f>31.7106 * CHOOSE(CONTROL!$C$15, $E$9, 100%, $G$9) + CHOOSE(CONTROL!$C$38, 0.0369, 0)</f>
        <v>31.747499999999999</v>
      </c>
      <c r="E426" s="46">
        <f>33.5096 * CHOOSE(CONTROL!$C$15, $E$9, 100%, $G$9) + CHOOSE(CONTROL!$C$38, 0.0369, 0)</f>
        <v>33.546500000000002</v>
      </c>
      <c r="F426" s="45">
        <f>33.5096 * CHOOSE(CONTROL!$C$15, $E$9, 100%, $G$9) + CHOOSE(CONTROL!$C$38, 0.0278, 0)</f>
        <v>33.537399999999998</v>
      </c>
      <c r="G426" s="14">
        <f>31.7168 * CHOOSE(CONTROL!$C$15, $E$9, 100%, $G$9) + CHOOSE(CONTROL!$C$38, 0.0369, 0)</f>
        <v>31.753699999999998</v>
      </c>
      <c r="H426" s="14">
        <f>31.7168 * CHOOSE(CONTROL!$C$15, $E$9, 100%, $G$9) + CHOOSE(CONTROL!$C$38, 0.0369, 0)</f>
        <v>31.753699999999998</v>
      </c>
      <c r="I426" s="14">
        <f>31.7184 * CHOOSE(CONTROL!$C$15, $E$9, 100%, $G$9) + CHOOSE(CONTROL!$C$38, 0.0369, 0)</f>
        <v>31.755299999999998</v>
      </c>
      <c r="J426" s="44">
        <f>270.3892</f>
        <v>270.38920000000002</v>
      </c>
    </row>
    <row r="427" spans="1:10" ht="15.75" x14ac:dyDescent="0.25">
      <c r="A427" s="33">
        <v>53935</v>
      </c>
      <c r="B427" s="14">
        <f>33.8248 * CHOOSE(CONTROL!$C$15, $E$9, 100%, $G$9) + CHOOSE(CONTROL!$C$38, 0.0278, 0)</f>
        <v>33.852600000000002</v>
      </c>
      <c r="C427" s="14">
        <f>31.8773 * CHOOSE(CONTROL!$C$15, $E$9, 100%, $G$9) + CHOOSE(CONTROL!$C$38, 0.0369, 0)</f>
        <v>31.914200000000001</v>
      </c>
      <c r="D427" s="14">
        <f>31.8695 * CHOOSE(CONTROL!$C$15, $E$9, 100%, $G$9) + CHOOSE(CONTROL!$C$38, 0.0369, 0)</f>
        <v>31.906399999999998</v>
      </c>
      <c r="E427" s="46">
        <f>33.6686 * CHOOSE(CONTROL!$C$15, $E$9, 100%, $G$9) + CHOOSE(CONTROL!$C$38, 0.0369, 0)</f>
        <v>33.705500000000001</v>
      </c>
      <c r="F427" s="45">
        <f>33.6686 * CHOOSE(CONTROL!$C$15, $E$9, 100%, $G$9) + CHOOSE(CONTROL!$C$38, 0.0278, 0)</f>
        <v>33.696399999999997</v>
      </c>
      <c r="G427" s="14">
        <f>31.8757 * CHOOSE(CONTROL!$C$15, $E$9, 100%, $G$9) + CHOOSE(CONTROL!$C$38, 0.0369, 0)</f>
        <v>31.912599999999998</v>
      </c>
      <c r="H427" s="14">
        <f>31.8757 * CHOOSE(CONTROL!$C$15, $E$9, 100%, $G$9) + CHOOSE(CONTROL!$C$38, 0.0369, 0)</f>
        <v>31.912599999999998</v>
      </c>
      <c r="I427" s="14">
        <f>31.8773 * CHOOSE(CONTROL!$C$15, $E$9, 100%, $G$9) + CHOOSE(CONTROL!$C$38, 0.0369, 0)</f>
        <v>31.914200000000001</v>
      </c>
      <c r="J427" s="44">
        <f>264.0946</f>
        <v>264.09460000000001</v>
      </c>
    </row>
    <row r="428" spans="1:10" ht="15.75" x14ac:dyDescent="0.25">
      <c r="A428" s="33">
        <v>53965</v>
      </c>
      <c r="B428" s="14">
        <f>34.2565 * CHOOSE(CONTROL!$C$15, $E$9, 100%, $G$9) + CHOOSE(CONTROL!$C$38, 0.0278, 0)</f>
        <v>34.284300000000002</v>
      </c>
      <c r="C428" s="14">
        <f>32.309 * CHOOSE(CONTROL!$C$15, $E$9, 100%, $G$9) + CHOOSE(CONTROL!$C$38, 0.0369, 0)</f>
        <v>32.3459</v>
      </c>
      <c r="D428" s="14">
        <f>32.3012 * CHOOSE(CONTROL!$C$15, $E$9, 100%, $G$9) + CHOOSE(CONTROL!$C$38, 0.0369, 0)</f>
        <v>32.338100000000004</v>
      </c>
      <c r="E428" s="46">
        <f>34.1003 * CHOOSE(CONTROL!$C$15, $E$9, 100%, $G$9) + CHOOSE(CONTROL!$C$38, 0.0369, 0)</f>
        <v>34.1372</v>
      </c>
      <c r="F428" s="45">
        <f>34.1003 * CHOOSE(CONTROL!$C$15, $E$9, 100%, $G$9) + CHOOSE(CONTROL!$C$38, 0.0278, 0)</f>
        <v>34.128099999999996</v>
      </c>
      <c r="G428" s="14">
        <f>32.3075 * CHOOSE(CONTROL!$C$15, $E$9, 100%, $G$9) + CHOOSE(CONTROL!$C$38, 0.0369, 0)</f>
        <v>32.3444</v>
      </c>
      <c r="H428" s="14">
        <f>32.3075 * CHOOSE(CONTROL!$C$15, $E$9, 100%, $G$9) + CHOOSE(CONTROL!$C$38, 0.0369, 0)</f>
        <v>32.3444</v>
      </c>
      <c r="I428" s="14">
        <f>32.309 * CHOOSE(CONTROL!$C$15, $E$9, 100%, $G$9) + CHOOSE(CONTROL!$C$38, 0.0369, 0)</f>
        <v>32.3459</v>
      </c>
      <c r="J428" s="44">
        <f>255.3166</f>
        <v>255.31659999999999</v>
      </c>
    </row>
    <row r="429" spans="1:10" ht="15.75" x14ac:dyDescent="0.25">
      <c r="A429" s="33">
        <v>53996</v>
      </c>
      <c r="B429" s="14">
        <f>34.6181 * CHOOSE(CONTROL!$C$15, $E$9, 100%, $G$9) + CHOOSE(CONTROL!$C$38, 0.0256, 0)</f>
        <v>34.643699999999995</v>
      </c>
      <c r="C429" s="14">
        <f>32.6706 * CHOOSE(CONTROL!$C$15, $E$9, 100%, $G$9) + CHOOSE(CONTROL!$C$38, 0.0347, 0)</f>
        <v>32.705300000000001</v>
      </c>
      <c r="D429" s="14">
        <f>32.6628 * CHOOSE(CONTROL!$C$15, $E$9, 100%, $G$9) + CHOOSE(CONTROL!$C$38, 0.0347, 0)</f>
        <v>32.697499999999998</v>
      </c>
      <c r="E429" s="46">
        <f>34.4618 * CHOOSE(CONTROL!$C$15, $E$9, 100%, $G$9) + CHOOSE(CONTROL!$C$38, 0.0347, 0)</f>
        <v>34.496499999999997</v>
      </c>
      <c r="F429" s="45">
        <f>34.4618 * CHOOSE(CONTROL!$C$15, $E$9, 100%, $G$9) + CHOOSE(CONTROL!$C$38, 0.0256, 0)</f>
        <v>34.487399999999994</v>
      </c>
      <c r="G429" s="14">
        <f>32.669 * CHOOSE(CONTROL!$C$15, $E$9, 100%, $G$9) + CHOOSE(CONTROL!$C$38, 0.0347, 0)</f>
        <v>32.703699999999998</v>
      </c>
      <c r="H429" s="14">
        <f>32.669 * CHOOSE(CONTROL!$C$15, $E$9, 100%, $G$9) + CHOOSE(CONTROL!$C$38, 0.0347, 0)</f>
        <v>32.703699999999998</v>
      </c>
      <c r="I429" s="14">
        <f>32.6706 * CHOOSE(CONTROL!$C$15, $E$9, 100%, $G$9) + CHOOSE(CONTROL!$C$38, 0.0347, 0)</f>
        <v>32.705300000000001</v>
      </c>
      <c r="J429" s="44">
        <f>246.4874</f>
        <v>246.48740000000001</v>
      </c>
    </row>
    <row r="430" spans="1:10" ht="15.75" x14ac:dyDescent="0.25">
      <c r="A430" s="33">
        <v>54026</v>
      </c>
      <c r="B430" s="14">
        <f>34.9198 * CHOOSE(CONTROL!$C$15, $E$9, 100%, $G$9) + CHOOSE(CONTROL!$C$38, 0.0256, 0)</f>
        <v>34.945399999999999</v>
      </c>
      <c r="C430" s="14">
        <f>32.9723 * CHOOSE(CONTROL!$C$15, $E$9, 100%, $G$9) + CHOOSE(CONTROL!$C$38, 0.0347, 0)</f>
        <v>33.006999999999998</v>
      </c>
      <c r="D430" s="14">
        <f>32.9645 * CHOOSE(CONTROL!$C$15, $E$9, 100%, $G$9) + CHOOSE(CONTROL!$C$38, 0.0347, 0)</f>
        <v>32.999200000000002</v>
      </c>
      <c r="E430" s="46">
        <f>34.7635 * CHOOSE(CONTROL!$C$15, $E$9, 100%, $G$9) + CHOOSE(CONTROL!$C$38, 0.0347, 0)</f>
        <v>34.798200000000001</v>
      </c>
      <c r="F430" s="45">
        <f>34.7635 * CHOOSE(CONTROL!$C$15, $E$9, 100%, $G$9) + CHOOSE(CONTROL!$C$38, 0.0256, 0)</f>
        <v>34.789099999999998</v>
      </c>
      <c r="G430" s="14">
        <f>32.9707 * CHOOSE(CONTROL!$C$15, $E$9, 100%, $G$9) + CHOOSE(CONTROL!$C$38, 0.0347, 0)</f>
        <v>33.005400000000002</v>
      </c>
      <c r="H430" s="14">
        <f>32.9707 * CHOOSE(CONTROL!$C$15, $E$9, 100%, $G$9) + CHOOSE(CONTROL!$C$38, 0.0347, 0)</f>
        <v>33.005400000000002</v>
      </c>
      <c r="I430" s="14">
        <f>32.9723 * CHOOSE(CONTROL!$C$15, $E$9, 100%, $G$9) + CHOOSE(CONTROL!$C$38, 0.0347, 0)</f>
        <v>33.006999999999998</v>
      </c>
      <c r="J430" s="44">
        <f>244.7312</f>
        <v>244.7312</v>
      </c>
    </row>
    <row r="431" spans="1:10" ht="15.75" x14ac:dyDescent="0.25">
      <c r="A431" s="33">
        <v>54057</v>
      </c>
      <c r="B431" s="14">
        <f>35.8495 * CHOOSE(CONTROL!$C$15, $E$9, 100%, $G$9) + CHOOSE(CONTROL!$C$38, 0.0256, 0)</f>
        <v>35.875099999999996</v>
      </c>
      <c r="C431" s="14">
        <f>33.902 * CHOOSE(CONTROL!$C$15, $E$9, 100%, $G$9) + CHOOSE(CONTROL!$C$38, 0.0347, 0)</f>
        <v>33.936700000000002</v>
      </c>
      <c r="D431" s="14">
        <f>33.8941 * CHOOSE(CONTROL!$C$15, $E$9, 100%, $G$9) + CHOOSE(CONTROL!$C$38, 0.0347, 0)</f>
        <v>33.928800000000003</v>
      </c>
      <c r="E431" s="46">
        <f>35.6932 * CHOOSE(CONTROL!$C$15, $E$9, 100%, $G$9) + CHOOSE(CONTROL!$C$38, 0.0347, 0)</f>
        <v>35.727899999999998</v>
      </c>
      <c r="F431" s="45">
        <f>35.6932 * CHOOSE(CONTROL!$C$15, $E$9, 100%, $G$9) + CHOOSE(CONTROL!$C$38, 0.0256, 0)</f>
        <v>35.718799999999995</v>
      </c>
      <c r="G431" s="14">
        <f>33.9004 * CHOOSE(CONTROL!$C$15, $E$9, 100%, $G$9) + CHOOSE(CONTROL!$C$38, 0.0347, 0)</f>
        <v>33.935099999999998</v>
      </c>
      <c r="H431" s="14">
        <f>33.9004 * CHOOSE(CONTROL!$C$15, $E$9, 100%, $G$9) + CHOOSE(CONTROL!$C$38, 0.0347, 0)</f>
        <v>33.935099999999998</v>
      </c>
      <c r="I431" s="14">
        <f>33.902 * CHOOSE(CONTROL!$C$15, $E$9, 100%, $G$9) + CHOOSE(CONTROL!$C$38, 0.0347, 0)</f>
        <v>33.936700000000002</v>
      </c>
      <c r="J431" s="44">
        <f>237.4687</f>
        <v>237.46870000000001</v>
      </c>
    </row>
    <row r="432" spans="1:10" ht="15.75" x14ac:dyDescent="0.25">
      <c r="A432" s="33">
        <v>54088</v>
      </c>
      <c r="B432" s="14">
        <f>37.1608 * CHOOSE(CONTROL!$C$15, $E$9, 100%, $G$9) + CHOOSE(CONTROL!$C$38, 0.0256, 0)</f>
        <v>37.186399999999999</v>
      </c>
      <c r="C432" s="14">
        <f>35.1832 * CHOOSE(CONTROL!$C$15, $E$9, 100%, $G$9) + CHOOSE(CONTROL!$C$38, 0.0347, 0)</f>
        <v>35.2179</v>
      </c>
      <c r="D432" s="14">
        <f>35.1754 * CHOOSE(CONTROL!$C$15, $E$9, 100%, $G$9) + CHOOSE(CONTROL!$C$38, 0.0347, 0)</f>
        <v>35.210100000000004</v>
      </c>
      <c r="E432" s="46">
        <f>37.0046 * CHOOSE(CONTROL!$C$15, $E$9, 100%, $G$9) + CHOOSE(CONTROL!$C$38, 0.0347, 0)</f>
        <v>37.039300000000004</v>
      </c>
      <c r="F432" s="45">
        <f>37.0046 * CHOOSE(CONTROL!$C$15, $E$9, 100%, $G$9) + CHOOSE(CONTROL!$C$38, 0.0256, 0)</f>
        <v>37.030200000000001</v>
      </c>
      <c r="G432" s="14">
        <f>35.1817 * CHOOSE(CONTROL!$C$15, $E$9, 100%, $G$9) + CHOOSE(CONTROL!$C$38, 0.0347, 0)</f>
        <v>35.2164</v>
      </c>
      <c r="H432" s="14">
        <f>35.1817 * CHOOSE(CONTROL!$C$15, $E$9, 100%, $G$9) + CHOOSE(CONTROL!$C$38, 0.0347, 0)</f>
        <v>35.2164</v>
      </c>
      <c r="I432" s="14">
        <f>35.1832 * CHOOSE(CONTROL!$C$15, $E$9, 100%, $G$9) + CHOOSE(CONTROL!$C$38, 0.0347, 0)</f>
        <v>35.2179</v>
      </c>
      <c r="J432" s="44">
        <f>237.2973</f>
        <v>237.29730000000001</v>
      </c>
    </row>
    <row r="433" spans="1:10" ht="15.75" x14ac:dyDescent="0.25">
      <c r="A433" s="33">
        <v>54116</v>
      </c>
      <c r="B433" s="14">
        <f>37.5051 * CHOOSE(CONTROL!$C$15, $E$9, 100%, $G$9) + CHOOSE(CONTROL!$C$38, 0.0256, 0)</f>
        <v>37.530699999999996</v>
      </c>
      <c r="C433" s="14">
        <f>35.5275 * CHOOSE(CONTROL!$C$15, $E$9, 100%, $G$9) + CHOOSE(CONTROL!$C$38, 0.0347, 0)</f>
        <v>35.562200000000004</v>
      </c>
      <c r="D433" s="14">
        <f>35.5197 * CHOOSE(CONTROL!$C$15, $E$9, 100%, $G$9) + CHOOSE(CONTROL!$C$38, 0.0347, 0)</f>
        <v>35.554400000000001</v>
      </c>
      <c r="E433" s="46">
        <f>37.3489 * CHOOSE(CONTROL!$C$15, $E$9, 100%, $G$9) + CHOOSE(CONTROL!$C$38, 0.0347, 0)</f>
        <v>37.383600000000001</v>
      </c>
      <c r="F433" s="45">
        <f>37.3489 * CHOOSE(CONTROL!$C$15, $E$9, 100%, $G$9) + CHOOSE(CONTROL!$C$38, 0.0256, 0)</f>
        <v>37.374499999999998</v>
      </c>
      <c r="G433" s="14">
        <f>35.526 * CHOOSE(CONTROL!$C$15, $E$9, 100%, $G$9) + CHOOSE(CONTROL!$C$38, 0.0347, 0)</f>
        <v>35.560700000000004</v>
      </c>
      <c r="H433" s="14">
        <f>35.526 * CHOOSE(CONTROL!$C$15, $E$9, 100%, $G$9) + CHOOSE(CONTROL!$C$38, 0.0347, 0)</f>
        <v>35.560700000000004</v>
      </c>
      <c r="I433" s="14">
        <f>35.5275 * CHOOSE(CONTROL!$C$15, $E$9, 100%, $G$9) + CHOOSE(CONTROL!$C$38, 0.0347, 0)</f>
        <v>35.562200000000004</v>
      </c>
      <c r="J433" s="44">
        <f>236.6377</f>
        <v>236.6377</v>
      </c>
    </row>
    <row r="434" spans="1:10" ht="15.75" x14ac:dyDescent="0.25">
      <c r="A434" s="33">
        <v>54148</v>
      </c>
      <c r="B434" s="14">
        <f>36.7081 * CHOOSE(CONTROL!$C$15, $E$9, 100%, $G$9) + CHOOSE(CONTROL!$C$38, 0.0256, 0)</f>
        <v>36.733699999999999</v>
      </c>
      <c r="C434" s="14">
        <f>34.7305 * CHOOSE(CONTROL!$C$15, $E$9, 100%, $G$9) + CHOOSE(CONTROL!$C$38, 0.0347, 0)</f>
        <v>34.7652</v>
      </c>
      <c r="D434" s="14">
        <f>34.7227 * CHOOSE(CONTROL!$C$15, $E$9, 100%, $G$9) + CHOOSE(CONTROL!$C$38, 0.0347, 0)</f>
        <v>34.757400000000004</v>
      </c>
      <c r="E434" s="46">
        <f>36.5519 * CHOOSE(CONTROL!$C$15, $E$9, 100%, $G$9) + CHOOSE(CONTROL!$C$38, 0.0347, 0)</f>
        <v>36.586600000000004</v>
      </c>
      <c r="F434" s="45">
        <f>36.5519 * CHOOSE(CONTROL!$C$15, $E$9, 100%, $G$9) + CHOOSE(CONTROL!$C$38, 0.0256, 0)</f>
        <v>36.577500000000001</v>
      </c>
      <c r="G434" s="14">
        <f>34.7289 * CHOOSE(CONTROL!$C$15, $E$9, 100%, $G$9) + CHOOSE(CONTROL!$C$38, 0.0347, 0)</f>
        <v>34.763600000000004</v>
      </c>
      <c r="H434" s="14">
        <f>34.7289 * CHOOSE(CONTROL!$C$15, $E$9, 100%, $G$9) + CHOOSE(CONTROL!$C$38, 0.0347, 0)</f>
        <v>34.763600000000004</v>
      </c>
      <c r="I434" s="14">
        <f>34.7305 * CHOOSE(CONTROL!$C$15, $E$9, 100%, $G$9) + CHOOSE(CONTROL!$C$38, 0.0347, 0)</f>
        <v>34.7652</v>
      </c>
      <c r="J434" s="44">
        <f>249.1099</f>
        <v>249.10990000000001</v>
      </c>
    </row>
    <row r="435" spans="1:10" ht="15.75" x14ac:dyDescent="0.25">
      <c r="A435" s="33">
        <v>54178</v>
      </c>
      <c r="B435" s="14">
        <f>35.9358 * CHOOSE(CONTROL!$C$15, $E$9, 100%, $G$9) + CHOOSE(CONTROL!$C$38, 0.0256, 0)</f>
        <v>35.961399999999998</v>
      </c>
      <c r="C435" s="14">
        <f>33.9582 * CHOOSE(CONTROL!$C$15, $E$9, 100%, $G$9) + CHOOSE(CONTROL!$C$38, 0.0347, 0)</f>
        <v>33.992899999999999</v>
      </c>
      <c r="D435" s="14">
        <f>33.9504 * CHOOSE(CONTROL!$C$15, $E$9, 100%, $G$9) + CHOOSE(CONTROL!$C$38, 0.0347, 0)</f>
        <v>33.985100000000003</v>
      </c>
      <c r="E435" s="46">
        <f>35.7795 * CHOOSE(CONTROL!$C$15, $E$9, 100%, $G$9) + CHOOSE(CONTROL!$C$38, 0.0347, 0)</f>
        <v>35.8142</v>
      </c>
      <c r="F435" s="45">
        <f>35.7795 * CHOOSE(CONTROL!$C$15, $E$9, 100%, $G$9) + CHOOSE(CONTROL!$C$38, 0.0256, 0)</f>
        <v>35.805099999999996</v>
      </c>
      <c r="G435" s="14">
        <f>33.9566 * CHOOSE(CONTROL!$C$15, $E$9, 100%, $G$9) + CHOOSE(CONTROL!$C$38, 0.0347, 0)</f>
        <v>33.991300000000003</v>
      </c>
      <c r="H435" s="14">
        <f>33.9566 * CHOOSE(CONTROL!$C$15, $E$9, 100%, $G$9) + CHOOSE(CONTROL!$C$38, 0.0347, 0)</f>
        <v>33.991300000000003</v>
      </c>
      <c r="I435" s="14">
        <f>33.9582 * CHOOSE(CONTROL!$C$15, $E$9, 100%, $G$9) + CHOOSE(CONTROL!$C$38, 0.0347, 0)</f>
        <v>33.992899999999999</v>
      </c>
      <c r="J435" s="44">
        <f>265.2833</f>
        <v>265.2833</v>
      </c>
    </row>
    <row r="436" spans="1:10" ht="15.75" x14ac:dyDescent="0.25">
      <c r="A436" s="33">
        <v>54209</v>
      </c>
      <c r="B436" s="14">
        <f>35.1308 * CHOOSE(CONTROL!$C$15, $E$9, 100%, $G$9) + CHOOSE(CONTROL!$C$38, 0.0278, 0)</f>
        <v>35.1586</v>
      </c>
      <c r="C436" s="14">
        <f>33.1532 * CHOOSE(CONTROL!$C$15, $E$9, 100%, $G$9) + CHOOSE(CONTROL!$C$38, 0.0369, 0)</f>
        <v>33.190100000000001</v>
      </c>
      <c r="D436" s="14">
        <f>33.1454 * CHOOSE(CONTROL!$C$15, $E$9, 100%, $G$9) + CHOOSE(CONTROL!$C$38, 0.0369, 0)</f>
        <v>33.182300000000005</v>
      </c>
      <c r="E436" s="46">
        <f>34.9746 * CHOOSE(CONTROL!$C$15, $E$9, 100%, $G$9) + CHOOSE(CONTROL!$C$38, 0.0369, 0)</f>
        <v>35.011500000000005</v>
      </c>
      <c r="F436" s="45">
        <f>34.9746 * CHOOSE(CONTROL!$C$15, $E$9, 100%, $G$9) + CHOOSE(CONTROL!$C$38, 0.0278, 0)</f>
        <v>35.002400000000002</v>
      </c>
      <c r="G436" s="14">
        <f>33.1517 * CHOOSE(CONTROL!$C$15, $E$9, 100%, $G$9) + CHOOSE(CONTROL!$C$38, 0.0369, 0)</f>
        <v>33.188600000000001</v>
      </c>
      <c r="H436" s="14">
        <f>33.1517 * CHOOSE(CONTROL!$C$15, $E$9, 100%, $G$9) + CHOOSE(CONTROL!$C$38, 0.0369, 0)</f>
        <v>33.188600000000001</v>
      </c>
      <c r="I436" s="14">
        <f>33.1532 * CHOOSE(CONTROL!$C$15, $E$9, 100%, $G$9) + CHOOSE(CONTROL!$C$38, 0.0369, 0)</f>
        <v>33.190100000000001</v>
      </c>
      <c r="J436" s="44">
        <f>274.1857</f>
        <v>274.1857</v>
      </c>
    </row>
    <row r="437" spans="1:10" ht="15.75" x14ac:dyDescent="0.25">
      <c r="A437" s="33">
        <v>54239</v>
      </c>
      <c r="B437" s="14">
        <f>34.5665 * CHOOSE(CONTROL!$C$15, $E$9, 100%, $G$9) + CHOOSE(CONTROL!$C$38, 0.0278, 0)</f>
        <v>34.594299999999997</v>
      </c>
      <c r="C437" s="14">
        <f>32.5889 * CHOOSE(CONTROL!$C$15, $E$9, 100%, $G$9) + CHOOSE(CONTROL!$C$38, 0.0369, 0)</f>
        <v>32.625800000000005</v>
      </c>
      <c r="D437" s="14">
        <f>32.5811 * CHOOSE(CONTROL!$C$15, $E$9, 100%, $G$9) + CHOOSE(CONTROL!$C$38, 0.0369, 0)</f>
        <v>32.618000000000002</v>
      </c>
      <c r="E437" s="46">
        <f>34.4102 * CHOOSE(CONTROL!$C$15, $E$9, 100%, $G$9) + CHOOSE(CONTROL!$C$38, 0.0369, 0)</f>
        <v>34.447100000000006</v>
      </c>
      <c r="F437" s="45">
        <f>34.4102 * CHOOSE(CONTROL!$C$15, $E$9, 100%, $G$9) + CHOOSE(CONTROL!$C$38, 0.0278, 0)</f>
        <v>34.438000000000002</v>
      </c>
      <c r="G437" s="14">
        <f>32.5873 * CHOOSE(CONTROL!$C$15, $E$9, 100%, $G$9) + CHOOSE(CONTROL!$C$38, 0.0369, 0)</f>
        <v>32.624200000000002</v>
      </c>
      <c r="H437" s="14">
        <f>32.5873 * CHOOSE(CONTROL!$C$15, $E$9, 100%, $G$9) + CHOOSE(CONTROL!$C$38, 0.0369, 0)</f>
        <v>32.624200000000002</v>
      </c>
      <c r="I437" s="14">
        <f>32.5889 * CHOOSE(CONTROL!$C$15, $E$9, 100%, $G$9) + CHOOSE(CONTROL!$C$38, 0.0369, 0)</f>
        <v>32.625800000000005</v>
      </c>
      <c r="J437" s="44">
        <f>278.1364</f>
        <v>278.13639999999998</v>
      </c>
    </row>
    <row r="438" spans="1:10" ht="15.75" x14ac:dyDescent="0.25">
      <c r="A438" s="33">
        <v>54270</v>
      </c>
      <c r="B438" s="14">
        <f>34.2444 * CHOOSE(CONTROL!$C$15, $E$9, 100%, $G$9) + CHOOSE(CONTROL!$C$38, 0.0278, 0)</f>
        <v>34.272199999999998</v>
      </c>
      <c r="C438" s="14">
        <f>32.2668 * CHOOSE(CONTROL!$C$15, $E$9, 100%, $G$9) + CHOOSE(CONTROL!$C$38, 0.0369, 0)</f>
        <v>32.303700000000006</v>
      </c>
      <c r="D438" s="14">
        <f>32.259 * CHOOSE(CONTROL!$C$15, $E$9, 100%, $G$9) + CHOOSE(CONTROL!$C$38, 0.0369, 0)</f>
        <v>32.295900000000003</v>
      </c>
      <c r="E438" s="46">
        <f>34.0882 * CHOOSE(CONTROL!$C$15, $E$9, 100%, $G$9) + CHOOSE(CONTROL!$C$38, 0.0369, 0)</f>
        <v>34.125100000000003</v>
      </c>
      <c r="F438" s="45">
        <f>34.0882 * CHOOSE(CONTROL!$C$15, $E$9, 100%, $G$9) + CHOOSE(CONTROL!$C$38, 0.0278, 0)</f>
        <v>34.116</v>
      </c>
      <c r="G438" s="14">
        <f>32.2653 * CHOOSE(CONTROL!$C$15, $E$9, 100%, $G$9) + CHOOSE(CONTROL!$C$38, 0.0369, 0)</f>
        <v>32.302200000000006</v>
      </c>
      <c r="H438" s="14">
        <f>32.2653 * CHOOSE(CONTROL!$C$15, $E$9, 100%, $G$9) + CHOOSE(CONTROL!$C$38, 0.0369, 0)</f>
        <v>32.302200000000006</v>
      </c>
      <c r="I438" s="14">
        <f>32.2668 * CHOOSE(CONTROL!$C$15, $E$9, 100%, $G$9) + CHOOSE(CONTROL!$C$38, 0.0369, 0)</f>
        <v>32.303700000000006</v>
      </c>
      <c r="J438" s="44">
        <f>276.8356</f>
        <v>276.8356</v>
      </c>
    </row>
    <row r="439" spans="1:10" ht="15.75" x14ac:dyDescent="0.25">
      <c r="A439" s="33">
        <v>54301</v>
      </c>
      <c r="B439" s="14">
        <f>34.4034 * CHOOSE(CONTROL!$C$15, $E$9, 100%, $G$9) + CHOOSE(CONTROL!$C$38, 0.0278, 0)</f>
        <v>34.431199999999997</v>
      </c>
      <c r="C439" s="14">
        <f>32.4258 * CHOOSE(CONTROL!$C$15, $E$9, 100%, $G$9) + CHOOSE(CONTROL!$C$38, 0.0369, 0)</f>
        <v>32.462700000000005</v>
      </c>
      <c r="D439" s="14">
        <f>32.418 * CHOOSE(CONTROL!$C$15, $E$9, 100%, $G$9) + CHOOSE(CONTROL!$C$38, 0.0369, 0)</f>
        <v>32.454900000000002</v>
      </c>
      <c r="E439" s="46">
        <f>34.2471 * CHOOSE(CONTROL!$C$15, $E$9, 100%, $G$9) + CHOOSE(CONTROL!$C$38, 0.0369, 0)</f>
        <v>34.284000000000006</v>
      </c>
      <c r="F439" s="45">
        <f>34.2471 * CHOOSE(CONTROL!$C$15, $E$9, 100%, $G$9) + CHOOSE(CONTROL!$C$38, 0.0278, 0)</f>
        <v>34.274900000000002</v>
      </c>
      <c r="G439" s="14">
        <f>32.4242 * CHOOSE(CONTROL!$C$15, $E$9, 100%, $G$9) + CHOOSE(CONTROL!$C$38, 0.0369, 0)</f>
        <v>32.461100000000002</v>
      </c>
      <c r="H439" s="14">
        <f>32.4242 * CHOOSE(CONTROL!$C$15, $E$9, 100%, $G$9) + CHOOSE(CONTROL!$C$38, 0.0369, 0)</f>
        <v>32.461100000000002</v>
      </c>
      <c r="I439" s="14">
        <f>32.4258 * CHOOSE(CONTROL!$C$15, $E$9, 100%, $G$9) + CHOOSE(CONTROL!$C$38, 0.0369, 0)</f>
        <v>32.462700000000005</v>
      </c>
      <c r="J439" s="44">
        <f>270.391</f>
        <v>270.39100000000002</v>
      </c>
    </row>
    <row r="440" spans="1:10" ht="15.75" x14ac:dyDescent="0.25">
      <c r="A440" s="33">
        <v>54331</v>
      </c>
      <c r="B440" s="14">
        <f>34.8351 * CHOOSE(CONTROL!$C$15, $E$9, 100%, $G$9) + CHOOSE(CONTROL!$C$38, 0.0278, 0)</f>
        <v>34.862899999999996</v>
      </c>
      <c r="C440" s="14">
        <f>32.8575 * CHOOSE(CONTROL!$C$15, $E$9, 100%, $G$9) + CHOOSE(CONTROL!$C$38, 0.0369, 0)</f>
        <v>32.894400000000005</v>
      </c>
      <c r="D440" s="14">
        <f>32.8497 * CHOOSE(CONTROL!$C$15, $E$9, 100%, $G$9) + CHOOSE(CONTROL!$C$38, 0.0369, 0)</f>
        <v>32.886600000000001</v>
      </c>
      <c r="E440" s="46">
        <f>34.6788 * CHOOSE(CONTROL!$C$15, $E$9, 100%, $G$9) + CHOOSE(CONTROL!$C$38, 0.0369, 0)</f>
        <v>34.715700000000005</v>
      </c>
      <c r="F440" s="45">
        <f>34.6788 * CHOOSE(CONTROL!$C$15, $E$9, 100%, $G$9) + CHOOSE(CONTROL!$C$38, 0.0278, 0)</f>
        <v>34.706600000000002</v>
      </c>
      <c r="G440" s="14">
        <f>32.8559 * CHOOSE(CONTROL!$C$15, $E$9, 100%, $G$9) + CHOOSE(CONTROL!$C$38, 0.0369, 0)</f>
        <v>32.892800000000001</v>
      </c>
      <c r="H440" s="14">
        <f>32.8559 * CHOOSE(CONTROL!$C$15, $E$9, 100%, $G$9) + CHOOSE(CONTROL!$C$38, 0.0369, 0)</f>
        <v>32.892800000000001</v>
      </c>
      <c r="I440" s="14">
        <f>32.8575 * CHOOSE(CONTROL!$C$15, $E$9, 100%, $G$9) + CHOOSE(CONTROL!$C$38, 0.0369, 0)</f>
        <v>32.894400000000005</v>
      </c>
      <c r="J440" s="44">
        <f>261.4037</f>
        <v>261.40370000000001</v>
      </c>
    </row>
    <row r="441" spans="1:10" ht="15.75" x14ac:dyDescent="0.25">
      <c r="A441" s="33">
        <v>54362</v>
      </c>
      <c r="B441" s="14">
        <f>35.1967 * CHOOSE(CONTROL!$C$15, $E$9, 100%, $G$9) + CHOOSE(CONTROL!$C$38, 0.0256, 0)</f>
        <v>35.222299999999997</v>
      </c>
      <c r="C441" s="14">
        <f>33.2191 * CHOOSE(CONTROL!$C$15, $E$9, 100%, $G$9) + CHOOSE(CONTROL!$C$38, 0.0347, 0)</f>
        <v>33.253799999999998</v>
      </c>
      <c r="D441" s="14">
        <f>33.2112 * CHOOSE(CONTROL!$C$15, $E$9, 100%, $G$9) + CHOOSE(CONTROL!$C$38, 0.0347, 0)</f>
        <v>33.245899999999999</v>
      </c>
      <c r="E441" s="46">
        <f>35.0404 * CHOOSE(CONTROL!$C$15, $E$9, 100%, $G$9) + CHOOSE(CONTROL!$C$38, 0.0347, 0)</f>
        <v>35.075099999999999</v>
      </c>
      <c r="F441" s="45">
        <f>35.0404 * CHOOSE(CONTROL!$C$15, $E$9, 100%, $G$9) + CHOOSE(CONTROL!$C$38, 0.0256, 0)</f>
        <v>35.065999999999995</v>
      </c>
      <c r="G441" s="14">
        <f>33.2175 * CHOOSE(CONTROL!$C$15, $E$9, 100%, $G$9) + CHOOSE(CONTROL!$C$38, 0.0347, 0)</f>
        <v>33.252200000000002</v>
      </c>
      <c r="H441" s="14">
        <f>33.2175 * CHOOSE(CONTROL!$C$15, $E$9, 100%, $G$9) + CHOOSE(CONTROL!$C$38, 0.0347, 0)</f>
        <v>33.252200000000002</v>
      </c>
      <c r="I441" s="14">
        <f>33.2191 * CHOOSE(CONTROL!$C$15, $E$9, 100%, $G$9) + CHOOSE(CONTROL!$C$38, 0.0347, 0)</f>
        <v>33.253799999999998</v>
      </c>
      <c r="J441" s="44">
        <f>252.3641</f>
        <v>252.36410000000001</v>
      </c>
    </row>
    <row r="442" spans="1:10" ht="15.75" x14ac:dyDescent="0.25">
      <c r="A442" s="33">
        <v>54392</v>
      </c>
      <c r="B442" s="14">
        <f>35.4984 * CHOOSE(CONTROL!$C$15, $E$9, 100%, $G$9) + CHOOSE(CONTROL!$C$38, 0.0256, 0)</f>
        <v>35.523999999999994</v>
      </c>
      <c r="C442" s="14">
        <f>33.5208 * CHOOSE(CONTROL!$C$15, $E$9, 100%, $G$9) + CHOOSE(CONTROL!$C$38, 0.0347, 0)</f>
        <v>33.555500000000002</v>
      </c>
      <c r="D442" s="14">
        <f>33.5129 * CHOOSE(CONTROL!$C$15, $E$9, 100%, $G$9) + CHOOSE(CONTROL!$C$38, 0.0347, 0)</f>
        <v>33.547600000000003</v>
      </c>
      <c r="E442" s="46">
        <f>35.3421 * CHOOSE(CONTROL!$C$15, $E$9, 100%, $G$9) + CHOOSE(CONTROL!$C$38, 0.0347, 0)</f>
        <v>35.376800000000003</v>
      </c>
      <c r="F442" s="45">
        <f>35.3421 * CHOOSE(CONTROL!$C$15, $E$9, 100%, $G$9) + CHOOSE(CONTROL!$C$38, 0.0256, 0)</f>
        <v>35.367699999999999</v>
      </c>
      <c r="G442" s="14">
        <f>33.5192 * CHOOSE(CONTROL!$C$15, $E$9, 100%, $G$9) + CHOOSE(CONTROL!$C$38, 0.0347, 0)</f>
        <v>33.553899999999999</v>
      </c>
      <c r="H442" s="14">
        <f>33.5192 * CHOOSE(CONTROL!$C$15, $E$9, 100%, $G$9) + CHOOSE(CONTROL!$C$38, 0.0347, 0)</f>
        <v>33.553899999999999</v>
      </c>
      <c r="I442" s="14">
        <f>33.5208 * CHOOSE(CONTROL!$C$15, $E$9, 100%, $G$9) + CHOOSE(CONTROL!$C$38, 0.0347, 0)</f>
        <v>33.555500000000002</v>
      </c>
      <c r="J442" s="44">
        <f>250.5659</f>
        <v>250.5659</v>
      </c>
    </row>
    <row r="443" spans="1:10" ht="15.75" x14ac:dyDescent="0.25">
      <c r="A443" s="33">
        <v>54423</v>
      </c>
      <c r="B443" s="14">
        <f>36.428 * CHOOSE(CONTROL!$C$15, $E$9, 100%, $G$9) + CHOOSE(CONTROL!$C$38, 0.0256, 0)</f>
        <v>36.453599999999994</v>
      </c>
      <c r="C443" s="14">
        <f>34.4504 * CHOOSE(CONTROL!$C$15, $E$9, 100%, $G$9) + CHOOSE(CONTROL!$C$38, 0.0347, 0)</f>
        <v>34.485100000000003</v>
      </c>
      <c r="D443" s="14">
        <f>34.4426 * CHOOSE(CONTROL!$C$15, $E$9, 100%, $G$9) + CHOOSE(CONTROL!$C$38, 0.0347, 0)</f>
        <v>34.4773</v>
      </c>
      <c r="E443" s="46">
        <f>36.2718 * CHOOSE(CONTROL!$C$15, $E$9, 100%, $G$9) + CHOOSE(CONTROL!$C$38, 0.0347, 0)</f>
        <v>36.3065</v>
      </c>
      <c r="F443" s="45">
        <f>36.2718 * CHOOSE(CONTROL!$C$15, $E$9, 100%, $G$9) + CHOOSE(CONTROL!$C$38, 0.0256, 0)</f>
        <v>36.297399999999996</v>
      </c>
      <c r="G443" s="14">
        <f>34.4489 * CHOOSE(CONTROL!$C$15, $E$9, 100%, $G$9) + CHOOSE(CONTROL!$C$38, 0.0347, 0)</f>
        <v>34.483600000000003</v>
      </c>
      <c r="H443" s="14">
        <f>34.4489 * CHOOSE(CONTROL!$C$15, $E$9, 100%, $G$9) + CHOOSE(CONTROL!$C$38, 0.0347, 0)</f>
        <v>34.483600000000003</v>
      </c>
      <c r="I443" s="14">
        <f>34.4504 * CHOOSE(CONTROL!$C$15, $E$9, 100%, $G$9) + CHOOSE(CONTROL!$C$38, 0.0347, 0)</f>
        <v>34.485100000000003</v>
      </c>
      <c r="J443" s="44">
        <f>243.1304</f>
        <v>243.13040000000001</v>
      </c>
    </row>
    <row r="444" spans="1:10" ht="15.75" x14ac:dyDescent="0.25">
      <c r="A444" s="33">
        <v>54454</v>
      </c>
      <c r="B444" s="14">
        <f>37.7491 * CHOOSE(CONTROL!$C$15, $E$9, 100%, $G$9) + CHOOSE(CONTROL!$C$38, 0.0256, 0)</f>
        <v>37.774699999999996</v>
      </c>
      <c r="C444" s="14">
        <f>35.7409 * CHOOSE(CONTROL!$C$15, $E$9, 100%, $G$9) + CHOOSE(CONTROL!$C$38, 0.0347, 0)</f>
        <v>35.775600000000004</v>
      </c>
      <c r="D444" s="14">
        <f>35.7331 * CHOOSE(CONTROL!$C$15, $E$9, 100%, $G$9) + CHOOSE(CONTROL!$C$38, 0.0347, 0)</f>
        <v>35.767800000000001</v>
      </c>
      <c r="E444" s="46">
        <f>37.5929 * CHOOSE(CONTROL!$C$15, $E$9, 100%, $G$9) + CHOOSE(CONTROL!$C$38, 0.0347, 0)</f>
        <v>37.627600000000001</v>
      </c>
      <c r="F444" s="45">
        <f>37.5929 * CHOOSE(CONTROL!$C$15, $E$9, 100%, $G$9) + CHOOSE(CONTROL!$C$38, 0.0256, 0)</f>
        <v>37.618499999999997</v>
      </c>
      <c r="G444" s="14">
        <f>35.7393 * CHOOSE(CONTROL!$C$15, $E$9, 100%, $G$9) + CHOOSE(CONTROL!$C$38, 0.0347, 0)</f>
        <v>35.774000000000001</v>
      </c>
      <c r="H444" s="14">
        <f>35.7393 * CHOOSE(CONTROL!$C$15, $E$9, 100%, $G$9) + CHOOSE(CONTROL!$C$38, 0.0347, 0)</f>
        <v>35.774000000000001</v>
      </c>
      <c r="I444" s="14">
        <f>35.7409 * CHOOSE(CONTROL!$C$15, $E$9, 100%, $G$9) + CHOOSE(CONTROL!$C$38, 0.0347, 0)</f>
        <v>35.775600000000004</v>
      </c>
      <c r="J444" s="44">
        <f>242.9548</f>
        <v>242.95480000000001</v>
      </c>
    </row>
    <row r="445" spans="1:10" ht="15.75" x14ac:dyDescent="0.25">
      <c r="A445" s="33">
        <v>54482</v>
      </c>
      <c r="B445" s="14">
        <f>38.0934 * CHOOSE(CONTROL!$C$15, $E$9, 100%, $G$9) + CHOOSE(CONTROL!$C$38, 0.0256, 0)</f>
        <v>38.119</v>
      </c>
      <c r="C445" s="14">
        <f>36.0852 * CHOOSE(CONTROL!$C$15, $E$9, 100%, $G$9) + CHOOSE(CONTROL!$C$38, 0.0347, 0)</f>
        <v>36.119900000000001</v>
      </c>
      <c r="D445" s="14">
        <f>36.0774 * CHOOSE(CONTROL!$C$15, $E$9, 100%, $G$9) + CHOOSE(CONTROL!$C$38, 0.0347, 0)</f>
        <v>36.112099999999998</v>
      </c>
      <c r="E445" s="46">
        <f>37.9372 * CHOOSE(CONTROL!$C$15, $E$9, 100%, $G$9) + CHOOSE(CONTROL!$C$38, 0.0347, 0)</f>
        <v>37.971899999999998</v>
      </c>
      <c r="F445" s="45">
        <f>37.9372 * CHOOSE(CONTROL!$C$15, $E$9, 100%, $G$9) + CHOOSE(CONTROL!$C$38, 0.0256, 0)</f>
        <v>37.962799999999994</v>
      </c>
      <c r="G445" s="14">
        <f>36.0837 * CHOOSE(CONTROL!$C$15, $E$9, 100%, $G$9) + CHOOSE(CONTROL!$C$38, 0.0347, 0)</f>
        <v>36.118400000000001</v>
      </c>
      <c r="H445" s="14">
        <f>36.0837 * CHOOSE(CONTROL!$C$15, $E$9, 100%, $G$9) + CHOOSE(CONTROL!$C$38, 0.0347, 0)</f>
        <v>36.118400000000001</v>
      </c>
      <c r="I445" s="14">
        <f>36.0852 * CHOOSE(CONTROL!$C$15, $E$9, 100%, $G$9) + CHOOSE(CONTROL!$C$38, 0.0347, 0)</f>
        <v>36.119900000000001</v>
      </c>
      <c r="J445" s="44">
        <f>242.2795</f>
        <v>242.27950000000001</v>
      </c>
    </row>
    <row r="446" spans="1:10" ht="15.75" x14ac:dyDescent="0.25">
      <c r="A446" s="33">
        <v>54513</v>
      </c>
      <c r="B446" s="14">
        <f>37.2964 * CHOOSE(CONTROL!$C$15, $E$9, 100%, $G$9) + CHOOSE(CONTROL!$C$38, 0.0256, 0)</f>
        <v>37.321999999999996</v>
      </c>
      <c r="C446" s="14">
        <f>35.2882 * CHOOSE(CONTROL!$C$15, $E$9, 100%, $G$9) + CHOOSE(CONTROL!$C$38, 0.0347, 0)</f>
        <v>35.322900000000004</v>
      </c>
      <c r="D446" s="14">
        <f>35.2804 * CHOOSE(CONTROL!$C$15, $E$9, 100%, $G$9) + CHOOSE(CONTROL!$C$38, 0.0347, 0)</f>
        <v>35.315100000000001</v>
      </c>
      <c r="E446" s="46">
        <f>37.1401 * CHOOSE(CONTROL!$C$15, $E$9, 100%, $G$9) + CHOOSE(CONTROL!$C$38, 0.0347, 0)</f>
        <v>37.174799999999998</v>
      </c>
      <c r="F446" s="45">
        <f>37.1401 * CHOOSE(CONTROL!$C$15, $E$9, 100%, $G$9) + CHOOSE(CONTROL!$C$38, 0.0256, 0)</f>
        <v>37.165699999999994</v>
      </c>
      <c r="G446" s="14">
        <f>35.2866 * CHOOSE(CONTROL!$C$15, $E$9, 100%, $G$9) + CHOOSE(CONTROL!$C$38, 0.0347, 0)</f>
        <v>35.321300000000001</v>
      </c>
      <c r="H446" s="14">
        <f>35.2866 * CHOOSE(CONTROL!$C$15, $E$9, 100%, $G$9) + CHOOSE(CONTROL!$C$38, 0.0347, 0)</f>
        <v>35.321300000000001</v>
      </c>
      <c r="I446" s="14">
        <f>35.2882 * CHOOSE(CONTROL!$C$15, $E$9, 100%, $G$9) + CHOOSE(CONTROL!$C$38, 0.0347, 0)</f>
        <v>35.322900000000004</v>
      </c>
      <c r="J446" s="44">
        <f>255.049</f>
        <v>255.04900000000001</v>
      </c>
    </row>
    <row r="447" spans="1:10" ht="15.75" x14ac:dyDescent="0.25">
      <c r="A447" s="33">
        <v>54543</v>
      </c>
      <c r="B447" s="14">
        <f>36.5241 * CHOOSE(CONTROL!$C$15, $E$9, 100%, $G$9) + CHOOSE(CONTROL!$C$38, 0.0256, 0)</f>
        <v>36.549699999999994</v>
      </c>
      <c r="C447" s="14">
        <f>34.5159 * CHOOSE(CONTROL!$C$15, $E$9, 100%, $G$9) + CHOOSE(CONTROL!$C$38, 0.0347, 0)</f>
        <v>34.550600000000003</v>
      </c>
      <c r="D447" s="14">
        <f>34.5081 * CHOOSE(CONTROL!$C$15, $E$9, 100%, $G$9) + CHOOSE(CONTROL!$C$38, 0.0347, 0)</f>
        <v>34.5428</v>
      </c>
      <c r="E447" s="46">
        <f>36.3678 * CHOOSE(CONTROL!$C$15, $E$9, 100%, $G$9) + CHOOSE(CONTROL!$C$38, 0.0347, 0)</f>
        <v>36.402500000000003</v>
      </c>
      <c r="F447" s="45">
        <f>36.3678 * CHOOSE(CONTROL!$C$15, $E$9, 100%, $G$9) + CHOOSE(CONTROL!$C$38, 0.0256, 0)</f>
        <v>36.3934</v>
      </c>
      <c r="G447" s="14">
        <f>34.5143 * CHOOSE(CONTROL!$C$15, $E$9, 100%, $G$9) + CHOOSE(CONTROL!$C$38, 0.0347, 0)</f>
        <v>34.548999999999999</v>
      </c>
      <c r="H447" s="14">
        <f>34.5143 * CHOOSE(CONTROL!$C$15, $E$9, 100%, $G$9) + CHOOSE(CONTROL!$C$38, 0.0347, 0)</f>
        <v>34.548999999999999</v>
      </c>
      <c r="I447" s="14">
        <f>34.5159 * CHOOSE(CONTROL!$C$15, $E$9, 100%, $G$9) + CHOOSE(CONTROL!$C$38, 0.0347, 0)</f>
        <v>34.550600000000003</v>
      </c>
      <c r="J447" s="44">
        <f>271.608</f>
        <v>271.608</v>
      </c>
    </row>
    <row r="448" spans="1:10" ht="15.75" x14ac:dyDescent="0.25">
      <c r="A448" s="33">
        <v>54574</v>
      </c>
      <c r="B448" s="14">
        <f>35.7191 * CHOOSE(CONTROL!$C$15, $E$9, 100%, $G$9) + CHOOSE(CONTROL!$C$38, 0.0278, 0)</f>
        <v>35.746899999999997</v>
      </c>
      <c r="C448" s="14">
        <f>33.7109 * CHOOSE(CONTROL!$C$15, $E$9, 100%, $G$9) + CHOOSE(CONTROL!$C$38, 0.0369, 0)</f>
        <v>33.747800000000005</v>
      </c>
      <c r="D448" s="14">
        <f>33.7031 * CHOOSE(CONTROL!$C$15, $E$9, 100%, $G$9) + CHOOSE(CONTROL!$C$38, 0.0369, 0)</f>
        <v>33.74</v>
      </c>
      <c r="E448" s="46">
        <f>35.5629 * CHOOSE(CONTROL!$C$15, $E$9, 100%, $G$9) + CHOOSE(CONTROL!$C$38, 0.0369, 0)</f>
        <v>35.599800000000002</v>
      </c>
      <c r="F448" s="45">
        <f>35.5629 * CHOOSE(CONTROL!$C$15, $E$9, 100%, $G$9) + CHOOSE(CONTROL!$C$38, 0.0278, 0)</f>
        <v>35.590699999999998</v>
      </c>
      <c r="G448" s="14">
        <f>33.7093 * CHOOSE(CONTROL!$C$15, $E$9, 100%, $G$9) + CHOOSE(CONTROL!$C$38, 0.0369, 0)</f>
        <v>33.746200000000002</v>
      </c>
      <c r="H448" s="14">
        <f>33.7093 * CHOOSE(CONTROL!$C$15, $E$9, 100%, $G$9) + CHOOSE(CONTROL!$C$38, 0.0369, 0)</f>
        <v>33.746200000000002</v>
      </c>
      <c r="I448" s="14">
        <f>33.7109 * CHOOSE(CONTROL!$C$15, $E$9, 100%, $G$9) + CHOOSE(CONTROL!$C$38, 0.0369, 0)</f>
        <v>33.747800000000005</v>
      </c>
      <c r="J448" s="44">
        <f>280.7227</f>
        <v>280.72269999999997</v>
      </c>
    </row>
    <row r="449" spans="1:10" ht="15.75" x14ac:dyDescent="0.25">
      <c r="A449" s="33">
        <v>54604</v>
      </c>
      <c r="B449" s="14">
        <f>35.1548 * CHOOSE(CONTROL!$C$15, $E$9, 100%, $G$9) + CHOOSE(CONTROL!$C$38, 0.0278, 0)</f>
        <v>35.182600000000001</v>
      </c>
      <c r="C449" s="14">
        <f>33.1466 * CHOOSE(CONTROL!$C$15, $E$9, 100%, $G$9) + CHOOSE(CONTROL!$C$38, 0.0369, 0)</f>
        <v>33.183500000000002</v>
      </c>
      <c r="D449" s="14">
        <f>33.1388 * CHOOSE(CONTROL!$C$15, $E$9, 100%, $G$9) + CHOOSE(CONTROL!$C$38, 0.0369, 0)</f>
        <v>33.175700000000006</v>
      </c>
      <c r="E449" s="46">
        <f>34.9985 * CHOOSE(CONTROL!$C$15, $E$9, 100%, $G$9) + CHOOSE(CONTROL!$C$38, 0.0369, 0)</f>
        <v>35.035400000000003</v>
      </c>
      <c r="F449" s="45">
        <f>34.9985 * CHOOSE(CONTROL!$C$15, $E$9, 100%, $G$9) + CHOOSE(CONTROL!$C$38, 0.0278, 0)</f>
        <v>35.026299999999999</v>
      </c>
      <c r="G449" s="14">
        <f>33.145 * CHOOSE(CONTROL!$C$15, $E$9, 100%, $G$9) + CHOOSE(CONTROL!$C$38, 0.0369, 0)</f>
        <v>33.181900000000006</v>
      </c>
      <c r="H449" s="14">
        <f>33.145 * CHOOSE(CONTROL!$C$15, $E$9, 100%, $G$9) + CHOOSE(CONTROL!$C$38, 0.0369, 0)</f>
        <v>33.181900000000006</v>
      </c>
      <c r="I449" s="14">
        <f>33.1466 * CHOOSE(CONTROL!$C$15, $E$9, 100%, $G$9) + CHOOSE(CONTROL!$C$38, 0.0369, 0)</f>
        <v>33.183500000000002</v>
      </c>
      <c r="J449" s="44">
        <f>284.7676</f>
        <v>284.76760000000002</v>
      </c>
    </row>
    <row r="450" spans="1:10" ht="15.75" x14ac:dyDescent="0.25">
      <c r="A450" s="33">
        <v>54635</v>
      </c>
      <c r="B450" s="14">
        <f>34.8327 * CHOOSE(CONTROL!$C$15, $E$9, 100%, $G$9) + CHOOSE(CONTROL!$C$38, 0.0278, 0)</f>
        <v>34.860500000000002</v>
      </c>
      <c r="C450" s="14">
        <f>32.8245 * CHOOSE(CONTROL!$C$15, $E$9, 100%, $G$9) + CHOOSE(CONTROL!$C$38, 0.0369, 0)</f>
        <v>32.861400000000003</v>
      </c>
      <c r="D450" s="14">
        <f>32.8167 * CHOOSE(CONTROL!$C$15, $E$9, 100%, $G$9) + CHOOSE(CONTROL!$C$38, 0.0369, 0)</f>
        <v>32.8536</v>
      </c>
      <c r="E450" s="46">
        <f>34.6765 * CHOOSE(CONTROL!$C$15, $E$9, 100%, $G$9) + CHOOSE(CONTROL!$C$38, 0.0369, 0)</f>
        <v>34.7134</v>
      </c>
      <c r="F450" s="45">
        <f>34.6765 * CHOOSE(CONTROL!$C$15, $E$9, 100%, $G$9) + CHOOSE(CONTROL!$C$38, 0.0278, 0)</f>
        <v>34.704299999999996</v>
      </c>
      <c r="G450" s="14">
        <f>32.823 * CHOOSE(CONTROL!$C$15, $E$9, 100%, $G$9) + CHOOSE(CONTROL!$C$38, 0.0369, 0)</f>
        <v>32.859900000000003</v>
      </c>
      <c r="H450" s="14">
        <f>32.823 * CHOOSE(CONTROL!$C$15, $E$9, 100%, $G$9) + CHOOSE(CONTROL!$C$38, 0.0369, 0)</f>
        <v>32.859900000000003</v>
      </c>
      <c r="I450" s="14">
        <f>32.8245 * CHOOSE(CONTROL!$C$15, $E$9, 100%, $G$9) + CHOOSE(CONTROL!$C$38, 0.0369, 0)</f>
        <v>32.861400000000003</v>
      </c>
      <c r="J450" s="44">
        <f>283.4358</f>
        <v>283.43579999999997</v>
      </c>
    </row>
    <row r="451" spans="1:10" ht="15.75" x14ac:dyDescent="0.25">
      <c r="A451" s="33">
        <v>54666</v>
      </c>
      <c r="B451" s="14">
        <f>34.9917 * CHOOSE(CONTROL!$C$15, $E$9, 100%, $G$9) + CHOOSE(CONTROL!$C$38, 0.0278, 0)</f>
        <v>35.019500000000001</v>
      </c>
      <c r="C451" s="14">
        <f>32.9835 * CHOOSE(CONTROL!$C$15, $E$9, 100%, $G$9) + CHOOSE(CONTROL!$C$38, 0.0369, 0)</f>
        <v>33.020400000000002</v>
      </c>
      <c r="D451" s="14">
        <f>32.9756 * CHOOSE(CONTROL!$C$15, $E$9, 100%, $G$9) + CHOOSE(CONTROL!$C$38, 0.0369, 0)</f>
        <v>33.012500000000003</v>
      </c>
      <c r="E451" s="46">
        <f>34.8354 * CHOOSE(CONTROL!$C$15, $E$9, 100%, $G$9) + CHOOSE(CONTROL!$C$38, 0.0369, 0)</f>
        <v>34.872300000000003</v>
      </c>
      <c r="F451" s="45">
        <f>34.8354 * CHOOSE(CONTROL!$C$15, $E$9, 100%, $G$9) + CHOOSE(CONTROL!$C$38, 0.0278, 0)</f>
        <v>34.863199999999999</v>
      </c>
      <c r="G451" s="14">
        <f>32.9819 * CHOOSE(CONTROL!$C$15, $E$9, 100%, $G$9) + CHOOSE(CONTROL!$C$38, 0.0369, 0)</f>
        <v>33.018800000000006</v>
      </c>
      <c r="H451" s="14">
        <f>32.9819 * CHOOSE(CONTROL!$C$15, $E$9, 100%, $G$9) + CHOOSE(CONTROL!$C$38, 0.0369, 0)</f>
        <v>33.018800000000006</v>
      </c>
      <c r="I451" s="14">
        <f>32.9835 * CHOOSE(CONTROL!$C$15, $E$9, 100%, $G$9) + CHOOSE(CONTROL!$C$38, 0.0369, 0)</f>
        <v>33.020400000000002</v>
      </c>
      <c r="J451" s="44">
        <f>276.8375</f>
        <v>276.83749999999998</v>
      </c>
    </row>
    <row r="452" spans="1:10" ht="15.75" x14ac:dyDescent="0.25">
      <c r="A452" s="33">
        <v>54696</v>
      </c>
      <c r="B452" s="14">
        <f>35.4234 * CHOOSE(CONTROL!$C$15, $E$9, 100%, $G$9) + CHOOSE(CONTROL!$C$38, 0.0278, 0)</f>
        <v>35.4512</v>
      </c>
      <c r="C452" s="14">
        <f>33.4152 * CHOOSE(CONTROL!$C$15, $E$9, 100%, $G$9) + CHOOSE(CONTROL!$C$38, 0.0369, 0)</f>
        <v>33.452100000000002</v>
      </c>
      <c r="D452" s="14">
        <f>33.4074 * CHOOSE(CONTROL!$C$15, $E$9, 100%, $G$9) + CHOOSE(CONTROL!$C$38, 0.0369, 0)</f>
        <v>33.444300000000005</v>
      </c>
      <c r="E452" s="46">
        <f>35.2671 * CHOOSE(CONTROL!$C$15, $E$9, 100%, $G$9) + CHOOSE(CONTROL!$C$38, 0.0369, 0)</f>
        <v>35.304000000000002</v>
      </c>
      <c r="F452" s="45">
        <f>35.2671 * CHOOSE(CONTROL!$C$15, $E$9, 100%, $G$9) + CHOOSE(CONTROL!$C$38, 0.0278, 0)</f>
        <v>35.294899999999998</v>
      </c>
      <c r="G452" s="14">
        <f>33.4136 * CHOOSE(CONTROL!$C$15, $E$9, 100%, $G$9) + CHOOSE(CONTROL!$C$38, 0.0369, 0)</f>
        <v>33.450500000000005</v>
      </c>
      <c r="H452" s="14">
        <f>33.4136 * CHOOSE(CONTROL!$C$15, $E$9, 100%, $G$9) + CHOOSE(CONTROL!$C$38, 0.0369, 0)</f>
        <v>33.450500000000005</v>
      </c>
      <c r="I452" s="14">
        <f>33.4152 * CHOOSE(CONTROL!$C$15, $E$9, 100%, $G$9) + CHOOSE(CONTROL!$C$38, 0.0369, 0)</f>
        <v>33.452100000000002</v>
      </c>
      <c r="J452" s="44">
        <f>267.6359</f>
        <v>267.63589999999999</v>
      </c>
    </row>
    <row r="453" spans="1:10" ht="15.75" x14ac:dyDescent="0.25">
      <c r="A453" s="33">
        <v>54727</v>
      </c>
      <c r="B453" s="14">
        <f>35.7849 * CHOOSE(CONTROL!$C$15, $E$9, 100%, $G$9) + CHOOSE(CONTROL!$C$38, 0.0256, 0)</f>
        <v>35.810499999999998</v>
      </c>
      <c r="C453" s="14">
        <f>33.7767 * CHOOSE(CONTROL!$C$15, $E$9, 100%, $G$9) + CHOOSE(CONTROL!$C$38, 0.0347, 0)</f>
        <v>33.811399999999999</v>
      </c>
      <c r="D453" s="14">
        <f>33.7689 * CHOOSE(CONTROL!$C$15, $E$9, 100%, $G$9) + CHOOSE(CONTROL!$C$38, 0.0347, 0)</f>
        <v>33.803600000000003</v>
      </c>
      <c r="E453" s="46">
        <f>35.6287 * CHOOSE(CONTROL!$C$15, $E$9, 100%, $G$9) + CHOOSE(CONTROL!$C$38, 0.0347, 0)</f>
        <v>35.663400000000003</v>
      </c>
      <c r="F453" s="45">
        <f>35.6287 * CHOOSE(CONTROL!$C$15, $E$9, 100%, $G$9) + CHOOSE(CONTROL!$C$38, 0.0256, 0)</f>
        <v>35.654299999999999</v>
      </c>
      <c r="G453" s="14">
        <f>33.7752 * CHOOSE(CONTROL!$C$15, $E$9, 100%, $G$9) + CHOOSE(CONTROL!$C$38, 0.0347, 0)</f>
        <v>33.809899999999999</v>
      </c>
      <c r="H453" s="14">
        <f>33.7752 * CHOOSE(CONTROL!$C$15, $E$9, 100%, $G$9) + CHOOSE(CONTROL!$C$38, 0.0347, 0)</f>
        <v>33.809899999999999</v>
      </c>
      <c r="I453" s="14">
        <f>33.7767 * CHOOSE(CONTROL!$C$15, $E$9, 100%, $G$9) + CHOOSE(CONTROL!$C$38, 0.0347, 0)</f>
        <v>33.811399999999999</v>
      </c>
      <c r="J453" s="44">
        <f>258.3808</f>
        <v>258.38080000000002</v>
      </c>
    </row>
    <row r="454" spans="1:10" ht="15.75" x14ac:dyDescent="0.25">
      <c r="A454" s="33">
        <v>54757</v>
      </c>
      <c r="B454" s="14">
        <f>36.0866 * CHOOSE(CONTROL!$C$15, $E$9, 100%, $G$9) + CHOOSE(CONTROL!$C$38, 0.0256, 0)</f>
        <v>36.112199999999994</v>
      </c>
      <c r="C454" s="14">
        <f>34.0784 * CHOOSE(CONTROL!$C$15, $E$9, 100%, $G$9) + CHOOSE(CONTROL!$C$38, 0.0347, 0)</f>
        <v>34.113100000000003</v>
      </c>
      <c r="D454" s="14">
        <f>34.0706 * CHOOSE(CONTROL!$C$15, $E$9, 100%, $G$9) + CHOOSE(CONTROL!$C$38, 0.0347, 0)</f>
        <v>34.1053</v>
      </c>
      <c r="E454" s="46">
        <f>35.9304 * CHOOSE(CONTROL!$C$15, $E$9, 100%, $G$9) + CHOOSE(CONTROL!$C$38, 0.0347, 0)</f>
        <v>35.9651</v>
      </c>
      <c r="F454" s="45">
        <f>35.9304 * CHOOSE(CONTROL!$C$15, $E$9, 100%, $G$9) + CHOOSE(CONTROL!$C$38, 0.0256, 0)</f>
        <v>35.955999999999996</v>
      </c>
      <c r="G454" s="14">
        <f>34.0769 * CHOOSE(CONTROL!$C$15, $E$9, 100%, $G$9) + CHOOSE(CONTROL!$C$38, 0.0347, 0)</f>
        <v>34.111600000000003</v>
      </c>
      <c r="H454" s="14">
        <f>34.0769 * CHOOSE(CONTROL!$C$15, $E$9, 100%, $G$9) + CHOOSE(CONTROL!$C$38, 0.0347, 0)</f>
        <v>34.111600000000003</v>
      </c>
      <c r="I454" s="14">
        <f>34.0784 * CHOOSE(CONTROL!$C$15, $E$9, 100%, $G$9) + CHOOSE(CONTROL!$C$38, 0.0347, 0)</f>
        <v>34.113100000000003</v>
      </c>
      <c r="J454" s="44">
        <f>256.5398</f>
        <v>256.53980000000001</v>
      </c>
    </row>
    <row r="455" spans="1:10" ht="15.75" x14ac:dyDescent="0.25">
      <c r="A455" s="33">
        <v>54788</v>
      </c>
      <c r="B455" s="14">
        <f>37.0163 * CHOOSE(CONTROL!$C$15, $E$9, 100%, $G$9) + CHOOSE(CONTROL!$C$38, 0.0256, 0)</f>
        <v>37.041899999999998</v>
      </c>
      <c r="C455" s="14">
        <f>35.0081 * CHOOSE(CONTROL!$C$15, $E$9, 100%, $G$9) + CHOOSE(CONTROL!$C$38, 0.0347, 0)</f>
        <v>35.0428</v>
      </c>
      <c r="D455" s="14">
        <f>35.0003 * CHOOSE(CONTROL!$C$15, $E$9, 100%, $G$9) + CHOOSE(CONTROL!$C$38, 0.0347, 0)</f>
        <v>35.035000000000004</v>
      </c>
      <c r="E455" s="46">
        <f>36.8601 * CHOOSE(CONTROL!$C$15, $E$9, 100%, $G$9) + CHOOSE(CONTROL!$C$38, 0.0347, 0)</f>
        <v>36.894800000000004</v>
      </c>
      <c r="F455" s="45">
        <f>36.8601 * CHOOSE(CONTROL!$C$15, $E$9, 100%, $G$9) + CHOOSE(CONTROL!$C$38, 0.0256, 0)</f>
        <v>36.8857</v>
      </c>
      <c r="G455" s="14">
        <f>35.0065 * CHOOSE(CONTROL!$C$15, $E$9, 100%, $G$9) + CHOOSE(CONTROL!$C$38, 0.0347, 0)</f>
        <v>35.041200000000003</v>
      </c>
      <c r="H455" s="14">
        <f>35.0065 * CHOOSE(CONTROL!$C$15, $E$9, 100%, $G$9) + CHOOSE(CONTROL!$C$38, 0.0347, 0)</f>
        <v>35.041200000000003</v>
      </c>
      <c r="I455" s="14">
        <f>35.0081 * CHOOSE(CONTROL!$C$15, $E$9, 100%, $G$9) + CHOOSE(CONTROL!$C$38, 0.0347, 0)</f>
        <v>35.0428</v>
      </c>
      <c r="J455" s="44">
        <f>248.9269</f>
        <v>248.92689999999999</v>
      </c>
    </row>
    <row r="456" spans="1:10" ht="15.75" x14ac:dyDescent="0.25">
      <c r="A456" s="33">
        <v>54819</v>
      </c>
      <c r="B456" s="14">
        <f>38.3473 * CHOOSE(CONTROL!$C$15, $E$9, 100%, $G$9) + CHOOSE(CONTROL!$C$38, 0.0256, 0)</f>
        <v>38.372899999999994</v>
      </c>
      <c r="C456" s="14">
        <f>36.308 * CHOOSE(CONTROL!$C$15, $E$9, 100%, $G$9) + CHOOSE(CONTROL!$C$38, 0.0347, 0)</f>
        <v>36.342700000000001</v>
      </c>
      <c r="D456" s="14">
        <f>36.3001 * CHOOSE(CONTROL!$C$15, $E$9, 100%, $G$9) + CHOOSE(CONTROL!$C$38, 0.0347, 0)</f>
        <v>36.334800000000001</v>
      </c>
      <c r="E456" s="46">
        <f>38.191 * CHOOSE(CONTROL!$C$15, $E$9, 100%, $G$9) + CHOOSE(CONTROL!$C$38, 0.0347, 0)</f>
        <v>38.225700000000003</v>
      </c>
      <c r="F456" s="45">
        <f>38.191 * CHOOSE(CONTROL!$C$15, $E$9, 100%, $G$9) + CHOOSE(CONTROL!$C$38, 0.0256, 0)</f>
        <v>38.2166</v>
      </c>
      <c r="G456" s="14">
        <f>36.3064 * CHOOSE(CONTROL!$C$15, $E$9, 100%, $G$9) + CHOOSE(CONTROL!$C$38, 0.0347, 0)</f>
        <v>36.341099999999997</v>
      </c>
      <c r="H456" s="14">
        <f>36.3064 * CHOOSE(CONTROL!$C$15, $E$9, 100%, $G$9) + CHOOSE(CONTROL!$C$38, 0.0347, 0)</f>
        <v>36.341099999999997</v>
      </c>
      <c r="I456" s="14">
        <f>36.308 * CHOOSE(CONTROL!$C$15, $E$9, 100%, $G$9) + CHOOSE(CONTROL!$C$38, 0.0347, 0)</f>
        <v>36.342700000000001</v>
      </c>
      <c r="J456" s="44">
        <f>248.7472</f>
        <v>248.74719999999999</v>
      </c>
    </row>
    <row r="457" spans="1:10" ht="15.75" x14ac:dyDescent="0.25">
      <c r="A457" s="33">
        <v>54847</v>
      </c>
      <c r="B457" s="14">
        <f>38.6916 * CHOOSE(CONTROL!$C$15, $E$9, 100%, $G$9) + CHOOSE(CONTROL!$C$38, 0.0256, 0)</f>
        <v>38.717199999999998</v>
      </c>
      <c r="C457" s="14">
        <f>36.6523 * CHOOSE(CONTROL!$C$15, $E$9, 100%, $G$9) + CHOOSE(CONTROL!$C$38, 0.0347, 0)</f>
        <v>36.686999999999998</v>
      </c>
      <c r="D457" s="14">
        <f>36.6445 * CHOOSE(CONTROL!$C$15, $E$9, 100%, $G$9) + CHOOSE(CONTROL!$C$38, 0.0347, 0)</f>
        <v>36.679200000000002</v>
      </c>
      <c r="E457" s="46">
        <f>38.5353 * CHOOSE(CONTROL!$C$15, $E$9, 100%, $G$9) + CHOOSE(CONTROL!$C$38, 0.0347, 0)</f>
        <v>38.57</v>
      </c>
      <c r="F457" s="45">
        <f>38.5353 * CHOOSE(CONTROL!$C$15, $E$9, 100%, $G$9) + CHOOSE(CONTROL!$C$38, 0.0256, 0)</f>
        <v>38.560899999999997</v>
      </c>
      <c r="G457" s="14">
        <f>36.6507 * CHOOSE(CONTROL!$C$15, $E$9, 100%, $G$9) + CHOOSE(CONTROL!$C$38, 0.0347, 0)</f>
        <v>36.685400000000001</v>
      </c>
      <c r="H457" s="14">
        <f>36.6507 * CHOOSE(CONTROL!$C$15, $E$9, 100%, $G$9) + CHOOSE(CONTROL!$C$38, 0.0347, 0)</f>
        <v>36.685400000000001</v>
      </c>
      <c r="I457" s="14">
        <f>36.6523 * CHOOSE(CONTROL!$C$15, $E$9, 100%, $G$9) + CHOOSE(CONTROL!$C$38, 0.0347, 0)</f>
        <v>36.686999999999998</v>
      </c>
      <c r="J457" s="44">
        <f>248.0558</f>
        <v>248.0558</v>
      </c>
    </row>
    <row r="458" spans="1:10" ht="15.75" x14ac:dyDescent="0.25">
      <c r="A458" s="33">
        <v>54878</v>
      </c>
      <c r="B458" s="14">
        <f>37.8945 * CHOOSE(CONTROL!$C$15, $E$9, 100%, $G$9) + CHOOSE(CONTROL!$C$38, 0.0256, 0)</f>
        <v>37.920099999999998</v>
      </c>
      <c r="C458" s="14">
        <f>35.8552 * CHOOSE(CONTROL!$C$15, $E$9, 100%, $G$9) + CHOOSE(CONTROL!$C$38, 0.0347, 0)</f>
        <v>35.889900000000004</v>
      </c>
      <c r="D458" s="14">
        <f>35.8474 * CHOOSE(CONTROL!$C$15, $E$9, 100%, $G$9) + CHOOSE(CONTROL!$C$38, 0.0347, 0)</f>
        <v>35.882100000000001</v>
      </c>
      <c r="E458" s="46">
        <f>37.7383 * CHOOSE(CONTROL!$C$15, $E$9, 100%, $G$9) + CHOOSE(CONTROL!$C$38, 0.0347, 0)</f>
        <v>37.773000000000003</v>
      </c>
      <c r="F458" s="45">
        <f>37.7383 * CHOOSE(CONTROL!$C$15, $E$9, 100%, $G$9) + CHOOSE(CONTROL!$C$38, 0.0256, 0)</f>
        <v>37.7639</v>
      </c>
      <c r="G458" s="14">
        <f>35.8537 * CHOOSE(CONTROL!$C$15, $E$9, 100%, $G$9) + CHOOSE(CONTROL!$C$38, 0.0347, 0)</f>
        <v>35.888400000000004</v>
      </c>
      <c r="H458" s="14">
        <f>35.8537 * CHOOSE(CONTROL!$C$15, $E$9, 100%, $G$9) + CHOOSE(CONTROL!$C$38, 0.0347, 0)</f>
        <v>35.888400000000004</v>
      </c>
      <c r="I458" s="14">
        <f>35.8552 * CHOOSE(CONTROL!$C$15, $E$9, 100%, $G$9) + CHOOSE(CONTROL!$C$38, 0.0347, 0)</f>
        <v>35.889900000000004</v>
      </c>
      <c r="J458" s="44">
        <f>261.1298</f>
        <v>261.12979999999999</v>
      </c>
    </row>
    <row r="459" spans="1:10" ht="15.75" x14ac:dyDescent="0.25">
      <c r="A459" s="33">
        <v>54908</v>
      </c>
      <c r="B459" s="14">
        <f>37.1222 * CHOOSE(CONTROL!$C$15, $E$9, 100%, $G$9) + CHOOSE(CONTROL!$C$38, 0.0256, 0)</f>
        <v>37.147799999999997</v>
      </c>
      <c r="C459" s="14">
        <f>35.0829 * CHOOSE(CONTROL!$C$15, $E$9, 100%, $G$9) + CHOOSE(CONTROL!$C$38, 0.0347, 0)</f>
        <v>35.117600000000003</v>
      </c>
      <c r="D459" s="14">
        <f>35.0751 * CHOOSE(CONTROL!$C$15, $E$9, 100%, $G$9) + CHOOSE(CONTROL!$C$38, 0.0347, 0)</f>
        <v>35.1098</v>
      </c>
      <c r="E459" s="46">
        <f>36.966 * CHOOSE(CONTROL!$C$15, $E$9, 100%, $G$9) + CHOOSE(CONTROL!$C$38, 0.0347, 0)</f>
        <v>37.000700000000002</v>
      </c>
      <c r="F459" s="45">
        <f>36.966 * CHOOSE(CONTROL!$C$15, $E$9, 100%, $G$9) + CHOOSE(CONTROL!$C$38, 0.0256, 0)</f>
        <v>36.991599999999998</v>
      </c>
      <c r="G459" s="14">
        <f>35.0814 * CHOOSE(CONTROL!$C$15, $E$9, 100%, $G$9) + CHOOSE(CONTROL!$C$38, 0.0347, 0)</f>
        <v>35.116100000000003</v>
      </c>
      <c r="H459" s="14">
        <f>35.0814 * CHOOSE(CONTROL!$C$15, $E$9, 100%, $G$9) + CHOOSE(CONTROL!$C$38, 0.0347, 0)</f>
        <v>35.116100000000003</v>
      </c>
      <c r="I459" s="14">
        <f>35.0829 * CHOOSE(CONTROL!$C$15, $E$9, 100%, $G$9) + CHOOSE(CONTROL!$C$38, 0.0347, 0)</f>
        <v>35.117600000000003</v>
      </c>
      <c r="J459" s="44">
        <f>278.0836</f>
        <v>278.08359999999999</v>
      </c>
    </row>
    <row r="460" spans="1:10" ht="15.75" x14ac:dyDescent="0.25">
      <c r="A460" s="33">
        <v>54939</v>
      </c>
      <c r="B460" s="14">
        <f>36.3173 * CHOOSE(CONTROL!$C$15, $E$9, 100%, $G$9) + CHOOSE(CONTROL!$C$38, 0.0278, 0)</f>
        <v>36.345100000000002</v>
      </c>
      <c r="C460" s="14">
        <f>34.278 * CHOOSE(CONTROL!$C$15, $E$9, 100%, $G$9) + CHOOSE(CONTROL!$C$38, 0.0369, 0)</f>
        <v>34.314900000000002</v>
      </c>
      <c r="D460" s="14">
        <f>34.2701 * CHOOSE(CONTROL!$C$15, $E$9, 100%, $G$9) + CHOOSE(CONTROL!$C$38, 0.0369, 0)</f>
        <v>34.307000000000002</v>
      </c>
      <c r="E460" s="46">
        <f>36.161 * CHOOSE(CONTROL!$C$15, $E$9, 100%, $G$9) + CHOOSE(CONTROL!$C$38, 0.0369, 0)</f>
        <v>36.197900000000004</v>
      </c>
      <c r="F460" s="45">
        <f>36.161 * CHOOSE(CONTROL!$C$15, $E$9, 100%, $G$9) + CHOOSE(CONTROL!$C$38, 0.0278, 0)</f>
        <v>36.188800000000001</v>
      </c>
      <c r="G460" s="14">
        <f>34.2764 * CHOOSE(CONTROL!$C$15, $E$9, 100%, $G$9) + CHOOSE(CONTROL!$C$38, 0.0369, 0)</f>
        <v>34.313300000000005</v>
      </c>
      <c r="H460" s="14">
        <f>34.2764 * CHOOSE(CONTROL!$C$15, $E$9, 100%, $G$9) + CHOOSE(CONTROL!$C$38, 0.0369, 0)</f>
        <v>34.313300000000005</v>
      </c>
      <c r="I460" s="14">
        <f>34.278 * CHOOSE(CONTROL!$C$15, $E$9, 100%, $G$9) + CHOOSE(CONTROL!$C$38, 0.0369, 0)</f>
        <v>34.314900000000002</v>
      </c>
      <c r="J460" s="44">
        <f>287.4155</f>
        <v>287.41550000000001</v>
      </c>
    </row>
    <row r="461" spans="1:10" ht="15.75" x14ac:dyDescent="0.25">
      <c r="A461" s="33">
        <v>54969</v>
      </c>
      <c r="B461" s="14">
        <f>35.7529 * CHOOSE(CONTROL!$C$15, $E$9, 100%, $G$9) + CHOOSE(CONTROL!$C$38, 0.0278, 0)</f>
        <v>35.780699999999996</v>
      </c>
      <c r="C461" s="14">
        <f>33.7136 * CHOOSE(CONTROL!$C$15, $E$9, 100%, $G$9) + CHOOSE(CONTROL!$C$38, 0.0369, 0)</f>
        <v>33.750500000000002</v>
      </c>
      <c r="D461" s="14">
        <f>33.7058 * CHOOSE(CONTROL!$C$15, $E$9, 100%, $G$9) + CHOOSE(CONTROL!$C$38, 0.0369, 0)</f>
        <v>33.742700000000006</v>
      </c>
      <c r="E461" s="46">
        <f>35.5967 * CHOOSE(CONTROL!$C$15, $E$9, 100%, $G$9) + CHOOSE(CONTROL!$C$38, 0.0369, 0)</f>
        <v>35.633600000000001</v>
      </c>
      <c r="F461" s="45">
        <f>35.5967 * CHOOSE(CONTROL!$C$15, $E$9, 100%, $G$9) + CHOOSE(CONTROL!$C$38, 0.0278, 0)</f>
        <v>35.624499999999998</v>
      </c>
      <c r="G461" s="14">
        <f>33.7121 * CHOOSE(CONTROL!$C$15, $E$9, 100%, $G$9) + CHOOSE(CONTROL!$C$38, 0.0369, 0)</f>
        <v>33.749000000000002</v>
      </c>
      <c r="H461" s="14">
        <f>33.7121 * CHOOSE(CONTROL!$C$15, $E$9, 100%, $G$9) + CHOOSE(CONTROL!$C$38, 0.0369, 0)</f>
        <v>33.749000000000002</v>
      </c>
      <c r="I461" s="14">
        <f>33.7136 * CHOOSE(CONTROL!$C$15, $E$9, 100%, $G$9) + CHOOSE(CONTROL!$C$38, 0.0369, 0)</f>
        <v>33.750500000000002</v>
      </c>
      <c r="J461" s="44">
        <f>291.5569</f>
        <v>291.55689999999998</v>
      </c>
    </row>
    <row r="462" spans="1:10" ht="15.75" x14ac:dyDescent="0.25">
      <c r="A462" s="33">
        <v>55000</v>
      </c>
      <c r="B462" s="14">
        <f>35.4309 * CHOOSE(CONTROL!$C$15, $E$9, 100%, $G$9) + CHOOSE(CONTROL!$C$38, 0.0278, 0)</f>
        <v>35.4587</v>
      </c>
      <c r="C462" s="14">
        <f>33.3916 * CHOOSE(CONTROL!$C$15, $E$9, 100%, $G$9) + CHOOSE(CONTROL!$C$38, 0.0369, 0)</f>
        <v>33.4285</v>
      </c>
      <c r="D462" s="14">
        <f>33.3838 * CHOOSE(CONTROL!$C$15, $E$9, 100%, $G$9) + CHOOSE(CONTROL!$C$38, 0.0369, 0)</f>
        <v>33.420700000000004</v>
      </c>
      <c r="E462" s="46">
        <f>35.2746 * CHOOSE(CONTROL!$C$15, $E$9, 100%, $G$9) + CHOOSE(CONTROL!$C$38, 0.0369, 0)</f>
        <v>35.311500000000002</v>
      </c>
      <c r="F462" s="45">
        <f>35.2746 * CHOOSE(CONTROL!$C$15, $E$9, 100%, $G$9) + CHOOSE(CONTROL!$C$38, 0.0278, 0)</f>
        <v>35.302399999999999</v>
      </c>
      <c r="G462" s="14">
        <f>33.39 * CHOOSE(CONTROL!$C$15, $E$9, 100%, $G$9) + CHOOSE(CONTROL!$C$38, 0.0369, 0)</f>
        <v>33.426900000000003</v>
      </c>
      <c r="H462" s="14">
        <f>33.39 * CHOOSE(CONTROL!$C$15, $E$9, 100%, $G$9) + CHOOSE(CONTROL!$C$38, 0.0369, 0)</f>
        <v>33.426900000000003</v>
      </c>
      <c r="I462" s="14">
        <f>33.3916 * CHOOSE(CONTROL!$C$15, $E$9, 100%, $G$9) + CHOOSE(CONTROL!$C$38, 0.0369, 0)</f>
        <v>33.4285</v>
      </c>
      <c r="J462" s="44">
        <f>290.1933</f>
        <v>290.19330000000002</v>
      </c>
    </row>
    <row r="463" spans="1:10" ht="15.75" x14ac:dyDescent="0.25">
      <c r="A463" s="33">
        <v>55031</v>
      </c>
      <c r="B463" s="14">
        <f>35.5898 * CHOOSE(CONTROL!$C$15, $E$9, 100%, $G$9) + CHOOSE(CONTROL!$C$38, 0.0278, 0)</f>
        <v>35.617599999999996</v>
      </c>
      <c r="C463" s="14">
        <f>33.5505 * CHOOSE(CONTROL!$C$15, $E$9, 100%, $G$9) + CHOOSE(CONTROL!$C$38, 0.0369, 0)</f>
        <v>33.587400000000002</v>
      </c>
      <c r="D463" s="14">
        <f>33.5427 * CHOOSE(CONTROL!$C$15, $E$9, 100%, $G$9) + CHOOSE(CONTROL!$C$38, 0.0369, 0)</f>
        <v>33.579600000000006</v>
      </c>
      <c r="E463" s="46">
        <f>35.4336 * CHOOSE(CONTROL!$C$15, $E$9, 100%, $G$9) + CHOOSE(CONTROL!$C$38, 0.0369, 0)</f>
        <v>35.470500000000001</v>
      </c>
      <c r="F463" s="45">
        <f>35.4336 * CHOOSE(CONTROL!$C$15, $E$9, 100%, $G$9) + CHOOSE(CONTROL!$C$38, 0.0278, 0)</f>
        <v>35.461399999999998</v>
      </c>
      <c r="G463" s="14">
        <f>33.549 * CHOOSE(CONTROL!$C$15, $E$9, 100%, $G$9) + CHOOSE(CONTROL!$C$38, 0.0369, 0)</f>
        <v>33.585900000000002</v>
      </c>
      <c r="H463" s="14">
        <f>33.549 * CHOOSE(CONTROL!$C$15, $E$9, 100%, $G$9) + CHOOSE(CONTROL!$C$38, 0.0369, 0)</f>
        <v>33.585900000000002</v>
      </c>
      <c r="I463" s="14">
        <f>33.5505 * CHOOSE(CONTROL!$C$15, $E$9, 100%, $G$9) + CHOOSE(CONTROL!$C$38, 0.0369, 0)</f>
        <v>33.587400000000002</v>
      </c>
      <c r="J463" s="44">
        <f>283.4378</f>
        <v>283.43779999999998</v>
      </c>
    </row>
    <row r="464" spans="1:10" ht="15.75" x14ac:dyDescent="0.25">
      <c r="A464" s="33">
        <v>55061</v>
      </c>
      <c r="B464" s="14">
        <f>36.0215 * CHOOSE(CONTROL!$C$15, $E$9, 100%, $G$9) + CHOOSE(CONTROL!$C$38, 0.0278, 0)</f>
        <v>36.049300000000002</v>
      </c>
      <c r="C464" s="14">
        <f>33.9822 * CHOOSE(CONTROL!$C$15, $E$9, 100%, $G$9) + CHOOSE(CONTROL!$C$38, 0.0369, 0)</f>
        <v>34.019100000000002</v>
      </c>
      <c r="D464" s="14">
        <f>33.9744 * CHOOSE(CONTROL!$C$15, $E$9, 100%, $G$9) + CHOOSE(CONTROL!$C$38, 0.0369, 0)</f>
        <v>34.011300000000006</v>
      </c>
      <c r="E464" s="46">
        <f>35.8653 * CHOOSE(CONTROL!$C$15, $E$9, 100%, $G$9) + CHOOSE(CONTROL!$C$38, 0.0369, 0)</f>
        <v>35.902200000000001</v>
      </c>
      <c r="F464" s="45">
        <f>35.8653 * CHOOSE(CONTROL!$C$15, $E$9, 100%, $G$9) + CHOOSE(CONTROL!$C$38, 0.0278, 0)</f>
        <v>35.893099999999997</v>
      </c>
      <c r="G464" s="14">
        <f>33.9807 * CHOOSE(CONTROL!$C$15, $E$9, 100%, $G$9) + CHOOSE(CONTROL!$C$38, 0.0369, 0)</f>
        <v>34.017600000000002</v>
      </c>
      <c r="H464" s="14">
        <f>33.9807 * CHOOSE(CONTROL!$C$15, $E$9, 100%, $G$9) + CHOOSE(CONTROL!$C$38, 0.0369, 0)</f>
        <v>34.017600000000002</v>
      </c>
      <c r="I464" s="14">
        <f>33.9822 * CHOOSE(CONTROL!$C$15, $E$9, 100%, $G$9) + CHOOSE(CONTROL!$C$38, 0.0369, 0)</f>
        <v>34.019100000000002</v>
      </c>
      <c r="J464" s="44">
        <f>274.0168</f>
        <v>274.01679999999999</v>
      </c>
    </row>
    <row r="465" spans="1:10" ht="15.75" x14ac:dyDescent="0.25">
      <c r="A465" s="33">
        <v>55092</v>
      </c>
      <c r="B465" s="14">
        <f>36.3831 * CHOOSE(CONTROL!$C$15, $E$9, 100%, $G$9) + CHOOSE(CONTROL!$C$38, 0.0256, 0)</f>
        <v>36.408699999999996</v>
      </c>
      <c r="C465" s="14">
        <f>34.3438 * CHOOSE(CONTROL!$C$15, $E$9, 100%, $G$9) + CHOOSE(CONTROL!$C$38, 0.0347, 0)</f>
        <v>34.378500000000003</v>
      </c>
      <c r="D465" s="14">
        <f>34.336 * CHOOSE(CONTROL!$C$15, $E$9, 100%, $G$9) + CHOOSE(CONTROL!$C$38, 0.0347, 0)</f>
        <v>34.370699999999999</v>
      </c>
      <c r="E465" s="46">
        <f>36.2269 * CHOOSE(CONTROL!$C$15, $E$9, 100%, $G$9) + CHOOSE(CONTROL!$C$38, 0.0347, 0)</f>
        <v>36.261600000000001</v>
      </c>
      <c r="F465" s="45">
        <f>36.2269 * CHOOSE(CONTROL!$C$15, $E$9, 100%, $G$9) + CHOOSE(CONTROL!$C$38, 0.0256, 0)</f>
        <v>36.252499999999998</v>
      </c>
      <c r="G465" s="14">
        <f>34.3422 * CHOOSE(CONTROL!$C$15, $E$9, 100%, $G$9) + CHOOSE(CONTROL!$C$38, 0.0347, 0)</f>
        <v>34.376899999999999</v>
      </c>
      <c r="H465" s="14">
        <f>34.3422 * CHOOSE(CONTROL!$C$15, $E$9, 100%, $G$9) + CHOOSE(CONTROL!$C$38, 0.0347, 0)</f>
        <v>34.376899999999999</v>
      </c>
      <c r="I465" s="14">
        <f>34.3438 * CHOOSE(CONTROL!$C$15, $E$9, 100%, $G$9) + CHOOSE(CONTROL!$C$38, 0.0347, 0)</f>
        <v>34.378500000000003</v>
      </c>
      <c r="J465" s="44">
        <f>264.541</f>
        <v>264.541</v>
      </c>
    </row>
    <row r="466" spans="1:10" ht="15.75" x14ac:dyDescent="0.25">
      <c r="A466" s="33">
        <v>55122</v>
      </c>
      <c r="B466" s="14">
        <f>36.6848 * CHOOSE(CONTROL!$C$15, $E$9, 100%, $G$9) + CHOOSE(CONTROL!$C$38, 0.0256, 0)</f>
        <v>36.7104</v>
      </c>
      <c r="C466" s="14">
        <f>34.6455 * CHOOSE(CONTROL!$C$15, $E$9, 100%, $G$9) + CHOOSE(CONTROL!$C$38, 0.0347, 0)</f>
        <v>34.680199999999999</v>
      </c>
      <c r="D466" s="14">
        <f>34.6377 * CHOOSE(CONTROL!$C$15, $E$9, 100%, $G$9) + CHOOSE(CONTROL!$C$38, 0.0347, 0)</f>
        <v>34.672400000000003</v>
      </c>
      <c r="E466" s="46">
        <f>36.5286 * CHOOSE(CONTROL!$C$15, $E$9, 100%, $G$9) + CHOOSE(CONTROL!$C$38, 0.0347, 0)</f>
        <v>36.563299999999998</v>
      </c>
      <c r="F466" s="45">
        <f>36.5286 * CHOOSE(CONTROL!$C$15, $E$9, 100%, $G$9) + CHOOSE(CONTROL!$C$38, 0.0256, 0)</f>
        <v>36.554199999999994</v>
      </c>
      <c r="G466" s="14">
        <f>34.6439 * CHOOSE(CONTROL!$C$15, $E$9, 100%, $G$9) + CHOOSE(CONTROL!$C$38, 0.0347, 0)</f>
        <v>34.678600000000003</v>
      </c>
      <c r="H466" s="14">
        <f>34.6439 * CHOOSE(CONTROL!$C$15, $E$9, 100%, $G$9) + CHOOSE(CONTROL!$C$38, 0.0347, 0)</f>
        <v>34.678600000000003</v>
      </c>
      <c r="I466" s="14">
        <f>34.6455 * CHOOSE(CONTROL!$C$15, $E$9, 100%, $G$9) + CHOOSE(CONTROL!$C$38, 0.0347, 0)</f>
        <v>34.680199999999999</v>
      </c>
      <c r="J466" s="44">
        <f>262.6561</f>
        <v>262.65609999999998</v>
      </c>
    </row>
    <row r="467" spans="1:10" ht="15.75" x14ac:dyDescent="0.25">
      <c r="A467" s="33">
        <v>55153</v>
      </c>
      <c r="B467" s="14">
        <f>37.6145 * CHOOSE(CONTROL!$C$15, $E$9, 100%, $G$9) + CHOOSE(CONTROL!$C$38, 0.0256, 0)</f>
        <v>37.640099999999997</v>
      </c>
      <c r="C467" s="14">
        <f>35.5752 * CHOOSE(CONTROL!$C$15, $E$9, 100%, $G$9) + CHOOSE(CONTROL!$C$38, 0.0347, 0)</f>
        <v>35.609900000000003</v>
      </c>
      <c r="D467" s="14">
        <f>35.5673 * CHOOSE(CONTROL!$C$15, $E$9, 100%, $G$9) + CHOOSE(CONTROL!$C$38, 0.0347, 0)</f>
        <v>35.602000000000004</v>
      </c>
      <c r="E467" s="46">
        <f>37.4582 * CHOOSE(CONTROL!$C$15, $E$9, 100%, $G$9) + CHOOSE(CONTROL!$C$38, 0.0347, 0)</f>
        <v>37.492899999999999</v>
      </c>
      <c r="F467" s="45">
        <f>37.4582 * CHOOSE(CONTROL!$C$15, $E$9, 100%, $G$9) + CHOOSE(CONTROL!$C$38, 0.0256, 0)</f>
        <v>37.483799999999995</v>
      </c>
      <c r="G467" s="14">
        <f>35.5736 * CHOOSE(CONTROL!$C$15, $E$9, 100%, $G$9) + CHOOSE(CONTROL!$C$38, 0.0347, 0)</f>
        <v>35.6083</v>
      </c>
      <c r="H467" s="14">
        <f>35.5736 * CHOOSE(CONTROL!$C$15, $E$9, 100%, $G$9) + CHOOSE(CONTROL!$C$38, 0.0347, 0)</f>
        <v>35.6083</v>
      </c>
      <c r="I467" s="14">
        <f>35.5752 * CHOOSE(CONTROL!$C$15, $E$9, 100%, $G$9) + CHOOSE(CONTROL!$C$38, 0.0347, 0)</f>
        <v>35.609900000000003</v>
      </c>
      <c r="J467" s="44">
        <f>254.8617</f>
        <v>254.86170000000001</v>
      </c>
    </row>
    <row r="468" spans="1:10" ht="15.75" x14ac:dyDescent="0.25">
      <c r="A468" s="33">
        <v>55184</v>
      </c>
      <c r="B468" s="14">
        <f>38.9555 * CHOOSE(CONTROL!$C$15, $E$9, 100%, $G$9) + CHOOSE(CONTROL!$C$38, 0.0256, 0)</f>
        <v>38.981099999999998</v>
      </c>
      <c r="C468" s="14">
        <f>36.8845 * CHOOSE(CONTROL!$C$15, $E$9, 100%, $G$9) + CHOOSE(CONTROL!$C$38, 0.0347, 0)</f>
        <v>36.919200000000004</v>
      </c>
      <c r="D468" s="14">
        <f>36.8767 * CHOOSE(CONTROL!$C$15, $E$9, 100%, $G$9) + CHOOSE(CONTROL!$C$38, 0.0347, 0)</f>
        <v>36.9114</v>
      </c>
      <c r="E468" s="46">
        <f>38.7992 * CHOOSE(CONTROL!$C$15, $E$9, 100%, $G$9) + CHOOSE(CONTROL!$C$38, 0.0347, 0)</f>
        <v>38.8339</v>
      </c>
      <c r="F468" s="45">
        <f>38.7992 * CHOOSE(CONTROL!$C$15, $E$9, 100%, $G$9) + CHOOSE(CONTROL!$C$38, 0.0256, 0)</f>
        <v>38.824799999999996</v>
      </c>
      <c r="G468" s="14">
        <f>36.883 * CHOOSE(CONTROL!$C$15, $E$9, 100%, $G$9) + CHOOSE(CONTROL!$C$38, 0.0347, 0)</f>
        <v>36.917700000000004</v>
      </c>
      <c r="H468" s="14">
        <f>36.883 * CHOOSE(CONTROL!$C$15, $E$9, 100%, $G$9) + CHOOSE(CONTROL!$C$38, 0.0347, 0)</f>
        <v>36.917700000000004</v>
      </c>
      <c r="I468" s="14">
        <f>36.8845 * CHOOSE(CONTROL!$C$15, $E$9, 100%, $G$9) + CHOOSE(CONTROL!$C$38, 0.0347, 0)</f>
        <v>36.919200000000004</v>
      </c>
      <c r="J468" s="44">
        <f>254.6777</f>
        <v>254.67769999999999</v>
      </c>
    </row>
    <row r="469" spans="1:10" ht="15.75" x14ac:dyDescent="0.25">
      <c r="A469" s="33">
        <v>55212</v>
      </c>
      <c r="B469" s="14">
        <f>39.2998 * CHOOSE(CONTROL!$C$15, $E$9, 100%, $G$9) + CHOOSE(CONTROL!$C$38, 0.0256, 0)</f>
        <v>39.325399999999995</v>
      </c>
      <c r="C469" s="14">
        <f>37.2288 * CHOOSE(CONTROL!$C$15, $E$9, 100%, $G$9) + CHOOSE(CONTROL!$C$38, 0.0347, 0)</f>
        <v>37.263500000000001</v>
      </c>
      <c r="D469" s="14">
        <f>37.221 * CHOOSE(CONTROL!$C$15, $E$9, 100%, $G$9) + CHOOSE(CONTROL!$C$38, 0.0347, 0)</f>
        <v>37.255699999999997</v>
      </c>
      <c r="E469" s="46">
        <f>39.1435 * CHOOSE(CONTROL!$C$15, $E$9, 100%, $G$9) + CHOOSE(CONTROL!$C$38, 0.0347, 0)</f>
        <v>39.178200000000004</v>
      </c>
      <c r="F469" s="45">
        <f>39.1435 * CHOOSE(CONTROL!$C$15, $E$9, 100%, $G$9) + CHOOSE(CONTROL!$C$38, 0.0256, 0)</f>
        <v>39.1691</v>
      </c>
      <c r="G469" s="14">
        <f>37.2273 * CHOOSE(CONTROL!$C$15, $E$9, 100%, $G$9) + CHOOSE(CONTROL!$C$38, 0.0347, 0)</f>
        <v>37.262</v>
      </c>
      <c r="H469" s="14">
        <f>37.2273 * CHOOSE(CONTROL!$C$15, $E$9, 100%, $G$9) + CHOOSE(CONTROL!$C$38, 0.0347, 0)</f>
        <v>37.262</v>
      </c>
      <c r="I469" s="14">
        <f>37.2288 * CHOOSE(CONTROL!$C$15, $E$9, 100%, $G$9) + CHOOSE(CONTROL!$C$38, 0.0347, 0)</f>
        <v>37.263500000000001</v>
      </c>
      <c r="J469" s="44">
        <f>253.9698</f>
        <v>253.96979999999999</v>
      </c>
    </row>
    <row r="470" spans="1:10" ht="15.75" x14ac:dyDescent="0.25">
      <c r="A470" s="33">
        <v>55243</v>
      </c>
      <c r="B470" s="14">
        <f>38.5028 * CHOOSE(CONTROL!$C$15, $E$9, 100%, $G$9) + CHOOSE(CONTROL!$C$38, 0.0256, 0)</f>
        <v>38.528399999999998</v>
      </c>
      <c r="C470" s="14">
        <f>36.4318 * CHOOSE(CONTROL!$C$15, $E$9, 100%, $G$9) + CHOOSE(CONTROL!$C$38, 0.0347, 0)</f>
        <v>36.466500000000003</v>
      </c>
      <c r="D470" s="14">
        <f>36.424 * CHOOSE(CONTROL!$C$15, $E$9, 100%, $G$9) + CHOOSE(CONTROL!$C$38, 0.0347, 0)</f>
        <v>36.4587</v>
      </c>
      <c r="E470" s="46">
        <f>38.3465 * CHOOSE(CONTROL!$C$15, $E$9, 100%, $G$9) + CHOOSE(CONTROL!$C$38, 0.0347, 0)</f>
        <v>38.3812</v>
      </c>
      <c r="F470" s="45">
        <f>38.3465 * CHOOSE(CONTROL!$C$15, $E$9, 100%, $G$9) + CHOOSE(CONTROL!$C$38, 0.0256, 0)</f>
        <v>38.372099999999996</v>
      </c>
      <c r="G470" s="14">
        <f>36.4302 * CHOOSE(CONTROL!$C$15, $E$9, 100%, $G$9) + CHOOSE(CONTROL!$C$38, 0.0347, 0)</f>
        <v>36.4649</v>
      </c>
      <c r="H470" s="14">
        <f>36.4302 * CHOOSE(CONTROL!$C$15, $E$9, 100%, $G$9) + CHOOSE(CONTROL!$C$38, 0.0347, 0)</f>
        <v>36.4649</v>
      </c>
      <c r="I470" s="14">
        <f>36.4318 * CHOOSE(CONTROL!$C$15, $E$9, 100%, $G$9) + CHOOSE(CONTROL!$C$38, 0.0347, 0)</f>
        <v>36.466500000000003</v>
      </c>
      <c r="J470" s="44">
        <f>267.3555</f>
        <v>267.35550000000001</v>
      </c>
    </row>
    <row r="471" spans="1:10" ht="15.75" x14ac:dyDescent="0.25">
      <c r="A471" s="33">
        <v>55273</v>
      </c>
      <c r="B471" s="14">
        <f>37.7305 * CHOOSE(CONTROL!$C$15, $E$9, 100%, $G$9) + CHOOSE(CONTROL!$C$38, 0.0256, 0)</f>
        <v>37.756099999999996</v>
      </c>
      <c r="C471" s="14">
        <f>35.6595 * CHOOSE(CONTROL!$C$15, $E$9, 100%, $G$9) + CHOOSE(CONTROL!$C$38, 0.0347, 0)</f>
        <v>35.694200000000002</v>
      </c>
      <c r="D471" s="14">
        <f>35.6517 * CHOOSE(CONTROL!$C$15, $E$9, 100%, $G$9) + CHOOSE(CONTROL!$C$38, 0.0347, 0)</f>
        <v>35.686399999999999</v>
      </c>
      <c r="E471" s="46">
        <f>37.5742 * CHOOSE(CONTROL!$C$15, $E$9, 100%, $G$9) + CHOOSE(CONTROL!$C$38, 0.0347, 0)</f>
        <v>37.608899999999998</v>
      </c>
      <c r="F471" s="45">
        <f>37.5742 * CHOOSE(CONTROL!$C$15, $E$9, 100%, $G$9) + CHOOSE(CONTROL!$C$38, 0.0256, 0)</f>
        <v>37.599799999999995</v>
      </c>
      <c r="G471" s="14">
        <f>35.6579 * CHOOSE(CONTROL!$C$15, $E$9, 100%, $G$9) + CHOOSE(CONTROL!$C$38, 0.0347, 0)</f>
        <v>35.692599999999999</v>
      </c>
      <c r="H471" s="14">
        <f>35.6579 * CHOOSE(CONTROL!$C$15, $E$9, 100%, $G$9) + CHOOSE(CONTROL!$C$38, 0.0347, 0)</f>
        <v>35.692599999999999</v>
      </c>
      <c r="I471" s="14">
        <f>35.6595 * CHOOSE(CONTROL!$C$15, $E$9, 100%, $G$9) + CHOOSE(CONTROL!$C$38, 0.0347, 0)</f>
        <v>35.694200000000002</v>
      </c>
      <c r="J471" s="44">
        <f>284.7135</f>
        <v>284.71350000000001</v>
      </c>
    </row>
    <row r="472" spans="1:10" ht="15.75" x14ac:dyDescent="0.25">
      <c r="A472" s="33">
        <v>55304</v>
      </c>
      <c r="B472" s="14">
        <f>36.9255 * CHOOSE(CONTROL!$C$15, $E$9, 100%, $G$9) + CHOOSE(CONTROL!$C$38, 0.0278, 0)</f>
        <v>36.953299999999999</v>
      </c>
      <c r="C472" s="14">
        <f>34.8545 * CHOOSE(CONTROL!$C$15, $E$9, 100%, $G$9) + CHOOSE(CONTROL!$C$38, 0.0369, 0)</f>
        <v>34.891400000000004</v>
      </c>
      <c r="D472" s="14">
        <f>34.8467 * CHOOSE(CONTROL!$C$15, $E$9, 100%, $G$9) + CHOOSE(CONTROL!$C$38, 0.0369, 0)</f>
        <v>34.883600000000001</v>
      </c>
      <c r="E472" s="46">
        <f>36.7692 * CHOOSE(CONTROL!$C$15, $E$9, 100%, $G$9) + CHOOSE(CONTROL!$C$38, 0.0369, 0)</f>
        <v>36.806100000000001</v>
      </c>
      <c r="F472" s="45">
        <f>36.7692 * CHOOSE(CONTROL!$C$15, $E$9, 100%, $G$9) + CHOOSE(CONTROL!$C$38, 0.0278, 0)</f>
        <v>36.796999999999997</v>
      </c>
      <c r="G472" s="14">
        <f>34.853 * CHOOSE(CONTROL!$C$15, $E$9, 100%, $G$9) + CHOOSE(CONTROL!$C$38, 0.0369, 0)</f>
        <v>34.889900000000004</v>
      </c>
      <c r="H472" s="14">
        <f>34.853 * CHOOSE(CONTROL!$C$15, $E$9, 100%, $G$9) + CHOOSE(CONTROL!$C$38, 0.0369, 0)</f>
        <v>34.889900000000004</v>
      </c>
      <c r="I472" s="14">
        <f>34.8545 * CHOOSE(CONTROL!$C$15, $E$9, 100%, $G$9) + CHOOSE(CONTROL!$C$38, 0.0369, 0)</f>
        <v>34.891400000000004</v>
      </c>
      <c r="J472" s="44">
        <f>294.2679</f>
        <v>294.2679</v>
      </c>
    </row>
    <row r="473" spans="1:10" ht="15.75" x14ac:dyDescent="0.25">
      <c r="A473" s="33">
        <v>55334</v>
      </c>
      <c r="B473" s="14">
        <f>36.3612 * CHOOSE(CONTROL!$C$15, $E$9, 100%, $G$9) + CHOOSE(CONTROL!$C$38, 0.0278, 0)</f>
        <v>36.388999999999996</v>
      </c>
      <c r="C473" s="14">
        <f>34.2902 * CHOOSE(CONTROL!$C$15, $E$9, 100%, $G$9) + CHOOSE(CONTROL!$C$38, 0.0369, 0)</f>
        <v>34.327100000000002</v>
      </c>
      <c r="D473" s="14">
        <f>34.2824 * CHOOSE(CONTROL!$C$15, $E$9, 100%, $G$9) + CHOOSE(CONTROL!$C$38, 0.0369, 0)</f>
        <v>34.319300000000005</v>
      </c>
      <c r="E473" s="46">
        <f>36.2049 * CHOOSE(CONTROL!$C$15, $E$9, 100%, $G$9) + CHOOSE(CONTROL!$C$38, 0.0369, 0)</f>
        <v>36.241800000000005</v>
      </c>
      <c r="F473" s="45">
        <f>36.2049 * CHOOSE(CONTROL!$C$15, $E$9, 100%, $G$9) + CHOOSE(CONTROL!$C$38, 0.0278, 0)</f>
        <v>36.232700000000001</v>
      </c>
      <c r="G473" s="14">
        <f>34.2886 * CHOOSE(CONTROL!$C$15, $E$9, 100%, $G$9) + CHOOSE(CONTROL!$C$38, 0.0369, 0)</f>
        <v>34.325500000000005</v>
      </c>
      <c r="H473" s="14">
        <f>34.2886 * CHOOSE(CONTROL!$C$15, $E$9, 100%, $G$9) + CHOOSE(CONTROL!$C$38, 0.0369, 0)</f>
        <v>34.325500000000005</v>
      </c>
      <c r="I473" s="14">
        <f>34.2902 * CHOOSE(CONTROL!$C$15, $E$9, 100%, $G$9) + CHOOSE(CONTROL!$C$38, 0.0369, 0)</f>
        <v>34.327100000000002</v>
      </c>
      <c r="J473" s="44">
        <f>298.508</f>
        <v>298.50799999999998</v>
      </c>
    </row>
    <row r="474" spans="1:10" ht="15.75" x14ac:dyDescent="0.25">
      <c r="A474" s="33">
        <v>55365</v>
      </c>
      <c r="B474" s="14">
        <f>36.0391 * CHOOSE(CONTROL!$C$15, $E$9, 100%, $G$9) + CHOOSE(CONTROL!$C$38, 0.0278, 0)</f>
        <v>36.066899999999997</v>
      </c>
      <c r="C474" s="14">
        <f>33.9681 * CHOOSE(CONTROL!$C$15, $E$9, 100%, $G$9) + CHOOSE(CONTROL!$C$38, 0.0369, 0)</f>
        <v>34.005000000000003</v>
      </c>
      <c r="D474" s="14">
        <f>33.9603 * CHOOSE(CONTROL!$C$15, $E$9, 100%, $G$9) + CHOOSE(CONTROL!$C$38, 0.0369, 0)</f>
        <v>33.997199999999999</v>
      </c>
      <c r="E474" s="46">
        <f>35.8828 * CHOOSE(CONTROL!$C$15, $E$9, 100%, $G$9) + CHOOSE(CONTROL!$C$38, 0.0369, 0)</f>
        <v>35.919700000000006</v>
      </c>
      <c r="F474" s="45">
        <f>35.8828 * CHOOSE(CONTROL!$C$15, $E$9, 100%, $G$9) + CHOOSE(CONTROL!$C$38, 0.0278, 0)</f>
        <v>35.910600000000002</v>
      </c>
      <c r="G474" s="14">
        <f>33.9666 * CHOOSE(CONTROL!$C$15, $E$9, 100%, $G$9) + CHOOSE(CONTROL!$C$38, 0.0369, 0)</f>
        <v>34.003500000000003</v>
      </c>
      <c r="H474" s="14">
        <f>33.9666 * CHOOSE(CONTROL!$C$15, $E$9, 100%, $G$9) + CHOOSE(CONTROL!$C$38, 0.0369, 0)</f>
        <v>34.003500000000003</v>
      </c>
      <c r="I474" s="14">
        <f>33.9681 * CHOOSE(CONTROL!$C$15, $E$9, 100%, $G$9) + CHOOSE(CONTROL!$C$38, 0.0369, 0)</f>
        <v>34.005000000000003</v>
      </c>
      <c r="J474" s="44">
        <f>297.112</f>
        <v>297.11200000000002</v>
      </c>
    </row>
    <row r="475" spans="1:10" ht="15.75" x14ac:dyDescent="0.25">
      <c r="A475" s="33">
        <v>55396</v>
      </c>
      <c r="B475" s="14">
        <f>36.198 * CHOOSE(CONTROL!$C$15, $E$9, 100%, $G$9) + CHOOSE(CONTROL!$C$38, 0.0278, 0)</f>
        <v>36.2258</v>
      </c>
      <c r="C475" s="14">
        <f>34.1271 * CHOOSE(CONTROL!$C$15, $E$9, 100%, $G$9) + CHOOSE(CONTROL!$C$38, 0.0369, 0)</f>
        <v>34.164000000000001</v>
      </c>
      <c r="D475" s="14">
        <f>34.1193 * CHOOSE(CONTROL!$C$15, $E$9, 100%, $G$9) + CHOOSE(CONTROL!$C$38, 0.0369, 0)</f>
        <v>34.156200000000005</v>
      </c>
      <c r="E475" s="46">
        <f>36.0418 * CHOOSE(CONTROL!$C$15, $E$9, 100%, $G$9) + CHOOSE(CONTROL!$C$38, 0.0369, 0)</f>
        <v>36.078700000000005</v>
      </c>
      <c r="F475" s="45">
        <f>36.0418 * CHOOSE(CONTROL!$C$15, $E$9, 100%, $G$9) + CHOOSE(CONTROL!$C$38, 0.0278, 0)</f>
        <v>36.069600000000001</v>
      </c>
      <c r="G475" s="14">
        <f>34.1255 * CHOOSE(CONTROL!$C$15, $E$9, 100%, $G$9) + CHOOSE(CONTROL!$C$38, 0.0369, 0)</f>
        <v>34.162400000000005</v>
      </c>
      <c r="H475" s="14">
        <f>34.1255 * CHOOSE(CONTROL!$C$15, $E$9, 100%, $G$9) + CHOOSE(CONTROL!$C$38, 0.0369, 0)</f>
        <v>34.162400000000005</v>
      </c>
      <c r="I475" s="14">
        <f>34.1271 * CHOOSE(CONTROL!$C$15, $E$9, 100%, $G$9) + CHOOSE(CONTROL!$C$38, 0.0369, 0)</f>
        <v>34.164000000000001</v>
      </c>
      <c r="J475" s="44">
        <f>290.1954</f>
        <v>290.19540000000001</v>
      </c>
    </row>
    <row r="476" spans="1:10" ht="15.75" x14ac:dyDescent="0.25">
      <c r="A476" s="33">
        <v>55426</v>
      </c>
      <c r="B476" s="14">
        <f>36.6298 * CHOOSE(CONTROL!$C$15, $E$9, 100%, $G$9) + CHOOSE(CONTROL!$C$38, 0.0278, 0)</f>
        <v>36.657600000000002</v>
      </c>
      <c r="C476" s="14">
        <f>34.5588 * CHOOSE(CONTROL!$C$15, $E$9, 100%, $G$9) + CHOOSE(CONTROL!$C$38, 0.0369, 0)</f>
        <v>34.595700000000001</v>
      </c>
      <c r="D476" s="14">
        <f>34.551 * CHOOSE(CONTROL!$C$15, $E$9, 100%, $G$9) + CHOOSE(CONTROL!$C$38, 0.0369, 0)</f>
        <v>34.587900000000005</v>
      </c>
      <c r="E476" s="46">
        <f>36.4735 * CHOOSE(CONTROL!$C$15, $E$9, 100%, $G$9) + CHOOSE(CONTROL!$C$38, 0.0369, 0)</f>
        <v>36.510400000000004</v>
      </c>
      <c r="F476" s="45">
        <f>36.4735 * CHOOSE(CONTROL!$C$15, $E$9, 100%, $G$9) + CHOOSE(CONTROL!$C$38, 0.0278, 0)</f>
        <v>36.501300000000001</v>
      </c>
      <c r="G476" s="14">
        <f>34.5572 * CHOOSE(CONTROL!$C$15, $E$9, 100%, $G$9) + CHOOSE(CONTROL!$C$38, 0.0369, 0)</f>
        <v>34.594100000000005</v>
      </c>
      <c r="H476" s="14">
        <f>34.5572 * CHOOSE(CONTROL!$C$15, $E$9, 100%, $G$9) + CHOOSE(CONTROL!$C$38, 0.0369, 0)</f>
        <v>34.594100000000005</v>
      </c>
      <c r="I476" s="14">
        <f>34.5588 * CHOOSE(CONTROL!$C$15, $E$9, 100%, $G$9) + CHOOSE(CONTROL!$C$38, 0.0369, 0)</f>
        <v>34.595700000000001</v>
      </c>
      <c r="J476" s="44">
        <f>280.5498</f>
        <v>280.5498</v>
      </c>
    </row>
    <row r="477" spans="1:10" ht="15.75" x14ac:dyDescent="0.25">
      <c r="A477" s="33">
        <v>55457</v>
      </c>
      <c r="B477" s="14">
        <f>36.9913 * CHOOSE(CONTROL!$C$15, $E$9, 100%, $G$9) + CHOOSE(CONTROL!$C$38, 0.0256, 0)</f>
        <v>37.0169</v>
      </c>
      <c r="C477" s="14">
        <f>34.9204 * CHOOSE(CONTROL!$C$15, $E$9, 100%, $G$9) + CHOOSE(CONTROL!$C$38, 0.0347, 0)</f>
        <v>34.955100000000002</v>
      </c>
      <c r="D477" s="14">
        <f>34.9126 * CHOOSE(CONTROL!$C$15, $E$9, 100%, $G$9) + CHOOSE(CONTROL!$C$38, 0.0347, 0)</f>
        <v>34.947299999999998</v>
      </c>
      <c r="E477" s="46">
        <f>36.8351 * CHOOSE(CONTROL!$C$15, $E$9, 100%, $G$9) + CHOOSE(CONTROL!$C$38, 0.0347, 0)</f>
        <v>36.869799999999998</v>
      </c>
      <c r="F477" s="45">
        <f>36.8351 * CHOOSE(CONTROL!$C$15, $E$9, 100%, $G$9) + CHOOSE(CONTROL!$C$38, 0.0256, 0)</f>
        <v>36.860699999999994</v>
      </c>
      <c r="G477" s="14">
        <f>34.9188 * CHOOSE(CONTROL!$C$15, $E$9, 100%, $G$9) + CHOOSE(CONTROL!$C$38, 0.0347, 0)</f>
        <v>34.953499999999998</v>
      </c>
      <c r="H477" s="14">
        <f>34.9188 * CHOOSE(CONTROL!$C$15, $E$9, 100%, $G$9) + CHOOSE(CONTROL!$C$38, 0.0347, 0)</f>
        <v>34.953499999999998</v>
      </c>
      <c r="I477" s="14">
        <f>34.9204 * CHOOSE(CONTROL!$C$15, $E$9, 100%, $G$9) + CHOOSE(CONTROL!$C$38, 0.0347, 0)</f>
        <v>34.955100000000002</v>
      </c>
      <c r="J477" s="44">
        <f>270.8481</f>
        <v>270.84809999999999</v>
      </c>
    </row>
    <row r="478" spans="1:10" ht="15.75" x14ac:dyDescent="0.25">
      <c r="A478" s="33">
        <v>55487</v>
      </c>
      <c r="B478" s="14">
        <f>37.293 * CHOOSE(CONTROL!$C$15, $E$9, 100%, $G$9) + CHOOSE(CONTROL!$C$38, 0.0256, 0)</f>
        <v>37.318599999999996</v>
      </c>
      <c r="C478" s="14">
        <f>35.2221 * CHOOSE(CONTROL!$C$15, $E$9, 100%, $G$9) + CHOOSE(CONTROL!$C$38, 0.0347, 0)</f>
        <v>35.256799999999998</v>
      </c>
      <c r="D478" s="14">
        <f>35.2143 * CHOOSE(CONTROL!$C$15, $E$9, 100%, $G$9) + CHOOSE(CONTROL!$C$38, 0.0347, 0)</f>
        <v>35.249000000000002</v>
      </c>
      <c r="E478" s="46">
        <f>37.1368 * CHOOSE(CONTROL!$C$15, $E$9, 100%, $G$9) + CHOOSE(CONTROL!$C$38, 0.0347, 0)</f>
        <v>37.171500000000002</v>
      </c>
      <c r="F478" s="45">
        <f>37.1368 * CHOOSE(CONTROL!$C$15, $E$9, 100%, $G$9) + CHOOSE(CONTROL!$C$38, 0.0256, 0)</f>
        <v>37.162399999999998</v>
      </c>
      <c r="G478" s="14">
        <f>35.2205 * CHOOSE(CONTROL!$C$15, $E$9, 100%, $G$9) + CHOOSE(CONTROL!$C$38, 0.0347, 0)</f>
        <v>35.255200000000002</v>
      </c>
      <c r="H478" s="14">
        <f>35.2205 * CHOOSE(CONTROL!$C$15, $E$9, 100%, $G$9) + CHOOSE(CONTROL!$C$38, 0.0347, 0)</f>
        <v>35.255200000000002</v>
      </c>
      <c r="I478" s="14">
        <f>35.2221 * CHOOSE(CONTROL!$C$15, $E$9, 100%, $G$9) + CHOOSE(CONTROL!$C$38, 0.0347, 0)</f>
        <v>35.256799999999998</v>
      </c>
      <c r="J478" s="44">
        <f>268.9182</f>
        <v>268.91820000000001</v>
      </c>
    </row>
    <row r="479" spans="1:10" ht="15.75" x14ac:dyDescent="0.25">
      <c r="A479" s="33">
        <v>55518</v>
      </c>
      <c r="B479" s="14">
        <f>38.2227 * CHOOSE(CONTROL!$C$15, $E$9, 100%, $G$9) + CHOOSE(CONTROL!$C$38, 0.0256, 0)</f>
        <v>38.2483</v>
      </c>
      <c r="C479" s="14">
        <f>36.1517 * CHOOSE(CONTROL!$C$15, $E$9, 100%, $G$9) + CHOOSE(CONTROL!$C$38, 0.0347, 0)</f>
        <v>36.186399999999999</v>
      </c>
      <c r="D479" s="14">
        <f>36.1439 * CHOOSE(CONTROL!$C$15, $E$9, 100%, $G$9) + CHOOSE(CONTROL!$C$38, 0.0347, 0)</f>
        <v>36.178600000000003</v>
      </c>
      <c r="E479" s="46">
        <f>38.0664 * CHOOSE(CONTROL!$C$15, $E$9, 100%, $G$9) + CHOOSE(CONTROL!$C$38, 0.0347, 0)</f>
        <v>38.101100000000002</v>
      </c>
      <c r="F479" s="45">
        <f>38.0664 * CHOOSE(CONTROL!$C$15, $E$9, 100%, $G$9) + CHOOSE(CONTROL!$C$38, 0.0256, 0)</f>
        <v>38.091999999999999</v>
      </c>
      <c r="G479" s="14">
        <f>36.1502 * CHOOSE(CONTROL!$C$15, $E$9, 100%, $G$9) + CHOOSE(CONTROL!$C$38, 0.0347, 0)</f>
        <v>36.184899999999999</v>
      </c>
      <c r="H479" s="14">
        <f>36.1502 * CHOOSE(CONTROL!$C$15, $E$9, 100%, $G$9) + CHOOSE(CONTROL!$C$38, 0.0347, 0)</f>
        <v>36.184899999999999</v>
      </c>
      <c r="I479" s="14">
        <f>36.1517 * CHOOSE(CONTROL!$C$15, $E$9, 100%, $G$9) + CHOOSE(CONTROL!$C$38, 0.0347, 0)</f>
        <v>36.186399999999999</v>
      </c>
      <c r="J479" s="44">
        <f>260.938</f>
        <v>260.93799999999999</v>
      </c>
    </row>
    <row r="480" spans="1:10" ht="15.75" x14ac:dyDescent="0.25">
      <c r="A480" s="33">
        <v>55549</v>
      </c>
      <c r="B480" s="14">
        <f>39.5739 * CHOOSE(CONTROL!$C$15, $E$9, 100%, $G$9) + CHOOSE(CONTROL!$C$38, 0.0256, 0)</f>
        <v>39.599499999999999</v>
      </c>
      <c r="C480" s="14">
        <f>37.4708 * CHOOSE(CONTROL!$C$15, $E$9, 100%, $G$9) + CHOOSE(CONTROL!$C$38, 0.0347, 0)</f>
        <v>37.505499999999998</v>
      </c>
      <c r="D480" s="14">
        <f>37.463 * CHOOSE(CONTROL!$C$15, $E$9, 100%, $G$9) + CHOOSE(CONTROL!$C$38, 0.0347, 0)</f>
        <v>37.497700000000002</v>
      </c>
      <c r="E480" s="46">
        <f>39.4177 * CHOOSE(CONTROL!$C$15, $E$9, 100%, $G$9) + CHOOSE(CONTROL!$C$38, 0.0347, 0)</f>
        <v>39.452400000000004</v>
      </c>
      <c r="F480" s="45">
        <f>39.4177 * CHOOSE(CONTROL!$C$15, $E$9, 100%, $G$9) + CHOOSE(CONTROL!$C$38, 0.0256, 0)</f>
        <v>39.443300000000001</v>
      </c>
      <c r="G480" s="14">
        <f>37.4692 * CHOOSE(CONTROL!$C$15, $E$9, 100%, $G$9) + CHOOSE(CONTROL!$C$38, 0.0347, 0)</f>
        <v>37.503900000000002</v>
      </c>
      <c r="H480" s="14">
        <f>37.4692 * CHOOSE(CONTROL!$C$15, $E$9, 100%, $G$9) + CHOOSE(CONTROL!$C$38, 0.0347, 0)</f>
        <v>37.503900000000002</v>
      </c>
      <c r="I480" s="14">
        <f>37.4708 * CHOOSE(CONTROL!$C$15, $E$9, 100%, $G$9) + CHOOSE(CONTROL!$C$38, 0.0347, 0)</f>
        <v>37.505499999999998</v>
      </c>
      <c r="J480" s="44">
        <f>260.7496</f>
        <v>260.74959999999999</v>
      </c>
    </row>
    <row r="481" spans="1:10" ht="15.75" x14ac:dyDescent="0.25">
      <c r="A481" s="33">
        <v>55577</v>
      </c>
      <c r="B481" s="14">
        <f>39.9182 * CHOOSE(CONTROL!$C$15, $E$9, 100%, $G$9) + CHOOSE(CONTROL!$C$38, 0.0256, 0)</f>
        <v>39.943799999999996</v>
      </c>
      <c r="C481" s="14">
        <f>37.8151 * CHOOSE(CONTROL!$C$15, $E$9, 100%, $G$9) + CHOOSE(CONTROL!$C$38, 0.0347, 0)</f>
        <v>37.849800000000002</v>
      </c>
      <c r="D481" s="14">
        <f>37.8073 * CHOOSE(CONTROL!$C$15, $E$9, 100%, $G$9) + CHOOSE(CONTROL!$C$38, 0.0347, 0)</f>
        <v>37.841999999999999</v>
      </c>
      <c r="E481" s="46">
        <f>39.762 * CHOOSE(CONTROL!$C$15, $E$9, 100%, $G$9) + CHOOSE(CONTROL!$C$38, 0.0347, 0)</f>
        <v>39.796700000000001</v>
      </c>
      <c r="F481" s="45">
        <f>39.762 * CHOOSE(CONTROL!$C$15, $E$9, 100%, $G$9) + CHOOSE(CONTROL!$C$38, 0.0256, 0)</f>
        <v>39.787599999999998</v>
      </c>
      <c r="G481" s="14">
        <f>37.8135 * CHOOSE(CONTROL!$C$15, $E$9, 100%, $G$9) + CHOOSE(CONTROL!$C$38, 0.0347, 0)</f>
        <v>37.848199999999999</v>
      </c>
      <c r="H481" s="14">
        <f>37.8135 * CHOOSE(CONTROL!$C$15, $E$9, 100%, $G$9) + CHOOSE(CONTROL!$C$38, 0.0347, 0)</f>
        <v>37.848199999999999</v>
      </c>
      <c r="I481" s="14">
        <f>37.8151 * CHOOSE(CONTROL!$C$15, $E$9, 100%, $G$9) + CHOOSE(CONTROL!$C$38, 0.0347, 0)</f>
        <v>37.849800000000002</v>
      </c>
      <c r="J481" s="44">
        <f>260.0248</f>
        <v>260.02480000000003</v>
      </c>
    </row>
    <row r="482" spans="1:10" ht="15.75" x14ac:dyDescent="0.25">
      <c r="A482" s="33">
        <v>55609</v>
      </c>
      <c r="B482" s="14">
        <f>39.1212 * CHOOSE(CONTROL!$C$15, $E$9, 100%, $G$9) + CHOOSE(CONTROL!$C$38, 0.0256, 0)</f>
        <v>39.146799999999999</v>
      </c>
      <c r="C482" s="14">
        <f>37.0181 * CHOOSE(CONTROL!$C$15, $E$9, 100%, $G$9) + CHOOSE(CONTROL!$C$38, 0.0347, 0)</f>
        <v>37.052799999999998</v>
      </c>
      <c r="D482" s="14">
        <f>37.0103 * CHOOSE(CONTROL!$C$15, $E$9, 100%, $G$9) + CHOOSE(CONTROL!$C$38, 0.0347, 0)</f>
        <v>37.045000000000002</v>
      </c>
      <c r="E482" s="46">
        <f>38.9649 * CHOOSE(CONTROL!$C$15, $E$9, 100%, $G$9) + CHOOSE(CONTROL!$C$38, 0.0347, 0)</f>
        <v>38.999600000000001</v>
      </c>
      <c r="F482" s="45">
        <f>38.9649 * CHOOSE(CONTROL!$C$15, $E$9, 100%, $G$9) + CHOOSE(CONTROL!$C$38, 0.0256, 0)</f>
        <v>38.990499999999997</v>
      </c>
      <c r="G482" s="14">
        <f>37.0165 * CHOOSE(CONTROL!$C$15, $E$9, 100%, $G$9) + CHOOSE(CONTROL!$C$38, 0.0347, 0)</f>
        <v>37.051200000000001</v>
      </c>
      <c r="H482" s="14">
        <f>37.0165 * CHOOSE(CONTROL!$C$15, $E$9, 100%, $G$9) + CHOOSE(CONTROL!$C$38, 0.0347, 0)</f>
        <v>37.051200000000001</v>
      </c>
      <c r="I482" s="14">
        <f>37.0181 * CHOOSE(CONTROL!$C$15, $E$9, 100%, $G$9) + CHOOSE(CONTROL!$C$38, 0.0347, 0)</f>
        <v>37.052799999999998</v>
      </c>
      <c r="J482" s="44">
        <f>273.7297</f>
        <v>273.72969999999998</v>
      </c>
    </row>
    <row r="483" spans="1:10" ht="15.75" x14ac:dyDescent="0.25">
      <c r="A483" s="33">
        <v>55639</v>
      </c>
      <c r="B483" s="14">
        <f>38.3489 * CHOOSE(CONTROL!$C$15, $E$9, 100%, $G$9) + CHOOSE(CONTROL!$C$38, 0.0256, 0)</f>
        <v>38.374499999999998</v>
      </c>
      <c r="C483" s="14">
        <f>36.2458 * CHOOSE(CONTROL!$C$15, $E$9, 100%, $G$9) + CHOOSE(CONTROL!$C$38, 0.0347, 0)</f>
        <v>36.280500000000004</v>
      </c>
      <c r="D483" s="14">
        <f>36.238 * CHOOSE(CONTROL!$C$15, $E$9, 100%, $G$9) + CHOOSE(CONTROL!$C$38, 0.0347, 0)</f>
        <v>36.2727</v>
      </c>
      <c r="E483" s="46">
        <f>38.1926 * CHOOSE(CONTROL!$C$15, $E$9, 100%, $G$9) + CHOOSE(CONTROL!$C$38, 0.0347, 0)</f>
        <v>38.2273</v>
      </c>
      <c r="F483" s="45">
        <f>38.1926 * CHOOSE(CONTROL!$C$15, $E$9, 100%, $G$9) + CHOOSE(CONTROL!$C$38, 0.0256, 0)</f>
        <v>38.218199999999996</v>
      </c>
      <c r="G483" s="14">
        <f>36.2442 * CHOOSE(CONTROL!$C$15, $E$9, 100%, $G$9) + CHOOSE(CONTROL!$C$38, 0.0347, 0)</f>
        <v>36.2789</v>
      </c>
      <c r="H483" s="14">
        <f>36.2442 * CHOOSE(CONTROL!$C$15, $E$9, 100%, $G$9) + CHOOSE(CONTROL!$C$38, 0.0347, 0)</f>
        <v>36.2789</v>
      </c>
      <c r="I483" s="14">
        <f>36.2458 * CHOOSE(CONTROL!$C$15, $E$9, 100%, $G$9) + CHOOSE(CONTROL!$C$38, 0.0347, 0)</f>
        <v>36.280500000000004</v>
      </c>
      <c r="J483" s="44">
        <f>291.5015</f>
        <v>291.50150000000002</v>
      </c>
    </row>
    <row r="484" spans="1:10" ht="15.75" x14ac:dyDescent="0.25">
      <c r="A484" s="33">
        <v>55670</v>
      </c>
      <c r="B484" s="14">
        <f>37.5439 * CHOOSE(CONTROL!$C$15, $E$9, 100%, $G$9) + CHOOSE(CONTROL!$C$38, 0.0278, 0)</f>
        <v>37.5717</v>
      </c>
      <c r="C484" s="14">
        <f>35.4408 * CHOOSE(CONTROL!$C$15, $E$9, 100%, $G$9) + CHOOSE(CONTROL!$C$38, 0.0369, 0)</f>
        <v>35.477700000000006</v>
      </c>
      <c r="D484" s="14">
        <f>35.433 * CHOOSE(CONTROL!$C$15, $E$9, 100%, $G$9) + CHOOSE(CONTROL!$C$38, 0.0369, 0)</f>
        <v>35.469900000000003</v>
      </c>
      <c r="E484" s="46">
        <f>37.3877 * CHOOSE(CONTROL!$C$15, $E$9, 100%, $G$9) + CHOOSE(CONTROL!$C$38, 0.0369, 0)</f>
        <v>37.424600000000005</v>
      </c>
      <c r="F484" s="45">
        <f>37.3877 * CHOOSE(CONTROL!$C$15, $E$9, 100%, $G$9) + CHOOSE(CONTROL!$C$38, 0.0278, 0)</f>
        <v>37.415500000000002</v>
      </c>
      <c r="G484" s="14">
        <f>35.4392 * CHOOSE(CONTROL!$C$15, $E$9, 100%, $G$9) + CHOOSE(CONTROL!$C$38, 0.0369, 0)</f>
        <v>35.476100000000002</v>
      </c>
      <c r="H484" s="14">
        <f>35.4392 * CHOOSE(CONTROL!$C$15, $E$9, 100%, $G$9) + CHOOSE(CONTROL!$C$38, 0.0369, 0)</f>
        <v>35.476100000000002</v>
      </c>
      <c r="I484" s="14">
        <f>35.4408 * CHOOSE(CONTROL!$C$15, $E$9, 100%, $G$9) + CHOOSE(CONTROL!$C$38, 0.0369, 0)</f>
        <v>35.477700000000006</v>
      </c>
      <c r="J484" s="44">
        <f>301.2837</f>
        <v>301.28370000000001</v>
      </c>
    </row>
    <row r="485" spans="1:10" ht="15.75" x14ac:dyDescent="0.25">
      <c r="A485" s="33">
        <v>55700</v>
      </c>
      <c r="B485" s="14">
        <f>36.9796 * CHOOSE(CONTROL!$C$15, $E$9, 100%, $G$9) + CHOOSE(CONTROL!$C$38, 0.0278, 0)</f>
        <v>37.007399999999997</v>
      </c>
      <c r="C485" s="14">
        <f>34.8765 * CHOOSE(CONTROL!$C$15, $E$9, 100%, $G$9) + CHOOSE(CONTROL!$C$38, 0.0369, 0)</f>
        <v>34.913400000000003</v>
      </c>
      <c r="D485" s="14">
        <f>34.8687 * CHOOSE(CONTROL!$C$15, $E$9, 100%, $G$9) + CHOOSE(CONTROL!$C$38, 0.0369, 0)</f>
        <v>34.9056</v>
      </c>
      <c r="E485" s="46">
        <f>36.8233 * CHOOSE(CONTROL!$C$15, $E$9, 100%, $G$9) + CHOOSE(CONTROL!$C$38, 0.0369, 0)</f>
        <v>36.860200000000006</v>
      </c>
      <c r="F485" s="45">
        <f>36.8233 * CHOOSE(CONTROL!$C$15, $E$9, 100%, $G$9) + CHOOSE(CONTROL!$C$38, 0.0278, 0)</f>
        <v>36.851100000000002</v>
      </c>
      <c r="G485" s="14">
        <f>34.8749 * CHOOSE(CONTROL!$C$15, $E$9, 100%, $G$9) + CHOOSE(CONTROL!$C$38, 0.0369, 0)</f>
        <v>34.911799999999999</v>
      </c>
      <c r="H485" s="14">
        <f>34.8749 * CHOOSE(CONTROL!$C$15, $E$9, 100%, $G$9) + CHOOSE(CONTROL!$C$38, 0.0369, 0)</f>
        <v>34.911799999999999</v>
      </c>
      <c r="I485" s="14">
        <f>34.8765 * CHOOSE(CONTROL!$C$15, $E$9, 100%, $G$9) + CHOOSE(CONTROL!$C$38, 0.0369, 0)</f>
        <v>34.913400000000003</v>
      </c>
      <c r="J485" s="44">
        <f>305.6249</f>
        <v>305.62490000000003</v>
      </c>
    </row>
    <row r="486" spans="1:10" ht="15.75" x14ac:dyDescent="0.25">
      <c r="A486" s="33">
        <v>55731</v>
      </c>
      <c r="B486" s="14">
        <f>36.6575 * CHOOSE(CONTROL!$C$15, $E$9, 100%, $G$9) + CHOOSE(CONTROL!$C$38, 0.0278, 0)</f>
        <v>36.685299999999998</v>
      </c>
      <c r="C486" s="14">
        <f>34.5544 * CHOOSE(CONTROL!$C$15, $E$9, 100%, $G$9) + CHOOSE(CONTROL!$C$38, 0.0369, 0)</f>
        <v>34.591300000000004</v>
      </c>
      <c r="D486" s="14">
        <f>34.5466 * CHOOSE(CONTROL!$C$15, $E$9, 100%, $G$9) + CHOOSE(CONTROL!$C$38, 0.0369, 0)</f>
        <v>34.583500000000001</v>
      </c>
      <c r="E486" s="46">
        <f>36.5013 * CHOOSE(CONTROL!$C$15, $E$9, 100%, $G$9) + CHOOSE(CONTROL!$C$38, 0.0369, 0)</f>
        <v>36.538200000000003</v>
      </c>
      <c r="F486" s="45">
        <f>36.5013 * CHOOSE(CONTROL!$C$15, $E$9, 100%, $G$9) + CHOOSE(CONTROL!$C$38, 0.0278, 0)</f>
        <v>36.5291</v>
      </c>
      <c r="G486" s="14">
        <f>34.5528 * CHOOSE(CONTROL!$C$15, $E$9, 100%, $G$9) + CHOOSE(CONTROL!$C$38, 0.0369, 0)</f>
        <v>34.589700000000001</v>
      </c>
      <c r="H486" s="14">
        <f>34.5528 * CHOOSE(CONTROL!$C$15, $E$9, 100%, $G$9) + CHOOSE(CONTROL!$C$38, 0.0369, 0)</f>
        <v>34.589700000000001</v>
      </c>
      <c r="I486" s="14">
        <f>34.5544 * CHOOSE(CONTROL!$C$15, $E$9, 100%, $G$9) + CHOOSE(CONTROL!$C$38, 0.0369, 0)</f>
        <v>34.591300000000004</v>
      </c>
      <c r="J486" s="44">
        <f>304.1956</f>
        <v>304.19560000000001</v>
      </c>
    </row>
    <row r="487" spans="1:10" ht="15.75" x14ac:dyDescent="0.25">
      <c r="A487" s="33">
        <v>55762</v>
      </c>
      <c r="B487" s="14">
        <f>36.8165 * CHOOSE(CONTROL!$C$15, $E$9, 100%, $G$9) + CHOOSE(CONTROL!$C$38, 0.0278, 0)</f>
        <v>36.844299999999997</v>
      </c>
      <c r="C487" s="14">
        <f>34.7134 * CHOOSE(CONTROL!$C$15, $E$9, 100%, $G$9) + CHOOSE(CONTROL!$C$38, 0.0369, 0)</f>
        <v>34.750300000000003</v>
      </c>
      <c r="D487" s="14">
        <f>34.7055 * CHOOSE(CONTROL!$C$15, $E$9, 100%, $G$9) + CHOOSE(CONTROL!$C$38, 0.0369, 0)</f>
        <v>34.742400000000004</v>
      </c>
      <c r="E487" s="46">
        <f>36.6602 * CHOOSE(CONTROL!$C$15, $E$9, 100%, $G$9) + CHOOSE(CONTROL!$C$38, 0.0369, 0)</f>
        <v>36.697100000000006</v>
      </c>
      <c r="F487" s="45">
        <f>36.6602 * CHOOSE(CONTROL!$C$15, $E$9, 100%, $G$9) + CHOOSE(CONTROL!$C$38, 0.0278, 0)</f>
        <v>36.688000000000002</v>
      </c>
      <c r="G487" s="14">
        <f>34.7118 * CHOOSE(CONTROL!$C$15, $E$9, 100%, $G$9) + CHOOSE(CONTROL!$C$38, 0.0369, 0)</f>
        <v>34.748699999999999</v>
      </c>
      <c r="H487" s="14">
        <f>34.7118 * CHOOSE(CONTROL!$C$15, $E$9, 100%, $G$9) + CHOOSE(CONTROL!$C$38, 0.0369, 0)</f>
        <v>34.748699999999999</v>
      </c>
      <c r="I487" s="14">
        <f>34.7134 * CHOOSE(CONTROL!$C$15, $E$9, 100%, $G$9) + CHOOSE(CONTROL!$C$38, 0.0369, 0)</f>
        <v>34.750300000000003</v>
      </c>
      <c r="J487" s="44">
        <f>297.114</f>
        <v>297.11399999999998</v>
      </c>
    </row>
    <row r="488" spans="1:10" ht="15.75" x14ac:dyDescent="0.25">
      <c r="A488" s="33">
        <v>55792</v>
      </c>
      <c r="B488" s="14">
        <f>37.2482 * CHOOSE(CONTROL!$C$15, $E$9, 100%, $G$9) + CHOOSE(CONTROL!$C$38, 0.0278, 0)</f>
        <v>37.275999999999996</v>
      </c>
      <c r="C488" s="14">
        <f>35.1451 * CHOOSE(CONTROL!$C$15, $E$9, 100%, $G$9) + CHOOSE(CONTROL!$C$38, 0.0369, 0)</f>
        <v>35.182000000000002</v>
      </c>
      <c r="D488" s="14">
        <f>35.1373 * CHOOSE(CONTROL!$C$15, $E$9, 100%, $G$9) + CHOOSE(CONTROL!$C$38, 0.0369, 0)</f>
        <v>35.174200000000006</v>
      </c>
      <c r="E488" s="46">
        <f>37.0919 * CHOOSE(CONTROL!$C$15, $E$9, 100%, $G$9) + CHOOSE(CONTROL!$C$38, 0.0369, 0)</f>
        <v>37.128800000000005</v>
      </c>
      <c r="F488" s="45">
        <f>37.0919 * CHOOSE(CONTROL!$C$15, $E$9, 100%, $G$9) + CHOOSE(CONTROL!$C$38, 0.0278, 0)</f>
        <v>37.119700000000002</v>
      </c>
      <c r="G488" s="14">
        <f>35.1435 * CHOOSE(CONTROL!$C$15, $E$9, 100%, $G$9) + CHOOSE(CONTROL!$C$38, 0.0369, 0)</f>
        <v>35.180400000000006</v>
      </c>
      <c r="H488" s="14">
        <f>35.1435 * CHOOSE(CONTROL!$C$15, $E$9, 100%, $G$9) + CHOOSE(CONTROL!$C$38, 0.0369, 0)</f>
        <v>35.180400000000006</v>
      </c>
      <c r="I488" s="14">
        <f>35.1451 * CHOOSE(CONTROL!$C$15, $E$9, 100%, $G$9) + CHOOSE(CONTROL!$C$38, 0.0369, 0)</f>
        <v>35.182000000000002</v>
      </c>
      <c r="J488" s="44">
        <f>287.2385</f>
        <v>287.23849999999999</v>
      </c>
    </row>
    <row r="489" spans="1:10" ht="15.75" x14ac:dyDescent="0.25">
      <c r="A489" s="33">
        <v>55823</v>
      </c>
      <c r="B489" s="14">
        <f>37.6097 * CHOOSE(CONTROL!$C$15, $E$9, 100%, $G$9) + CHOOSE(CONTROL!$C$38, 0.0256, 0)</f>
        <v>37.635299999999994</v>
      </c>
      <c r="C489" s="14">
        <f>35.5066 * CHOOSE(CONTROL!$C$15, $E$9, 100%, $G$9) + CHOOSE(CONTROL!$C$38, 0.0347, 0)</f>
        <v>35.5413</v>
      </c>
      <c r="D489" s="14">
        <f>35.4988 * CHOOSE(CONTROL!$C$15, $E$9, 100%, $G$9) + CHOOSE(CONTROL!$C$38, 0.0347, 0)</f>
        <v>35.533500000000004</v>
      </c>
      <c r="E489" s="46">
        <f>37.4535 * CHOOSE(CONTROL!$C$15, $E$9, 100%, $G$9) + CHOOSE(CONTROL!$C$38, 0.0347, 0)</f>
        <v>37.488199999999999</v>
      </c>
      <c r="F489" s="45">
        <f>37.4535 * CHOOSE(CONTROL!$C$15, $E$9, 100%, $G$9) + CHOOSE(CONTROL!$C$38, 0.0256, 0)</f>
        <v>37.479099999999995</v>
      </c>
      <c r="G489" s="14">
        <f>35.5051 * CHOOSE(CONTROL!$C$15, $E$9, 100%, $G$9) + CHOOSE(CONTROL!$C$38, 0.0347, 0)</f>
        <v>35.5398</v>
      </c>
      <c r="H489" s="14">
        <f>35.5051 * CHOOSE(CONTROL!$C$15, $E$9, 100%, $G$9) + CHOOSE(CONTROL!$C$38, 0.0347, 0)</f>
        <v>35.5398</v>
      </c>
      <c r="I489" s="14">
        <f>35.5066 * CHOOSE(CONTROL!$C$15, $E$9, 100%, $G$9) + CHOOSE(CONTROL!$C$38, 0.0347, 0)</f>
        <v>35.5413</v>
      </c>
      <c r="J489" s="44">
        <f>277.3055</f>
        <v>277.30549999999999</v>
      </c>
    </row>
    <row r="490" spans="1:10" ht="15.75" x14ac:dyDescent="0.25">
      <c r="A490" s="33">
        <v>55853</v>
      </c>
      <c r="B490" s="14">
        <f>37.9114 * CHOOSE(CONTROL!$C$15, $E$9, 100%, $G$9) + CHOOSE(CONTROL!$C$38, 0.0256, 0)</f>
        <v>37.936999999999998</v>
      </c>
      <c r="C490" s="14">
        <f>35.8083 * CHOOSE(CONTROL!$C$15, $E$9, 100%, $G$9) + CHOOSE(CONTROL!$C$38, 0.0347, 0)</f>
        <v>35.843000000000004</v>
      </c>
      <c r="D490" s="14">
        <f>35.8005 * CHOOSE(CONTROL!$C$15, $E$9, 100%, $G$9) + CHOOSE(CONTROL!$C$38, 0.0347, 0)</f>
        <v>35.8352</v>
      </c>
      <c r="E490" s="46">
        <f>37.7552 * CHOOSE(CONTROL!$C$15, $E$9, 100%, $G$9) + CHOOSE(CONTROL!$C$38, 0.0347, 0)</f>
        <v>37.789900000000003</v>
      </c>
      <c r="F490" s="45">
        <f>37.7552 * CHOOSE(CONTROL!$C$15, $E$9, 100%, $G$9) + CHOOSE(CONTROL!$C$38, 0.0256, 0)</f>
        <v>37.780799999999999</v>
      </c>
      <c r="G490" s="14">
        <f>35.8068 * CHOOSE(CONTROL!$C$15, $E$9, 100%, $G$9) + CHOOSE(CONTROL!$C$38, 0.0347, 0)</f>
        <v>35.841500000000003</v>
      </c>
      <c r="H490" s="14">
        <f>35.8068 * CHOOSE(CONTROL!$C$15, $E$9, 100%, $G$9) + CHOOSE(CONTROL!$C$38, 0.0347, 0)</f>
        <v>35.841500000000003</v>
      </c>
      <c r="I490" s="14">
        <f>35.8083 * CHOOSE(CONTROL!$C$15, $E$9, 100%, $G$9) + CHOOSE(CONTROL!$C$38, 0.0347, 0)</f>
        <v>35.843000000000004</v>
      </c>
      <c r="J490" s="44">
        <f>275.3296</f>
        <v>275.32960000000003</v>
      </c>
    </row>
    <row r="491" spans="1:10" ht="15.75" x14ac:dyDescent="0.25">
      <c r="A491" s="33">
        <v>55884</v>
      </c>
      <c r="B491" s="14">
        <f>38.8411 * CHOOSE(CONTROL!$C$15, $E$9, 100%, $G$9) + CHOOSE(CONTROL!$C$38, 0.0256, 0)</f>
        <v>38.866699999999994</v>
      </c>
      <c r="C491" s="14">
        <f>36.738 * CHOOSE(CONTROL!$C$15, $E$9, 100%, $G$9) + CHOOSE(CONTROL!$C$38, 0.0347, 0)</f>
        <v>36.7727</v>
      </c>
      <c r="D491" s="14">
        <f>36.7302 * CHOOSE(CONTROL!$C$15, $E$9, 100%, $G$9) + CHOOSE(CONTROL!$C$38, 0.0347, 0)</f>
        <v>36.764900000000004</v>
      </c>
      <c r="E491" s="46">
        <f>38.6849 * CHOOSE(CONTROL!$C$15, $E$9, 100%, $G$9) + CHOOSE(CONTROL!$C$38, 0.0347, 0)</f>
        <v>38.7196</v>
      </c>
      <c r="F491" s="45">
        <f>38.6849 * CHOOSE(CONTROL!$C$15, $E$9, 100%, $G$9) + CHOOSE(CONTROL!$C$38, 0.0256, 0)</f>
        <v>38.710499999999996</v>
      </c>
      <c r="G491" s="14">
        <f>36.7364 * CHOOSE(CONTROL!$C$15, $E$9, 100%, $G$9) + CHOOSE(CONTROL!$C$38, 0.0347, 0)</f>
        <v>36.771100000000004</v>
      </c>
      <c r="H491" s="14">
        <f>36.7364 * CHOOSE(CONTROL!$C$15, $E$9, 100%, $G$9) + CHOOSE(CONTROL!$C$38, 0.0347, 0)</f>
        <v>36.771100000000004</v>
      </c>
      <c r="I491" s="14">
        <f>36.738 * CHOOSE(CONTROL!$C$15, $E$9, 100%, $G$9) + CHOOSE(CONTROL!$C$38, 0.0347, 0)</f>
        <v>36.7727</v>
      </c>
      <c r="J491" s="44">
        <f>267.1592</f>
        <v>267.1592</v>
      </c>
    </row>
    <row r="492" spans="1:10" ht="15.75" x14ac:dyDescent="0.25">
      <c r="A492" s="33">
        <v>55915</v>
      </c>
      <c r="B492" s="14">
        <f>40.2027 * CHOOSE(CONTROL!$C$15, $E$9, 100%, $G$9) + CHOOSE(CONTROL!$C$38, 0.0256, 0)</f>
        <v>40.228299999999997</v>
      </c>
      <c r="C492" s="14">
        <f>38.0669 * CHOOSE(CONTROL!$C$15, $E$9, 100%, $G$9) + CHOOSE(CONTROL!$C$38, 0.0347, 0)</f>
        <v>38.101599999999998</v>
      </c>
      <c r="D492" s="14">
        <f>38.0591 * CHOOSE(CONTROL!$C$15, $E$9, 100%, $G$9) + CHOOSE(CONTROL!$C$38, 0.0347, 0)</f>
        <v>38.093800000000002</v>
      </c>
      <c r="E492" s="46">
        <f>40.0465 * CHOOSE(CONTROL!$C$15, $E$9, 100%, $G$9) + CHOOSE(CONTROL!$C$38, 0.0347, 0)</f>
        <v>40.081200000000003</v>
      </c>
      <c r="F492" s="45">
        <f>40.0465 * CHOOSE(CONTROL!$C$15, $E$9, 100%, $G$9) + CHOOSE(CONTROL!$C$38, 0.0256, 0)</f>
        <v>40.072099999999999</v>
      </c>
      <c r="G492" s="14">
        <f>38.0653 * CHOOSE(CONTROL!$C$15, $E$9, 100%, $G$9) + CHOOSE(CONTROL!$C$38, 0.0347, 0)</f>
        <v>38.1</v>
      </c>
      <c r="H492" s="14">
        <f>38.0653 * CHOOSE(CONTROL!$C$15, $E$9, 100%, $G$9) + CHOOSE(CONTROL!$C$38, 0.0347, 0)</f>
        <v>38.1</v>
      </c>
      <c r="I492" s="14">
        <f>38.0669 * CHOOSE(CONTROL!$C$15, $E$9, 100%, $G$9) + CHOOSE(CONTROL!$C$38, 0.0347, 0)</f>
        <v>38.101599999999998</v>
      </c>
      <c r="J492" s="44">
        <f>266.9663</f>
        <v>266.96629999999999</v>
      </c>
    </row>
    <row r="493" spans="1:10" ht="15.75" x14ac:dyDescent="0.25">
      <c r="A493" s="33">
        <v>55943</v>
      </c>
      <c r="B493" s="14">
        <f>40.547 * CHOOSE(CONTROL!$C$15, $E$9, 100%, $G$9) + CHOOSE(CONTROL!$C$38, 0.0256, 0)</f>
        <v>40.572599999999994</v>
      </c>
      <c r="C493" s="14">
        <f>38.4112 * CHOOSE(CONTROL!$C$15, $E$9, 100%, $G$9) + CHOOSE(CONTROL!$C$38, 0.0347, 0)</f>
        <v>38.445900000000002</v>
      </c>
      <c r="D493" s="14">
        <f>38.4034 * CHOOSE(CONTROL!$C$15, $E$9, 100%, $G$9) + CHOOSE(CONTROL!$C$38, 0.0347, 0)</f>
        <v>38.438099999999999</v>
      </c>
      <c r="E493" s="46">
        <f>40.3908 * CHOOSE(CONTROL!$C$15, $E$9, 100%, $G$9) + CHOOSE(CONTROL!$C$38, 0.0347, 0)</f>
        <v>40.4255</v>
      </c>
      <c r="F493" s="45">
        <f>40.3908 * CHOOSE(CONTROL!$C$15, $E$9, 100%, $G$9) + CHOOSE(CONTROL!$C$38, 0.0256, 0)</f>
        <v>40.416399999999996</v>
      </c>
      <c r="G493" s="14">
        <f>38.4097 * CHOOSE(CONTROL!$C$15, $E$9, 100%, $G$9) + CHOOSE(CONTROL!$C$38, 0.0347, 0)</f>
        <v>38.444400000000002</v>
      </c>
      <c r="H493" s="14">
        <f>38.4097 * CHOOSE(CONTROL!$C$15, $E$9, 100%, $G$9) + CHOOSE(CONTROL!$C$38, 0.0347, 0)</f>
        <v>38.444400000000002</v>
      </c>
      <c r="I493" s="14">
        <f>38.4112 * CHOOSE(CONTROL!$C$15, $E$9, 100%, $G$9) + CHOOSE(CONTROL!$C$38, 0.0347, 0)</f>
        <v>38.445900000000002</v>
      </c>
      <c r="J493" s="44">
        <f>266.2242</f>
        <v>266.2242</v>
      </c>
    </row>
    <row r="494" spans="1:10" ht="15.75" x14ac:dyDescent="0.25">
      <c r="A494" s="33">
        <v>55974</v>
      </c>
      <c r="B494" s="14">
        <f>39.75 * CHOOSE(CONTROL!$C$15, $E$9, 100%, $G$9) + CHOOSE(CONTROL!$C$38, 0.0256, 0)</f>
        <v>39.775599999999997</v>
      </c>
      <c r="C494" s="14">
        <f>37.6142 * CHOOSE(CONTROL!$C$15, $E$9, 100%, $G$9) + CHOOSE(CONTROL!$C$38, 0.0347, 0)</f>
        <v>37.648899999999998</v>
      </c>
      <c r="D494" s="14">
        <f>37.6064 * CHOOSE(CONTROL!$C$15, $E$9, 100%, $G$9) + CHOOSE(CONTROL!$C$38, 0.0347, 0)</f>
        <v>37.641100000000002</v>
      </c>
      <c r="E494" s="46">
        <f>39.5938 * CHOOSE(CONTROL!$C$15, $E$9, 100%, $G$9) + CHOOSE(CONTROL!$C$38, 0.0347, 0)</f>
        <v>39.628500000000003</v>
      </c>
      <c r="F494" s="45">
        <f>39.5938 * CHOOSE(CONTROL!$C$15, $E$9, 100%, $G$9) + CHOOSE(CONTROL!$C$38, 0.0256, 0)</f>
        <v>39.619399999999999</v>
      </c>
      <c r="G494" s="14">
        <f>37.6126 * CHOOSE(CONTROL!$C$15, $E$9, 100%, $G$9) + CHOOSE(CONTROL!$C$38, 0.0347, 0)</f>
        <v>37.647300000000001</v>
      </c>
      <c r="H494" s="14">
        <f>37.6126 * CHOOSE(CONTROL!$C$15, $E$9, 100%, $G$9) + CHOOSE(CONTROL!$C$38, 0.0347, 0)</f>
        <v>37.647300000000001</v>
      </c>
      <c r="I494" s="14">
        <f>37.6142 * CHOOSE(CONTROL!$C$15, $E$9, 100%, $G$9) + CHOOSE(CONTROL!$C$38, 0.0347, 0)</f>
        <v>37.648899999999998</v>
      </c>
      <c r="J494" s="44">
        <f>280.2558</f>
        <v>280.25580000000002</v>
      </c>
    </row>
    <row r="495" spans="1:10" ht="15.75" x14ac:dyDescent="0.25">
      <c r="A495" s="33">
        <v>56004</v>
      </c>
      <c r="B495" s="14">
        <f>38.9777 * CHOOSE(CONTROL!$C$15, $E$9, 100%, $G$9) + CHOOSE(CONTROL!$C$38, 0.0256, 0)</f>
        <v>39.003299999999996</v>
      </c>
      <c r="C495" s="14">
        <f>36.8419 * CHOOSE(CONTROL!$C$15, $E$9, 100%, $G$9) + CHOOSE(CONTROL!$C$38, 0.0347, 0)</f>
        <v>36.876600000000003</v>
      </c>
      <c r="D495" s="14">
        <f>36.8341 * CHOOSE(CONTROL!$C$15, $E$9, 100%, $G$9) + CHOOSE(CONTROL!$C$38, 0.0347, 0)</f>
        <v>36.8688</v>
      </c>
      <c r="E495" s="46">
        <f>38.8215 * CHOOSE(CONTROL!$C$15, $E$9, 100%, $G$9) + CHOOSE(CONTROL!$C$38, 0.0347, 0)</f>
        <v>38.856200000000001</v>
      </c>
      <c r="F495" s="45">
        <f>38.8215 * CHOOSE(CONTROL!$C$15, $E$9, 100%, $G$9) + CHOOSE(CONTROL!$C$38, 0.0256, 0)</f>
        <v>38.847099999999998</v>
      </c>
      <c r="G495" s="14">
        <f>36.8403 * CHOOSE(CONTROL!$C$15, $E$9, 100%, $G$9) + CHOOSE(CONTROL!$C$38, 0.0347, 0)</f>
        <v>36.875</v>
      </c>
      <c r="H495" s="14">
        <f>36.8403 * CHOOSE(CONTROL!$C$15, $E$9, 100%, $G$9) + CHOOSE(CONTROL!$C$38, 0.0347, 0)</f>
        <v>36.875</v>
      </c>
      <c r="I495" s="14">
        <f>36.8419 * CHOOSE(CONTROL!$C$15, $E$9, 100%, $G$9) + CHOOSE(CONTROL!$C$38, 0.0347, 0)</f>
        <v>36.876600000000003</v>
      </c>
      <c r="J495" s="44">
        <f>298.4514</f>
        <v>298.45139999999998</v>
      </c>
    </row>
    <row r="496" spans="1:10" ht="15.75" x14ac:dyDescent="0.25">
      <c r="A496" s="33">
        <v>56035</v>
      </c>
      <c r="B496" s="14">
        <f>38.1727 * CHOOSE(CONTROL!$C$15, $E$9, 100%, $G$9) + CHOOSE(CONTROL!$C$38, 0.0278, 0)</f>
        <v>38.200499999999998</v>
      </c>
      <c r="C496" s="14">
        <f>36.0369 * CHOOSE(CONTROL!$C$15, $E$9, 100%, $G$9) + CHOOSE(CONTROL!$C$38, 0.0369, 0)</f>
        <v>36.073800000000006</v>
      </c>
      <c r="D496" s="14">
        <f>36.0291 * CHOOSE(CONTROL!$C$15, $E$9, 100%, $G$9) + CHOOSE(CONTROL!$C$38, 0.0369, 0)</f>
        <v>36.066000000000003</v>
      </c>
      <c r="E496" s="46">
        <f>38.0165 * CHOOSE(CONTROL!$C$15, $E$9, 100%, $G$9) + CHOOSE(CONTROL!$C$38, 0.0369, 0)</f>
        <v>38.053400000000003</v>
      </c>
      <c r="F496" s="45">
        <f>38.0165 * CHOOSE(CONTROL!$C$15, $E$9, 100%, $G$9) + CHOOSE(CONTROL!$C$38, 0.0278, 0)</f>
        <v>38.0443</v>
      </c>
      <c r="G496" s="14">
        <f>36.0354 * CHOOSE(CONTROL!$C$15, $E$9, 100%, $G$9) + CHOOSE(CONTROL!$C$38, 0.0369, 0)</f>
        <v>36.072300000000006</v>
      </c>
      <c r="H496" s="14">
        <f>36.0354 * CHOOSE(CONTROL!$C$15, $E$9, 100%, $G$9) + CHOOSE(CONTROL!$C$38, 0.0369, 0)</f>
        <v>36.072300000000006</v>
      </c>
      <c r="I496" s="14">
        <f>36.0369 * CHOOSE(CONTROL!$C$15, $E$9, 100%, $G$9) + CHOOSE(CONTROL!$C$38, 0.0369, 0)</f>
        <v>36.073800000000006</v>
      </c>
      <c r="J496" s="44">
        <f>308.4668</f>
        <v>308.46679999999998</v>
      </c>
    </row>
    <row r="497" spans="1:10" ht="15.75" x14ac:dyDescent="0.25">
      <c r="A497" s="33">
        <v>56065</v>
      </c>
      <c r="B497" s="14">
        <f>37.6084 * CHOOSE(CONTROL!$C$15, $E$9, 100%, $G$9) + CHOOSE(CONTROL!$C$38, 0.0278, 0)</f>
        <v>37.636200000000002</v>
      </c>
      <c r="C497" s="14">
        <f>35.4726 * CHOOSE(CONTROL!$C$15, $E$9, 100%, $G$9) + CHOOSE(CONTROL!$C$38, 0.0369, 0)</f>
        <v>35.509500000000003</v>
      </c>
      <c r="D497" s="14">
        <f>35.4648 * CHOOSE(CONTROL!$C$15, $E$9, 100%, $G$9) + CHOOSE(CONTROL!$C$38, 0.0369, 0)</f>
        <v>35.5017</v>
      </c>
      <c r="E497" s="46">
        <f>37.4522 * CHOOSE(CONTROL!$C$15, $E$9, 100%, $G$9) + CHOOSE(CONTROL!$C$38, 0.0369, 0)</f>
        <v>37.489100000000001</v>
      </c>
      <c r="F497" s="45">
        <f>37.4522 * CHOOSE(CONTROL!$C$15, $E$9, 100%, $G$9) + CHOOSE(CONTROL!$C$38, 0.0278, 0)</f>
        <v>37.479999999999997</v>
      </c>
      <c r="G497" s="14">
        <f>35.471 * CHOOSE(CONTROL!$C$15, $E$9, 100%, $G$9) + CHOOSE(CONTROL!$C$38, 0.0369, 0)</f>
        <v>35.507899999999999</v>
      </c>
      <c r="H497" s="14">
        <f>35.471 * CHOOSE(CONTROL!$C$15, $E$9, 100%, $G$9) + CHOOSE(CONTROL!$C$38, 0.0369, 0)</f>
        <v>35.507899999999999</v>
      </c>
      <c r="I497" s="14">
        <f>35.4726 * CHOOSE(CONTROL!$C$15, $E$9, 100%, $G$9) + CHOOSE(CONTROL!$C$38, 0.0369, 0)</f>
        <v>35.509500000000003</v>
      </c>
      <c r="J497" s="44">
        <f>312.9115</f>
        <v>312.91149999999999</v>
      </c>
    </row>
    <row r="498" spans="1:10" ht="15.75" x14ac:dyDescent="0.25">
      <c r="A498" s="33">
        <v>56096</v>
      </c>
      <c r="B498" s="14">
        <f>37.2864 * CHOOSE(CONTROL!$C$15, $E$9, 100%, $G$9) + CHOOSE(CONTROL!$C$38, 0.0278, 0)</f>
        <v>37.3142</v>
      </c>
      <c r="C498" s="14">
        <f>35.1505 * CHOOSE(CONTROL!$C$15, $E$9, 100%, $G$9) + CHOOSE(CONTROL!$C$38, 0.0369, 0)</f>
        <v>35.187400000000004</v>
      </c>
      <c r="D498" s="14">
        <f>35.1427 * CHOOSE(CONTROL!$C$15, $E$9, 100%, $G$9) + CHOOSE(CONTROL!$C$38, 0.0369, 0)</f>
        <v>35.179600000000001</v>
      </c>
      <c r="E498" s="46">
        <f>37.1301 * CHOOSE(CONTROL!$C$15, $E$9, 100%, $G$9) + CHOOSE(CONTROL!$C$38, 0.0369, 0)</f>
        <v>37.167000000000002</v>
      </c>
      <c r="F498" s="45">
        <f>37.1301 * CHOOSE(CONTROL!$C$15, $E$9, 100%, $G$9) + CHOOSE(CONTROL!$C$38, 0.0278, 0)</f>
        <v>37.157899999999998</v>
      </c>
      <c r="G498" s="14">
        <f>35.149 * CHOOSE(CONTROL!$C$15, $E$9, 100%, $G$9) + CHOOSE(CONTROL!$C$38, 0.0369, 0)</f>
        <v>35.185900000000004</v>
      </c>
      <c r="H498" s="14">
        <f>35.149 * CHOOSE(CONTROL!$C$15, $E$9, 100%, $G$9) + CHOOSE(CONTROL!$C$38, 0.0369, 0)</f>
        <v>35.185900000000004</v>
      </c>
      <c r="I498" s="14">
        <f>35.1505 * CHOOSE(CONTROL!$C$15, $E$9, 100%, $G$9) + CHOOSE(CONTROL!$C$38, 0.0369, 0)</f>
        <v>35.187400000000004</v>
      </c>
      <c r="J498" s="44">
        <f>311.4481</f>
        <v>311.44810000000001</v>
      </c>
    </row>
    <row r="499" spans="1:10" ht="15.75" x14ac:dyDescent="0.25">
      <c r="A499" s="33">
        <v>56127</v>
      </c>
      <c r="B499" s="14">
        <f>37.4453 * CHOOSE(CONTROL!$C$15, $E$9, 100%, $G$9) + CHOOSE(CONTROL!$C$38, 0.0278, 0)</f>
        <v>37.473100000000002</v>
      </c>
      <c r="C499" s="14">
        <f>35.3095 * CHOOSE(CONTROL!$C$15, $E$9, 100%, $G$9) + CHOOSE(CONTROL!$C$38, 0.0369, 0)</f>
        <v>35.346400000000003</v>
      </c>
      <c r="D499" s="14">
        <f>35.3017 * CHOOSE(CONTROL!$C$15, $E$9, 100%, $G$9) + CHOOSE(CONTROL!$C$38, 0.0369, 0)</f>
        <v>35.3386</v>
      </c>
      <c r="E499" s="46">
        <f>37.289 * CHOOSE(CONTROL!$C$15, $E$9, 100%, $G$9) + CHOOSE(CONTROL!$C$38, 0.0369, 0)</f>
        <v>37.325900000000004</v>
      </c>
      <c r="F499" s="45">
        <f>37.289 * CHOOSE(CONTROL!$C$15, $E$9, 100%, $G$9) + CHOOSE(CONTROL!$C$38, 0.0278, 0)</f>
        <v>37.316800000000001</v>
      </c>
      <c r="G499" s="14">
        <f>35.3079 * CHOOSE(CONTROL!$C$15, $E$9, 100%, $G$9) + CHOOSE(CONTROL!$C$38, 0.0369, 0)</f>
        <v>35.344799999999999</v>
      </c>
      <c r="H499" s="14">
        <f>35.3079 * CHOOSE(CONTROL!$C$15, $E$9, 100%, $G$9) + CHOOSE(CONTROL!$C$38, 0.0369, 0)</f>
        <v>35.344799999999999</v>
      </c>
      <c r="I499" s="14">
        <f>35.3095 * CHOOSE(CONTROL!$C$15, $E$9, 100%, $G$9) + CHOOSE(CONTROL!$C$38, 0.0369, 0)</f>
        <v>35.346400000000003</v>
      </c>
      <c r="J499" s="44">
        <f>304.1977</f>
        <v>304.1977</v>
      </c>
    </row>
    <row r="500" spans="1:10" ht="15.75" x14ac:dyDescent="0.25">
      <c r="A500" s="33">
        <v>56157</v>
      </c>
      <c r="B500" s="14">
        <f>37.877 * CHOOSE(CONTROL!$C$15, $E$9, 100%, $G$9) + CHOOSE(CONTROL!$C$38, 0.0278, 0)</f>
        <v>37.904800000000002</v>
      </c>
      <c r="C500" s="14">
        <f>35.7412 * CHOOSE(CONTROL!$C$15, $E$9, 100%, $G$9) + CHOOSE(CONTROL!$C$38, 0.0369, 0)</f>
        <v>35.778100000000002</v>
      </c>
      <c r="D500" s="14">
        <f>35.7334 * CHOOSE(CONTROL!$C$15, $E$9, 100%, $G$9) + CHOOSE(CONTROL!$C$38, 0.0369, 0)</f>
        <v>35.770300000000006</v>
      </c>
      <c r="E500" s="46">
        <f>37.7208 * CHOOSE(CONTROL!$C$15, $E$9, 100%, $G$9) + CHOOSE(CONTROL!$C$38, 0.0369, 0)</f>
        <v>37.7577</v>
      </c>
      <c r="F500" s="45">
        <f>37.7208 * CHOOSE(CONTROL!$C$15, $E$9, 100%, $G$9) + CHOOSE(CONTROL!$C$38, 0.0278, 0)</f>
        <v>37.748599999999996</v>
      </c>
      <c r="G500" s="14">
        <f>35.7396 * CHOOSE(CONTROL!$C$15, $E$9, 100%, $G$9) + CHOOSE(CONTROL!$C$38, 0.0369, 0)</f>
        <v>35.776500000000006</v>
      </c>
      <c r="H500" s="14">
        <f>35.7396 * CHOOSE(CONTROL!$C$15, $E$9, 100%, $G$9) + CHOOSE(CONTROL!$C$38, 0.0369, 0)</f>
        <v>35.776500000000006</v>
      </c>
      <c r="I500" s="14">
        <f>35.7412 * CHOOSE(CONTROL!$C$15, $E$9, 100%, $G$9) + CHOOSE(CONTROL!$C$38, 0.0369, 0)</f>
        <v>35.778100000000002</v>
      </c>
      <c r="J500" s="44">
        <f>294.0867</f>
        <v>294.08670000000001</v>
      </c>
    </row>
    <row r="501" spans="1:10" ht="15.75" x14ac:dyDescent="0.25">
      <c r="A501" s="33">
        <v>56188</v>
      </c>
      <c r="B501" s="14">
        <f>38.2386 * CHOOSE(CONTROL!$C$15, $E$9, 100%, $G$9) + CHOOSE(CONTROL!$C$38, 0.0256, 0)</f>
        <v>38.264199999999995</v>
      </c>
      <c r="C501" s="14">
        <f>36.1027 * CHOOSE(CONTROL!$C$15, $E$9, 100%, $G$9) + CHOOSE(CONTROL!$C$38, 0.0347, 0)</f>
        <v>36.1374</v>
      </c>
      <c r="D501" s="14">
        <f>36.0949 * CHOOSE(CONTROL!$C$15, $E$9, 100%, $G$9) + CHOOSE(CONTROL!$C$38, 0.0347, 0)</f>
        <v>36.129600000000003</v>
      </c>
      <c r="E501" s="46">
        <f>38.0823 * CHOOSE(CONTROL!$C$15, $E$9, 100%, $G$9) + CHOOSE(CONTROL!$C$38, 0.0347, 0)</f>
        <v>38.116999999999997</v>
      </c>
      <c r="F501" s="45">
        <f>38.0823 * CHOOSE(CONTROL!$C$15, $E$9, 100%, $G$9) + CHOOSE(CONTROL!$C$38, 0.0256, 0)</f>
        <v>38.107899999999994</v>
      </c>
      <c r="G501" s="14">
        <f>36.1012 * CHOOSE(CONTROL!$C$15, $E$9, 100%, $G$9) + CHOOSE(CONTROL!$C$38, 0.0347, 0)</f>
        <v>36.135899999999999</v>
      </c>
      <c r="H501" s="14">
        <f>36.1012 * CHOOSE(CONTROL!$C$15, $E$9, 100%, $G$9) + CHOOSE(CONTROL!$C$38, 0.0347, 0)</f>
        <v>36.135899999999999</v>
      </c>
      <c r="I501" s="14">
        <f>36.1027 * CHOOSE(CONTROL!$C$15, $E$9, 100%, $G$9) + CHOOSE(CONTROL!$C$38, 0.0347, 0)</f>
        <v>36.1374</v>
      </c>
      <c r="J501" s="44">
        <f>283.9169</f>
        <v>283.9169</v>
      </c>
    </row>
    <row r="502" spans="1:10" ht="15.75" x14ac:dyDescent="0.25">
      <c r="A502" s="33">
        <v>56218</v>
      </c>
      <c r="B502" s="14">
        <f>38.5403 * CHOOSE(CONTROL!$C$15, $E$9, 100%, $G$9) + CHOOSE(CONTROL!$C$38, 0.0256, 0)</f>
        <v>38.565899999999999</v>
      </c>
      <c r="C502" s="14">
        <f>36.4044 * CHOOSE(CONTROL!$C$15, $E$9, 100%, $G$9) + CHOOSE(CONTROL!$C$38, 0.0347, 0)</f>
        <v>36.439100000000003</v>
      </c>
      <c r="D502" s="14">
        <f>36.3966 * CHOOSE(CONTROL!$C$15, $E$9, 100%, $G$9) + CHOOSE(CONTROL!$C$38, 0.0347, 0)</f>
        <v>36.4313</v>
      </c>
      <c r="E502" s="46">
        <f>38.384 * CHOOSE(CONTROL!$C$15, $E$9, 100%, $G$9) + CHOOSE(CONTROL!$C$38, 0.0347, 0)</f>
        <v>38.418700000000001</v>
      </c>
      <c r="F502" s="45">
        <f>38.384 * CHOOSE(CONTROL!$C$15, $E$9, 100%, $G$9) + CHOOSE(CONTROL!$C$38, 0.0256, 0)</f>
        <v>38.409599999999998</v>
      </c>
      <c r="G502" s="14">
        <f>36.4029 * CHOOSE(CONTROL!$C$15, $E$9, 100%, $G$9) + CHOOSE(CONTROL!$C$38, 0.0347, 0)</f>
        <v>36.437600000000003</v>
      </c>
      <c r="H502" s="14">
        <f>36.4029 * CHOOSE(CONTROL!$C$15, $E$9, 100%, $G$9) + CHOOSE(CONTROL!$C$38, 0.0347, 0)</f>
        <v>36.437600000000003</v>
      </c>
      <c r="I502" s="14">
        <f>36.4044 * CHOOSE(CONTROL!$C$15, $E$9, 100%, $G$9) + CHOOSE(CONTROL!$C$38, 0.0347, 0)</f>
        <v>36.439100000000003</v>
      </c>
      <c r="J502" s="44">
        <f>281.8939</f>
        <v>281.89389999999997</v>
      </c>
    </row>
    <row r="503" spans="1:10" ht="15.75" x14ac:dyDescent="0.25">
      <c r="A503" s="33">
        <v>56249</v>
      </c>
      <c r="B503" s="14">
        <f>39.4699 * CHOOSE(CONTROL!$C$15, $E$9, 100%, $G$9) + CHOOSE(CONTROL!$C$38, 0.0256, 0)</f>
        <v>39.4955</v>
      </c>
      <c r="C503" s="14">
        <f>37.3341 * CHOOSE(CONTROL!$C$15, $E$9, 100%, $G$9) + CHOOSE(CONTROL!$C$38, 0.0347, 0)</f>
        <v>37.3688</v>
      </c>
      <c r="D503" s="14">
        <f>37.3263 * CHOOSE(CONTROL!$C$15, $E$9, 100%, $G$9) + CHOOSE(CONTROL!$C$38, 0.0347, 0)</f>
        <v>37.361000000000004</v>
      </c>
      <c r="E503" s="46">
        <f>39.3137 * CHOOSE(CONTROL!$C$15, $E$9, 100%, $G$9) + CHOOSE(CONTROL!$C$38, 0.0347, 0)</f>
        <v>39.348399999999998</v>
      </c>
      <c r="F503" s="45">
        <f>39.3137 * CHOOSE(CONTROL!$C$15, $E$9, 100%, $G$9) + CHOOSE(CONTROL!$C$38, 0.0256, 0)</f>
        <v>39.339299999999994</v>
      </c>
      <c r="G503" s="14">
        <f>37.3325 * CHOOSE(CONTROL!$C$15, $E$9, 100%, $G$9) + CHOOSE(CONTROL!$C$38, 0.0347, 0)</f>
        <v>37.367200000000004</v>
      </c>
      <c r="H503" s="14">
        <f>37.3325 * CHOOSE(CONTROL!$C$15, $E$9, 100%, $G$9) + CHOOSE(CONTROL!$C$38, 0.0347, 0)</f>
        <v>37.367200000000004</v>
      </c>
      <c r="I503" s="14">
        <f>37.3341 * CHOOSE(CONTROL!$C$15, $E$9, 100%, $G$9) + CHOOSE(CONTROL!$C$38, 0.0347, 0)</f>
        <v>37.3688</v>
      </c>
      <c r="J503" s="44">
        <f>273.5287</f>
        <v>273.52870000000001</v>
      </c>
    </row>
    <row r="504" spans="1:10" ht="15.75" x14ac:dyDescent="0.25">
      <c r="A504" s="33">
        <v>56280</v>
      </c>
      <c r="B504" s="14">
        <f>40.8421 * CHOOSE(CONTROL!$C$15, $E$9, 100%, $G$9) + CHOOSE(CONTROL!$C$38, 0.0256, 0)</f>
        <v>40.867699999999999</v>
      </c>
      <c r="C504" s="14">
        <f>38.673 * CHOOSE(CONTROL!$C$15, $E$9, 100%, $G$9) + CHOOSE(CONTROL!$C$38, 0.0347, 0)</f>
        <v>38.707700000000003</v>
      </c>
      <c r="D504" s="14">
        <f>38.6652 * CHOOSE(CONTROL!$C$15, $E$9, 100%, $G$9) + CHOOSE(CONTROL!$C$38, 0.0347, 0)</f>
        <v>38.6999</v>
      </c>
      <c r="E504" s="46">
        <f>40.6859 * CHOOSE(CONTROL!$C$15, $E$9, 100%, $G$9) + CHOOSE(CONTROL!$C$38, 0.0347, 0)</f>
        <v>40.720599999999997</v>
      </c>
      <c r="F504" s="45">
        <f>40.6859 * CHOOSE(CONTROL!$C$15, $E$9, 100%, $G$9) + CHOOSE(CONTROL!$C$38, 0.0256, 0)</f>
        <v>40.711499999999994</v>
      </c>
      <c r="G504" s="14">
        <f>38.6715 * CHOOSE(CONTROL!$C$15, $E$9, 100%, $G$9) + CHOOSE(CONTROL!$C$38, 0.0347, 0)</f>
        <v>38.706200000000003</v>
      </c>
      <c r="H504" s="14">
        <f>38.6715 * CHOOSE(CONTROL!$C$15, $E$9, 100%, $G$9) + CHOOSE(CONTROL!$C$38, 0.0347, 0)</f>
        <v>38.706200000000003</v>
      </c>
      <c r="I504" s="14">
        <f>38.673 * CHOOSE(CONTROL!$C$15, $E$9, 100%, $G$9) + CHOOSE(CONTROL!$C$38, 0.0347, 0)</f>
        <v>38.707700000000003</v>
      </c>
      <c r="J504" s="44">
        <f>273.3312</f>
        <v>273.33120000000002</v>
      </c>
    </row>
    <row r="505" spans="1:10" ht="15.75" x14ac:dyDescent="0.25">
      <c r="A505" s="33">
        <v>56308</v>
      </c>
      <c r="B505" s="14">
        <f>41.1864 * CHOOSE(CONTROL!$C$15, $E$9, 100%, $G$9) + CHOOSE(CONTROL!$C$38, 0.0256, 0)</f>
        <v>41.211999999999996</v>
      </c>
      <c r="C505" s="14">
        <f>39.0174 * CHOOSE(CONTROL!$C$15, $E$9, 100%, $G$9) + CHOOSE(CONTROL!$C$38, 0.0347, 0)</f>
        <v>39.052100000000003</v>
      </c>
      <c r="D505" s="14">
        <f>39.0095 * CHOOSE(CONTROL!$C$15, $E$9, 100%, $G$9) + CHOOSE(CONTROL!$C$38, 0.0347, 0)</f>
        <v>39.044200000000004</v>
      </c>
      <c r="E505" s="46">
        <f>41.0302 * CHOOSE(CONTROL!$C$15, $E$9, 100%, $G$9) + CHOOSE(CONTROL!$C$38, 0.0347, 0)</f>
        <v>41.064900000000002</v>
      </c>
      <c r="F505" s="45">
        <f>41.0302 * CHOOSE(CONTROL!$C$15, $E$9, 100%, $G$9) + CHOOSE(CONTROL!$C$38, 0.0256, 0)</f>
        <v>41.055799999999998</v>
      </c>
      <c r="G505" s="14">
        <f>39.0158 * CHOOSE(CONTROL!$C$15, $E$9, 100%, $G$9) + CHOOSE(CONTROL!$C$38, 0.0347, 0)</f>
        <v>39.0505</v>
      </c>
      <c r="H505" s="14">
        <f>39.0158 * CHOOSE(CONTROL!$C$15, $E$9, 100%, $G$9) + CHOOSE(CONTROL!$C$38, 0.0347, 0)</f>
        <v>39.0505</v>
      </c>
      <c r="I505" s="14">
        <f>39.0174 * CHOOSE(CONTROL!$C$15, $E$9, 100%, $G$9) + CHOOSE(CONTROL!$C$38, 0.0347, 0)</f>
        <v>39.052100000000003</v>
      </c>
      <c r="J505" s="44">
        <f>272.5714</f>
        <v>272.57139999999998</v>
      </c>
    </row>
    <row r="506" spans="1:10" ht="15.75" x14ac:dyDescent="0.25">
      <c r="A506" s="33">
        <v>56339</v>
      </c>
      <c r="B506" s="14">
        <f>40.3894 * CHOOSE(CONTROL!$C$15, $E$9, 100%, $G$9) + CHOOSE(CONTROL!$C$38, 0.0256, 0)</f>
        <v>40.414999999999999</v>
      </c>
      <c r="C506" s="14">
        <f>38.2203 * CHOOSE(CONTROL!$C$15, $E$9, 100%, $G$9) + CHOOSE(CONTROL!$C$38, 0.0347, 0)</f>
        <v>38.255000000000003</v>
      </c>
      <c r="D506" s="14">
        <f>38.2125 * CHOOSE(CONTROL!$C$15, $E$9, 100%, $G$9) + CHOOSE(CONTROL!$C$38, 0.0347, 0)</f>
        <v>38.247199999999999</v>
      </c>
      <c r="E506" s="46">
        <f>40.2331 * CHOOSE(CONTROL!$C$15, $E$9, 100%, $G$9) + CHOOSE(CONTROL!$C$38, 0.0347, 0)</f>
        <v>40.267800000000001</v>
      </c>
      <c r="F506" s="45">
        <f>40.2331 * CHOOSE(CONTROL!$C$15, $E$9, 100%, $G$9) + CHOOSE(CONTROL!$C$38, 0.0256, 0)</f>
        <v>40.258699999999997</v>
      </c>
      <c r="G506" s="14">
        <f>38.2188 * CHOOSE(CONTROL!$C$15, $E$9, 100%, $G$9) + CHOOSE(CONTROL!$C$38, 0.0347, 0)</f>
        <v>38.253500000000003</v>
      </c>
      <c r="H506" s="14">
        <f>38.2188 * CHOOSE(CONTROL!$C$15, $E$9, 100%, $G$9) + CHOOSE(CONTROL!$C$38, 0.0347, 0)</f>
        <v>38.253500000000003</v>
      </c>
      <c r="I506" s="14">
        <f>38.2203 * CHOOSE(CONTROL!$C$15, $E$9, 100%, $G$9) + CHOOSE(CONTROL!$C$38, 0.0347, 0)</f>
        <v>38.255000000000003</v>
      </c>
      <c r="J506" s="44">
        <f>286.9375</f>
        <v>286.9375</v>
      </c>
    </row>
    <row r="507" spans="1:10" ht="15.75" x14ac:dyDescent="0.25">
      <c r="A507" s="33">
        <v>56369</v>
      </c>
      <c r="B507" s="14">
        <f>39.6171 * CHOOSE(CONTROL!$C$15, $E$9, 100%, $G$9) + CHOOSE(CONTROL!$C$38, 0.0256, 0)</f>
        <v>39.642699999999998</v>
      </c>
      <c r="C507" s="14">
        <f>37.448 * CHOOSE(CONTROL!$C$15, $E$9, 100%, $G$9) + CHOOSE(CONTROL!$C$38, 0.0347, 0)</f>
        <v>37.482700000000001</v>
      </c>
      <c r="D507" s="14">
        <f>37.4402 * CHOOSE(CONTROL!$C$15, $E$9, 100%, $G$9) + CHOOSE(CONTROL!$C$38, 0.0347, 0)</f>
        <v>37.474899999999998</v>
      </c>
      <c r="E507" s="46">
        <f>39.4608 * CHOOSE(CONTROL!$C$15, $E$9, 100%, $G$9) + CHOOSE(CONTROL!$C$38, 0.0347, 0)</f>
        <v>39.4955</v>
      </c>
      <c r="F507" s="45">
        <f>39.4608 * CHOOSE(CONTROL!$C$15, $E$9, 100%, $G$9) + CHOOSE(CONTROL!$C$38, 0.0256, 0)</f>
        <v>39.486399999999996</v>
      </c>
      <c r="G507" s="14">
        <f>37.4464 * CHOOSE(CONTROL!$C$15, $E$9, 100%, $G$9) + CHOOSE(CONTROL!$C$38, 0.0347, 0)</f>
        <v>37.481099999999998</v>
      </c>
      <c r="H507" s="14">
        <f>37.4464 * CHOOSE(CONTROL!$C$15, $E$9, 100%, $G$9) + CHOOSE(CONTROL!$C$38, 0.0347, 0)</f>
        <v>37.481099999999998</v>
      </c>
      <c r="I507" s="14">
        <f>37.448 * CHOOSE(CONTROL!$C$15, $E$9, 100%, $G$9) + CHOOSE(CONTROL!$C$38, 0.0347, 0)</f>
        <v>37.482700000000001</v>
      </c>
      <c r="J507" s="44">
        <f>305.5669</f>
        <v>305.56689999999998</v>
      </c>
    </row>
    <row r="508" spans="1:10" ht="15.75" x14ac:dyDescent="0.25">
      <c r="A508" s="33">
        <v>56400</v>
      </c>
      <c r="B508" s="14">
        <f>38.8121 * CHOOSE(CONTROL!$C$15, $E$9, 100%, $G$9) + CHOOSE(CONTROL!$C$38, 0.0278, 0)</f>
        <v>38.8399</v>
      </c>
      <c r="C508" s="14">
        <f>36.643 * CHOOSE(CONTROL!$C$15, $E$9, 100%, $G$9) + CHOOSE(CONTROL!$C$38, 0.0369, 0)</f>
        <v>36.679900000000004</v>
      </c>
      <c r="D508" s="14">
        <f>36.6352 * CHOOSE(CONTROL!$C$15, $E$9, 100%, $G$9) + CHOOSE(CONTROL!$C$38, 0.0369, 0)</f>
        <v>36.6721</v>
      </c>
      <c r="E508" s="46">
        <f>38.6559 * CHOOSE(CONTROL!$C$15, $E$9, 100%, $G$9) + CHOOSE(CONTROL!$C$38, 0.0369, 0)</f>
        <v>38.692800000000005</v>
      </c>
      <c r="F508" s="45">
        <f>38.6559 * CHOOSE(CONTROL!$C$15, $E$9, 100%, $G$9) + CHOOSE(CONTROL!$C$38, 0.0278, 0)</f>
        <v>38.683700000000002</v>
      </c>
      <c r="G508" s="14">
        <f>36.6415 * CHOOSE(CONTROL!$C$15, $E$9, 100%, $G$9) + CHOOSE(CONTROL!$C$38, 0.0369, 0)</f>
        <v>36.678400000000003</v>
      </c>
      <c r="H508" s="14">
        <f>36.6415 * CHOOSE(CONTROL!$C$15, $E$9, 100%, $G$9) + CHOOSE(CONTROL!$C$38, 0.0369, 0)</f>
        <v>36.678400000000003</v>
      </c>
      <c r="I508" s="14">
        <f>36.643 * CHOOSE(CONTROL!$C$15, $E$9, 100%, $G$9) + CHOOSE(CONTROL!$C$38, 0.0369, 0)</f>
        <v>36.679900000000004</v>
      </c>
      <c r="J508" s="44">
        <f>315.8211</f>
        <v>315.8211</v>
      </c>
    </row>
    <row r="509" spans="1:10" ht="15.75" x14ac:dyDescent="0.25">
      <c r="A509" s="33">
        <v>56430</v>
      </c>
      <c r="B509" s="14">
        <f>38.2478 * CHOOSE(CONTROL!$C$15, $E$9, 100%, $G$9) + CHOOSE(CONTROL!$C$38, 0.0278, 0)</f>
        <v>38.275599999999997</v>
      </c>
      <c r="C509" s="14">
        <f>36.0787 * CHOOSE(CONTROL!$C$15, $E$9, 100%, $G$9) + CHOOSE(CONTROL!$C$38, 0.0369, 0)</f>
        <v>36.115600000000001</v>
      </c>
      <c r="D509" s="14">
        <f>36.0709 * CHOOSE(CONTROL!$C$15, $E$9, 100%, $G$9) + CHOOSE(CONTROL!$C$38, 0.0369, 0)</f>
        <v>36.107800000000005</v>
      </c>
      <c r="E509" s="46">
        <f>38.0915 * CHOOSE(CONTROL!$C$15, $E$9, 100%, $G$9) + CHOOSE(CONTROL!$C$38, 0.0369, 0)</f>
        <v>38.128400000000006</v>
      </c>
      <c r="F509" s="45">
        <f>38.0915 * CHOOSE(CONTROL!$C$15, $E$9, 100%, $G$9) + CHOOSE(CONTROL!$C$38, 0.0278, 0)</f>
        <v>38.119300000000003</v>
      </c>
      <c r="G509" s="14">
        <f>36.0771 * CHOOSE(CONTROL!$C$15, $E$9, 100%, $G$9) + CHOOSE(CONTROL!$C$38, 0.0369, 0)</f>
        <v>36.114000000000004</v>
      </c>
      <c r="H509" s="14">
        <f>36.0771 * CHOOSE(CONTROL!$C$15, $E$9, 100%, $G$9) + CHOOSE(CONTROL!$C$38, 0.0369, 0)</f>
        <v>36.114000000000004</v>
      </c>
      <c r="I509" s="14">
        <f>36.0787 * CHOOSE(CONTROL!$C$15, $E$9, 100%, $G$9) + CHOOSE(CONTROL!$C$38, 0.0369, 0)</f>
        <v>36.115600000000001</v>
      </c>
      <c r="J509" s="44">
        <f>320.3717</f>
        <v>320.37169999999998</v>
      </c>
    </row>
    <row r="510" spans="1:10" ht="15.75" x14ac:dyDescent="0.25">
      <c r="A510" s="33">
        <v>56461</v>
      </c>
      <c r="B510" s="14">
        <f>37.9257 * CHOOSE(CONTROL!$C$15, $E$9, 100%, $G$9) + CHOOSE(CONTROL!$C$38, 0.0278, 0)</f>
        <v>37.953499999999998</v>
      </c>
      <c r="C510" s="14">
        <f>35.7567 * CHOOSE(CONTROL!$C$15, $E$9, 100%, $G$9) + CHOOSE(CONTROL!$C$38, 0.0369, 0)</f>
        <v>35.793600000000005</v>
      </c>
      <c r="D510" s="14">
        <f>35.7488 * CHOOSE(CONTROL!$C$15, $E$9, 100%, $G$9) + CHOOSE(CONTROL!$C$38, 0.0369, 0)</f>
        <v>35.785700000000006</v>
      </c>
      <c r="E510" s="46">
        <f>37.7695 * CHOOSE(CONTROL!$C$15, $E$9, 100%, $G$9) + CHOOSE(CONTROL!$C$38, 0.0369, 0)</f>
        <v>37.806400000000004</v>
      </c>
      <c r="F510" s="45">
        <f>37.7695 * CHOOSE(CONTROL!$C$15, $E$9, 100%, $G$9) + CHOOSE(CONTROL!$C$38, 0.0278, 0)</f>
        <v>37.7973</v>
      </c>
      <c r="G510" s="14">
        <f>35.7551 * CHOOSE(CONTROL!$C$15, $E$9, 100%, $G$9) + CHOOSE(CONTROL!$C$38, 0.0369, 0)</f>
        <v>35.792000000000002</v>
      </c>
      <c r="H510" s="14">
        <f>35.7551 * CHOOSE(CONTROL!$C$15, $E$9, 100%, $G$9) + CHOOSE(CONTROL!$C$38, 0.0369, 0)</f>
        <v>35.792000000000002</v>
      </c>
      <c r="I510" s="14">
        <f>35.7567 * CHOOSE(CONTROL!$C$15, $E$9, 100%, $G$9) + CHOOSE(CONTROL!$C$38, 0.0369, 0)</f>
        <v>35.793600000000005</v>
      </c>
      <c r="J510" s="44">
        <f>318.8735</f>
        <v>318.87349999999998</v>
      </c>
    </row>
    <row r="511" spans="1:10" ht="15.75" x14ac:dyDescent="0.25">
      <c r="A511" s="33">
        <v>56492</v>
      </c>
      <c r="B511" s="14">
        <f>38.0847 * CHOOSE(CONTROL!$C$15, $E$9, 100%, $G$9) + CHOOSE(CONTROL!$C$38, 0.0278, 0)</f>
        <v>38.112499999999997</v>
      </c>
      <c r="C511" s="14">
        <f>35.9156 * CHOOSE(CONTROL!$C$15, $E$9, 100%, $G$9) + CHOOSE(CONTROL!$C$38, 0.0369, 0)</f>
        <v>35.952500000000001</v>
      </c>
      <c r="D511" s="14">
        <f>35.9078 * CHOOSE(CONTROL!$C$15, $E$9, 100%, $G$9) + CHOOSE(CONTROL!$C$38, 0.0369, 0)</f>
        <v>35.944700000000005</v>
      </c>
      <c r="E511" s="46">
        <f>37.9284 * CHOOSE(CONTROL!$C$15, $E$9, 100%, $G$9) + CHOOSE(CONTROL!$C$38, 0.0369, 0)</f>
        <v>37.965300000000006</v>
      </c>
      <c r="F511" s="45">
        <f>37.9284 * CHOOSE(CONTROL!$C$15, $E$9, 100%, $G$9) + CHOOSE(CONTROL!$C$38, 0.0278, 0)</f>
        <v>37.956200000000003</v>
      </c>
      <c r="G511" s="14">
        <f>35.914 * CHOOSE(CONTROL!$C$15, $E$9, 100%, $G$9) + CHOOSE(CONTROL!$C$38, 0.0369, 0)</f>
        <v>35.950900000000004</v>
      </c>
      <c r="H511" s="14">
        <f>35.914 * CHOOSE(CONTROL!$C$15, $E$9, 100%, $G$9) + CHOOSE(CONTROL!$C$38, 0.0369, 0)</f>
        <v>35.950900000000004</v>
      </c>
      <c r="I511" s="14">
        <f>35.9156 * CHOOSE(CONTROL!$C$15, $E$9, 100%, $G$9) + CHOOSE(CONTROL!$C$38, 0.0369, 0)</f>
        <v>35.952500000000001</v>
      </c>
      <c r="J511" s="44">
        <f>311.4502</f>
        <v>311.4502</v>
      </c>
    </row>
    <row r="512" spans="1:10" ht="15.75" x14ac:dyDescent="0.25">
      <c r="A512" s="33">
        <v>56522</v>
      </c>
      <c r="B512" s="14">
        <f>38.5164 * CHOOSE(CONTROL!$C$15, $E$9, 100%, $G$9) + CHOOSE(CONTROL!$C$38, 0.0278, 0)</f>
        <v>38.544199999999996</v>
      </c>
      <c r="C512" s="14">
        <f>36.3473 * CHOOSE(CONTROL!$C$15, $E$9, 100%, $G$9) + CHOOSE(CONTROL!$C$38, 0.0369, 0)</f>
        <v>36.3842</v>
      </c>
      <c r="D512" s="14">
        <f>36.3395 * CHOOSE(CONTROL!$C$15, $E$9, 100%, $G$9) + CHOOSE(CONTROL!$C$38, 0.0369, 0)</f>
        <v>36.376400000000004</v>
      </c>
      <c r="E512" s="46">
        <f>38.3601 * CHOOSE(CONTROL!$C$15, $E$9, 100%, $G$9) + CHOOSE(CONTROL!$C$38, 0.0369, 0)</f>
        <v>38.397000000000006</v>
      </c>
      <c r="F512" s="45">
        <f>38.3601 * CHOOSE(CONTROL!$C$15, $E$9, 100%, $G$9) + CHOOSE(CONTROL!$C$38, 0.0278, 0)</f>
        <v>38.387900000000002</v>
      </c>
      <c r="G512" s="14">
        <f>36.3457 * CHOOSE(CONTROL!$C$15, $E$9, 100%, $G$9) + CHOOSE(CONTROL!$C$38, 0.0369, 0)</f>
        <v>36.382600000000004</v>
      </c>
      <c r="H512" s="14">
        <f>36.3457 * CHOOSE(CONTROL!$C$15, $E$9, 100%, $G$9) + CHOOSE(CONTROL!$C$38, 0.0369, 0)</f>
        <v>36.382600000000004</v>
      </c>
      <c r="I512" s="14">
        <f>36.3473 * CHOOSE(CONTROL!$C$15, $E$9, 100%, $G$9) + CHOOSE(CONTROL!$C$38, 0.0369, 0)</f>
        <v>36.3842</v>
      </c>
      <c r="J512" s="44">
        <f>301.0981</f>
        <v>301.09809999999999</v>
      </c>
    </row>
    <row r="513" spans="1:10" ht="15.75" x14ac:dyDescent="0.25">
      <c r="A513" s="33">
        <v>56553</v>
      </c>
      <c r="B513" s="14">
        <f>38.878 * CHOOSE(CONTROL!$C$15, $E$9, 100%, $G$9) + CHOOSE(CONTROL!$C$38, 0.0256, 0)</f>
        <v>38.903599999999997</v>
      </c>
      <c r="C513" s="14">
        <f>36.7089 * CHOOSE(CONTROL!$C$15, $E$9, 100%, $G$9) + CHOOSE(CONTROL!$C$38, 0.0347, 0)</f>
        <v>36.743600000000001</v>
      </c>
      <c r="D513" s="14">
        <f>36.7011 * CHOOSE(CONTROL!$C$15, $E$9, 100%, $G$9) + CHOOSE(CONTROL!$C$38, 0.0347, 0)</f>
        <v>36.735799999999998</v>
      </c>
      <c r="E513" s="46">
        <f>38.7217 * CHOOSE(CONTROL!$C$15, $E$9, 100%, $G$9) + CHOOSE(CONTROL!$C$38, 0.0347, 0)</f>
        <v>38.756399999999999</v>
      </c>
      <c r="F513" s="45">
        <f>38.7217 * CHOOSE(CONTROL!$C$15, $E$9, 100%, $G$9) + CHOOSE(CONTROL!$C$38, 0.0256, 0)</f>
        <v>38.747299999999996</v>
      </c>
      <c r="G513" s="14">
        <f>36.7073 * CHOOSE(CONTROL!$C$15, $E$9, 100%, $G$9) + CHOOSE(CONTROL!$C$38, 0.0347, 0)</f>
        <v>36.741999999999997</v>
      </c>
      <c r="H513" s="14">
        <f>36.7073 * CHOOSE(CONTROL!$C$15, $E$9, 100%, $G$9) + CHOOSE(CONTROL!$C$38, 0.0347, 0)</f>
        <v>36.741999999999997</v>
      </c>
      <c r="I513" s="14">
        <f>36.7089 * CHOOSE(CONTROL!$C$15, $E$9, 100%, $G$9) + CHOOSE(CONTROL!$C$38, 0.0347, 0)</f>
        <v>36.743600000000001</v>
      </c>
      <c r="J513" s="44">
        <f>290.6859</f>
        <v>290.6859</v>
      </c>
    </row>
    <row r="514" spans="1:10" ht="15.75" x14ac:dyDescent="0.25">
      <c r="A514" s="33">
        <v>56583</v>
      </c>
      <c r="B514" s="14">
        <f>39.1797 * CHOOSE(CONTROL!$C$15, $E$9, 100%, $G$9) + CHOOSE(CONTROL!$C$38, 0.0256, 0)</f>
        <v>39.205299999999994</v>
      </c>
      <c r="C514" s="14">
        <f>37.0106 * CHOOSE(CONTROL!$C$15, $E$9, 100%, $G$9) + CHOOSE(CONTROL!$C$38, 0.0347, 0)</f>
        <v>37.045299999999997</v>
      </c>
      <c r="D514" s="14">
        <f>37.0028 * CHOOSE(CONTROL!$C$15, $E$9, 100%, $G$9) + CHOOSE(CONTROL!$C$38, 0.0347, 0)</f>
        <v>37.037500000000001</v>
      </c>
      <c r="E514" s="46">
        <f>39.0234 * CHOOSE(CONTROL!$C$15, $E$9, 100%, $G$9) + CHOOSE(CONTROL!$C$38, 0.0347, 0)</f>
        <v>39.058100000000003</v>
      </c>
      <c r="F514" s="45">
        <f>39.0234 * CHOOSE(CONTROL!$C$15, $E$9, 100%, $G$9) + CHOOSE(CONTROL!$C$38, 0.0256, 0)</f>
        <v>39.048999999999999</v>
      </c>
      <c r="G514" s="14">
        <f>37.009 * CHOOSE(CONTROL!$C$15, $E$9, 100%, $G$9) + CHOOSE(CONTROL!$C$38, 0.0347, 0)</f>
        <v>37.043700000000001</v>
      </c>
      <c r="H514" s="14">
        <f>37.009 * CHOOSE(CONTROL!$C$15, $E$9, 100%, $G$9) + CHOOSE(CONTROL!$C$38, 0.0347, 0)</f>
        <v>37.043700000000001</v>
      </c>
      <c r="I514" s="14">
        <f>37.0106 * CHOOSE(CONTROL!$C$15, $E$9, 100%, $G$9) + CHOOSE(CONTROL!$C$38, 0.0347, 0)</f>
        <v>37.045299999999997</v>
      </c>
      <c r="J514" s="44">
        <f>288.6147</f>
        <v>288.61470000000003</v>
      </c>
    </row>
    <row r="515" spans="1:10" ht="15.75" x14ac:dyDescent="0.25">
      <c r="A515" s="33">
        <v>56614</v>
      </c>
      <c r="B515" s="14">
        <f>40.1093 * CHOOSE(CONTROL!$C$15, $E$9, 100%, $G$9) + CHOOSE(CONTROL!$C$38, 0.0256, 0)</f>
        <v>40.134899999999995</v>
      </c>
      <c r="C515" s="14">
        <f>37.9402 * CHOOSE(CONTROL!$C$15, $E$9, 100%, $G$9) + CHOOSE(CONTROL!$C$38, 0.0347, 0)</f>
        <v>37.974899999999998</v>
      </c>
      <c r="D515" s="14">
        <f>37.9324 * CHOOSE(CONTROL!$C$15, $E$9, 100%, $G$9) + CHOOSE(CONTROL!$C$38, 0.0347, 0)</f>
        <v>37.967100000000002</v>
      </c>
      <c r="E515" s="46">
        <f>39.9531 * CHOOSE(CONTROL!$C$15, $E$9, 100%, $G$9) + CHOOSE(CONTROL!$C$38, 0.0347, 0)</f>
        <v>39.9878</v>
      </c>
      <c r="F515" s="45">
        <f>39.9531 * CHOOSE(CONTROL!$C$15, $E$9, 100%, $G$9) + CHOOSE(CONTROL!$C$38, 0.0256, 0)</f>
        <v>39.978699999999996</v>
      </c>
      <c r="G515" s="14">
        <f>37.9387 * CHOOSE(CONTROL!$C$15, $E$9, 100%, $G$9) + CHOOSE(CONTROL!$C$38, 0.0347, 0)</f>
        <v>37.973399999999998</v>
      </c>
      <c r="H515" s="14">
        <f>37.9387 * CHOOSE(CONTROL!$C$15, $E$9, 100%, $G$9) + CHOOSE(CONTROL!$C$38, 0.0347, 0)</f>
        <v>37.973399999999998</v>
      </c>
      <c r="I515" s="14">
        <f>37.9402 * CHOOSE(CONTROL!$C$15, $E$9, 100%, $G$9) + CHOOSE(CONTROL!$C$38, 0.0347, 0)</f>
        <v>37.974899999999998</v>
      </c>
      <c r="J515" s="44">
        <f>280.05</f>
        <v>280.05</v>
      </c>
    </row>
    <row r="516" spans="1:10" ht="15.75" x14ac:dyDescent="0.25">
      <c r="A516" s="32">
        <v>56645</v>
      </c>
      <c r="B516" s="14">
        <f>41.4922 * CHOOSE(CONTROL!$C$15, $E$9, 100%, $G$9) + CHOOSE(CONTROL!$C$38, 0.0256, 0)</f>
        <v>41.517799999999994</v>
      </c>
      <c r="C516" s="14">
        <f>39.2893 * CHOOSE(CONTROL!$C$15, $E$9, 100%, $G$9) + CHOOSE(CONTROL!$C$38, 0.0347, 0)</f>
        <v>39.323999999999998</v>
      </c>
      <c r="D516" s="14">
        <f>39.2815 * CHOOSE(CONTROL!$C$15, $E$9, 100%, $G$9) + CHOOSE(CONTROL!$C$38, 0.0347, 0)</f>
        <v>39.316200000000002</v>
      </c>
      <c r="E516" s="46">
        <f>41.336 * CHOOSE(CONTROL!$C$15, $E$9, 100%, $G$9) + CHOOSE(CONTROL!$C$38, 0.0347, 0)</f>
        <v>41.370699999999999</v>
      </c>
      <c r="F516" s="45">
        <f>41.336 * CHOOSE(CONTROL!$C$15, $E$9, 100%, $G$9) + CHOOSE(CONTROL!$C$38, 0.0256, 0)</f>
        <v>41.361599999999996</v>
      </c>
      <c r="G516" s="14">
        <f>39.2878 * CHOOSE(CONTROL!$C$15, $E$9, 100%, $G$9) + CHOOSE(CONTROL!$C$38, 0.0347, 0)</f>
        <v>39.322499999999998</v>
      </c>
      <c r="H516" s="14">
        <f>39.2878 * CHOOSE(CONTROL!$C$15, $E$9, 100%, $G$9) + CHOOSE(CONTROL!$C$38, 0.0347, 0)</f>
        <v>39.322499999999998</v>
      </c>
      <c r="I516" s="14">
        <f>39.2893 * CHOOSE(CONTROL!$C$15, $E$9, 100%, $G$9) + CHOOSE(CONTROL!$C$38, 0.0347, 0)</f>
        <v>39.323999999999998</v>
      </c>
      <c r="J516" s="44">
        <f>279.8478</f>
        <v>279.84780000000001</v>
      </c>
    </row>
    <row r="517" spans="1:10" ht="15.75" x14ac:dyDescent="0.25">
      <c r="A517" s="32">
        <v>56673</v>
      </c>
      <c r="B517" s="14">
        <f>41.8366 * CHOOSE(CONTROL!$C$15, $E$9, 100%, $G$9) + CHOOSE(CONTROL!$C$38, 0.0256, 0)</f>
        <v>41.862199999999994</v>
      </c>
      <c r="C517" s="14">
        <f>39.6337 * CHOOSE(CONTROL!$C$15, $E$9, 100%, $G$9) + CHOOSE(CONTROL!$C$38, 0.0347, 0)</f>
        <v>39.668399999999998</v>
      </c>
      <c r="D517" s="14">
        <f>39.6259 * CHOOSE(CONTROL!$C$15, $E$9, 100%, $G$9) + CHOOSE(CONTROL!$C$38, 0.0347, 0)</f>
        <v>39.660600000000002</v>
      </c>
      <c r="E517" s="46">
        <f>41.6803 * CHOOSE(CONTROL!$C$15, $E$9, 100%, $G$9) + CHOOSE(CONTROL!$C$38, 0.0347, 0)</f>
        <v>41.715000000000003</v>
      </c>
      <c r="F517" s="45">
        <f>41.6803 * CHOOSE(CONTROL!$C$15, $E$9, 100%, $G$9) + CHOOSE(CONTROL!$C$38, 0.0256, 0)</f>
        <v>41.7059</v>
      </c>
      <c r="G517" s="14">
        <f>39.6321 * CHOOSE(CONTROL!$C$15, $E$9, 100%, $G$9) + CHOOSE(CONTROL!$C$38, 0.0347, 0)</f>
        <v>39.666800000000002</v>
      </c>
      <c r="H517" s="14">
        <f>39.6321 * CHOOSE(CONTROL!$C$15, $E$9, 100%, $G$9) + CHOOSE(CONTROL!$C$38, 0.0347, 0)</f>
        <v>39.666800000000002</v>
      </c>
      <c r="I517" s="14">
        <f>39.6337 * CHOOSE(CONTROL!$C$15, $E$9, 100%, $G$9) + CHOOSE(CONTROL!$C$38, 0.0347, 0)</f>
        <v>39.668399999999998</v>
      </c>
      <c r="J517" s="44">
        <f>279.0699</f>
        <v>279.06990000000002</v>
      </c>
    </row>
    <row r="518" spans="1:10" ht="15.75" x14ac:dyDescent="0.25">
      <c r="A518" s="32">
        <v>56704</v>
      </c>
      <c r="B518" s="14">
        <f>41.0395 * CHOOSE(CONTROL!$C$15, $E$9, 100%, $G$9) + CHOOSE(CONTROL!$C$38, 0.0256, 0)</f>
        <v>41.065099999999994</v>
      </c>
      <c r="C518" s="14">
        <f>38.8366 * CHOOSE(CONTROL!$C$15, $E$9, 100%, $G$9) + CHOOSE(CONTROL!$C$38, 0.0347, 0)</f>
        <v>38.871299999999998</v>
      </c>
      <c r="D518" s="14">
        <f>38.8288 * CHOOSE(CONTROL!$C$15, $E$9, 100%, $G$9) + CHOOSE(CONTROL!$C$38, 0.0347, 0)</f>
        <v>38.863500000000002</v>
      </c>
      <c r="E518" s="46">
        <f>40.8833 * CHOOSE(CONTROL!$C$15, $E$9, 100%, $G$9) + CHOOSE(CONTROL!$C$38, 0.0347, 0)</f>
        <v>40.917999999999999</v>
      </c>
      <c r="F518" s="45">
        <f>40.8833 * CHOOSE(CONTROL!$C$15, $E$9, 100%, $G$9) + CHOOSE(CONTROL!$C$38, 0.0256, 0)</f>
        <v>40.908899999999996</v>
      </c>
      <c r="G518" s="14">
        <f>38.8351 * CHOOSE(CONTROL!$C$15, $E$9, 100%, $G$9) + CHOOSE(CONTROL!$C$38, 0.0347, 0)</f>
        <v>38.869799999999998</v>
      </c>
      <c r="H518" s="14">
        <f>38.8351 * CHOOSE(CONTROL!$C$15, $E$9, 100%, $G$9) + CHOOSE(CONTROL!$C$38, 0.0347, 0)</f>
        <v>38.869799999999998</v>
      </c>
      <c r="I518" s="14">
        <f>38.8366 * CHOOSE(CONTROL!$C$15, $E$9, 100%, $G$9) + CHOOSE(CONTROL!$C$38, 0.0347, 0)</f>
        <v>38.871299999999998</v>
      </c>
      <c r="J518" s="44">
        <f>293.7785</f>
        <v>293.77850000000001</v>
      </c>
    </row>
    <row r="519" spans="1:10" ht="15.75" x14ac:dyDescent="0.25">
      <c r="A519" s="32">
        <v>56734</v>
      </c>
      <c r="B519" s="14">
        <f>40.2672 * CHOOSE(CONTROL!$C$15, $E$9, 100%, $G$9) + CHOOSE(CONTROL!$C$38, 0.0256, 0)</f>
        <v>40.2928</v>
      </c>
      <c r="C519" s="14">
        <f>38.0643 * CHOOSE(CONTROL!$C$15, $E$9, 100%, $G$9) + CHOOSE(CONTROL!$C$38, 0.0347, 0)</f>
        <v>38.099000000000004</v>
      </c>
      <c r="D519" s="14">
        <f>38.0565 * CHOOSE(CONTROL!$C$15, $E$9, 100%, $G$9) + CHOOSE(CONTROL!$C$38, 0.0347, 0)</f>
        <v>38.091200000000001</v>
      </c>
      <c r="E519" s="46">
        <f>40.111 * CHOOSE(CONTROL!$C$15, $E$9, 100%, $G$9) + CHOOSE(CONTROL!$C$38, 0.0347, 0)</f>
        <v>40.145699999999998</v>
      </c>
      <c r="F519" s="45">
        <f>40.111 * CHOOSE(CONTROL!$C$15, $E$9, 100%, $G$9) + CHOOSE(CONTROL!$C$38, 0.0256, 0)</f>
        <v>40.136599999999994</v>
      </c>
      <c r="G519" s="14">
        <f>38.0628 * CHOOSE(CONTROL!$C$15, $E$9, 100%, $G$9) + CHOOSE(CONTROL!$C$38, 0.0347, 0)</f>
        <v>38.097500000000004</v>
      </c>
      <c r="H519" s="14">
        <f>38.0628 * CHOOSE(CONTROL!$C$15, $E$9, 100%, $G$9) + CHOOSE(CONTROL!$C$38, 0.0347, 0)</f>
        <v>38.097500000000004</v>
      </c>
      <c r="I519" s="14">
        <f>38.0643 * CHOOSE(CONTROL!$C$15, $E$9, 100%, $G$9) + CHOOSE(CONTROL!$C$38, 0.0347, 0)</f>
        <v>38.099000000000004</v>
      </c>
      <c r="J519" s="44">
        <f>312.8521</f>
        <v>312.85210000000001</v>
      </c>
    </row>
    <row r="520" spans="1:10" ht="15.75" x14ac:dyDescent="0.25">
      <c r="A520" s="32">
        <v>56765</v>
      </c>
      <c r="B520" s="14">
        <f>39.4623 * CHOOSE(CONTROL!$C$15, $E$9, 100%, $G$9) + CHOOSE(CONTROL!$C$38, 0.0278, 0)</f>
        <v>39.490099999999998</v>
      </c>
      <c r="C520" s="14">
        <f>37.2594 * CHOOSE(CONTROL!$C$15, $E$9, 100%, $G$9) + CHOOSE(CONTROL!$C$38, 0.0369, 0)</f>
        <v>37.296300000000002</v>
      </c>
      <c r="D520" s="14">
        <f>37.2515 * CHOOSE(CONTROL!$C$15, $E$9, 100%, $G$9) + CHOOSE(CONTROL!$C$38, 0.0369, 0)</f>
        <v>37.288400000000003</v>
      </c>
      <c r="E520" s="46">
        <f>39.306 * CHOOSE(CONTROL!$C$15, $E$9, 100%, $G$9) + CHOOSE(CONTROL!$C$38, 0.0369, 0)</f>
        <v>39.3429</v>
      </c>
      <c r="F520" s="45">
        <f>39.306 * CHOOSE(CONTROL!$C$15, $E$9, 100%, $G$9) + CHOOSE(CONTROL!$C$38, 0.0278, 0)</f>
        <v>39.333799999999997</v>
      </c>
      <c r="G520" s="14">
        <f>37.2578 * CHOOSE(CONTROL!$C$15, $E$9, 100%, $G$9) + CHOOSE(CONTROL!$C$38, 0.0369, 0)</f>
        <v>37.294700000000006</v>
      </c>
      <c r="H520" s="14">
        <f>37.2578 * CHOOSE(CONTROL!$C$15, $E$9, 100%, $G$9) + CHOOSE(CONTROL!$C$38, 0.0369, 0)</f>
        <v>37.294700000000006</v>
      </c>
      <c r="I520" s="14">
        <f>37.2594 * CHOOSE(CONTROL!$C$15, $E$9, 100%, $G$9) + CHOOSE(CONTROL!$C$38, 0.0369, 0)</f>
        <v>37.296300000000002</v>
      </c>
      <c r="J520" s="44">
        <f>323.3507</f>
        <v>323.35070000000002</v>
      </c>
    </row>
    <row r="521" spans="1:10" ht="15.75" x14ac:dyDescent="0.25">
      <c r="A521" s="32">
        <v>56795</v>
      </c>
      <c r="B521" s="14">
        <f>38.8979 * CHOOSE(CONTROL!$C$15, $E$9, 100%, $G$9) + CHOOSE(CONTROL!$C$38, 0.0278, 0)</f>
        <v>38.925699999999999</v>
      </c>
      <c r="C521" s="14">
        <f>36.695 * CHOOSE(CONTROL!$C$15, $E$9, 100%, $G$9) + CHOOSE(CONTROL!$C$38, 0.0369, 0)</f>
        <v>36.731900000000003</v>
      </c>
      <c r="D521" s="14">
        <f>36.6872 * CHOOSE(CONTROL!$C$15, $E$9, 100%, $G$9) + CHOOSE(CONTROL!$C$38, 0.0369, 0)</f>
        <v>36.7241</v>
      </c>
      <c r="E521" s="46">
        <f>38.7417 * CHOOSE(CONTROL!$C$15, $E$9, 100%, $G$9) + CHOOSE(CONTROL!$C$38, 0.0369, 0)</f>
        <v>38.778600000000004</v>
      </c>
      <c r="F521" s="45">
        <f>38.7417 * CHOOSE(CONTROL!$C$15, $E$9, 100%, $G$9) + CHOOSE(CONTROL!$C$38, 0.0278, 0)</f>
        <v>38.769500000000001</v>
      </c>
      <c r="G521" s="14">
        <f>36.6935 * CHOOSE(CONTROL!$C$15, $E$9, 100%, $G$9) + CHOOSE(CONTROL!$C$38, 0.0369, 0)</f>
        <v>36.730400000000003</v>
      </c>
      <c r="H521" s="14">
        <f>36.6935 * CHOOSE(CONTROL!$C$15, $E$9, 100%, $G$9) + CHOOSE(CONTROL!$C$38, 0.0369, 0)</f>
        <v>36.730400000000003</v>
      </c>
      <c r="I521" s="14">
        <f>36.695 * CHOOSE(CONTROL!$C$15, $E$9, 100%, $G$9) + CHOOSE(CONTROL!$C$38, 0.0369, 0)</f>
        <v>36.731900000000003</v>
      </c>
      <c r="J521" s="44">
        <f>328.0099</f>
        <v>328.00990000000002</v>
      </c>
    </row>
    <row r="522" spans="1:10" ht="15.75" x14ac:dyDescent="0.25">
      <c r="A522" s="32">
        <v>56826</v>
      </c>
      <c r="B522" s="14">
        <f>38.5759 * CHOOSE(CONTROL!$C$15, $E$9, 100%, $G$9) + CHOOSE(CONTROL!$C$38, 0.0278, 0)</f>
        <v>38.603699999999996</v>
      </c>
      <c r="C522" s="14">
        <f>36.373 * CHOOSE(CONTROL!$C$15, $E$9, 100%, $G$9) + CHOOSE(CONTROL!$C$38, 0.0369, 0)</f>
        <v>36.4099</v>
      </c>
      <c r="D522" s="14">
        <f>36.3652 * CHOOSE(CONTROL!$C$15, $E$9, 100%, $G$9) + CHOOSE(CONTROL!$C$38, 0.0369, 0)</f>
        <v>36.402100000000004</v>
      </c>
      <c r="E522" s="46">
        <f>38.4196 * CHOOSE(CONTROL!$C$15, $E$9, 100%, $G$9) + CHOOSE(CONTROL!$C$38, 0.0369, 0)</f>
        <v>38.456500000000005</v>
      </c>
      <c r="F522" s="45">
        <f>38.4196 * CHOOSE(CONTROL!$C$15, $E$9, 100%, $G$9) + CHOOSE(CONTROL!$C$38, 0.0278, 0)</f>
        <v>38.447400000000002</v>
      </c>
      <c r="G522" s="14">
        <f>36.3714 * CHOOSE(CONTROL!$C$15, $E$9, 100%, $G$9) + CHOOSE(CONTROL!$C$38, 0.0369, 0)</f>
        <v>36.408300000000004</v>
      </c>
      <c r="H522" s="14">
        <f>36.3714 * CHOOSE(CONTROL!$C$15, $E$9, 100%, $G$9) + CHOOSE(CONTROL!$C$38, 0.0369, 0)</f>
        <v>36.408300000000004</v>
      </c>
      <c r="I522" s="14">
        <f>36.373 * CHOOSE(CONTROL!$C$15, $E$9, 100%, $G$9) + CHOOSE(CONTROL!$C$38, 0.0369, 0)</f>
        <v>36.4099</v>
      </c>
      <c r="J522" s="44">
        <f>326.4759</f>
        <v>326.47590000000002</v>
      </c>
    </row>
    <row r="523" spans="1:10" ht="15.75" x14ac:dyDescent="0.25">
      <c r="A523" s="32">
        <v>56857</v>
      </c>
      <c r="B523" s="14">
        <f>38.7348 * CHOOSE(CONTROL!$C$15, $E$9, 100%, $G$9) + CHOOSE(CONTROL!$C$38, 0.0278, 0)</f>
        <v>38.762599999999999</v>
      </c>
      <c r="C523" s="14">
        <f>36.5319 * CHOOSE(CONTROL!$C$15, $E$9, 100%, $G$9) + CHOOSE(CONTROL!$C$38, 0.0369, 0)</f>
        <v>36.568800000000003</v>
      </c>
      <c r="D523" s="14">
        <f>36.5241 * CHOOSE(CONTROL!$C$15, $E$9, 100%, $G$9) + CHOOSE(CONTROL!$C$38, 0.0369, 0)</f>
        <v>36.561</v>
      </c>
      <c r="E523" s="46">
        <f>38.5786 * CHOOSE(CONTROL!$C$15, $E$9, 100%, $G$9) + CHOOSE(CONTROL!$C$38, 0.0369, 0)</f>
        <v>38.615500000000004</v>
      </c>
      <c r="F523" s="45">
        <f>38.5786 * CHOOSE(CONTROL!$C$15, $E$9, 100%, $G$9) + CHOOSE(CONTROL!$C$38, 0.0278, 0)</f>
        <v>38.606400000000001</v>
      </c>
      <c r="G523" s="14">
        <f>36.5303 * CHOOSE(CONTROL!$C$15, $E$9, 100%, $G$9) + CHOOSE(CONTROL!$C$38, 0.0369, 0)</f>
        <v>36.5672</v>
      </c>
      <c r="H523" s="14">
        <f>36.5303 * CHOOSE(CONTROL!$C$15, $E$9, 100%, $G$9) + CHOOSE(CONTROL!$C$38, 0.0369, 0)</f>
        <v>36.5672</v>
      </c>
      <c r="I523" s="14">
        <f>36.5319 * CHOOSE(CONTROL!$C$15, $E$9, 100%, $G$9) + CHOOSE(CONTROL!$C$38, 0.0369, 0)</f>
        <v>36.568800000000003</v>
      </c>
      <c r="J523" s="44">
        <f>318.8757</f>
        <v>318.87569999999999</v>
      </c>
    </row>
    <row r="524" spans="1:10" ht="15.75" x14ac:dyDescent="0.25">
      <c r="A524" s="32">
        <v>56887</v>
      </c>
      <c r="B524" s="14">
        <f>39.1665 * CHOOSE(CONTROL!$C$15, $E$9, 100%, $G$9) + CHOOSE(CONTROL!$C$38, 0.0278, 0)</f>
        <v>39.194299999999998</v>
      </c>
      <c r="C524" s="14">
        <f>36.9636 * CHOOSE(CONTROL!$C$15, $E$9, 100%, $G$9) + CHOOSE(CONTROL!$C$38, 0.0369, 0)</f>
        <v>37.000500000000002</v>
      </c>
      <c r="D524" s="14">
        <f>36.9558 * CHOOSE(CONTROL!$C$15, $E$9, 100%, $G$9) + CHOOSE(CONTROL!$C$38, 0.0369, 0)</f>
        <v>36.992700000000006</v>
      </c>
      <c r="E524" s="46">
        <f>39.0103 * CHOOSE(CONTROL!$C$15, $E$9, 100%, $G$9) + CHOOSE(CONTROL!$C$38, 0.0369, 0)</f>
        <v>39.047200000000004</v>
      </c>
      <c r="F524" s="45">
        <f>39.0103 * CHOOSE(CONTROL!$C$15, $E$9, 100%, $G$9) + CHOOSE(CONTROL!$C$38, 0.0278, 0)</f>
        <v>39.0381</v>
      </c>
      <c r="G524" s="14">
        <f>36.9621 * CHOOSE(CONTROL!$C$15, $E$9, 100%, $G$9) + CHOOSE(CONTROL!$C$38, 0.0369, 0)</f>
        <v>36.999000000000002</v>
      </c>
      <c r="H524" s="14">
        <f>36.9621 * CHOOSE(CONTROL!$C$15, $E$9, 100%, $G$9) + CHOOSE(CONTROL!$C$38, 0.0369, 0)</f>
        <v>36.999000000000002</v>
      </c>
      <c r="I524" s="14">
        <f>36.9636 * CHOOSE(CONTROL!$C$15, $E$9, 100%, $G$9) + CHOOSE(CONTROL!$C$38, 0.0369, 0)</f>
        <v>37.000500000000002</v>
      </c>
      <c r="J524" s="44">
        <f>308.2768</f>
        <v>308.27679999999998</v>
      </c>
    </row>
    <row r="525" spans="1:10" ht="15.75" x14ac:dyDescent="0.25">
      <c r="A525" s="32">
        <v>56918</v>
      </c>
      <c r="B525" s="14">
        <f>39.5281 * CHOOSE(CONTROL!$C$15, $E$9, 100%, $G$9) + CHOOSE(CONTROL!$C$38, 0.0256, 0)</f>
        <v>39.553699999999999</v>
      </c>
      <c r="C525" s="14">
        <f>37.3252 * CHOOSE(CONTROL!$C$15, $E$9, 100%, $G$9) + CHOOSE(CONTROL!$C$38, 0.0347, 0)</f>
        <v>37.359900000000003</v>
      </c>
      <c r="D525" s="14">
        <f>37.3174 * CHOOSE(CONTROL!$C$15, $E$9, 100%, $G$9) + CHOOSE(CONTROL!$C$38, 0.0347, 0)</f>
        <v>37.3521</v>
      </c>
      <c r="E525" s="46">
        <f>39.3718 * CHOOSE(CONTROL!$C$15, $E$9, 100%, $G$9) + CHOOSE(CONTROL!$C$38, 0.0347, 0)</f>
        <v>39.406500000000001</v>
      </c>
      <c r="F525" s="45">
        <f>39.3718 * CHOOSE(CONTROL!$C$15, $E$9, 100%, $G$9) + CHOOSE(CONTROL!$C$38, 0.0256, 0)</f>
        <v>39.397399999999998</v>
      </c>
      <c r="G525" s="14">
        <f>37.3236 * CHOOSE(CONTROL!$C$15, $E$9, 100%, $G$9) + CHOOSE(CONTROL!$C$38, 0.0347, 0)</f>
        <v>37.3583</v>
      </c>
      <c r="H525" s="14">
        <f>37.3236 * CHOOSE(CONTROL!$C$15, $E$9, 100%, $G$9) + CHOOSE(CONTROL!$C$38, 0.0347, 0)</f>
        <v>37.3583</v>
      </c>
      <c r="I525" s="14">
        <f>37.3252 * CHOOSE(CONTROL!$C$15, $E$9, 100%, $G$9) + CHOOSE(CONTROL!$C$38, 0.0347, 0)</f>
        <v>37.359900000000003</v>
      </c>
      <c r="J525" s="44">
        <f>297.6163</f>
        <v>297.61630000000002</v>
      </c>
    </row>
    <row r="526" spans="1:10" ht="15.75" x14ac:dyDescent="0.25">
      <c r="A526" s="32">
        <v>56948</v>
      </c>
      <c r="B526" s="14">
        <f>39.8298 * CHOOSE(CONTROL!$C$15, $E$9, 100%, $G$9) + CHOOSE(CONTROL!$C$38, 0.0256, 0)</f>
        <v>39.855399999999996</v>
      </c>
      <c r="C526" s="14">
        <f>37.6269 * CHOOSE(CONTROL!$C$15, $E$9, 100%, $G$9) + CHOOSE(CONTROL!$C$38, 0.0347, 0)</f>
        <v>37.6616</v>
      </c>
      <c r="D526" s="14">
        <f>37.6191 * CHOOSE(CONTROL!$C$15, $E$9, 100%, $G$9) + CHOOSE(CONTROL!$C$38, 0.0347, 0)</f>
        <v>37.653800000000004</v>
      </c>
      <c r="E526" s="46">
        <f>39.6735 * CHOOSE(CONTROL!$C$15, $E$9, 100%, $G$9) + CHOOSE(CONTROL!$C$38, 0.0347, 0)</f>
        <v>39.708199999999998</v>
      </c>
      <c r="F526" s="45">
        <f>39.6735 * CHOOSE(CONTROL!$C$15, $E$9, 100%, $G$9) + CHOOSE(CONTROL!$C$38, 0.0256, 0)</f>
        <v>39.699099999999994</v>
      </c>
      <c r="G526" s="14">
        <f>37.6253 * CHOOSE(CONTROL!$C$15, $E$9, 100%, $G$9) + CHOOSE(CONTROL!$C$38, 0.0347, 0)</f>
        <v>37.660000000000004</v>
      </c>
      <c r="H526" s="14">
        <f>37.6253 * CHOOSE(CONTROL!$C$15, $E$9, 100%, $G$9) + CHOOSE(CONTROL!$C$38, 0.0347, 0)</f>
        <v>37.660000000000004</v>
      </c>
      <c r="I526" s="14">
        <f>37.6269 * CHOOSE(CONTROL!$C$15, $E$9, 100%, $G$9) + CHOOSE(CONTROL!$C$38, 0.0347, 0)</f>
        <v>37.6616</v>
      </c>
      <c r="J526" s="44">
        <f>295.4957</f>
        <v>295.4957</v>
      </c>
    </row>
    <row r="527" spans="1:10" ht="15.75" x14ac:dyDescent="0.25">
      <c r="A527" s="32">
        <v>56979</v>
      </c>
      <c r="B527" s="14">
        <f>40.7594 * CHOOSE(CONTROL!$C$15, $E$9, 100%, $G$9) + CHOOSE(CONTROL!$C$38, 0.0256, 0)</f>
        <v>40.784999999999997</v>
      </c>
      <c r="C527" s="14">
        <f>38.5565 * CHOOSE(CONTROL!$C$15, $E$9, 100%, $G$9) + CHOOSE(CONTROL!$C$38, 0.0347, 0)</f>
        <v>38.591200000000001</v>
      </c>
      <c r="D527" s="14">
        <f>38.5487 * CHOOSE(CONTROL!$C$15, $E$9, 100%, $G$9) + CHOOSE(CONTROL!$C$38, 0.0347, 0)</f>
        <v>38.583399999999997</v>
      </c>
      <c r="E527" s="46">
        <f>40.6032 * CHOOSE(CONTROL!$C$15, $E$9, 100%, $G$9) + CHOOSE(CONTROL!$C$38, 0.0347, 0)</f>
        <v>40.637900000000002</v>
      </c>
      <c r="F527" s="45">
        <f>40.6032 * CHOOSE(CONTROL!$C$15, $E$9, 100%, $G$9) + CHOOSE(CONTROL!$C$38, 0.0256, 0)</f>
        <v>40.628799999999998</v>
      </c>
      <c r="G527" s="14">
        <f>38.555 * CHOOSE(CONTROL!$C$15, $E$9, 100%, $G$9) + CHOOSE(CONTROL!$C$38, 0.0347, 0)</f>
        <v>38.589700000000001</v>
      </c>
      <c r="H527" s="14">
        <f>38.555 * CHOOSE(CONTROL!$C$15, $E$9, 100%, $G$9) + CHOOSE(CONTROL!$C$38, 0.0347, 0)</f>
        <v>38.589700000000001</v>
      </c>
      <c r="I527" s="14">
        <f>38.5565 * CHOOSE(CONTROL!$C$15, $E$9, 100%, $G$9) + CHOOSE(CONTROL!$C$38, 0.0347, 0)</f>
        <v>38.591200000000001</v>
      </c>
      <c r="J527" s="44">
        <f>286.7268</f>
        <v>286.72680000000003</v>
      </c>
    </row>
    <row r="528" spans="1:10" ht="15.75" x14ac:dyDescent="0.25">
      <c r="A528" s="32">
        <v>57010</v>
      </c>
      <c r="B528" s="14">
        <f>42.1533 * CHOOSE(CONTROL!$C$15, $E$9, 100%, $G$9) + CHOOSE(CONTROL!$C$38, 0.0256, 0)</f>
        <v>42.178899999999999</v>
      </c>
      <c r="C528" s="14">
        <f>39.916 * CHOOSE(CONTROL!$C$15, $E$9, 100%, $G$9) + CHOOSE(CONTROL!$C$38, 0.0347, 0)</f>
        <v>39.950699999999998</v>
      </c>
      <c r="D528" s="14">
        <f>39.9082 * CHOOSE(CONTROL!$C$15, $E$9, 100%, $G$9) + CHOOSE(CONTROL!$C$38, 0.0347, 0)</f>
        <v>39.942900000000002</v>
      </c>
      <c r="E528" s="46">
        <f>41.997 * CHOOSE(CONTROL!$C$15, $E$9, 100%, $G$9) + CHOOSE(CONTROL!$C$38, 0.0347, 0)</f>
        <v>42.031700000000001</v>
      </c>
      <c r="F528" s="45">
        <f>41.997 * CHOOSE(CONTROL!$C$15, $E$9, 100%, $G$9) + CHOOSE(CONTROL!$C$38, 0.0256, 0)</f>
        <v>42.022599999999997</v>
      </c>
      <c r="G528" s="14">
        <f>39.9145 * CHOOSE(CONTROL!$C$15, $E$9, 100%, $G$9) + CHOOSE(CONTROL!$C$38, 0.0347, 0)</f>
        <v>39.949199999999998</v>
      </c>
      <c r="H528" s="14">
        <f>39.9145 * CHOOSE(CONTROL!$C$15, $E$9, 100%, $G$9) + CHOOSE(CONTROL!$C$38, 0.0347, 0)</f>
        <v>39.949199999999998</v>
      </c>
      <c r="I528" s="14">
        <f>39.916 * CHOOSE(CONTROL!$C$15, $E$9, 100%, $G$9) + CHOOSE(CONTROL!$C$38, 0.0347, 0)</f>
        <v>39.950699999999998</v>
      </c>
      <c r="J528" s="44">
        <f>286.5198</f>
        <v>286.51979999999998</v>
      </c>
    </row>
    <row r="529" spans="1:10" ht="15.75" x14ac:dyDescent="0.25">
      <c r="A529" s="32">
        <v>57038</v>
      </c>
      <c r="B529" s="14">
        <f>42.4976 * CHOOSE(CONTROL!$C$15, $E$9, 100%, $G$9) + CHOOSE(CONTROL!$C$38, 0.0256, 0)</f>
        <v>42.523199999999996</v>
      </c>
      <c r="C529" s="14">
        <f>40.2603 * CHOOSE(CONTROL!$C$15, $E$9, 100%, $G$9) + CHOOSE(CONTROL!$C$38, 0.0347, 0)</f>
        <v>40.295000000000002</v>
      </c>
      <c r="D529" s="14">
        <f>40.2525 * CHOOSE(CONTROL!$C$15, $E$9, 100%, $G$9) + CHOOSE(CONTROL!$C$38, 0.0347, 0)</f>
        <v>40.287199999999999</v>
      </c>
      <c r="E529" s="46">
        <f>42.3414 * CHOOSE(CONTROL!$C$15, $E$9, 100%, $G$9) + CHOOSE(CONTROL!$C$38, 0.0347, 0)</f>
        <v>42.376100000000001</v>
      </c>
      <c r="F529" s="45">
        <f>42.3414 * CHOOSE(CONTROL!$C$15, $E$9, 100%, $G$9) + CHOOSE(CONTROL!$C$38, 0.0256, 0)</f>
        <v>42.366999999999997</v>
      </c>
      <c r="G529" s="14">
        <f>40.2588 * CHOOSE(CONTROL!$C$15, $E$9, 100%, $G$9) + CHOOSE(CONTROL!$C$38, 0.0347, 0)</f>
        <v>40.293500000000002</v>
      </c>
      <c r="H529" s="14">
        <f>40.2588 * CHOOSE(CONTROL!$C$15, $E$9, 100%, $G$9) + CHOOSE(CONTROL!$C$38, 0.0347, 0)</f>
        <v>40.293500000000002</v>
      </c>
      <c r="I529" s="14">
        <f>40.2603 * CHOOSE(CONTROL!$C$15, $E$9, 100%, $G$9) + CHOOSE(CONTROL!$C$38, 0.0347, 0)</f>
        <v>40.295000000000002</v>
      </c>
      <c r="J529" s="44">
        <f>285.7234</f>
        <v>285.72340000000003</v>
      </c>
    </row>
    <row r="530" spans="1:10" ht="15.75" x14ac:dyDescent="0.25">
      <c r="A530" s="32">
        <v>57070</v>
      </c>
      <c r="B530" s="14">
        <f>41.7006 * CHOOSE(CONTROL!$C$15, $E$9, 100%, $G$9) + CHOOSE(CONTROL!$C$38, 0.0256, 0)</f>
        <v>41.726199999999999</v>
      </c>
      <c r="C530" s="14">
        <f>39.4633 * CHOOSE(CONTROL!$C$15, $E$9, 100%, $G$9) + CHOOSE(CONTROL!$C$38, 0.0347, 0)</f>
        <v>39.497999999999998</v>
      </c>
      <c r="D530" s="14">
        <f>39.4555 * CHOOSE(CONTROL!$C$15, $E$9, 100%, $G$9) + CHOOSE(CONTROL!$C$38, 0.0347, 0)</f>
        <v>39.490200000000002</v>
      </c>
      <c r="E530" s="46">
        <f>41.5443 * CHOOSE(CONTROL!$C$15, $E$9, 100%, $G$9) + CHOOSE(CONTROL!$C$38, 0.0347, 0)</f>
        <v>41.579000000000001</v>
      </c>
      <c r="F530" s="45">
        <f>41.5443 * CHOOSE(CONTROL!$C$15, $E$9, 100%, $G$9) + CHOOSE(CONTROL!$C$38, 0.0256, 0)</f>
        <v>41.569899999999997</v>
      </c>
      <c r="G530" s="14">
        <f>39.4617 * CHOOSE(CONTROL!$C$15, $E$9, 100%, $G$9) + CHOOSE(CONTROL!$C$38, 0.0347, 0)</f>
        <v>39.496400000000001</v>
      </c>
      <c r="H530" s="14">
        <f>39.4617 * CHOOSE(CONTROL!$C$15, $E$9, 100%, $G$9) + CHOOSE(CONTROL!$C$38, 0.0347, 0)</f>
        <v>39.496400000000001</v>
      </c>
      <c r="I530" s="14">
        <f>39.4633 * CHOOSE(CONTROL!$C$15, $E$9, 100%, $G$9) + CHOOSE(CONTROL!$C$38, 0.0347, 0)</f>
        <v>39.497999999999998</v>
      </c>
      <c r="J530" s="44">
        <f>300.7826</f>
        <v>300.7826</v>
      </c>
    </row>
    <row r="531" spans="1:10" ht="15.75" x14ac:dyDescent="0.25">
      <c r="A531" s="32">
        <v>57100</v>
      </c>
      <c r="B531" s="14">
        <f>40.9283 * CHOOSE(CONTROL!$C$15, $E$9, 100%, $G$9) + CHOOSE(CONTROL!$C$38, 0.0256, 0)</f>
        <v>40.953899999999997</v>
      </c>
      <c r="C531" s="14">
        <f>38.691 * CHOOSE(CONTROL!$C$15, $E$9, 100%, $G$9) + CHOOSE(CONTROL!$C$38, 0.0347, 0)</f>
        <v>38.725700000000003</v>
      </c>
      <c r="D531" s="14">
        <f>38.6832 * CHOOSE(CONTROL!$C$15, $E$9, 100%, $G$9) + CHOOSE(CONTROL!$C$38, 0.0347, 0)</f>
        <v>38.7179</v>
      </c>
      <c r="E531" s="46">
        <f>40.772 * CHOOSE(CONTROL!$C$15, $E$9, 100%, $G$9) + CHOOSE(CONTROL!$C$38, 0.0347, 0)</f>
        <v>40.806699999999999</v>
      </c>
      <c r="F531" s="45">
        <f>40.772 * CHOOSE(CONTROL!$C$15, $E$9, 100%, $G$9) + CHOOSE(CONTROL!$C$38, 0.0256, 0)</f>
        <v>40.797599999999996</v>
      </c>
      <c r="G531" s="14">
        <f>38.6894 * CHOOSE(CONTROL!$C$15, $E$9, 100%, $G$9) + CHOOSE(CONTROL!$C$38, 0.0347, 0)</f>
        <v>38.7241</v>
      </c>
      <c r="H531" s="14">
        <f>38.6894 * CHOOSE(CONTROL!$C$15, $E$9, 100%, $G$9) + CHOOSE(CONTROL!$C$38, 0.0347, 0)</f>
        <v>38.7241</v>
      </c>
      <c r="I531" s="14">
        <f>38.691 * CHOOSE(CONTROL!$C$15, $E$9, 100%, $G$9) + CHOOSE(CONTROL!$C$38, 0.0347, 0)</f>
        <v>38.725700000000003</v>
      </c>
      <c r="J531" s="44">
        <f>320.3109</f>
        <v>320.3109</v>
      </c>
    </row>
    <row r="532" spans="1:10" ht="15.75" x14ac:dyDescent="0.25">
      <c r="A532" s="32">
        <v>57131</v>
      </c>
      <c r="B532" s="14">
        <f>40.1233 * CHOOSE(CONTROL!$C$15, $E$9, 100%, $G$9) + CHOOSE(CONTROL!$C$38, 0.0278, 0)</f>
        <v>40.1511</v>
      </c>
      <c r="C532" s="14">
        <f>37.886 * CHOOSE(CONTROL!$C$15, $E$9, 100%, $G$9) + CHOOSE(CONTROL!$C$38, 0.0369, 0)</f>
        <v>37.922900000000006</v>
      </c>
      <c r="D532" s="14">
        <f>37.8782 * CHOOSE(CONTROL!$C$15, $E$9, 100%, $G$9) + CHOOSE(CONTROL!$C$38, 0.0369, 0)</f>
        <v>37.915100000000002</v>
      </c>
      <c r="E532" s="46">
        <f>39.967 * CHOOSE(CONTROL!$C$15, $E$9, 100%, $G$9) + CHOOSE(CONTROL!$C$38, 0.0369, 0)</f>
        <v>40.003900000000002</v>
      </c>
      <c r="F532" s="45">
        <f>39.967 * CHOOSE(CONTROL!$C$15, $E$9, 100%, $G$9) + CHOOSE(CONTROL!$C$38, 0.0278, 0)</f>
        <v>39.994799999999998</v>
      </c>
      <c r="G532" s="14">
        <f>37.8845 * CHOOSE(CONTROL!$C$15, $E$9, 100%, $G$9) + CHOOSE(CONTROL!$C$38, 0.0369, 0)</f>
        <v>37.921400000000006</v>
      </c>
      <c r="H532" s="14">
        <f>37.8845 * CHOOSE(CONTROL!$C$15, $E$9, 100%, $G$9) + CHOOSE(CONTROL!$C$38, 0.0369, 0)</f>
        <v>37.921400000000006</v>
      </c>
      <c r="I532" s="14">
        <f>37.886 * CHOOSE(CONTROL!$C$15, $E$9, 100%, $G$9) + CHOOSE(CONTROL!$C$38, 0.0369, 0)</f>
        <v>37.922900000000006</v>
      </c>
      <c r="J532" s="44">
        <f>331.0599</f>
        <v>331.05990000000003</v>
      </c>
    </row>
    <row r="533" spans="1:10" ht="15.75" x14ac:dyDescent="0.25">
      <c r="A533" s="32">
        <v>57161</v>
      </c>
      <c r="B533" s="14">
        <f>39.559 * CHOOSE(CONTROL!$C$15, $E$9, 100%, $G$9) + CHOOSE(CONTROL!$C$38, 0.0278, 0)</f>
        <v>39.586799999999997</v>
      </c>
      <c r="C533" s="14">
        <f>37.3217 * CHOOSE(CONTROL!$C$15, $E$9, 100%, $G$9) + CHOOSE(CONTROL!$C$38, 0.0369, 0)</f>
        <v>37.358600000000003</v>
      </c>
      <c r="D533" s="14">
        <f>37.3139 * CHOOSE(CONTROL!$C$15, $E$9, 100%, $G$9) + CHOOSE(CONTROL!$C$38, 0.0369, 0)</f>
        <v>37.3508</v>
      </c>
      <c r="E533" s="46">
        <f>39.4027 * CHOOSE(CONTROL!$C$15, $E$9, 100%, $G$9) + CHOOSE(CONTROL!$C$38, 0.0369, 0)</f>
        <v>39.439600000000006</v>
      </c>
      <c r="F533" s="45">
        <f>39.4027 * CHOOSE(CONTROL!$C$15, $E$9, 100%, $G$9) + CHOOSE(CONTROL!$C$38, 0.0278, 0)</f>
        <v>39.430500000000002</v>
      </c>
      <c r="G533" s="14">
        <f>37.3201 * CHOOSE(CONTROL!$C$15, $E$9, 100%, $G$9) + CHOOSE(CONTROL!$C$38, 0.0369, 0)</f>
        <v>37.356999999999999</v>
      </c>
      <c r="H533" s="14">
        <f>37.3201 * CHOOSE(CONTROL!$C$15, $E$9, 100%, $G$9) + CHOOSE(CONTROL!$C$38, 0.0369, 0)</f>
        <v>37.356999999999999</v>
      </c>
      <c r="I533" s="14">
        <f>37.3217 * CHOOSE(CONTROL!$C$15, $E$9, 100%, $G$9) + CHOOSE(CONTROL!$C$38, 0.0369, 0)</f>
        <v>37.358600000000003</v>
      </c>
      <c r="J533" s="44">
        <f>335.8301</f>
        <v>335.83010000000002</v>
      </c>
    </row>
    <row r="534" spans="1:10" ht="15.75" x14ac:dyDescent="0.25">
      <c r="A534" s="32">
        <v>57192</v>
      </c>
      <c r="B534" s="14">
        <f>39.2369 * CHOOSE(CONTROL!$C$15, $E$9, 100%, $G$9) + CHOOSE(CONTROL!$C$38, 0.0278, 0)</f>
        <v>39.264699999999998</v>
      </c>
      <c r="C534" s="14">
        <f>36.9996 * CHOOSE(CONTROL!$C$15, $E$9, 100%, $G$9) + CHOOSE(CONTROL!$C$38, 0.0369, 0)</f>
        <v>37.036500000000004</v>
      </c>
      <c r="D534" s="14">
        <f>36.9918 * CHOOSE(CONTROL!$C$15, $E$9, 100%, $G$9) + CHOOSE(CONTROL!$C$38, 0.0369, 0)</f>
        <v>37.028700000000001</v>
      </c>
      <c r="E534" s="46">
        <f>39.0807 * CHOOSE(CONTROL!$C$15, $E$9, 100%, $G$9) + CHOOSE(CONTROL!$C$38, 0.0369, 0)</f>
        <v>39.117600000000003</v>
      </c>
      <c r="F534" s="45">
        <f>39.0807 * CHOOSE(CONTROL!$C$15, $E$9, 100%, $G$9) + CHOOSE(CONTROL!$C$38, 0.0278, 0)</f>
        <v>39.108499999999999</v>
      </c>
      <c r="G534" s="14">
        <f>36.9981 * CHOOSE(CONTROL!$C$15, $E$9, 100%, $G$9) + CHOOSE(CONTROL!$C$38, 0.0369, 0)</f>
        <v>37.035000000000004</v>
      </c>
      <c r="H534" s="14">
        <f>36.9981 * CHOOSE(CONTROL!$C$15, $E$9, 100%, $G$9) + CHOOSE(CONTROL!$C$38, 0.0369, 0)</f>
        <v>37.035000000000004</v>
      </c>
      <c r="I534" s="14">
        <f>36.9996 * CHOOSE(CONTROL!$C$15, $E$9, 100%, $G$9) + CHOOSE(CONTROL!$C$38, 0.0369, 0)</f>
        <v>37.036500000000004</v>
      </c>
      <c r="J534" s="44">
        <f>334.2596</f>
        <v>334.25959999999998</v>
      </c>
    </row>
    <row r="535" spans="1:10" ht="15.75" x14ac:dyDescent="0.25">
      <c r="A535" s="32">
        <v>57223</v>
      </c>
      <c r="B535" s="14">
        <f>39.3959 * CHOOSE(CONTROL!$C$15, $E$9, 100%, $G$9) + CHOOSE(CONTROL!$C$38, 0.0278, 0)</f>
        <v>39.423699999999997</v>
      </c>
      <c r="C535" s="14">
        <f>37.1586 * CHOOSE(CONTROL!$C$15, $E$9, 100%, $G$9) + CHOOSE(CONTROL!$C$38, 0.0369, 0)</f>
        <v>37.195500000000003</v>
      </c>
      <c r="D535" s="14">
        <f>37.1508 * CHOOSE(CONTROL!$C$15, $E$9, 100%, $G$9) + CHOOSE(CONTROL!$C$38, 0.0369, 0)</f>
        <v>37.1877</v>
      </c>
      <c r="E535" s="46">
        <f>39.2396 * CHOOSE(CONTROL!$C$15, $E$9, 100%, $G$9) + CHOOSE(CONTROL!$C$38, 0.0369, 0)</f>
        <v>39.276500000000006</v>
      </c>
      <c r="F535" s="45">
        <f>39.2396 * CHOOSE(CONTROL!$C$15, $E$9, 100%, $G$9) + CHOOSE(CONTROL!$C$38, 0.0278, 0)</f>
        <v>39.267400000000002</v>
      </c>
      <c r="G535" s="14">
        <f>37.157 * CHOOSE(CONTROL!$C$15, $E$9, 100%, $G$9) + CHOOSE(CONTROL!$C$38, 0.0369, 0)</f>
        <v>37.193899999999999</v>
      </c>
      <c r="H535" s="14">
        <f>37.157 * CHOOSE(CONTROL!$C$15, $E$9, 100%, $G$9) + CHOOSE(CONTROL!$C$38, 0.0369, 0)</f>
        <v>37.193899999999999</v>
      </c>
      <c r="I535" s="14">
        <f>37.1586 * CHOOSE(CONTROL!$C$15, $E$9, 100%, $G$9) + CHOOSE(CONTROL!$C$38, 0.0369, 0)</f>
        <v>37.195500000000003</v>
      </c>
      <c r="J535" s="44">
        <f>326.4781</f>
        <v>326.47809999999998</v>
      </c>
    </row>
    <row r="536" spans="1:10" ht="15.75" x14ac:dyDescent="0.25">
      <c r="A536" s="32">
        <v>57253</v>
      </c>
      <c r="B536" s="14">
        <f>39.8276 * CHOOSE(CONTROL!$C$15, $E$9, 100%, $G$9) + CHOOSE(CONTROL!$C$38, 0.0278, 0)</f>
        <v>39.855399999999996</v>
      </c>
      <c r="C536" s="14">
        <f>37.5903 * CHOOSE(CONTROL!$C$15, $E$9, 100%, $G$9) + CHOOSE(CONTROL!$C$38, 0.0369, 0)</f>
        <v>37.627200000000002</v>
      </c>
      <c r="D536" s="14">
        <f>37.5825 * CHOOSE(CONTROL!$C$15, $E$9, 100%, $G$9) + CHOOSE(CONTROL!$C$38, 0.0369, 0)</f>
        <v>37.619400000000006</v>
      </c>
      <c r="E536" s="46">
        <f>39.6713 * CHOOSE(CONTROL!$C$15, $E$9, 100%, $G$9) + CHOOSE(CONTROL!$C$38, 0.0369, 0)</f>
        <v>39.708200000000005</v>
      </c>
      <c r="F536" s="45">
        <f>39.6713 * CHOOSE(CONTROL!$C$15, $E$9, 100%, $G$9) + CHOOSE(CONTROL!$C$38, 0.0278, 0)</f>
        <v>39.699100000000001</v>
      </c>
      <c r="G536" s="14">
        <f>37.5887 * CHOOSE(CONTROL!$C$15, $E$9, 100%, $G$9) + CHOOSE(CONTROL!$C$38, 0.0369, 0)</f>
        <v>37.625600000000006</v>
      </c>
      <c r="H536" s="14">
        <f>37.5887 * CHOOSE(CONTROL!$C$15, $E$9, 100%, $G$9) + CHOOSE(CONTROL!$C$38, 0.0369, 0)</f>
        <v>37.625600000000006</v>
      </c>
      <c r="I536" s="14">
        <f>37.5903 * CHOOSE(CONTROL!$C$15, $E$9, 100%, $G$9) + CHOOSE(CONTROL!$C$38, 0.0369, 0)</f>
        <v>37.627200000000002</v>
      </c>
      <c r="J536" s="44">
        <f>315.6266</f>
        <v>315.6266</v>
      </c>
    </row>
    <row r="537" spans="1:10" ht="15.75" x14ac:dyDescent="0.25">
      <c r="A537" s="32">
        <v>57284</v>
      </c>
      <c r="B537" s="14">
        <f>40.1891 * CHOOSE(CONTROL!$C$15, $E$9, 100%, $G$9) + CHOOSE(CONTROL!$C$38, 0.0256, 0)</f>
        <v>40.214700000000001</v>
      </c>
      <c r="C537" s="14">
        <f>37.9518 * CHOOSE(CONTROL!$C$15, $E$9, 100%, $G$9) + CHOOSE(CONTROL!$C$38, 0.0347, 0)</f>
        <v>37.986499999999999</v>
      </c>
      <c r="D537" s="14">
        <f>37.944 * CHOOSE(CONTROL!$C$15, $E$9, 100%, $G$9) + CHOOSE(CONTROL!$C$38, 0.0347, 0)</f>
        <v>37.978700000000003</v>
      </c>
      <c r="E537" s="46">
        <f>40.0329 * CHOOSE(CONTROL!$C$15, $E$9, 100%, $G$9) + CHOOSE(CONTROL!$C$38, 0.0347, 0)</f>
        <v>40.067599999999999</v>
      </c>
      <c r="F537" s="45">
        <f>40.0329 * CHOOSE(CONTROL!$C$15, $E$9, 100%, $G$9) + CHOOSE(CONTROL!$C$38, 0.0256, 0)</f>
        <v>40.058499999999995</v>
      </c>
      <c r="G537" s="14">
        <f>37.9503 * CHOOSE(CONTROL!$C$15, $E$9, 100%, $G$9) + CHOOSE(CONTROL!$C$38, 0.0347, 0)</f>
        <v>37.984999999999999</v>
      </c>
      <c r="H537" s="14">
        <f>37.9503 * CHOOSE(CONTROL!$C$15, $E$9, 100%, $G$9) + CHOOSE(CONTROL!$C$38, 0.0347, 0)</f>
        <v>37.984999999999999</v>
      </c>
      <c r="I537" s="14">
        <f>37.9518 * CHOOSE(CONTROL!$C$15, $E$9, 100%, $G$9) + CHOOSE(CONTROL!$C$38, 0.0347, 0)</f>
        <v>37.986499999999999</v>
      </c>
      <c r="J537" s="44">
        <f>304.7119</f>
        <v>304.71190000000001</v>
      </c>
    </row>
    <row r="538" spans="1:10" ht="15.75" x14ac:dyDescent="0.25">
      <c r="A538" s="32">
        <v>57314</v>
      </c>
      <c r="B538" s="14">
        <f>40.4908 * CHOOSE(CONTROL!$C$15, $E$9, 100%, $G$9) + CHOOSE(CONTROL!$C$38, 0.0256, 0)</f>
        <v>40.516399999999997</v>
      </c>
      <c r="C538" s="14">
        <f>38.2535 * CHOOSE(CONTROL!$C$15, $E$9, 100%, $G$9) + CHOOSE(CONTROL!$C$38, 0.0347, 0)</f>
        <v>38.288200000000003</v>
      </c>
      <c r="D538" s="14">
        <f>38.2457 * CHOOSE(CONTROL!$C$15, $E$9, 100%, $G$9) + CHOOSE(CONTROL!$C$38, 0.0347, 0)</f>
        <v>38.2804</v>
      </c>
      <c r="E538" s="46">
        <f>40.3346 * CHOOSE(CONTROL!$C$15, $E$9, 100%, $G$9) + CHOOSE(CONTROL!$C$38, 0.0347, 0)</f>
        <v>40.369300000000003</v>
      </c>
      <c r="F538" s="45">
        <f>40.3346 * CHOOSE(CONTROL!$C$15, $E$9, 100%, $G$9) + CHOOSE(CONTROL!$C$38, 0.0256, 0)</f>
        <v>40.360199999999999</v>
      </c>
      <c r="G538" s="14">
        <f>38.252 * CHOOSE(CONTROL!$C$15, $E$9, 100%, $G$9) + CHOOSE(CONTROL!$C$38, 0.0347, 0)</f>
        <v>38.286700000000003</v>
      </c>
      <c r="H538" s="14">
        <f>38.252 * CHOOSE(CONTROL!$C$15, $E$9, 100%, $G$9) + CHOOSE(CONTROL!$C$38, 0.0347, 0)</f>
        <v>38.286700000000003</v>
      </c>
      <c r="I538" s="14">
        <f>38.2535 * CHOOSE(CONTROL!$C$15, $E$9, 100%, $G$9) + CHOOSE(CONTROL!$C$38, 0.0347, 0)</f>
        <v>38.288200000000003</v>
      </c>
      <c r="J538" s="44">
        <f>302.5407</f>
        <v>302.54070000000002</v>
      </c>
    </row>
    <row r="539" spans="1:10" ht="15.75" x14ac:dyDescent="0.25">
      <c r="A539" s="32">
        <v>57345</v>
      </c>
      <c r="B539" s="14">
        <f>41.4205 * CHOOSE(CONTROL!$C$15, $E$9, 100%, $G$9) + CHOOSE(CONTROL!$C$38, 0.0256, 0)</f>
        <v>41.446099999999994</v>
      </c>
      <c r="C539" s="14">
        <f>39.1832 * CHOOSE(CONTROL!$C$15, $E$9, 100%, $G$9) + CHOOSE(CONTROL!$C$38, 0.0347, 0)</f>
        <v>39.2179</v>
      </c>
      <c r="D539" s="14">
        <f>39.1754 * CHOOSE(CONTROL!$C$15, $E$9, 100%, $G$9) + CHOOSE(CONTROL!$C$38, 0.0347, 0)</f>
        <v>39.210100000000004</v>
      </c>
      <c r="E539" s="46">
        <f>41.2642 * CHOOSE(CONTROL!$C$15, $E$9, 100%, $G$9) + CHOOSE(CONTROL!$C$38, 0.0347, 0)</f>
        <v>41.298900000000003</v>
      </c>
      <c r="F539" s="45">
        <f>41.2642 * CHOOSE(CONTROL!$C$15, $E$9, 100%, $G$9) + CHOOSE(CONTROL!$C$38, 0.0256, 0)</f>
        <v>41.2898</v>
      </c>
      <c r="G539" s="14">
        <f>39.1817 * CHOOSE(CONTROL!$C$15, $E$9, 100%, $G$9) + CHOOSE(CONTROL!$C$38, 0.0347, 0)</f>
        <v>39.2164</v>
      </c>
      <c r="H539" s="14">
        <f>39.1817 * CHOOSE(CONTROL!$C$15, $E$9, 100%, $G$9) + CHOOSE(CONTROL!$C$38, 0.0347, 0)</f>
        <v>39.2164</v>
      </c>
      <c r="I539" s="14">
        <f>39.1832 * CHOOSE(CONTROL!$C$15, $E$9, 100%, $G$9) + CHOOSE(CONTROL!$C$38, 0.0347, 0)</f>
        <v>39.2179</v>
      </c>
      <c r="J539" s="44">
        <f>293.5628</f>
        <v>293.56279999999998</v>
      </c>
    </row>
    <row r="540" spans="1:10" ht="15.75" x14ac:dyDescent="0.25">
      <c r="A540" s="32">
        <v>57376</v>
      </c>
      <c r="B540" s="14">
        <f>42.8254 * CHOOSE(CONTROL!$C$15, $E$9, 100%, $G$9) + CHOOSE(CONTROL!$C$38, 0.0256, 0)</f>
        <v>42.850999999999999</v>
      </c>
      <c r="C540" s="14">
        <f>40.5532 * CHOOSE(CONTROL!$C$15, $E$9, 100%, $G$9) + CHOOSE(CONTROL!$C$38, 0.0347, 0)</f>
        <v>40.587899999999998</v>
      </c>
      <c r="D540" s="14">
        <f>40.5454 * CHOOSE(CONTROL!$C$15, $E$9, 100%, $G$9) + CHOOSE(CONTROL!$C$38, 0.0347, 0)</f>
        <v>40.580100000000002</v>
      </c>
      <c r="E540" s="46">
        <f>42.6692 * CHOOSE(CONTROL!$C$15, $E$9, 100%, $G$9) + CHOOSE(CONTROL!$C$38, 0.0347, 0)</f>
        <v>42.703899999999997</v>
      </c>
      <c r="F540" s="45">
        <f>42.6692 * CHOOSE(CONTROL!$C$15, $E$9, 100%, $G$9) + CHOOSE(CONTROL!$C$38, 0.0256, 0)</f>
        <v>42.694799999999994</v>
      </c>
      <c r="G540" s="14">
        <f>40.5516 * CHOOSE(CONTROL!$C$15, $E$9, 100%, $G$9) + CHOOSE(CONTROL!$C$38, 0.0347, 0)</f>
        <v>40.586300000000001</v>
      </c>
      <c r="H540" s="14">
        <f>40.5516 * CHOOSE(CONTROL!$C$15, $E$9, 100%, $G$9) + CHOOSE(CONTROL!$C$38, 0.0347, 0)</f>
        <v>40.586300000000001</v>
      </c>
      <c r="I540" s="14">
        <f>40.5532 * CHOOSE(CONTROL!$C$15, $E$9, 100%, $G$9) + CHOOSE(CONTROL!$C$38, 0.0347, 0)</f>
        <v>40.587899999999998</v>
      </c>
      <c r="J540" s="44">
        <f>293.3509</f>
        <v>293.35090000000002</v>
      </c>
    </row>
    <row r="541" spans="1:10" ht="15.75" x14ac:dyDescent="0.25">
      <c r="A541" s="32">
        <v>57404</v>
      </c>
      <c r="B541" s="14">
        <f>43.1698 * CHOOSE(CONTROL!$C$15, $E$9, 100%, $G$9) + CHOOSE(CONTROL!$C$38, 0.0256, 0)</f>
        <v>43.195399999999999</v>
      </c>
      <c r="C541" s="14">
        <f>40.8975 * CHOOSE(CONTROL!$C$15, $E$9, 100%, $G$9) + CHOOSE(CONTROL!$C$38, 0.0347, 0)</f>
        <v>40.932200000000002</v>
      </c>
      <c r="D541" s="14">
        <f>40.8897 * CHOOSE(CONTROL!$C$15, $E$9, 100%, $G$9) + CHOOSE(CONTROL!$C$38, 0.0347, 0)</f>
        <v>40.924399999999999</v>
      </c>
      <c r="E541" s="46">
        <f>43.0135 * CHOOSE(CONTROL!$C$15, $E$9, 100%, $G$9) + CHOOSE(CONTROL!$C$38, 0.0347, 0)</f>
        <v>43.048200000000001</v>
      </c>
      <c r="F541" s="45">
        <f>43.0135 * CHOOSE(CONTROL!$C$15, $E$9, 100%, $G$9) + CHOOSE(CONTROL!$C$38, 0.0256, 0)</f>
        <v>43.039099999999998</v>
      </c>
      <c r="G541" s="14">
        <f>40.896 * CHOOSE(CONTROL!$C$15, $E$9, 100%, $G$9) + CHOOSE(CONTROL!$C$38, 0.0347, 0)</f>
        <v>40.930700000000002</v>
      </c>
      <c r="H541" s="14">
        <f>40.896 * CHOOSE(CONTROL!$C$15, $E$9, 100%, $G$9) + CHOOSE(CONTROL!$C$38, 0.0347, 0)</f>
        <v>40.930700000000002</v>
      </c>
      <c r="I541" s="14">
        <f>40.8975 * CHOOSE(CONTROL!$C$15, $E$9, 100%, $G$9) + CHOOSE(CONTROL!$C$38, 0.0347, 0)</f>
        <v>40.932200000000002</v>
      </c>
      <c r="J541" s="44">
        <f>292.5354</f>
        <v>292.53539999999998</v>
      </c>
    </row>
    <row r="542" spans="1:10" ht="15.75" x14ac:dyDescent="0.25">
      <c r="A542" s="32">
        <v>57435</v>
      </c>
      <c r="B542" s="14">
        <f>42.3727 * CHOOSE(CONTROL!$C$15, $E$9, 100%, $G$9) + CHOOSE(CONTROL!$C$38, 0.0256, 0)</f>
        <v>42.398299999999999</v>
      </c>
      <c r="C542" s="14">
        <f>40.1005 * CHOOSE(CONTROL!$C$15, $E$9, 100%, $G$9) + CHOOSE(CONTROL!$C$38, 0.0347, 0)</f>
        <v>40.135199999999998</v>
      </c>
      <c r="D542" s="14">
        <f>40.0927 * CHOOSE(CONTROL!$C$15, $E$9, 100%, $G$9) + CHOOSE(CONTROL!$C$38, 0.0347, 0)</f>
        <v>40.127400000000002</v>
      </c>
      <c r="E542" s="46">
        <f>42.2165 * CHOOSE(CONTROL!$C$15, $E$9, 100%, $G$9) + CHOOSE(CONTROL!$C$38, 0.0347, 0)</f>
        <v>42.251200000000004</v>
      </c>
      <c r="F542" s="45">
        <f>42.2165 * CHOOSE(CONTROL!$C$15, $E$9, 100%, $G$9) + CHOOSE(CONTROL!$C$38, 0.0256, 0)</f>
        <v>42.242100000000001</v>
      </c>
      <c r="G542" s="14">
        <f>40.0989 * CHOOSE(CONTROL!$C$15, $E$9, 100%, $G$9) + CHOOSE(CONTROL!$C$38, 0.0347, 0)</f>
        <v>40.133600000000001</v>
      </c>
      <c r="H542" s="14">
        <f>40.0989 * CHOOSE(CONTROL!$C$15, $E$9, 100%, $G$9) + CHOOSE(CONTROL!$C$38, 0.0347, 0)</f>
        <v>40.133600000000001</v>
      </c>
      <c r="I542" s="14">
        <f>40.1005 * CHOOSE(CONTROL!$C$15, $E$9, 100%, $G$9) + CHOOSE(CONTROL!$C$38, 0.0347, 0)</f>
        <v>40.135199999999998</v>
      </c>
      <c r="J542" s="44">
        <f>307.9537</f>
        <v>307.95370000000003</v>
      </c>
    </row>
    <row r="543" spans="1:10" ht="15.75" x14ac:dyDescent="0.25">
      <c r="A543" s="32">
        <v>57465</v>
      </c>
      <c r="B543" s="14">
        <f>41.6004 * CHOOSE(CONTROL!$C$15, $E$9, 100%, $G$9) + CHOOSE(CONTROL!$C$38, 0.0256, 0)</f>
        <v>41.625999999999998</v>
      </c>
      <c r="C543" s="14">
        <f>39.3282 * CHOOSE(CONTROL!$C$15, $E$9, 100%, $G$9) + CHOOSE(CONTROL!$C$38, 0.0347, 0)</f>
        <v>39.362900000000003</v>
      </c>
      <c r="D543" s="14">
        <f>39.3204 * CHOOSE(CONTROL!$C$15, $E$9, 100%, $G$9) + CHOOSE(CONTROL!$C$38, 0.0347, 0)</f>
        <v>39.3551</v>
      </c>
      <c r="E543" s="46">
        <f>41.4442 * CHOOSE(CONTROL!$C$15, $E$9, 100%, $G$9) + CHOOSE(CONTROL!$C$38, 0.0347, 0)</f>
        <v>41.478900000000003</v>
      </c>
      <c r="F543" s="45">
        <f>41.4442 * CHOOSE(CONTROL!$C$15, $E$9, 100%, $G$9) + CHOOSE(CONTROL!$C$38, 0.0256, 0)</f>
        <v>41.469799999999999</v>
      </c>
      <c r="G543" s="14">
        <f>39.3266 * CHOOSE(CONTROL!$C$15, $E$9, 100%, $G$9) + CHOOSE(CONTROL!$C$38, 0.0347, 0)</f>
        <v>39.3613</v>
      </c>
      <c r="H543" s="14">
        <f>39.3266 * CHOOSE(CONTROL!$C$15, $E$9, 100%, $G$9) + CHOOSE(CONTROL!$C$38, 0.0347, 0)</f>
        <v>39.3613</v>
      </c>
      <c r="I543" s="14">
        <f>39.3282 * CHOOSE(CONTROL!$C$15, $E$9, 100%, $G$9) + CHOOSE(CONTROL!$C$38, 0.0347, 0)</f>
        <v>39.362900000000003</v>
      </c>
      <c r="J543" s="44">
        <f>327.9476</f>
        <v>327.94760000000002</v>
      </c>
    </row>
    <row r="544" spans="1:10" ht="15.75" x14ac:dyDescent="0.25">
      <c r="A544" s="32">
        <v>57496</v>
      </c>
      <c r="B544" s="14">
        <f>40.7955 * CHOOSE(CONTROL!$C$15, $E$9, 100%, $G$9) + CHOOSE(CONTROL!$C$38, 0.0278, 0)</f>
        <v>40.823299999999996</v>
      </c>
      <c r="C544" s="14">
        <f>38.5232 * CHOOSE(CONTROL!$C$15, $E$9, 100%, $G$9) + CHOOSE(CONTROL!$C$38, 0.0369, 0)</f>
        <v>38.560100000000006</v>
      </c>
      <c r="D544" s="14">
        <f>38.5154 * CHOOSE(CONTROL!$C$15, $E$9, 100%, $G$9) + CHOOSE(CONTROL!$C$38, 0.0369, 0)</f>
        <v>38.552300000000002</v>
      </c>
      <c r="E544" s="46">
        <f>40.6392 * CHOOSE(CONTROL!$C$15, $E$9, 100%, $G$9) + CHOOSE(CONTROL!$C$38, 0.0369, 0)</f>
        <v>40.676100000000005</v>
      </c>
      <c r="F544" s="45">
        <f>40.6392 * CHOOSE(CONTROL!$C$15, $E$9, 100%, $G$9) + CHOOSE(CONTROL!$C$38, 0.0278, 0)</f>
        <v>40.667000000000002</v>
      </c>
      <c r="G544" s="14">
        <f>38.5216 * CHOOSE(CONTROL!$C$15, $E$9, 100%, $G$9) + CHOOSE(CONTROL!$C$38, 0.0369, 0)</f>
        <v>38.558500000000002</v>
      </c>
      <c r="H544" s="14">
        <f>38.5216 * CHOOSE(CONTROL!$C$15, $E$9, 100%, $G$9) + CHOOSE(CONTROL!$C$38, 0.0369, 0)</f>
        <v>38.558500000000002</v>
      </c>
      <c r="I544" s="14">
        <f>38.5232 * CHOOSE(CONTROL!$C$15, $E$9, 100%, $G$9) + CHOOSE(CONTROL!$C$38, 0.0369, 0)</f>
        <v>38.560100000000006</v>
      </c>
      <c r="J544" s="44">
        <f>338.9529</f>
        <v>338.9529</v>
      </c>
    </row>
    <row r="545" spans="1:10" ht="15.75" x14ac:dyDescent="0.25">
      <c r="A545" s="32">
        <v>57526</v>
      </c>
      <c r="B545" s="14">
        <f>40.2311 * CHOOSE(CONTROL!$C$15, $E$9, 100%, $G$9) + CHOOSE(CONTROL!$C$38, 0.0278, 0)</f>
        <v>40.258899999999997</v>
      </c>
      <c r="C545" s="14">
        <f>37.9589 * CHOOSE(CONTROL!$C$15, $E$9, 100%, $G$9) + CHOOSE(CONTROL!$C$38, 0.0369, 0)</f>
        <v>37.995800000000003</v>
      </c>
      <c r="D545" s="14">
        <f>37.9511 * CHOOSE(CONTROL!$C$15, $E$9, 100%, $G$9) + CHOOSE(CONTROL!$C$38, 0.0369, 0)</f>
        <v>37.988</v>
      </c>
      <c r="E545" s="46">
        <f>40.0749 * CHOOSE(CONTROL!$C$15, $E$9, 100%, $G$9) + CHOOSE(CONTROL!$C$38, 0.0369, 0)</f>
        <v>40.111800000000002</v>
      </c>
      <c r="F545" s="45">
        <f>40.0749 * CHOOSE(CONTROL!$C$15, $E$9, 100%, $G$9) + CHOOSE(CONTROL!$C$38, 0.0278, 0)</f>
        <v>40.102699999999999</v>
      </c>
      <c r="G545" s="14">
        <f>37.9573 * CHOOSE(CONTROL!$C$15, $E$9, 100%, $G$9) + CHOOSE(CONTROL!$C$38, 0.0369, 0)</f>
        <v>37.994199999999999</v>
      </c>
      <c r="H545" s="14">
        <f>37.9573 * CHOOSE(CONTROL!$C$15, $E$9, 100%, $G$9) + CHOOSE(CONTROL!$C$38, 0.0369, 0)</f>
        <v>37.994199999999999</v>
      </c>
      <c r="I545" s="14">
        <f>37.9589 * CHOOSE(CONTROL!$C$15, $E$9, 100%, $G$9) + CHOOSE(CONTROL!$C$38, 0.0369, 0)</f>
        <v>37.995800000000003</v>
      </c>
      <c r="J545" s="44">
        <f>343.8368</f>
        <v>343.83679999999998</v>
      </c>
    </row>
    <row r="546" spans="1:10" ht="15.75" x14ac:dyDescent="0.25">
      <c r="A546" s="32">
        <v>57557</v>
      </c>
      <c r="B546" s="14">
        <f>39.9091 * CHOOSE(CONTROL!$C$15, $E$9, 100%, $G$9) + CHOOSE(CONTROL!$C$38, 0.0278, 0)</f>
        <v>39.936900000000001</v>
      </c>
      <c r="C546" s="14">
        <f>37.6368 * CHOOSE(CONTROL!$C$15, $E$9, 100%, $G$9) + CHOOSE(CONTROL!$C$38, 0.0369, 0)</f>
        <v>37.673700000000004</v>
      </c>
      <c r="D546" s="14">
        <f>37.629 * CHOOSE(CONTROL!$C$15, $E$9, 100%, $G$9) + CHOOSE(CONTROL!$C$38, 0.0369, 0)</f>
        <v>37.665900000000001</v>
      </c>
      <c r="E546" s="46">
        <f>39.7528 * CHOOSE(CONTROL!$C$15, $E$9, 100%, $G$9) + CHOOSE(CONTROL!$C$38, 0.0369, 0)</f>
        <v>39.789700000000003</v>
      </c>
      <c r="F546" s="45">
        <f>39.7528 * CHOOSE(CONTROL!$C$15, $E$9, 100%, $G$9) + CHOOSE(CONTROL!$C$38, 0.0278, 0)</f>
        <v>39.7806</v>
      </c>
      <c r="G546" s="14">
        <f>37.6353 * CHOOSE(CONTROL!$C$15, $E$9, 100%, $G$9) + CHOOSE(CONTROL!$C$38, 0.0369, 0)</f>
        <v>37.672200000000004</v>
      </c>
      <c r="H546" s="14">
        <f>37.6353 * CHOOSE(CONTROL!$C$15, $E$9, 100%, $G$9) + CHOOSE(CONTROL!$C$38, 0.0369, 0)</f>
        <v>37.672200000000004</v>
      </c>
      <c r="I546" s="14">
        <f>37.6368 * CHOOSE(CONTROL!$C$15, $E$9, 100%, $G$9) + CHOOSE(CONTROL!$C$38, 0.0369, 0)</f>
        <v>37.673700000000004</v>
      </c>
      <c r="J546" s="44">
        <f>342.2288</f>
        <v>342.22879999999998</v>
      </c>
    </row>
    <row r="547" spans="1:10" ht="15.75" x14ac:dyDescent="0.25">
      <c r="A547" s="32">
        <v>57588</v>
      </c>
      <c r="B547" s="14">
        <f>40.068 * CHOOSE(CONTROL!$C$15, $E$9, 100%, $G$9) + CHOOSE(CONTROL!$C$38, 0.0278, 0)</f>
        <v>40.095799999999997</v>
      </c>
      <c r="C547" s="14">
        <f>37.7958 * CHOOSE(CONTROL!$C$15, $E$9, 100%, $G$9) + CHOOSE(CONTROL!$C$38, 0.0369, 0)</f>
        <v>37.832700000000003</v>
      </c>
      <c r="D547" s="14">
        <f>37.788 * CHOOSE(CONTROL!$C$15, $E$9, 100%, $G$9) + CHOOSE(CONTROL!$C$38, 0.0369, 0)</f>
        <v>37.8249</v>
      </c>
      <c r="E547" s="46">
        <f>39.9118 * CHOOSE(CONTROL!$C$15, $E$9, 100%, $G$9) + CHOOSE(CONTROL!$C$38, 0.0369, 0)</f>
        <v>39.948700000000002</v>
      </c>
      <c r="F547" s="45">
        <f>39.9118 * CHOOSE(CONTROL!$C$15, $E$9, 100%, $G$9) + CHOOSE(CONTROL!$C$38, 0.0278, 0)</f>
        <v>39.939599999999999</v>
      </c>
      <c r="G547" s="14">
        <f>37.7942 * CHOOSE(CONTROL!$C$15, $E$9, 100%, $G$9) + CHOOSE(CONTROL!$C$38, 0.0369, 0)</f>
        <v>37.831099999999999</v>
      </c>
      <c r="H547" s="14">
        <f>37.7942 * CHOOSE(CONTROL!$C$15, $E$9, 100%, $G$9) + CHOOSE(CONTROL!$C$38, 0.0369, 0)</f>
        <v>37.831099999999999</v>
      </c>
      <c r="I547" s="14">
        <f>37.7958 * CHOOSE(CONTROL!$C$15, $E$9, 100%, $G$9) + CHOOSE(CONTROL!$C$38, 0.0369, 0)</f>
        <v>37.832700000000003</v>
      </c>
      <c r="J547" s="44">
        <f>334.2619</f>
        <v>334.26190000000003</v>
      </c>
    </row>
    <row r="548" spans="1:10" ht="15.75" x14ac:dyDescent="0.25">
      <c r="A548" s="32">
        <v>57618</v>
      </c>
      <c r="B548" s="14">
        <f>40.4997 * CHOOSE(CONTROL!$C$15, $E$9, 100%, $G$9) + CHOOSE(CONTROL!$C$38, 0.0278, 0)</f>
        <v>40.527499999999996</v>
      </c>
      <c r="C548" s="14">
        <f>38.2275 * CHOOSE(CONTROL!$C$15, $E$9, 100%, $G$9) + CHOOSE(CONTROL!$C$38, 0.0369, 0)</f>
        <v>38.264400000000002</v>
      </c>
      <c r="D548" s="14">
        <f>38.2197 * CHOOSE(CONTROL!$C$15, $E$9, 100%, $G$9) + CHOOSE(CONTROL!$C$38, 0.0369, 0)</f>
        <v>38.256600000000006</v>
      </c>
      <c r="E548" s="46">
        <f>40.3435 * CHOOSE(CONTROL!$C$15, $E$9, 100%, $G$9) + CHOOSE(CONTROL!$C$38, 0.0369, 0)</f>
        <v>40.380400000000002</v>
      </c>
      <c r="F548" s="45">
        <f>40.3435 * CHOOSE(CONTROL!$C$15, $E$9, 100%, $G$9) + CHOOSE(CONTROL!$C$38, 0.0278, 0)</f>
        <v>40.371299999999998</v>
      </c>
      <c r="G548" s="14">
        <f>38.2259 * CHOOSE(CONTROL!$C$15, $E$9, 100%, $G$9) + CHOOSE(CONTROL!$C$38, 0.0369, 0)</f>
        <v>38.262800000000006</v>
      </c>
      <c r="H548" s="14">
        <f>38.2259 * CHOOSE(CONTROL!$C$15, $E$9, 100%, $G$9) + CHOOSE(CONTROL!$C$38, 0.0369, 0)</f>
        <v>38.262800000000006</v>
      </c>
      <c r="I548" s="14">
        <f>38.2275 * CHOOSE(CONTROL!$C$15, $E$9, 100%, $G$9) + CHOOSE(CONTROL!$C$38, 0.0369, 0)</f>
        <v>38.264400000000002</v>
      </c>
      <c r="J548" s="44">
        <f>323.1516</f>
        <v>323.15159999999997</v>
      </c>
    </row>
    <row r="549" spans="1:10" ht="15.75" x14ac:dyDescent="0.25">
      <c r="A549" s="32">
        <v>57649</v>
      </c>
      <c r="B549" s="14">
        <f>40.8613 * CHOOSE(CONTROL!$C$15, $E$9, 100%, $G$9) + CHOOSE(CONTROL!$C$38, 0.0256, 0)</f>
        <v>40.886899999999997</v>
      </c>
      <c r="C549" s="14">
        <f>38.589 * CHOOSE(CONTROL!$C$15, $E$9, 100%, $G$9) + CHOOSE(CONTROL!$C$38, 0.0347, 0)</f>
        <v>38.623699999999999</v>
      </c>
      <c r="D549" s="14">
        <f>38.5812 * CHOOSE(CONTROL!$C$15, $E$9, 100%, $G$9) + CHOOSE(CONTROL!$C$38, 0.0347, 0)</f>
        <v>38.615900000000003</v>
      </c>
      <c r="E549" s="46">
        <f>40.705 * CHOOSE(CONTROL!$C$15, $E$9, 100%, $G$9) + CHOOSE(CONTROL!$C$38, 0.0347, 0)</f>
        <v>40.739699999999999</v>
      </c>
      <c r="F549" s="45">
        <f>40.705 * CHOOSE(CONTROL!$C$15, $E$9, 100%, $G$9) + CHOOSE(CONTROL!$C$38, 0.0256, 0)</f>
        <v>40.730599999999995</v>
      </c>
      <c r="G549" s="14">
        <f>38.5875 * CHOOSE(CONTROL!$C$15, $E$9, 100%, $G$9) + CHOOSE(CONTROL!$C$38, 0.0347, 0)</f>
        <v>38.622199999999999</v>
      </c>
      <c r="H549" s="14">
        <f>38.5875 * CHOOSE(CONTROL!$C$15, $E$9, 100%, $G$9) + CHOOSE(CONTROL!$C$38, 0.0347, 0)</f>
        <v>38.622199999999999</v>
      </c>
      <c r="I549" s="14">
        <f>38.589 * CHOOSE(CONTROL!$C$15, $E$9, 100%, $G$9) + CHOOSE(CONTROL!$C$38, 0.0347, 0)</f>
        <v>38.623699999999999</v>
      </c>
      <c r="J549" s="44">
        <f>311.9767</f>
        <v>311.97669999999999</v>
      </c>
    </row>
    <row r="550" spans="1:10" ht="15.75" x14ac:dyDescent="0.25">
      <c r="A550" s="32">
        <v>57679</v>
      </c>
      <c r="B550" s="14">
        <f>41.163 * CHOOSE(CONTROL!$C$15, $E$9, 100%, $G$9) + CHOOSE(CONTROL!$C$38, 0.0256, 0)</f>
        <v>41.188599999999994</v>
      </c>
      <c r="C550" s="14">
        <f>38.8907 * CHOOSE(CONTROL!$C$15, $E$9, 100%, $G$9) + CHOOSE(CONTROL!$C$38, 0.0347, 0)</f>
        <v>38.925400000000003</v>
      </c>
      <c r="D550" s="14">
        <f>38.8829 * CHOOSE(CONTROL!$C$15, $E$9, 100%, $G$9) + CHOOSE(CONTROL!$C$38, 0.0347, 0)</f>
        <v>38.9176</v>
      </c>
      <c r="E550" s="46">
        <f>41.0067 * CHOOSE(CONTROL!$C$15, $E$9, 100%, $G$9) + CHOOSE(CONTROL!$C$38, 0.0347, 0)</f>
        <v>41.041400000000003</v>
      </c>
      <c r="F550" s="45">
        <f>41.0067 * CHOOSE(CONTROL!$C$15, $E$9, 100%, $G$9) + CHOOSE(CONTROL!$C$38, 0.0256, 0)</f>
        <v>41.032299999999999</v>
      </c>
      <c r="G550" s="14">
        <f>38.8892 * CHOOSE(CONTROL!$C$15, $E$9, 100%, $G$9) + CHOOSE(CONTROL!$C$38, 0.0347, 0)</f>
        <v>38.923900000000003</v>
      </c>
      <c r="H550" s="14">
        <f>38.8892 * CHOOSE(CONTROL!$C$15, $E$9, 100%, $G$9) + CHOOSE(CONTROL!$C$38, 0.0347, 0)</f>
        <v>38.923900000000003</v>
      </c>
      <c r="I550" s="14">
        <f>38.8907 * CHOOSE(CONTROL!$C$15, $E$9, 100%, $G$9) + CHOOSE(CONTROL!$C$38, 0.0347, 0)</f>
        <v>38.925400000000003</v>
      </c>
      <c r="J550" s="44">
        <f>309.7537</f>
        <v>309.75369999999998</v>
      </c>
    </row>
    <row r="551" spans="1:10" ht="15.75" x14ac:dyDescent="0.25">
      <c r="A551" s="32">
        <v>57710</v>
      </c>
      <c r="B551" s="14">
        <f>42.0926 * CHOOSE(CONTROL!$C$15, $E$9, 100%, $G$9) + CHOOSE(CONTROL!$C$38, 0.0256, 0)</f>
        <v>42.118199999999995</v>
      </c>
      <c r="C551" s="14">
        <f>39.8204 * CHOOSE(CONTROL!$C$15, $E$9, 100%, $G$9) + CHOOSE(CONTROL!$C$38, 0.0347, 0)</f>
        <v>39.8551</v>
      </c>
      <c r="D551" s="14">
        <f>39.8126 * CHOOSE(CONTROL!$C$15, $E$9, 100%, $G$9) + CHOOSE(CONTROL!$C$38, 0.0347, 0)</f>
        <v>39.847300000000004</v>
      </c>
      <c r="E551" s="46">
        <f>41.9364 * CHOOSE(CONTROL!$C$15, $E$9, 100%, $G$9) + CHOOSE(CONTROL!$C$38, 0.0347, 0)</f>
        <v>41.9711</v>
      </c>
      <c r="F551" s="45">
        <f>41.9364 * CHOOSE(CONTROL!$C$15, $E$9, 100%, $G$9) + CHOOSE(CONTROL!$C$38, 0.0256, 0)</f>
        <v>41.961999999999996</v>
      </c>
      <c r="G551" s="14">
        <f>39.8188 * CHOOSE(CONTROL!$C$15, $E$9, 100%, $G$9) + CHOOSE(CONTROL!$C$38, 0.0347, 0)</f>
        <v>39.853500000000004</v>
      </c>
      <c r="H551" s="14">
        <f>39.8188 * CHOOSE(CONTROL!$C$15, $E$9, 100%, $G$9) + CHOOSE(CONTROL!$C$38, 0.0347, 0)</f>
        <v>39.853500000000004</v>
      </c>
      <c r="I551" s="14">
        <f>39.8204 * CHOOSE(CONTROL!$C$15, $E$9, 100%, $G$9) + CHOOSE(CONTROL!$C$38, 0.0347, 0)</f>
        <v>39.8551</v>
      </c>
      <c r="J551" s="44">
        <f>300.5618</f>
        <v>300.56180000000001</v>
      </c>
    </row>
    <row r="552" spans="1:10" ht="15.75" x14ac:dyDescent="0.25">
      <c r="A552" s="32">
        <v>57741</v>
      </c>
      <c r="B552" s="14">
        <f>43.5089 * CHOOSE(CONTROL!$C$15, $E$9, 100%, $G$9) + CHOOSE(CONTROL!$C$38, 0.0256, 0)</f>
        <v>43.534499999999994</v>
      </c>
      <c r="C552" s="14">
        <f>41.2011 * CHOOSE(CONTROL!$C$15, $E$9, 100%, $G$9) + CHOOSE(CONTROL!$C$38, 0.0347, 0)</f>
        <v>41.235799999999998</v>
      </c>
      <c r="D552" s="14">
        <f>41.1933 * CHOOSE(CONTROL!$C$15, $E$9, 100%, $G$9) + CHOOSE(CONTROL!$C$38, 0.0347, 0)</f>
        <v>41.228000000000002</v>
      </c>
      <c r="E552" s="46">
        <f>43.3526 * CHOOSE(CONTROL!$C$15, $E$9, 100%, $G$9) + CHOOSE(CONTROL!$C$38, 0.0347, 0)</f>
        <v>43.387300000000003</v>
      </c>
      <c r="F552" s="45">
        <f>43.3526 * CHOOSE(CONTROL!$C$15, $E$9, 100%, $G$9) + CHOOSE(CONTROL!$C$38, 0.0256, 0)</f>
        <v>43.3782</v>
      </c>
      <c r="G552" s="14">
        <f>41.1995 * CHOOSE(CONTROL!$C$15, $E$9, 100%, $G$9) + CHOOSE(CONTROL!$C$38, 0.0347, 0)</f>
        <v>41.234200000000001</v>
      </c>
      <c r="H552" s="14">
        <f>41.1995 * CHOOSE(CONTROL!$C$15, $E$9, 100%, $G$9) + CHOOSE(CONTROL!$C$38, 0.0347, 0)</f>
        <v>41.234200000000001</v>
      </c>
      <c r="I552" s="14">
        <f>41.2011 * CHOOSE(CONTROL!$C$15, $E$9, 100%, $G$9) + CHOOSE(CONTROL!$C$38, 0.0347, 0)</f>
        <v>41.235799999999998</v>
      </c>
      <c r="J552" s="44">
        <f>300.3448</f>
        <v>300.34480000000002</v>
      </c>
    </row>
    <row r="553" spans="1:10" ht="15.75" x14ac:dyDescent="0.25">
      <c r="A553" s="32">
        <v>57769</v>
      </c>
      <c r="B553" s="14">
        <f>43.8532 * CHOOSE(CONTROL!$C$15, $E$9, 100%, $G$9) + CHOOSE(CONTROL!$C$38, 0.0256, 0)</f>
        <v>43.878799999999998</v>
      </c>
      <c r="C553" s="14">
        <f>41.5454 * CHOOSE(CONTROL!$C$15, $E$9, 100%, $G$9) + CHOOSE(CONTROL!$C$38, 0.0347, 0)</f>
        <v>41.580100000000002</v>
      </c>
      <c r="D553" s="14">
        <f>41.5376 * CHOOSE(CONTROL!$C$15, $E$9, 100%, $G$9) + CHOOSE(CONTROL!$C$38, 0.0347, 0)</f>
        <v>41.572299999999998</v>
      </c>
      <c r="E553" s="46">
        <f>43.697 * CHOOSE(CONTROL!$C$15, $E$9, 100%, $G$9) + CHOOSE(CONTROL!$C$38, 0.0347, 0)</f>
        <v>43.731700000000004</v>
      </c>
      <c r="F553" s="45">
        <f>43.697 * CHOOSE(CONTROL!$C$15, $E$9, 100%, $G$9) + CHOOSE(CONTROL!$C$38, 0.0256, 0)</f>
        <v>43.7226</v>
      </c>
      <c r="G553" s="14">
        <f>41.5439 * CHOOSE(CONTROL!$C$15, $E$9, 100%, $G$9) + CHOOSE(CONTROL!$C$38, 0.0347, 0)</f>
        <v>41.578600000000002</v>
      </c>
      <c r="H553" s="14">
        <f>41.5439 * CHOOSE(CONTROL!$C$15, $E$9, 100%, $G$9) + CHOOSE(CONTROL!$C$38, 0.0347, 0)</f>
        <v>41.578600000000002</v>
      </c>
      <c r="I553" s="14">
        <f>41.5454 * CHOOSE(CONTROL!$C$15, $E$9, 100%, $G$9) + CHOOSE(CONTROL!$C$38, 0.0347, 0)</f>
        <v>41.580100000000002</v>
      </c>
      <c r="J553" s="44">
        <f>299.5099</f>
        <v>299.50990000000002</v>
      </c>
    </row>
    <row r="554" spans="1:10" ht="15.75" x14ac:dyDescent="0.25">
      <c r="A554" s="32">
        <v>57800</v>
      </c>
      <c r="B554" s="14">
        <f>43.0562 * CHOOSE(CONTROL!$C$15, $E$9, 100%, $G$9) + CHOOSE(CONTROL!$C$38, 0.0256, 0)</f>
        <v>43.081799999999994</v>
      </c>
      <c r="C554" s="14">
        <f>40.7484 * CHOOSE(CONTROL!$C$15, $E$9, 100%, $G$9) + CHOOSE(CONTROL!$C$38, 0.0347, 0)</f>
        <v>40.783099999999997</v>
      </c>
      <c r="D554" s="14">
        <f>40.7406 * CHOOSE(CONTROL!$C$15, $E$9, 100%, $G$9) + CHOOSE(CONTROL!$C$38, 0.0347, 0)</f>
        <v>40.775300000000001</v>
      </c>
      <c r="E554" s="46">
        <f>42.8999 * CHOOSE(CONTROL!$C$15, $E$9, 100%, $G$9) + CHOOSE(CONTROL!$C$38, 0.0347, 0)</f>
        <v>42.934600000000003</v>
      </c>
      <c r="F554" s="45">
        <f>42.8999 * CHOOSE(CONTROL!$C$15, $E$9, 100%, $G$9) + CHOOSE(CONTROL!$C$38, 0.0256, 0)</f>
        <v>42.9255</v>
      </c>
      <c r="G554" s="14">
        <f>40.7468 * CHOOSE(CONTROL!$C$15, $E$9, 100%, $G$9) + CHOOSE(CONTROL!$C$38, 0.0347, 0)</f>
        <v>40.781500000000001</v>
      </c>
      <c r="H554" s="14">
        <f>40.7468 * CHOOSE(CONTROL!$C$15, $E$9, 100%, $G$9) + CHOOSE(CONTROL!$C$38, 0.0347, 0)</f>
        <v>40.781500000000001</v>
      </c>
      <c r="I554" s="14">
        <f>40.7484 * CHOOSE(CONTROL!$C$15, $E$9, 100%, $G$9) + CHOOSE(CONTROL!$C$38, 0.0347, 0)</f>
        <v>40.783099999999997</v>
      </c>
      <c r="J554" s="44">
        <f>315.2958</f>
        <v>315.29579999999999</v>
      </c>
    </row>
    <row r="555" spans="1:10" ht="15.75" x14ac:dyDescent="0.25">
      <c r="A555" s="32">
        <v>57830</v>
      </c>
      <c r="B555" s="14">
        <f>42.2839 * CHOOSE(CONTROL!$C$15, $E$9, 100%, $G$9) + CHOOSE(CONTROL!$C$38, 0.0256, 0)</f>
        <v>42.3095</v>
      </c>
      <c r="C555" s="14">
        <f>39.9761 * CHOOSE(CONTROL!$C$15, $E$9, 100%, $G$9) + CHOOSE(CONTROL!$C$38, 0.0347, 0)</f>
        <v>40.010800000000003</v>
      </c>
      <c r="D555" s="14">
        <f>39.9683 * CHOOSE(CONTROL!$C$15, $E$9, 100%, $G$9) + CHOOSE(CONTROL!$C$38, 0.0347, 0)</f>
        <v>40.003</v>
      </c>
      <c r="E555" s="46">
        <f>42.1276 * CHOOSE(CONTROL!$C$15, $E$9, 100%, $G$9) + CHOOSE(CONTROL!$C$38, 0.0347, 0)</f>
        <v>42.162300000000002</v>
      </c>
      <c r="F555" s="45">
        <f>42.1276 * CHOOSE(CONTROL!$C$15, $E$9, 100%, $G$9) + CHOOSE(CONTROL!$C$38, 0.0256, 0)</f>
        <v>42.153199999999998</v>
      </c>
      <c r="G555" s="14">
        <f>39.9745 * CHOOSE(CONTROL!$C$15, $E$9, 100%, $G$9) + CHOOSE(CONTROL!$C$38, 0.0347, 0)</f>
        <v>40.0092</v>
      </c>
      <c r="H555" s="14">
        <f>39.9745 * CHOOSE(CONTROL!$C$15, $E$9, 100%, $G$9) + CHOOSE(CONTROL!$C$38, 0.0347, 0)</f>
        <v>40.0092</v>
      </c>
      <c r="I555" s="14">
        <f>39.9761 * CHOOSE(CONTROL!$C$15, $E$9, 100%, $G$9) + CHOOSE(CONTROL!$C$38, 0.0347, 0)</f>
        <v>40.010800000000003</v>
      </c>
      <c r="J555" s="44">
        <f>335.7664</f>
        <v>335.76639999999998</v>
      </c>
    </row>
    <row r="556" spans="1:10" ht="15.75" x14ac:dyDescent="0.25">
      <c r="A556" s="32">
        <v>57861</v>
      </c>
      <c r="B556" s="14">
        <f>41.4789 * CHOOSE(CONTROL!$C$15, $E$9, 100%, $G$9) + CHOOSE(CONTROL!$C$38, 0.0278, 0)</f>
        <v>41.506700000000002</v>
      </c>
      <c r="C556" s="14">
        <f>39.1711 * CHOOSE(CONTROL!$C$15, $E$9, 100%, $G$9) + CHOOSE(CONTROL!$C$38, 0.0369, 0)</f>
        <v>39.208000000000006</v>
      </c>
      <c r="D556" s="14">
        <f>39.1633 * CHOOSE(CONTROL!$C$15, $E$9, 100%, $G$9) + CHOOSE(CONTROL!$C$38, 0.0369, 0)</f>
        <v>39.200200000000002</v>
      </c>
      <c r="E556" s="46">
        <f>41.3226 * CHOOSE(CONTROL!$C$15, $E$9, 100%, $G$9) + CHOOSE(CONTROL!$C$38, 0.0369, 0)</f>
        <v>41.359500000000004</v>
      </c>
      <c r="F556" s="45">
        <f>41.3226 * CHOOSE(CONTROL!$C$15, $E$9, 100%, $G$9) + CHOOSE(CONTROL!$C$38, 0.0278, 0)</f>
        <v>41.3504</v>
      </c>
      <c r="G556" s="14">
        <f>39.1695 * CHOOSE(CONTROL!$C$15, $E$9, 100%, $G$9) + CHOOSE(CONTROL!$C$38, 0.0369, 0)</f>
        <v>39.206400000000002</v>
      </c>
      <c r="H556" s="14">
        <f>39.1695 * CHOOSE(CONTROL!$C$15, $E$9, 100%, $G$9) + CHOOSE(CONTROL!$C$38, 0.0369, 0)</f>
        <v>39.206400000000002</v>
      </c>
      <c r="I556" s="14">
        <f>39.1711 * CHOOSE(CONTROL!$C$15, $E$9, 100%, $G$9) + CHOOSE(CONTROL!$C$38, 0.0369, 0)</f>
        <v>39.208000000000006</v>
      </c>
      <c r="J556" s="44">
        <f>347.034</f>
        <v>347.03399999999999</v>
      </c>
    </row>
    <row r="557" spans="1:10" ht="15.75" x14ac:dyDescent="0.25">
      <c r="A557" s="32">
        <v>57891</v>
      </c>
      <c r="B557" s="14">
        <f>40.9146 * CHOOSE(CONTROL!$C$15, $E$9, 100%, $G$9) + CHOOSE(CONTROL!$C$38, 0.0278, 0)</f>
        <v>40.942399999999999</v>
      </c>
      <c r="C557" s="14">
        <f>38.6068 * CHOOSE(CONTROL!$C$15, $E$9, 100%, $G$9) + CHOOSE(CONTROL!$C$38, 0.0369, 0)</f>
        <v>38.643700000000003</v>
      </c>
      <c r="D557" s="14">
        <f>38.599 * CHOOSE(CONTROL!$C$15, $E$9, 100%, $G$9) + CHOOSE(CONTROL!$C$38, 0.0369, 0)</f>
        <v>38.635899999999999</v>
      </c>
      <c r="E557" s="46">
        <f>40.7583 * CHOOSE(CONTROL!$C$15, $E$9, 100%, $G$9) + CHOOSE(CONTROL!$C$38, 0.0369, 0)</f>
        <v>40.795200000000001</v>
      </c>
      <c r="F557" s="45">
        <f>40.7583 * CHOOSE(CONTROL!$C$15, $E$9, 100%, $G$9) + CHOOSE(CONTROL!$C$38, 0.0278, 0)</f>
        <v>40.786099999999998</v>
      </c>
      <c r="G557" s="14">
        <f>38.6052 * CHOOSE(CONTROL!$C$15, $E$9, 100%, $G$9) + CHOOSE(CONTROL!$C$38, 0.0369, 0)</f>
        <v>38.642100000000006</v>
      </c>
      <c r="H557" s="14">
        <f>38.6052 * CHOOSE(CONTROL!$C$15, $E$9, 100%, $G$9) + CHOOSE(CONTROL!$C$38, 0.0369, 0)</f>
        <v>38.642100000000006</v>
      </c>
      <c r="I557" s="14">
        <f>38.6068 * CHOOSE(CONTROL!$C$15, $E$9, 100%, $G$9) + CHOOSE(CONTROL!$C$38, 0.0369, 0)</f>
        <v>38.643700000000003</v>
      </c>
      <c r="J557" s="44">
        <f>352.0344</f>
        <v>352.03440000000001</v>
      </c>
    </row>
    <row r="558" spans="1:10" ht="15.75" x14ac:dyDescent="0.25">
      <c r="A558" s="32">
        <v>57922</v>
      </c>
      <c r="B558" s="14">
        <f>40.5925 * CHOOSE(CONTROL!$C$15, $E$9, 100%, $G$9) + CHOOSE(CONTROL!$C$38, 0.0278, 0)</f>
        <v>40.6203</v>
      </c>
      <c r="C558" s="14">
        <f>38.2847 * CHOOSE(CONTROL!$C$15, $E$9, 100%, $G$9) + CHOOSE(CONTROL!$C$38, 0.0369, 0)</f>
        <v>38.321600000000004</v>
      </c>
      <c r="D558" s="14">
        <f>38.2769 * CHOOSE(CONTROL!$C$15, $E$9, 100%, $G$9) + CHOOSE(CONTROL!$C$38, 0.0369, 0)</f>
        <v>38.313800000000001</v>
      </c>
      <c r="E558" s="46">
        <f>40.4363 * CHOOSE(CONTROL!$C$15, $E$9, 100%, $G$9) + CHOOSE(CONTROL!$C$38, 0.0369, 0)</f>
        <v>40.473200000000006</v>
      </c>
      <c r="F558" s="45">
        <f>40.4363 * CHOOSE(CONTROL!$C$15, $E$9, 100%, $G$9) + CHOOSE(CONTROL!$C$38, 0.0278, 0)</f>
        <v>40.464100000000002</v>
      </c>
      <c r="G558" s="14">
        <f>38.2832 * CHOOSE(CONTROL!$C$15, $E$9, 100%, $G$9) + CHOOSE(CONTROL!$C$38, 0.0369, 0)</f>
        <v>38.320100000000004</v>
      </c>
      <c r="H558" s="14">
        <f>38.2832 * CHOOSE(CONTROL!$C$15, $E$9, 100%, $G$9) + CHOOSE(CONTROL!$C$38, 0.0369, 0)</f>
        <v>38.320100000000004</v>
      </c>
      <c r="I558" s="14">
        <f>38.2847 * CHOOSE(CONTROL!$C$15, $E$9, 100%, $G$9) + CHOOSE(CONTROL!$C$38, 0.0369, 0)</f>
        <v>38.321600000000004</v>
      </c>
      <c r="J558" s="44">
        <f>350.388</f>
        <v>350.38799999999998</v>
      </c>
    </row>
    <row r="559" spans="1:10" ht="15.75" x14ac:dyDescent="0.25">
      <c r="A559" s="32">
        <v>57953</v>
      </c>
      <c r="B559" s="14">
        <f>40.7514 * CHOOSE(CONTROL!$C$15, $E$9, 100%, $G$9) + CHOOSE(CONTROL!$C$38, 0.0278, 0)</f>
        <v>40.779199999999996</v>
      </c>
      <c r="C559" s="14">
        <f>38.4437 * CHOOSE(CONTROL!$C$15, $E$9, 100%, $G$9) + CHOOSE(CONTROL!$C$38, 0.0369, 0)</f>
        <v>38.480600000000003</v>
      </c>
      <c r="D559" s="14">
        <f>38.4358 * CHOOSE(CONTROL!$C$15, $E$9, 100%, $G$9) + CHOOSE(CONTROL!$C$38, 0.0369, 0)</f>
        <v>38.472700000000003</v>
      </c>
      <c r="E559" s="46">
        <f>40.5952 * CHOOSE(CONTROL!$C$15, $E$9, 100%, $G$9) + CHOOSE(CONTROL!$C$38, 0.0369, 0)</f>
        <v>40.632100000000001</v>
      </c>
      <c r="F559" s="45">
        <f>40.5952 * CHOOSE(CONTROL!$C$15, $E$9, 100%, $G$9) + CHOOSE(CONTROL!$C$38, 0.0278, 0)</f>
        <v>40.622999999999998</v>
      </c>
      <c r="G559" s="14">
        <f>38.4421 * CHOOSE(CONTROL!$C$15, $E$9, 100%, $G$9) + CHOOSE(CONTROL!$C$38, 0.0369, 0)</f>
        <v>38.479000000000006</v>
      </c>
      <c r="H559" s="14">
        <f>38.4421 * CHOOSE(CONTROL!$C$15, $E$9, 100%, $G$9) + CHOOSE(CONTROL!$C$38, 0.0369, 0)</f>
        <v>38.479000000000006</v>
      </c>
      <c r="I559" s="14">
        <f>38.4437 * CHOOSE(CONTROL!$C$15, $E$9, 100%, $G$9) + CHOOSE(CONTROL!$C$38, 0.0369, 0)</f>
        <v>38.480600000000003</v>
      </c>
      <c r="J559" s="44">
        <f>342.2312</f>
        <v>342.2312</v>
      </c>
    </row>
    <row r="560" spans="1:10" ht="15.75" x14ac:dyDescent="0.25">
      <c r="A560" s="32">
        <v>57983</v>
      </c>
      <c r="B560" s="14">
        <f>41.1832 * CHOOSE(CONTROL!$C$15, $E$9, 100%, $G$9) + CHOOSE(CONTROL!$C$38, 0.0278, 0)</f>
        <v>41.210999999999999</v>
      </c>
      <c r="C560" s="14">
        <f>38.8754 * CHOOSE(CONTROL!$C$15, $E$9, 100%, $G$9) + CHOOSE(CONTROL!$C$38, 0.0369, 0)</f>
        <v>38.912300000000002</v>
      </c>
      <c r="D560" s="14">
        <f>38.8676 * CHOOSE(CONTROL!$C$15, $E$9, 100%, $G$9) + CHOOSE(CONTROL!$C$38, 0.0369, 0)</f>
        <v>38.904500000000006</v>
      </c>
      <c r="E560" s="46">
        <f>41.0269 * CHOOSE(CONTROL!$C$15, $E$9, 100%, $G$9) + CHOOSE(CONTROL!$C$38, 0.0369, 0)</f>
        <v>41.063800000000001</v>
      </c>
      <c r="F560" s="45">
        <f>41.0269 * CHOOSE(CONTROL!$C$15, $E$9, 100%, $G$9) + CHOOSE(CONTROL!$C$38, 0.0278, 0)</f>
        <v>41.054699999999997</v>
      </c>
      <c r="G560" s="14">
        <f>38.8738 * CHOOSE(CONTROL!$C$15, $E$9, 100%, $G$9) + CHOOSE(CONTROL!$C$38, 0.0369, 0)</f>
        <v>38.910700000000006</v>
      </c>
      <c r="H560" s="14">
        <f>38.8738 * CHOOSE(CONTROL!$C$15, $E$9, 100%, $G$9) + CHOOSE(CONTROL!$C$38, 0.0369, 0)</f>
        <v>38.910700000000006</v>
      </c>
      <c r="I560" s="14">
        <f>38.8754 * CHOOSE(CONTROL!$C$15, $E$9, 100%, $G$9) + CHOOSE(CONTROL!$C$38, 0.0369, 0)</f>
        <v>38.912300000000002</v>
      </c>
      <c r="J560" s="44">
        <f>330.856</f>
        <v>330.85599999999999</v>
      </c>
    </row>
    <row r="561" spans="1:10" ht="15.75" x14ac:dyDescent="0.25">
      <c r="A561" s="32">
        <v>58014</v>
      </c>
      <c r="B561" s="14">
        <f>41.5447 * CHOOSE(CONTROL!$C$15, $E$9, 100%, $G$9) + CHOOSE(CONTROL!$C$38, 0.0256, 0)</f>
        <v>41.570299999999996</v>
      </c>
      <c r="C561" s="14">
        <f>39.2369 * CHOOSE(CONTROL!$C$15, $E$9, 100%, $G$9) + CHOOSE(CONTROL!$C$38, 0.0347, 0)</f>
        <v>39.271599999999999</v>
      </c>
      <c r="D561" s="14">
        <f>39.2291 * CHOOSE(CONTROL!$C$15, $E$9, 100%, $G$9) + CHOOSE(CONTROL!$C$38, 0.0347, 0)</f>
        <v>39.263800000000003</v>
      </c>
      <c r="E561" s="46">
        <f>41.3885 * CHOOSE(CONTROL!$C$15, $E$9, 100%, $G$9) + CHOOSE(CONTROL!$C$38, 0.0347, 0)</f>
        <v>41.423200000000001</v>
      </c>
      <c r="F561" s="45">
        <f>41.3885 * CHOOSE(CONTROL!$C$15, $E$9, 100%, $G$9) + CHOOSE(CONTROL!$C$38, 0.0256, 0)</f>
        <v>41.414099999999998</v>
      </c>
      <c r="G561" s="14">
        <f>39.2354 * CHOOSE(CONTROL!$C$15, $E$9, 100%, $G$9) + CHOOSE(CONTROL!$C$38, 0.0347, 0)</f>
        <v>39.270099999999999</v>
      </c>
      <c r="H561" s="14">
        <f>39.2354 * CHOOSE(CONTROL!$C$15, $E$9, 100%, $G$9) + CHOOSE(CONTROL!$C$38, 0.0347, 0)</f>
        <v>39.270099999999999</v>
      </c>
      <c r="I561" s="14">
        <f>39.2369 * CHOOSE(CONTROL!$C$15, $E$9, 100%, $G$9) + CHOOSE(CONTROL!$C$38, 0.0347, 0)</f>
        <v>39.271599999999999</v>
      </c>
      <c r="J561" s="44">
        <f>319.4146</f>
        <v>319.41460000000001</v>
      </c>
    </row>
    <row r="562" spans="1:10" ht="15.75" x14ac:dyDescent="0.25">
      <c r="A562" s="32">
        <v>58044</v>
      </c>
      <c r="B562" s="14">
        <f>41.8464 * CHOOSE(CONTROL!$C$15, $E$9, 100%, $G$9) + CHOOSE(CONTROL!$C$38, 0.0256, 0)</f>
        <v>41.872</v>
      </c>
      <c r="C562" s="14">
        <f>39.5386 * CHOOSE(CONTROL!$C$15, $E$9, 100%, $G$9) + CHOOSE(CONTROL!$C$38, 0.0347, 0)</f>
        <v>39.573300000000003</v>
      </c>
      <c r="D562" s="14">
        <f>39.5308 * CHOOSE(CONTROL!$C$15, $E$9, 100%, $G$9) + CHOOSE(CONTROL!$C$38, 0.0347, 0)</f>
        <v>39.5655</v>
      </c>
      <c r="E562" s="46">
        <f>41.6902 * CHOOSE(CONTROL!$C$15, $E$9, 100%, $G$9) + CHOOSE(CONTROL!$C$38, 0.0347, 0)</f>
        <v>41.724899999999998</v>
      </c>
      <c r="F562" s="45">
        <f>41.6902 * CHOOSE(CONTROL!$C$15, $E$9, 100%, $G$9) + CHOOSE(CONTROL!$C$38, 0.0256, 0)</f>
        <v>41.715799999999994</v>
      </c>
      <c r="G562" s="14">
        <f>39.5371 * CHOOSE(CONTROL!$C$15, $E$9, 100%, $G$9) + CHOOSE(CONTROL!$C$38, 0.0347, 0)</f>
        <v>39.571800000000003</v>
      </c>
      <c r="H562" s="14">
        <f>39.5371 * CHOOSE(CONTROL!$C$15, $E$9, 100%, $G$9) + CHOOSE(CONTROL!$C$38, 0.0347, 0)</f>
        <v>39.571800000000003</v>
      </c>
      <c r="I562" s="14">
        <f>39.5386 * CHOOSE(CONTROL!$C$15, $E$9, 100%, $G$9) + CHOOSE(CONTROL!$C$38, 0.0347, 0)</f>
        <v>39.573300000000003</v>
      </c>
      <c r="J562" s="44">
        <f>317.1387</f>
        <v>317.13869999999997</v>
      </c>
    </row>
    <row r="563" spans="1:10" ht="15.75" x14ac:dyDescent="0.25">
      <c r="A563" s="32">
        <v>58075</v>
      </c>
      <c r="B563" s="14">
        <f>42.7761 * CHOOSE(CONTROL!$C$15, $E$9, 100%, $G$9) + CHOOSE(CONTROL!$C$38, 0.0256, 0)</f>
        <v>42.801699999999997</v>
      </c>
      <c r="C563" s="14">
        <f>40.4683 * CHOOSE(CONTROL!$C$15, $E$9, 100%, $G$9) + CHOOSE(CONTROL!$C$38, 0.0347, 0)</f>
        <v>40.503</v>
      </c>
      <c r="D563" s="14">
        <f>40.4605 * CHOOSE(CONTROL!$C$15, $E$9, 100%, $G$9) + CHOOSE(CONTROL!$C$38, 0.0347, 0)</f>
        <v>40.495200000000004</v>
      </c>
      <c r="E563" s="46">
        <f>42.6198 * CHOOSE(CONTROL!$C$15, $E$9, 100%, $G$9) + CHOOSE(CONTROL!$C$38, 0.0347, 0)</f>
        <v>42.654499999999999</v>
      </c>
      <c r="F563" s="45">
        <f>42.6198 * CHOOSE(CONTROL!$C$15, $E$9, 100%, $G$9) + CHOOSE(CONTROL!$C$38, 0.0256, 0)</f>
        <v>42.645399999999995</v>
      </c>
      <c r="G563" s="14">
        <f>40.4667 * CHOOSE(CONTROL!$C$15, $E$9, 100%, $G$9) + CHOOSE(CONTROL!$C$38, 0.0347, 0)</f>
        <v>40.501400000000004</v>
      </c>
      <c r="H563" s="14">
        <f>40.4667 * CHOOSE(CONTROL!$C$15, $E$9, 100%, $G$9) + CHOOSE(CONTROL!$C$38, 0.0347, 0)</f>
        <v>40.501400000000004</v>
      </c>
      <c r="I563" s="14">
        <f>40.4683 * CHOOSE(CONTROL!$C$15, $E$9, 100%, $G$9) + CHOOSE(CONTROL!$C$38, 0.0347, 0)</f>
        <v>40.503</v>
      </c>
      <c r="J563" s="44">
        <f>307.7276</f>
        <v>307.7276</v>
      </c>
    </row>
    <row r="564" spans="1:10" ht="15.75" x14ac:dyDescent="0.25">
      <c r="A564" s="32">
        <v>58106</v>
      </c>
      <c r="B564" s="14">
        <f>44.2038 * CHOOSE(CONTROL!$C$15, $E$9, 100%, $G$9) + CHOOSE(CONTROL!$C$38, 0.0256, 0)</f>
        <v>44.229399999999998</v>
      </c>
      <c r="C564" s="14">
        <f>41.8599 * CHOOSE(CONTROL!$C$15, $E$9, 100%, $G$9) + CHOOSE(CONTROL!$C$38, 0.0347, 0)</f>
        <v>41.894600000000004</v>
      </c>
      <c r="D564" s="14">
        <f>41.8521 * CHOOSE(CONTROL!$C$15, $E$9, 100%, $G$9) + CHOOSE(CONTROL!$C$38, 0.0347, 0)</f>
        <v>41.886800000000001</v>
      </c>
      <c r="E564" s="46">
        <f>44.0476 * CHOOSE(CONTROL!$C$15, $E$9, 100%, $G$9) + CHOOSE(CONTROL!$C$38, 0.0347, 0)</f>
        <v>44.082300000000004</v>
      </c>
      <c r="F564" s="45">
        <f>44.0476 * CHOOSE(CONTROL!$C$15, $E$9, 100%, $G$9) + CHOOSE(CONTROL!$C$38, 0.0256, 0)</f>
        <v>44.0732</v>
      </c>
      <c r="G564" s="14">
        <f>41.8583 * CHOOSE(CONTROL!$C$15, $E$9, 100%, $G$9) + CHOOSE(CONTROL!$C$38, 0.0347, 0)</f>
        <v>41.893000000000001</v>
      </c>
      <c r="H564" s="14">
        <f>41.8583 * CHOOSE(CONTROL!$C$15, $E$9, 100%, $G$9) + CHOOSE(CONTROL!$C$38, 0.0347, 0)</f>
        <v>41.893000000000001</v>
      </c>
      <c r="I564" s="14">
        <f>41.8599 * CHOOSE(CONTROL!$C$15, $E$9, 100%, $G$9) + CHOOSE(CONTROL!$C$38, 0.0347, 0)</f>
        <v>41.894600000000004</v>
      </c>
      <c r="J564" s="44">
        <f>307.5054</f>
        <v>307.50540000000001</v>
      </c>
    </row>
    <row r="565" spans="1:10" ht="15.75" x14ac:dyDescent="0.25">
      <c r="A565" s="32">
        <v>58134</v>
      </c>
      <c r="B565" s="14">
        <f>44.5481 * CHOOSE(CONTROL!$C$15, $E$9, 100%, $G$9) + CHOOSE(CONTROL!$C$38, 0.0256, 0)</f>
        <v>44.573699999999995</v>
      </c>
      <c r="C565" s="14">
        <f>42.2042 * CHOOSE(CONTROL!$C$15, $E$9, 100%, $G$9) + CHOOSE(CONTROL!$C$38, 0.0347, 0)</f>
        <v>42.238900000000001</v>
      </c>
      <c r="D565" s="14">
        <f>42.1964 * CHOOSE(CONTROL!$C$15, $E$9, 100%, $G$9) + CHOOSE(CONTROL!$C$38, 0.0347, 0)</f>
        <v>42.231099999999998</v>
      </c>
      <c r="E565" s="46">
        <f>44.3919 * CHOOSE(CONTROL!$C$15, $E$9, 100%, $G$9) + CHOOSE(CONTROL!$C$38, 0.0347, 0)</f>
        <v>44.426600000000001</v>
      </c>
      <c r="F565" s="45">
        <f>44.3919 * CHOOSE(CONTROL!$C$15, $E$9, 100%, $G$9) + CHOOSE(CONTROL!$C$38, 0.0256, 0)</f>
        <v>44.417499999999997</v>
      </c>
      <c r="G565" s="14">
        <f>42.2026 * CHOOSE(CONTROL!$C$15, $E$9, 100%, $G$9) + CHOOSE(CONTROL!$C$38, 0.0347, 0)</f>
        <v>42.237299999999998</v>
      </c>
      <c r="H565" s="14">
        <f>42.2026 * CHOOSE(CONTROL!$C$15, $E$9, 100%, $G$9) + CHOOSE(CONTROL!$C$38, 0.0347, 0)</f>
        <v>42.237299999999998</v>
      </c>
      <c r="I565" s="14">
        <f>42.2042 * CHOOSE(CONTROL!$C$15, $E$9, 100%, $G$9) + CHOOSE(CONTROL!$C$38, 0.0347, 0)</f>
        <v>42.238900000000001</v>
      </c>
      <c r="J565" s="44">
        <f>306.6507</f>
        <v>306.65069999999997</v>
      </c>
    </row>
    <row r="566" spans="1:10" ht="15.75" x14ac:dyDescent="0.25">
      <c r="A566" s="32">
        <v>58165</v>
      </c>
      <c r="B566" s="14">
        <f>43.7511 * CHOOSE(CONTROL!$C$15, $E$9, 100%, $G$9) + CHOOSE(CONTROL!$C$38, 0.0256, 0)</f>
        <v>43.776699999999998</v>
      </c>
      <c r="C566" s="14">
        <f>41.4072 * CHOOSE(CONTROL!$C$15, $E$9, 100%, $G$9) + CHOOSE(CONTROL!$C$38, 0.0347, 0)</f>
        <v>41.441900000000004</v>
      </c>
      <c r="D566" s="14">
        <f>41.3994 * CHOOSE(CONTROL!$C$15, $E$9, 100%, $G$9) + CHOOSE(CONTROL!$C$38, 0.0347, 0)</f>
        <v>41.434100000000001</v>
      </c>
      <c r="E566" s="46">
        <f>43.5948 * CHOOSE(CONTROL!$C$15, $E$9, 100%, $G$9) + CHOOSE(CONTROL!$C$38, 0.0347, 0)</f>
        <v>43.6295</v>
      </c>
      <c r="F566" s="45">
        <f>43.5948 * CHOOSE(CONTROL!$C$15, $E$9, 100%, $G$9) + CHOOSE(CONTROL!$C$38, 0.0256, 0)</f>
        <v>43.620399999999997</v>
      </c>
      <c r="G566" s="14">
        <f>41.4056 * CHOOSE(CONTROL!$C$15, $E$9, 100%, $G$9) + CHOOSE(CONTROL!$C$38, 0.0347, 0)</f>
        <v>41.440300000000001</v>
      </c>
      <c r="H566" s="14">
        <f>41.4056 * CHOOSE(CONTROL!$C$15, $E$9, 100%, $G$9) + CHOOSE(CONTROL!$C$38, 0.0347, 0)</f>
        <v>41.440300000000001</v>
      </c>
      <c r="I566" s="14">
        <f>41.4072 * CHOOSE(CONTROL!$C$15, $E$9, 100%, $G$9) + CHOOSE(CONTROL!$C$38, 0.0347, 0)</f>
        <v>41.441900000000004</v>
      </c>
      <c r="J566" s="44">
        <f>322.813</f>
        <v>322.81299999999999</v>
      </c>
    </row>
    <row r="567" spans="1:10" ht="15.75" x14ac:dyDescent="0.25">
      <c r="A567" s="32">
        <v>58195</v>
      </c>
      <c r="B567" s="14">
        <f>42.9788 * CHOOSE(CONTROL!$C$15, $E$9, 100%, $G$9) + CHOOSE(CONTROL!$C$38, 0.0256, 0)</f>
        <v>43.004399999999997</v>
      </c>
      <c r="C567" s="14">
        <f>40.6349 * CHOOSE(CONTROL!$C$15, $E$9, 100%, $G$9) + CHOOSE(CONTROL!$C$38, 0.0347, 0)</f>
        <v>40.669600000000003</v>
      </c>
      <c r="D567" s="14">
        <f>40.627 * CHOOSE(CONTROL!$C$15, $E$9, 100%, $G$9) + CHOOSE(CONTROL!$C$38, 0.0347, 0)</f>
        <v>40.661700000000003</v>
      </c>
      <c r="E567" s="46">
        <f>42.8225 * CHOOSE(CONTROL!$C$15, $E$9, 100%, $G$9) + CHOOSE(CONTROL!$C$38, 0.0347, 0)</f>
        <v>42.857199999999999</v>
      </c>
      <c r="F567" s="45">
        <f>42.8225 * CHOOSE(CONTROL!$C$15, $E$9, 100%, $G$9) + CHOOSE(CONTROL!$C$38, 0.0256, 0)</f>
        <v>42.848099999999995</v>
      </c>
      <c r="G567" s="14">
        <f>40.6333 * CHOOSE(CONTROL!$C$15, $E$9, 100%, $G$9) + CHOOSE(CONTROL!$C$38, 0.0347, 0)</f>
        <v>40.667999999999999</v>
      </c>
      <c r="H567" s="14">
        <f>40.6333 * CHOOSE(CONTROL!$C$15, $E$9, 100%, $G$9) + CHOOSE(CONTROL!$C$38, 0.0347, 0)</f>
        <v>40.667999999999999</v>
      </c>
      <c r="I567" s="14">
        <f>40.6349 * CHOOSE(CONTROL!$C$15, $E$9, 100%, $G$9) + CHOOSE(CONTROL!$C$38, 0.0347, 0)</f>
        <v>40.669600000000003</v>
      </c>
      <c r="J567" s="44">
        <f>343.7715</f>
        <v>343.7715</v>
      </c>
    </row>
    <row r="568" spans="1:10" ht="15.75" x14ac:dyDescent="0.25">
      <c r="A568" s="32">
        <v>58226</v>
      </c>
      <c r="B568" s="14">
        <f>42.1738 * CHOOSE(CONTROL!$C$15, $E$9, 100%, $G$9) + CHOOSE(CONTROL!$C$38, 0.0278, 0)</f>
        <v>42.201599999999999</v>
      </c>
      <c r="C568" s="14">
        <f>39.8299 * CHOOSE(CONTROL!$C$15, $E$9, 100%, $G$9) + CHOOSE(CONTROL!$C$38, 0.0369, 0)</f>
        <v>39.866800000000005</v>
      </c>
      <c r="D568" s="14">
        <f>39.8221 * CHOOSE(CONTROL!$C$15, $E$9, 100%, $G$9) + CHOOSE(CONTROL!$C$38, 0.0369, 0)</f>
        <v>39.859000000000002</v>
      </c>
      <c r="E568" s="46">
        <f>42.0176 * CHOOSE(CONTROL!$C$15, $E$9, 100%, $G$9) + CHOOSE(CONTROL!$C$38, 0.0369, 0)</f>
        <v>42.054500000000004</v>
      </c>
      <c r="F568" s="45">
        <f>42.0176 * CHOOSE(CONTROL!$C$15, $E$9, 100%, $G$9) + CHOOSE(CONTROL!$C$38, 0.0278, 0)</f>
        <v>42.045400000000001</v>
      </c>
      <c r="G568" s="14">
        <f>39.8283 * CHOOSE(CONTROL!$C$15, $E$9, 100%, $G$9) + CHOOSE(CONTROL!$C$38, 0.0369, 0)</f>
        <v>39.865200000000002</v>
      </c>
      <c r="H568" s="14">
        <f>39.8283 * CHOOSE(CONTROL!$C$15, $E$9, 100%, $G$9) + CHOOSE(CONTROL!$C$38, 0.0369, 0)</f>
        <v>39.865200000000002</v>
      </c>
      <c r="I568" s="14">
        <f>39.8299 * CHOOSE(CONTROL!$C$15, $E$9, 100%, $G$9) + CHOOSE(CONTROL!$C$38, 0.0369, 0)</f>
        <v>39.866800000000005</v>
      </c>
      <c r="J568" s="44">
        <f>355.3078</f>
        <v>355.30779999999999</v>
      </c>
    </row>
    <row r="569" spans="1:10" ht="15.75" x14ac:dyDescent="0.25">
      <c r="A569" s="32">
        <v>58256</v>
      </c>
      <c r="B569" s="14">
        <f>41.6095 * CHOOSE(CONTROL!$C$15, $E$9, 100%, $G$9) + CHOOSE(CONTROL!$C$38, 0.0278, 0)</f>
        <v>41.637299999999996</v>
      </c>
      <c r="C569" s="14">
        <f>39.2656 * CHOOSE(CONTROL!$C$15, $E$9, 100%, $G$9) + CHOOSE(CONTROL!$C$38, 0.0369, 0)</f>
        <v>39.302500000000002</v>
      </c>
      <c r="D569" s="14">
        <f>39.2577 * CHOOSE(CONTROL!$C$15, $E$9, 100%, $G$9) + CHOOSE(CONTROL!$C$38, 0.0369, 0)</f>
        <v>39.294600000000003</v>
      </c>
      <c r="E569" s="46">
        <f>41.4532 * CHOOSE(CONTROL!$C$15, $E$9, 100%, $G$9) + CHOOSE(CONTROL!$C$38, 0.0369, 0)</f>
        <v>41.490100000000005</v>
      </c>
      <c r="F569" s="45">
        <f>41.4532 * CHOOSE(CONTROL!$C$15, $E$9, 100%, $G$9) + CHOOSE(CONTROL!$C$38, 0.0278, 0)</f>
        <v>41.481000000000002</v>
      </c>
      <c r="G569" s="14">
        <f>39.264 * CHOOSE(CONTROL!$C$15, $E$9, 100%, $G$9) + CHOOSE(CONTROL!$C$38, 0.0369, 0)</f>
        <v>39.300900000000006</v>
      </c>
      <c r="H569" s="14">
        <f>39.264 * CHOOSE(CONTROL!$C$15, $E$9, 100%, $G$9) + CHOOSE(CONTROL!$C$38, 0.0369, 0)</f>
        <v>39.300900000000006</v>
      </c>
      <c r="I569" s="14">
        <f>39.2656 * CHOOSE(CONTROL!$C$15, $E$9, 100%, $G$9) + CHOOSE(CONTROL!$C$38, 0.0369, 0)</f>
        <v>39.302500000000002</v>
      </c>
      <c r="J569" s="44">
        <f>360.4274</f>
        <v>360.42739999999998</v>
      </c>
    </row>
    <row r="570" spans="1:10" ht="15.75" x14ac:dyDescent="0.25">
      <c r="A570" s="32">
        <v>58287</v>
      </c>
      <c r="B570" s="14">
        <f>41.2874 * CHOOSE(CONTROL!$C$15, $E$9, 100%, $G$9) + CHOOSE(CONTROL!$C$38, 0.0278, 0)</f>
        <v>41.315199999999997</v>
      </c>
      <c r="C570" s="14">
        <f>38.9435 * CHOOSE(CONTROL!$C$15, $E$9, 100%, $G$9) + CHOOSE(CONTROL!$C$38, 0.0369, 0)</f>
        <v>38.980400000000003</v>
      </c>
      <c r="D570" s="14">
        <f>38.9357 * CHOOSE(CONTROL!$C$15, $E$9, 100%, $G$9) + CHOOSE(CONTROL!$C$38, 0.0369, 0)</f>
        <v>38.9726</v>
      </c>
      <c r="E570" s="46">
        <f>41.1312 * CHOOSE(CONTROL!$C$15, $E$9, 100%, $G$9) + CHOOSE(CONTROL!$C$38, 0.0369, 0)</f>
        <v>41.168100000000003</v>
      </c>
      <c r="F570" s="45">
        <f>41.1312 * CHOOSE(CONTROL!$C$15, $E$9, 100%, $G$9) + CHOOSE(CONTROL!$C$38, 0.0278, 0)</f>
        <v>41.158999999999999</v>
      </c>
      <c r="G570" s="14">
        <f>38.9419 * CHOOSE(CONTROL!$C$15, $E$9, 100%, $G$9) + CHOOSE(CONTROL!$C$38, 0.0369, 0)</f>
        <v>38.9788</v>
      </c>
      <c r="H570" s="14">
        <f>38.9419 * CHOOSE(CONTROL!$C$15, $E$9, 100%, $G$9) + CHOOSE(CONTROL!$C$38, 0.0369, 0)</f>
        <v>38.9788</v>
      </c>
      <c r="I570" s="14">
        <f>38.9435 * CHOOSE(CONTROL!$C$15, $E$9, 100%, $G$9) + CHOOSE(CONTROL!$C$38, 0.0369, 0)</f>
        <v>38.980400000000003</v>
      </c>
      <c r="J570" s="44">
        <f>358.7418</f>
        <v>358.74180000000001</v>
      </c>
    </row>
    <row r="571" spans="1:10" ht="15.75" x14ac:dyDescent="0.25">
      <c r="A571" s="32">
        <v>58318</v>
      </c>
      <c r="B571" s="14">
        <f>41.4464 * CHOOSE(CONTROL!$C$15, $E$9, 100%, $G$9) + CHOOSE(CONTROL!$C$38, 0.0278, 0)</f>
        <v>41.474199999999996</v>
      </c>
      <c r="C571" s="14">
        <f>39.1024 * CHOOSE(CONTROL!$C$15, $E$9, 100%, $G$9) + CHOOSE(CONTROL!$C$38, 0.0369, 0)</f>
        <v>39.139300000000006</v>
      </c>
      <c r="D571" s="14">
        <f>39.0946 * CHOOSE(CONTROL!$C$15, $E$9, 100%, $G$9) + CHOOSE(CONTROL!$C$38, 0.0369, 0)</f>
        <v>39.131500000000003</v>
      </c>
      <c r="E571" s="46">
        <f>41.2901 * CHOOSE(CONTROL!$C$15, $E$9, 100%, $G$9) + CHOOSE(CONTROL!$C$38, 0.0369, 0)</f>
        <v>41.327000000000005</v>
      </c>
      <c r="F571" s="45">
        <f>41.2901 * CHOOSE(CONTROL!$C$15, $E$9, 100%, $G$9) + CHOOSE(CONTROL!$C$38, 0.0278, 0)</f>
        <v>41.317900000000002</v>
      </c>
      <c r="G571" s="14">
        <f>39.1009 * CHOOSE(CONTROL!$C$15, $E$9, 100%, $G$9) + CHOOSE(CONTROL!$C$38, 0.0369, 0)</f>
        <v>39.137800000000006</v>
      </c>
      <c r="H571" s="14">
        <f>39.1009 * CHOOSE(CONTROL!$C$15, $E$9, 100%, $G$9) + CHOOSE(CONTROL!$C$38, 0.0369, 0)</f>
        <v>39.137800000000006</v>
      </c>
      <c r="I571" s="14">
        <f>39.1024 * CHOOSE(CONTROL!$C$15, $E$9, 100%, $G$9) + CHOOSE(CONTROL!$C$38, 0.0369, 0)</f>
        <v>39.139300000000006</v>
      </c>
      <c r="J571" s="44">
        <f>350.3905</f>
        <v>350.39049999999997</v>
      </c>
    </row>
    <row r="572" spans="1:10" ht="15.75" x14ac:dyDescent="0.25">
      <c r="A572" s="32">
        <v>58348</v>
      </c>
      <c r="B572" s="14">
        <f>41.8781 * CHOOSE(CONTROL!$C$15, $E$9, 100%, $G$9) + CHOOSE(CONTROL!$C$38, 0.0278, 0)</f>
        <v>41.905900000000003</v>
      </c>
      <c r="C572" s="14">
        <f>39.5342 * CHOOSE(CONTROL!$C$15, $E$9, 100%, $G$9) + CHOOSE(CONTROL!$C$38, 0.0369, 0)</f>
        <v>39.571100000000001</v>
      </c>
      <c r="D572" s="14">
        <f>39.5263 * CHOOSE(CONTROL!$C$15, $E$9, 100%, $G$9) + CHOOSE(CONTROL!$C$38, 0.0369, 0)</f>
        <v>39.563200000000002</v>
      </c>
      <c r="E572" s="46">
        <f>41.7218 * CHOOSE(CONTROL!$C$15, $E$9, 100%, $G$9) + CHOOSE(CONTROL!$C$38, 0.0369, 0)</f>
        <v>41.758700000000005</v>
      </c>
      <c r="F572" s="45">
        <f>41.7218 * CHOOSE(CONTROL!$C$15, $E$9, 100%, $G$9) + CHOOSE(CONTROL!$C$38, 0.0278, 0)</f>
        <v>41.749600000000001</v>
      </c>
      <c r="G572" s="14">
        <f>39.5326 * CHOOSE(CONTROL!$C$15, $E$9, 100%, $G$9) + CHOOSE(CONTROL!$C$38, 0.0369, 0)</f>
        <v>39.569500000000005</v>
      </c>
      <c r="H572" s="14">
        <f>39.5326 * CHOOSE(CONTROL!$C$15, $E$9, 100%, $G$9) + CHOOSE(CONTROL!$C$38, 0.0369, 0)</f>
        <v>39.569500000000005</v>
      </c>
      <c r="I572" s="14">
        <f>39.5342 * CHOOSE(CONTROL!$C$15, $E$9, 100%, $G$9) + CHOOSE(CONTROL!$C$38, 0.0369, 0)</f>
        <v>39.571100000000001</v>
      </c>
      <c r="J572" s="44">
        <f>338.7441</f>
        <v>338.7441</v>
      </c>
    </row>
    <row r="573" spans="1:10" ht="15.75" x14ac:dyDescent="0.25">
      <c r="A573" s="32">
        <v>58379</v>
      </c>
      <c r="B573" s="14">
        <f>42.2396 * CHOOSE(CONTROL!$C$15, $E$9, 100%, $G$9) + CHOOSE(CONTROL!$C$38, 0.0256, 0)</f>
        <v>42.2652</v>
      </c>
      <c r="C573" s="14">
        <f>39.8957 * CHOOSE(CONTROL!$C$15, $E$9, 100%, $G$9) + CHOOSE(CONTROL!$C$38, 0.0347, 0)</f>
        <v>39.930399999999999</v>
      </c>
      <c r="D573" s="14">
        <f>39.8879 * CHOOSE(CONTROL!$C$15, $E$9, 100%, $G$9) + CHOOSE(CONTROL!$C$38, 0.0347, 0)</f>
        <v>39.922600000000003</v>
      </c>
      <c r="E573" s="46">
        <f>42.0834 * CHOOSE(CONTROL!$C$15, $E$9, 100%, $G$9) + CHOOSE(CONTROL!$C$38, 0.0347, 0)</f>
        <v>42.118099999999998</v>
      </c>
      <c r="F573" s="45">
        <f>42.0834 * CHOOSE(CONTROL!$C$15, $E$9, 100%, $G$9) + CHOOSE(CONTROL!$C$38, 0.0256, 0)</f>
        <v>42.108999999999995</v>
      </c>
      <c r="G573" s="14">
        <f>39.8942 * CHOOSE(CONTROL!$C$15, $E$9, 100%, $G$9) + CHOOSE(CONTROL!$C$38, 0.0347, 0)</f>
        <v>39.928899999999999</v>
      </c>
      <c r="H573" s="14">
        <f>39.8942 * CHOOSE(CONTROL!$C$15, $E$9, 100%, $G$9) + CHOOSE(CONTROL!$C$38, 0.0347, 0)</f>
        <v>39.928899999999999</v>
      </c>
      <c r="I573" s="14">
        <f>39.8957 * CHOOSE(CONTROL!$C$15, $E$9, 100%, $G$9) + CHOOSE(CONTROL!$C$38, 0.0347, 0)</f>
        <v>39.930399999999999</v>
      </c>
      <c r="J573" s="44">
        <f>327.03</f>
        <v>327.02999999999997</v>
      </c>
    </row>
    <row r="574" spans="1:10" ht="15.75" x14ac:dyDescent="0.25">
      <c r="A574" s="32">
        <v>58409</v>
      </c>
      <c r="B574" s="14">
        <f>42.5414 * CHOOSE(CONTROL!$C$15, $E$9, 100%, $G$9) + CHOOSE(CONTROL!$C$38, 0.0256, 0)</f>
        <v>42.567</v>
      </c>
      <c r="C574" s="14">
        <f>40.1974 * CHOOSE(CONTROL!$C$15, $E$9, 100%, $G$9) + CHOOSE(CONTROL!$C$38, 0.0347, 0)</f>
        <v>40.232100000000003</v>
      </c>
      <c r="D574" s="14">
        <f>40.1896 * CHOOSE(CONTROL!$C$15, $E$9, 100%, $G$9) + CHOOSE(CONTROL!$C$38, 0.0347, 0)</f>
        <v>40.224299999999999</v>
      </c>
      <c r="E574" s="46">
        <f>42.3851 * CHOOSE(CONTROL!$C$15, $E$9, 100%, $G$9) + CHOOSE(CONTROL!$C$38, 0.0347, 0)</f>
        <v>42.419800000000002</v>
      </c>
      <c r="F574" s="45">
        <f>42.3851 * CHOOSE(CONTROL!$C$15, $E$9, 100%, $G$9) + CHOOSE(CONTROL!$C$38, 0.0256, 0)</f>
        <v>42.410699999999999</v>
      </c>
      <c r="G574" s="14">
        <f>40.1959 * CHOOSE(CONTROL!$C$15, $E$9, 100%, $G$9) + CHOOSE(CONTROL!$C$38, 0.0347, 0)</f>
        <v>40.230600000000003</v>
      </c>
      <c r="H574" s="14">
        <f>40.1959 * CHOOSE(CONTROL!$C$15, $E$9, 100%, $G$9) + CHOOSE(CONTROL!$C$38, 0.0347, 0)</f>
        <v>40.230600000000003</v>
      </c>
      <c r="I574" s="14">
        <f>40.1974 * CHOOSE(CONTROL!$C$15, $E$9, 100%, $G$9) + CHOOSE(CONTROL!$C$38, 0.0347, 0)</f>
        <v>40.232100000000003</v>
      </c>
      <c r="J574" s="44">
        <f>324.6998</f>
        <v>324.69979999999998</v>
      </c>
    </row>
    <row r="575" spans="1:10" ht="15.75" x14ac:dyDescent="0.25">
      <c r="A575" s="32">
        <v>58440</v>
      </c>
      <c r="B575" s="14">
        <f>43.471 * CHOOSE(CONTROL!$C$15, $E$9, 100%, $G$9) + CHOOSE(CONTROL!$C$38, 0.0256, 0)</f>
        <v>43.496599999999994</v>
      </c>
      <c r="C575" s="14">
        <f>41.1271 * CHOOSE(CONTROL!$C$15, $E$9, 100%, $G$9) + CHOOSE(CONTROL!$C$38, 0.0347, 0)</f>
        <v>41.161799999999999</v>
      </c>
      <c r="D575" s="14">
        <f>41.1193 * CHOOSE(CONTROL!$C$15, $E$9, 100%, $G$9) + CHOOSE(CONTROL!$C$38, 0.0347, 0)</f>
        <v>41.154000000000003</v>
      </c>
      <c r="E575" s="46">
        <f>43.3148 * CHOOSE(CONTROL!$C$15, $E$9, 100%, $G$9) + CHOOSE(CONTROL!$C$38, 0.0347, 0)</f>
        <v>43.349499999999999</v>
      </c>
      <c r="F575" s="45">
        <f>43.3148 * CHOOSE(CONTROL!$C$15, $E$9, 100%, $G$9) + CHOOSE(CONTROL!$C$38, 0.0256, 0)</f>
        <v>43.340399999999995</v>
      </c>
      <c r="G575" s="14">
        <f>41.1255 * CHOOSE(CONTROL!$C$15, $E$9, 100%, $G$9) + CHOOSE(CONTROL!$C$38, 0.0347, 0)</f>
        <v>41.160200000000003</v>
      </c>
      <c r="H575" s="14">
        <f>41.1255 * CHOOSE(CONTROL!$C$15, $E$9, 100%, $G$9) + CHOOSE(CONTROL!$C$38, 0.0347, 0)</f>
        <v>41.160200000000003</v>
      </c>
      <c r="I575" s="14">
        <f>41.1271 * CHOOSE(CONTROL!$C$15, $E$9, 100%, $G$9) + CHOOSE(CONTROL!$C$38, 0.0347, 0)</f>
        <v>41.161799999999999</v>
      </c>
      <c r="J575" s="44">
        <f>315.0643</f>
        <v>315.0643</v>
      </c>
    </row>
    <row r="576" spans="1:10" ht="15.75" x14ac:dyDescent="0.25">
      <c r="A576" s="32">
        <v>58471</v>
      </c>
      <c r="B576" s="14">
        <f>44.9104 * CHOOSE(CONTROL!$C$15, $E$9, 100%, $G$9) + CHOOSE(CONTROL!$C$38, 0.0256, 0)</f>
        <v>44.936</v>
      </c>
      <c r="C576" s="14">
        <f>42.5297 * CHOOSE(CONTROL!$C$15, $E$9, 100%, $G$9) + CHOOSE(CONTROL!$C$38, 0.0347, 0)</f>
        <v>42.564399999999999</v>
      </c>
      <c r="D576" s="14">
        <f>42.5219 * CHOOSE(CONTROL!$C$15, $E$9, 100%, $G$9) + CHOOSE(CONTROL!$C$38, 0.0347, 0)</f>
        <v>42.556600000000003</v>
      </c>
      <c r="E576" s="46">
        <f>44.7542 * CHOOSE(CONTROL!$C$15, $E$9, 100%, $G$9) + CHOOSE(CONTROL!$C$38, 0.0347, 0)</f>
        <v>44.788899999999998</v>
      </c>
      <c r="F576" s="45">
        <f>44.7542 * CHOOSE(CONTROL!$C$15, $E$9, 100%, $G$9) + CHOOSE(CONTROL!$C$38, 0.0256, 0)</f>
        <v>44.779799999999994</v>
      </c>
      <c r="G576" s="14">
        <f>42.5282 * CHOOSE(CONTROL!$C$15, $E$9, 100%, $G$9) + CHOOSE(CONTROL!$C$38, 0.0347, 0)</f>
        <v>42.562899999999999</v>
      </c>
      <c r="H576" s="14">
        <f>42.5282 * CHOOSE(CONTROL!$C$15, $E$9, 100%, $G$9) + CHOOSE(CONTROL!$C$38, 0.0347, 0)</f>
        <v>42.562899999999999</v>
      </c>
      <c r="I576" s="14">
        <f>42.5297 * CHOOSE(CONTROL!$C$15, $E$9, 100%, $G$9) + CHOOSE(CONTROL!$C$38, 0.0347, 0)</f>
        <v>42.564399999999999</v>
      </c>
      <c r="J576" s="44">
        <f>314.8368</f>
        <v>314.83679999999998</v>
      </c>
    </row>
    <row r="577" spans="1:10" ht="15.75" x14ac:dyDescent="0.25">
      <c r="A577" s="32">
        <v>58499</v>
      </c>
      <c r="B577" s="14">
        <f>45.2547 * CHOOSE(CONTROL!$C$15, $E$9, 100%, $G$9) + CHOOSE(CONTROL!$C$38, 0.0256, 0)</f>
        <v>45.280299999999997</v>
      </c>
      <c r="C577" s="14">
        <f>42.874 * CHOOSE(CONTROL!$C$15, $E$9, 100%, $G$9) + CHOOSE(CONTROL!$C$38, 0.0347, 0)</f>
        <v>42.908700000000003</v>
      </c>
      <c r="D577" s="14">
        <f>42.8662 * CHOOSE(CONTROL!$C$15, $E$9, 100%, $G$9) + CHOOSE(CONTROL!$C$38, 0.0347, 0)</f>
        <v>42.9009</v>
      </c>
      <c r="E577" s="46">
        <f>45.0985 * CHOOSE(CONTROL!$C$15, $E$9, 100%, $G$9) + CHOOSE(CONTROL!$C$38, 0.0347, 0)</f>
        <v>45.133200000000002</v>
      </c>
      <c r="F577" s="45">
        <f>45.0985 * CHOOSE(CONTROL!$C$15, $E$9, 100%, $G$9) + CHOOSE(CONTROL!$C$38, 0.0256, 0)</f>
        <v>45.124099999999999</v>
      </c>
      <c r="G577" s="14">
        <f>42.8725 * CHOOSE(CONTROL!$C$15, $E$9, 100%, $G$9) + CHOOSE(CONTROL!$C$38, 0.0347, 0)</f>
        <v>42.907200000000003</v>
      </c>
      <c r="H577" s="14">
        <f>42.8725 * CHOOSE(CONTROL!$C$15, $E$9, 100%, $G$9) + CHOOSE(CONTROL!$C$38, 0.0347, 0)</f>
        <v>42.907200000000003</v>
      </c>
      <c r="I577" s="14">
        <f>42.874 * CHOOSE(CONTROL!$C$15, $E$9, 100%, $G$9) + CHOOSE(CONTROL!$C$38, 0.0347, 0)</f>
        <v>42.908700000000003</v>
      </c>
      <c r="J577" s="44">
        <f>313.9617</f>
        <v>313.96170000000001</v>
      </c>
    </row>
    <row r="578" spans="1:10" ht="15.75" x14ac:dyDescent="0.25">
      <c r="A578" s="32">
        <v>58531</v>
      </c>
      <c r="B578" s="14">
        <f>44.4577 * CHOOSE(CONTROL!$C$15, $E$9, 100%, $G$9) + CHOOSE(CONTROL!$C$38, 0.0256, 0)</f>
        <v>44.4833</v>
      </c>
      <c r="C578" s="14">
        <f>42.077 * CHOOSE(CONTROL!$C$15, $E$9, 100%, $G$9) + CHOOSE(CONTROL!$C$38, 0.0347, 0)</f>
        <v>42.111699999999999</v>
      </c>
      <c r="D578" s="14">
        <f>42.0692 * CHOOSE(CONTROL!$C$15, $E$9, 100%, $G$9) + CHOOSE(CONTROL!$C$38, 0.0347, 0)</f>
        <v>42.103900000000003</v>
      </c>
      <c r="E578" s="46">
        <f>44.3014 * CHOOSE(CONTROL!$C$15, $E$9, 100%, $G$9) + CHOOSE(CONTROL!$C$38, 0.0347, 0)</f>
        <v>44.336100000000002</v>
      </c>
      <c r="F578" s="45">
        <f>44.3014 * CHOOSE(CONTROL!$C$15, $E$9, 100%, $G$9) + CHOOSE(CONTROL!$C$38, 0.0256, 0)</f>
        <v>44.326999999999998</v>
      </c>
      <c r="G578" s="14">
        <f>42.0754 * CHOOSE(CONTROL!$C$15, $E$9, 100%, $G$9) + CHOOSE(CONTROL!$C$38, 0.0347, 0)</f>
        <v>42.110100000000003</v>
      </c>
      <c r="H578" s="14">
        <f>42.0754 * CHOOSE(CONTROL!$C$15, $E$9, 100%, $G$9) + CHOOSE(CONTROL!$C$38, 0.0347, 0)</f>
        <v>42.110100000000003</v>
      </c>
      <c r="I578" s="14">
        <f>42.077 * CHOOSE(CONTROL!$C$15, $E$9, 100%, $G$9) + CHOOSE(CONTROL!$C$38, 0.0347, 0)</f>
        <v>42.111699999999999</v>
      </c>
      <c r="J578" s="44">
        <f>330.5093</f>
        <v>330.5093</v>
      </c>
    </row>
    <row r="579" spans="1:10" ht="15.75" x14ac:dyDescent="0.25">
      <c r="A579" s="32">
        <v>58561</v>
      </c>
      <c r="B579" s="14">
        <f>43.6854 * CHOOSE(CONTROL!$C$15, $E$9, 100%, $G$9) + CHOOSE(CONTROL!$C$38, 0.0256, 0)</f>
        <v>43.710999999999999</v>
      </c>
      <c r="C579" s="14">
        <f>41.3047 * CHOOSE(CONTROL!$C$15, $E$9, 100%, $G$9) + CHOOSE(CONTROL!$C$38, 0.0347, 0)</f>
        <v>41.339399999999998</v>
      </c>
      <c r="D579" s="14">
        <f>41.2969 * CHOOSE(CONTROL!$C$15, $E$9, 100%, $G$9) + CHOOSE(CONTROL!$C$38, 0.0347, 0)</f>
        <v>41.331600000000002</v>
      </c>
      <c r="E579" s="46">
        <f>43.5291 * CHOOSE(CONTROL!$C$15, $E$9, 100%, $G$9) + CHOOSE(CONTROL!$C$38, 0.0347, 0)</f>
        <v>43.563800000000001</v>
      </c>
      <c r="F579" s="45">
        <f>43.5291 * CHOOSE(CONTROL!$C$15, $E$9, 100%, $G$9) + CHOOSE(CONTROL!$C$38, 0.0256, 0)</f>
        <v>43.554699999999997</v>
      </c>
      <c r="G579" s="14">
        <f>41.3031 * CHOOSE(CONTROL!$C$15, $E$9, 100%, $G$9) + CHOOSE(CONTROL!$C$38, 0.0347, 0)</f>
        <v>41.337800000000001</v>
      </c>
      <c r="H579" s="14">
        <f>41.3031 * CHOOSE(CONTROL!$C$15, $E$9, 100%, $G$9) + CHOOSE(CONTROL!$C$38, 0.0347, 0)</f>
        <v>41.337800000000001</v>
      </c>
      <c r="I579" s="14">
        <f>41.3047 * CHOOSE(CONTROL!$C$15, $E$9, 100%, $G$9) + CHOOSE(CONTROL!$C$38, 0.0347, 0)</f>
        <v>41.339399999999998</v>
      </c>
      <c r="J579" s="44">
        <f>351.9676</f>
        <v>351.9676</v>
      </c>
    </row>
    <row r="580" spans="1:10" ht="15.75" x14ac:dyDescent="0.25">
      <c r="A580" s="32">
        <v>58592</v>
      </c>
      <c r="B580" s="14">
        <f>42.8804 * CHOOSE(CONTROL!$C$15, $E$9, 100%, $G$9) + CHOOSE(CONTROL!$C$38, 0.0278, 0)</f>
        <v>42.908200000000001</v>
      </c>
      <c r="C580" s="14">
        <f>40.4997 * CHOOSE(CONTROL!$C$15, $E$9, 100%, $G$9) + CHOOSE(CONTROL!$C$38, 0.0369, 0)</f>
        <v>40.5366</v>
      </c>
      <c r="D580" s="14">
        <f>40.4919 * CHOOSE(CONTROL!$C$15, $E$9, 100%, $G$9) + CHOOSE(CONTROL!$C$38, 0.0369, 0)</f>
        <v>40.528800000000004</v>
      </c>
      <c r="E580" s="46">
        <f>42.7242 * CHOOSE(CONTROL!$C$15, $E$9, 100%, $G$9) + CHOOSE(CONTROL!$C$38, 0.0369, 0)</f>
        <v>42.761100000000006</v>
      </c>
      <c r="F580" s="45">
        <f>42.7242 * CHOOSE(CONTROL!$C$15, $E$9, 100%, $G$9) + CHOOSE(CONTROL!$C$38, 0.0278, 0)</f>
        <v>42.752000000000002</v>
      </c>
      <c r="G580" s="14">
        <f>40.4982 * CHOOSE(CONTROL!$C$15, $E$9, 100%, $G$9) + CHOOSE(CONTROL!$C$38, 0.0369, 0)</f>
        <v>40.5351</v>
      </c>
      <c r="H580" s="14">
        <f>40.4982 * CHOOSE(CONTROL!$C$15, $E$9, 100%, $G$9) + CHOOSE(CONTROL!$C$38, 0.0369, 0)</f>
        <v>40.5351</v>
      </c>
      <c r="I580" s="14">
        <f>40.4997 * CHOOSE(CONTROL!$C$15, $E$9, 100%, $G$9) + CHOOSE(CONTROL!$C$38, 0.0369, 0)</f>
        <v>40.5366</v>
      </c>
      <c r="J580" s="44">
        <f>363.7789</f>
        <v>363.77890000000002</v>
      </c>
    </row>
    <row r="581" spans="1:10" ht="15.75" x14ac:dyDescent="0.25">
      <c r="A581" s="32">
        <v>58622</v>
      </c>
      <c r="B581" s="14">
        <f>42.3161 * CHOOSE(CONTROL!$C$15, $E$9, 100%, $G$9) + CHOOSE(CONTROL!$C$38, 0.0278, 0)</f>
        <v>42.343899999999998</v>
      </c>
      <c r="C581" s="14">
        <f>39.9354 * CHOOSE(CONTROL!$C$15, $E$9, 100%, $G$9) + CHOOSE(CONTROL!$C$38, 0.0369, 0)</f>
        <v>39.972300000000004</v>
      </c>
      <c r="D581" s="14">
        <f>39.9276 * CHOOSE(CONTROL!$C$15, $E$9, 100%, $G$9) + CHOOSE(CONTROL!$C$38, 0.0369, 0)</f>
        <v>39.964500000000001</v>
      </c>
      <c r="E581" s="46">
        <f>42.1598 * CHOOSE(CONTROL!$C$15, $E$9, 100%, $G$9) + CHOOSE(CONTROL!$C$38, 0.0369, 0)</f>
        <v>42.1967</v>
      </c>
      <c r="F581" s="45">
        <f>42.1598 * CHOOSE(CONTROL!$C$15, $E$9, 100%, $G$9) + CHOOSE(CONTROL!$C$38, 0.0278, 0)</f>
        <v>42.187599999999996</v>
      </c>
      <c r="G581" s="14">
        <f>39.9338 * CHOOSE(CONTROL!$C$15, $E$9, 100%, $G$9) + CHOOSE(CONTROL!$C$38, 0.0369, 0)</f>
        <v>39.970700000000001</v>
      </c>
      <c r="H581" s="14">
        <f>39.9338 * CHOOSE(CONTROL!$C$15, $E$9, 100%, $G$9) + CHOOSE(CONTROL!$C$38, 0.0369, 0)</f>
        <v>39.970700000000001</v>
      </c>
      <c r="I581" s="14">
        <f>39.9354 * CHOOSE(CONTROL!$C$15, $E$9, 100%, $G$9) + CHOOSE(CONTROL!$C$38, 0.0369, 0)</f>
        <v>39.972300000000004</v>
      </c>
      <c r="J581" s="44">
        <f>369.0206</f>
        <v>369.0206</v>
      </c>
    </row>
    <row r="582" spans="1:10" ht="15.75" x14ac:dyDescent="0.25">
      <c r="A582" s="32">
        <v>58653</v>
      </c>
      <c r="B582" s="14">
        <f>41.994 * CHOOSE(CONTROL!$C$15, $E$9, 100%, $G$9) + CHOOSE(CONTROL!$C$38, 0.0278, 0)</f>
        <v>42.021799999999999</v>
      </c>
      <c r="C582" s="14">
        <f>39.6133 * CHOOSE(CONTROL!$C$15, $E$9, 100%, $G$9) + CHOOSE(CONTROL!$C$38, 0.0369, 0)</f>
        <v>39.650200000000005</v>
      </c>
      <c r="D582" s="14">
        <f>39.6055 * CHOOSE(CONTROL!$C$15, $E$9, 100%, $G$9) + CHOOSE(CONTROL!$C$38, 0.0369, 0)</f>
        <v>39.642400000000002</v>
      </c>
      <c r="E582" s="46">
        <f>41.8378 * CHOOSE(CONTROL!$C$15, $E$9, 100%, $G$9) + CHOOSE(CONTROL!$C$38, 0.0369, 0)</f>
        <v>41.874700000000004</v>
      </c>
      <c r="F582" s="45">
        <f>41.8378 * CHOOSE(CONTROL!$C$15, $E$9, 100%, $G$9) + CHOOSE(CONTROL!$C$38, 0.0278, 0)</f>
        <v>41.865600000000001</v>
      </c>
      <c r="G582" s="14">
        <f>39.6118 * CHOOSE(CONTROL!$C$15, $E$9, 100%, $G$9) + CHOOSE(CONTROL!$C$38, 0.0369, 0)</f>
        <v>39.648700000000005</v>
      </c>
      <c r="H582" s="14">
        <f>39.6118 * CHOOSE(CONTROL!$C$15, $E$9, 100%, $G$9) + CHOOSE(CONTROL!$C$38, 0.0369, 0)</f>
        <v>39.648700000000005</v>
      </c>
      <c r="I582" s="14">
        <f>39.6133 * CHOOSE(CONTROL!$C$15, $E$9, 100%, $G$9) + CHOOSE(CONTROL!$C$38, 0.0369, 0)</f>
        <v>39.650200000000005</v>
      </c>
      <c r="J582" s="44">
        <f>367.2948</f>
        <v>367.29480000000001</v>
      </c>
    </row>
    <row r="583" spans="1:10" ht="15.75" x14ac:dyDescent="0.25">
      <c r="A583" s="32">
        <v>58684</v>
      </c>
      <c r="B583" s="14">
        <f>42.153 * CHOOSE(CONTROL!$C$15, $E$9, 100%, $G$9) + CHOOSE(CONTROL!$C$38, 0.0278, 0)</f>
        <v>42.180799999999998</v>
      </c>
      <c r="C583" s="14">
        <f>39.7723 * CHOOSE(CONTROL!$C$15, $E$9, 100%, $G$9) + CHOOSE(CONTROL!$C$38, 0.0369, 0)</f>
        <v>39.809200000000004</v>
      </c>
      <c r="D583" s="14">
        <f>39.7645 * CHOOSE(CONTROL!$C$15, $E$9, 100%, $G$9) + CHOOSE(CONTROL!$C$38, 0.0369, 0)</f>
        <v>39.801400000000001</v>
      </c>
      <c r="E583" s="46">
        <f>41.9967 * CHOOSE(CONTROL!$C$15, $E$9, 100%, $G$9) + CHOOSE(CONTROL!$C$38, 0.0369, 0)</f>
        <v>42.0336</v>
      </c>
      <c r="F583" s="45">
        <f>41.9967 * CHOOSE(CONTROL!$C$15, $E$9, 100%, $G$9) + CHOOSE(CONTROL!$C$38, 0.0278, 0)</f>
        <v>42.024499999999996</v>
      </c>
      <c r="G583" s="14">
        <f>39.7707 * CHOOSE(CONTROL!$C$15, $E$9, 100%, $G$9) + CHOOSE(CONTROL!$C$38, 0.0369, 0)</f>
        <v>39.807600000000001</v>
      </c>
      <c r="H583" s="14">
        <f>39.7707 * CHOOSE(CONTROL!$C$15, $E$9, 100%, $G$9) + CHOOSE(CONTROL!$C$38, 0.0369, 0)</f>
        <v>39.807600000000001</v>
      </c>
      <c r="I583" s="14">
        <f>39.7723 * CHOOSE(CONTROL!$C$15, $E$9, 100%, $G$9) + CHOOSE(CONTROL!$C$38, 0.0369, 0)</f>
        <v>39.809200000000004</v>
      </c>
      <c r="J583" s="44">
        <f>358.7443</f>
        <v>358.74430000000001</v>
      </c>
    </row>
    <row r="584" spans="1:10" ht="15.75" x14ac:dyDescent="0.25">
      <c r="A584" s="32">
        <v>58714</v>
      </c>
      <c r="B584" s="14">
        <f>42.5847 * CHOOSE(CONTROL!$C$15, $E$9, 100%, $G$9) + CHOOSE(CONTROL!$C$38, 0.0278, 0)</f>
        <v>42.612499999999997</v>
      </c>
      <c r="C584" s="14">
        <f>40.204 * CHOOSE(CONTROL!$C$15, $E$9, 100%, $G$9) + CHOOSE(CONTROL!$C$38, 0.0369, 0)</f>
        <v>40.240900000000003</v>
      </c>
      <c r="D584" s="14">
        <f>40.1962 * CHOOSE(CONTROL!$C$15, $E$9, 100%, $G$9) + CHOOSE(CONTROL!$C$38, 0.0369, 0)</f>
        <v>40.2331</v>
      </c>
      <c r="E584" s="46">
        <f>42.4284 * CHOOSE(CONTROL!$C$15, $E$9, 100%, $G$9) + CHOOSE(CONTROL!$C$38, 0.0369, 0)</f>
        <v>42.465300000000006</v>
      </c>
      <c r="F584" s="45">
        <f>42.4284 * CHOOSE(CONTROL!$C$15, $E$9, 100%, $G$9) + CHOOSE(CONTROL!$C$38, 0.0278, 0)</f>
        <v>42.456200000000003</v>
      </c>
      <c r="G584" s="14">
        <f>40.2024 * CHOOSE(CONTROL!$C$15, $E$9, 100%, $G$9) + CHOOSE(CONTROL!$C$38, 0.0369, 0)</f>
        <v>40.2393</v>
      </c>
      <c r="H584" s="14">
        <f>40.2024 * CHOOSE(CONTROL!$C$15, $E$9, 100%, $G$9) + CHOOSE(CONTROL!$C$38, 0.0369, 0)</f>
        <v>40.2393</v>
      </c>
      <c r="I584" s="14">
        <f>40.204 * CHOOSE(CONTROL!$C$15, $E$9, 100%, $G$9) + CHOOSE(CONTROL!$C$38, 0.0369, 0)</f>
        <v>40.240900000000003</v>
      </c>
      <c r="J584" s="44">
        <f>346.8203</f>
        <v>346.82029999999997</v>
      </c>
    </row>
    <row r="585" spans="1:10" ht="15.75" x14ac:dyDescent="0.25">
      <c r="A585" s="32">
        <v>58745</v>
      </c>
      <c r="B585" s="14">
        <f>42.9463 * CHOOSE(CONTROL!$C$15, $E$9, 100%, $G$9) + CHOOSE(CONTROL!$C$38, 0.0256, 0)</f>
        <v>42.971899999999998</v>
      </c>
      <c r="C585" s="14">
        <f>40.5656 * CHOOSE(CONTROL!$C$15, $E$9, 100%, $G$9) + CHOOSE(CONTROL!$C$38, 0.0347, 0)</f>
        <v>40.600300000000004</v>
      </c>
      <c r="D585" s="14">
        <f>40.5578 * CHOOSE(CONTROL!$C$15, $E$9, 100%, $G$9) + CHOOSE(CONTROL!$C$38, 0.0347, 0)</f>
        <v>40.592500000000001</v>
      </c>
      <c r="E585" s="46">
        <f>42.79 * CHOOSE(CONTROL!$C$15, $E$9, 100%, $G$9) + CHOOSE(CONTROL!$C$38, 0.0347, 0)</f>
        <v>42.8247</v>
      </c>
      <c r="F585" s="45">
        <f>42.79 * CHOOSE(CONTROL!$C$15, $E$9, 100%, $G$9) + CHOOSE(CONTROL!$C$38, 0.0256, 0)</f>
        <v>42.815599999999996</v>
      </c>
      <c r="G585" s="14">
        <f>40.564 * CHOOSE(CONTROL!$C$15, $E$9, 100%, $G$9) + CHOOSE(CONTROL!$C$38, 0.0347, 0)</f>
        <v>40.598700000000001</v>
      </c>
      <c r="H585" s="14">
        <f>40.564 * CHOOSE(CONTROL!$C$15, $E$9, 100%, $G$9) + CHOOSE(CONTROL!$C$38, 0.0347, 0)</f>
        <v>40.598700000000001</v>
      </c>
      <c r="I585" s="14">
        <f>40.5656 * CHOOSE(CONTROL!$C$15, $E$9, 100%, $G$9) + CHOOSE(CONTROL!$C$38, 0.0347, 0)</f>
        <v>40.600300000000004</v>
      </c>
      <c r="J585" s="44">
        <f>334.8269</f>
        <v>334.82690000000002</v>
      </c>
    </row>
    <row r="586" spans="1:10" ht="15.75" x14ac:dyDescent="0.25">
      <c r="A586" s="32">
        <v>58775</v>
      </c>
      <c r="B586" s="14">
        <f>43.248 * CHOOSE(CONTROL!$C$15, $E$9, 100%, $G$9) + CHOOSE(CONTROL!$C$38, 0.0256, 0)</f>
        <v>43.273599999999995</v>
      </c>
      <c r="C586" s="14">
        <f>40.8673 * CHOOSE(CONTROL!$C$15, $E$9, 100%, $G$9) + CHOOSE(CONTROL!$C$38, 0.0347, 0)</f>
        <v>40.902000000000001</v>
      </c>
      <c r="D586" s="14">
        <f>40.8595 * CHOOSE(CONTROL!$C$15, $E$9, 100%, $G$9) + CHOOSE(CONTROL!$C$38, 0.0347, 0)</f>
        <v>40.894199999999998</v>
      </c>
      <c r="E586" s="46">
        <f>43.0917 * CHOOSE(CONTROL!$C$15, $E$9, 100%, $G$9) + CHOOSE(CONTROL!$C$38, 0.0347, 0)</f>
        <v>43.126400000000004</v>
      </c>
      <c r="F586" s="45">
        <f>43.0917 * CHOOSE(CONTROL!$C$15, $E$9, 100%, $G$9) + CHOOSE(CONTROL!$C$38, 0.0256, 0)</f>
        <v>43.1173</v>
      </c>
      <c r="G586" s="14">
        <f>40.8657 * CHOOSE(CONTROL!$C$15, $E$9, 100%, $G$9) + CHOOSE(CONTROL!$C$38, 0.0347, 0)</f>
        <v>40.900399999999998</v>
      </c>
      <c r="H586" s="14">
        <f>40.8657 * CHOOSE(CONTROL!$C$15, $E$9, 100%, $G$9) + CHOOSE(CONTROL!$C$38, 0.0347, 0)</f>
        <v>40.900399999999998</v>
      </c>
      <c r="I586" s="14">
        <f>40.8673 * CHOOSE(CONTROL!$C$15, $E$9, 100%, $G$9) + CHOOSE(CONTROL!$C$38, 0.0347, 0)</f>
        <v>40.902000000000001</v>
      </c>
      <c r="J586" s="44">
        <f>332.4411</f>
        <v>332.44110000000001</v>
      </c>
    </row>
    <row r="587" spans="1:10" ht="15.75" x14ac:dyDescent="0.25">
      <c r="A587" s="32">
        <v>58806</v>
      </c>
      <c r="B587" s="14">
        <f>44.1776 * CHOOSE(CONTROL!$C$15, $E$9, 100%, $G$9) + CHOOSE(CONTROL!$C$38, 0.0256, 0)</f>
        <v>44.203199999999995</v>
      </c>
      <c r="C587" s="14">
        <f>41.7969 * CHOOSE(CONTROL!$C$15, $E$9, 100%, $G$9) + CHOOSE(CONTROL!$C$38, 0.0347, 0)</f>
        <v>41.831600000000002</v>
      </c>
      <c r="D587" s="14">
        <f>41.7891 * CHOOSE(CONTROL!$C$15, $E$9, 100%, $G$9) + CHOOSE(CONTROL!$C$38, 0.0347, 0)</f>
        <v>41.823799999999999</v>
      </c>
      <c r="E587" s="46">
        <f>44.0214 * CHOOSE(CONTROL!$C$15, $E$9, 100%, $G$9) + CHOOSE(CONTROL!$C$38, 0.0347, 0)</f>
        <v>44.056100000000001</v>
      </c>
      <c r="F587" s="45">
        <f>44.0214 * CHOOSE(CONTROL!$C$15, $E$9, 100%, $G$9) + CHOOSE(CONTROL!$C$38, 0.0256, 0)</f>
        <v>44.046999999999997</v>
      </c>
      <c r="G587" s="14">
        <f>41.7954 * CHOOSE(CONTROL!$C$15, $E$9, 100%, $G$9) + CHOOSE(CONTROL!$C$38, 0.0347, 0)</f>
        <v>41.830100000000002</v>
      </c>
      <c r="H587" s="14">
        <f>41.7954 * CHOOSE(CONTROL!$C$15, $E$9, 100%, $G$9) + CHOOSE(CONTROL!$C$38, 0.0347, 0)</f>
        <v>41.830100000000002</v>
      </c>
      <c r="I587" s="14">
        <f>41.7969 * CHOOSE(CONTROL!$C$15, $E$9, 100%, $G$9) + CHOOSE(CONTROL!$C$38, 0.0347, 0)</f>
        <v>41.831600000000002</v>
      </c>
      <c r="J587" s="44">
        <f>322.5759</f>
        <v>322.57589999999999</v>
      </c>
    </row>
    <row r="588" spans="1:10" ht="15.75" x14ac:dyDescent="0.25">
      <c r="A588" s="32">
        <v>58837</v>
      </c>
      <c r="B588" s="14">
        <f>45.6289 * CHOOSE(CONTROL!$C$15, $E$9, 100%, $G$9) + CHOOSE(CONTROL!$C$38, 0.0256, 0)</f>
        <v>45.654499999999999</v>
      </c>
      <c r="C588" s="14">
        <f>43.2108 * CHOOSE(CONTROL!$C$15, $E$9, 100%, $G$9) + CHOOSE(CONTROL!$C$38, 0.0347, 0)</f>
        <v>43.2455</v>
      </c>
      <c r="D588" s="14">
        <f>43.203 * CHOOSE(CONTROL!$C$15, $E$9, 100%, $G$9) + CHOOSE(CONTROL!$C$38, 0.0347, 0)</f>
        <v>43.237700000000004</v>
      </c>
      <c r="E588" s="46">
        <f>45.4726 * CHOOSE(CONTROL!$C$15, $E$9, 100%, $G$9) + CHOOSE(CONTROL!$C$38, 0.0347, 0)</f>
        <v>45.507300000000001</v>
      </c>
      <c r="F588" s="45">
        <f>45.4726 * CHOOSE(CONTROL!$C$15, $E$9, 100%, $G$9) + CHOOSE(CONTROL!$C$38, 0.0256, 0)</f>
        <v>45.498199999999997</v>
      </c>
      <c r="G588" s="14">
        <f>43.2093 * CHOOSE(CONTROL!$C$15, $E$9, 100%, $G$9) + CHOOSE(CONTROL!$C$38, 0.0347, 0)</f>
        <v>43.244</v>
      </c>
      <c r="H588" s="14">
        <f>43.2093 * CHOOSE(CONTROL!$C$15, $E$9, 100%, $G$9) + CHOOSE(CONTROL!$C$38, 0.0347, 0)</f>
        <v>43.244</v>
      </c>
      <c r="I588" s="14">
        <f>43.2108 * CHOOSE(CONTROL!$C$15, $E$9, 100%, $G$9) + CHOOSE(CONTROL!$C$38, 0.0347, 0)</f>
        <v>43.2455</v>
      </c>
      <c r="J588" s="44">
        <f>322.343</f>
        <v>322.34300000000002</v>
      </c>
    </row>
    <row r="589" spans="1:10" ht="15.75" x14ac:dyDescent="0.25">
      <c r="A589" s="32">
        <v>58865</v>
      </c>
      <c r="B589" s="14">
        <f>45.9732 * CHOOSE(CONTROL!$C$15, $E$9, 100%, $G$9) + CHOOSE(CONTROL!$C$38, 0.0256, 0)</f>
        <v>45.998799999999996</v>
      </c>
      <c r="C589" s="14">
        <f>43.5551 * CHOOSE(CONTROL!$C$15, $E$9, 100%, $G$9) + CHOOSE(CONTROL!$C$38, 0.0347, 0)</f>
        <v>43.589800000000004</v>
      </c>
      <c r="D589" s="14">
        <f>43.5473 * CHOOSE(CONTROL!$C$15, $E$9, 100%, $G$9) + CHOOSE(CONTROL!$C$38, 0.0347, 0)</f>
        <v>43.582000000000001</v>
      </c>
      <c r="E589" s="46">
        <f>45.817 * CHOOSE(CONTROL!$C$15, $E$9, 100%, $G$9) + CHOOSE(CONTROL!$C$38, 0.0347, 0)</f>
        <v>45.851700000000001</v>
      </c>
      <c r="F589" s="45">
        <f>45.817 * CHOOSE(CONTROL!$C$15, $E$9, 100%, $G$9) + CHOOSE(CONTROL!$C$38, 0.0256, 0)</f>
        <v>45.842599999999997</v>
      </c>
      <c r="G589" s="14">
        <f>43.5536 * CHOOSE(CONTROL!$C$15, $E$9, 100%, $G$9) + CHOOSE(CONTROL!$C$38, 0.0347, 0)</f>
        <v>43.588300000000004</v>
      </c>
      <c r="H589" s="14">
        <f>43.5536 * CHOOSE(CONTROL!$C$15, $E$9, 100%, $G$9) + CHOOSE(CONTROL!$C$38, 0.0347, 0)</f>
        <v>43.588300000000004</v>
      </c>
      <c r="I589" s="14">
        <f>43.5551 * CHOOSE(CONTROL!$C$15, $E$9, 100%, $G$9) + CHOOSE(CONTROL!$C$38, 0.0347, 0)</f>
        <v>43.589800000000004</v>
      </c>
      <c r="J589" s="44">
        <f>321.447</f>
        <v>321.447</v>
      </c>
    </row>
    <row r="590" spans="1:10" ht="15.75" x14ac:dyDescent="0.25">
      <c r="A590" s="32">
        <v>58893</v>
      </c>
      <c r="B590" s="14">
        <f>45.1762 * CHOOSE(CONTROL!$C$15, $E$9, 100%, $G$9) + CHOOSE(CONTROL!$C$38, 0.0256, 0)</f>
        <v>45.201799999999999</v>
      </c>
      <c r="C590" s="14">
        <f>42.7581 * CHOOSE(CONTROL!$C$15, $E$9, 100%, $G$9) + CHOOSE(CONTROL!$C$38, 0.0347, 0)</f>
        <v>42.7928</v>
      </c>
      <c r="D590" s="14">
        <f>42.7503 * CHOOSE(CONTROL!$C$15, $E$9, 100%, $G$9) + CHOOSE(CONTROL!$C$38, 0.0347, 0)</f>
        <v>42.785000000000004</v>
      </c>
      <c r="E590" s="46">
        <f>45.0199 * CHOOSE(CONTROL!$C$15, $E$9, 100%, $G$9) + CHOOSE(CONTROL!$C$38, 0.0347, 0)</f>
        <v>45.054600000000001</v>
      </c>
      <c r="F590" s="45">
        <f>45.0199 * CHOOSE(CONTROL!$C$15, $E$9, 100%, $G$9) + CHOOSE(CONTROL!$C$38, 0.0256, 0)</f>
        <v>45.045499999999997</v>
      </c>
      <c r="G590" s="14">
        <f>42.7566 * CHOOSE(CONTROL!$C$15, $E$9, 100%, $G$9) + CHOOSE(CONTROL!$C$38, 0.0347, 0)</f>
        <v>42.7913</v>
      </c>
      <c r="H590" s="14">
        <f>42.7566 * CHOOSE(CONTROL!$C$15, $E$9, 100%, $G$9) + CHOOSE(CONTROL!$C$38, 0.0347, 0)</f>
        <v>42.7913</v>
      </c>
      <c r="I590" s="14">
        <f>42.7581 * CHOOSE(CONTROL!$C$15, $E$9, 100%, $G$9) + CHOOSE(CONTROL!$C$38, 0.0347, 0)</f>
        <v>42.7928</v>
      </c>
      <c r="J590" s="44">
        <f>338.3891</f>
        <v>338.38909999999998</v>
      </c>
    </row>
    <row r="591" spans="1:10" ht="15.75" x14ac:dyDescent="0.25">
      <c r="A591" s="32">
        <v>58926</v>
      </c>
      <c r="B591" s="14">
        <f>44.4039 * CHOOSE(CONTROL!$C$15, $E$9, 100%, $G$9) + CHOOSE(CONTROL!$C$38, 0.0256, 0)</f>
        <v>44.429499999999997</v>
      </c>
      <c r="C591" s="14">
        <f>41.9858 * CHOOSE(CONTROL!$C$15, $E$9, 100%, $G$9) + CHOOSE(CONTROL!$C$38, 0.0347, 0)</f>
        <v>42.020499999999998</v>
      </c>
      <c r="D591" s="14">
        <f>41.978 * CHOOSE(CONTROL!$C$15, $E$9, 100%, $G$9) + CHOOSE(CONTROL!$C$38, 0.0347, 0)</f>
        <v>42.012700000000002</v>
      </c>
      <c r="E591" s="46">
        <f>44.2476 * CHOOSE(CONTROL!$C$15, $E$9, 100%, $G$9) + CHOOSE(CONTROL!$C$38, 0.0347, 0)</f>
        <v>44.282299999999999</v>
      </c>
      <c r="F591" s="45">
        <f>44.2476 * CHOOSE(CONTROL!$C$15, $E$9, 100%, $G$9) + CHOOSE(CONTROL!$C$38, 0.0256, 0)</f>
        <v>44.273199999999996</v>
      </c>
      <c r="G591" s="14">
        <f>41.9842 * CHOOSE(CONTROL!$C$15, $E$9, 100%, $G$9) + CHOOSE(CONTROL!$C$38, 0.0347, 0)</f>
        <v>42.018900000000002</v>
      </c>
      <c r="H591" s="14">
        <f>41.9842 * CHOOSE(CONTROL!$C$15, $E$9, 100%, $G$9) + CHOOSE(CONTROL!$C$38, 0.0347, 0)</f>
        <v>42.018900000000002</v>
      </c>
      <c r="I591" s="14">
        <f>41.9858 * CHOOSE(CONTROL!$C$15, $E$9, 100%, $G$9) + CHOOSE(CONTROL!$C$38, 0.0347, 0)</f>
        <v>42.020499999999998</v>
      </c>
      <c r="J591" s="44">
        <f>360.359</f>
        <v>360.35899999999998</v>
      </c>
    </row>
    <row r="592" spans="1:10" ht="15.75" x14ac:dyDescent="0.25">
      <c r="A592" s="32">
        <v>58957</v>
      </c>
      <c r="B592" s="14">
        <f>43.5989 * CHOOSE(CONTROL!$C$15, $E$9, 100%, $G$9) + CHOOSE(CONTROL!$C$38, 0.0278, 0)</f>
        <v>43.6267</v>
      </c>
      <c r="C592" s="14">
        <f>41.1808 * CHOOSE(CONTROL!$C$15, $E$9, 100%, $G$9) + CHOOSE(CONTROL!$C$38, 0.0369, 0)</f>
        <v>41.217700000000001</v>
      </c>
      <c r="D592" s="14">
        <f>41.173 * CHOOSE(CONTROL!$C$15, $E$9, 100%, $G$9) + CHOOSE(CONTROL!$C$38, 0.0369, 0)</f>
        <v>41.209900000000005</v>
      </c>
      <c r="E592" s="46">
        <f>43.4426 * CHOOSE(CONTROL!$C$15, $E$9, 100%, $G$9) + CHOOSE(CONTROL!$C$38, 0.0369, 0)</f>
        <v>43.479500000000002</v>
      </c>
      <c r="F592" s="45">
        <f>43.4426 * CHOOSE(CONTROL!$C$15, $E$9, 100%, $G$9) + CHOOSE(CONTROL!$C$38, 0.0278, 0)</f>
        <v>43.470399999999998</v>
      </c>
      <c r="G592" s="14">
        <f>41.1793 * CHOOSE(CONTROL!$C$15, $E$9, 100%, $G$9) + CHOOSE(CONTROL!$C$38, 0.0369, 0)</f>
        <v>41.216200000000001</v>
      </c>
      <c r="H592" s="14">
        <f>41.1793 * CHOOSE(CONTROL!$C$15, $E$9, 100%, $G$9) + CHOOSE(CONTROL!$C$38, 0.0369, 0)</f>
        <v>41.216200000000001</v>
      </c>
      <c r="I592" s="14">
        <f>41.1808 * CHOOSE(CONTROL!$C$15, $E$9, 100%, $G$9) + CHOOSE(CONTROL!$C$38, 0.0369, 0)</f>
        <v>41.217700000000001</v>
      </c>
      <c r="J592" s="44">
        <f>372.4519</f>
        <v>372.45190000000002</v>
      </c>
    </row>
    <row r="593" spans="1:10" ht="15.75" x14ac:dyDescent="0.25">
      <c r="A593" s="32">
        <v>58987</v>
      </c>
      <c r="B593" s="14">
        <f>43.0346 * CHOOSE(CONTROL!$C$15, $E$9, 100%, $G$9) + CHOOSE(CONTROL!$C$38, 0.0278, 0)</f>
        <v>43.062399999999997</v>
      </c>
      <c r="C593" s="14">
        <f>40.6165 * CHOOSE(CONTROL!$C$15, $E$9, 100%, $G$9) + CHOOSE(CONTROL!$C$38, 0.0369, 0)</f>
        <v>40.653400000000005</v>
      </c>
      <c r="D593" s="14">
        <f>40.6087 * CHOOSE(CONTROL!$C$15, $E$9, 100%, $G$9) + CHOOSE(CONTROL!$C$38, 0.0369, 0)</f>
        <v>40.645600000000002</v>
      </c>
      <c r="E593" s="46">
        <f>42.8783 * CHOOSE(CONTROL!$C$15, $E$9, 100%, $G$9) + CHOOSE(CONTROL!$C$38, 0.0369, 0)</f>
        <v>42.915200000000006</v>
      </c>
      <c r="F593" s="45">
        <f>42.8783 * CHOOSE(CONTROL!$C$15, $E$9, 100%, $G$9) + CHOOSE(CONTROL!$C$38, 0.0278, 0)</f>
        <v>42.906100000000002</v>
      </c>
      <c r="G593" s="14">
        <f>40.6149 * CHOOSE(CONTROL!$C$15, $E$9, 100%, $G$9) + CHOOSE(CONTROL!$C$38, 0.0369, 0)</f>
        <v>40.651800000000001</v>
      </c>
      <c r="H593" s="14">
        <f>40.6149 * CHOOSE(CONTROL!$C$15, $E$9, 100%, $G$9) + CHOOSE(CONTROL!$C$38, 0.0369, 0)</f>
        <v>40.651800000000001</v>
      </c>
      <c r="I593" s="14">
        <f>40.6165 * CHOOSE(CONTROL!$C$15, $E$9, 100%, $G$9) + CHOOSE(CONTROL!$C$38, 0.0369, 0)</f>
        <v>40.653400000000005</v>
      </c>
      <c r="J593" s="44">
        <f>377.8186</f>
        <v>377.8186</v>
      </c>
    </row>
    <row r="594" spans="1:10" ht="15.75" x14ac:dyDescent="0.25">
      <c r="A594" s="32">
        <v>59018</v>
      </c>
      <c r="B594" s="14">
        <f>42.7125 * CHOOSE(CONTROL!$C$15, $E$9, 100%, $G$9) + CHOOSE(CONTROL!$C$38, 0.0278, 0)</f>
        <v>42.740299999999998</v>
      </c>
      <c r="C594" s="14">
        <f>40.2945 * CHOOSE(CONTROL!$C$15, $E$9, 100%, $G$9) + CHOOSE(CONTROL!$C$38, 0.0369, 0)</f>
        <v>40.331400000000002</v>
      </c>
      <c r="D594" s="14">
        <f>40.2866 * CHOOSE(CONTROL!$C$15, $E$9, 100%, $G$9) + CHOOSE(CONTROL!$C$38, 0.0369, 0)</f>
        <v>40.323500000000003</v>
      </c>
      <c r="E594" s="46">
        <f>42.5563 * CHOOSE(CONTROL!$C$15, $E$9, 100%, $G$9) + CHOOSE(CONTROL!$C$38, 0.0369, 0)</f>
        <v>42.593200000000003</v>
      </c>
      <c r="F594" s="45">
        <f>42.5563 * CHOOSE(CONTROL!$C$15, $E$9, 100%, $G$9) + CHOOSE(CONTROL!$C$38, 0.0278, 0)</f>
        <v>42.584099999999999</v>
      </c>
      <c r="G594" s="14">
        <f>40.2929 * CHOOSE(CONTROL!$C$15, $E$9, 100%, $G$9) + CHOOSE(CONTROL!$C$38, 0.0369, 0)</f>
        <v>40.329800000000006</v>
      </c>
      <c r="H594" s="14">
        <f>40.2929 * CHOOSE(CONTROL!$C$15, $E$9, 100%, $G$9) + CHOOSE(CONTROL!$C$38, 0.0369, 0)</f>
        <v>40.329800000000006</v>
      </c>
      <c r="I594" s="14">
        <f>40.2945 * CHOOSE(CONTROL!$C$15, $E$9, 100%, $G$9) + CHOOSE(CONTROL!$C$38, 0.0369, 0)</f>
        <v>40.331400000000002</v>
      </c>
      <c r="J594" s="44">
        <f>376.0516</f>
        <v>376.05160000000001</v>
      </c>
    </row>
    <row r="595" spans="1:10" ht="15.75" x14ac:dyDescent="0.25">
      <c r="A595" s="32">
        <v>59049</v>
      </c>
      <c r="B595" s="14">
        <f>42.8714 * CHOOSE(CONTROL!$C$15, $E$9, 100%, $G$9) + CHOOSE(CONTROL!$C$38, 0.0278, 0)</f>
        <v>42.8992</v>
      </c>
      <c r="C595" s="14">
        <f>40.4534 * CHOOSE(CONTROL!$C$15, $E$9, 100%, $G$9) + CHOOSE(CONTROL!$C$38, 0.0369, 0)</f>
        <v>40.490300000000005</v>
      </c>
      <c r="D595" s="14">
        <f>40.4456 * CHOOSE(CONTROL!$C$15, $E$9, 100%, $G$9) + CHOOSE(CONTROL!$C$38, 0.0369, 0)</f>
        <v>40.482500000000002</v>
      </c>
      <c r="E595" s="46">
        <f>42.7152 * CHOOSE(CONTROL!$C$15, $E$9, 100%, $G$9) + CHOOSE(CONTROL!$C$38, 0.0369, 0)</f>
        <v>42.752100000000006</v>
      </c>
      <c r="F595" s="45">
        <f>42.7152 * CHOOSE(CONTROL!$C$15, $E$9, 100%, $G$9) + CHOOSE(CONTROL!$C$38, 0.0278, 0)</f>
        <v>42.743000000000002</v>
      </c>
      <c r="G595" s="14">
        <f>40.4518 * CHOOSE(CONTROL!$C$15, $E$9, 100%, $G$9) + CHOOSE(CONTROL!$C$38, 0.0369, 0)</f>
        <v>40.488700000000001</v>
      </c>
      <c r="H595" s="14">
        <f>40.4518 * CHOOSE(CONTROL!$C$15, $E$9, 100%, $G$9) + CHOOSE(CONTROL!$C$38, 0.0369, 0)</f>
        <v>40.488700000000001</v>
      </c>
      <c r="I595" s="14">
        <f>40.4534 * CHOOSE(CONTROL!$C$15, $E$9, 100%, $G$9) + CHOOSE(CONTROL!$C$38, 0.0369, 0)</f>
        <v>40.490300000000005</v>
      </c>
      <c r="J595" s="44">
        <f>367.2973</f>
        <v>367.29730000000001</v>
      </c>
    </row>
    <row r="596" spans="1:10" ht="15.75" x14ac:dyDescent="0.25">
      <c r="A596" s="32">
        <v>59079</v>
      </c>
      <c r="B596" s="14">
        <f>43.3032 * CHOOSE(CONTROL!$C$15, $E$9, 100%, $G$9) + CHOOSE(CONTROL!$C$38, 0.0278, 0)</f>
        <v>43.330999999999996</v>
      </c>
      <c r="C596" s="14">
        <f>40.8851 * CHOOSE(CONTROL!$C$15, $E$9, 100%, $G$9) + CHOOSE(CONTROL!$C$38, 0.0369, 0)</f>
        <v>40.922000000000004</v>
      </c>
      <c r="D596" s="14">
        <f>40.8773 * CHOOSE(CONTROL!$C$15, $E$9, 100%, $G$9) + CHOOSE(CONTROL!$C$38, 0.0369, 0)</f>
        <v>40.914200000000001</v>
      </c>
      <c r="E596" s="46">
        <f>43.1469 * CHOOSE(CONTROL!$C$15, $E$9, 100%, $G$9) + CHOOSE(CONTROL!$C$38, 0.0369, 0)</f>
        <v>43.183800000000005</v>
      </c>
      <c r="F596" s="45">
        <f>43.1469 * CHOOSE(CONTROL!$C$15, $E$9, 100%, $G$9) + CHOOSE(CONTROL!$C$38, 0.0278, 0)</f>
        <v>43.174700000000001</v>
      </c>
      <c r="G596" s="14">
        <f>40.8835 * CHOOSE(CONTROL!$C$15, $E$9, 100%, $G$9) + CHOOSE(CONTROL!$C$38, 0.0369, 0)</f>
        <v>40.920400000000001</v>
      </c>
      <c r="H596" s="14">
        <f>40.8835 * CHOOSE(CONTROL!$C$15, $E$9, 100%, $G$9) + CHOOSE(CONTROL!$C$38, 0.0369, 0)</f>
        <v>40.920400000000001</v>
      </c>
      <c r="I596" s="14">
        <f>40.8851 * CHOOSE(CONTROL!$C$15, $E$9, 100%, $G$9) + CHOOSE(CONTROL!$C$38, 0.0369, 0)</f>
        <v>40.922000000000004</v>
      </c>
      <c r="J596" s="44">
        <f>355.089</f>
        <v>355.089</v>
      </c>
    </row>
    <row r="597" spans="1:10" ht="15.75" x14ac:dyDescent="0.25">
      <c r="A597" s="32">
        <v>59110</v>
      </c>
      <c r="B597" s="14">
        <f>43.6647 * CHOOSE(CONTROL!$C$15, $E$9, 100%, $G$9) + CHOOSE(CONTROL!$C$38, 0.0256, 0)</f>
        <v>43.690300000000001</v>
      </c>
      <c r="C597" s="14">
        <f>41.2467 * CHOOSE(CONTROL!$C$15, $E$9, 100%, $G$9) + CHOOSE(CONTROL!$C$38, 0.0347, 0)</f>
        <v>41.281399999999998</v>
      </c>
      <c r="D597" s="14">
        <f>41.2389 * CHOOSE(CONTROL!$C$15, $E$9, 100%, $G$9) + CHOOSE(CONTROL!$C$38, 0.0347, 0)</f>
        <v>41.273600000000002</v>
      </c>
      <c r="E597" s="46">
        <f>43.5085 * CHOOSE(CONTROL!$C$15, $E$9, 100%, $G$9) + CHOOSE(CONTROL!$C$38, 0.0347, 0)</f>
        <v>43.543199999999999</v>
      </c>
      <c r="F597" s="45">
        <f>43.5085 * CHOOSE(CONTROL!$C$15, $E$9, 100%, $G$9) + CHOOSE(CONTROL!$C$38, 0.0256, 0)</f>
        <v>43.534099999999995</v>
      </c>
      <c r="G597" s="14">
        <f>41.2451 * CHOOSE(CONTROL!$C$15, $E$9, 100%, $G$9) + CHOOSE(CONTROL!$C$38, 0.0347, 0)</f>
        <v>41.279800000000002</v>
      </c>
      <c r="H597" s="14">
        <f>41.2451 * CHOOSE(CONTROL!$C$15, $E$9, 100%, $G$9) + CHOOSE(CONTROL!$C$38, 0.0347, 0)</f>
        <v>41.279800000000002</v>
      </c>
      <c r="I597" s="14">
        <f>41.2467 * CHOOSE(CONTROL!$C$15, $E$9, 100%, $G$9) + CHOOSE(CONTROL!$C$38, 0.0347, 0)</f>
        <v>41.281399999999998</v>
      </c>
      <c r="J597" s="44">
        <f>342.8096</f>
        <v>342.80959999999999</v>
      </c>
    </row>
    <row r="598" spans="1:10" ht="15.75" x14ac:dyDescent="0.25">
      <c r="A598" s="32">
        <v>59140</v>
      </c>
      <c r="B598" s="14">
        <f>43.9664 * CHOOSE(CONTROL!$C$15, $E$9, 100%, $G$9) + CHOOSE(CONTROL!$C$38, 0.0256, 0)</f>
        <v>43.991999999999997</v>
      </c>
      <c r="C598" s="14">
        <f>41.5484 * CHOOSE(CONTROL!$C$15, $E$9, 100%, $G$9) + CHOOSE(CONTROL!$C$38, 0.0347, 0)</f>
        <v>41.583100000000002</v>
      </c>
      <c r="D598" s="14">
        <f>41.5406 * CHOOSE(CONTROL!$C$15, $E$9, 100%, $G$9) + CHOOSE(CONTROL!$C$38, 0.0347, 0)</f>
        <v>41.575299999999999</v>
      </c>
      <c r="E598" s="46">
        <f>43.8102 * CHOOSE(CONTROL!$C$15, $E$9, 100%, $G$9) + CHOOSE(CONTROL!$C$38, 0.0347, 0)</f>
        <v>43.844900000000003</v>
      </c>
      <c r="F598" s="45">
        <f>43.8102 * CHOOSE(CONTROL!$C$15, $E$9, 100%, $G$9) + CHOOSE(CONTROL!$C$38, 0.0256, 0)</f>
        <v>43.835799999999999</v>
      </c>
      <c r="G598" s="14">
        <f>41.5468 * CHOOSE(CONTROL!$C$15, $E$9, 100%, $G$9) + CHOOSE(CONTROL!$C$38, 0.0347, 0)</f>
        <v>41.581499999999998</v>
      </c>
      <c r="H598" s="14">
        <f>41.5468 * CHOOSE(CONTROL!$C$15, $E$9, 100%, $G$9) + CHOOSE(CONTROL!$C$38, 0.0347, 0)</f>
        <v>41.581499999999998</v>
      </c>
      <c r="I598" s="14">
        <f>41.5484 * CHOOSE(CONTROL!$C$15, $E$9, 100%, $G$9) + CHOOSE(CONTROL!$C$38, 0.0347, 0)</f>
        <v>41.583100000000002</v>
      </c>
      <c r="J598" s="44">
        <f>340.367</f>
        <v>340.36700000000002</v>
      </c>
    </row>
    <row r="599" spans="1:10" ht="15.75" x14ac:dyDescent="0.25">
      <c r="A599" s="32">
        <v>59171</v>
      </c>
      <c r="B599" s="14">
        <f>44.8961 * CHOOSE(CONTROL!$C$15, $E$9, 100%, $G$9) + CHOOSE(CONTROL!$C$38, 0.0256, 0)</f>
        <v>44.921699999999994</v>
      </c>
      <c r="C599" s="14">
        <f>42.478 * CHOOSE(CONTROL!$C$15, $E$9, 100%, $G$9) + CHOOSE(CONTROL!$C$38, 0.0347, 0)</f>
        <v>42.512700000000002</v>
      </c>
      <c r="D599" s="14">
        <f>42.4702 * CHOOSE(CONTROL!$C$15, $E$9, 100%, $G$9) + CHOOSE(CONTROL!$C$38, 0.0347, 0)</f>
        <v>42.504899999999999</v>
      </c>
      <c r="E599" s="46">
        <f>44.7398 * CHOOSE(CONTROL!$C$15, $E$9, 100%, $G$9) + CHOOSE(CONTROL!$C$38, 0.0347, 0)</f>
        <v>44.774500000000003</v>
      </c>
      <c r="F599" s="45">
        <f>44.7398 * CHOOSE(CONTROL!$C$15, $E$9, 100%, $G$9) + CHOOSE(CONTROL!$C$38, 0.0256, 0)</f>
        <v>44.7654</v>
      </c>
      <c r="G599" s="14">
        <f>42.4765 * CHOOSE(CONTROL!$C$15, $E$9, 100%, $G$9) + CHOOSE(CONTROL!$C$38, 0.0347, 0)</f>
        <v>42.511200000000002</v>
      </c>
      <c r="H599" s="14">
        <f>42.4765 * CHOOSE(CONTROL!$C$15, $E$9, 100%, $G$9) + CHOOSE(CONTROL!$C$38, 0.0347, 0)</f>
        <v>42.511200000000002</v>
      </c>
      <c r="I599" s="14">
        <f>42.478 * CHOOSE(CONTROL!$C$15, $E$9, 100%, $G$9) + CHOOSE(CONTROL!$C$38, 0.0347, 0)</f>
        <v>42.512700000000002</v>
      </c>
      <c r="J599" s="44">
        <f>330.2666</f>
        <v>330.26659999999998</v>
      </c>
    </row>
    <row r="600" spans="1:10" ht="15.75" x14ac:dyDescent="0.25">
      <c r="A600" s="32">
        <v>59202</v>
      </c>
      <c r="B600" s="14">
        <f>41.2937 * CHOOSE(CONTROL!$C$15, $E$9, 100%, $G$9) + CHOOSE(CONTROL!$C$38, 0.0256, 0)</f>
        <v>41.319299999999998</v>
      </c>
      <c r="C600" s="14">
        <f>39.0217 * CHOOSE(CONTROL!$C$15, $E$9, 100%, $G$9) + CHOOSE(CONTROL!$C$38, 0.0347, 0)</f>
        <v>39.056400000000004</v>
      </c>
      <c r="D600" s="14">
        <f>39.0139 * CHOOSE(CONTROL!$C$15, $E$9, 100%, $G$9) + CHOOSE(CONTROL!$C$38, 0.0347, 0)</f>
        <v>39.0486</v>
      </c>
      <c r="E600" s="46">
        <f>41.1374 * CHOOSE(CONTROL!$C$15, $E$9, 100%, $G$9) + CHOOSE(CONTROL!$C$38, 0.0347, 0)</f>
        <v>41.1721</v>
      </c>
      <c r="F600" s="45">
        <f>41.1374 * CHOOSE(CONTROL!$C$15, $E$9, 100%, $G$9) + CHOOSE(CONTROL!$C$38, 0.0256, 0)</f>
        <v>41.162999999999997</v>
      </c>
      <c r="G600" s="14">
        <f>39.0202 * CHOOSE(CONTROL!$C$15, $E$9, 100%, $G$9) + CHOOSE(CONTROL!$C$38, 0.0347, 0)</f>
        <v>39.054900000000004</v>
      </c>
      <c r="H600" s="14">
        <f>39.0202 * CHOOSE(CONTROL!$C$15, $E$9, 100%, $G$9) + CHOOSE(CONTROL!$C$38, 0.0347, 0)</f>
        <v>39.054900000000004</v>
      </c>
      <c r="I600" s="14">
        <f>39.0217 * CHOOSE(CONTROL!$C$15, $E$9, 100%, $G$9) + CHOOSE(CONTROL!$C$38, 0.0347, 0)</f>
        <v>39.056400000000004</v>
      </c>
      <c r="J600" s="44">
        <f>330.0282</f>
        <v>330.02820000000003</v>
      </c>
    </row>
    <row r="601" spans="1:10" ht="15.75" x14ac:dyDescent="0.25">
      <c r="A601" s="32">
        <v>59230</v>
      </c>
      <c r="B601" s="14">
        <f>41.1806 * CHOOSE(CONTROL!$C$15, $E$9, 100%, $G$9) + CHOOSE(CONTROL!$C$38, 0.0256, 0)</f>
        <v>41.206199999999995</v>
      </c>
      <c r="C601" s="14">
        <f>38.9145 * CHOOSE(CONTROL!$C$15, $E$9, 100%, $G$9) + CHOOSE(CONTROL!$C$38, 0.0347, 0)</f>
        <v>38.949199999999998</v>
      </c>
      <c r="D601" s="14">
        <f>38.9067 * CHOOSE(CONTROL!$C$15, $E$9, 100%, $G$9) + CHOOSE(CONTROL!$C$38, 0.0347, 0)</f>
        <v>38.941400000000002</v>
      </c>
      <c r="E601" s="46">
        <f>41.0244 * CHOOSE(CONTROL!$C$15, $E$9, 100%, $G$9) + CHOOSE(CONTROL!$C$38, 0.0347, 0)</f>
        <v>41.059100000000001</v>
      </c>
      <c r="F601" s="45">
        <f>41.0244 * CHOOSE(CONTROL!$C$15, $E$9, 100%, $G$9) + CHOOSE(CONTROL!$C$38, 0.0256, 0)</f>
        <v>41.05</v>
      </c>
      <c r="G601" s="14">
        <f>38.913 * CHOOSE(CONTROL!$C$15, $E$9, 100%, $G$9) + CHOOSE(CONTROL!$C$38, 0.0347, 0)</f>
        <v>38.947699999999998</v>
      </c>
      <c r="H601" s="14">
        <f>38.913 * CHOOSE(CONTROL!$C$15, $E$9, 100%, $G$9) + CHOOSE(CONTROL!$C$38, 0.0347, 0)</f>
        <v>38.947699999999998</v>
      </c>
      <c r="I601" s="14">
        <f>38.9145 * CHOOSE(CONTROL!$C$15, $E$9, 100%, $G$9) + CHOOSE(CONTROL!$C$38, 0.0347, 0)</f>
        <v>38.949199999999998</v>
      </c>
      <c r="J601" s="44">
        <f>329.1108</f>
        <v>329.11079999999998</v>
      </c>
    </row>
    <row r="602" spans="1:10" ht="15.75" x14ac:dyDescent="0.25">
      <c r="A602" s="32">
        <v>59261</v>
      </c>
      <c r="B602" s="14">
        <f>43.3185 * CHOOSE(CONTROL!$C$15, $E$9, 100%, $G$9) + CHOOSE(CONTROL!$C$38, 0.0256, 0)</f>
        <v>43.344099999999997</v>
      </c>
      <c r="C602" s="14">
        <f>40.9413 * CHOOSE(CONTROL!$C$15, $E$9, 100%, $G$9) + CHOOSE(CONTROL!$C$38, 0.0347, 0)</f>
        <v>40.975999999999999</v>
      </c>
      <c r="D602" s="14">
        <f>40.9335 * CHOOSE(CONTROL!$C$15, $E$9, 100%, $G$9) + CHOOSE(CONTROL!$C$38, 0.0347, 0)</f>
        <v>40.968200000000003</v>
      </c>
      <c r="E602" s="46">
        <f>43.1623 * CHOOSE(CONTROL!$C$15, $E$9, 100%, $G$9) + CHOOSE(CONTROL!$C$38, 0.0347, 0)</f>
        <v>43.197000000000003</v>
      </c>
      <c r="F602" s="45">
        <f>43.1623 * CHOOSE(CONTROL!$C$15, $E$9, 100%, $G$9) + CHOOSE(CONTROL!$C$38, 0.0256, 0)</f>
        <v>43.187899999999999</v>
      </c>
      <c r="G602" s="14">
        <f>40.9397 * CHOOSE(CONTROL!$C$15, $E$9, 100%, $G$9) + CHOOSE(CONTROL!$C$38, 0.0347, 0)</f>
        <v>40.974400000000003</v>
      </c>
      <c r="H602" s="14">
        <f>40.9397 * CHOOSE(CONTROL!$C$15, $E$9, 100%, $G$9) + CHOOSE(CONTROL!$C$38, 0.0347, 0)</f>
        <v>40.974400000000003</v>
      </c>
      <c r="I602" s="14">
        <f>40.9413 * CHOOSE(CONTROL!$C$15, $E$9, 100%, $G$9) + CHOOSE(CONTROL!$C$38, 0.0347, 0)</f>
        <v>40.975999999999999</v>
      </c>
      <c r="J602" s="44">
        <f>346.4568</f>
        <v>346.45679999999999</v>
      </c>
    </row>
    <row r="603" spans="1:10" ht="15.75" x14ac:dyDescent="0.25">
      <c r="A603" s="32">
        <v>59291</v>
      </c>
      <c r="B603" s="14">
        <f>46.0909 * CHOOSE(CONTROL!$C$15, $E$9, 100%, $G$9) + CHOOSE(CONTROL!$C$38, 0.0256, 0)</f>
        <v>46.116499999999995</v>
      </c>
      <c r="C603" s="14">
        <f>43.5694 * CHOOSE(CONTROL!$C$15, $E$9, 100%, $G$9) + CHOOSE(CONTROL!$C$38, 0.0347, 0)</f>
        <v>43.604100000000003</v>
      </c>
      <c r="D603" s="14">
        <f>43.5616 * CHOOSE(CONTROL!$C$15, $E$9, 100%, $G$9) + CHOOSE(CONTROL!$C$38, 0.0347, 0)</f>
        <v>43.596299999999999</v>
      </c>
      <c r="E603" s="46">
        <f>45.9347 * CHOOSE(CONTROL!$C$15, $E$9, 100%, $G$9) + CHOOSE(CONTROL!$C$38, 0.0347, 0)</f>
        <v>45.9694</v>
      </c>
      <c r="F603" s="45">
        <f>45.9347 * CHOOSE(CONTROL!$C$15, $E$9, 100%, $G$9) + CHOOSE(CONTROL!$C$38, 0.0256, 0)</f>
        <v>45.960299999999997</v>
      </c>
      <c r="G603" s="14">
        <f>43.5679 * CHOOSE(CONTROL!$C$15, $E$9, 100%, $G$9) + CHOOSE(CONTROL!$C$38, 0.0347, 0)</f>
        <v>43.602600000000002</v>
      </c>
      <c r="H603" s="14">
        <f>43.5679 * CHOOSE(CONTROL!$C$15, $E$9, 100%, $G$9) + CHOOSE(CONTROL!$C$38, 0.0347, 0)</f>
        <v>43.602600000000002</v>
      </c>
      <c r="I603" s="14">
        <f>43.5694 * CHOOSE(CONTROL!$C$15, $E$9, 100%, $G$9) + CHOOSE(CONTROL!$C$38, 0.0347, 0)</f>
        <v>43.604100000000003</v>
      </c>
      <c r="J603" s="44">
        <f>368.9505</f>
        <v>368.95049999999998</v>
      </c>
    </row>
    <row r="604" spans="1:10" ht="15.75" x14ac:dyDescent="0.25">
      <c r="A604" s="32">
        <v>59322</v>
      </c>
      <c r="B604" s="14">
        <f>47.6169 * CHOOSE(CONTROL!$C$15, $E$9, 100%, $G$9) + CHOOSE(CONTROL!$C$38, 0.0278, 0)</f>
        <v>47.6447</v>
      </c>
      <c r="C604" s="14">
        <f>45.0161 * CHOOSE(CONTROL!$C$15, $E$9, 100%, $G$9) + CHOOSE(CONTROL!$C$38, 0.0369, 0)</f>
        <v>45.053000000000004</v>
      </c>
      <c r="D604" s="14">
        <f>45.0083 * CHOOSE(CONTROL!$C$15, $E$9, 100%, $G$9) + CHOOSE(CONTROL!$C$38, 0.0369, 0)</f>
        <v>45.045200000000001</v>
      </c>
      <c r="E604" s="46">
        <f>47.4607 * CHOOSE(CONTROL!$C$15, $E$9, 100%, $G$9) + CHOOSE(CONTROL!$C$38, 0.0369, 0)</f>
        <v>47.497600000000006</v>
      </c>
      <c r="F604" s="45">
        <f>47.4607 * CHOOSE(CONTROL!$C$15, $E$9, 100%, $G$9) + CHOOSE(CONTROL!$C$38, 0.0278, 0)</f>
        <v>47.488500000000002</v>
      </c>
      <c r="G604" s="14">
        <f>45.0145 * CHOOSE(CONTROL!$C$15, $E$9, 100%, $G$9) + CHOOSE(CONTROL!$C$38, 0.0369, 0)</f>
        <v>45.051400000000001</v>
      </c>
      <c r="H604" s="14">
        <f>45.0145 * CHOOSE(CONTROL!$C$15, $E$9, 100%, $G$9) + CHOOSE(CONTROL!$C$38, 0.0369, 0)</f>
        <v>45.051400000000001</v>
      </c>
      <c r="I604" s="14">
        <f>45.0161 * CHOOSE(CONTROL!$C$15, $E$9, 100%, $G$9) + CHOOSE(CONTROL!$C$38, 0.0369, 0)</f>
        <v>45.053000000000004</v>
      </c>
      <c r="J604" s="44">
        <f>381.3318</f>
        <v>381.33179999999999</v>
      </c>
    </row>
    <row r="605" spans="1:10" ht="15.75" x14ac:dyDescent="0.25">
      <c r="A605" s="32">
        <v>59352</v>
      </c>
      <c r="B605" s="14">
        <f>48.2941 * CHOOSE(CONTROL!$C$15, $E$9, 100%, $G$9) + CHOOSE(CONTROL!$C$38, 0.0278, 0)</f>
        <v>48.321899999999999</v>
      </c>
      <c r="C605" s="14">
        <f>45.6581 * CHOOSE(CONTROL!$C$15, $E$9, 100%, $G$9) + CHOOSE(CONTROL!$C$38, 0.0369, 0)</f>
        <v>45.695</v>
      </c>
      <c r="D605" s="14">
        <f>45.6503 * CHOOSE(CONTROL!$C$15, $E$9, 100%, $G$9) + CHOOSE(CONTROL!$C$38, 0.0369, 0)</f>
        <v>45.687200000000004</v>
      </c>
      <c r="E605" s="46">
        <f>48.1379 * CHOOSE(CONTROL!$C$15, $E$9, 100%, $G$9) + CHOOSE(CONTROL!$C$38, 0.0369, 0)</f>
        <v>48.174800000000005</v>
      </c>
      <c r="F605" s="45">
        <f>48.1379 * CHOOSE(CONTROL!$C$15, $E$9, 100%, $G$9) + CHOOSE(CONTROL!$C$38, 0.0278, 0)</f>
        <v>48.165700000000001</v>
      </c>
      <c r="G605" s="14">
        <f>45.6565 * CHOOSE(CONTROL!$C$15, $E$9, 100%, $G$9) + CHOOSE(CONTROL!$C$38, 0.0369, 0)</f>
        <v>45.693400000000004</v>
      </c>
      <c r="H605" s="14">
        <f>45.6565 * CHOOSE(CONTROL!$C$15, $E$9, 100%, $G$9) + CHOOSE(CONTROL!$C$38, 0.0369, 0)</f>
        <v>45.693400000000004</v>
      </c>
      <c r="I605" s="14">
        <f>45.6581 * CHOOSE(CONTROL!$C$15, $E$9, 100%, $G$9) + CHOOSE(CONTROL!$C$38, 0.0369, 0)</f>
        <v>45.695</v>
      </c>
      <c r="J605" s="44">
        <f>386.8263</f>
        <v>386.8263</v>
      </c>
    </row>
    <row r="606" spans="1:10" ht="15.75" x14ac:dyDescent="0.25">
      <c r="A606" s="32">
        <v>59383</v>
      </c>
      <c r="B606" s="14">
        <f>48.0712 * CHOOSE(CONTROL!$C$15, $E$9, 100%, $G$9) + CHOOSE(CONTROL!$C$38, 0.0278, 0)</f>
        <v>48.098999999999997</v>
      </c>
      <c r="C606" s="14">
        <f>45.4467 * CHOOSE(CONTROL!$C$15, $E$9, 100%, $G$9) + CHOOSE(CONTROL!$C$38, 0.0369, 0)</f>
        <v>45.483600000000003</v>
      </c>
      <c r="D606" s="14">
        <f>45.4389 * CHOOSE(CONTROL!$C$15, $E$9, 100%, $G$9) + CHOOSE(CONTROL!$C$38, 0.0369, 0)</f>
        <v>45.4758</v>
      </c>
      <c r="E606" s="46">
        <f>47.9149 * CHOOSE(CONTROL!$C$15, $E$9, 100%, $G$9) + CHOOSE(CONTROL!$C$38, 0.0369, 0)</f>
        <v>47.951800000000006</v>
      </c>
      <c r="F606" s="45">
        <f>47.9149 * CHOOSE(CONTROL!$C$15, $E$9, 100%, $G$9) + CHOOSE(CONTROL!$C$38, 0.0278, 0)</f>
        <v>47.942700000000002</v>
      </c>
      <c r="G606" s="14">
        <f>45.4451 * CHOOSE(CONTROL!$C$15, $E$9, 100%, $G$9) + CHOOSE(CONTROL!$C$38, 0.0369, 0)</f>
        <v>45.481999999999999</v>
      </c>
      <c r="H606" s="14">
        <f>45.4451 * CHOOSE(CONTROL!$C$15, $E$9, 100%, $G$9) + CHOOSE(CONTROL!$C$38, 0.0369, 0)</f>
        <v>45.481999999999999</v>
      </c>
      <c r="I606" s="14">
        <f>45.4467 * CHOOSE(CONTROL!$C$15, $E$9, 100%, $G$9) + CHOOSE(CONTROL!$C$38, 0.0369, 0)</f>
        <v>45.483600000000003</v>
      </c>
      <c r="J606" s="44">
        <f>385.0173</f>
        <v>385.01729999999998</v>
      </c>
    </row>
    <row r="607" spans="1:10" ht="15.75" x14ac:dyDescent="0.25">
      <c r="A607" s="32">
        <v>59414</v>
      </c>
      <c r="B607" s="14">
        <f>46.9665 * CHOOSE(CONTROL!$C$15, $E$9, 100%, $G$9) + CHOOSE(CONTROL!$C$38, 0.0278, 0)</f>
        <v>46.994300000000003</v>
      </c>
      <c r="C607" s="14">
        <f>44.3994 * CHOOSE(CONTROL!$C$15, $E$9, 100%, $G$9) + CHOOSE(CONTROL!$C$38, 0.0369, 0)</f>
        <v>44.436300000000003</v>
      </c>
      <c r="D607" s="14">
        <f>44.3916 * CHOOSE(CONTROL!$C$15, $E$9, 100%, $G$9) + CHOOSE(CONTROL!$C$38, 0.0369, 0)</f>
        <v>44.4285</v>
      </c>
      <c r="E607" s="46">
        <f>46.8102 * CHOOSE(CONTROL!$C$15, $E$9, 100%, $G$9) + CHOOSE(CONTROL!$C$38, 0.0369, 0)</f>
        <v>46.847100000000005</v>
      </c>
      <c r="F607" s="45">
        <f>46.8102 * CHOOSE(CONTROL!$C$15, $E$9, 100%, $G$9) + CHOOSE(CONTROL!$C$38, 0.0278, 0)</f>
        <v>46.838000000000001</v>
      </c>
      <c r="G607" s="14">
        <f>44.3979 * CHOOSE(CONTROL!$C$15, $E$9, 100%, $G$9) + CHOOSE(CONTROL!$C$38, 0.0369, 0)</f>
        <v>44.434800000000003</v>
      </c>
      <c r="H607" s="14">
        <f>44.3979 * CHOOSE(CONTROL!$C$15, $E$9, 100%, $G$9) + CHOOSE(CONTROL!$C$38, 0.0369, 0)</f>
        <v>44.434800000000003</v>
      </c>
      <c r="I607" s="14">
        <f>44.3994 * CHOOSE(CONTROL!$C$15, $E$9, 100%, $G$9) + CHOOSE(CONTROL!$C$38, 0.0369, 0)</f>
        <v>44.436300000000003</v>
      </c>
      <c r="J607" s="44">
        <f>376.0542</f>
        <v>376.05419999999998</v>
      </c>
    </row>
    <row r="608" spans="1:10" ht="15.75" x14ac:dyDescent="0.25">
      <c r="A608" s="32">
        <v>59444</v>
      </c>
      <c r="B608" s="14">
        <f>45.4259 * CHOOSE(CONTROL!$C$15, $E$9, 100%, $G$9) + CHOOSE(CONTROL!$C$38, 0.0278, 0)</f>
        <v>45.453699999999998</v>
      </c>
      <c r="C608" s="14">
        <f>42.939 * CHOOSE(CONTROL!$C$15, $E$9, 100%, $G$9) + CHOOSE(CONTROL!$C$38, 0.0369, 0)</f>
        <v>42.975900000000003</v>
      </c>
      <c r="D608" s="14">
        <f>42.9312 * CHOOSE(CONTROL!$C$15, $E$9, 100%, $G$9) + CHOOSE(CONTROL!$C$38, 0.0369, 0)</f>
        <v>42.9681</v>
      </c>
      <c r="E608" s="46">
        <f>45.2696 * CHOOSE(CONTROL!$C$15, $E$9, 100%, $G$9) + CHOOSE(CONTROL!$C$38, 0.0369, 0)</f>
        <v>45.3065</v>
      </c>
      <c r="F608" s="45">
        <f>45.2696 * CHOOSE(CONTROL!$C$15, $E$9, 100%, $G$9) + CHOOSE(CONTROL!$C$38, 0.0278, 0)</f>
        <v>45.297399999999996</v>
      </c>
      <c r="G608" s="14">
        <f>42.9374 * CHOOSE(CONTROL!$C$15, $E$9, 100%, $G$9) + CHOOSE(CONTROL!$C$38, 0.0369, 0)</f>
        <v>42.974299999999999</v>
      </c>
      <c r="H608" s="14">
        <f>42.9374 * CHOOSE(CONTROL!$C$15, $E$9, 100%, $G$9) + CHOOSE(CONTROL!$C$38, 0.0369, 0)</f>
        <v>42.974299999999999</v>
      </c>
      <c r="I608" s="14">
        <f>42.939 * CHOOSE(CONTROL!$C$15, $E$9, 100%, $G$9) + CHOOSE(CONTROL!$C$38, 0.0369, 0)</f>
        <v>42.975900000000003</v>
      </c>
      <c r="J608" s="44">
        <f>363.5548</f>
        <v>363.5548</v>
      </c>
    </row>
    <row r="609" spans="1:10" ht="15.75" x14ac:dyDescent="0.25">
      <c r="A609" s="32">
        <v>59475</v>
      </c>
      <c r="B609" s="14">
        <f>43.8764 * CHOOSE(CONTROL!$C$15, $E$9, 100%, $G$9) + CHOOSE(CONTROL!$C$38, 0.0256, 0)</f>
        <v>43.901999999999994</v>
      </c>
      <c r="C609" s="14">
        <f>41.4701 * CHOOSE(CONTROL!$C$15, $E$9, 100%, $G$9) + CHOOSE(CONTROL!$C$38, 0.0347, 0)</f>
        <v>41.504800000000003</v>
      </c>
      <c r="D609" s="14">
        <f>41.4623 * CHOOSE(CONTROL!$C$15, $E$9, 100%, $G$9) + CHOOSE(CONTROL!$C$38, 0.0347, 0)</f>
        <v>41.497</v>
      </c>
      <c r="E609" s="46">
        <f>43.7201 * CHOOSE(CONTROL!$C$15, $E$9, 100%, $G$9) + CHOOSE(CONTROL!$C$38, 0.0347, 0)</f>
        <v>43.754800000000003</v>
      </c>
      <c r="F609" s="45">
        <f>43.7201 * CHOOSE(CONTROL!$C$15, $E$9, 100%, $G$9) + CHOOSE(CONTROL!$C$38, 0.0256, 0)</f>
        <v>43.745699999999999</v>
      </c>
      <c r="G609" s="14">
        <f>41.4685 * CHOOSE(CONTROL!$C$15, $E$9, 100%, $G$9) + CHOOSE(CONTROL!$C$38, 0.0347, 0)</f>
        <v>41.5032</v>
      </c>
      <c r="H609" s="14">
        <f>41.4685 * CHOOSE(CONTROL!$C$15, $E$9, 100%, $G$9) + CHOOSE(CONTROL!$C$38, 0.0347, 0)</f>
        <v>41.5032</v>
      </c>
      <c r="I609" s="14">
        <f>41.4701 * CHOOSE(CONTROL!$C$15, $E$9, 100%, $G$9) + CHOOSE(CONTROL!$C$38, 0.0347, 0)</f>
        <v>41.504800000000003</v>
      </c>
      <c r="J609" s="44">
        <f>350.9827</f>
        <v>350.98270000000002</v>
      </c>
    </row>
    <row r="610" spans="1:10" ht="15.75" x14ac:dyDescent="0.25">
      <c r="A610" s="32">
        <v>59505</v>
      </c>
      <c r="B610" s="14">
        <f>43.5681 * CHOOSE(CONTROL!$C$15, $E$9, 100%, $G$9) + CHOOSE(CONTROL!$C$38, 0.0256, 0)</f>
        <v>43.593699999999998</v>
      </c>
      <c r="C610" s="14">
        <f>41.1779 * CHOOSE(CONTROL!$C$15, $E$9, 100%, $G$9) + CHOOSE(CONTROL!$C$38, 0.0347, 0)</f>
        <v>41.212600000000002</v>
      </c>
      <c r="D610" s="14">
        <f>41.1701 * CHOOSE(CONTROL!$C$15, $E$9, 100%, $G$9) + CHOOSE(CONTROL!$C$38, 0.0347, 0)</f>
        <v>41.204799999999999</v>
      </c>
      <c r="E610" s="46">
        <f>43.4119 * CHOOSE(CONTROL!$C$15, $E$9, 100%, $G$9) + CHOOSE(CONTROL!$C$38, 0.0347, 0)</f>
        <v>43.446600000000004</v>
      </c>
      <c r="F610" s="45">
        <f>43.4119 * CHOOSE(CONTROL!$C$15, $E$9, 100%, $G$9) + CHOOSE(CONTROL!$C$38, 0.0256, 0)</f>
        <v>43.4375</v>
      </c>
      <c r="G610" s="14">
        <f>41.1763 * CHOOSE(CONTROL!$C$15, $E$9, 100%, $G$9) + CHOOSE(CONTROL!$C$38, 0.0347, 0)</f>
        <v>41.210999999999999</v>
      </c>
      <c r="H610" s="14">
        <f>41.1763 * CHOOSE(CONTROL!$C$15, $E$9, 100%, $G$9) + CHOOSE(CONTROL!$C$38, 0.0347, 0)</f>
        <v>41.210999999999999</v>
      </c>
      <c r="I610" s="14">
        <f>41.1779 * CHOOSE(CONTROL!$C$15, $E$9, 100%, $G$9) + CHOOSE(CONTROL!$C$38, 0.0347, 0)</f>
        <v>41.212600000000002</v>
      </c>
      <c r="J610" s="44">
        <f>348.4819</f>
        <v>348.4819</v>
      </c>
    </row>
    <row r="611" spans="1:10" ht="15.75" x14ac:dyDescent="0.25">
      <c r="A611" s="32">
        <v>59536</v>
      </c>
      <c r="B611" s="14">
        <f>42.2936 * CHOOSE(CONTROL!$C$15, $E$9, 100%, $G$9) + CHOOSE(CONTROL!$C$38, 0.0256, 0)</f>
        <v>42.319199999999995</v>
      </c>
      <c r="C611" s="14">
        <f>39.9696 * CHOOSE(CONTROL!$C$15, $E$9, 100%, $G$9) + CHOOSE(CONTROL!$C$38, 0.0347, 0)</f>
        <v>40.004300000000001</v>
      </c>
      <c r="D611" s="14">
        <f>39.9618 * CHOOSE(CONTROL!$C$15, $E$9, 100%, $G$9) + CHOOSE(CONTROL!$C$38, 0.0347, 0)</f>
        <v>39.996499999999997</v>
      </c>
      <c r="E611" s="46">
        <f>42.1373 * CHOOSE(CONTROL!$C$15, $E$9, 100%, $G$9) + CHOOSE(CONTROL!$C$38, 0.0347, 0)</f>
        <v>42.172000000000004</v>
      </c>
      <c r="F611" s="45">
        <f>42.1373 * CHOOSE(CONTROL!$C$15, $E$9, 100%, $G$9) + CHOOSE(CONTROL!$C$38, 0.0256, 0)</f>
        <v>42.1629</v>
      </c>
      <c r="G611" s="14">
        <f>39.968 * CHOOSE(CONTROL!$C$15, $E$9, 100%, $G$9) + CHOOSE(CONTROL!$C$38, 0.0347, 0)</f>
        <v>40.002700000000004</v>
      </c>
      <c r="H611" s="14">
        <f>39.968 * CHOOSE(CONTROL!$C$15, $E$9, 100%, $G$9) + CHOOSE(CONTROL!$C$38, 0.0347, 0)</f>
        <v>40.002700000000004</v>
      </c>
      <c r="I611" s="14">
        <f>39.9696 * CHOOSE(CONTROL!$C$15, $E$9, 100%, $G$9) + CHOOSE(CONTROL!$C$38, 0.0347, 0)</f>
        <v>40.004300000000001</v>
      </c>
      <c r="J611" s="44">
        <f>338.1407</f>
        <v>338.14069999999998</v>
      </c>
    </row>
    <row r="612" spans="1:10" ht="15.75" x14ac:dyDescent="0.25">
      <c r="A612" s="32">
        <v>59567</v>
      </c>
      <c r="B612" s="14">
        <f>41.977 * CHOOSE(CONTROL!$C$15, $E$9, 100%, $G$9) + CHOOSE(CONTROL!$C$38, 0.0256, 0)</f>
        <v>42.002599999999994</v>
      </c>
      <c r="C612" s="14">
        <f>39.6695 * CHOOSE(CONTROL!$C$15, $E$9, 100%, $G$9) + CHOOSE(CONTROL!$C$38, 0.0347, 0)</f>
        <v>39.7042</v>
      </c>
      <c r="D612" s="14">
        <f>39.6617 * CHOOSE(CONTROL!$C$15, $E$9, 100%, $G$9) + CHOOSE(CONTROL!$C$38, 0.0347, 0)</f>
        <v>39.696400000000004</v>
      </c>
      <c r="E612" s="46">
        <f>41.8208 * CHOOSE(CONTROL!$C$15, $E$9, 100%, $G$9) + CHOOSE(CONTROL!$C$38, 0.0347, 0)</f>
        <v>41.855499999999999</v>
      </c>
      <c r="F612" s="45">
        <f>41.8208 * CHOOSE(CONTROL!$C$15, $E$9, 100%, $G$9) + CHOOSE(CONTROL!$C$38, 0.0256, 0)</f>
        <v>41.846399999999996</v>
      </c>
      <c r="G612" s="14">
        <f>39.668 * CHOOSE(CONTROL!$C$15, $E$9, 100%, $G$9) + CHOOSE(CONTROL!$C$38, 0.0347, 0)</f>
        <v>39.7027</v>
      </c>
      <c r="H612" s="14">
        <f>39.668 * CHOOSE(CONTROL!$C$15, $E$9, 100%, $G$9) + CHOOSE(CONTROL!$C$38, 0.0347, 0)</f>
        <v>39.7027</v>
      </c>
      <c r="I612" s="14">
        <f>39.6695 * CHOOSE(CONTROL!$C$15, $E$9, 100%, $G$9) + CHOOSE(CONTROL!$C$38, 0.0347, 0)</f>
        <v>39.7042</v>
      </c>
      <c r="J612" s="44">
        <f>337.8965</f>
        <v>337.8965</v>
      </c>
    </row>
    <row r="613" spans="1:10" ht="15.75" x14ac:dyDescent="0.25">
      <c r="A613" s="32">
        <v>59595</v>
      </c>
      <c r="B613" s="14">
        <f>41.8621 * CHOOSE(CONTROL!$C$15, $E$9, 100%, $G$9) + CHOOSE(CONTROL!$C$38, 0.0256, 0)</f>
        <v>41.887699999999995</v>
      </c>
      <c r="C613" s="14">
        <f>39.5605 * CHOOSE(CONTROL!$C$15, $E$9, 100%, $G$9) + CHOOSE(CONTROL!$C$38, 0.0347, 0)</f>
        <v>39.595199999999998</v>
      </c>
      <c r="D613" s="14">
        <f>39.5527 * CHOOSE(CONTROL!$C$15, $E$9, 100%, $G$9) + CHOOSE(CONTROL!$C$38, 0.0347, 0)</f>
        <v>39.587400000000002</v>
      </c>
      <c r="E613" s="46">
        <f>41.7058 * CHOOSE(CONTROL!$C$15, $E$9, 100%, $G$9) + CHOOSE(CONTROL!$C$38, 0.0347, 0)</f>
        <v>41.740500000000004</v>
      </c>
      <c r="F613" s="45">
        <f>41.7058 * CHOOSE(CONTROL!$C$15, $E$9, 100%, $G$9) + CHOOSE(CONTROL!$C$38, 0.0256, 0)</f>
        <v>41.731400000000001</v>
      </c>
      <c r="G613" s="14">
        <f>39.559 * CHOOSE(CONTROL!$C$15, $E$9, 100%, $G$9) + CHOOSE(CONTROL!$C$38, 0.0347, 0)</f>
        <v>39.593699999999998</v>
      </c>
      <c r="H613" s="14">
        <f>39.559 * CHOOSE(CONTROL!$C$15, $E$9, 100%, $G$9) + CHOOSE(CONTROL!$C$38, 0.0347, 0)</f>
        <v>39.593699999999998</v>
      </c>
      <c r="I613" s="14">
        <f>39.5605 * CHOOSE(CONTROL!$C$15, $E$9, 100%, $G$9) + CHOOSE(CONTROL!$C$38, 0.0347, 0)</f>
        <v>39.595199999999998</v>
      </c>
      <c r="J613" s="44">
        <f>336.9573</f>
        <v>336.95729999999998</v>
      </c>
    </row>
    <row r="614" spans="1:10" ht="15.75" x14ac:dyDescent="0.25">
      <c r="A614" s="32">
        <v>59626</v>
      </c>
      <c r="B614" s="14">
        <f>44.0359 * CHOOSE(CONTROL!$C$15, $E$9, 100%, $G$9) + CHOOSE(CONTROL!$C$38, 0.0256, 0)</f>
        <v>44.061499999999995</v>
      </c>
      <c r="C614" s="14">
        <f>41.6213 * CHOOSE(CONTROL!$C$15, $E$9, 100%, $G$9) + CHOOSE(CONTROL!$C$38, 0.0347, 0)</f>
        <v>41.655999999999999</v>
      </c>
      <c r="D614" s="14">
        <f>41.6135 * CHOOSE(CONTROL!$C$15, $E$9, 100%, $G$9) + CHOOSE(CONTROL!$C$38, 0.0347, 0)</f>
        <v>41.648200000000003</v>
      </c>
      <c r="E614" s="46">
        <f>43.8797 * CHOOSE(CONTROL!$C$15, $E$9, 100%, $G$9) + CHOOSE(CONTROL!$C$38, 0.0347, 0)</f>
        <v>43.914400000000001</v>
      </c>
      <c r="F614" s="45">
        <f>43.8797 * CHOOSE(CONTROL!$C$15, $E$9, 100%, $G$9) + CHOOSE(CONTROL!$C$38, 0.0256, 0)</f>
        <v>43.905299999999997</v>
      </c>
      <c r="G614" s="14">
        <f>41.6198 * CHOOSE(CONTROL!$C$15, $E$9, 100%, $G$9) + CHOOSE(CONTROL!$C$38, 0.0347, 0)</f>
        <v>41.654499999999999</v>
      </c>
      <c r="H614" s="14">
        <f>41.6198 * CHOOSE(CONTROL!$C$15, $E$9, 100%, $G$9) + CHOOSE(CONTROL!$C$38, 0.0347, 0)</f>
        <v>41.654499999999999</v>
      </c>
      <c r="I614" s="14">
        <f>41.6213 * CHOOSE(CONTROL!$C$15, $E$9, 100%, $G$9) + CHOOSE(CONTROL!$C$38, 0.0347, 0)</f>
        <v>41.655999999999999</v>
      </c>
      <c r="J614" s="44">
        <f>354.7169</f>
        <v>354.71690000000001</v>
      </c>
    </row>
    <row r="615" spans="1:10" ht="15.75" x14ac:dyDescent="0.25">
      <c r="A615" s="32">
        <v>59656</v>
      </c>
      <c r="B615" s="14">
        <f>46.8549 * CHOOSE(CONTROL!$C$15, $E$9, 100%, $G$9) + CHOOSE(CONTROL!$C$38, 0.0256, 0)</f>
        <v>46.880499999999998</v>
      </c>
      <c r="C615" s="14">
        <f>44.2937 * CHOOSE(CONTROL!$C$15, $E$9, 100%, $G$9) + CHOOSE(CONTROL!$C$38, 0.0347, 0)</f>
        <v>44.328400000000002</v>
      </c>
      <c r="D615" s="14">
        <f>44.2858 * CHOOSE(CONTROL!$C$15, $E$9, 100%, $G$9) + CHOOSE(CONTROL!$C$38, 0.0347, 0)</f>
        <v>44.320500000000003</v>
      </c>
      <c r="E615" s="46">
        <f>46.6986 * CHOOSE(CONTROL!$C$15, $E$9, 100%, $G$9) + CHOOSE(CONTROL!$C$38, 0.0347, 0)</f>
        <v>46.7333</v>
      </c>
      <c r="F615" s="45">
        <f>46.6986 * CHOOSE(CONTROL!$C$15, $E$9, 100%, $G$9) + CHOOSE(CONTROL!$C$38, 0.0256, 0)</f>
        <v>46.724199999999996</v>
      </c>
      <c r="G615" s="14">
        <f>44.2921 * CHOOSE(CONTROL!$C$15, $E$9, 100%, $G$9) + CHOOSE(CONTROL!$C$38, 0.0347, 0)</f>
        <v>44.326799999999999</v>
      </c>
      <c r="H615" s="14">
        <f>44.2921 * CHOOSE(CONTROL!$C$15, $E$9, 100%, $G$9) + CHOOSE(CONTROL!$C$38, 0.0347, 0)</f>
        <v>44.326799999999999</v>
      </c>
      <c r="I615" s="14">
        <f>44.2937 * CHOOSE(CONTROL!$C$15, $E$9, 100%, $G$9) + CHOOSE(CONTROL!$C$38, 0.0347, 0)</f>
        <v>44.328400000000002</v>
      </c>
      <c r="J615" s="44">
        <f>377.7468</f>
        <v>377.74680000000001</v>
      </c>
    </row>
    <row r="616" spans="1:10" ht="15.75" x14ac:dyDescent="0.25">
      <c r="A616" s="32">
        <v>59687</v>
      </c>
      <c r="B616" s="14">
        <f>48.4065 * CHOOSE(CONTROL!$C$15, $E$9, 100%, $G$9) + CHOOSE(CONTROL!$C$38, 0.0278, 0)</f>
        <v>48.4343</v>
      </c>
      <c r="C616" s="14">
        <f>45.7646 * CHOOSE(CONTROL!$C$15, $E$9, 100%, $G$9) + CHOOSE(CONTROL!$C$38, 0.0369, 0)</f>
        <v>45.801500000000004</v>
      </c>
      <c r="D616" s="14">
        <f>45.7568 * CHOOSE(CONTROL!$C$15, $E$9, 100%, $G$9) + CHOOSE(CONTROL!$C$38, 0.0369, 0)</f>
        <v>45.793700000000001</v>
      </c>
      <c r="E616" s="46">
        <f>48.2503 * CHOOSE(CONTROL!$C$15, $E$9, 100%, $G$9) + CHOOSE(CONTROL!$C$38, 0.0369, 0)</f>
        <v>48.287200000000006</v>
      </c>
      <c r="F616" s="45">
        <f>48.2503 * CHOOSE(CONTROL!$C$15, $E$9, 100%, $G$9) + CHOOSE(CONTROL!$C$38, 0.0278, 0)</f>
        <v>48.278100000000002</v>
      </c>
      <c r="G616" s="14">
        <f>45.763 * CHOOSE(CONTROL!$C$15, $E$9, 100%, $G$9) + CHOOSE(CONTROL!$C$38, 0.0369, 0)</f>
        <v>45.799900000000001</v>
      </c>
      <c r="H616" s="14">
        <f>45.763 * CHOOSE(CONTROL!$C$15, $E$9, 100%, $G$9) + CHOOSE(CONTROL!$C$38, 0.0369, 0)</f>
        <v>45.799900000000001</v>
      </c>
      <c r="I616" s="14">
        <f>45.7646 * CHOOSE(CONTROL!$C$15, $E$9, 100%, $G$9) + CHOOSE(CONTROL!$C$38, 0.0369, 0)</f>
        <v>45.801500000000004</v>
      </c>
      <c r="J616" s="44">
        <f>390.4233</f>
        <v>390.42329999999998</v>
      </c>
    </row>
    <row r="617" spans="1:10" ht="15.75" x14ac:dyDescent="0.25">
      <c r="A617" s="32">
        <v>59717</v>
      </c>
      <c r="B617" s="14">
        <f>49.0951 * CHOOSE(CONTROL!$C$15, $E$9, 100%, $G$9) + CHOOSE(CONTROL!$C$38, 0.0278, 0)</f>
        <v>49.122900000000001</v>
      </c>
      <c r="C617" s="14">
        <f>46.4174 * CHOOSE(CONTROL!$C$15, $E$9, 100%, $G$9) + CHOOSE(CONTROL!$C$38, 0.0369, 0)</f>
        <v>46.454300000000003</v>
      </c>
      <c r="D617" s="14">
        <f>46.4096 * CHOOSE(CONTROL!$C$15, $E$9, 100%, $G$9) + CHOOSE(CONTROL!$C$38, 0.0369, 0)</f>
        <v>46.4465</v>
      </c>
      <c r="E617" s="46">
        <f>48.9389 * CHOOSE(CONTROL!$C$15, $E$9, 100%, $G$9) + CHOOSE(CONTROL!$C$38, 0.0369, 0)</f>
        <v>48.9758</v>
      </c>
      <c r="F617" s="45">
        <f>48.9389 * CHOOSE(CONTROL!$C$15, $E$9, 100%, $G$9) + CHOOSE(CONTROL!$C$38, 0.0278, 0)</f>
        <v>48.966699999999996</v>
      </c>
      <c r="G617" s="14">
        <f>46.4158 * CHOOSE(CONTROL!$C$15, $E$9, 100%, $G$9) + CHOOSE(CONTROL!$C$38, 0.0369, 0)</f>
        <v>46.4527</v>
      </c>
      <c r="H617" s="14">
        <f>46.4158 * CHOOSE(CONTROL!$C$15, $E$9, 100%, $G$9) + CHOOSE(CONTROL!$C$38, 0.0369, 0)</f>
        <v>46.4527</v>
      </c>
      <c r="I617" s="14">
        <f>46.4174 * CHOOSE(CONTROL!$C$15, $E$9, 100%, $G$9) + CHOOSE(CONTROL!$C$38, 0.0369, 0)</f>
        <v>46.454300000000003</v>
      </c>
      <c r="J617" s="44">
        <f>396.0489</f>
        <v>396.0489</v>
      </c>
    </row>
    <row r="618" spans="1:10" ht="15.75" x14ac:dyDescent="0.25">
      <c r="A618" s="32">
        <v>59748</v>
      </c>
      <c r="B618" s="14">
        <f>48.8684 * CHOOSE(CONTROL!$C$15, $E$9, 100%, $G$9) + CHOOSE(CONTROL!$C$38, 0.0278, 0)</f>
        <v>48.8962</v>
      </c>
      <c r="C618" s="14">
        <f>46.2024 * CHOOSE(CONTROL!$C$15, $E$9, 100%, $G$9) + CHOOSE(CONTROL!$C$38, 0.0369, 0)</f>
        <v>46.2393</v>
      </c>
      <c r="D618" s="14">
        <f>46.1946 * CHOOSE(CONTROL!$C$15, $E$9, 100%, $G$9) + CHOOSE(CONTROL!$C$38, 0.0369, 0)</f>
        <v>46.231500000000004</v>
      </c>
      <c r="E618" s="46">
        <f>48.7121 * CHOOSE(CONTROL!$C$15, $E$9, 100%, $G$9) + CHOOSE(CONTROL!$C$38, 0.0369, 0)</f>
        <v>48.749000000000002</v>
      </c>
      <c r="F618" s="45">
        <f>48.7121 * CHOOSE(CONTROL!$C$15, $E$9, 100%, $G$9) + CHOOSE(CONTROL!$C$38, 0.0278, 0)</f>
        <v>48.739899999999999</v>
      </c>
      <c r="G618" s="14">
        <f>46.2009 * CHOOSE(CONTROL!$C$15, $E$9, 100%, $G$9) + CHOOSE(CONTROL!$C$38, 0.0369, 0)</f>
        <v>46.2378</v>
      </c>
      <c r="H618" s="14">
        <f>46.2009 * CHOOSE(CONTROL!$C$15, $E$9, 100%, $G$9) + CHOOSE(CONTROL!$C$38, 0.0369, 0)</f>
        <v>46.2378</v>
      </c>
      <c r="I618" s="14">
        <f>46.2024 * CHOOSE(CONTROL!$C$15, $E$9, 100%, $G$9) + CHOOSE(CONTROL!$C$38, 0.0369, 0)</f>
        <v>46.2393</v>
      </c>
      <c r="J618" s="44">
        <f>394.1967</f>
        <v>394.19670000000002</v>
      </c>
    </row>
    <row r="619" spans="1:10" ht="15.75" x14ac:dyDescent="0.25">
      <c r="A619" s="32">
        <v>59779</v>
      </c>
      <c r="B619" s="14">
        <f>47.7451 * CHOOSE(CONTROL!$C$15, $E$9, 100%, $G$9) + CHOOSE(CONTROL!$C$38, 0.0278, 0)</f>
        <v>47.7729</v>
      </c>
      <c r="C619" s="14">
        <f>45.1376 * CHOOSE(CONTROL!$C$15, $E$9, 100%, $G$9) + CHOOSE(CONTROL!$C$38, 0.0369, 0)</f>
        <v>45.174500000000002</v>
      </c>
      <c r="D619" s="14">
        <f>45.1298 * CHOOSE(CONTROL!$C$15, $E$9, 100%, $G$9) + CHOOSE(CONTROL!$C$38, 0.0369, 0)</f>
        <v>45.166700000000006</v>
      </c>
      <c r="E619" s="46">
        <f>47.5889 * CHOOSE(CONTROL!$C$15, $E$9, 100%, $G$9) + CHOOSE(CONTROL!$C$38, 0.0369, 0)</f>
        <v>47.625800000000005</v>
      </c>
      <c r="F619" s="45">
        <f>47.5889 * CHOOSE(CONTROL!$C$15, $E$9, 100%, $G$9) + CHOOSE(CONTROL!$C$38, 0.0278, 0)</f>
        <v>47.616700000000002</v>
      </c>
      <c r="G619" s="14">
        <f>45.136 * CHOOSE(CONTROL!$C$15, $E$9, 100%, $G$9) + CHOOSE(CONTROL!$C$38, 0.0369, 0)</f>
        <v>45.172900000000006</v>
      </c>
      <c r="H619" s="14">
        <f>45.136 * CHOOSE(CONTROL!$C$15, $E$9, 100%, $G$9) + CHOOSE(CONTROL!$C$38, 0.0369, 0)</f>
        <v>45.172900000000006</v>
      </c>
      <c r="I619" s="14">
        <f>45.1376 * CHOOSE(CONTROL!$C$15, $E$9, 100%, $G$9) + CHOOSE(CONTROL!$C$38, 0.0369, 0)</f>
        <v>45.174500000000002</v>
      </c>
      <c r="J619" s="44">
        <f>385.0199</f>
        <v>385.01990000000001</v>
      </c>
    </row>
    <row r="620" spans="1:10" ht="15.75" x14ac:dyDescent="0.25">
      <c r="A620" s="32">
        <v>59809</v>
      </c>
      <c r="B620" s="14">
        <f>46.1787 * CHOOSE(CONTROL!$C$15, $E$9, 100%, $G$9) + CHOOSE(CONTROL!$C$38, 0.0278, 0)</f>
        <v>46.206499999999998</v>
      </c>
      <c r="C620" s="14">
        <f>43.6526 * CHOOSE(CONTROL!$C$15, $E$9, 100%, $G$9) + CHOOSE(CONTROL!$C$38, 0.0369, 0)</f>
        <v>43.689500000000002</v>
      </c>
      <c r="D620" s="14">
        <f>43.6448 * CHOOSE(CONTROL!$C$15, $E$9, 100%, $G$9) + CHOOSE(CONTROL!$C$38, 0.0369, 0)</f>
        <v>43.681699999999999</v>
      </c>
      <c r="E620" s="46">
        <f>46.0224 * CHOOSE(CONTROL!$C$15, $E$9, 100%, $G$9) + CHOOSE(CONTROL!$C$38, 0.0369, 0)</f>
        <v>46.0593</v>
      </c>
      <c r="F620" s="45">
        <f>46.0224 * CHOOSE(CONTROL!$C$15, $E$9, 100%, $G$9) + CHOOSE(CONTROL!$C$38, 0.0278, 0)</f>
        <v>46.050199999999997</v>
      </c>
      <c r="G620" s="14">
        <f>43.6511 * CHOOSE(CONTROL!$C$15, $E$9, 100%, $G$9) + CHOOSE(CONTROL!$C$38, 0.0369, 0)</f>
        <v>43.688000000000002</v>
      </c>
      <c r="H620" s="14">
        <f>43.6511 * CHOOSE(CONTROL!$C$15, $E$9, 100%, $G$9) + CHOOSE(CONTROL!$C$38, 0.0369, 0)</f>
        <v>43.688000000000002</v>
      </c>
      <c r="I620" s="14">
        <f>43.6526 * CHOOSE(CONTROL!$C$15, $E$9, 100%, $G$9) + CHOOSE(CONTROL!$C$38, 0.0369, 0)</f>
        <v>43.689500000000002</v>
      </c>
      <c r="J620" s="44">
        <f>372.2225</f>
        <v>372.22250000000003</v>
      </c>
    </row>
    <row r="621" spans="1:10" ht="15.75" x14ac:dyDescent="0.25">
      <c r="A621" s="32">
        <v>59840</v>
      </c>
      <c r="B621" s="14">
        <f>44.6031 * CHOOSE(CONTROL!$C$15, $E$9, 100%, $G$9) + CHOOSE(CONTROL!$C$38, 0.0256, 0)</f>
        <v>44.628699999999995</v>
      </c>
      <c r="C621" s="14">
        <f>42.159 * CHOOSE(CONTROL!$C$15, $E$9, 100%, $G$9) + CHOOSE(CONTROL!$C$38, 0.0347, 0)</f>
        <v>42.1937</v>
      </c>
      <c r="D621" s="14">
        <f>42.1512 * CHOOSE(CONTROL!$C$15, $E$9, 100%, $G$9) + CHOOSE(CONTROL!$C$38, 0.0347, 0)</f>
        <v>42.185900000000004</v>
      </c>
      <c r="E621" s="46">
        <f>44.4469 * CHOOSE(CONTROL!$C$15, $E$9, 100%, $G$9) + CHOOSE(CONTROL!$C$38, 0.0347, 0)</f>
        <v>44.4816</v>
      </c>
      <c r="F621" s="45">
        <f>44.4469 * CHOOSE(CONTROL!$C$15, $E$9, 100%, $G$9) + CHOOSE(CONTROL!$C$38, 0.0256, 0)</f>
        <v>44.472499999999997</v>
      </c>
      <c r="G621" s="14">
        <f>42.1575 * CHOOSE(CONTROL!$C$15, $E$9, 100%, $G$9) + CHOOSE(CONTROL!$C$38, 0.0347, 0)</f>
        <v>42.1922</v>
      </c>
      <c r="H621" s="14">
        <f>42.1575 * CHOOSE(CONTROL!$C$15, $E$9, 100%, $G$9) + CHOOSE(CONTROL!$C$38, 0.0347, 0)</f>
        <v>42.1922</v>
      </c>
      <c r="I621" s="14">
        <f>42.159 * CHOOSE(CONTROL!$C$15, $E$9, 100%, $G$9) + CHOOSE(CONTROL!$C$38, 0.0347, 0)</f>
        <v>42.1937</v>
      </c>
      <c r="J621" s="44">
        <f>359.3507</f>
        <v>359.35070000000002</v>
      </c>
    </row>
    <row r="622" spans="1:10" ht="15.75" x14ac:dyDescent="0.25">
      <c r="A622" s="32">
        <v>59870</v>
      </c>
      <c r="B622" s="14">
        <f>44.2897 * CHOOSE(CONTROL!$C$15, $E$9, 100%, $G$9) + CHOOSE(CONTROL!$C$38, 0.0256, 0)</f>
        <v>44.315300000000001</v>
      </c>
      <c r="C622" s="14">
        <f>41.8619 * CHOOSE(CONTROL!$C$15, $E$9, 100%, $G$9) + CHOOSE(CONTROL!$C$38, 0.0347, 0)</f>
        <v>41.896599999999999</v>
      </c>
      <c r="D622" s="14">
        <f>41.8541 * CHOOSE(CONTROL!$C$15, $E$9, 100%, $G$9) + CHOOSE(CONTROL!$C$38, 0.0347, 0)</f>
        <v>41.888800000000003</v>
      </c>
      <c r="E622" s="46">
        <f>44.1334 * CHOOSE(CONTROL!$C$15, $E$9, 100%, $G$9) + CHOOSE(CONTROL!$C$38, 0.0347, 0)</f>
        <v>44.168100000000003</v>
      </c>
      <c r="F622" s="45">
        <f>44.1334 * CHOOSE(CONTROL!$C$15, $E$9, 100%, $G$9) + CHOOSE(CONTROL!$C$38, 0.0256, 0)</f>
        <v>44.158999999999999</v>
      </c>
      <c r="G622" s="14">
        <f>41.8603 * CHOOSE(CONTROL!$C$15, $E$9, 100%, $G$9) + CHOOSE(CONTROL!$C$38, 0.0347, 0)</f>
        <v>41.895000000000003</v>
      </c>
      <c r="H622" s="14">
        <f>41.8603 * CHOOSE(CONTROL!$C$15, $E$9, 100%, $G$9) + CHOOSE(CONTROL!$C$38, 0.0347, 0)</f>
        <v>41.895000000000003</v>
      </c>
      <c r="I622" s="14">
        <f>41.8619 * CHOOSE(CONTROL!$C$15, $E$9, 100%, $G$9) + CHOOSE(CONTROL!$C$38, 0.0347, 0)</f>
        <v>41.896599999999999</v>
      </c>
      <c r="J622" s="44">
        <f>356.7902</f>
        <v>356.79020000000003</v>
      </c>
    </row>
    <row r="623" spans="1:10" ht="15.75" x14ac:dyDescent="0.25">
      <c r="A623" s="32">
        <v>59901</v>
      </c>
      <c r="B623" s="14">
        <f>42.9937 * CHOOSE(CONTROL!$C$15, $E$9, 100%, $G$9) + CHOOSE(CONTROL!$C$38, 0.0256, 0)</f>
        <v>43.019299999999994</v>
      </c>
      <c r="C623" s="14">
        <f>40.6333 * CHOOSE(CONTROL!$C$15, $E$9, 100%, $G$9) + CHOOSE(CONTROL!$C$38, 0.0347, 0)</f>
        <v>40.667999999999999</v>
      </c>
      <c r="D623" s="14">
        <f>40.6255 * CHOOSE(CONTROL!$C$15, $E$9, 100%, $G$9) + CHOOSE(CONTROL!$C$38, 0.0347, 0)</f>
        <v>40.660200000000003</v>
      </c>
      <c r="E623" s="46">
        <f>42.8375 * CHOOSE(CONTROL!$C$15, $E$9, 100%, $G$9) + CHOOSE(CONTROL!$C$38, 0.0347, 0)</f>
        <v>42.872199999999999</v>
      </c>
      <c r="F623" s="45">
        <f>42.8375 * CHOOSE(CONTROL!$C$15, $E$9, 100%, $G$9) + CHOOSE(CONTROL!$C$38, 0.0256, 0)</f>
        <v>42.863099999999996</v>
      </c>
      <c r="G623" s="14">
        <f>40.6318 * CHOOSE(CONTROL!$C$15, $E$9, 100%, $G$9) + CHOOSE(CONTROL!$C$38, 0.0347, 0)</f>
        <v>40.666499999999999</v>
      </c>
      <c r="H623" s="14">
        <f>40.6318 * CHOOSE(CONTROL!$C$15, $E$9, 100%, $G$9) + CHOOSE(CONTROL!$C$38, 0.0347, 0)</f>
        <v>40.666499999999999</v>
      </c>
      <c r="I623" s="14">
        <f>40.6333 * CHOOSE(CONTROL!$C$15, $E$9, 100%, $G$9) + CHOOSE(CONTROL!$C$38, 0.0347, 0)</f>
        <v>40.667999999999999</v>
      </c>
      <c r="J623" s="44">
        <f>346.2024</f>
        <v>346.20240000000001</v>
      </c>
    </row>
    <row r="624" spans="1:10" ht="15.75" x14ac:dyDescent="0.25">
      <c r="A624" s="32">
        <v>59932</v>
      </c>
      <c r="B624" s="14">
        <f>42.6719 * CHOOSE(CONTROL!$C$15, $E$9, 100%, $G$9) + CHOOSE(CONTROL!$C$38, 0.0256, 0)</f>
        <v>42.697499999999998</v>
      </c>
      <c r="C624" s="14">
        <f>40.3282 * CHOOSE(CONTROL!$C$15, $E$9, 100%, $G$9) + CHOOSE(CONTROL!$C$38, 0.0347, 0)</f>
        <v>40.362900000000003</v>
      </c>
      <c r="D624" s="14">
        <f>40.3204 * CHOOSE(CONTROL!$C$15, $E$9, 100%, $G$9) + CHOOSE(CONTROL!$C$38, 0.0347, 0)</f>
        <v>40.3551</v>
      </c>
      <c r="E624" s="46">
        <f>42.5156 * CHOOSE(CONTROL!$C$15, $E$9, 100%, $G$9) + CHOOSE(CONTROL!$C$38, 0.0347, 0)</f>
        <v>42.5503</v>
      </c>
      <c r="F624" s="45">
        <f>42.5156 * CHOOSE(CONTROL!$C$15, $E$9, 100%, $G$9) + CHOOSE(CONTROL!$C$38, 0.0256, 0)</f>
        <v>42.541199999999996</v>
      </c>
      <c r="G624" s="14">
        <f>40.3267 * CHOOSE(CONTROL!$C$15, $E$9, 100%, $G$9) + CHOOSE(CONTROL!$C$38, 0.0347, 0)</f>
        <v>40.361400000000003</v>
      </c>
      <c r="H624" s="14">
        <f>40.3267 * CHOOSE(CONTROL!$C$15, $E$9, 100%, $G$9) + CHOOSE(CONTROL!$C$38, 0.0347, 0)</f>
        <v>40.361400000000003</v>
      </c>
      <c r="I624" s="14">
        <f>40.3282 * CHOOSE(CONTROL!$C$15, $E$9, 100%, $G$9) + CHOOSE(CONTROL!$C$38, 0.0347, 0)</f>
        <v>40.362900000000003</v>
      </c>
      <c r="J624" s="44">
        <f>345.9525</f>
        <v>345.95249999999999</v>
      </c>
    </row>
    <row r="625" spans="1:10" ht="15.75" x14ac:dyDescent="0.25">
      <c r="A625" s="32">
        <v>59961</v>
      </c>
      <c r="B625" s="14">
        <f>42.555 * CHOOSE(CONTROL!$C$15, $E$9, 100%, $G$9) + CHOOSE(CONTROL!$C$38, 0.0256, 0)</f>
        <v>42.580599999999997</v>
      </c>
      <c r="C625" s="14">
        <f>40.2174 * CHOOSE(CONTROL!$C$15, $E$9, 100%, $G$9) + CHOOSE(CONTROL!$C$38, 0.0347, 0)</f>
        <v>40.252099999999999</v>
      </c>
      <c r="D625" s="14">
        <f>40.2096 * CHOOSE(CONTROL!$C$15, $E$9, 100%, $G$9) + CHOOSE(CONTROL!$C$38, 0.0347, 0)</f>
        <v>40.244300000000003</v>
      </c>
      <c r="E625" s="46">
        <f>42.3987 * CHOOSE(CONTROL!$C$15, $E$9, 100%, $G$9) + CHOOSE(CONTROL!$C$38, 0.0347, 0)</f>
        <v>42.433399999999999</v>
      </c>
      <c r="F625" s="45">
        <f>42.3987 * CHOOSE(CONTROL!$C$15, $E$9, 100%, $G$9) + CHOOSE(CONTROL!$C$38, 0.0256, 0)</f>
        <v>42.424299999999995</v>
      </c>
      <c r="G625" s="14">
        <f>40.2158 * CHOOSE(CONTROL!$C$15, $E$9, 100%, $G$9) + CHOOSE(CONTROL!$C$38, 0.0347, 0)</f>
        <v>40.250500000000002</v>
      </c>
      <c r="H625" s="14">
        <f>40.2158 * CHOOSE(CONTROL!$C$15, $E$9, 100%, $G$9) + CHOOSE(CONTROL!$C$38, 0.0347, 0)</f>
        <v>40.250500000000002</v>
      </c>
      <c r="I625" s="14">
        <f>40.2174 * CHOOSE(CONTROL!$C$15, $E$9, 100%, $G$9) + CHOOSE(CONTROL!$C$38, 0.0347, 0)</f>
        <v>40.252099999999999</v>
      </c>
      <c r="J625" s="44">
        <f>344.9909</f>
        <v>344.99090000000001</v>
      </c>
    </row>
    <row r="626" spans="1:10" ht="15.75" x14ac:dyDescent="0.25">
      <c r="A626" s="32">
        <v>59992</v>
      </c>
      <c r="B626" s="14">
        <f>44.7653 * CHOOSE(CONTROL!$C$15, $E$9, 100%, $G$9) + CHOOSE(CONTROL!$C$38, 0.0256, 0)</f>
        <v>44.790900000000001</v>
      </c>
      <c r="C626" s="14">
        <f>42.3128 * CHOOSE(CONTROL!$C$15, $E$9, 100%, $G$9) + CHOOSE(CONTROL!$C$38, 0.0347, 0)</f>
        <v>42.347500000000004</v>
      </c>
      <c r="D626" s="14">
        <f>42.305 * CHOOSE(CONTROL!$C$15, $E$9, 100%, $G$9) + CHOOSE(CONTROL!$C$38, 0.0347, 0)</f>
        <v>42.339700000000001</v>
      </c>
      <c r="E626" s="46">
        <f>44.6091 * CHOOSE(CONTROL!$C$15, $E$9, 100%, $G$9) + CHOOSE(CONTROL!$C$38, 0.0347, 0)</f>
        <v>44.643799999999999</v>
      </c>
      <c r="F626" s="45">
        <f>44.6091 * CHOOSE(CONTROL!$C$15, $E$9, 100%, $G$9) + CHOOSE(CONTROL!$C$38, 0.0256, 0)</f>
        <v>44.634699999999995</v>
      </c>
      <c r="G626" s="14">
        <f>42.3112 * CHOOSE(CONTROL!$C$15, $E$9, 100%, $G$9) + CHOOSE(CONTROL!$C$38, 0.0347, 0)</f>
        <v>42.3459</v>
      </c>
      <c r="H626" s="14">
        <f>42.3112 * CHOOSE(CONTROL!$C$15, $E$9, 100%, $G$9) + CHOOSE(CONTROL!$C$38, 0.0347, 0)</f>
        <v>42.3459</v>
      </c>
      <c r="I626" s="14">
        <f>42.3128 * CHOOSE(CONTROL!$C$15, $E$9, 100%, $G$9) + CHOOSE(CONTROL!$C$38, 0.0347, 0)</f>
        <v>42.347500000000004</v>
      </c>
      <c r="J626" s="44">
        <f>363.1739</f>
        <v>363.1739</v>
      </c>
    </row>
    <row r="627" spans="1:10" ht="15.75" x14ac:dyDescent="0.25">
      <c r="A627" s="32">
        <v>60022</v>
      </c>
      <c r="B627" s="14">
        <f>47.6317 * CHOOSE(CONTROL!$C$15, $E$9, 100%, $G$9) + CHOOSE(CONTROL!$C$38, 0.0256, 0)</f>
        <v>47.657299999999999</v>
      </c>
      <c r="C627" s="14">
        <f>45.03 * CHOOSE(CONTROL!$C$15, $E$9, 100%, $G$9) + CHOOSE(CONTROL!$C$38, 0.0347, 0)</f>
        <v>45.064700000000002</v>
      </c>
      <c r="D627" s="14">
        <f>45.0222 * CHOOSE(CONTROL!$C$15, $E$9, 100%, $G$9) + CHOOSE(CONTROL!$C$38, 0.0347, 0)</f>
        <v>45.056899999999999</v>
      </c>
      <c r="E627" s="46">
        <f>47.4754 * CHOOSE(CONTROL!$C$15, $E$9, 100%, $G$9) + CHOOSE(CONTROL!$C$38, 0.0347, 0)</f>
        <v>47.510100000000001</v>
      </c>
      <c r="F627" s="45">
        <f>47.4754 * CHOOSE(CONTROL!$C$15, $E$9, 100%, $G$9) + CHOOSE(CONTROL!$C$38, 0.0256, 0)</f>
        <v>47.500999999999998</v>
      </c>
      <c r="G627" s="14">
        <f>45.0285 * CHOOSE(CONTROL!$C$15, $E$9, 100%, $G$9) + CHOOSE(CONTROL!$C$38, 0.0347, 0)</f>
        <v>45.063200000000002</v>
      </c>
      <c r="H627" s="14">
        <f>45.0285 * CHOOSE(CONTROL!$C$15, $E$9, 100%, $G$9) + CHOOSE(CONTROL!$C$38, 0.0347, 0)</f>
        <v>45.063200000000002</v>
      </c>
      <c r="I627" s="14">
        <f>45.03 * CHOOSE(CONTROL!$C$15, $E$9, 100%, $G$9) + CHOOSE(CONTROL!$C$38, 0.0347, 0)</f>
        <v>45.064700000000002</v>
      </c>
      <c r="J627" s="44">
        <f>386.7529</f>
        <v>386.75290000000001</v>
      </c>
    </row>
    <row r="628" spans="1:10" ht="15.75" x14ac:dyDescent="0.25">
      <c r="A628" s="32">
        <v>60053</v>
      </c>
      <c r="B628" s="14">
        <f>49.2094 * CHOOSE(CONTROL!$C$15, $E$9, 100%, $G$9) + CHOOSE(CONTROL!$C$38, 0.0278, 0)</f>
        <v>49.237200000000001</v>
      </c>
      <c r="C628" s="14">
        <f>46.5257 * CHOOSE(CONTROL!$C$15, $E$9, 100%, $G$9) + CHOOSE(CONTROL!$C$38, 0.0369, 0)</f>
        <v>46.562600000000003</v>
      </c>
      <c r="D628" s="14">
        <f>46.5179 * CHOOSE(CONTROL!$C$15, $E$9, 100%, $G$9) + CHOOSE(CONTROL!$C$38, 0.0369, 0)</f>
        <v>46.5548</v>
      </c>
      <c r="E628" s="46">
        <f>49.0531 * CHOOSE(CONTROL!$C$15, $E$9, 100%, $G$9) + CHOOSE(CONTROL!$C$38, 0.0369, 0)</f>
        <v>49.09</v>
      </c>
      <c r="F628" s="45">
        <f>49.0531 * CHOOSE(CONTROL!$C$15, $E$9, 100%, $G$9) + CHOOSE(CONTROL!$C$38, 0.0278, 0)</f>
        <v>49.0809</v>
      </c>
      <c r="G628" s="14">
        <f>46.5241 * CHOOSE(CONTROL!$C$15, $E$9, 100%, $G$9) + CHOOSE(CONTROL!$C$38, 0.0369, 0)</f>
        <v>46.561</v>
      </c>
      <c r="H628" s="14">
        <f>46.5241 * CHOOSE(CONTROL!$C$15, $E$9, 100%, $G$9) + CHOOSE(CONTROL!$C$38, 0.0369, 0)</f>
        <v>46.561</v>
      </c>
      <c r="I628" s="14">
        <f>46.5257 * CHOOSE(CONTROL!$C$15, $E$9, 100%, $G$9) + CHOOSE(CONTROL!$C$38, 0.0369, 0)</f>
        <v>46.562600000000003</v>
      </c>
      <c r="J628" s="44">
        <f>399.7316</f>
        <v>399.73160000000001</v>
      </c>
    </row>
    <row r="629" spans="1:10" ht="15.75" x14ac:dyDescent="0.25">
      <c r="A629" s="32">
        <v>60083</v>
      </c>
      <c r="B629" s="14">
        <f>49.9095 * CHOOSE(CONTROL!$C$15, $E$9, 100%, $G$9) + CHOOSE(CONTROL!$C$38, 0.0278, 0)</f>
        <v>49.9373</v>
      </c>
      <c r="C629" s="14">
        <f>47.1894 * CHOOSE(CONTROL!$C$15, $E$9, 100%, $G$9) + CHOOSE(CONTROL!$C$38, 0.0369, 0)</f>
        <v>47.226300000000002</v>
      </c>
      <c r="D629" s="14">
        <f>47.1816 * CHOOSE(CONTROL!$C$15, $E$9, 100%, $G$9) + CHOOSE(CONTROL!$C$38, 0.0369, 0)</f>
        <v>47.218500000000006</v>
      </c>
      <c r="E629" s="46">
        <f>49.7533 * CHOOSE(CONTROL!$C$15, $E$9, 100%, $G$9) + CHOOSE(CONTROL!$C$38, 0.0369, 0)</f>
        <v>49.790200000000006</v>
      </c>
      <c r="F629" s="45">
        <f>49.7533 * CHOOSE(CONTROL!$C$15, $E$9, 100%, $G$9) + CHOOSE(CONTROL!$C$38, 0.0278, 0)</f>
        <v>49.781100000000002</v>
      </c>
      <c r="G629" s="14">
        <f>47.1879 * CHOOSE(CONTROL!$C$15, $E$9, 100%, $G$9) + CHOOSE(CONTROL!$C$38, 0.0369, 0)</f>
        <v>47.224800000000002</v>
      </c>
      <c r="H629" s="14">
        <f>47.1879 * CHOOSE(CONTROL!$C$15, $E$9, 100%, $G$9) + CHOOSE(CONTROL!$C$38, 0.0369, 0)</f>
        <v>47.224800000000002</v>
      </c>
      <c r="I629" s="14">
        <f>47.1894 * CHOOSE(CONTROL!$C$15, $E$9, 100%, $G$9) + CHOOSE(CONTROL!$C$38, 0.0369, 0)</f>
        <v>47.226300000000002</v>
      </c>
      <c r="J629" s="44">
        <f>405.4913</f>
        <v>405.49130000000002</v>
      </c>
    </row>
    <row r="630" spans="1:10" ht="15.75" x14ac:dyDescent="0.25">
      <c r="A630" s="32">
        <v>60114</v>
      </c>
      <c r="B630" s="14">
        <f>49.679 * CHOOSE(CONTROL!$C$15, $E$9, 100%, $G$9) + CHOOSE(CONTROL!$C$38, 0.0278, 0)</f>
        <v>49.706800000000001</v>
      </c>
      <c r="C630" s="14">
        <f>46.9709 * CHOOSE(CONTROL!$C$15, $E$9, 100%, $G$9) + CHOOSE(CONTROL!$C$38, 0.0369, 0)</f>
        <v>47.007800000000003</v>
      </c>
      <c r="D630" s="14">
        <f>46.9631 * CHOOSE(CONTROL!$C$15, $E$9, 100%, $G$9) + CHOOSE(CONTROL!$C$38, 0.0369, 0)</f>
        <v>47</v>
      </c>
      <c r="E630" s="46">
        <f>49.5227 * CHOOSE(CONTROL!$C$15, $E$9, 100%, $G$9) + CHOOSE(CONTROL!$C$38, 0.0369, 0)</f>
        <v>49.559600000000003</v>
      </c>
      <c r="F630" s="45">
        <f>49.5227 * CHOOSE(CONTROL!$C$15, $E$9, 100%, $G$9) + CHOOSE(CONTROL!$C$38, 0.0278, 0)</f>
        <v>49.5505</v>
      </c>
      <c r="G630" s="14">
        <f>46.9693 * CHOOSE(CONTROL!$C$15, $E$9, 100%, $G$9) + CHOOSE(CONTROL!$C$38, 0.0369, 0)</f>
        <v>47.0062</v>
      </c>
      <c r="H630" s="14">
        <f>46.9693 * CHOOSE(CONTROL!$C$15, $E$9, 100%, $G$9) + CHOOSE(CONTROL!$C$38, 0.0369, 0)</f>
        <v>47.0062</v>
      </c>
      <c r="I630" s="14">
        <f>46.9709 * CHOOSE(CONTROL!$C$15, $E$9, 100%, $G$9) + CHOOSE(CONTROL!$C$38, 0.0369, 0)</f>
        <v>47.007800000000003</v>
      </c>
      <c r="J630" s="44">
        <f>403.5949</f>
        <v>403.5949</v>
      </c>
    </row>
    <row r="631" spans="1:10" ht="15.75" x14ac:dyDescent="0.25">
      <c r="A631" s="32">
        <v>60145</v>
      </c>
      <c r="B631" s="14">
        <f>48.5369 * CHOOSE(CONTROL!$C$15, $E$9, 100%, $G$9) + CHOOSE(CONTROL!$C$38, 0.0278, 0)</f>
        <v>48.564700000000002</v>
      </c>
      <c r="C631" s="14">
        <f>45.8882 * CHOOSE(CONTROL!$C$15, $E$9, 100%, $G$9) + CHOOSE(CONTROL!$C$38, 0.0369, 0)</f>
        <v>45.9251</v>
      </c>
      <c r="D631" s="14">
        <f>45.8803 * CHOOSE(CONTROL!$C$15, $E$9, 100%, $G$9) + CHOOSE(CONTROL!$C$38, 0.0369, 0)</f>
        <v>45.917200000000001</v>
      </c>
      <c r="E631" s="46">
        <f>48.3806 * CHOOSE(CONTROL!$C$15, $E$9, 100%, $G$9) + CHOOSE(CONTROL!$C$38, 0.0369, 0)</f>
        <v>48.417500000000004</v>
      </c>
      <c r="F631" s="45">
        <f>48.3806 * CHOOSE(CONTROL!$C$15, $E$9, 100%, $G$9) + CHOOSE(CONTROL!$C$38, 0.0278, 0)</f>
        <v>48.4084</v>
      </c>
      <c r="G631" s="14">
        <f>45.8866 * CHOOSE(CONTROL!$C$15, $E$9, 100%, $G$9) + CHOOSE(CONTROL!$C$38, 0.0369, 0)</f>
        <v>45.923500000000004</v>
      </c>
      <c r="H631" s="14">
        <f>45.8866 * CHOOSE(CONTROL!$C$15, $E$9, 100%, $G$9) + CHOOSE(CONTROL!$C$38, 0.0369, 0)</f>
        <v>45.923500000000004</v>
      </c>
      <c r="I631" s="14">
        <f>45.8882 * CHOOSE(CONTROL!$C$15, $E$9, 100%, $G$9) + CHOOSE(CONTROL!$C$38, 0.0369, 0)</f>
        <v>45.9251</v>
      </c>
      <c r="J631" s="44">
        <f>394.1994</f>
        <v>394.19940000000003</v>
      </c>
    </row>
    <row r="632" spans="1:10" ht="15.75" x14ac:dyDescent="0.25">
      <c r="A632" s="32">
        <v>60175</v>
      </c>
      <c r="B632" s="14">
        <f>46.9441 * CHOOSE(CONTROL!$C$15, $E$9, 100%, $G$9) + CHOOSE(CONTROL!$C$38, 0.0278, 0)</f>
        <v>46.971899999999998</v>
      </c>
      <c r="C632" s="14">
        <f>44.3782 * CHOOSE(CONTROL!$C$15, $E$9, 100%, $G$9) + CHOOSE(CONTROL!$C$38, 0.0369, 0)</f>
        <v>44.415100000000002</v>
      </c>
      <c r="D632" s="14">
        <f>44.3704 * CHOOSE(CONTROL!$C$15, $E$9, 100%, $G$9) + CHOOSE(CONTROL!$C$38, 0.0369, 0)</f>
        <v>44.407299999999999</v>
      </c>
      <c r="E632" s="46">
        <f>46.7878 * CHOOSE(CONTROL!$C$15, $E$9, 100%, $G$9) + CHOOSE(CONTROL!$C$38, 0.0369, 0)</f>
        <v>46.8247</v>
      </c>
      <c r="F632" s="45">
        <f>46.7878 * CHOOSE(CONTROL!$C$15, $E$9, 100%, $G$9) + CHOOSE(CONTROL!$C$38, 0.0278, 0)</f>
        <v>46.815599999999996</v>
      </c>
      <c r="G632" s="14">
        <f>44.3767 * CHOOSE(CONTROL!$C$15, $E$9, 100%, $G$9) + CHOOSE(CONTROL!$C$38, 0.0369, 0)</f>
        <v>44.413600000000002</v>
      </c>
      <c r="H632" s="14">
        <f>44.3767 * CHOOSE(CONTROL!$C$15, $E$9, 100%, $G$9) + CHOOSE(CONTROL!$C$38, 0.0369, 0)</f>
        <v>44.413600000000002</v>
      </c>
      <c r="I632" s="14">
        <f>44.3782 * CHOOSE(CONTROL!$C$15, $E$9, 100%, $G$9) + CHOOSE(CONTROL!$C$38, 0.0369, 0)</f>
        <v>44.415100000000002</v>
      </c>
      <c r="J632" s="44">
        <f>381.0969</f>
        <v>381.09690000000001</v>
      </c>
    </row>
    <row r="633" spans="1:10" ht="15.75" x14ac:dyDescent="0.25">
      <c r="A633" s="32">
        <v>60206</v>
      </c>
      <c r="B633" s="14">
        <f>45.3421 * CHOOSE(CONTROL!$C$15, $E$9, 100%, $G$9) + CHOOSE(CONTROL!$C$38, 0.0256, 0)</f>
        <v>45.367699999999999</v>
      </c>
      <c r="C633" s="14">
        <f>42.8595 * CHOOSE(CONTROL!$C$15, $E$9, 100%, $G$9) + CHOOSE(CONTROL!$C$38, 0.0347, 0)</f>
        <v>42.894199999999998</v>
      </c>
      <c r="D633" s="14">
        <f>42.8517 * CHOOSE(CONTROL!$C$15, $E$9, 100%, $G$9) + CHOOSE(CONTROL!$C$38, 0.0347, 0)</f>
        <v>42.886400000000002</v>
      </c>
      <c r="E633" s="46">
        <f>45.1858 * CHOOSE(CONTROL!$C$15, $E$9, 100%, $G$9) + CHOOSE(CONTROL!$C$38, 0.0347, 0)</f>
        <v>45.220500000000001</v>
      </c>
      <c r="F633" s="45">
        <f>45.1858 * CHOOSE(CONTROL!$C$15, $E$9, 100%, $G$9) + CHOOSE(CONTROL!$C$38, 0.0256, 0)</f>
        <v>45.211399999999998</v>
      </c>
      <c r="G633" s="14">
        <f>42.858 * CHOOSE(CONTROL!$C$15, $E$9, 100%, $G$9) + CHOOSE(CONTROL!$C$38, 0.0347, 0)</f>
        <v>42.892699999999998</v>
      </c>
      <c r="H633" s="14">
        <f>42.858 * CHOOSE(CONTROL!$C$15, $E$9, 100%, $G$9) + CHOOSE(CONTROL!$C$38, 0.0347, 0)</f>
        <v>42.892699999999998</v>
      </c>
      <c r="I633" s="14">
        <f>42.8595 * CHOOSE(CONTROL!$C$15, $E$9, 100%, $G$9) + CHOOSE(CONTROL!$C$38, 0.0347, 0)</f>
        <v>42.894199999999998</v>
      </c>
      <c r="J633" s="44">
        <f>367.9181</f>
        <v>367.91809999999998</v>
      </c>
    </row>
    <row r="634" spans="1:10" ht="15.75" x14ac:dyDescent="0.25">
      <c r="A634" s="32">
        <v>60236</v>
      </c>
      <c r="B634" s="14">
        <f>45.0234 * CHOOSE(CONTROL!$C$15, $E$9, 100%, $G$9) + CHOOSE(CONTROL!$C$38, 0.0256, 0)</f>
        <v>45.048999999999999</v>
      </c>
      <c r="C634" s="14">
        <f>42.5574 * CHOOSE(CONTROL!$C$15, $E$9, 100%, $G$9) + CHOOSE(CONTROL!$C$38, 0.0347, 0)</f>
        <v>42.592100000000002</v>
      </c>
      <c r="D634" s="14">
        <f>42.5496 * CHOOSE(CONTROL!$C$15, $E$9, 100%, $G$9) + CHOOSE(CONTROL!$C$38, 0.0347, 0)</f>
        <v>42.584299999999999</v>
      </c>
      <c r="E634" s="46">
        <f>44.8671 * CHOOSE(CONTROL!$C$15, $E$9, 100%, $G$9) + CHOOSE(CONTROL!$C$38, 0.0347, 0)</f>
        <v>44.901800000000001</v>
      </c>
      <c r="F634" s="45">
        <f>44.8671 * CHOOSE(CONTROL!$C$15, $E$9, 100%, $G$9) + CHOOSE(CONTROL!$C$38, 0.0256, 0)</f>
        <v>44.892699999999998</v>
      </c>
      <c r="G634" s="14">
        <f>42.5559 * CHOOSE(CONTROL!$C$15, $E$9, 100%, $G$9) + CHOOSE(CONTROL!$C$38, 0.0347, 0)</f>
        <v>42.590600000000002</v>
      </c>
      <c r="H634" s="14">
        <f>42.5559 * CHOOSE(CONTROL!$C$15, $E$9, 100%, $G$9) + CHOOSE(CONTROL!$C$38, 0.0347, 0)</f>
        <v>42.590600000000002</v>
      </c>
      <c r="I634" s="14">
        <f>42.5574 * CHOOSE(CONTROL!$C$15, $E$9, 100%, $G$9) + CHOOSE(CONTROL!$C$38, 0.0347, 0)</f>
        <v>42.592100000000002</v>
      </c>
      <c r="J634" s="44">
        <f>365.2966</f>
        <v>365.29660000000001</v>
      </c>
    </row>
    <row r="635" spans="1:10" ht="15.75" x14ac:dyDescent="0.25">
      <c r="A635" s="32">
        <v>60267</v>
      </c>
      <c r="B635" s="14">
        <f>43.7056 * CHOOSE(CONTROL!$C$15, $E$9, 100%, $G$9) + CHOOSE(CONTROL!$C$38, 0.0256, 0)</f>
        <v>43.731199999999994</v>
      </c>
      <c r="C635" s="14">
        <f>41.3082 * CHOOSE(CONTROL!$C$15, $E$9, 100%, $G$9) + CHOOSE(CONTROL!$C$38, 0.0347, 0)</f>
        <v>41.3429</v>
      </c>
      <c r="D635" s="14">
        <f>41.3004 * CHOOSE(CONTROL!$C$15, $E$9, 100%, $G$9) + CHOOSE(CONTROL!$C$38, 0.0347, 0)</f>
        <v>41.335100000000004</v>
      </c>
      <c r="E635" s="46">
        <f>43.5494 * CHOOSE(CONTROL!$C$15, $E$9, 100%, $G$9) + CHOOSE(CONTROL!$C$38, 0.0347, 0)</f>
        <v>43.584099999999999</v>
      </c>
      <c r="F635" s="45">
        <f>43.5494 * CHOOSE(CONTROL!$C$15, $E$9, 100%, $G$9) + CHOOSE(CONTROL!$C$38, 0.0256, 0)</f>
        <v>43.574999999999996</v>
      </c>
      <c r="G635" s="14">
        <f>41.3067 * CHOOSE(CONTROL!$C$15, $E$9, 100%, $G$9) + CHOOSE(CONTROL!$C$38, 0.0347, 0)</f>
        <v>41.3414</v>
      </c>
      <c r="H635" s="14">
        <f>41.3067 * CHOOSE(CONTROL!$C$15, $E$9, 100%, $G$9) + CHOOSE(CONTROL!$C$38, 0.0347, 0)</f>
        <v>41.3414</v>
      </c>
      <c r="I635" s="14">
        <f>41.3082 * CHOOSE(CONTROL!$C$15, $E$9, 100%, $G$9) + CHOOSE(CONTROL!$C$38, 0.0347, 0)</f>
        <v>41.3429</v>
      </c>
      <c r="J635" s="44">
        <f>354.4564</f>
        <v>354.45639999999997</v>
      </c>
    </row>
    <row r="636" spans="1:10" ht="15.75" x14ac:dyDescent="0.25">
      <c r="A636" s="32">
        <v>60298</v>
      </c>
      <c r="B636" s="14">
        <f>43.3784 * CHOOSE(CONTROL!$C$15, $E$9, 100%, $G$9) + CHOOSE(CONTROL!$C$38, 0.0256, 0)</f>
        <v>43.403999999999996</v>
      </c>
      <c r="C636" s="14">
        <f>40.998 * CHOOSE(CONTROL!$C$15, $E$9, 100%, $G$9) + CHOOSE(CONTROL!$C$38, 0.0347, 0)</f>
        <v>41.032699999999998</v>
      </c>
      <c r="D636" s="14">
        <f>40.9902 * CHOOSE(CONTROL!$C$15, $E$9, 100%, $G$9) + CHOOSE(CONTROL!$C$38, 0.0347, 0)</f>
        <v>41.024900000000002</v>
      </c>
      <c r="E636" s="46">
        <f>43.2221 * CHOOSE(CONTROL!$C$15, $E$9, 100%, $G$9) + CHOOSE(CONTROL!$C$38, 0.0347, 0)</f>
        <v>43.256799999999998</v>
      </c>
      <c r="F636" s="45">
        <f>43.2221 * CHOOSE(CONTROL!$C$15, $E$9, 100%, $G$9) + CHOOSE(CONTROL!$C$38, 0.0256, 0)</f>
        <v>43.247699999999995</v>
      </c>
      <c r="G636" s="14">
        <f>40.9964 * CHOOSE(CONTROL!$C$15, $E$9, 100%, $G$9) + CHOOSE(CONTROL!$C$38, 0.0347, 0)</f>
        <v>41.031100000000002</v>
      </c>
      <c r="H636" s="14">
        <f>40.9964 * CHOOSE(CONTROL!$C$15, $E$9, 100%, $G$9) + CHOOSE(CONTROL!$C$38, 0.0347, 0)</f>
        <v>41.031100000000002</v>
      </c>
      <c r="I636" s="14">
        <f>40.998 * CHOOSE(CONTROL!$C$15, $E$9, 100%, $G$9) + CHOOSE(CONTROL!$C$38, 0.0347, 0)</f>
        <v>41.032699999999998</v>
      </c>
      <c r="J636" s="44">
        <f>354.2005</f>
        <v>354.20049999999998</v>
      </c>
    </row>
    <row r="637" spans="1:10" ht="15.75" x14ac:dyDescent="0.25">
      <c r="A637" s="32">
        <v>60326</v>
      </c>
      <c r="B637" s="14">
        <f>43.2595 * CHOOSE(CONTROL!$C$15, $E$9, 100%, $G$9) + CHOOSE(CONTROL!$C$38, 0.0256, 0)</f>
        <v>43.2851</v>
      </c>
      <c r="C637" s="14">
        <f>40.8853 * CHOOSE(CONTROL!$C$15, $E$9, 100%, $G$9) + CHOOSE(CONTROL!$C$38, 0.0347, 0)</f>
        <v>40.92</v>
      </c>
      <c r="D637" s="14">
        <f>40.8775 * CHOOSE(CONTROL!$C$15, $E$9, 100%, $G$9) + CHOOSE(CONTROL!$C$38, 0.0347, 0)</f>
        <v>40.912199999999999</v>
      </c>
      <c r="E637" s="46">
        <f>43.1033 * CHOOSE(CONTROL!$C$15, $E$9, 100%, $G$9) + CHOOSE(CONTROL!$C$38, 0.0347, 0)</f>
        <v>43.137999999999998</v>
      </c>
      <c r="F637" s="45">
        <f>43.1033 * CHOOSE(CONTROL!$C$15, $E$9, 100%, $G$9) + CHOOSE(CONTROL!$C$38, 0.0256, 0)</f>
        <v>43.128899999999994</v>
      </c>
      <c r="G637" s="14">
        <f>40.8837 * CHOOSE(CONTROL!$C$15, $E$9, 100%, $G$9) + CHOOSE(CONTROL!$C$38, 0.0347, 0)</f>
        <v>40.918399999999998</v>
      </c>
      <c r="H637" s="14">
        <f>40.8837 * CHOOSE(CONTROL!$C$15, $E$9, 100%, $G$9) + CHOOSE(CONTROL!$C$38, 0.0347, 0)</f>
        <v>40.918399999999998</v>
      </c>
      <c r="I637" s="14">
        <f>40.8853 * CHOOSE(CONTROL!$C$15, $E$9, 100%, $G$9) + CHOOSE(CONTROL!$C$38, 0.0347, 0)</f>
        <v>40.92</v>
      </c>
      <c r="J637" s="44">
        <f>353.216</f>
        <v>353.21600000000001</v>
      </c>
    </row>
    <row r="638" spans="1:10" ht="15.75" x14ac:dyDescent="0.25">
      <c r="A638" s="32">
        <v>60357</v>
      </c>
      <c r="B638" s="14">
        <f>45.507 * CHOOSE(CONTROL!$C$15, $E$9, 100%, $G$9) + CHOOSE(CONTROL!$C$38, 0.0256, 0)</f>
        <v>45.532599999999995</v>
      </c>
      <c r="C638" s="14">
        <f>43.0159 * CHOOSE(CONTROL!$C$15, $E$9, 100%, $G$9) + CHOOSE(CONTROL!$C$38, 0.0347, 0)</f>
        <v>43.050600000000003</v>
      </c>
      <c r="D638" s="14">
        <f>43.0081 * CHOOSE(CONTROL!$C$15, $E$9, 100%, $G$9) + CHOOSE(CONTROL!$C$38, 0.0347, 0)</f>
        <v>43.0428</v>
      </c>
      <c r="E638" s="46">
        <f>45.3508 * CHOOSE(CONTROL!$C$15, $E$9, 100%, $G$9) + CHOOSE(CONTROL!$C$38, 0.0347, 0)</f>
        <v>45.3855</v>
      </c>
      <c r="F638" s="45">
        <f>45.3508 * CHOOSE(CONTROL!$C$15, $E$9, 100%, $G$9) + CHOOSE(CONTROL!$C$38, 0.0256, 0)</f>
        <v>45.376399999999997</v>
      </c>
      <c r="G638" s="14">
        <f>43.0143 * CHOOSE(CONTROL!$C$15, $E$9, 100%, $G$9) + CHOOSE(CONTROL!$C$38, 0.0347, 0)</f>
        <v>43.048999999999999</v>
      </c>
      <c r="H638" s="14">
        <f>43.0143 * CHOOSE(CONTROL!$C$15, $E$9, 100%, $G$9) + CHOOSE(CONTROL!$C$38, 0.0347, 0)</f>
        <v>43.048999999999999</v>
      </c>
      <c r="I638" s="14">
        <f>43.0159 * CHOOSE(CONTROL!$C$15, $E$9, 100%, $G$9) + CHOOSE(CONTROL!$C$38, 0.0347, 0)</f>
        <v>43.050600000000003</v>
      </c>
      <c r="J638" s="44">
        <f>371.8325</f>
        <v>371.83249999999998</v>
      </c>
    </row>
    <row r="639" spans="1:10" ht="15.75" x14ac:dyDescent="0.25">
      <c r="A639" s="32">
        <v>60387</v>
      </c>
      <c r="B639" s="14">
        <f>48.4215 * CHOOSE(CONTROL!$C$15, $E$9, 100%, $G$9) + CHOOSE(CONTROL!$C$38, 0.0256, 0)</f>
        <v>48.447099999999999</v>
      </c>
      <c r="C639" s="14">
        <f>45.7788 * CHOOSE(CONTROL!$C$15, $E$9, 100%, $G$9) + CHOOSE(CONTROL!$C$38, 0.0347, 0)</f>
        <v>45.813499999999998</v>
      </c>
      <c r="D639" s="14">
        <f>45.771 * CHOOSE(CONTROL!$C$15, $E$9, 100%, $G$9) + CHOOSE(CONTROL!$C$38, 0.0347, 0)</f>
        <v>45.805700000000002</v>
      </c>
      <c r="E639" s="46">
        <f>48.2652 * CHOOSE(CONTROL!$C$15, $E$9, 100%, $G$9) + CHOOSE(CONTROL!$C$38, 0.0347, 0)</f>
        <v>48.299900000000001</v>
      </c>
      <c r="F639" s="45">
        <f>48.2652 * CHOOSE(CONTROL!$C$15, $E$9, 100%, $G$9) + CHOOSE(CONTROL!$C$38, 0.0256, 0)</f>
        <v>48.290799999999997</v>
      </c>
      <c r="G639" s="14">
        <f>45.7772 * CHOOSE(CONTROL!$C$15, $E$9, 100%, $G$9) + CHOOSE(CONTROL!$C$38, 0.0347, 0)</f>
        <v>45.811900000000001</v>
      </c>
      <c r="H639" s="14">
        <f>45.7772 * CHOOSE(CONTROL!$C$15, $E$9, 100%, $G$9) + CHOOSE(CONTROL!$C$38, 0.0347, 0)</f>
        <v>45.811900000000001</v>
      </c>
      <c r="I639" s="14">
        <f>45.7788 * CHOOSE(CONTROL!$C$15, $E$9, 100%, $G$9) + CHOOSE(CONTROL!$C$38, 0.0347, 0)</f>
        <v>45.813499999999998</v>
      </c>
      <c r="J639" s="44">
        <f>395.9737</f>
        <v>395.97370000000001</v>
      </c>
    </row>
    <row r="640" spans="1:10" ht="15.75" x14ac:dyDescent="0.25">
      <c r="A640" s="32">
        <v>60418</v>
      </c>
      <c r="B640" s="14">
        <f>50.0257 * CHOOSE(CONTROL!$C$15, $E$9, 100%, $G$9) + CHOOSE(CONTROL!$C$38, 0.0278, 0)</f>
        <v>50.0535</v>
      </c>
      <c r="C640" s="14">
        <f>47.2996 * CHOOSE(CONTROL!$C$15, $E$9, 100%, $G$9) + CHOOSE(CONTROL!$C$38, 0.0369, 0)</f>
        <v>47.336500000000001</v>
      </c>
      <c r="D640" s="14">
        <f>47.2917 * CHOOSE(CONTROL!$C$15, $E$9, 100%, $G$9) + CHOOSE(CONTROL!$C$38, 0.0369, 0)</f>
        <v>47.328600000000002</v>
      </c>
      <c r="E640" s="46">
        <f>49.8695 * CHOOSE(CONTROL!$C$15, $E$9, 100%, $G$9) + CHOOSE(CONTROL!$C$38, 0.0369, 0)</f>
        <v>49.906400000000005</v>
      </c>
      <c r="F640" s="45">
        <f>49.8695 * CHOOSE(CONTROL!$C$15, $E$9, 100%, $G$9) + CHOOSE(CONTROL!$C$38, 0.0278, 0)</f>
        <v>49.897300000000001</v>
      </c>
      <c r="G640" s="14">
        <f>47.298 * CHOOSE(CONTROL!$C$15, $E$9, 100%, $G$9) + CHOOSE(CONTROL!$C$38, 0.0369, 0)</f>
        <v>47.334900000000005</v>
      </c>
      <c r="H640" s="14">
        <f>47.298 * CHOOSE(CONTROL!$C$15, $E$9, 100%, $G$9) + CHOOSE(CONTROL!$C$38, 0.0369, 0)</f>
        <v>47.334900000000005</v>
      </c>
      <c r="I640" s="14">
        <f>47.2996 * CHOOSE(CONTROL!$C$15, $E$9, 100%, $G$9) + CHOOSE(CONTROL!$C$38, 0.0369, 0)</f>
        <v>47.336500000000001</v>
      </c>
      <c r="J640" s="44">
        <f>409.2618</f>
        <v>409.26179999999999</v>
      </c>
    </row>
    <row r="641" spans="1:10" ht="15.75" x14ac:dyDescent="0.25">
      <c r="A641" s="32">
        <v>60448</v>
      </c>
      <c r="B641" s="14">
        <f>50.7376 * CHOOSE(CONTROL!$C$15, $E$9, 100%, $G$9) + CHOOSE(CONTROL!$C$38, 0.0278, 0)</f>
        <v>50.7654</v>
      </c>
      <c r="C641" s="14">
        <f>47.9745 * CHOOSE(CONTROL!$C$15, $E$9, 100%, $G$9) + CHOOSE(CONTROL!$C$38, 0.0369, 0)</f>
        <v>48.011400000000002</v>
      </c>
      <c r="D641" s="14">
        <f>47.9666 * CHOOSE(CONTROL!$C$15, $E$9, 100%, $G$9) + CHOOSE(CONTROL!$C$38, 0.0369, 0)</f>
        <v>48.003500000000003</v>
      </c>
      <c r="E641" s="46">
        <f>50.5814 * CHOOSE(CONTROL!$C$15, $E$9, 100%, $G$9) + CHOOSE(CONTROL!$C$38, 0.0369, 0)</f>
        <v>50.618300000000005</v>
      </c>
      <c r="F641" s="45">
        <f>50.5814 * CHOOSE(CONTROL!$C$15, $E$9, 100%, $G$9) + CHOOSE(CONTROL!$C$38, 0.0278, 0)</f>
        <v>50.609200000000001</v>
      </c>
      <c r="G641" s="14">
        <f>47.9729 * CHOOSE(CONTROL!$C$15, $E$9, 100%, $G$9) + CHOOSE(CONTROL!$C$38, 0.0369, 0)</f>
        <v>48.009800000000006</v>
      </c>
      <c r="H641" s="14">
        <f>47.9729 * CHOOSE(CONTROL!$C$15, $E$9, 100%, $G$9) + CHOOSE(CONTROL!$C$38, 0.0369, 0)</f>
        <v>48.009800000000006</v>
      </c>
      <c r="I641" s="14">
        <f>47.9745 * CHOOSE(CONTROL!$C$15, $E$9, 100%, $G$9) + CHOOSE(CONTROL!$C$38, 0.0369, 0)</f>
        <v>48.011400000000002</v>
      </c>
      <c r="J641" s="44">
        <f>415.1588</f>
        <v>415.15879999999999</v>
      </c>
    </row>
    <row r="642" spans="1:10" ht="15.75" x14ac:dyDescent="0.25">
      <c r="A642" s="32">
        <v>60479</v>
      </c>
      <c r="B642" s="14">
        <f>50.5032 * CHOOSE(CONTROL!$C$15, $E$9, 100%, $G$9) + CHOOSE(CONTROL!$C$38, 0.0278, 0)</f>
        <v>50.530999999999999</v>
      </c>
      <c r="C642" s="14">
        <f>47.7522 * CHOOSE(CONTROL!$C$15, $E$9, 100%, $G$9) + CHOOSE(CONTROL!$C$38, 0.0369, 0)</f>
        <v>47.789100000000005</v>
      </c>
      <c r="D642" s="14">
        <f>47.7444 * CHOOSE(CONTROL!$C$15, $E$9, 100%, $G$9) + CHOOSE(CONTROL!$C$38, 0.0369, 0)</f>
        <v>47.781300000000002</v>
      </c>
      <c r="E642" s="46">
        <f>50.347 * CHOOSE(CONTROL!$C$15, $E$9, 100%, $G$9) + CHOOSE(CONTROL!$C$38, 0.0369, 0)</f>
        <v>50.383900000000004</v>
      </c>
      <c r="F642" s="45">
        <f>50.347 * CHOOSE(CONTROL!$C$15, $E$9, 100%, $G$9) + CHOOSE(CONTROL!$C$38, 0.0278, 0)</f>
        <v>50.3748</v>
      </c>
      <c r="G642" s="14">
        <f>47.7507 * CHOOSE(CONTROL!$C$15, $E$9, 100%, $G$9) + CHOOSE(CONTROL!$C$38, 0.0369, 0)</f>
        <v>47.787600000000005</v>
      </c>
      <c r="H642" s="14">
        <f>47.7507 * CHOOSE(CONTROL!$C$15, $E$9, 100%, $G$9) + CHOOSE(CONTROL!$C$38, 0.0369, 0)</f>
        <v>47.787600000000005</v>
      </c>
      <c r="I642" s="14">
        <f>47.7522 * CHOOSE(CONTROL!$C$15, $E$9, 100%, $G$9) + CHOOSE(CONTROL!$C$38, 0.0369, 0)</f>
        <v>47.789100000000005</v>
      </c>
      <c r="J642" s="44">
        <f>413.2172</f>
        <v>413.21719999999999</v>
      </c>
    </row>
    <row r="643" spans="1:10" ht="15.75" x14ac:dyDescent="0.25">
      <c r="A643" s="32">
        <v>60510</v>
      </c>
      <c r="B643" s="14">
        <f>49.3419 * CHOOSE(CONTROL!$C$15, $E$9, 100%, $G$9) + CHOOSE(CONTROL!$C$38, 0.0278, 0)</f>
        <v>49.369700000000002</v>
      </c>
      <c r="C643" s="14">
        <f>46.6513 * CHOOSE(CONTROL!$C$15, $E$9, 100%, $G$9) + CHOOSE(CONTROL!$C$38, 0.0369, 0)</f>
        <v>46.688200000000002</v>
      </c>
      <c r="D643" s="14">
        <f>46.6435 * CHOOSE(CONTROL!$C$15, $E$9, 100%, $G$9) + CHOOSE(CONTROL!$C$38, 0.0369, 0)</f>
        <v>46.680400000000006</v>
      </c>
      <c r="E643" s="46">
        <f>49.1856 * CHOOSE(CONTROL!$C$15, $E$9, 100%, $G$9) + CHOOSE(CONTROL!$C$38, 0.0369, 0)</f>
        <v>49.222500000000004</v>
      </c>
      <c r="F643" s="45">
        <f>49.1856 * CHOOSE(CONTROL!$C$15, $E$9, 100%, $G$9) + CHOOSE(CONTROL!$C$38, 0.0278, 0)</f>
        <v>49.2134</v>
      </c>
      <c r="G643" s="14">
        <f>46.6498 * CHOOSE(CONTROL!$C$15, $E$9, 100%, $G$9) + CHOOSE(CONTROL!$C$38, 0.0369, 0)</f>
        <v>46.686700000000002</v>
      </c>
      <c r="H643" s="14">
        <f>46.6498 * CHOOSE(CONTROL!$C$15, $E$9, 100%, $G$9) + CHOOSE(CONTROL!$C$38, 0.0369, 0)</f>
        <v>46.686700000000002</v>
      </c>
      <c r="I643" s="14">
        <f>46.6513 * CHOOSE(CONTROL!$C$15, $E$9, 100%, $G$9) + CHOOSE(CONTROL!$C$38, 0.0369, 0)</f>
        <v>46.688200000000002</v>
      </c>
      <c r="J643" s="44">
        <f>403.5977</f>
        <v>403.59769999999997</v>
      </c>
    </row>
    <row r="644" spans="1:10" ht="15.75" x14ac:dyDescent="0.25">
      <c r="A644" s="32">
        <v>60540</v>
      </c>
      <c r="B644" s="14">
        <f>47.7224 * CHOOSE(CONTROL!$C$15, $E$9, 100%, $G$9) + CHOOSE(CONTROL!$C$38, 0.0278, 0)</f>
        <v>47.7502</v>
      </c>
      <c r="C644" s="14">
        <f>45.116 * CHOOSE(CONTROL!$C$15, $E$9, 100%, $G$9) + CHOOSE(CONTROL!$C$38, 0.0369, 0)</f>
        <v>45.152900000000002</v>
      </c>
      <c r="D644" s="14">
        <f>45.1082 * CHOOSE(CONTROL!$C$15, $E$9, 100%, $G$9) + CHOOSE(CONTROL!$C$38, 0.0369, 0)</f>
        <v>45.145099999999999</v>
      </c>
      <c r="E644" s="46">
        <f>47.5661 * CHOOSE(CONTROL!$C$15, $E$9, 100%, $G$9) + CHOOSE(CONTROL!$C$38, 0.0369, 0)</f>
        <v>47.603000000000002</v>
      </c>
      <c r="F644" s="45">
        <f>47.5661 * CHOOSE(CONTROL!$C$15, $E$9, 100%, $G$9) + CHOOSE(CONTROL!$C$38, 0.0278, 0)</f>
        <v>47.593899999999998</v>
      </c>
      <c r="G644" s="14">
        <f>45.1145 * CHOOSE(CONTROL!$C$15, $E$9, 100%, $G$9) + CHOOSE(CONTROL!$C$38, 0.0369, 0)</f>
        <v>45.151400000000002</v>
      </c>
      <c r="H644" s="14">
        <f>45.1145 * CHOOSE(CONTROL!$C$15, $E$9, 100%, $G$9) + CHOOSE(CONTROL!$C$38, 0.0369, 0)</f>
        <v>45.151400000000002</v>
      </c>
      <c r="I644" s="14">
        <f>45.116 * CHOOSE(CONTROL!$C$15, $E$9, 100%, $G$9) + CHOOSE(CONTROL!$C$38, 0.0369, 0)</f>
        <v>45.152900000000002</v>
      </c>
      <c r="J644" s="44">
        <f>390.1828</f>
        <v>390.18279999999999</v>
      </c>
    </row>
    <row r="645" spans="1:10" ht="15.75" x14ac:dyDescent="0.25">
      <c r="A645" s="32">
        <v>60571</v>
      </c>
      <c r="B645" s="14">
        <f>46.0934 * CHOOSE(CONTROL!$C$15, $E$9, 100%, $G$9) + CHOOSE(CONTROL!$C$38, 0.0256, 0)</f>
        <v>46.119</v>
      </c>
      <c r="C645" s="14">
        <f>43.5718 * CHOOSE(CONTROL!$C$15, $E$9, 100%, $G$9) + CHOOSE(CONTROL!$C$38, 0.0347, 0)</f>
        <v>43.606500000000004</v>
      </c>
      <c r="D645" s="14">
        <f>43.564 * CHOOSE(CONTROL!$C$15, $E$9, 100%, $G$9) + CHOOSE(CONTROL!$C$38, 0.0347, 0)</f>
        <v>43.598700000000001</v>
      </c>
      <c r="E645" s="46">
        <f>45.9372 * CHOOSE(CONTROL!$C$15, $E$9, 100%, $G$9) + CHOOSE(CONTROL!$C$38, 0.0347, 0)</f>
        <v>45.971899999999998</v>
      </c>
      <c r="F645" s="45">
        <f>45.9372 * CHOOSE(CONTROL!$C$15, $E$9, 100%, $G$9) + CHOOSE(CONTROL!$C$38, 0.0256, 0)</f>
        <v>45.962799999999994</v>
      </c>
      <c r="G645" s="14">
        <f>43.5703 * CHOOSE(CONTROL!$C$15, $E$9, 100%, $G$9) + CHOOSE(CONTROL!$C$38, 0.0347, 0)</f>
        <v>43.605000000000004</v>
      </c>
      <c r="H645" s="14">
        <f>43.5703 * CHOOSE(CONTROL!$C$15, $E$9, 100%, $G$9) + CHOOSE(CONTROL!$C$38, 0.0347, 0)</f>
        <v>43.605000000000004</v>
      </c>
      <c r="I645" s="14">
        <f>43.5718 * CHOOSE(CONTROL!$C$15, $E$9, 100%, $G$9) + CHOOSE(CONTROL!$C$38, 0.0347, 0)</f>
        <v>43.606500000000004</v>
      </c>
      <c r="J645" s="44">
        <f>376.6899</f>
        <v>376.68990000000002</v>
      </c>
    </row>
    <row r="646" spans="1:10" ht="15.75" x14ac:dyDescent="0.25">
      <c r="A646" s="32">
        <v>60601</v>
      </c>
      <c r="B646" s="14">
        <f>45.7694 * CHOOSE(CONTROL!$C$15, $E$9, 100%, $G$9) + CHOOSE(CONTROL!$C$38, 0.0256, 0)</f>
        <v>45.794999999999995</v>
      </c>
      <c r="C646" s="14">
        <f>43.2646 * CHOOSE(CONTROL!$C$15, $E$9, 100%, $G$9) + CHOOSE(CONTROL!$C$38, 0.0347, 0)</f>
        <v>43.299300000000002</v>
      </c>
      <c r="D646" s="14">
        <f>43.2568 * CHOOSE(CONTROL!$C$15, $E$9, 100%, $G$9) + CHOOSE(CONTROL!$C$38, 0.0347, 0)</f>
        <v>43.291499999999999</v>
      </c>
      <c r="E646" s="46">
        <f>45.6131 * CHOOSE(CONTROL!$C$15, $E$9, 100%, $G$9) + CHOOSE(CONTROL!$C$38, 0.0347, 0)</f>
        <v>45.647800000000004</v>
      </c>
      <c r="F646" s="45">
        <f>45.6131 * CHOOSE(CONTROL!$C$15, $E$9, 100%, $G$9) + CHOOSE(CONTROL!$C$38, 0.0256, 0)</f>
        <v>45.6387</v>
      </c>
      <c r="G646" s="14">
        <f>43.2631 * CHOOSE(CONTROL!$C$15, $E$9, 100%, $G$9) + CHOOSE(CONTROL!$C$38, 0.0347, 0)</f>
        <v>43.297800000000002</v>
      </c>
      <c r="H646" s="14">
        <f>43.2631 * CHOOSE(CONTROL!$C$15, $E$9, 100%, $G$9) + CHOOSE(CONTROL!$C$38, 0.0347, 0)</f>
        <v>43.297800000000002</v>
      </c>
      <c r="I646" s="14">
        <f>43.2646 * CHOOSE(CONTROL!$C$15, $E$9, 100%, $G$9) + CHOOSE(CONTROL!$C$38, 0.0347, 0)</f>
        <v>43.299300000000002</v>
      </c>
      <c r="J646" s="44">
        <f>374.0059</f>
        <v>374.0059</v>
      </c>
    </row>
    <row r="647" spans="1:10" ht="15.75" x14ac:dyDescent="0.25">
      <c r="A647" s="32">
        <v>60632</v>
      </c>
      <c r="B647" s="14">
        <f>44.4295 * CHOOSE(CONTROL!$C$15, $E$9, 100%, $G$9) + CHOOSE(CONTROL!$C$38, 0.0256, 0)</f>
        <v>44.455099999999995</v>
      </c>
      <c r="C647" s="14">
        <f>41.9944 * CHOOSE(CONTROL!$C$15, $E$9, 100%, $G$9) + CHOOSE(CONTROL!$C$38, 0.0347, 0)</f>
        <v>42.0291</v>
      </c>
      <c r="D647" s="14">
        <f>41.9866 * CHOOSE(CONTROL!$C$15, $E$9, 100%, $G$9) + CHOOSE(CONTROL!$C$38, 0.0347, 0)</f>
        <v>42.021300000000004</v>
      </c>
      <c r="E647" s="46">
        <f>44.2733 * CHOOSE(CONTROL!$C$15, $E$9, 100%, $G$9) + CHOOSE(CONTROL!$C$38, 0.0347, 0)</f>
        <v>44.308</v>
      </c>
      <c r="F647" s="45">
        <f>44.2733 * CHOOSE(CONTROL!$C$15, $E$9, 100%, $G$9) + CHOOSE(CONTROL!$C$38, 0.0256, 0)</f>
        <v>44.298899999999996</v>
      </c>
      <c r="G647" s="14">
        <f>41.9929 * CHOOSE(CONTROL!$C$15, $E$9, 100%, $G$9) + CHOOSE(CONTROL!$C$38, 0.0347, 0)</f>
        <v>42.0276</v>
      </c>
      <c r="H647" s="14">
        <f>41.9929 * CHOOSE(CONTROL!$C$15, $E$9, 100%, $G$9) + CHOOSE(CONTROL!$C$38, 0.0347, 0)</f>
        <v>42.0276</v>
      </c>
      <c r="I647" s="14">
        <f>41.9944 * CHOOSE(CONTROL!$C$15, $E$9, 100%, $G$9) + CHOOSE(CONTROL!$C$38, 0.0347, 0)</f>
        <v>42.0291</v>
      </c>
      <c r="J647" s="44">
        <f>362.9072</f>
        <v>362.90719999999999</v>
      </c>
    </row>
    <row r="648" spans="1:10" ht="15.75" x14ac:dyDescent="0.25">
      <c r="A648" s="32">
        <v>60663</v>
      </c>
      <c r="B648" s="14">
        <f>44.0968 * CHOOSE(CONTROL!$C$15, $E$9, 100%, $G$9) + CHOOSE(CONTROL!$C$38, 0.0256, 0)</f>
        <v>44.122399999999999</v>
      </c>
      <c r="C648" s="14">
        <f>41.679 * CHOOSE(CONTROL!$C$15, $E$9, 100%, $G$9) + CHOOSE(CONTROL!$C$38, 0.0347, 0)</f>
        <v>41.713700000000003</v>
      </c>
      <c r="D648" s="14">
        <f>41.6712 * CHOOSE(CONTROL!$C$15, $E$9, 100%, $G$9) + CHOOSE(CONTROL!$C$38, 0.0347, 0)</f>
        <v>41.7059</v>
      </c>
      <c r="E648" s="46">
        <f>43.9405 * CHOOSE(CONTROL!$C$15, $E$9, 100%, $G$9) + CHOOSE(CONTROL!$C$38, 0.0347, 0)</f>
        <v>43.975200000000001</v>
      </c>
      <c r="F648" s="45">
        <f>43.9405 * CHOOSE(CONTROL!$C$15, $E$9, 100%, $G$9) + CHOOSE(CONTROL!$C$38, 0.0256, 0)</f>
        <v>43.966099999999997</v>
      </c>
      <c r="G648" s="14">
        <f>41.6774 * CHOOSE(CONTROL!$C$15, $E$9, 100%, $G$9) + CHOOSE(CONTROL!$C$38, 0.0347, 0)</f>
        <v>41.7121</v>
      </c>
      <c r="H648" s="14">
        <f>41.6774 * CHOOSE(CONTROL!$C$15, $E$9, 100%, $G$9) + CHOOSE(CONTROL!$C$38, 0.0347, 0)</f>
        <v>41.7121</v>
      </c>
      <c r="I648" s="14">
        <f>41.679 * CHOOSE(CONTROL!$C$15, $E$9, 100%, $G$9) + CHOOSE(CONTROL!$C$38, 0.0347, 0)</f>
        <v>41.713700000000003</v>
      </c>
      <c r="J648" s="44">
        <f>362.6452</f>
        <v>362.64519999999999</v>
      </c>
    </row>
    <row r="649" spans="1:10" ht="15.75" x14ac:dyDescent="0.25">
      <c r="A649" s="32">
        <v>60691</v>
      </c>
      <c r="B649" s="14">
        <f>43.9759 * CHOOSE(CONTROL!$C$15, $E$9, 100%, $G$9) + CHOOSE(CONTROL!$C$38, 0.0256, 0)</f>
        <v>44.0015</v>
      </c>
      <c r="C649" s="14">
        <f>41.5644 * CHOOSE(CONTROL!$C$15, $E$9, 100%, $G$9) + CHOOSE(CONTROL!$C$38, 0.0347, 0)</f>
        <v>41.5991</v>
      </c>
      <c r="D649" s="14">
        <f>41.5566 * CHOOSE(CONTROL!$C$15, $E$9, 100%, $G$9) + CHOOSE(CONTROL!$C$38, 0.0347, 0)</f>
        <v>41.591300000000004</v>
      </c>
      <c r="E649" s="46">
        <f>43.8196 * CHOOSE(CONTROL!$C$15, $E$9, 100%, $G$9) + CHOOSE(CONTROL!$C$38, 0.0347, 0)</f>
        <v>43.854300000000002</v>
      </c>
      <c r="F649" s="45">
        <f>43.8196 * CHOOSE(CONTROL!$C$15, $E$9, 100%, $G$9) + CHOOSE(CONTROL!$C$38, 0.0256, 0)</f>
        <v>43.845199999999998</v>
      </c>
      <c r="G649" s="14">
        <f>41.5629 * CHOOSE(CONTROL!$C$15, $E$9, 100%, $G$9) + CHOOSE(CONTROL!$C$38, 0.0347, 0)</f>
        <v>41.5976</v>
      </c>
      <c r="H649" s="14">
        <f>41.5629 * CHOOSE(CONTROL!$C$15, $E$9, 100%, $G$9) + CHOOSE(CONTROL!$C$38, 0.0347, 0)</f>
        <v>41.5976</v>
      </c>
      <c r="I649" s="14">
        <f>41.5644 * CHOOSE(CONTROL!$C$15, $E$9, 100%, $G$9) + CHOOSE(CONTROL!$C$38, 0.0347, 0)</f>
        <v>41.5991</v>
      </c>
      <c r="J649" s="44">
        <f>361.6372</f>
        <v>361.63720000000001</v>
      </c>
    </row>
    <row r="650" spans="1:10" ht="15.75" x14ac:dyDescent="0.25">
      <c r="A650" s="32">
        <v>60722</v>
      </c>
      <c r="B650" s="14">
        <f>46.2612 * CHOOSE(CONTROL!$C$15, $E$9, 100%, $G$9) + CHOOSE(CONTROL!$C$38, 0.0256, 0)</f>
        <v>46.286799999999999</v>
      </c>
      <c r="C650" s="14">
        <f>43.7308 * CHOOSE(CONTROL!$C$15, $E$9, 100%, $G$9) + CHOOSE(CONTROL!$C$38, 0.0347, 0)</f>
        <v>43.765500000000003</v>
      </c>
      <c r="D650" s="14">
        <f>43.723 * CHOOSE(CONTROL!$C$15, $E$9, 100%, $G$9) + CHOOSE(CONTROL!$C$38, 0.0347, 0)</f>
        <v>43.7577</v>
      </c>
      <c r="E650" s="46">
        <f>46.1049 * CHOOSE(CONTROL!$C$15, $E$9, 100%, $G$9) + CHOOSE(CONTROL!$C$38, 0.0347, 0)</f>
        <v>46.139600000000002</v>
      </c>
      <c r="F650" s="45">
        <f>46.1049 * CHOOSE(CONTROL!$C$15, $E$9, 100%, $G$9) + CHOOSE(CONTROL!$C$38, 0.0256, 0)</f>
        <v>46.130499999999998</v>
      </c>
      <c r="G650" s="14">
        <f>43.7293 * CHOOSE(CONTROL!$C$15, $E$9, 100%, $G$9) + CHOOSE(CONTROL!$C$38, 0.0347, 0)</f>
        <v>43.764000000000003</v>
      </c>
      <c r="H650" s="14">
        <f>43.7293 * CHOOSE(CONTROL!$C$15, $E$9, 100%, $G$9) + CHOOSE(CONTROL!$C$38, 0.0347, 0)</f>
        <v>43.764000000000003</v>
      </c>
      <c r="I650" s="14">
        <f>43.7308 * CHOOSE(CONTROL!$C$15, $E$9, 100%, $G$9) + CHOOSE(CONTROL!$C$38, 0.0347, 0)</f>
        <v>43.765500000000003</v>
      </c>
      <c r="J650" s="44">
        <f>380.6975</f>
        <v>380.69749999999999</v>
      </c>
    </row>
    <row r="651" spans="1:10" ht="15.75" x14ac:dyDescent="0.25">
      <c r="A651" s="32">
        <v>60752</v>
      </c>
      <c r="B651" s="14">
        <f>49.2246 * CHOOSE(CONTROL!$C$15, $E$9, 100%, $G$9) + CHOOSE(CONTROL!$C$38, 0.0256, 0)</f>
        <v>49.2502</v>
      </c>
      <c r="C651" s="14">
        <f>46.5401 * CHOOSE(CONTROL!$C$15, $E$9, 100%, $G$9) + CHOOSE(CONTROL!$C$38, 0.0347, 0)</f>
        <v>46.574800000000003</v>
      </c>
      <c r="D651" s="14">
        <f>46.5323 * CHOOSE(CONTROL!$C$15, $E$9, 100%, $G$9) + CHOOSE(CONTROL!$C$38, 0.0347, 0)</f>
        <v>46.567</v>
      </c>
      <c r="E651" s="46">
        <f>49.0683 * CHOOSE(CONTROL!$C$15, $E$9, 100%, $G$9) + CHOOSE(CONTROL!$C$38, 0.0347, 0)</f>
        <v>49.103000000000002</v>
      </c>
      <c r="F651" s="45">
        <f>49.0683 * CHOOSE(CONTROL!$C$15, $E$9, 100%, $G$9) + CHOOSE(CONTROL!$C$38, 0.0256, 0)</f>
        <v>49.093899999999998</v>
      </c>
      <c r="G651" s="14">
        <f>46.5385 * CHOOSE(CONTROL!$C$15, $E$9, 100%, $G$9) + CHOOSE(CONTROL!$C$38, 0.0347, 0)</f>
        <v>46.5732</v>
      </c>
      <c r="H651" s="14">
        <f>46.5385 * CHOOSE(CONTROL!$C$15, $E$9, 100%, $G$9) + CHOOSE(CONTROL!$C$38, 0.0347, 0)</f>
        <v>46.5732</v>
      </c>
      <c r="I651" s="14">
        <f>46.5401 * CHOOSE(CONTROL!$C$15, $E$9, 100%, $G$9) + CHOOSE(CONTROL!$C$38, 0.0347, 0)</f>
        <v>46.574800000000003</v>
      </c>
      <c r="J651" s="44">
        <f>405.4143</f>
        <v>405.41430000000003</v>
      </c>
    </row>
    <row r="652" spans="1:10" ht="15.75" x14ac:dyDescent="0.25">
      <c r="A652" s="32">
        <v>60783</v>
      </c>
      <c r="B652" s="14">
        <f>50.8558 * CHOOSE(CONTROL!$C$15, $E$9, 100%, $G$9) + CHOOSE(CONTROL!$C$38, 0.0278, 0)</f>
        <v>50.883600000000001</v>
      </c>
      <c r="C652" s="14">
        <f>48.0864 * CHOOSE(CONTROL!$C$15, $E$9, 100%, $G$9) + CHOOSE(CONTROL!$C$38, 0.0369, 0)</f>
        <v>48.1233</v>
      </c>
      <c r="D652" s="14">
        <f>48.0786 * CHOOSE(CONTROL!$C$15, $E$9, 100%, $G$9) + CHOOSE(CONTROL!$C$38, 0.0369, 0)</f>
        <v>48.115500000000004</v>
      </c>
      <c r="E652" s="46">
        <f>50.6995 * CHOOSE(CONTROL!$C$15, $E$9, 100%, $G$9) + CHOOSE(CONTROL!$C$38, 0.0369, 0)</f>
        <v>50.736400000000003</v>
      </c>
      <c r="F652" s="45">
        <f>50.6995 * CHOOSE(CONTROL!$C$15, $E$9, 100%, $G$9) + CHOOSE(CONTROL!$C$38, 0.0278, 0)</f>
        <v>50.7273</v>
      </c>
      <c r="G652" s="14">
        <f>48.0849 * CHOOSE(CONTROL!$C$15, $E$9, 100%, $G$9) + CHOOSE(CONTROL!$C$38, 0.0369, 0)</f>
        <v>48.1218</v>
      </c>
      <c r="H652" s="14">
        <f>48.0849 * CHOOSE(CONTROL!$C$15, $E$9, 100%, $G$9) + CHOOSE(CONTROL!$C$38, 0.0369, 0)</f>
        <v>48.1218</v>
      </c>
      <c r="I652" s="14">
        <f>48.0864 * CHOOSE(CONTROL!$C$15, $E$9, 100%, $G$9) + CHOOSE(CONTROL!$C$38, 0.0369, 0)</f>
        <v>48.1233</v>
      </c>
      <c r="J652" s="44">
        <f>419.0192</f>
        <v>419.01920000000001</v>
      </c>
    </row>
    <row r="653" spans="1:10" ht="15.75" x14ac:dyDescent="0.25">
      <c r="A653" s="32">
        <v>60813</v>
      </c>
      <c r="B653" s="14">
        <f>51.5796 * CHOOSE(CONTROL!$C$15, $E$9, 100%, $G$9) + CHOOSE(CONTROL!$C$38, 0.0278, 0)</f>
        <v>51.607399999999998</v>
      </c>
      <c r="C653" s="14">
        <f>48.7727 * CHOOSE(CONTROL!$C$15, $E$9, 100%, $G$9) + CHOOSE(CONTROL!$C$38, 0.0369, 0)</f>
        <v>48.809600000000003</v>
      </c>
      <c r="D653" s="14">
        <f>48.7649 * CHOOSE(CONTROL!$C$15, $E$9, 100%, $G$9) + CHOOSE(CONTROL!$C$38, 0.0369, 0)</f>
        <v>48.8018</v>
      </c>
      <c r="E653" s="46">
        <f>51.4234 * CHOOSE(CONTROL!$C$15, $E$9, 100%, $G$9) + CHOOSE(CONTROL!$C$38, 0.0369, 0)</f>
        <v>51.460300000000004</v>
      </c>
      <c r="F653" s="45">
        <f>51.4234 * CHOOSE(CONTROL!$C$15, $E$9, 100%, $G$9) + CHOOSE(CONTROL!$C$38, 0.0278, 0)</f>
        <v>51.4512</v>
      </c>
      <c r="G653" s="14">
        <f>48.7711 * CHOOSE(CONTROL!$C$15, $E$9, 100%, $G$9) + CHOOSE(CONTROL!$C$38, 0.0369, 0)</f>
        <v>48.808</v>
      </c>
      <c r="H653" s="14">
        <f>48.7711 * CHOOSE(CONTROL!$C$15, $E$9, 100%, $G$9) + CHOOSE(CONTROL!$C$38, 0.0369, 0)</f>
        <v>48.808</v>
      </c>
      <c r="I653" s="14">
        <f>48.7727 * CHOOSE(CONTROL!$C$15, $E$9, 100%, $G$9) + CHOOSE(CONTROL!$C$38, 0.0369, 0)</f>
        <v>48.809600000000003</v>
      </c>
      <c r="J653" s="44">
        <f>425.0568</f>
        <v>425.05680000000001</v>
      </c>
    </row>
    <row r="654" spans="1:10" ht="15.75" x14ac:dyDescent="0.25">
      <c r="A654" s="32">
        <v>60844</v>
      </c>
      <c r="B654" s="14">
        <f>51.3413 * CHOOSE(CONTROL!$C$15, $E$9, 100%, $G$9) + CHOOSE(CONTROL!$C$38, 0.0278, 0)</f>
        <v>51.369099999999996</v>
      </c>
      <c r="C654" s="14">
        <f>48.5467 * CHOOSE(CONTROL!$C$15, $E$9, 100%, $G$9) + CHOOSE(CONTROL!$C$38, 0.0369, 0)</f>
        <v>48.583600000000004</v>
      </c>
      <c r="D654" s="14">
        <f>48.5389 * CHOOSE(CONTROL!$C$15, $E$9, 100%, $G$9) + CHOOSE(CONTROL!$C$38, 0.0369, 0)</f>
        <v>48.575800000000001</v>
      </c>
      <c r="E654" s="46">
        <f>51.185 * CHOOSE(CONTROL!$C$15, $E$9, 100%, $G$9) + CHOOSE(CONTROL!$C$38, 0.0369, 0)</f>
        <v>51.221900000000005</v>
      </c>
      <c r="F654" s="45">
        <f>51.185 * CHOOSE(CONTROL!$C$15, $E$9, 100%, $G$9) + CHOOSE(CONTROL!$C$38, 0.0278, 0)</f>
        <v>51.212800000000001</v>
      </c>
      <c r="G654" s="14">
        <f>48.5452 * CHOOSE(CONTROL!$C$15, $E$9, 100%, $G$9) + CHOOSE(CONTROL!$C$38, 0.0369, 0)</f>
        <v>48.582100000000004</v>
      </c>
      <c r="H654" s="14">
        <f>48.5452 * CHOOSE(CONTROL!$C$15, $E$9, 100%, $G$9) + CHOOSE(CONTROL!$C$38, 0.0369, 0)</f>
        <v>48.582100000000004</v>
      </c>
      <c r="I654" s="14">
        <f>48.5467 * CHOOSE(CONTROL!$C$15, $E$9, 100%, $G$9) + CHOOSE(CONTROL!$C$38, 0.0369, 0)</f>
        <v>48.583600000000004</v>
      </c>
      <c r="J654" s="44">
        <f>423.0689</f>
        <v>423.06889999999999</v>
      </c>
    </row>
    <row r="655" spans="1:10" ht="15.75" x14ac:dyDescent="0.25">
      <c r="A655" s="32">
        <v>60875</v>
      </c>
      <c r="B655" s="14">
        <f>50.1605 * CHOOSE(CONTROL!$C$15, $E$9, 100%, $G$9) + CHOOSE(CONTROL!$C$38, 0.0278, 0)</f>
        <v>50.188299999999998</v>
      </c>
      <c r="C655" s="14">
        <f>47.4273 * CHOOSE(CONTROL!$C$15, $E$9, 100%, $G$9) + CHOOSE(CONTROL!$C$38, 0.0369, 0)</f>
        <v>47.464200000000005</v>
      </c>
      <c r="D655" s="14">
        <f>47.4195 * CHOOSE(CONTROL!$C$15, $E$9, 100%, $G$9) + CHOOSE(CONTROL!$C$38, 0.0369, 0)</f>
        <v>47.456400000000002</v>
      </c>
      <c r="E655" s="46">
        <f>50.0042 * CHOOSE(CONTROL!$C$15, $E$9, 100%, $G$9) + CHOOSE(CONTROL!$C$38, 0.0369, 0)</f>
        <v>50.0411</v>
      </c>
      <c r="F655" s="45">
        <f>50.0042 * CHOOSE(CONTROL!$C$15, $E$9, 100%, $G$9) + CHOOSE(CONTROL!$C$38, 0.0278, 0)</f>
        <v>50.031999999999996</v>
      </c>
      <c r="G655" s="14">
        <f>47.4258 * CHOOSE(CONTROL!$C$15, $E$9, 100%, $G$9) + CHOOSE(CONTROL!$C$38, 0.0369, 0)</f>
        <v>47.462700000000005</v>
      </c>
      <c r="H655" s="14">
        <f>47.4258 * CHOOSE(CONTROL!$C$15, $E$9, 100%, $G$9) + CHOOSE(CONTROL!$C$38, 0.0369, 0)</f>
        <v>47.462700000000005</v>
      </c>
      <c r="I655" s="14">
        <f>47.4273 * CHOOSE(CONTROL!$C$15, $E$9, 100%, $G$9) + CHOOSE(CONTROL!$C$38, 0.0369, 0)</f>
        <v>47.464200000000005</v>
      </c>
      <c r="J655" s="44">
        <f>413.22</f>
        <v>413.22</v>
      </c>
    </row>
    <row r="656" spans="1:10" ht="15.75" x14ac:dyDescent="0.25">
      <c r="A656" s="32">
        <v>60905</v>
      </c>
      <c r="B656" s="14">
        <f>48.5137 * CHOOSE(CONTROL!$C$15, $E$9, 100%, $G$9) + CHOOSE(CONTROL!$C$38, 0.0278, 0)</f>
        <v>48.541499999999999</v>
      </c>
      <c r="C656" s="14">
        <f>45.8662 * CHOOSE(CONTROL!$C$15, $E$9, 100%, $G$9) + CHOOSE(CONTROL!$C$38, 0.0369, 0)</f>
        <v>45.903100000000002</v>
      </c>
      <c r="D656" s="14">
        <f>45.8584 * CHOOSE(CONTROL!$C$15, $E$9, 100%, $G$9) + CHOOSE(CONTROL!$C$38, 0.0369, 0)</f>
        <v>45.895300000000006</v>
      </c>
      <c r="E656" s="46">
        <f>48.3575 * CHOOSE(CONTROL!$C$15, $E$9, 100%, $G$9) + CHOOSE(CONTROL!$C$38, 0.0369, 0)</f>
        <v>48.394400000000005</v>
      </c>
      <c r="F656" s="45">
        <f>48.3575 * CHOOSE(CONTROL!$C$15, $E$9, 100%, $G$9) + CHOOSE(CONTROL!$C$38, 0.0278, 0)</f>
        <v>48.385300000000001</v>
      </c>
      <c r="G656" s="14">
        <f>45.8647 * CHOOSE(CONTROL!$C$15, $E$9, 100%, $G$9) + CHOOSE(CONTROL!$C$38, 0.0369, 0)</f>
        <v>45.901600000000002</v>
      </c>
      <c r="H656" s="14">
        <f>45.8647 * CHOOSE(CONTROL!$C$15, $E$9, 100%, $G$9) + CHOOSE(CONTROL!$C$38, 0.0369, 0)</f>
        <v>45.901600000000002</v>
      </c>
      <c r="I656" s="14">
        <f>45.8662 * CHOOSE(CONTROL!$C$15, $E$9, 100%, $G$9) + CHOOSE(CONTROL!$C$38, 0.0369, 0)</f>
        <v>45.903100000000002</v>
      </c>
      <c r="J656" s="44">
        <f>399.4853</f>
        <v>399.4853</v>
      </c>
    </row>
    <row r="657" spans="1:10" ht="15.75" x14ac:dyDescent="0.25">
      <c r="A657" s="32">
        <v>60936</v>
      </c>
      <c r="B657" s="14">
        <f>46.8574 * CHOOSE(CONTROL!$C$15, $E$9, 100%, $G$9) + CHOOSE(CONTROL!$C$38, 0.0256, 0)</f>
        <v>46.882999999999996</v>
      </c>
      <c r="C657" s="14">
        <f>44.2961 * CHOOSE(CONTROL!$C$15, $E$9, 100%, $G$9) + CHOOSE(CONTROL!$C$38, 0.0347, 0)</f>
        <v>44.330800000000004</v>
      </c>
      <c r="D657" s="14">
        <f>44.2883 * CHOOSE(CONTROL!$C$15, $E$9, 100%, $G$9) + CHOOSE(CONTROL!$C$38, 0.0347, 0)</f>
        <v>44.323</v>
      </c>
      <c r="E657" s="46">
        <f>46.7012 * CHOOSE(CONTROL!$C$15, $E$9, 100%, $G$9) + CHOOSE(CONTROL!$C$38, 0.0347, 0)</f>
        <v>46.735900000000001</v>
      </c>
      <c r="F657" s="45">
        <f>46.7012 * CHOOSE(CONTROL!$C$15, $E$9, 100%, $G$9) + CHOOSE(CONTROL!$C$38, 0.0256, 0)</f>
        <v>46.726799999999997</v>
      </c>
      <c r="G657" s="14">
        <f>44.2945 * CHOOSE(CONTROL!$C$15, $E$9, 100%, $G$9) + CHOOSE(CONTROL!$C$38, 0.0347, 0)</f>
        <v>44.3292</v>
      </c>
      <c r="H657" s="14">
        <f>44.2945 * CHOOSE(CONTROL!$C$15, $E$9, 100%, $G$9) + CHOOSE(CONTROL!$C$38, 0.0347, 0)</f>
        <v>44.3292</v>
      </c>
      <c r="I657" s="14">
        <f>44.2961 * CHOOSE(CONTROL!$C$15, $E$9, 100%, $G$9) + CHOOSE(CONTROL!$C$38, 0.0347, 0)</f>
        <v>44.330800000000004</v>
      </c>
      <c r="J657" s="44">
        <f>385.6707</f>
        <v>385.67070000000001</v>
      </c>
    </row>
    <row r="658" spans="1:10" ht="15.75" x14ac:dyDescent="0.25">
      <c r="A658" s="32">
        <v>60966</v>
      </c>
      <c r="B658" s="14">
        <f>46.5279 * CHOOSE(CONTROL!$C$15, $E$9, 100%, $G$9) + CHOOSE(CONTROL!$C$38, 0.0256, 0)</f>
        <v>46.5535</v>
      </c>
      <c r="C658" s="14">
        <f>43.9837 * CHOOSE(CONTROL!$C$15, $E$9, 100%, $G$9) + CHOOSE(CONTROL!$C$38, 0.0347, 0)</f>
        <v>44.0184</v>
      </c>
      <c r="D658" s="14">
        <f>43.9759 * CHOOSE(CONTROL!$C$15, $E$9, 100%, $G$9) + CHOOSE(CONTROL!$C$38, 0.0347, 0)</f>
        <v>44.010600000000004</v>
      </c>
      <c r="E658" s="46">
        <f>46.3717 * CHOOSE(CONTROL!$C$15, $E$9, 100%, $G$9) + CHOOSE(CONTROL!$C$38, 0.0347, 0)</f>
        <v>46.406399999999998</v>
      </c>
      <c r="F658" s="45">
        <f>46.3717 * CHOOSE(CONTROL!$C$15, $E$9, 100%, $G$9) + CHOOSE(CONTROL!$C$38, 0.0256, 0)</f>
        <v>46.397299999999994</v>
      </c>
      <c r="G658" s="14">
        <f>43.9822 * CHOOSE(CONTROL!$C$15, $E$9, 100%, $G$9) + CHOOSE(CONTROL!$C$38, 0.0347, 0)</f>
        <v>44.0169</v>
      </c>
      <c r="H658" s="14">
        <f>43.9822 * CHOOSE(CONTROL!$C$15, $E$9, 100%, $G$9) + CHOOSE(CONTROL!$C$38, 0.0347, 0)</f>
        <v>44.0169</v>
      </c>
      <c r="I658" s="14">
        <f>43.9837 * CHOOSE(CONTROL!$C$15, $E$9, 100%, $G$9) + CHOOSE(CONTROL!$C$38, 0.0347, 0)</f>
        <v>44.0184</v>
      </c>
      <c r="J658" s="44">
        <f>382.9227</f>
        <v>382.92270000000002</v>
      </c>
    </row>
    <row r="659" spans="1:10" ht="15.75" x14ac:dyDescent="0.25">
      <c r="A659" s="32">
        <v>60997</v>
      </c>
      <c r="B659" s="14">
        <f>45.1655 * CHOOSE(CONTROL!$C$15, $E$9, 100%, $G$9) + CHOOSE(CONTROL!$C$38, 0.0256, 0)</f>
        <v>45.191099999999999</v>
      </c>
      <c r="C659" s="14">
        <f>42.6922 * CHOOSE(CONTROL!$C$15, $E$9, 100%, $G$9) + CHOOSE(CONTROL!$C$38, 0.0347, 0)</f>
        <v>42.726900000000001</v>
      </c>
      <c r="D659" s="14">
        <f>42.6844 * CHOOSE(CONTROL!$C$15, $E$9, 100%, $G$9) + CHOOSE(CONTROL!$C$38, 0.0347, 0)</f>
        <v>42.719099999999997</v>
      </c>
      <c r="E659" s="46">
        <f>45.0093 * CHOOSE(CONTROL!$C$15, $E$9, 100%, $G$9) + CHOOSE(CONTROL!$C$38, 0.0347, 0)</f>
        <v>45.044000000000004</v>
      </c>
      <c r="F659" s="45">
        <f>45.0093 * CHOOSE(CONTROL!$C$15, $E$9, 100%, $G$9) + CHOOSE(CONTROL!$C$38, 0.0256, 0)</f>
        <v>45.0349</v>
      </c>
      <c r="G659" s="14">
        <f>42.6906 * CHOOSE(CONTROL!$C$15, $E$9, 100%, $G$9) + CHOOSE(CONTROL!$C$38, 0.0347, 0)</f>
        <v>42.725300000000004</v>
      </c>
      <c r="H659" s="14">
        <f>42.6906 * CHOOSE(CONTROL!$C$15, $E$9, 100%, $G$9) + CHOOSE(CONTROL!$C$38, 0.0347, 0)</f>
        <v>42.725300000000004</v>
      </c>
      <c r="I659" s="14">
        <f>42.6922 * CHOOSE(CONTROL!$C$15, $E$9, 100%, $G$9) + CHOOSE(CONTROL!$C$38, 0.0347, 0)</f>
        <v>42.726900000000001</v>
      </c>
      <c r="J659" s="44">
        <f>371.5594</f>
        <v>371.55939999999998</v>
      </c>
    </row>
    <row r="660" spans="1:10" ht="15.75" x14ac:dyDescent="0.25">
      <c r="A660" s="32">
        <v>61028</v>
      </c>
      <c r="B660" s="14">
        <f>44.8272 * CHOOSE(CONTROL!$C$15, $E$9, 100%, $G$9) + CHOOSE(CONTROL!$C$38, 0.0256, 0)</f>
        <v>44.852799999999995</v>
      </c>
      <c r="C660" s="14">
        <f>42.3715 * CHOOSE(CONTROL!$C$15, $E$9, 100%, $G$9) + CHOOSE(CONTROL!$C$38, 0.0347, 0)</f>
        <v>42.406199999999998</v>
      </c>
      <c r="D660" s="14">
        <f>42.3636 * CHOOSE(CONTROL!$C$15, $E$9, 100%, $G$9) + CHOOSE(CONTROL!$C$38, 0.0347, 0)</f>
        <v>42.398299999999999</v>
      </c>
      <c r="E660" s="46">
        <f>44.671 * CHOOSE(CONTROL!$C$15, $E$9, 100%, $G$9) + CHOOSE(CONTROL!$C$38, 0.0347, 0)</f>
        <v>44.7057</v>
      </c>
      <c r="F660" s="45">
        <f>44.671 * CHOOSE(CONTROL!$C$15, $E$9, 100%, $G$9) + CHOOSE(CONTROL!$C$38, 0.0256, 0)</f>
        <v>44.696599999999997</v>
      </c>
      <c r="G660" s="14">
        <f>42.3699 * CHOOSE(CONTROL!$C$15, $E$9, 100%, $G$9) + CHOOSE(CONTROL!$C$38, 0.0347, 0)</f>
        <v>42.404600000000002</v>
      </c>
      <c r="H660" s="14">
        <f>42.3699 * CHOOSE(CONTROL!$C$15, $E$9, 100%, $G$9) + CHOOSE(CONTROL!$C$38, 0.0347, 0)</f>
        <v>42.404600000000002</v>
      </c>
      <c r="I660" s="14">
        <f>42.3715 * CHOOSE(CONTROL!$C$15, $E$9, 100%, $G$9) + CHOOSE(CONTROL!$C$38, 0.0347, 0)</f>
        <v>42.406199999999998</v>
      </c>
      <c r="J660" s="44">
        <f>371.2912</f>
        <v>371.2912</v>
      </c>
    </row>
    <row r="661" spans="1:10" ht="15.75" x14ac:dyDescent="0.25">
      <c r="A661" s="32">
        <v>61056</v>
      </c>
      <c r="B661" s="14">
        <f>44.7043 * CHOOSE(CONTROL!$C$15, $E$9, 100%, $G$9) + CHOOSE(CONTROL!$C$38, 0.0256, 0)</f>
        <v>44.729900000000001</v>
      </c>
      <c r="C661" s="14">
        <f>42.255 * CHOOSE(CONTROL!$C$15, $E$9, 100%, $G$9) + CHOOSE(CONTROL!$C$38, 0.0347, 0)</f>
        <v>42.289700000000003</v>
      </c>
      <c r="D661" s="14">
        <f>42.2471 * CHOOSE(CONTROL!$C$15, $E$9, 100%, $G$9) + CHOOSE(CONTROL!$C$38, 0.0347, 0)</f>
        <v>42.281800000000004</v>
      </c>
      <c r="E661" s="46">
        <f>44.5481 * CHOOSE(CONTROL!$C$15, $E$9, 100%, $G$9) + CHOOSE(CONTROL!$C$38, 0.0347, 0)</f>
        <v>44.582799999999999</v>
      </c>
      <c r="F661" s="45">
        <f>44.5481 * CHOOSE(CONTROL!$C$15, $E$9, 100%, $G$9) + CHOOSE(CONTROL!$C$38, 0.0256, 0)</f>
        <v>44.573699999999995</v>
      </c>
      <c r="G661" s="14">
        <f>42.2534 * CHOOSE(CONTROL!$C$15, $E$9, 100%, $G$9) + CHOOSE(CONTROL!$C$38, 0.0347, 0)</f>
        <v>42.2881</v>
      </c>
      <c r="H661" s="14">
        <f>42.2534 * CHOOSE(CONTROL!$C$15, $E$9, 100%, $G$9) + CHOOSE(CONTROL!$C$38, 0.0347, 0)</f>
        <v>42.2881</v>
      </c>
      <c r="I661" s="14">
        <f>42.255 * CHOOSE(CONTROL!$C$15, $E$9, 100%, $G$9) + CHOOSE(CONTROL!$C$38, 0.0347, 0)</f>
        <v>42.289700000000003</v>
      </c>
      <c r="J661" s="44">
        <f>370.2591</f>
        <v>370.25909999999999</v>
      </c>
    </row>
    <row r="662" spans="1:10" ht="15.75" x14ac:dyDescent="0.25">
      <c r="A662" s="32">
        <v>61087</v>
      </c>
      <c r="B662" s="14">
        <f>47.028 * CHOOSE(CONTROL!$C$15, $E$9, 100%, $G$9) + CHOOSE(CONTROL!$C$38, 0.0256, 0)</f>
        <v>47.053599999999996</v>
      </c>
      <c r="C662" s="14">
        <f>44.4577 * CHOOSE(CONTROL!$C$15, $E$9, 100%, $G$9) + CHOOSE(CONTROL!$C$38, 0.0347, 0)</f>
        <v>44.492400000000004</v>
      </c>
      <c r="D662" s="14">
        <f>44.4499 * CHOOSE(CONTROL!$C$15, $E$9, 100%, $G$9) + CHOOSE(CONTROL!$C$38, 0.0347, 0)</f>
        <v>44.4846</v>
      </c>
      <c r="E662" s="46">
        <f>46.8717 * CHOOSE(CONTROL!$C$15, $E$9, 100%, $G$9) + CHOOSE(CONTROL!$C$38, 0.0347, 0)</f>
        <v>46.906399999999998</v>
      </c>
      <c r="F662" s="45">
        <f>46.8717 * CHOOSE(CONTROL!$C$15, $E$9, 100%, $G$9) + CHOOSE(CONTROL!$C$38, 0.0256, 0)</f>
        <v>46.897299999999994</v>
      </c>
      <c r="G662" s="14">
        <f>44.4562 * CHOOSE(CONTROL!$C$15, $E$9, 100%, $G$9) + CHOOSE(CONTROL!$C$38, 0.0347, 0)</f>
        <v>44.490900000000003</v>
      </c>
      <c r="H662" s="14">
        <f>44.4562 * CHOOSE(CONTROL!$C$15, $E$9, 100%, $G$9) + CHOOSE(CONTROL!$C$38, 0.0347, 0)</f>
        <v>44.490900000000003</v>
      </c>
      <c r="I662" s="14">
        <f>44.4577 * CHOOSE(CONTROL!$C$15, $E$9, 100%, $G$9) + CHOOSE(CONTROL!$C$38, 0.0347, 0)</f>
        <v>44.492400000000004</v>
      </c>
      <c r="J662" s="44">
        <f>389.7739</f>
        <v>389.77390000000003</v>
      </c>
    </row>
    <row r="663" spans="1:10" ht="15.75" x14ac:dyDescent="0.25">
      <c r="A663" s="32">
        <v>61117</v>
      </c>
      <c r="B663" s="14">
        <f>50.0412 * CHOOSE(CONTROL!$C$15, $E$9, 100%, $G$9) + CHOOSE(CONTROL!$C$38, 0.0256, 0)</f>
        <v>50.066800000000001</v>
      </c>
      <c r="C663" s="14">
        <f>47.3142 * CHOOSE(CONTROL!$C$15, $E$9, 100%, $G$9) + CHOOSE(CONTROL!$C$38, 0.0347, 0)</f>
        <v>47.3489</v>
      </c>
      <c r="D663" s="14">
        <f>47.3064 * CHOOSE(CONTROL!$C$15, $E$9, 100%, $G$9) + CHOOSE(CONTROL!$C$38, 0.0347, 0)</f>
        <v>47.341099999999997</v>
      </c>
      <c r="E663" s="46">
        <f>49.8849 * CHOOSE(CONTROL!$C$15, $E$9, 100%, $G$9) + CHOOSE(CONTROL!$C$38, 0.0347, 0)</f>
        <v>49.919600000000003</v>
      </c>
      <c r="F663" s="45">
        <f>49.8849 * CHOOSE(CONTROL!$C$15, $E$9, 100%, $G$9) + CHOOSE(CONTROL!$C$38, 0.0256, 0)</f>
        <v>49.910499999999999</v>
      </c>
      <c r="G663" s="14">
        <f>47.3127 * CHOOSE(CONTROL!$C$15, $E$9, 100%, $G$9) + CHOOSE(CONTROL!$C$38, 0.0347, 0)</f>
        <v>47.3474</v>
      </c>
      <c r="H663" s="14">
        <f>47.3127 * CHOOSE(CONTROL!$C$15, $E$9, 100%, $G$9) + CHOOSE(CONTROL!$C$38, 0.0347, 0)</f>
        <v>47.3474</v>
      </c>
      <c r="I663" s="14">
        <f>47.3142 * CHOOSE(CONTROL!$C$15, $E$9, 100%, $G$9) + CHOOSE(CONTROL!$C$38, 0.0347, 0)</f>
        <v>47.3489</v>
      </c>
      <c r="J663" s="44">
        <f>415.08</f>
        <v>415.08</v>
      </c>
    </row>
    <row r="664" spans="1:10" ht="15.75" x14ac:dyDescent="0.25">
      <c r="A664" s="32">
        <v>61148</v>
      </c>
      <c r="B664" s="14">
        <f>51.6997 * CHOOSE(CONTROL!$C$15, $E$9, 100%, $G$9) + CHOOSE(CONTROL!$C$38, 0.0278, 0)</f>
        <v>51.727499999999999</v>
      </c>
      <c r="C664" s="14">
        <f>48.8865 * CHOOSE(CONTROL!$C$15, $E$9, 100%, $G$9) + CHOOSE(CONTROL!$C$38, 0.0369, 0)</f>
        <v>48.923400000000001</v>
      </c>
      <c r="D664" s="14">
        <f>48.8787 * CHOOSE(CONTROL!$C$15, $E$9, 100%, $G$9) + CHOOSE(CONTROL!$C$38, 0.0369, 0)</f>
        <v>48.915600000000005</v>
      </c>
      <c r="E664" s="46">
        <f>51.5435 * CHOOSE(CONTROL!$C$15, $E$9, 100%, $G$9) + CHOOSE(CONTROL!$C$38, 0.0369, 0)</f>
        <v>51.580400000000004</v>
      </c>
      <c r="F664" s="45">
        <f>51.5435 * CHOOSE(CONTROL!$C$15, $E$9, 100%, $G$9) + CHOOSE(CONTROL!$C$38, 0.0278, 0)</f>
        <v>51.571300000000001</v>
      </c>
      <c r="G664" s="14">
        <f>48.885 * CHOOSE(CONTROL!$C$15, $E$9, 100%, $G$9) + CHOOSE(CONTROL!$C$38, 0.0369, 0)</f>
        <v>48.921900000000001</v>
      </c>
      <c r="H664" s="14">
        <f>48.885 * CHOOSE(CONTROL!$C$15, $E$9, 100%, $G$9) + CHOOSE(CONTROL!$C$38, 0.0369, 0)</f>
        <v>48.921900000000001</v>
      </c>
      <c r="I664" s="14">
        <f>48.8865 * CHOOSE(CONTROL!$C$15, $E$9, 100%, $G$9) + CHOOSE(CONTROL!$C$38, 0.0369, 0)</f>
        <v>48.923400000000001</v>
      </c>
      <c r="J664" s="44">
        <f>429.0092</f>
        <v>429.00920000000002</v>
      </c>
    </row>
    <row r="665" spans="1:10" ht="15.75" x14ac:dyDescent="0.25">
      <c r="A665" s="32">
        <v>61178</v>
      </c>
      <c r="B665" s="14">
        <f>52.4358 * CHOOSE(CONTROL!$C$15, $E$9, 100%, $G$9) + CHOOSE(CONTROL!$C$38, 0.0278, 0)</f>
        <v>52.4636</v>
      </c>
      <c r="C665" s="14">
        <f>49.5843 * CHOOSE(CONTROL!$C$15, $E$9, 100%, $G$9) + CHOOSE(CONTROL!$C$38, 0.0369, 0)</f>
        <v>49.621200000000002</v>
      </c>
      <c r="D665" s="14">
        <f>49.5765 * CHOOSE(CONTROL!$C$15, $E$9, 100%, $G$9) + CHOOSE(CONTROL!$C$38, 0.0369, 0)</f>
        <v>49.613400000000006</v>
      </c>
      <c r="E665" s="46">
        <f>52.2795 * CHOOSE(CONTROL!$C$15, $E$9, 100%, $G$9) + CHOOSE(CONTROL!$C$38, 0.0369, 0)</f>
        <v>52.316400000000002</v>
      </c>
      <c r="F665" s="45">
        <f>52.2795 * CHOOSE(CONTROL!$C$15, $E$9, 100%, $G$9) + CHOOSE(CONTROL!$C$38, 0.0278, 0)</f>
        <v>52.307299999999998</v>
      </c>
      <c r="G665" s="14">
        <f>49.5827 * CHOOSE(CONTROL!$C$15, $E$9, 100%, $G$9) + CHOOSE(CONTROL!$C$38, 0.0369, 0)</f>
        <v>49.619600000000005</v>
      </c>
      <c r="H665" s="14">
        <f>49.5827 * CHOOSE(CONTROL!$C$15, $E$9, 100%, $G$9) + CHOOSE(CONTROL!$C$38, 0.0369, 0)</f>
        <v>49.619600000000005</v>
      </c>
      <c r="I665" s="14">
        <f>49.5843 * CHOOSE(CONTROL!$C$15, $E$9, 100%, $G$9) + CHOOSE(CONTROL!$C$38, 0.0369, 0)</f>
        <v>49.621200000000002</v>
      </c>
      <c r="J665" s="44">
        <f>435.1908</f>
        <v>435.19080000000002</v>
      </c>
    </row>
    <row r="666" spans="1:10" ht="15.75" x14ac:dyDescent="0.25">
      <c r="A666" s="32">
        <v>61209</v>
      </c>
      <c r="B666" s="14">
        <f>52.1935 * CHOOSE(CONTROL!$C$15, $E$9, 100%, $G$9) + CHOOSE(CONTROL!$C$38, 0.0278, 0)</f>
        <v>52.221299999999999</v>
      </c>
      <c r="C666" s="14">
        <f>49.3546 * CHOOSE(CONTROL!$C$15, $E$9, 100%, $G$9) + CHOOSE(CONTROL!$C$38, 0.0369, 0)</f>
        <v>49.391500000000001</v>
      </c>
      <c r="D666" s="14">
        <f>49.3467 * CHOOSE(CONTROL!$C$15, $E$9, 100%, $G$9) + CHOOSE(CONTROL!$C$38, 0.0369, 0)</f>
        <v>49.383600000000001</v>
      </c>
      <c r="E666" s="46">
        <f>52.0372 * CHOOSE(CONTROL!$C$15, $E$9, 100%, $G$9) + CHOOSE(CONTROL!$C$38, 0.0369, 0)</f>
        <v>52.074100000000001</v>
      </c>
      <c r="F666" s="45">
        <f>52.0372 * CHOOSE(CONTROL!$C$15, $E$9, 100%, $G$9) + CHOOSE(CONTROL!$C$38, 0.0278, 0)</f>
        <v>52.064999999999998</v>
      </c>
      <c r="G666" s="14">
        <f>49.353 * CHOOSE(CONTROL!$C$15, $E$9, 100%, $G$9) + CHOOSE(CONTROL!$C$38, 0.0369, 0)</f>
        <v>49.389900000000004</v>
      </c>
      <c r="H666" s="14">
        <f>49.353 * CHOOSE(CONTROL!$C$15, $E$9, 100%, $G$9) + CHOOSE(CONTROL!$C$38, 0.0369, 0)</f>
        <v>49.389900000000004</v>
      </c>
      <c r="I666" s="14">
        <f>49.3546 * CHOOSE(CONTROL!$C$15, $E$9, 100%, $G$9) + CHOOSE(CONTROL!$C$38, 0.0369, 0)</f>
        <v>49.391500000000001</v>
      </c>
      <c r="J666" s="44">
        <f>433.1555</f>
        <v>433.15550000000002</v>
      </c>
    </row>
    <row r="667" spans="1:10" ht="15.75" x14ac:dyDescent="0.25">
      <c r="A667" s="32">
        <v>61240</v>
      </c>
      <c r="B667" s="14">
        <f>50.9928 * CHOOSE(CONTROL!$C$15, $E$9, 100%, $G$9) + CHOOSE(CONTROL!$C$38, 0.0278, 0)</f>
        <v>51.020600000000002</v>
      </c>
      <c r="C667" s="14">
        <f>48.2163 * CHOOSE(CONTROL!$C$15, $E$9, 100%, $G$9) + CHOOSE(CONTROL!$C$38, 0.0369, 0)</f>
        <v>48.2532</v>
      </c>
      <c r="D667" s="14">
        <f>48.2085 * CHOOSE(CONTROL!$C$15, $E$9, 100%, $G$9) + CHOOSE(CONTROL!$C$38, 0.0369, 0)</f>
        <v>48.245400000000004</v>
      </c>
      <c r="E667" s="46">
        <f>50.8365 * CHOOSE(CONTROL!$C$15, $E$9, 100%, $G$9) + CHOOSE(CONTROL!$C$38, 0.0369, 0)</f>
        <v>50.873400000000004</v>
      </c>
      <c r="F667" s="45">
        <f>50.8365 * CHOOSE(CONTROL!$C$15, $E$9, 100%, $G$9) + CHOOSE(CONTROL!$C$38, 0.0278, 0)</f>
        <v>50.8643</v>
      </c>
      <c r="G667" s="14">
        <f>48.2148 * CHOOSE(CONTROL!$C$15, $E$9, 100%, $G$9) + CHOOSE(CONTROL!$C$38, 0.0369, 0)</f>
        <v>48.2517</v>
      </c>
      <c r="H667" s="14">
        <f>48.2148 * CHOOSE(CONTROL!$C$15, $E$9, 100%, $G$9) + CHOOSE(CONTROL!$C$38, 0.0369, 0)</f>
        <v>48.2517</v>
      </c>
      <c r="I667" s="14">
        <f>48.2163 * CHOOSE(CONTROL!$C$15, $E$9, 100%, $G$9) + CHOOSE(CONTROL!$C$38, 0.0369, 0)</f>
        <v>48.2532</v>
      </c>
      <c r="J667" s="44">
        <f>423.0718</f>
        <v>423.0718</v>
      </c>
    </row>
    <row r="668" spans="1:10" ht="15.75" x14ac:dyDescent="0.25">
      <c r="A668" s="32">
        <v>61270</v>
      </c>
      <c r="B668" s="14">
        <f>49.3184 * CHOOSE(CONTROL!$C$15, $E$9, 100%, $G$9) + CHOOSE(CONTROL!$C$38, 0.0278, 0)</f>
        <v>49.346199999999996</v>
      </c>
      <c r="C668" s="14">
        <f>46.629 * CHOOSE(CONTROL!$C$15, $E$9, 100%, $G$9) + CHOOSE(CONTROL!$C$38, 0.0369, 0)</f>
        <v>46.665900000000001</v>
      </c>
      <c r="D668" s="14">
        <f>46.6212 * CHOOSE(CONTROL!$C$15, $E$9, 100%, $G$9) + CHOOSE(CONTROL!$C$38, 0.0369, 0)</f>
        <v>46.658100000000005</v>
      </c>
      <c r="E668" s="46">
        <f>49.1621 * CHOOSE(CONTROL!$C$15, $E$9, 100%, $G$9) + CHOOSE(CONTROL!$C$38, 0.0369, 0)</f>
        <v>49.199000000000005</v>
      </c>
      <c r="F668" s="45">
        <f>49.1621 * CHOOSE(CONTROL!$C$15, $E$9, 100%, $G$9) + CHOOSE(CONTROL!$C$38, 0.0278, 0)</f>
        <v>49.189900000000002</v>
      </c>
      <c r="G668" s="14">
        <f>46.6275 * CHOOSE(CONTROL!$C$15, $E$9, 100%, $G$9) + CHOOSE(CONTROL!$C$38, 0.0369, 0)</f>
        <v>46.664400000000001</v>
      </c>
      <c r="H668" s="14">
        <f>46.6275 * CHOOSE(CONTROL!$C$15, $E$9, 100%, $G$9) + CHOOSE(CONTROL!$C$38, 0.0369, 0)</f>
        <v>46.664400000000001</v>
      </c>
      <c r="I668" s="14">
        <f>46.629 * CHOOSE(CONTROL!$C$15, $E$9, 100%, $G$9) + CHOOSE(CONTROL!$C$38, 0.0369, 0)</f>
        <v>46.665900000000001</v>
      </c>
      <c r="J668" s="44">
        <f>409.0097</f>
        <v>409.00970000000001</v>
      </c>
    </row>
    <row r="669" spans="1:10" ht="15.75" x14ac:dyDescent="0.25">
      <c r="A669" s="32">
        <v>61301</v>
      </c>
      <c r="B669" s="14">
        <f>47.6342 * CHOOSE(CONTROL!$C$15, $E$9, 100%, $G$9) + CHOOSE(CONTROL!$C$38, 0.0256, 0)</f>
        <v>47.659799999999997</v>
      </c>
      <c r="C669" s="14">
        <f>45.0325 * CHOOSE(CONTROL!$C$15, $E$9, 100%, $G$9) + CHOOSE(CONTROL!$C$38, 0.0347, 0)</f>
        <v>45.0672</v>
      </c>
      <c r="D669" s="14">
        <f>45.0247 * CHOOSE(CONTROL!$C$15, $E$9, 100%, $G$9) + CHOOSE(CONTROL!$C$38, 0.0347, 0)</f>
        <v>45.059400000000004</v>
      </c>
      <c r="E669" s="46">
        <f>47.478 * CHOOSE(CONTROL!$C$15, $E$9, 100%, $G$9) + CHOOSE(CONTROL!$C$38, 0.0347, 0)</f>
        <v>47.512700000000002</v>
      </c>
      <c r="F669" s="45">
        <f>47.478 * CHOOSE(CONTROL!$C$15, $E$9, 100%, $G$9) + CHOOSE(CONTROL!$C$38, 0.0256, 0)</f>
        <v>47.503599999999999</v>
      </c>
      <c r="G669" s="14">
        <f>45.0309 * CHOOSE(CONTROL!$C$15, $E$9, 100%, $G$9) + CHOOSE(CONTROL!$C$38, 0.0347, 0)</f>
        <v>45.065600000000003</v>
      </c>
      <c r="H669" s="14">
        <f>45.0309 * CHOOSE(CONTROL!$C$15, $E$9, 100%, $G$9) + CHOOSE(CONTROL!$C$38, 0.0347, 0)</f>
        <v>45.065600000000003</v>
      </c>
      <c r="I669" s="14">
        <f>45.0325 * CHOOSE(CONTROL!$C$15, $E$9, 100%, $G$9) + CHOOSE(CONTROL!$C$38, 0.0347, 0)</f>
        <v>45.0672</v>
      </c>
      <c r="J669" s="44">
        <f>394.8657</f>
        <v>394.8657</v>
      </c>
    </row>
    <row r="670" spans="1:10" ht="15.75" x14ac:dyDescent="0.25">
      <c r="A670" s="32">
        <v>61331</v>
      </c>
      <c r="B670" s="14">
        <f>47.2992 * CHOOSE(CONTROL!$C$15, $E$9, 100%, $G$9) + CHOOSE(CONTROL!$C$38, 0.0256, 0)</f>
        <v>47.324799999999996</v>
      </c>
      <c r="C670" s="14">
        <f>44.7149 * CHOOSE(CONTROL!$C$15, $E$9, 100%, $G$9) + CHOOSE(CONTROL!$C$38, 0.0347, 0)</f>
        <v>44.749600000000001</v>
      </c>
      <c r="D670" s="14">
        <f>44.7071 * CHOOSE(CONTROL!$C$15, $E$9, 100%, $G$9) + CHOOSE(CONTROL!$C$38, 0.0347, 0)</f>
        <v>44.741799999999998</v>
      </c>
      <c r="E670" s="46">
        <f>47.143 * CHOOSE(CONTROL!$C$15, $E$9, 100%, $G$9) + CHOOSE(CONTROL!$C$38, 0.0347, 0)</f>
        <v>47.177700000000002</v>
      </c>
      <c r="F670" s="45">
        <f>47.143 * CHOOSE(CONTROL!$C$15, $E$9, 100%, $G$9) + CHOOSE(CONTROL!$C$38, 0.0256, 0)</f>
        <v>47.168599999999998</v>
      </c>
      <c r="G670" s="14">
        <f>44.7133 * CHOOSE(CONTROL!$C$15, $E$9, 100%, $G$9) + CHOOSE(CONTROL!$C$38, 0.0347, 0)</f>
        <v>44.747999999999998</v>
      </c>
      <c r="H670" s="14">
        <f>44.7133 * CHOOSE(CONTROL!$C$15, $E$9, 100%, $G$9) + CHOOSE(CONTROL!$C$38, 0.0347, 0)</f>
        <v>44.747999999999998</v>
      </c>
      <c r="I670" s="14">
        <f>44.7149 * CHOOSE(CONTROL!$C$15, $E$9, 100%, $G$9) + CHOOSE(CONTROL!$C$38, 0.0347, 0)</f>
        <v>44.749600000000001</v>
      </c>
      <c r="J670" s="44">
        <f>392.0522</f>
        <v>392.05220000000003</v>
      </c>
    </row>
    <row r="671" spans="1:10" ht="15.75" x14ac:dyDescent="0.25">
      <c r="A671" s="32">
        <v>61362</v>
      </c>
      <c r="B671" s="14">
        <f>45.9139 * CHOOSE(CONTROL!$C$15, $E$9, 100%, $G$9) + CHOOSE(CONTROL!$C$38, 0.0256, 0)</f>
        <v>45.939499999999995</v>
      </c>
      <c r="C671" s="14">
        <f>43.4017 * CHOOSE(CONTROL!$C$15, $E$9, 100%, $G$9) + CHOOSE(CONTROL!$C$38, 0.0347, 0)</f>
        <v>43.436399999999999</v>
      </c>
      <c r="D671" s="14">
        <f>43.3939 * CHOOSE(CONTROL!$C$15, $E$9, 100%, $G$9) + CHOOSE(CONTROL!$C$38, 0.0347, 0)</f>
        <v>43.428600000000003</v>
      </c>
      <c r="E671" s="46">
        <f>45.7577 * CHOOSE(CONTROL!$C$15, $E$9, 100%, $G$9) + CHOOSE(CONTROL!$C$38, 0.0347, 0)</f>
        <v>45.792400000000001</v>
      </c>
      <c r="F671" s="45">
        <f>45.7577 * CHOOSE(CONTROL!$C$15, $E$9, 100%, $G$9) + CHOOSE(CONTROL!$C$38, 0.0256, 0)</f>
        <v>45.783299999999997</v>
      </c>
      <c r="G671" s="14">
        <f>43.4001 * CHOOSE(CONTROL!$C$15, $E$9, 100%, $G$9) + CHOOSE(CONTROL!$C$38, 0.0347, 0)</f>
        <v>43.434800000000003</v>
      </c>
      <c r="H671" s="14">
        <f>43.4001 * CHOOSE(CONTROL!$C$15, $E$9, 100%, $G$9) + CHOOSE(CONTROL!$C$38, 0.0347, 0)</f>
        <v>43.434800000000003</v>
      </c>
      <c r="I671" s="14">
        <f>43.4017 * CHOOSE(CONTROL!$C$15, $E$9, 100%, $G$9) + CHOOSE(CONTROL!$C$38, 0.0347, 0)</f>
        <v>43.436399999999999</v>
      </c>
      <c r="J671" s="44">
        <f>380.418</f>
        <v>380.41800000000001</v>
      </c>
    </row>
    <row r="672" spans="1:10" ht="15.75" x14ac:dyDescent="0.25">
      <c r="A672" s="32">
        <v>61393</v>
      </c>
      <c r="B672" s="14">
        <f>45.5699 * CHOOSE(CONTROL!$C$15, $E$9, 100%, $G$9) + CHOOSE(CONTROL!$C$38, 0.0256, 0)</f>
        <v>45.595499999999994</v>
      </c>
      <c r="C672" s="14">
        <f>43.0755 * CHOOSE(CONTROL!$C$15, $E$9, 100%, $G$9) + CHOOSE(CONTROL!$C$38, 0.0347, 0)</f>
        <v>43.110199999999999</v>
      </c>
      <c r="D672" s="14">
        <f>43.0677 * CHOOSE(CONTROL!$C$15, $E$9, 100%, $G$9) + CHOOSE(CONTROL!$C$38, 0.0347, 0)</f>
        <v>43.102400000000003</v>
      </c>
      <c r="E672" s="46">
        <f>45.4137 * CHOOSE(CONTROL!$C$15, $E$9, 100%, $G$9) + CHOOSE(CONTROL!$C$38, 0.0347, 0)</f>
        <v>45.448399999999999</v>
      </c>
      <c r="F672" s="45">
        <f>45.4137 * CHOOSE(CONTROL!$C$15, $E$9, 100%, $G$9) + CHOOSE(CONTROL!$C$38, 0.0256, 0)</f>
        <v>45.439299999999996</v>
      </c>
      <c r="G672" s="14">
        <f>43.074 * CHOOSE(CONTROL!$C$15, $E$9, 100%, $G$9) + CHOOSE(CONTROL!$C$38, 0.0347, 0)</f>
        <v>43.108699999999999</v>
      </c>
      <c r="H672" s="14">
        <f>43.074 * CHOOSE(CONTROL!$C$15, $E$9, 100%, $G$9) + CHOOSE(CONTROL!$C$38, 0.0347, 0)</f>
        <v>43.108699999999999</v>
      </c>
      <c r="I672" s="14">
        <f>43.0755 * CHOOSE(CONTROL!$C$15, $E$9, 100%, $G$9) + CHOOSE(CONTROL!$C$38, 0.0347, 0)</f>
        <v>43.110199999999999</v>
      </c>
      <c r="J672" s="44">
        <f>380.1433</f>
        <v>380.14330000000001</v>
      </c>
    </row>
    <row r="673" spans="1:10" ht="15.75" x14ac:dyDescent="0.25">
      <c r="A673" s="32">
        <v>61422</v>
      </c>
      <c r="B673" s="14">
        <f>45.445 * CHOOSE(CONTROL!$C$15, $E$9, 100%, $G$9) + CHOOSE(CONTROL!$C$38, 0.0256, 0)</f>
        <v>45.470599999999997</v>
      </c>
      <c r="C673" s="14">
        <f>42.9571 * CHOOSE(CONTROL!$C$15, $E$9, 100%, $G$9) + CHOOSE(CONTROL!$C$38, 0.0347, 0)</f>
        <v>42.991799999999998</v>
      </c>
      <c r="D673" s="14">
        <f>42.9493 * CHOOSE(CONTROL!$C$15, $E$9, 100%, $G$9) + CHOOSE(CONTROL!$C$38, 0.0347, 0)</f>
        <v>42.984000000000002</v>
      </c>
      <c r="E673" s="46">
        <f>45.2887 * CHOOSE(CONTROL!$C$15, $E$9, 100%, $G$9) + CHOOSE(CONTROL!$C$38, 0.0347, 0)</f>
        <v>45.323399999999999</v>
      </c>
      <c r="F673" s="45">
        <f>45.2887 * CHOOSE(CONTROL!$C$15, $E$9, 100%, $G$9) + CHOOSE(CONTROL!$C$38, 0.0256, 0)</f>
        <v>45.314299999999996</v>
      </c>
      <c r="G673" s="14">
        <f>42.9555 * CHOOSE(CONTROL!$C$15, $E$9, 100%, $G$9) + CHOOSE(CONTROL!$C$38, 0.0347, 0)</f>
        <v>42.990200000000002</v>
      </c>
      <c r="H673" s="14">
        <f>42.9555 * CHOOSE(CONTROL!$C$15, $E$9, 100%, $G$9) + CHOOSE(CONTROL!$C$38, 0.0347, 0)</f>
        <v>42.990200000000002</v>
      </c>
      <c r="I673" s="14">
        <f>42.9571 * CHOOSE(CONTROL!$C$15, $E$9, 100%, $G$9) + CHOOSE(CONTROL!$C$38, 0.0347, 0)</f>
        <v>42.991799999999998</v>
      </c>
      <c r="J673" s="44">
        <f>379.0867</f>
        <v>379.08670000000001</v>
      </c>
    </row>
    <row r="674" spans="1:10" ht="15.75" x14ac:dyDescent="0.25">
      <c r="A674" s="32">
        <v>61453</v>
      </c>
      <c r="B674" s="14">
        <f>47.8077 * CHOOSE(CONTROL!$C$15, $E$9, 100%, $G$9) + CHOOSE(CONTROL!$C$38, 0.0256, 0)</f>
        <v>47.833299999999994</v>
      </c>
      <c r="C674" s="14">
        <f>45.1969 * CHOOSE(CONTROL!$C$15, $E$9, 100%, $G$9) + CHOOSE(CONTROL!$C$38, 0.0347, 0)</f>
        <v>45.2316</v>
      </c>
      <c r="D674" s="14">
        <f>45.1891 * CHOOSE(CONTROL!$C$15, $E$9, 100%, $G$9) + CHOOSE(CONTROL!$C$38, 0.0347, 0)</f>
        <v>45.223800000000004</v>
      </c>
      <c r="E674" s="46">
        <f>47.6514 * CHOOSE(CONTROL!$C$15, $E$9, 100%, $G$9) + CHOOSE(CONTROL!$C$38, 0.0347, 0)</f>
        <v>47.686100000000003</v>
      </c>
      <c r="F674" s="45">
        <f>47.6514 * CHOOSE(CONTROL!$C$15, $E$9, 100%, $G$9) + CHOOSE(CONTROL!$C$38, 0.0256, 0)</f>
        <v>47.677</v>
      </c>
      <c r="G674" s="14">
        <f>45.1953 * CHOOSE(CONTROL!$C$15, $E$9, 100%, $G$9) + CHOOSE(CONTROL!$C$38, 0.0347, 0)</f>
        <v>45.230000000000004</v>
      </c>
      <c r="H674" s="14">
        <f>45.1953 * CHOOSE(CONTROL!$C$15, $E$9, 100%, $G$9) + CHOOSE(CONTROL!$C$38, 0.0347, 0)</f>
        <v>45.230000000000004</v>
      </c>
      <c r="I674" s="14">
        <f>45.1969 * CHOOSE(CONTROL!$C$15, $E$9, 100%, $G$9) + CHOOSE(CONTROL!$C$38, 0.0347, 0)</f>
        <v>45.2316</v>
      </c>
      <c r="J674" s="44">
        <f>399.0667</f>
        <v>399.06670000000003</v>
      </c>
    </row>
    <row r="675" spans="1:10" ht="15.75" x14ac:dyDescent="0.25">
      <c r="A675" s="32">
        <v>61483</v>
      </c>
      <c r="B675" s="14">
        <f>50.8715 * CHOOSE(CONTROL!$C$15, $E$9, 100%, $G$9) + CHOOSE(CONTROL!$C$38, 0.0256, 0)</f>
        <v>50.897099999999995</v>
      </c>
      <c r="C675" s="14">
        <f>48.1014 * CHOOSE(CONTROL!$C$15, $E$9, 100%, $G$9) + CHOOSE(CONTROL!$C$38, 0.0347, 0)</f>
        <v>48.136099999999999</v>
      </c>
      <c r="D675" s="14">
        <f>48.0935 * CHOOSE(CONTROL!$C$15, $E$9, 100%, $G$9) + CHOOSE(CONTROL!$C$38, 0.0347, 0)</f>
        <v>48.1282</v>
      </c>
      <c r="E675" s="46">
        <f>50.7152 * CHOOSE(CONTROL!$C$15, $E$9, 100%, $G$9) + CHOOSE(CONTROL!$C$38, 0.0347, 0)</f>
        <v>50.749900000000004</v>
      </c>
      <c r="F675" s="45">
        <f>50.7152 * CHOOSE(CONTROL!$C$15, $E$9, 100%, $G$9) + CHOOSE(CONTROL!$C$38, 0.0256, 0)</f>
        <v>50.7408</v>
      </c>
      <c r="G675" s="14">
        <f>48.0998 * CHOOSE(CONTROL!$C$15, $E$9, 100%, $G$9) + CHOOSE(CONTROL!$C$38, 0.0347, 0)</f>
        <v>48.134500000000003</v>
      </c>
      <c r="H675" s="14">
        <f>48.0998 * CHOOSE(CONTROL!$C$15, $E$9, 100%, $G$9) + CHOOSE(CONTROL!$C$38, 0.0347, 0)</f>
        <v>48.134500000000003</v>
      </c>
      <c r="I675" s="14">
        <f>48.1014 * CHOOSE(CONTROL!$C$15, $E$9, 100%, $G$9) + CHOOSE(CONTROL!$C$38, 0.0347, 0)</f>
        <v>48.136099999999999</v>
      </c>
      <c r="J675" s="44">
        <f>424.9761</f>
        <v>424.97609999999997</v>
      </c>
    </row>
    <row r="676" spans="1:10" ht="15.75" x14ac:dyDescent="0.25">
      <c r="A676" s="32">
        <v>61514</v>
      </c>
      <c r="B676" s="14">
        <f>52.5579 * CHOOSE(CONTROL!$C$15, $E$9, 100%, $G$9) + CHOOSE(CONTROL!$C$38, 0.0278, 0)</f>
        <v>52.585699999999996</v>
      </c>
      <c r="C676" s="14">
        <f>49.7001 * CHOOSE(CONTROL!$C$15, $E$9, 100%, $G$9) + CHOOSE(CONTROL!$C$38, 0.0369, 0)</f>
        <v>49.737000000000002</v>
      </c>
      <c r="D676" s="14">
        <f>49.6923 * CHOOSE(CONTROL!$C$15, $E$9, 100%, $G$9) + CHOOSE(CONTROL!$C$38, 0.0369, 0)</f>
        <v>49.729200000000006</v>
      </c>
      <c r="E676" s="46">
        <f>52.4017 * CHOOSE(CONTROL!$C$15, $E$9, 100%, $G$9) + CHOOSE(CONTROL!$C$38, 0.0369, 0)</f>
        <v>52.438600000000001</v>
      </c>
      <c r="F676" s="45">
        <f>52.4017 * CHOOSE(CONTROL!$C$15, $E$9, 100%, $G$9) + CHOOSE(CONTROL!$C$38, 0.0278, 0)</f>
        <v>52.429499999999997</v>
      </c>
      <c r="G676" s="14">
        <f>49.6985 * CHOOSE(CONTROL!$C$15, $E$9, 100%, $G$9) + CHOOSE(CONTROL!$C$38, 0.0369, 0)</f>
        <v>49.735400000000006</v>
      </c>
      <c r="H676" s="14">
        <f>49.6985 * CHOOSE(CONTROL!$C$15, $E$9, 100%, $G$9) + CHOOSE(CONTROL!$C$38, 0.0369, 0)</f>
        <v>49.735400000000006</v>
      </c>
      <c r="I676" s="14">
        <f>49.7001 * CHOOSE(CONTROL!$C$15, $E$9, 100%, $G$9) + CHOOSE(CONTROL!$C$38, 0.0369, 0)</f>
        <v>49.737000000000002</v>
      </c>
      <c r="J676" s="44">
        <f>439.2374</f>
        <v>439.23739999999998</v>
      </c>
    </row>
    <row r="677" spans="1:10" ht="15.75" x14ac:dyDescent="0.25">
      <c r="A677" s="32">
        <v>61544</v>
      </c>
      <c r="B677" s="14">
        <f>53.3063 * CHOOSE(CONTROL!$C$15, $E$9, 100%, $G$9) + CHOOSE(CONTROL!$C$38, 0.0278, 0)</f>
        <v>53.334099999999999</v>
      </c>
      <c r="C677" s="14">
        <f>50.4096 * CHOOSE(CONTROL!$C$15, $E$9, 100%, $G$9) + CHOOSE(CONTROL!$C$38, 0.0369, 0)</f>
        <v>50.4465</v>
      </c>
      <c r="D677" s="14">
        <f>50.4017 * CHOOSE(CONTROL!$C$15, $E$9, 100%, $G$9) + CHOOSE(CONTROL!$C$38, 0.0369, 0)</f>
        <v>50.438600000000001</v>
      </c>
      <c r="E677" s="46">
        <f>53.1501 * CHOOSE(CONTROL!$C$15, $E$9, 100%, $G$9) + CHOOSE(CONTROL!$C$38, 0.0369, 0)</f>
        <v>53.187000000000005</v>
      </c>
      <c r="F677" s="45">
        <f>53.1501 * CHOOSE(CONTROL!$C$15, $E$9, 100%, $G$9) + CHOOSE(CONTROL!$C$38, 0.0278, 0)</f>
        <v>53.177900000000001</v>
      </c>
      <c r="G677" s="14">
        <f>50.408 * CHOOSE(CONTROL!$C$15, $E$9, 100%, $G$9) + CHOOSE(CONTROL!$C$38, 0.0369, 0)</f>
        <v>50.444900000000004</v>
      </c>
      <c r="H677" s="14">
        <f>50.408 * CHOOSE(CONTROL!$C$15, $E$9, 100%, $G$9) + CHOOSE(CONTROL!$C$38, 0.0369, 0)</f>
        <v>50.444900000000004</v>
      </c>
      <c r="I677" s="14">
        <f>50.4096 * CHOOSE(CONTROL!$C$15, $E$9, 100%, $G$9) + CHOOSE(CONTROL!$C$38, 0.0369, 0)</f>
        <v>50.4465</v>
      </c>
      <c r="J677" s="44">
        <f>445.5664</f>
        <v>445.56639999999999</v>
      </c>
    </row>
    <row r="678" spans="1:10" ht="15.75" x14ac:dyDescent="0.25">
      <c r="A678" s="32">
        <v>61575</v>
      </c>
      <c r="B678" s="14">
        <f>53.0599 * CHOOSE(CONTROL!$C$15, $E$9, 100%, $G$9) + CHOOSE(CONTROL!$C$38, 0.0278, 0)</f>
        <v>53.087699999999998</v>
      </c>
      <c r="C678" s="14">
        <f>50.176 * CHOOSE(CONTROL!$C$15, $E$9, 100%, $G$9) + CHOOSE(CONTROL!$C$38, 0.0369, 0)</f>
        <v>50.212900000000005</v>
      </c>
      <c r="D678" s="14">
        <f>50.1681 * CHOOSE(CONTROL!$C$15, $E$9, 100%, $G$9) + CHOOSE(CONTROL!$C$38, 0.0369, 0)</f>
        <v>50.205000000000005</v>
      </c>
      <c r="E678" s="46">
        <f>52.9037 * CHOOSE(CONTROL!$C$15, $E$9, 100%, $G$9) + CHOOSE(CONTROL!$C$38, 0.0369, 0)</f>
        <v>52.940600000000003</v>
      </c>
      <c r="F678" s="45">
        <f>52.9037 * CHOOSE(CONTROL!$C$15, $E$9, 100%, $G$9) + CHOOSE(CONTROL!$C$38, 0.0278, 0)</f>
        <v>52.9315</v>
      </c>
      <c r="G678" s="14">
        <f>50.1744 * CHOOSE(CONTROL!$C$15, $E$9, 100%, $G$9) + CHOOSE(CONTROL!$C$38, 0.0369, 0)</f>
        <v>50.211300000000001</v>
      </c>
      <c r="H678" s="14">
        <f>50.1744 * CHOOSE(CONTROL!$C$15, $E$9, 100%, $G$9) + CHOOSE(CONTROL!$C$38, 0.0369, 0)</f>
        <v>50.211300000000001</v>
      </c>
      <c r="I678" s="14">
        <f>50.176 * CHOOSE(CONTROL!$C$15, $E$9, 100%, $G$9) + CHOOSE(CONTROL!$C$38, 0.0369, 0)</f>
        <v>50.212900000000005</v>
      </c>
      <c r="J678" s="44">
        <f>443.4826</f>
        <v>443.48259999999999</v>
      </c>
    </row>
    <row r="679" spans="1:10" ht="15.75" x14ac:dyDescent="0.25">
      <c r="A679" s="32">
        <v>61606</v>
      </c>
      <c r="B679" s="14">
        <f>51.8391 * CHOOSE(CONTROL!$C$15, $E$9, 100%, $G$9) + CHOOSE(CONTROL!$C$38, 0.0278, 0)</f>
        <v>51.866900000000001</v>
      </c>
      <c r="C679" s="14">
        <f>49.0186 * CHOOSE(CONTROL!$C$15, $E$9, 100%, $G$9) + CHOOSE(CONTROL!$C$38, 0.0369, 0)</f>
        <v>49.055500000000002</v>
      </c>
      <c r="D679" s="14">
        <f>49.0108 * CHOOSE(CONTROL!$C$15, $E$9, 100%, $G$9) + CHOOSE(CONTROL!$C$38, 0.0369, 0)</f>
        <v>49.047700000000006</v>
      </c>
      <c r="E679" s="46">
        <f>51.6828 * CHOOSE(CONTROL!$C$15, $E$9, 100%, $G$9) + CHOOSE(CONTROL!$C$38, 0.0369, 0)</f>
        <v>51.719700000000003</v>
      </c>
      <c r="F679" s="45">
        <f>51.6828 * CHOOSE(CONTROL!$C$15, $E$9, 100%, $G$9) + CHOOSE(CONTROL!$C$38, 0.0278, 0)</f>
        <v>51.710599999999999</v>
      </c>
      <c r="G679" s="14">
        <f>49.0171 * CHOOSE(CONTROL!$C$15, $E$9, 100%, $G$9) + CHOOSE(CONTROL!$C$38, 0.0369, 0)</f>
        <v>49.054000000000002</v>
      </c>
      <c r="H679" s="14">
        <f>49.0171 * CHOOSE(CONTROL!$C$15, $E$9, 100%, $G$9) + CHOOSE(CONTROL!$C$38, 0.0369, 0)</f>
        <v>49.054000000000002</v>
      </c>
      <c r="I679" s="14">
        <f>49.0186 * CHOOSE(CONTROL!$C$15, $E$9, 100%, $G$9) + CHOOSE(CONTROL!$C$38, 0.0369, 0)</f>
        <v>49.055500000000002</v>
      </c>
      <c r="J679" s="44">
        <f>433.1585</f>
        <v>433.1585</v>
      </c>
    </row>
    <row r="680" spans="1:10" ht="15.75" x14ac:dyDescent="0.25">
      <c r="A680" s="32">
        <v>61636</v>
      </c>
      <c r="B680" s="14">
        <f>50.1365 * CHOOSE(CONTROL!$C$15, $E$9, 100%, $G$9) + CHOOSE(CONTROL!$C$38, 0.0278, 0)</f>
        <v>50.164299999999997</v>
      </c>
      <c r="C680" s="14">
        <f>47.4046 * CHOOSE(CONTROL!$C$15, $E$9, 100%, $G$9) + CHOOSE(CONTROL!$C$38, 0.0369, 0)</f>
        <v>47.441500000000005</v>
      </c>
      <c r="D680" s="14">
        <f>47.3968 * CHOOSE(CONTROL!$C$15, $E$9, 100%, $G$9) + CHOOSE(CONTROL!$C$38, 0.0369, 0)</f>
        <v>47.433700000000002</v>
      </c>
      <c r="E680" s="46">
        <f>49.9803 * CHOOSE(CONTROL!$C$15, $E$9, 100%, $G$9) + CHOOSE(CONTROL!$C$38, 0.0369, 0)</f>
        <v>50.017200000000003</v>
      </c>
      <c r="F680" s="45">
        <f>49.9803 * CHOOSE(CONTROL!$C$15, $E$9, 100%, $G$9) + CHOOSE(CONTROL!$C$38, 0.0278, 0)</f>
        <v>50.008099999999999</v>
      </c>
      <c r="G680" s="14">
        <f>47.4031 * CHOOSE(CONTROL!$C$15, $E$9, 100%, $G$9) + CHOOSE(CONTROL!$C$38, 0.0369, 0)</f>
        <v>47.440000000000005</v>
      </c>
      <c r="H680" s="14">
        <f>47.4031 * CHOOSE(CONTROL!$C$15, $E$9, 100%, $G$9) + CHOOSE(CONTROL!$C$38, 0.0369, 0)</f>
        <v>47.440000000000005</v>
      </c>
      <c r="I680" s="14">
        <f>47.4046 * CHOOSE(CONTROL!$C$15, $E$9, 100%, $G$9) + CHOOSE(CONTROL!$C$38, 0.0369, 0)</f>
        <v>47.441500000000005</v>
      </c>
      <c r="J680" s="44">
        <f>418.7611</f>
        <v>418.7611</v>
      </c>
    </row>
    <row r="681" spans="1:10" ht="15.75" x14ac:dyDescent="0.25">
      <c r="A681" s="32">
        <v>61667</v>
      </c>
      <c r="B681" s="14">
        <f>48.4241 * CHOOSE(CONTROL!$C$15, $E$9, 100%, $G$9) + CHOOSE(CONTROL!$C$38, 0.0256, 0)</f>
        <v>48.4497</v>
      </c>
      <c r="C681" s="14">
        <f>45.7813 * CHOOSE(CONTROL!$C$15, $E$9, 100%, $G$9) + CHOOSE(CONTROL!$C$38, 0.0347, 0)</f>
        <v>45.816000000000003</v>
      </c>
      <c r="D681" s="14">
        <f>45.7735 * CHOOSE(CONTROL!$C$15, $E$9, 100%, $G$9) + CHOOSE(CONTROL!$C$38, 0.0347, 0)</f>
        <v>45.808199999999999</v>
      </c>
      <c r="E681" s="46">
        <f>48.2679 * CHOOSE(CONTROL!$C$15, $E$9, 100%, $G$9) + CHOOSE(CONTROL!$C$38, 0.0347, 0)</f>
        <v>48.302599999999998</v>
      </c>
      <c r="F681" s="45">
        <f>48.2679 * CHOOSE(CONTROL!$C$15, $E$9, 100%, $G$9) + CHOOSE(CONTROL!$C$38, 0.0256, 0)</f>
        <v>48.293499999999995</v>
      </c>
      <c r="G681" s="14">
        <f>45.7797 * CHOOSE(CONTROL!$C$15, $E$9, 100%, $G$9) + CHOOSE(CONTROL!$C$38, 0.0347, 0)</f>
        <v>45.814399999999999</v>
      </c>
      <c r="H681" s="14">
        <f>45.7797 * CHOOSE(CONTROL!$C$15, $E$9, 100%, $G$9) + CHOOSE(CONTROL!$C$38, 0.0347, 0)</f>
        <v>45.814399999999999</v>
      </c>
      <c r="I681" s="14">
        <f>45.7813 * CHOOSE(CONTROL!$C$15, $E$9, 100%, $G$9) + CHOOSE(CONTROL!$C$38, 0.0347, 0)</f>
        <v>45.816000000000003</v>
      </c>
      <c r="J681" s="44">
        <f>404.2799</f>
        <v>404.2799</v>
      </c>
    </row>
    <row r="682" spans="1:10" ht="15.75" x14ac:dyDescent="0.25">
      <c r="A682" s="32">
        <v>61697</v>
      </c>
      <c r="B682" s="14">
        <f>48.0835 * CHOOSE(CONTROL!$C$15, $E$9, 100%, $G$9) + CHOOSE(CONTROL!$C$38, 0.0256, 0)</f>
        <v>48.109099999999998</v>
      </c>
      <c r="C682" s="14">
        <f>45.4584 * CHOOSE(CONTROL!$C$15, $E$9, 100%, $G$9) + CHOOSE(CONTROL!$C$38, 0.0347, 0)</f>
        <v>45.493099999999998</v>
      </c>
      <c r="D682" s="14">
        <f>45.4505 * CHOOSE(CONTROL!$C$15, $E$9, 100%, $G$9) + CHOOSE(CONTROL!$C$38, 0.0347, 0)</f>
        <v>45.485199999999999</v>
      </c>
      <c r="E682" s="46">
        <f>47.9272 * CHOOSE(CONTROL!$C$15, $E$9, 100%, $G$9) + CHOOSE(CONTROL!$C$38, 0.0347, 0)</f>
        <v>47.9619</v>
      </c>
      <c r="F682" s="45">
        <f>47.9272 * CHOOSE(CONTROL!$C$15, $E$9, 100%, $G$9) + CHOOSE(CONTROL!$C$38, 0.0256, 0)</f>
        <v>47.952799999999996</v>
      </c>
      <c r="G682" s="14">
        <f>45.4568 * CHOOSE(CONTROL!$C$15, $E$9, 100%, $G$9) + CHOOSE(CONTROL!$C$38, 0.0347, 0)</f>
        <v>45.491500000000002</v>
      </c>
      <c r="H682" s="14">
        <f>45.4568 * CHOOSE(CONTROL!$C$15, $E$9, 100%, $G$9) + CHOOSE(CONTROL!$C$38, 0.0347, 0)</f>
        <v>45.491500000000002</v>
      </c>
      <c r="I682" s="14">
        <f>45.4584 * CHOOSE(CONTROL!$C$15, $E$9, 100%, $G$9) + CHOOSE(CONTROL!$C$38, 0.0347, 0)</f>
        <v>45.493099999999998</v>
      </c>
      <c r="J682" s="44">
        <f>401.3993</f>
        <v>401.39929999999998</v>
      </c>
    </row>
    <row r="683" spans="1:10" ht="15.75" x14ac:dyDescent="0.25">
      <c r="A683" s="32">
        <v>61728</v>
      </c>
      <c r="B683" s="14">
        <f>46.6749 * CHOOSE(CONTROL!$C$15, $E$9, 100%, $G$9) + CHOOSE(CONTROL!$C$38, 0.0256, 0)</f>
        <v>46.700499999999998</v>
      </c>
      <c r="C683" s="14">
        <f>44.1231 * CHOOSE(CONTROL!$C$15, $E$9, 100%, $G$9) + CHOOSE(CONTROL!$C$38, 0.0347, 0)</f>
        <v>44.157800000000002</v>
      </c>
      <c r="D683" s="14">
        <f>44.1152 * CHOOSE(CONTROL!$C$15, $E$9, 100%, $G$9) + CHOOSE(CONTROL!$C$38, 0.0347, 0)</f>
        <v>44.149900000000002</v>
      </c>
      <c r="E683" s="46">
        <f>46.5187 * CHOOSE(CONTROL!$C$15, $E$9, 100%, $G$9) + CHOOSE(CONTROL!$C$38, 0.0347, 0)</f>
        <v>46.553400000000003</v>
      </c>
      <c r="F683" s="45">
        <f>46.5187 * CHOOSE(CONTROL!$C$15, $E$9, 100%, $G$9) + CHOOSE(CONTROL!$C$38, 0.0256, 0)</f>
        <v>46.5443</v>
      </c>
      <c r="G683" s="14">
        <f>44.1215 * CHOOSE(CONTROL!$C$15, $E$9, 100%, $G$9) + CHOOSE(CONTROL!$C$38, 0.0347, 0)</f>
        <v>44.156199999999998</v>
      </c>
      <c r="H683" s="14">
        <f>44.1215 * CHOOSE(CONTROL!$C$15, $E$9, 100%, $G$9) + CHOOSE(CONTROL!$C$38, 0.0347, 0)</f>
        <v>44.156199999999998</v>
      </c>
      <c r="I683" s="14">
        <f>44.1231 * CHOOSE(CONTROL!$C$15, $E$9, 100%, $G$9) + CHOOSE(CONTROL!$C$38, 0.0347, 0)</f>
        <v>44.157800000000002</v>
      </c>
      <c r="J683" s="44">
        <f>389.4877</f>
        <v>389.48770000000002</v>
      </c>
    </row>
    <row r="684" spans="1:10" ht="15.75" x14ac:dyDescent="0.25">
      <c r="A684" s="32">
        <v>61759</v>
      </c>
      <c r="B684" s="14">
        <f>46.3251 * CHOOSE(CONTROL!$C$15, $E$9, 100%, $G$9) + CHOOSE(CONTROL!$C$38, 0.0256, 0)</f>
        <v>46.350699999999996</v>
      </c>
      <c r="C684" s="14">
        <f>43.7915 * CHOOSE(CONTROL!$C$15, $E$9, 100%, $G$9) + CHOOSE(CONTROL!$C$38, 0.0347, 0)</f>
        <v>43.8262</v>
      </c>
      <c r="D684" s="14">
        <f>43.7836 * CHOOSE(CONTROL!$C$15, $E$9, 100%, $G$9) + CHOOSE(CONTROL!$C$38, 0.0347, 0)</f>
        <v>43.818300000000001</v>
      </c>
      <c r="E684" s="46">
        <f>46.1689 * CHOOSE(CONTROL!$C$15, $E$9, 100%, $G$9) + CHOOSE(CONTROL!$C$38, 0.0347, 0)</f>
        <v>46.203600000000002</v>
      </c>
      <c r="F684" s="45">
        <f>46.1689 * CHOOSE(CONTROL!$C$15, $E$9, 100%, $G$9) + CHOOSE(CONTROL!$C$38, 0.0256, 0)</f>
        <v>46.194499999999998</v>
      </c>
      <c r="G684" s="14">
        <f>43.7899 * CHOOSE(CONTROL!$C$15, $E$9, 100%, $G$9) + CHOOSE(CONTROL!$C$38, 0.0347, 0)</f>
        <v>43.824600000000004</v>
      </c>
      <c r="H684" s="14">
        <f>43.7899 * CHOOSE(CONTROL!$C$15, $E$9, 100%, $G$9) + CHOOSE(CONTROL!$C$38, 0.0347, 0)</f>
        <v>43.824600000000004</v>
      </c>
      <c r="I684" s="14">
        <f>43.7915 * CHOOSE(CONTROL!$C$15, $E$9, 100%, $G$9) + CHOOSE(CONTROL!$C$38, 0.0347, 0)</f>
        <v>43.8262</v>
      </c>
      <c r="J684" s="44">
        <f>389.2065</f>
        <v>389.20650000000001</v>
      </c>
    </row>
    <row r="685" spans="1:10" ht="15.75" x14ac:dyDescent="0.25">
      <c r="A685" s="32">
        <v>61787</v>
      </c>
      <c r="B685" s="14">
        <f>46.1981 * CHOOSE(CONTROL!$C$15, $E$9, 100%, $G$9) + CHOOSE(CONTROL!$C$38, 0.0256, 0)</f>
        <v>46.223699999999994</v>
      </c>
      <c r="C685" s="14">
        <f>43.671 * CHOOSE(CONTROL!$C$15, $E$9, 100%, $G$9) + CHOOSE(CONTROL!$C$38, 0.0347, 0)</f>
        <v>43.7057</v>
      </c>
      <c r="D685" s="14">
        <f>43.6632 * CHOOSE(CONTROL!$C$15, $E$9, 100%, $G$9) + CHOOSE(CONTROL!$C$38, 0.0347, 0)</f>
        <v>43.697900000000004</v>
      </c>
      <c r="E685" s="46">
        <f>46.0418 * CHOOSE(CONTROL!$C$15, $E$9, 100%, $G$9) + CHOOSE(CONTROL!$C$38, 0.0347, 0)</f>
        <v>46.076500000000003</v>
      </c>
      <c r="F685" s="45">
        <f>46.0418 * CHOOSE(CONTROL!$C$15, $E$9, 100%, $G$9) + CHOOSE(CONTROL!$C$38, 0.0256, 0)</f>
        <v>46.067399999999999</v>
      </c>
      <c r="G685" s="14">
        <f>43.6694 * CHOOSE(CONTROL!$C$15, $E$9, 100%, $G$9) + CHOOSE(CONTROL!$C$38, 0.0347, 0)</f>
        <v>43.704100000000004</v>
      </c>
      <c r="H685" s="14">
        <f>43.6694 * CHOOSE(CONTROL!$C$15, $E$9, 100%, $G$9) + CHOOSE(CONTROL!$C$38, 0.0347, 0)</f>
        <v>43.704100000000004</v>
      </c>
      <c r="I685" s="14">
        <f>43.671 * CHOOSE(CONTROL!$C$15, $E$9, 100%, $G$9) + CHOOSE(CONTROL!$C$38, 0.0347, 0)</f>
        <v>43.7057</v>
      </c>
      <c r="J685" s="44">
        <f>388.1247</f>
        <v>388.12470000000002</v>
      </c>
    </row>
    <row r="686" spans="1:10" ht="15.75" x14ac:dyDescent="0.25">
      <c r="A686" s="32">
        <v>61818</v>
      </c>
      <c r="B686" s="14">
        <f>48.6004 * CHOOSE(CONTROL!$C$15, $E$9, 100%, $G$9) + CHOOSE(CONTROL!$C$38, 0.0256, 0)</f>
        <v>48.625999999999998</v>
      </c>
      <c r="C686" s="14">
        <f>45.9484 * CHOOSE(CONTROL!$C$15, $E$9, 100%, $G$9) + CHOOSE(CONTROL!$C$38, 0.0347, 0)</f>
        <v>45.9831</v>
      </c>
      <c r="D686" s="14">
        <f>45.9406 * CHOOSE(CONTROL!$C$15, $E$9, 100%, $G$9) + CHOOSE(CONTROL!$C$38, 0.0347, 0)</f>
        <v>45.975300000000004</v>
      </c>
      <c r="E686" s="46">
        <f>48.4442 * CHOOSE(CONTROL!$C$15, $E$9, 100%, $G$9) + CHOOSE(CONTROL!$C$38, 0.0347, 0)</f>
        <v>48.478900000000003</v>
      </c>
      <c r="F686" s="45">
        <f>48.4442 * CHOOSE(CONTROL!$C$15, $E$9, 100%, $G$9) + CHOOSE(CONTROL!$C$38, 0.0256, 0)</f>
        <v>48.469799999999999</v>
      </c>
      <c r="G686" s="14">
        <f>45.9469 * CHOOSE(CONTROL!$C$15, $E$9, 100%, $G$9) + CHOOSE(CONTROL!$C$38, 0.0347, 0)</f>
        <v>45.9816</v>
      </c>
      <c r="H686" s="14">
        <f>45.9469 * CHOOSE(CONTROL!$C$15, $E$9, 100%, $G$9) + CHOOSE(CONTROL!$C$38, 0.0347, 0)</f>
        <v>45.9816</v>
      </c>
      <c r="I686" s="14">
        <f>45.9484 * CHOOSE(CONTROL!$C$15, $E$9, 100%, $G$9) + CHOOSE(CONTROL!$C$38, 0.0347, 0)</f>
        <v>45.9831</v>
      </c>
      <c r="J686" s="44">
        <f>408.5811</f>
        <v>408.58109999999999</v>
      </c>
    </row>
    <row r="687" spans="1:10" ht="15.75" x14ac:dyDescent="0.25">
      <c r="A687" s="32">
        <v>61848</v>
      </c>
      <c r="B687" s="14">
        <f>51.7157 * CHOOSE(CONTROL!$C$15, $E$9, 100%, $G$9) + CHOOSE(CONTROL!$C$38, 0.0256, 0)</f>
        <v>51.741299999999995</v>
      </c>
      <c r="C687" s="14">
        <f>48.9017 * CHOOSE(CONTROL!$C$15, $E$9, 100%, $G$9) + CHOOSE(CONTROL!$C$38, 0.0347, 0)</f>
        <v>48.936399999999999</v>
      </c>
      <c r="D687" s="14">
        <f>48.8939 * CHOOSE(CONTROL!$C$15, $E$9, 100%, $G$9) + CHOOSE(CONTROL!$C$38, 0.0347, 0)</f>
        <v>48.928600000000003</v>
      </c>
      <c r="E687" s="46">
        <f>51.5595 * CHOOSE(CONTROL!$C$15, $E$9, 100%, $G$9) + CHOOSE(CONTROL!$C$38, 0.0347, 0)</f>
        <v>51.594200000000001</v>
      </c>
      <c r="F687" s="45">
        <f>51.5595 * CHOOSE(CONTROL!$C$15, $E$9, 100%, $G$9) + CHOOSE(CONTROL!$C$38, 0.0256, 0)</f>
        <v>51.585099999999997</v>
      </c>
      <c r="G687" s="14">
        <f>48.9001 * CHOOSE(CONTROL!$C$15, $E$9, 100%, $G$9) + CHOOSE(CONTROL!$C$38, 0.0347, 0)</f>
        <v>48.934800000000003</v>
      </c>
      <c r="H687" s="14">
        <f>48.9001 * CHOOSE(CONTROL!$C$15, $E$9, 100%, $G$9) + CHOOSE(CONTROL!$C$38, 0.0347, 0)</f>
        <v>48.934800000000003</v>
      </c>
      <c r="I687" s="14">
        <f>48.9017 * CHOOSE(CONTROL!$C$15, $E$9, 100%, $G$9) + CHOOSE(CONTROL!$C$38, 0.0347, 0)</f>
        <v>48.936399999999999</v>
      </c>
      <c r="J687" s="44">
        <f>435.1081</f>
        <v>435.10809999999998</v>
      </c>
    </row>
    <row r="688" spans="1:10" ht="15.75" x14ac:dyDescent="0.25">
      <c r="A688" s="32">
        <v>61879</v>
      </c>
      <c r="B688" s="14">
        <f>53.4305 * CHOOSE(CONTROL!$C$15, $E$9, 100%, $G$9) + CHOOSE(CONTROL!$C$38, 0.0278, 0)</f>
        <v>53.458300000000001</v>
      </c>
      <c r="C688" s="14">
        <f>50.5273 * CHOOSE(CONTROL!$C$15, $E$9, 100%, $G$9) + CHOOSE(CONTROL!$C$38, 0.0369, 0)</f>
        <v>50.5642</v>
      </c>
      <c r="D688" s="14">
        <f>50.5195 * CHOOSE(CONTROL!$C$15, $E$9, 100%, $G$9) + CHOOSE(CONTROL!$C$38, 0.0369, 0)</f>
        <v>50.556400000000004</v>
      </c>
      <c r="E688" s="46">
        <f>53.2743 * CHOOSE(CONTROL!$C$15, $E$9, 100%, $G$9) + CHOOSE(CONTROL!$C$38, 0.0369, 0)</f>
        <v>53.311199999999999</v>
      </c>
      <c r="F688" s="45">
        <f>53.2743 * CHOOSE(CONTROL!$C$15, $E$9, 100%, $G$9) + CHOOSE(CONTROL!$C$38, 0.0278, 0)</f>
        <v>53.302099999999996</v>
      </c>
      <c r="G688" s="14">
        <f>50.5257 * CHOOSE(CONTROL!$C$15, $E$9, 100%, $G$9) + CHOOSE(CONTROL!$C$38, 0.0369, 0)</f>
        <v>50.562600000000003</v>
      </c>
      <c r="H688" s="14">
        <f>50.5257 * CHOOSE(CONTROL!$C$15, $E$9, 100%, $G$9) + CHOOSE(CONTROL!$C$38, 0.0369, 0)</f>
        <v>50.562600000000003</v>
      </c>
      <c r="I688" s="14">
        <f>50.5273 * CHOOSE(CONTROL!$C$15, $E$9, 100%, $G$9) + CHOOSE(CONTROL!$C$38, 0.0369, 0)</f>
        <v>50.5642</v>
      </c>
      <c r="J688" s="44">
        <f>449.7095</f>
        <v>449.70949999999999</v>
      </c>
    </row>
    <row r="689" spans="1:10" ht="15.75" x14ac:dyDescent="0.25">
      <c r="A689" s="32">
        <v>61909</v>
      </c>
      <c r="B689" s="14">
        <f>54.1915 * CHOOSE(CONTROL!$C$15, $E$9, 100%, $G$9) + CHOOSE(CONTROL!$C$38, 0.0278, 0)</f>
        <v>54.219299999999997</v>
      </c>
      <c r="C689" s="14">
        <f>51.2487 * CHOOSE(CONTROL!$C$15, $E$9, 100%, $G$9) + CHOOSE(CONTROL!$C$38, 0.0369, 0)</f>
        <v>51.285600000000002</v>
      </c>
      <c r="D689" s="14">
        <f>51.2409 * CHOOSE(CONTROL!$C$15, $E$9, 100%, $G$9) + CHOOSE(CONTROL!$C$38, 0.0369, 0)</f>
        <v>51.277800000000006</v>
      </c>
      <c r="E689" s="46">
        <f>54.0352 * CHOOSE(CONTROL!$C$15, $E$9, 100%, $G$9) + CHOOSE(CONTROL!$C$38, 0.0369, 0)</f>
        <v>54.072100000000006</v>
      </c>
      <c r="F689" s="45">
        <f>54.0352 * CHOOSE(CONTROL!$C$15, $E$9, 100%, $G$9) + CHOOSE(CONTROL!$C$38, 0.0278, 0)</f>
        <v>54.063000000000002</v>
      </c>
      <c r="G689" s="14">
        <f>51.2471 * CHOOSE(CONTROL!$C$15, $E$9, 100%, $G$9) + CHOOSE(CONTROL!$C$38, 0.0369, 0)</f>
        <v>51.284000000000006</v>
      </c>
      <c r="H689" s="14">
        <f>51.2471 * CHOOSE(CONTROL!$C$15, $E$9, 100%, $G$9) + CHOOSE(CONTROL!$C$38, 0.0369, 0)</f>
        <v>51.284000000000006</v>
      </c>
      <c r="I689" s="14">
        <f>51.2487 * CHOOSE(CONTROL!$C$15, $E$9, 100%, $G$9) + CHOOSE(CONTROL!$C$38, 0.0369, 0)</f>
        <v>51.285600000000002</v>
      </c>
      <c r="J689" s="44">
        <f>456.1893</f>
        <v>456.1893</v>
      </c>
    </row>
    <row r="690" spans="1:10" ht="15.75" x14ac:dyDescent="0.25">
      <c r="A690" s="32">
        <v>61940</v>
      </c>
      <c r="B690" s="14">
        <f>53.9409 * CHOOSE(CONTROL!$C$15, $E$9, 100%, $G$9) + CHOOSE(CONTROL!$C$38, 0.0278, 0)</f>
        <v>53.968699999999998</v>
      </c>
      <c r="C690" s="14">
        <f>51.0112 * CHOOSE(CONTROL!$C$15, $E$9, 100%, $G$9) + CHOOSE(CONTROL!$C$38, 0.0369, 0)</f>
        <v>51.048100000000005</v>
      </c>
      <c r="D690" s="14">
        <f>51.0033 * CHOOSE(CONTROL!$C$15, $E$9, 100%, $G$9) + CHOOSE(CONTROL!$C$38, 0.0369, 0)</f>
        <v>51.040200000000006</v>
      </c>
      <c r="E690" s="46">
        <f>53.7847 * CHOOSE(CONTROL!$C$15, $E$9, 100%, $G$9) + CHOOSE(CONTROL!$C$38, 0.0369, 0)</f>
        <v>53.821600000000004</v>
      </c>
      <c r="F690" s="45">
        <f>53.7847 * CHOOSE(CONTROL!$C$15, $E$9, 100%, $G$9) + CHOOSE(CONTROL!$C$38, 0.0278, 0)</f>
        <v>53.8125</v>
      </c>
      <c r="G690" s="14">
        <f>51.0096 * CHOOSE(CONTROL!$C$15, $E$9, 100%, $G$9) + CHOOSE(CONTROL!$C$38, 0.0369, 0)</f>
        <v>51.046500000000002</v>
      </c>
      <c r="H690" s="14">
        <f>51.0096 * CHOOSE(CONTROL!$C$15, $E$9, 100%, $G$9) + CHOOSE(CONTROL!$C$38, 0.0369, 0)</f>
        <v>51.046500000000002</v>
      </c>
      <c r="I690" s="14">
        <f>51.0112 * CHOOSE(CONTROL!$C$15, $E$9, 100%, $G$9) + CHOOSE(CONTROL!$C$38, 0.0369, 0)</f>
        <v>51.048100000000005</v>
      </c>
      <c r="J690" s="44">
        <f>454.0559</f>
        <v>454.05590000000001</v>
      </c>
    </row>
    <row r="691" spans="1:10" ht="15.75" x14ac:dyDescent="0.25">
      <c r="A691" s="32">
        <v>61971</v>
      </c>
      <c r="B691" s="14">
        <f>52.6996 * CHOOSE(CONTROL!$C$15, $E$9, 100%, $G$9) + CHOOSE(CONTROL!$C$38, 0.0278, 0)</f>
        <v>52.727399999999996</v>
      </c>
      <c r="C691" s="14">
        <f>49.8344 * CHOOSE(CONTROL!$C$15, $E$9, 100%, $G$9) + CHOOSE(CONTROL!$C$38, 0.0369, 0)</f>
        <v>49.871300000000005</v>
      </c>
      <c r="D691" s="14">
        <f>49.8266 * CHOOSE(CONTROL!$C$15, $E$9, 100%, $G$9) + CHOOSE(CONTROL!$C$38, 0.0369, 0)</f>
        <v>49.863500000000002</v>
      </c>
      <c r="E691" s="46">
        <f>52.5433 * CHOOSE(CONTROL!$C$15, $E$9, 100%, $G$9) + CHOOSE(CONTROL!$C$38, 0.0369, 0)</f>
        <v>52.580200000000005</v>
      </c>
      <c r="F691" s="45">
        <f>52.5433 * CHOOSE(CONTROL!$C$15, $E$9, 100%, $G$9) + CHOOSE(CONTROL!$C$38, 0.0278, 0)</f>
        <v>52.571100000000001</v>
      </c>
      <c r="G691" s="14">
        <f>49.8328 * CHOOSE(CONTROL!$C$15, $E$9, 100%, $G$9) + CHOOSE(CONTROL!$C$38, 0.0369, 0)</f>
        <v>49.869700000000002</v>
      </c>
      <c r="H691" s="14">
        <f>49.8328 * CHOOSE(CONTROL!$C$15, $E$9, 100%, $G$9) + CHOOSE(CONTROL!$C$38, 0.0369, 0)</f>
        <v>49.869700000000002</v>
      </c>
      <c r="I691" s="14">
        <f>49.8344 * CHOOSE(CONTROL!$C$15, $E$9, 100%, $G$9) + CHOOSE(CONTROL!$C$38, 0.0369, 0)</f>
        <v>49.871300000000005</v>
      </c>
      <c r="J691" s="44">
        <f>443.4857</f>
        <v>443.48570000000001</v>
      </c>
    </row>
    <row r="692" spans="1:10" ht="15.75" x14ac:dyDescent="0.25">
      <c r="A692" s="32">
        <v>62001</v>
      </c>
      <c r="B692" s="14">
        <f>50.9685 * CHOOSE(CONTROL!$C$15, $E$9, 100%, $G$9) + CHOOSE(CONTROL!$C$38, 0.0278, 0)</f>
        <v>50.996299999999998</v>
      </c>
      <c r="C692" s="14">
        <f>48.1933 * CHOOSE(CONTROL!$C$15, $E$9, 100%, $G$9) + CHOOSE(CONTROL!$C$38, 0.0369, 0)</f>
        <v>48.230200000000004</v>
      </c>
      <c r="D692" s="14">
        <f>48.1855 * CHOOSE(CONTROL!$C$15, $E$9, 100%, $G$9) + CHOOSE(CONTROL!$C$38, 0.0369, 0)</f>
        <v>48.2224</v>
      </c>
      <c r="E692" s="46">
        <f>50.8122 * CHOOSE(CONTROL!$C$15, $E$9, 100%, $G$9) + CHOOSE(CONTROL!$C$38, 0.0369, 0)</f>
        <v>50.8491</v>
      </c>
      <c r="F692" s="45">
        <f>50.8122 * CHOOSE(CONTROL!$C$15, $E$9, 100%, $G$9) + CHOOSE(CONTROL!$C$38, 0.0278, 0)</f>
        <v>50.839999999999996</v>
      </c>
      <c r="G692" s="14">
        <f>48.1917 * CHOOSE(CONTROL!$C$15, $E$9, 100%, $G$9) + CHOOSE(CONTROL!$C$38, 0.0369, 0)</f>
        <v>48.2286</v>
      </c>
      <c r="H692" s="14">
        <f>48.1917 * CHOOSE(CONTROL!$C$15, $E$9, 100%, $G$9) + CHOOSE(CONTROL!$C$38, 0.0369, 0)</f>
        <v>48.2286</v>
      </c>
      <c r="I692" s="14">
        <f>48.1933 * CHOOSE(CONTROL!$C$15, $E$9, 100%, $G$9) + CHOOSE(CONTROL!$C$38, 0.0369, 0)</f>
        <v>48.230200000000004</v>
      </c>
      <c r="J692" s="44">
        <f>428.745</f>
        <v>428.745</v>
      </c>
    </row>
    <row r="693" spans="1:10" ht="15.75" x14ac:dyDescent="0.25">
      <c r="A693" s="32">
        <v>62032</v>
      </c>
      <c r="B693" s="14">
        <f>49.2273 * CHOOSE(CONTROL!$C$15, $E$9, 100%, $G$9) + CHOOSE(CONTROL!$C$38, 0.0256, 0)</f>
        <v>49.252899999999997</v>
      </c>
      <c r="C693" s="14">
        <f>46.5427 * CHOOSE(CONTROL!$C$15, $E$9, 100%, $G$9) + CHOOSE(CONTROL!$C$38, 0.0347, 0)</f>
        <v>46.577400000000004</v>
      </c>
      <c r="D693" s="14">
        <f>46.5348 * CHOOSE(CONTROL!$C$15, $E$9, 100%, $G$9) + CHOOSE(CONTROL!$C$38, 0.0347, 0)</f>
        <v>46.569499999999998</v>
      </c>
      <c r="E693" s="46">
        <f>49.071 * CHOOSE(CONTROL!$C$15, $E$9, 100%, $G$9) + CHOOSE(CONTROL!$C$38, 0.0347, 0)</f>
        <v>49.105699999999999</v>
      </c>
      <c r="F693" s="45">
        <f>49.071 * CHOOSE(CONTROL!$C$15, $E$9, 100%, $G$9) + CHOOSE(CONTROL!$C$38, 0.0256, 0)</f>
        <v>49.096599999999995</v>
      </c>
      <c r="G693" s="14">
        <f>46.5411 * CHOOSE(CONTROL!$C$15, $E$9, 100%, $G$9) + CHOOSE(CONTROL!$C$38, 0.0347, 0)</f>
        <v>46.575800000000001</v>
      </c>
      <c r="H693" s="14">
        <f>46.5411 * CHOOSE(CONTROL!$C$15, $E$9, 100%, $G$9) + CHOOSE(CONTROL!$C$38, 0.0347, 0)</f>
        <v>46.575800000000001</v>
      </c>
      <c r="I693" s="14">
        <f>46.5427 * CHOOSE(CONTROL!$C$15, $E$9, 100%, $G$9) + CHOOSE(CONTROL!$C$38, 0.0347, 0)</f>
        <v>46.577400000000004</v>
      </c>
      <c r="J693" s="44">
        <f>413.9185</f>
        <v>413.91849999999999</v>
      </c>
    </row>
    <row r="694" spans="1:10" ht="15.75" x14ac:dyDescent="0.25">
      <c r="A694" s="32">
        <v>62062</v>
      </c>
      <c r="B694" s="14">
        <f>48.8809 * CHOOSE(CONTROL!$C$15, $E$9, 100%, $G$9) + CHOOSE(CONTROL!$C$38, 0.0256, 0)</f>
        <v>48.906499999999994</v>
      </c>
      <c r="C694" s="14">
        <f>46.2143 * CHOOSE(CONTROL!$C$15, $E$9, 100%, $G$9) + CHOOSE(CONTROL!$C$38, 0.0347, 0)</f>
        <v>46.249000000000002</v>
      </c>
      <c r="D694" s="14">
        <f>46.2065 * CHOOSE(CONTROL!$C$15, $E$9, 100%, $G$9) + CHOOSE(CONTROL!$C$38, 0.0347, 0)</f>
        <v>46.241199999999999</v>
      </c>
      <c r="E694" s="46">
        <f>48.7247 * CHOOSE(CONTROL!$C$15, $E$9, 100%, $G$9) + CHOOSE(CONTROL!$C$38, 0.0347, 0)</f>
        <v>48.759399999999999</v>
      </c>
      <c r="F694" s="45">
        <f>48.7247 * CHOOSE(CONTROL!$C$15, $E$9, 100%, $G$9) + CHOOSE(CONTROL!$C$38, 0.0256, 0)</f>
        <v>48.750299999999996</v>
      </c>
      <c r="G694" s="14">
        <f>46.2127 * CHOOSE(CONTROL!$C$15, $E$9, 100%, $G$9) + CHOOSE(CONTROL!$C$38, 0.0347, 0)</f>
        <v>46.247399999999999</v>
      </c>
      <c r="H694" s="14">
        <f>46.2127 * CHOOSE(CONTROL!$C$15, $E$9, 100%, $G$9) + CHOOSE(CONTROL!$C$38, 0.0347, 0)</f>
        <v>46.247399999999999</v>
      </c>
      <c r="I694" s="14">
        <f>46.2143 * CHOOSE(CONTROL!$C$15, $E$9, 100%, $G$9) + CHOOSE(CONTROL!$C$38, 0.0347, 0)</f>
        <v>46.249000000000002</v>
      </c>
      <c r="J694" s="44">
        <f>410.9692</f>
        <v>410.9692</v>
      </c>
    </row>
    <row r="695" spans="1:10" ht="15.75" x14ac:dyDescent="0.25">
      <c r="A695" s="32">
        <v>62093</v>
      </c>
      <c r="B695" s="14">
        <f>47.4487 * CHOOSE(CONTROL!$C$15, $E$9, 100%, $G$9) + CHOOSE(CONTROL!$C$38, 0.0256, 0)</f>
        <v>47.474299999999999</v>
      </c>
      <c r="C695" s="14">
        <f>44.8566 * CHOOSE(CONTROL!$C$15, $E$9, 100%, $G$9) + CHOOSE(CONTROL!$C$38, 0.0347, 0)</f>
        <v>44.891300000000001</v>
      </c>
      <c r="D695" s="14">
        <f>44.8488 * CHOOSE(CONTROL!$C$15, $E$9, 100%, $G$9) + CHOOSE(CONTROL!$C$38, 0.0347, 0)</f>
        <v>44.883499999999998</v>
      </c>
      <c r="E695" s="46">
        <f>47.2924 * CHOOSE(CONTROL!$C$15, $E$9, 100%, $G$9) + CHOOSE(CONTROL!$C$38, 0.0347, 0)</f>
        <v>47.327100000000002</v>
      </c>
      <c r="F695" s="45">
        <f>47.2924 * CHOOSE(CONTROL!$C$15, $E$9, 100%, $G$9) + CHOOSE(CONTROL!$C$38, 0.0256, 0)</f>
        <v>47.317999999999998</v>
      </c>
      <c r="G695" s="14">
        <f>44.855 * CHOOSE(CONTROL!$C$15, $E$9, 100%, $G$9) + CHOOSE(CONTROL!$C$38, 0.0347, 0)</f>
        <v>44.889699999999998</v>
      </c>
      <c r="H695" s="14">
        <f>44.855 * CHOOSE(CONTROL!$C$15, $E$9, 100%, $G$9) + CHOOSE(CONTROL!$C$38, 0.0347, 0)</f>
        <v>44.889699999999998</v>
      </c>
      <c r="I695" s="14">
        <f>44.8566 * CHOOSE(CONTROL!$C$15, $E$9, 100%, $G$9) + CHOOSE(CONTROL!$C$38, 0.0347, 0)</f>
        <v>44.891300000000001</v>
      </c>
      <c r="J695" s="44">
        <f>398.7737</f>
        <v>398.77370000000002</v>
      </c>
    </row>
    <row r="696" spans="1:10" ht="15.75" x14ac:dyDescent="0.25">
      <c r="A696" s="32">
        <v>62124</v>
      </c>
      <c r="B696" s="14">
        <f>47.093 * CHOOSE(CONTROL!$C$15, $E$9, 100%, $G$9) + CHOOSE(CONTROL!$C$38, 0.0256, 0)</f>
        <v>47.118600000000001</v>
      </c>
      <c r="C696" s="14">
        <f>44.5194 * CHOOSE(CONTROL!$C$15, $E$9, 100%, $G$9) + CHOOSE(CONTROL!$C$38, 0.0347, 0)</f>
        <v>44.554099999999998</v>
      </c>
      <c r="D696" s="14">
        <f>44.5116 * CHOOSE(CONTROL!$C$15, $E$9, 100%, $G$9) + CHOOSE(CONTROL!$C$38, 0.0347, 0)</f>
        <v>44.546300000000002</v>
      </c>
      <c r="E696" s="46">
        <f>46.9367 * CHOOSE(CONTROL!$C$15, $E$9, 100%, $G$9) + CHOOSE(CONTROL!$C$38, 0.0347, 0)</f>
        <v>46.971400000000003</v>
      </c>
      <c r="F696" s="45">
        <f>46.9367 * CHOOSE(CONTROL!$C$15, $E$9, 100%, $G$9) + CHOOSE(CONTROL!$C$38, 0.0256, 0)</f>
        <v>46.962299999999999</v>
      </c>
      <c r="G696" s="14">
        <f>44.5178 * CHOOSE(CONTROL!$C$15, $E$9, 100%, $G$9) + CHOOSE(CONTROL!$C$38, 0.0347, 0)</f>
        <v>44.552500000000002</v>
      </c>
      <c r="H696" s="14">
        <f>44.5178 * CHOOSE(CONTROL!$C$15, $E$9, 100%, $G$9) + CHOOSE(CONTROL!$C$38, 0.0347, 0)</f>
        <v>44.552500000000002</v>
      </c>
      <c r="I696" s="14">
        <f>44.5194 * CHOOSE(CONTROL!$C$15, $E$9, 100%, $G$9) + CHOOSE(CONTROL!$C$38, 0.0347, 0)</f>
        <v>44.554099999999998</v>
      </c>
      <c r="J696" s="44">
        <f>398.4858</f>
        <v>398.48579999999998</v>
      </c>
    </row>
    <row r="697" spans="1:10" ht="15.75" x14ac:dyDescent="0.25">
      <c r="A697" s="32">
        <v>62152</v>
      </c>
      <c r="B697" s="14">
        <f>46.9638 * CHOOSE(CONTROL!$C$15, $E$9, 100%, $G$9) + CHOOSE(CONTROL!$C$38, 0.0256, 0)</f>
        <v>46.989399999999996</v>
      </c>
      <c r="C697" s="14">
        <f>44.3969 * CHOOSE(CONTROL!$C$15, $E$9, 100%, $G$9) + CHOOSE(CONTROL!$C$38, 0.0347, 0)</f>
        <v>44.431600000000003</v>
      </c>
      <c r="D697" s="14">
        <f>44.3891 * CHOOSE(CONTROL!$C$15, $E$9, 100%, $G$9) + CHOOSE(CONTROL!$C$38, 0.0347, 0)</f>
        <v>44.4238</v>
      </c>
      <c r="E697" s="46">
        <f>46.8076 * CHOOSE(CONTROL!$C$15, $E$9, 100%, $G$9) + CHOOSE(CONTROL!$C$38, 0.0347, 0)</f>
        <v>46.842300000000002</v>
      </c>
      <c r="F697" s="45">
        <f>46.8076 * CHOOSE(CONTROL!$C$15, $E$9, 100%, $G$9) + CHOOSE(CONTROL!$C$38, 0.0256, 0)</f>
        <v>46.833199999999998</v>
      </c>
      <c r="G697" s="14">
        <f>44.3954 * CHOOSE(CONTROL!$C$15, $E$9, 100%, $G$9) + CHOOSE(CONTROL!$C$38, 0.0347, 0)</f>
        <v>44.430100000000003</v>
      </c>
      <c r="H697" s="14">
        <f>44.3954 * CHOOSE(CONTROL!$C$15, $E$9, 100%, $G$9) + CHOOSE(CONTROL!$C$38, 0.0347, 0)</f>
        <v>44.430100000000003</v>
      </c>
      <c r="I697" s="14">
        <f>44.3969 * CHOOSE(CONTROL!$C$15, $E$9, 100%, $G$9) + CHOOSE(CONTROL!$C$38, 0.0347, 0)</f>
        <v>44.431600000000003</v>
      </c>
      <c r="J697" s="44">
        <f>397.3781</f>
        <v>397.37810000000002</v>
      </c>
    </row>
    <row r="698" spans="1:10" ht="15.75" x14ac:dyDescent="0.25">
      <c r="A698" s="32">
        <v>62183</v>
      </c>
      <c r="B698" s="14">
        <f>49.4065 * CHOOSE(CONTROL!$C$15, $E$9, 100%, $G$9) + CHOOSE(CONTROL!$C$38, 0.0256, 0)</f>
        <v>49.432099999999998</v>
      </c>
      <c r="C698" s="14">
        <f>46.7126 * CHOOSE(CONTROL!$C$15, $E$9, 100%, $G$9) + CHOOSE(CONTROL!$C$38, 0.0347, 0)</f>
        <v>46.747300000000003</v>
      </c>
      <c r="D698" s="14">
        <f>46.7048 * CHOOSE(CONTROL!$C$15, $E$9, 100%, $G$9) + CHOOSE(CONTROL!$C$38, 0.0347, 0)</f>
        <v>46.7395</v>
      </c>
      <c r="E698" s="46">
        <f>49.2503 * CHOOSE(CONTROL!$C$15, $E$9, 100%, $G$9) + CHOOSE(CONTROL!$C$38, 0.0347, 0)</f>
        <v>49.285000000000004</v>
      </c>
      <c r="F698" s="45">
        <f>49.2503 * CHOOSE(CONTROL!$C$15, $E$9, 100%, $G$9) + CHOOSE(CONTROL!$C$38, 0.0256, 0)</f>
        <v>49.2759</v>
      </c>
      <c r="G698" s="14">
        <f>46.711 * CHOOSE(CONTROL!$C$15, $E$9, 100%, $G$9) + CHOOSE(CONTROL!$C$38, 0.0347, 0)</f>
        <v>46.745699999999999</v>
      </c>
      <c r="H698" s="14">
        <f>46.711 * CHOOSE(CONTROL!$C$15, $E$9, 100%, $G$9) + CHOOSE(CONTROL!$C$38, 0.0347, 0)</f>
        <v>46.745699999999999</v>
      </c>
      <c r="I698" s="14">
        <f>46.7126 * CHOOSE(CONTROL!$C$15, $E$9, 100%, $G$9) + CHOOSE(CONTROL!$C$38, 0.0347, 0)</f>
        <v>46.747300000000003</v>
      </c>
      <c r="J698" s="44">
        <f>418.3223</f>
        <v>418.32229999999998</v>
      </c>
    </row>
    <row r="699" spans="1:10" ht="15.75" x14ac:dyDescent="0.25">
      <c r="A699" s="32">
        <v>62213</v>
      </c>
      <c r="B699" s="14">
        <f>52.5742 * CHOOSE(CONTROL!$C$15, $E$9, 100%, $G$9) + CHOOSE(CONTROL!$C$38, 0.0256, 0)</f>
        <v>52.599799999999995</v>
      </c>
      <c r="C699" s="14">
        <f>49.7155 * CHOOSE(CONTROL!$C$15, $E$9, 100%, $G$9) + CHOOSE(CONTROL!$C$38, 0.0347, 0)</f>
        <v>49.7502</v>
      </c>
      <c r="D699" s="14">
        <f>49.7077 * CHOOSE(CONTROL!$C$15, $E$9, 100%, $G$9) + CHOOSE(CONTROL!$C$38, 0.0347, 0)</f>
        <v>49.742400000000004</v>
      </c>
      <c r="E699" s="46">
        <f>52.4179 * CHOOSE(CONTROL!$C$15, $E$9, 100%, $G$9) + CHOOSE(CONTROL!$C$38, 0.0347, 0)</f>
        <v>52.452600000000004</v>
      </c>
      <c r="F699" s="45">
        <f>52.4179 * CHOOSE(CONTROL!$C$15, $E$9, 100%, $G$9) + CHOOSE(CONTROL!$C$38, 0.0256, 0)</f>
        <v>52.4435</v>
      </c>
      <c r="G699" s="14">
        <f>49.7139 * CHOOSE(CONTROL!$C$15, $E$9, 100%, $G$9) + CHOOSE(CONTROL!$C$38, 0.0347, 0)</f>
        <v>49.748600000000003</v>
      </c>
      <c r="H699" s="14">
        <f>49.7139 * CHOOSE(CONTROL!$C$15, $E$9, 100%, $G$9) + CHOOSE(CONTROL!$C$38, 0.0347, 0)</f>
        <v>49.748600000000003</v>
      </c>
      <c r="I699" s="14">
        <f>49.7155 * CHOOSE(CONTROL!$C$15, $E$9, 100%, $G$9) + CHOOSE(CONTROL!$C$38, 0.0347, 0)</f>
        <v>49.7502</v>
      </c>
      <c r="J699" s="44">
        <f>445.4818</f>
        <v>445.48180000000002</v>
      </c>
    </row>
    <row r="700" spans="1:10" ht="15.75" x14ac:dyDescent="0.25">
      <c r="A700" s="32">
        <v>62244</v>
      </c>
      <c r="B700" s="14">
        <f>54.3178 * CHOOSE(CONTROL!$C$15, $E$9, 100%, $G$9) + CHOOSE(CONTROL!$C$38, 0.0278, 0)</f>
        <v>54.345599999999997</v>
      </c>
      <c r="C700" s="14">
        <f>51.3684 * CHOOSE(CONTROL!$C$15, $E$9, 100%, $G$9) + CHOOSE(CONTROL!$C$38, 0.0369, 0)</f>
        <v>51.405300000000004</v>
      </c>
      <c r="D700" s="14">
        <f>51.3606 * CHOOSE(CONTROL!$C$15, $E$9, 100%, $G$9) + CHOOSE(CONTROL!$C$38, 0.0369, 0)</f>
        <v>51.397500000000001</v>
      </c>
      <c r="E700" s="46">
        <f>54.1615 * CHOOSE(CONTROL!$C$15, $E$9, 100%, $G$9) + CHOOSE(CONTROL!$C$38, 0.0369, 0)</f>
        <v>54.198399999999999</v>
      </c>
      <c r="F700" s="45">
        <f>54.1615 * CHOOSE(CONTROL!$C$15, $E$9, 100%, $G$9) + CHOOSE(CONTROL!$C$38, 0.0278, 0)</f>
        <v>54.189299999999996</v>
      </c>
      <c r="G700" s="14">
        <f>51.3668 * CHOOSE(CONTROL!$C$15, $E$9, 100%, $G$9) + CHOOSE(CONTROL!$C$38, 0.0369, 0)</f>
        <v>51.403700000000001</v>
      </c>
      <c r="H700" s="14">
        <f>51.3668 * CHOOSE(CONTROL!$C$15, $E$9, 100%, $G$9) + CHOOSE(CONTROL!$C$38, 0.0369, 0)</f>
        <v>51.403700000000001</v>
      </c>
      <c r="I700" s="14">
        <f>51.3684 * CHOOSE(CONTROL!$C$15, $E$9, 100%, $G$9) + CHOOSE(CONTROL!$C$38, 0.0369, 0)</f>
        <v>51.405300000000004</v>
      </c>
      <c r="J700" s="44">
        <f>460.4313</f>
        <v>460.43130000000002</v>
      </c>
    </row>
    <row r="701" spans="1:10" ht="15.75" x14ac:dyDescent="0.25">
      <c r="A701" s="32">
        <v>62274</v>
      </c>
      <c r="B701" s="14">
        <f>55.0915 * CHOOSE(CONTROL!$C$15, $E$9, 100%, $G$9) + CHOOSE(CONTROL!$C$38, 0.0278, 0)</f>
        <v>55.119300000000003</v>
      </c>
      <c r="C701" s="14">
        <f>52.1019 * CHOOSE(CONTROL!$C$15, $E$9, 100%, $G$9) + CHOOSE(CONTROL!$C$38, 0.0369, 0)</f>
        <v>52.138800000000003</v>
      </c>
      <c r="D701" s="14">
        <f>52.0941 * CHOOSE(CONTROL!$C$15, $E$9, 100%, $G$9) + CHOOSE(CONTROL!$C$38, 0.0369, 0)</f>
        <v>52.131</v>
      </c>
      <c r="E701" s="46">
        <f>54.9353 * CHOOSE(CONTROL!$C$15, $E$9, 100%, $G$9) + CHOOSE(CONTROL!$C$38, 0.0369, 0)</f>
        <v>54.972200000000001</v>
      </c>
      <c r="F701" s="45">
        <f>54.9353 * CHOOSE(CONTROL!$C$15, $E$9, 100%, $G$9) + CHOOSE(CONTROL!$C$38, 0.0278, 0)</f>
        <v>54.963099999999997</v>
      </c>
      <c r="G701" s="14">
        <f>52.1003 * CHOOSE(CONTROL!$C$15, $E$9, 100%, $G$9) + CHOOSE(CONTROL!$C$38, 0.0369, 0)</f>
        <v>52.1372</v>
      </c>
      <c r="H701" s="14">
        <f>52.1003 * CHOOSE(CONTROL!$C$15, $E$9, 100%, $G$9) + CHOOSE(CONTROL!$C$38, 0.0369, 0)</f>
        <v>52.1372</v>
      </c>
      <c r="I701" s="14">
        <f>52.1019 * CHOOSE(CONTROL!$C$15, $E$9, 100%, $G$9) + CHOOSE(CONTROL!$C$38, 0.0369, 0)</f>
        <v>52.138800000000003</v>
      </c>
      <c r="J701" s="44">
        <f>467.0656</f>
        <v>467.06560000000002</v>
      </c>
    </row>
    <row r="702" spans="1:10" ht="15.75" x14ac:dyDescent="0.25">
      <c r="A702" s="32">
        <v>62305</v>
      </c>
      <c r="B702" s="14">
        <f>54.8368 * CHOOSE(CONTROL!$C$15, $E$9, 100%, $G$9) + CHOOSE(CONTROL!$C$38, 0.0278, 0)</f>
        <v>54.864599999999996</v>
      </c>
      <c r="C702" s="14">
        <f>51.8604 * CHOOSE(CONTROL!$C$15, $E$9, 100%, $G$9) + CHOOSE(CONTROL!$C$38, 0.0369, 0)</f>
        <v>51.897300000000001</v>
      </c>
      <c r="D702" s="14">
        <f>51.8526 * CHOOSE(CONTROL!$C$15, $E$9, 100%, $G$9) + CHOOSE(CONTROL!$C$38, 0.0369, 0)</f>
        <v>51.889500000000005</v>
      </c>
      <c r="E702" s="46">
        <f>54.6805 * CHOOSE(CONTROL!$C$15, $E$9, 100%, $G$9) + CHOOSE(CONTROL!$C$38, 0.0369, 0)</f>
        <v>54.717400000000005</v>
      </c>
      <c r="F702" s="45">
        <f>54.6805 * CHOOSE(CONTROL!$C$15, $E$9, 100%, $G$9) + CHOOSE(CONTROL!$C$38, 0.0278, 0)</f>
        <v>54.708300000000001</v>
      </c>
      <c r="G702" s="14">
        <f>51.8588 * CHOOSE(CONTROL!$C$15, $E$9, 100%, $G$9) + CHOOSE(CONTROL!$C$38, 0.0369, 0)</f>
        <v>51.895700000000005</v>
      </c>
      <c r="H702" s="14">
        <f>51.8588 * CHOOSE(CONTROL!$C$15, $E$9, 100%, $G$9) + CHOOSE(CONTROL!$C$38, 0.0369, 0)</f>
        <v>51.895700000000005</v>
      </c>
      <c r="I702" s="14">
        <f>51.8604 * CHOOSE(CONTROL!$C$15, $E$9, 100%, $G$9) + CHOOSE(CONTROL!$C$38, 0.0369, 0)</f>
        <v>51.897300000000001</v>
      </c>
      <c r="J702" s="44">
        <f>464.8813</f>
        <v>464.88130000000001</v>
      </c>
    </row>
    <row r="703" spans="1:10" ht="15.75" x14ac:dyDescent="0.25">
      <c r="A703" s="32">
        <v>62336</v>
      </c>
      <c r="B703" s="14">
        <f>53.5746 * CHOOSE(CONTROL!$C$15, $E$9, 100%, $G$9) + CHOOSE(CONTROL!$C$38, 0.0278, 0)</f>
        <v>53.602399999999996</v>
      </c>
      <c r="C703" s="14">
        <f>50.6638 * CHOOSE(CONTROL!$C$15, $E$9, 100%, $G$9) + CHOOSE(CONTROL!$C$38, 0.0369, 0)</f>
        <v>50.700700000000005</v>
      </c>
      <c r="D703" s="14">
        <f>50.656 * CHOOSE(CONTROL!$C$15, $E$9, 100%, $G$9) + CHOOSE(CONTROL!$C$38, 0.0369, 0)</f>
        <v>50.692900000000002</v>
      </c>
      <c r="E703" s="46">
        <f>53.4183 * CHOOSE(CONTROL!$C$15, $E$9, 100%, $G$9) + CHOOSE(CONTROL!$C$38, 0.0369, 0)</f>
        <v>53.455200000000005</v>
      </c>
      <c r="F703" s="45">
        <f>53.4183 * CHOOSE(CONTROL!$C$15, $E$9, 100%, $G$9) + CHOOSE(CONTROL!$C$38, 0.0278, 0)</f>
        <v>53.446100000000001</v>
      </c>
      <c r="G703" s="14">
        <f>50.6623 * CHOOSE(CONTROL!$C$15, $E$9, 100%, $G$9) + CHOOSE(CONTROL!$C$38, 0.0369, 0)</f>
        <v>50.699200000000005</v>
      </c>
      <c r="H703" s="14">
        <f>50.6623 * CHOOSE(CONTROL!$C$15, $E$9, 100%, $G$9) + CHOOSE(CONTROL!$C$38, 0.0369, 0)</f>
        <v>50.699200000000005</v>
      </c>
      <c r="I703" s="14">
        <f>50.6638 * CHOOSE(CONTROL!$C$15, $E$9, 100%, $G$9) + CHOOSE(CONTROL!$C$38, 0.0369, 0)</f>
        <v>50.700700000000005</v>
      </c>
      <c r="J703" s="44">
        <f>454.059</f>
        <v>454.05900000000003</v>
      </c>
    </row>
    <row r="704" spans="1:10" ht="15.75" x14ac:dyDescent="0.25">
      <c r="A704" s="32">
        <v>62366</v>
      </c>
      <c r="B704" s="14">
        <f>51.8143 * CHOOSE(CONTROL!$C$15, $E$9, 100%, $G$9) + CHOOSE(CONTROL!$C$38, 0.0278, 0)</f>
        <v>51.842100000000002</v>
      </c>
      <c r="C704" s="14">
        <f>48.9952 * CHOOSE(CONTROL!$C$15, $E$9, 100%, $G$9) + CHOOSE(CONTROL!$C$38, 0.0369, 0)</f>
        <v>49.0321</v>
      </c>
      <c r="D704" s="14">
        <f>48.9874 * CHOOSE(CONTROL!$C$15, $E$9, 100%, $G$9) + CHOOSE(CONTROL!$C$38, 0.0369, 0)</f>
        <v>49.024300000000004</v>
      </c>
      <c r="E704" s="46">
        <f>51.6581 * CHOOSE(CONTROL!$C$15, $E$9, 100%, $G$9) + CHOOSE(CONTROL!$C$38, 0.0369, 0)</f>
        <v>51.695</v>
      </c>
      <c r="F704" s="45">
        <f>51.6581 * CHOOSE(CONTROL!$C$15, $E$9, 100%, $G$9) + CHOOSE(CONTROL!$C$38, 0.0278, 0)</f>
        <v>51.685899999999997</v>
      </c>
      <c r="G704" s="14">
        <f>48.9936 * CHOOSE(CONTROL!$C$15, $E$9, 100%, $G$9) + CHOOSE(CONTROL!$C$38, 0.0369, 0)</f>
        <v>49.030500000000004</v>
      </c>
      <c r="H704" s="14">
        <f>48.9936 * CHOOSE(CONTROL!$C$15, $E$9, 100%, $G$9) + CHOOSE(CONTROL!$C$38, 0.0369, 0)</f>
        <v>49.030500000000004</v>
      </c>
      <c r="I704" s="14">
        <f>48.9952 * CHOOSE(CONTROL!$C$15, $E$9, 100%, $G$9) + CHOOSE(CONTROL!$C$38, 0.0369, 0)</f>
        <v>49.0321</v>
      </c>
      <c r="J704" s="44">
        <f>438.9669</f>
        <v>438.96690000000001</v>
      </c>
    </row>
    <row r="705" spans="1:10" ht="15.75" x14ac:dyDescent="0.25">
      <c r="A705" s="32">
        <v>62397</v>
      </c>
      <c r="B705" s="14">
        <f>50.0439 * CHOOSE(CONTROL!$C$15, $E$9, 100%, $G$9) + CHOOSE(CONTROL!$C$38, 0.0256, 0)</f>
        <v>50.069499999999998</v>
      </c>
      <c r="C705" s="14">
        <f>47.3168 * CHOOSE(CONTROL!$C$15, $E$9, 100%, $G$9) + CHOOSE(CONTROL!$C$38, 0.0347, 0)</f>
        <v>47.351500000000001</v>
      </c>
      <c r="D705" s="14">
        <f>47.309 * CHOOSE(CONTROL!$C$15, $E$9, 100%, $G$9) + CHOOSE(CONTROL!$C$38, 0.0347, 0)</f>
        <v>47.343699999999998</v>
      </c>
      <c r="E705" s="46">
        <f>49.8876 * CHOOSE(CONTROL!$C$15, $E$9, 100%, $G$9) + CHOOSE(CONTROL!$C$38, 0.0347, 0)</f>
        <v>49.9223</v>
      </c>
      <c r="F705" s="45">
        <f>49.8876 * CHOOSE(CONTROL!$C$15, $E$9, 100%, $G$9) + CHOOSE(CONTROL!$C$38, 0.0256, 0)</f>
        <v>49.913199999999996</v>
      </c>
      <c r="G705" s="14">
        <f>47.3152 * CHOOSE(CONTROL!$C$15, $E$9, 100%, $G$9) + CHOOSE(CONTROL!$C$38, 0.0347, 0)</f>
        <v>47.349899999999998</v>
      </c>
      <c r="H705" s="14">
        <f>47.3152 * CHOOSE(CONTROL!$C$15, $E$9, 100%, $G$9) + CHOOSE(CONTROL!$C$38, 0.0347, 0)</f>
        <v>47.349899999999998</v>
      </c>
      <c r="I705" s="14">
        <f>47.3168 * CHOOSE(CONTROL!$C$15, $E$9, 100%, $G$9) + CHOOSE(CONTROL!$C$38, 0.0347, 0)</f>
        <v>47.351500000000001</v>
      </c>
      <c r="J705" s="44">
        <f>423.787</f>
        <v>423.78699999999998</v>
      </c>
    </row>
    <row r="706" spans="1:10" ht="15.75" x14ac:dyDescent="0.25">
      <c r="A706" s="32">
        <v>62427</v>
      </c>
      <c r="B706" s="14">
        <f>49.6917 * CHOOSE(CONTROL!$C$15, $E$9, 100%, $G$9) + CHOOSE(CONTROL!$C$38, 0.0256, 0)</f>
        <v>49.717299999999994</v>
      </c>
      <c r="C706" s="14">
        <f>46.983 * CHOOSE(CONTROL!$C$15, $E$9, 100%, $G$9) + CHOOSE(CONTROL!$C$38, 0.0347, 0)</f>
        <v>47.017699999999998</v>
      </c>
      <c r="D706" s="14">
        <f>46.9751 * CHOOSE(CONTROL!$C$15, $E$9, 100%, $G$9) + CHOOSE(CONTROL!$C$38, 0.0347, 0)</f>
        <v>47.009799999999998</v>
      </c>
      <c r="E706" s="46">
        <f>49.5355 * CHOOSE(CONTROL!$C$15, $E$9, 100%, $G$9) + CHOOSE(CONTROL!$C$38, 0.0347, 0)</f>
        <v>49.5702</v>
      </c>
      <c r="F706" s="45">
        <f>49.5355 * CHOOSE(CONTROL!$C$15, $E$9, 100%, $G$9) + CHOOSE(CONTROL!$C$38, 0.0256, 0)</f>
        <v>49.561099999999996</v>
      </c>
      <c r="G706" s="14">
        <f>46.9814 * CHOOSE(CONTROL!$C$15, $E$9, 100%, $G$9) + CHOOSE(CONTROL!$C$38, 0.0347, 0)</f>
        <v>47.016100000000002</v>
      </c>
      <c r="H706" s="14">
        <f>46.9814 * CHOOSE(CONTROL!$C$15, $E$9, 100%, $G$9) + CHOOSE(CONTROL!$C$38, 0.0347, 0)</f>
        <v>47.016100000000002</v>
      </c>
      <c r="I706" s="14">
        <f>46.983 * CHOOSE(CONTROL!$C$15, $E$9, 100%, $G$9) + CHOOSE(CONTROL!$C$38, 0.0347, 0)</f>
        <v>47.017699999999998</v>
      </c>
      <c r="J706" s="44">
        <f>420.7674</f>
        <v>420.76740000000001</v>
      </c>
    </row>
    <row r="707" spans="1:10" ht="15.75" x14ac:dyDescent="0.25">
      <c r="A707" s="32">
        <v>62458</v>
      </c>
      <c r="B707" s="14">
        <f>48.2354 * CHOOSE(CONTROL!$C$15, $E$9, 100%, $G$9) + CHOOSE(CONTROL!$C$38, 0.0256, 0)</f>
        <v>48.260999999999996</v>
      </c>
      <c r="C707" s="14">
        <f>45.6024 * CHOOSE(CONTROL!$C$15, $E$9, 100%, $G$9) + CHOOSE(CONTROL!$C$38, 0.0347, 0)</f>
        <v>45.637100000000004</v>
      </c>
      <c r="D707" s="14">
        <f>45.5946 * CHOOSE(CONTROL!$C$15, $E$9, 100%, $G$9) + CHOOSE(CONTROL!$C$38, 0.0347, 0)</f>
        <v>45.629300000000001</v>
      </c>
      <c r="E707" s="46">
        <f>48.0792 * CHOOSE(CONTROL!$C$15, $E$9, 100%, $G$9) + CHOOSE(CONTROL!$C$38, 0.0347, 0)</f>
        <v>48.113900000000001</v>
      </c>
      <c r="F707" s="45">
        <f>48.0792 * CHOOSE(CONTROL!$C$15, $E$9, 100%, $G$9) + CHOOSE(CONTROL!$C$38, 0.0256, 0)</f>
        <v>48.104799999999997</v>
      </c>
      <c r="G707" s="14">
        <f>45.6008 * CHOOSE(CONTROL!$C$15, $E$9, 100%, $G$9) + CHOOSE(CONTROL!$C$38, 0.0347, 0)</f>
        <v>45.6355</v>
      </c>
      <c r="H707" s="14">
        <f>45.6008 * CHOOSE(CONTROL!$C$15, $E$9, 100%, $G$9) + CHOOSE(CONTROL!$C$38, 0.0347, 0)</f>
        <v>45.6355</v>
      </c>
      <c r="I707" s="14">
        <f>45.6024 * CHOOSE(CONTROL!$C$15, $E$9, 100%, $G$9) + CHOOSE(CONTROL!$C$38, 0.0347, 0)</f>
        <v>45.637100000000004</v>
      </c>
      <c r="J707" s="44">
        <f>408.2811</f>
        <v>408.28109999999998</v>
      </c>
    </row>
    <row r="708" spans="1:10" ht="15.75" x14ac:dyDescent="0.25">
      <c r="A708" s="32">
        <v>62489</v>
      </c>
      <c r="B708" s="14">
        <f>47.8738 * CHOOSE(CONTROL!$C$15, $E$9, 100%, $G$9) + CHOOSE(CONTROL!$C$38, 0.0256, 0)</f>
        <v>47.8994</v>
      </c>
      <c r="C708" s="14">
        <f>45.2596 * CHOOSE(CONTROL!$C$15, $E$9, 100%, $G$9) + CHOOSE(CONTROL!$C$38, 0.0347, 0)</f>
        <v>45.2943</v>
      </c>
      <c r="D708" s="14">
        <f>45.2518 * CHOOSE(CONTROL!$C$15, $E$9, 100%, $G$9) + CHOOSE(CONTROL!$C$38, 0.0347, 0)</f>
        <v>45.286500000000004</v>
      </c>
      <c r="E708" s="46">
        <f>47.7175 * CHOOSE(CONTROL!$C$15, $E$9, 100%, $G$9) + CHOOSE(CONTROL!$C$38, 0.0347, 0)</f>
        <v>47.752200000000002</v>
      </c>
      <c r="F708" s="45">
        <f>47.7175 * CHOOSE(CONTROL!$C$15, $E$9, 100%, $G$9) + CHOOSE(CONTROL!$C$38, 0.0256, 0)</f>
        <v>47.743099999999998</v>
      </c>
      <c r="G708" s="14">
        <f>45.258 * CHOOSE(CONTROL!$C$15, $E$9, 100%, $G$9) + CHOOSE(CONTROL!$C$38, 0.0347, 0)</f>
        <v>45.292700000000004</v>
      </c>
      <c r="H708" s="14">
        <f>45.258 * CHOOSE(CONTROL!$C$15, $E$9, 100%, $G$9) + CHOOSE(CONTROL!$C$38, 0.0347, 0)</f>
        <v>45.292700000000004</v>
      </c>
      <c r="I708" s="14">
        <f>45.2596 * CHOOSE(CONTROL!$C$15, $E$9, 100%, $G$9) + CHOOSE(CONTROL!$C$38, 0.0347, 0)</f>
        <v>45.2943</v>
      </c>
      <c r="J708" s="44">
        <f>407.9863</f>
        <v>407.98630000000003</v>
      </c>
    </row>
    <row r="709" spans="1:10" ht="15.75" x14ac:dyDescent="0.25">
      <c r="A709" s="32">
        <v>62517</v>
      </c>
      <c r="B709" s="14">
        <f>47.7424 * CHOOSE(CONTROL!$C$15, $E$9, 100%, $G$9) + CHOOSE(CONTROL!$C$38, 0.0256, 0)</f>
        <v>47.768000000000001</v>
      </c>
      <c r="C709" s="14">
        <f>45.135 * CHOOSE(CONTROL!$C$15, $E$9, 100%, $G$9) + CHOOSE(CONTROL!$C$38, 0.0347, 0)</f>
        <v>45.169699999999999</v>
      </c>
      <c r="D709" s="14">
        <f>45.1272 * CHOOSE(CONTROL!$C$15, $E$9, 100%, $G$9) + CHOOSE(CONTROL!$C$38, 0.0347, 0)</f>
        <v>45.161900000000003</v>
      </c>
      <c r="E709" s="46">
        <f>47.5862 * CHOOSE(CONTROL!$C$15, $E$9, 100%, $G$9) + CHOOSE(CONTROL!$C$38, 0.0347, 0)</f>
        <v>47.620899999999999</v>
      </c>
      <c r="F709" s="45">
        <f>47.5862 * CHOOSE(CONTROL!$C$15, $E$9, 100%, $G$9) + CHOOSE(CONTROL!$C$38, 0.0256, 0)</f>
        <v>47.611799999999995</v>
      </c>
      <c r="G709" s="14">
        <f>45.1335 * CHOOSE(CONTROL!$C$15, $E$9, 100%, $G$9) + CHOOSE(CONTROL!$C$38, 0.0347, 0)</f>
        <v>45.168199999999999</v>
      </c>
      <c r="H709" s="14">
        <f>45.1335 * CHOOSE(CONTROL!$C$15, $E$9, 100%, $G$9) + CHOOSE(CONTROL!$C$38, 0.0347, 0)</f>
        <v>45.168199999999999</v>
      </c>
      <c r="I709" s="14">
        <f>45.135 * CHOOSE(CONTROL!$C$15, $E$9, 100%, $G$9) + CHOOSE(CONTROL!$C$38, 0.0347, 0)</f>
        <v>45.169699999999999</v>
      </c>
      <c r="J709" s="44">
        <f>406.8522</f>
        <v>406.85219999999998</v>
      </c>
    </row>
    <row r="710" spans="1:10" ht="15.75" x14ac:dyDescent="0.25">
      <c r="A710" s="32">
        <v>62548</v>
      </c>
      <c r="B710" s="14">
        <f>50.2262 * CHOOSE(CONTROL!$C$15, $E$9, 100%, $G$9) + CHOOSE(CONTROL!$C$38, 0.0256, 0)</f>
        <v>50.251799999999996</v>
      </c>
      <c r="C710" s="14">
        <f>47.4896 * CHOOSE(CONTROL!$C$15, $E$9, 100%, $G$9) + CHOOSE(CONTROL!$C$38, 0.0347, 0)</f>
        <v>47.524300000000004</v>
      </c>
      <c r="D710" s="14">
        <f>47.4818 * CHOOSE(CONTROL!$C$15, $E$9, 100%, $G$9) + CHOOSE(CONTROL!$C$38, 0.0347, 0)</f>
        <v>47.516500000000001</v>
      </c>
      <c r="E710" s="46">
        <f>50.0699 * CHOOSE(CONTROL!$C$15, $E$9, 100%, $G$9) + CHOOSE(CONTROL!$C$38, 0.0347, 0)</f>
        <v>50.104599999999998</v>
      </c>
      <c r="F710" s="45">
        <f>50.0699 * CHOOSE(CONTROL!$C$15, $E$9, 100%, $G$9) + CHOOSE(CONTROL!$C$38, 0.0256, 0)</f>
        <v>50.095499999999994</v>
      </c>
      <c r="G710" s="14">
        <f>47.4881 * CHOOSE(CONTROL!$C$15, $E$9, 100%, $G$9) + CHOOSE(CONTROL!$C$38, 0.0347, 0)</f>
        <v>47.522800000000004</v>
      </c>
      <c r="H710" s="14">
        <f>47.4881 * CHOOSE(CONTROL!$C$15, $E$9, 100%, $G$9) + CHOOSE(CONTROL!$C$38, 0.0347, 0)</f>
        <v>47.522800000000004</v>
      </c>
      <c r="I710" s="14">
        <f>47.4896 * CHOOSE(CONTROL!$C$15, $E$9, 100%, $G$9) + CHOOSE(CONTROL!$C$38, 0.0347, 0)</f>
        <v>47.524300000000004</v>
      </c>
      <c r="J710" s="44">
        <f>428.2957</f>
        <v>428.29570000000001</v>
      </c>
    </row>
    <row r="711" spans="1:10" ht="15.75" x14ac:dyDescent="0.25">
      <c r="A711" s="32">
        <v>62578</v>
      </c>
      <c r="B711" s="14">
        <f>53.4471 * CHOOSE(CONTROL!$C$15, $E$9, 100%, $G$9) + CHOOSE(CONTROL!$C$38, 0.0256, 0)</f>
        <v>53.472699999999996</v>
      </c>
      <c r="C711" s="14">
        <f>50.543 * CHOOSE(CONTROL!$C$15, $E$9, 100%, $G$9) + CHOOSE(CONTROL!$C$38, 0.0347, 0)</f>
        <v>50.5777</v>
      </c>
      <c r="D711" s="14">
        <f>50.5351 * CHOOSE(CONTROL!$C$15, $E$9, 100%, $G$9) + CHOOSE(CONTROL!$C$38, 0.0347, 0)</f>
        <v>50.569800000000001</v>
      </c>
      <c r="E711" s="46">
        <f>53.2908 * CHOOSE(CONTROL!$C$15, $E$9, 100%, $G$9) + CHOOSE(CONTROL!$C$38, 0.0347, 0)</f>
        <v>53.325499999999998</v>
      </c>
      <c r="F711" s="45">
        <f>53.2908 * CHOOSE(CONTROL!$C$15, $E$9, 100%, $G$9) + CHOOSE(CONTROL!$C$38, 0.0256, 0)</f>
        <v>53.316399999999994</v>
      </c>
      <c r="G711" s="14">
        <f>50.5414 * CHOOSE(CONTROL!$C$15, $E$9, 100%, $G$9) + CHOOSE(CONTROL!$C$38, 0.0347, 0)</f>
        <v>50.576100000000004</v>
      </c>
      <c r="H711" s="14">
        <f>50.5414 * CHOOSE(CONTROL!$C$15, $E$9, 100%, $G$9) + CHOOSE(CONTROL!$C$38, 0.0347, 0)</f>
        <v>50.576100000000004</v>
      </c>
      <c r="I711" s="14">
        <f>50.543 * CHOOSE(CONTROL!$C$15, $E$9, 100%, $G$9) + CHOOSE(CONTROL!$C$38, 0.0347, 0)</f>
        <v>50.5777</v>
      </c>
      <c r="J711" s="44">
        <f>456.1027</f>
        <v>456.10270000000003</v>
      </c>
    </row>
    <row r="712" spans="1:10" ht="15.75" x14ac:dyDescent="0.25">
      <c r="A712" s="32">
        <v>62609</v>
      </c>
      <c r="B712" s="14">
        <f>55.2199 * CHOOSE(CONTROL!$C$15, $E$9, 100%, $G$9) + CHOOSE(CONTROL!$C$38, 0.0278, 0)</f>
        <v>55.247700000000002</v>
      </c>
      <c r="C712" s="14">
        <f>52.2236 * CHOOSE(CONTROL!$C$15, $E$9, 100%, $G$9) + CHOOSE(CONTROL!$C$38, 0.0369, 0)</f>
        <v>52.2605</v>
      </c>
      <c r="D712" s="14">
        <f>52.2158 * CHOOSE(CONTROL!$C$15, $E$9, 100%, $G$9) + CHOOSE(CONTROL!$C$38, 0.0369, 0)</f>
        <v>52.252700000000004</v>
      </c>
      <c r="E712" s="46">
        <f>55.0637 * CHOOSE(CONTROL!$C$15, $E$9, 100%, $G$9) + CHOOSE(CONTROL!$C$38, 0.0369, 0)</f>
        <v>55.1006</v>
      </c>
      <c r="F712" s="45">
        <f>55.0637 * CHOOSE(CONTROL!$C$15, $E$9, 100%, $G$9) + CHOOSE(CONTROL!$C$38, 0.0278, 0)</f>
        <v>55.091499999999996</v>
      </c>
      <c r="G712" s="14">
        <f>52.222 * CHOOSE(CONTROL!$C$15, $E$9, 100%, $G$9) + CHOOSE(CONTROL!$C$38, 0.0369, 0)</f>
        <v>52.258900000000004</v>
      </c>
      <c r="H712" s="14">
        <f>52.222 * CHOOSE(CONTROL!$C$15, $E$9, 100%, $G$9) + CHOOSE(CONTROL!$C$38, 0.0369, 0)</f>
        <v>52.258900000000004</v>
      </c>
      <c r="I712" s="14">
        <f>52.2236 * CHOOSE(CONTROL!$C$15, $E$9, 100%, $G$9) + CHOOSE(CONTROL!$C$38, 0.0369, 0)</f>
        <v>52.2605</v>
      </c>
      <c r="J712" s="44">
        <f>471.4086</f>
        <v>471.40859999999998</v>
      </c>
    </row>
    <row r="713" spans="1:10" ht="15.75" x14ac:dyDescent="0.25">
      <c r="A713" s="32">
        <v>62639</v>
      </c>
      <c r="B713" s="14">
        <f>56.0067 * CHOOSE(CONTROL!$C$15, $E$9, 100%, $G$9) + CHOOSE(CONTROL!$C$38, 0.0278, 0)</f>
        <v>56.034500000000001</v>
      </c>
      <c r="C713" s="14">
        <f>52.9695 * CHOOSE(CONTROL!$C$15, $E$9, 100%, $G$9) + CHOOSE(CONTROL!$C$38, 0.0369, 0)</f>
        <v>53.006399999999999</v>
      </c>
      <c r="D713" s="14">
        <f>52.9616 * CHOOSE(CONTROL!$C$15, $E$9, 100%, $G$9) + CHOOSE(CONTROL!$C$38, 0.0369, 0)</f>
        <v>52.9985</v>
      </c>
      <c r="E713" s="46">
        <f>55.8504 * CHOOSE(CONTROL!$C$15, $E$9, 100%, $G$9) + CHOOSE(CONTROL!$C$38, 0.0369, 0)</f>
        <v>55.887300000000003</v>
      </c>
      <c r="F713" s="45">
        <f>55.8504 * CHOOSE(CONTROL!$C$15, $E$9, 100%, $G$9) + CHOOSE(CONTROL!$C$38, 0.0278, 0)</f>
        <v>55.8782</v>
      </c>
      <c r="G713" s="14">
        <f>52.9679 * CHOOSE(CONTROL!$C$15, $E$9, 100%, $G$9) + CHOOSE(CONTROL!$C$38, 0.0369, 0)</f>
        <v>53.004800000000003</v>
      </c>
      <c r="H713" s="14">
        <f>52.9679 * CHOOSE(CONTROL!$C$15, $E$9, 100%, $G$9) + CHOOSE(CONTROL!$C$38, 0.0369, 0)</f>
        <v>53.004800000000003</v>
      </c>
      <c r="I713" s="14">
        <f>52.9695 * CHOOSE(CONTROL!$C$15, $E$9, 100%, $G$9) + CHOOSE(CONTROL!$C$38, 0.0369, 0)</f>
        <v>53.006399999999999</v>
      </c>
      <c r="J713" s="44">
        <f>478.2011</f>
        <v>478.2011</v>
      </c>
    </row>
    <row r="714" spans="1:10" ht="15.75" x14ac:dyDescent="0.25">
      <c r="A714" s="32">
        <v>62670</v>
      </c>
      <c r="B714" s="14">
        <f>55.7476 * CHOOSE(CONTROL!$C$15, $E$9, 100%, $G$9) + CHOOSE(CONTROL!$C$38, 0.0278, 0)</f>
        <v>55.775399999999998</v>
      </c>
      <c r="C714" s="14">
        <f>52.7239 * CHOOSE(CONTROL!$C$15, $E$9, 100%, $G$9) + CHOOSE(CONTROL!$C$38, 0.0369, 0)</f>
        <v>52.760800000000003</v>
      </c>
      <c r="D714" s="14">
        <f>52.7161 * CHOOSE(CONTROL!$C$15, $E$9, 100%, $G$9) + CHOOSE(CONTROL!$C$38, 0.0369, 0)</f>
        <v>52.753</v>
      </c>
      <c r="E714" s="46">
        <f>55.5914 * CHOOSE(CONTROL!$C$15, $E$9, 100%, $G$9) + CHOOSE(CONTROL!$C$38, 0.0369, 0)</f>
        <v>55.628300000000003</v>
      </c>
      <c r="F714" s="45">
        <f>55.5914 * CHOOSE(CONTROL!$C$15, $E$9, 100%, $G$9) + CHOOSE(CONTROL!$C$38, 0.0278, 0)</f>
        <v>55.619199999999999</v>
      </c>
      <c r="G714" s="14">
        <f>52.7223 * CHOOSE(CONTROL!$C$15, $E$9, 100%, $G$9) + CHOOSE(CONTROL!$C$38, 0.0369, 0)</f>
        <v>52.7592</v>
      </c>
      <c r="H714" s="14">
        <f>52.7223 * CHOOSE(CONTROL!$C$15, $E$9, 100%, $G$9) + CHOOSE(CONTROL!$C$38, 0.0369, 0)</f>
        <v>52.7592</v>
      </c>
      <c r="I714" s="14">
        <f>52.7239 * CHOOSE(CONTROL!$C$15, $E$9, 100%, $G$9) + CHOOSE(CONTROL!$C$38, 0.0369, 0)</f>
        <v>52.760800000000003</v>
      </c>
      <c r="J714" s="44">
        <f>475.9647</f>
        <v>475.96469999999999</v>
      </c>
    </row>
    <row r="715" spans="1:10" ht="15.75" x14ac:dyDescent="0.25">
      <c r="A715" s="32">
        <v>62701</v>
      </c>
      <c r="B715" s="14">
        <f>54.4642 * CHOOSE(CONTROL!$C$15, $E$9, 100%, $G$9) + CHOOSE(CONTROL!$C$38, 0.0278, 0)</f>
        <v>54.491999999999997</v>
      </c>
      <c r="C715" s="14">
        <f>51.5072 * CHOOSE(CONTROL!$C$15, $E$9, 100%, $G$9) + CHOOSE(CONTROL!$C$38, 0.0369, 0)</f>
        <v>51.5441</v>
      </c>
      <c r="D715" s="14">
        <f>51.4994 * CHOOSE(CONTROL!$C$15, $E$9, 100%, $G$9) + CHOOSE(CONTROL!$C$38, 0.0369, 0)</f>
        <v>51.536300000000004</v>
      </c>
      <c r="E715" s="46">
        <f>54.308 * CHOOSE(CONTROL!$C$15, $E$9, 100%, $G$9) + CHOOSE(CONTROL!$C$38, 0.0369, 0)</f>
        <v>54.344900000000003</v>
      </c>
      <c r="F715" s="45">
        <f>54.308 * CHOOSE(CONTROL!$C$15, $E$9, 100%, $G$9) + CHOOSE(CONTROL!$C$38, 0.0278, 0)</f>
        <v>54.335799999999999</v>
      </c>
      <c r="G715" s="14">
        <f>51.5057 * CHOOSE(CONTROL!$C$15, $E$9, 100%, $G$9) + CHOOSE(CONTROL!$C$38, 0.0369, 0)</f>
        <v>51.5426</v>
      </c>
      <c r="H715" s="14">
        <f>51.5057 * CHOOSE(CONTROL!$C$15, $E$9, 100%, $G$9) + CHOOSE(CONTROL!$C$38, 0.0369, 0)</f>
        <v>51.5426</v>
      </c>
      <c r="I715" s="14">
        <f>51.5072 * CHOOSE(CONTROL!$C$15, $E$9, 100%, $G$9) + CHOOSE(CONTROL!$C$38, 0.0369, 0)</f>
        <v>51.5441</v>
      </c>
      <c r="J715" s="44">
        <f>464.8845</f>
        <v>464.8845</v>
      </c>
    </row>
    <row r="716" spans="1:10" ht="15.75" x14ac:dyDescent="0.25">
      <c r="A716" s="32">
        <v>62731</v>
      </c>
      <c r="B716" s="14">
        <f>52.6744 * CHOOSE(CONTROL!$C$15, $E$9, 100%, $G$9) + CHOOSE(CONTROL!$C$38, 0.0278, 0)</f>
        <v>52.702199999999998</v>
      </c>
      <c r="C716" s="14">
        <f>49.8105 * CHOOSE(CONTROL!$C$15, $E$9, 100%, $G$9) + CHOOSE(CONTROL!$C$38, 0.0369, 0)</f>
        <v>49.8474</v>
      </c>
      <c r="D716" s="14">
        <f>49.8027 * CHOOSE(CONTROL!$C$15, $E$9, 100%, $G$9) + CHOOSE(CONTROL!$C$38, 0.0369, 0)</f>
        <v>49.839600000000004</v>
      </c>
      <c r="E716" s="46">
        <f>52.5182 * CHOOSE(CONTROL!$C$15, $E$9, 100%, $G$9) + CHOOSE(CONTROL!$C$38, 0.0369, 0)</f>
        <v>52.555100000000003</v>
      </c>
      <c r="F716" s="45">
        <f>52.5182 * CHOOSE(CONTROL!$C$15, $E$9, 100%, $G$9) + CHOOSE(CONTROL!$C$38, 0.0278, 0)</f>
        <v>52.545999999999999</v>
      </c>
      <c r="G716" s="14">
        <f>49.809 * CHOOSE(CONTROL!$C$15, $E$9, 100%, $G$9) + CHOOSE(CONTROL!$C$38, 0.0369, 0)</f>
        <v>49.8459</v>
      </c>
      <c r="H716" s="14">
        <f>49.809 * CHOOSE(CONTROL!$C$15, $E$9, 100%, $G$9) + CHOOSE(CONTROL!$C$38, 0.0369, 0)</f>
        <v>49.8459</v>
      </c>
      <c r="I716" s="14">
        <f>49.8105 * CHOOSE(CONTROL!$C$15, $E$9, 100%, $G$9) + CHOOSE(CONTROL!$C$38, 0.0369, 0)</f>
        <v>49.8474</v>
      </c>
      <c r="J716" s="44">
        <f>449.4325</f>
        <v>449.4325</v>
      </c>
    </row>
    <row r="717" spans="1:10" ht="15.75" x14ac:dyDescent="0.25">
      <c r="A717" s="32">
        <v>62762</v>
      </c>
      <c r="B717" s="14">
        <f>50.8743 * CHOOSE(CONTROL!$C$15, $E$9, 100%, $G$9) + CHOOSE(CONTROL!$C$38, 0.0256, 0)</f>
        <v>50.899899999999995</v>
      </c>
      <c r="C717" s="14">
        <f>48.104 * CHOOSE(CONTROL!$C$15, $E$9, 100%, $G$9) + CHOOSE(CONTROL!$C$38, 0.0347, 0)</f>
        <v>48.1387</v>
      </c>
      <c r="D717" s="14">
        <f>48.0962 * CHOOSE(CONTROL!$C$15, $E$9, 100%, $G$9) + CHOOSE(CONTROL!$C$38, 0.0347, 0)</f>
        <v>48.130900000000004</v>
      </c>
      <c r="E717" s="46">
        <f>50.718 * CHOOSE(CONTROL!$C$15, $E$9, 100%, $G$9) + CHOOSE(CONTROL!$C$38, 0.0347, 0)</f>
        <v>50.752700000000004</v>
      </c>
      <c r="F717" s="45">
        <f>50.718 * CHOOSE(CONTROL!$C$15, $E$9, 100%, $G$9) + CHOOSE(CONTROL!$C$38, 0.0256, 0)</f>
        <v>50.743600000000001</v>
      </c>
      <c r="G717" s="14">
        <f>48.1024 * CHOOSE(CONTROL!$C$15, $E$9, 100%, $G$9) + CHOOSE(CONTROL!$C$38, 0.0347, 0)</f>
        <v>48.137100000000004</v>
      </c>
      <c r="H717" s="14">
        <f>48.1024 * CHOOSE(CONTROL!$C$15, $E$9, 100%, $G$9) + CHOOSE(CONTROL!$C$38, 0.0347, 0)</f>
        <v>48.137100000000004</v>
      </c>
      <c r="I717" s="14">
        <f>48.104 * CHOOSE(CONTROL!$C$15, $E$9, 100%, $G$9) + CHOOSE(CONTROL!$C$38, 0.0347, 0)</f>
        <v>48.1387</v>
      </c>
      <c r="J717" s="44">
        <f>433.8907</f>
        <v>433.89069999999998</v>
      </c>
    </row>
    <row r="718" spans="1:10" ht="15.75" x14ac:dyDescent="0.25">
      <c r="A718" s="32">
        <v>62792</v>
      </c>
      <c r="B718" s="14">
        <f>50.5162 * CHOOSE(CONTROL!$C$15, $E$9, 100%, $G$9) + CHOOSE(CONTROL!$C$38, 0.0256, 0)</f>
        <v>50.541799999999995</v>
      </c>
      <c r="C718" s="14">
        <f>47.7645 * CHOOSE(CONTROL!$C$15, $E$9, 100%, $G$9) + CHOOSE(CONTROL!$C$38, 0.0347, 0)</f>
        <v>47.799199999999999</v>
      </c>
      <c r="D718" s="14">
        <f>47.7567 * CHOOSE(CONTROL!$C$15, $E$9, 100%, $G$9) + CHOOSE(CONTROL!$C$38, 0.0347, 0)</f>
        <v>47.791400000000003</v>
      </c>
      <c r="E718" s="46">
        <f>50.3599 * CHOOSE(CONTROL!$C$15, $E$9, 100%, $G$9) + CHOOSE(CONTROL!$C$38, 0.0347, 0)</f>
        <v>50.394600000000004</v>
      </c>
      <c r="F718" s="45">
        <f>50.3599 * CHOOSE(CONTROL!$C$15, $E$9, 100%, $G$9) + CHOOSE(CONTROL!$C$38, 0.0256, 0)</f>
        <v>50.3855</v>
      </c>
      <c r="G718" s="14">
        <f>47.7629 * CHOOSE(CONTROL!$C$15, $E$9, 100%, $G$9) + CHOOSE(CONTROL!$C$38, 0.0347, 0)</f>
        <v>47.797600000000003</v>
      </c>
      <c r="H718" s="14">
        <f>47.7629 * CHOOSE(CONTROL!$C$15, $E$9, 100%, $G$9) + CHOOSE(CONTROL!$C$38, 0.0347, 0)</f>
        <v>47.797600000000003</v>
      </c>
      <c r="I718" s="14">
        <f>47.7645 * CHOOSE(CONTROL!$C$15, $E$9, 100%, $G$9) + CHOOSE(CONTROL!$C$38, 0.0347, 0)</f>
        <v>47.799199999999999</v>
      </c>
      <c r="J718" s="44">
        <f>430.7991</f>
        <v>430.79910000000001</v>
      </c>
    </row>
    <row r="719" spans="1:10" ht="15.75" x14ac:dyDescent="0.25">
      <c r="A719" s="32">
        <v>62823</v>
      </c>
      <c r="B719" s="14">
        <f>49.0354 * CHOOSE(CONTROL!$C$15, $E$9, 100%, $G$9) + CHOOSE(CONTROL!$C$38, 0.0256, 0)</f>
        <v>49.061</v>
      </c>
      <c r="C719" s="14">
        <f>46.3608 * CHOOSE(CONTROL!$C$15, $E$9, 100%, $G$9) + CHOOSE(CONTROL!$C$38, 0.0347, 0)</f>
        <v>46.395499999999998</v>
      </c>
      <c r="D719" s="14">
        <f>46.353 * CHOOSE(CONTROL!$C$15, $E$9, 100%, $G$9) + CHOOSE(CONTROL!$C$38, 0.0347, 0)</f>
        <v>46.387700000000002</v>
      </c>
      <c r="E719" s="46">
        <f>48.8792 * CHOOSE(CONTROL!$C$15, $E$9, 100%, $G$9) + CHOOSE(CONTROL!$C$38, 0.0347, 0)</f>
        <v>48.913899999999998</v>
      </c>
      <c r="F719" s="45">
        <f>48.8792 * CHOOSE(CONTROL!$C$15, $E$9, 100%, $G$9) + CHOOSE(CONTROL!$C$38, 0.0256, 0)</f>
        <v>48.904799999999994</v>
      </c>
      <c r="G719" s="14">
        <f>46.3592 * CHOOSE(CONTROL!$C$15, $E$9, 100%, $G$9) + CHOOSE(CONTROL!$C$38, 0.0347, 0)</f>
        <v>46.393900000000002</v>
      </c>
      <c r="H719" s="14">
        <f>46.3592 * CHOOSE(CONTROL!$C$15, $E$9, 100%, $G$9) + CHOOSE(CONTROL!$C$38, 0.0347, 0)</f>
        <v>46.393900000000002</v>
      </c>
      <c r="I719" s="14">
        <f>46.3608 * CHOOSE(CONTROL!$C$15, $E$9, 100%, $G$9) + CHOOSE(CONTROL!$C$38, 0.0347, 0)</f>
        <v>46.395499999999998</v>
      </c>
      <c r="J719" s="44">
        <f>418.0151</f>
        <v>418.01510000000002</v>
      </c>
    </row>
    <row r="720" spans="1:10" ht="15.75" x14ac:dyDescent="0.25">
      <c r="A720" s="32">
        <v>62854</v>
      </c>
      <c r="B720" s="14">
        <f>48.6677 * CHOOSE(CONTROL!$C$15, $E$9, 100%, $G$9) + CHOOSE(CONTROL!$C$38, 0.0256, 0)</f>
        <v>48.693300000000001</v>
      </c>
      <c r="C720" s="14">
        <f>46.0122 * CHOOSE(CONTROL!$C$15, $E$9, 100%, $G$9) + CHOOSE(CONTROL!$C$38, 0.0347, 0)</f>
        <v>46.046900000000001</v>
      </c>
      <c r="D720" s="14">
        <f>46.0044 * CHOOSE(CONTROL!$C$15, $E$9, 100%, $G$9) + CHOOSE(CONTROL!$C$38, 0.0347, 0)</f>
        <v>46.039099999999998</v>
      </c>
      <c r="E720" s="46">
        <f>48.5114 * CHOOSE(CONTROL!$C$15, $E$9, 100%, $G$9) + CHOOSE(CONTROL!$C$38, 0.0347, 0)</f>
        <v>48.546100000000003</v>
      </c>
      <c r="F720" s="45">
        <f>48.5114 * CHOOSE(CONTROL!$C$15, $E$9, 100%, $G$9) + CHOOSE(CONTROL!$C$38, 0.0256, 0)</f>
        <v>48.536999999999999</v>
      </c>
      <c r="G720" s="14">
        <f>46.0106 * CHOOSE(CONTROL!$C$15, $E$9, 100%, $G$9) + CHOOSE(CONTROL!$C$38, 0.0347, 0)</f>
        <v>46.045299999999997</v>
      </c>
      <c r="H720" s="14">
        <f>46.0106 * CHOOSE(CONTROL!$C$15, $E$9, 100%, $G$9) + CHOOSE(CONTROL!$C$38, 0.0347, 0)</f>
        <v>46.045299999999997</v>
      </c>
      <c r="I720" s="14">
        <f>46.0122 * CHOOSE(CONTROL!$C$15, $E$9, 100%, $G$9) + CHOOSE(CONTROL!$C$38, 0.0347, 0)</f>
        <v>46.046900000000001</v>
      </c>
      <c r="J720" s="44">
        <f>417.7133</f>
        <v>417.7133</v>
      </c>
    </row>
    <row r="721" spans="1:10" ht="15.75" x14ac:dyDescent="0.25">
      <c r="A721" s="32">
        <v>62883</v>
      </c>
      <c r="B721" s="14">
        <f>48.5341 * CHOOSE(CONTROL!$C$15, $E$9, 100%, $G$9) + CHOOSE(CONTROL!$C$38, 0.0256, 0)</f>
        <v>48.559699999999999</v>
      </c>
      <c r="C721" s="14">
        <f>45.8856 * CHOOSE(CONTROL!$C$15, $E$9, 100%, $G$9) + CHOOSE(CONTROL!$C$38, 0.0347, 0)</f>
        <v>45.920299999999997</v>
      </c>
      <c r="D721" s="14">
        <f>45.8777 * CHOOSE(CONTROL!$C$15, $E$9, 100%, $G$9) + CHOOSE(CONTROL!$C$38, 0.0347, 0)</f>
        <v>45.912399999999998</v>
      </c>
      <c r="E721" s="46">
        <f>48.3779 * CHOOSE(CONTROL!$C$15, $E$9, 100%, $G$9) + CHOOSE(CONTROL!$C$38, 0.0347, 0)</f>
        <v>48.412599999999998</v>
      </c>
      <c r="F721" s="45">
        <f>48.3779 * CHOOSE(CONTROL!$C$15, $E$9, 100%, $G$9) + CHOOSE(CONTROL!$C$38, 0.0256, 0)</f>
        <v>48.403499999999994</v>
      </c>
      <c r="G721" s="14">
        <f>45.884 * CHOOSE(CONTROL!$C$15, $E$9, 100%, $G$9) + CHOOSE(CONTROL!$C$38, 0.0347, 0)</f>
        <v>45.918700000000001</v>
      </c>
      <c r="H721" s="14">
        <f>45.884 * CHOOSE(CONTROL!$C$15, $E$9, 100%, $G$9) + CHOOSE(CONTROL!$C$38, 0.0347, 0)</f>
        <v>45.918700000000001</v>
      </c>
      <c r="I721" s="14">
        <f>45.8856 * CHOOSE(CONTROL!$C$15, $E$9, 100%, $G$9) + CHOOSE(CONTROL!$C$38, 0.0347, 0)</f>
        <v>45.920299999999997</v>
      </c>
      <c r="J721" s="44">
        <f>416.5522</f>
        <v>416.55220000000003</v>
      </c>
    </row>
    <row r="722" spans="1:10" ht="15.75" x14ac:dyDescent="0.25">
      <c r="A722" s="32">
        <v>62914</v>
      </c>
      <c r="B722" s="14">
        <f>51.0596 * CHOOSE(CONTROL!$C$15, $E$9, 100%, $G$9) + CHOOSE(CONTROL!$C$38, 0.0256, 0)</f>
        <v>51.0852</v>
      </c>
      <c r="C722" s="14">
        <f>48.2797 * CHOOSE(CONTROL!$C$15, $E$9, 100%, $G$9) + CHOOSE(CONTROL!$C$38, 0.0347, 0)</f>
        <v>48.314399999999999</v>
      </c>
      <c r="D722" s="14">
        <f>48.2719 * CHOOSE(CONTROL!$C$15, $E$9, 100%, $G$9) + CHOOSE(CONTROL!$C$38, 0.0347, 0)</f>
        <v>48.306600000000003</v>
      </c>
      <c r="E722" s="46">
        <f>50.9034 * CHOOSE(CONTROL!$C$15, $E$9, 100%, $G$9) + CHOOSE(CONTROL!$C$38, 0.0347, 0)</f>
        <v>50.938099999999999</v>
      </c>
      <c r="F722" s="45">
        <f>50.9034 * CHOOSE(CONTROL!$C$15, $E$9, 100%, $G$9) + CHOOSE(CONTROL!$C$38, 0.0256, 0)</f>
        <v>50.928999999999995</v>
      </c>
      <c r="G722" s="14">
        <f>48.2781 * CHOOSE(CONTROL!$C$15, $E$9, 100%, $G$9) + CHOOSE(CONTROL!$C$38, 0.0347, 0)</f>
        <v>48.312800000000003</v>
      </c>
      <c r="H722" s="14">
        <f>48.2781 * CHOOSE(CONTROL!$C$15, $E$9, 100%, $G$9) + CHOOSE(CONTROL!$C$38, 0.0347, 0)</f>
        <v>48.312800000000003</v>
      </c>
      <c r="I722" s="14">
        <f>48.2797 * CHOOSE(CONTROL!$C$15, $E$9, 100%, $G$9) + CHOOSE(CONTROL!$C$38, 0.0347, 0)</f>
        <v>48.314399999999999</v>
      </c>
      <c r="J722" s="44">
        <f>438.5069</f>
        <v>438.50689999999997</v>
      </c>
    </row>
    <row r="723" spans="1:10" ht="15.75" x14ac:dyDescent="0.25">
      <c r="A723" s="32">
        <v>62944</v>
      </c>
      <c r="B723" s="14">
        <f>54.3346 * CHOOSE(CONTROL!$C$15, $E$9, 100%, $G$9) + CHOOSE(CONTROL!$C$38, 0.0256, 0)</f>
        <v>54.360199999999999</v>
      </c>
      <c r="C723" s="14">
        <f>51.3843 * CHOOSE(CONTROL!$C$15, $E$9, 100%, $G$9) + CHOOSE(CONTROL!$C$38, 0.0347, 0)</f>
        <v>51.419000000000004</v>
      </c>
      <c r="D723" s="14">
        <f>51.3765 * CHOOSE(CONTROL!$C$15, $E$9, 100%, $G$9) + CHOOSE(CONTROL!$C$38, 0.0347, 0)</f>
        <v>51.411200000000001</v>
      </c>
      <c r="E723" s="46">
        <f>54.1783 * CHOOSE(CONTROL!$C$15, $E$9, 100%, $G$9) + CHOOSE(CONTROL!$C$38, 0.0347, 0)</f>
        <v>54.213000000000001</v>
      </c>
      <c r="F723" s="45">
        <f>54.1783 * CHOOSE(CONTROL!$C$15, $E$9, 100%, $G$9) + CHOOSE(CONTROL!$C$38, 0.0256, 0)</f>
        <v>54.203899999999997</v>
      </c>
      <c r="G723" s="14">
        <f>51.3828 * CHOOSE(CONTROL!$C$15, $E$9, 100%, $G$9) + CHOOSE(CONTROL!$C$38, 0.0347, 0)</f>
        <v>51.417500000000004</v>
      </c>
      <c r="H723" s="14">
        <f>51.3828 * CHOOSE(CONTROL!$C$15, $E$9, 100%, $G$9) + CHOOSE(CONTROL!$C$38, 0.0347, 0)</f>
        <v>51.417500000000004</v>
      </c>
      <c r="I723" s="14">
        <f>51.3843 * CHOOSE(CONTROL!$C$15, $E$9, 100%, $G$9) + CHOOSE(CONTROL!$C$38, 0.0347, 0)</f>
        <v>51.419000000000004</v>
      </c>
      <c r="J723" s="44">
        <f>466.9769</f>
        <v>466.9769</v>
      </c>
    </row>
    <row r="724" spans="1:10" ht="15.75" x14ac:dyDescent="0.25">
      <c r="A724" s="32">
        <v>62975</v>
      </c>
      <c r="B724" s="14">
        <f>56.1372 * CHOOSE(CONTROL!$C$15, $E$9, 100%, $G$9) + CHOOSE(CONTROL!$C$38, 0.0278, 0)</f>
        <v>56.164999999999999</v>
      </c>
      <c r="C724" s="14">
        <f>53.0932 * CHOOSE(CONTROL!$C$15, $E$9, 100%, $G$9) + CHOOSE(CONTROL!$C$38, 0.0369, 0)</f>
        <v>53.130100000000006</v>
      </c>
      <c r="D724" s="14">
        <f>53.0854 * CHOOSE(CONTROL!$C$15, $E$9, 100%, $G$9) + CHOOSE(CONTROL!$C$38, 0.0369, 0)</f>
        <v>53.122300000000003</v>
      </c>
      <c r="E724" s="46">
        <f>55.981 * CHOOSE(CONTROL!$C$15, $E$9, 100%, $G$9) + CHOOSE(CONTROL!$C$38, 0.0369, 0)</f>
        <v>56.017900000000004</v>
      </c>
      <c r="F724" s="45">
        <f>55.981 * CHOOSE(CONTROL!$C$15, $E$9, 100%, $G$9) + CHOOSE(CONTROL!$C$38, 0.0278, 0)</f>
        <v>56.008800000000001</v>
      </c>
      <c r="G724" s="14">
        <f>53.0916 * CHOOSE(CONTROL!$C$15, $E$9, 100%, $G$9) + CHOOSE(CONTROL!$C$38, 0.0369, 0)</f>
        <v>53.128500000000003</v>
      </c>
      <c r="H724" s="14">
        <f>53.0916 * CHOOSE(CONTROL!$C$15, $E$9, 100%, $G$9) + CHOOSE(CONTROL!$C$38, 0.0369, 0)</f>
        <v>53.128500000000003</v>
      </c>
      <c r="I724" s="14">
        <f>53.0932 * CHOOSE(CONTROL!$C$15, $E$9, 100%, $G$9) + CHOOSE(CONTROL!$C$38, 0.0369, 0)</f>
        <v>53.130100000000006</v>
      </c>
      <c r="J724" s="44">
        <f>482.6477</f>
        <v>482.64769999999999</v>
      </c>
    </row>
    <row r="725" spans="1:10" ht="15.75" x14ac:dyDescent="0.25">
      <c r="A725" s="32">
        <v>63005</v>
      </c>
      <c r="B725" s="14">
        <f>56.9372 * CHOOSE(CONTROL!$C$15, $E$9, 100%, $G$9) + CHOOSE(CONTROL!$C$38, 0.0278, 0)</f>
        <v>56.964999999999996</v>
      </c>
      <c r="C725" s="14">
        <f>53.8516 * CHOOSE(CONTROL!$C$15, $E$9, 100%, $G$9) + CHOOSE(CONTROL!$C$38, 0.0369, 0)</f>
        <v>53.888500000000001</v>
      </c>
      <c r="D725" s="14">
        <f>53.8438 * CHOOSE(CONTROL!$C$15, $E$9, 100%, $G$9) + CHOOSE(CONTROL!$C$38, 0.0369, 0)</f>
        <v>53.880700000000004</v>
      </c>
      <c r="E725" s="46">
        <f>56.781 * CHOOSE(CONTROL!$C$15, $E$9, 100%, $G$9) + CHOOSE(CONTROL!$C$38, 0.0369, 0)</f>
        <v>56.817900000000002</v>
      </c>
      <c r="F725" s="45">
        <f>56.781 * CHOOSE(CONTROL!$C$15, $E$9, 100%, $G$9) + CHOOSE(CONTROL!$C$38, 0.0278, 0)</f>
        <v>56.808799999999998</v>
      </c>
      <c r="G725" s="14">
        <f>53.85 * CHOOSE(CONTROL!$C$15, $E$9, 100%, $G$9) + CHOOSE(CONTROL!$C$38, 0.0369, 0)</f>
        <v>53.886900000000004</v>
      </c>
      <c r="H725" s="14">
        <f>53.85 * CHOOSE(CONTROL!$C$15, $E$9, 100%, $G$9) + CHOOSE(CONTROL!$C$38, 0.0369, 0)</f>
        <v>53.886900000000004</v>
      </c>
      <c r="I725" s="14">
        <f>53.8516 * CHOOSE(CONTROL!$C$15, $E$9, 100%, $G$9) + CHOOSE(CONTROL!$C$38, 0.0369, 0)</f>
        <v>53.888500000000001</v>
      </c>
      <c r="J725" s="44">
        <f>489.6022</f>
        <v>489.60219999999998</v>
      </c>
    </row>
    <row r="726" spans="1:10" ht="15.75" x14ac:dyDescent="0.25">
      <c r="A726" s="32">
        <v>63036</v>
      </c>
      <c r="B726" s="14">
        <f>56.6738 * CHOOSE(CONTROL!$C$15, $E$9, 100%, $G$9) + CHOOSE(CONTROL!$C$38, 0.0278, 0)</f>
        <v>56.701599999999999</v>
      </c>
      <c r="C726" s="14">
        <f>53.6019 * CHOOSE(CONTROL!$C$15, $E$9, 100%, $G$9) + CHOOSE(CONTROL!$C$38, 0.0369, 0)</f>
        <v>53.638800000000003</v>
      </c>
      <c r="D726" s="14">
        <f>53.5941 * CHOOSE(CONTROL!$C$15, $E$9, 100%, $G$9) + CHOOSE(CONTROL!$C$38, 0.0369, 0)</f>
        <v>53.631</v>
      </c>
      <c r="E726" s="46">
        <f>56.5176 * CHOOSE(CONTROL!$C$15, $E$9, 100%, $G$9) + CHOOSE(CONTROL!$C$38, 0.0369, 0)</f>
        <v>56.554500000000004</v>
      </c>
      <c r="F726" s="45">
        <f>56.5176 * CHOOSE(CONTROL!$C$15, $E$9, 100%, $G$9) + CHOOSE(CONTROL!$C$38, 0.0278, 0)</f>
        <v>56.545400000000001</v>
      </c>
      <c r="G726" s="14">
        <f>53.6003 * CHOOSE(CONTROL!$C$15, $E$9, 100%, $G$9) + CHOOSE(CONTROL!$C$38, 0.0369, 0)</f>
        <v>53.6372</v>
      </c>
      <c r="H726" s="14">
        <f>53.6003 * CHOOSE(CONTROL!$C$15, $E$9, 100%, $G$9) + CHOOSE(CONTROL!$C$38, 0.0369, 0)</f>
        <v>53.6372</v>
      </c>
      <c r="I726" s="14">
        <f>53.6019 * CHOOSE(CONTROL!$C$15, $E$9, 100%, $G$9) + CHOOSE(CONTROL!$C$38, 0.0369, 0)</f>
        <v>53.638800000000003</v>
      </c>
      <c r="J726" s="44">
        <f>487.3124</f>
        <v>487.31240000000003</v>
      </c>
    </row>
    <row r="727" spans="1:10" ht="15.75" x14ac:dyDescent="0.25">
      <c r="A727" s="32">
        <v>63067</v>
      </c>
      <c r="B727" s="14">
        <f>55.3688 * CHOOSE(CONTROL!$C$15, $E$9, 100%, $G$9) + CHOOSE(CONTROL!$C$38, 0.0278, 0)</f>
        <v>55.396599999999999</v>
      </c>
      <c r="C727" s="14">
        <f>52.3648 * CHOOSE(CONTROL!$C$15, $E$9, 100%, $G$9) + CHOOSE(CONTROL!$C$38, 0.0369, 0)</f>
        <v>52.401700000000005</v>
      </c>
      <c r="D727" s="14">
        <f>52.357 * CHOOSE(CONTROL!$C$15, $E$9, 100%, $G$9) + CHOOSE(CONTROL!$C$38, 0.0369, 0)</f>
        <v>52.393900000000002</v>
      </c>
      <c r="E727" s="46">
        <f>55.2126 * CHOOSE(CONTROL!$C$15, $E$9, 100%, $G$9) + CHOOSE(CONTROL!$C$38, 0.0369, 0)</f>
        <v>55.249500000000005</v>
      </c>
      <c r="F727" s="45">
        <f>55.2126 * CHOOSE(CONTROL!$C$15, $E$9, 100%, $G$9) + CHOOSE(CONTROL!$C$38, 0.0278, 0)</f>
        <v>55.240400000000001</v>
      </c>
      <c r="G727" s="14">
        <f>52.3632 * CHOOSE(CONTROL!$C$15, $E$9, 100%, $G$9) + CHOOSE(CONTROL!$C$38, 0.0369, 0)</f>
        <v>52.400100000000002</v>
      </c>
      <c r="H727" s="14">
        <f>52.3632 * CHOOSE(CONTROL!$C$15, $E$9, 100%, $G$9) + CHOOSE(CONTROL!$C$38, 0.0369, 0)</f>
        <v>52.400100000000002</v>
      </c>
      <c r="I727" s="14">
        <f>52.3648 * CHOOSE(CONTROL!$C$15, $E$9, 100%, $G$9) + CHOOSE(CONTROL!$C$38, 0.0369, 0)</f>
        <v>52.401700000000005</v>
      </c>
      <c r="J727" s="44">
        <f>475.968</f>
        <v>475.96800000000002</v>
      </c>
    </row>
    <row r="728" spans="1:10" ht="15.75" x14ac:dyDescent="0.25">
      <c r="A728" s="32">
        <v>63097</v>
      </c>
      <c r="B728" s="14">
        <f>53.549 * CHOOSE(CONTROL!$C$15, $E$9, 100%, $G$9) + CHOOSE(CONTROL!$C$38, 0.0278, 0)</f>
        <v>53.576799999999999</v>
      </c>
      <c r="C728" s="14">
        <f>50.6396 * CHOOSE(CONTROL!$C$15, $E$9, 100%, $G$9) + CHOOSE(CONTROL!$C$38, 0.0369, 0)</f>
        <v>50.676500000000004</v>
      </c>
      <c r="D728" s="14">
        <f>50.6318 * CHOOSE(CONTROL!$C$15, $E$9, 100%, $G$9) + CHOOSE(CONTROL!$C$38, 0.0369, 0)</f>
        <v>50.668700000000001</v>
      </c>
      <c r="E728" s="46">
        <f>53.3927 * CHOOSE(CONTROL!$C$15, $E$9, 100%, $G$9) + CHOOSE(CONTROL!$C$38, 0.0369, 0)</f>
        <v>53.429600000000001</v>
      </c>
      <c r="F728" s="45">
        <f>53.3927 * CHOOSE(CONTROL!$C$15, $E$9, 100%, $G$9) + CHOOSE(CONTROL!$C$38, 0.0278, 0)</f>
        <v>53.420499999999997</v>
      </c>
      <c r="G728" s="14">
        <f>50.638 * CHOOSE(CONTROL!$C$15, $E$9, 100%, $G$9) + CHOOSE(CONTROL!$C$38, 0.0369, 0)</f>
        <v>50.674900000000001</v>
      </c>
      <c r="H728" s="14">
        <f>50.638 * CHOOSE(CONTROL!$C$15, $E$9, 100%, $G$9) + CHOOSE(CONTROL!$C$38, 0.0369, 0)</f>
        <v>50.674900000000001</v>
      </c>
      <c r="I728" s="14">
        <f>50.6396 * CHOOSE(CONTROL!$C$15, $E$9, 100%, $G$9) + CHOOSE(CONTROL!$C$38, 0.0369, 0)</f>
        <v>50.676500000000004</v>
      </c>
      <c r="J728" s="44">
        <f>460.1476</f>
        <v>460.14760000000001</v>
      </c>
    </row>
    <row r="729" spans="1:10" ht="15.75" x14ac:dyDescent="0.25">
      <c r="A729" s="32">
        <v>63128</v>
      </c>
      <c r="B729" s="14">
        <f>51.7186 * CHOOSE(CONTROL!$C$15, $E$9, 100%, $G$9) + CHOOSE(CONTROL!$C$38, 0.0256, 0)</f>
        <v>51.744199999999999</v>
      </c>
      <c r="C729" s="14">
        <f>48.9044 * CHOOSE(CONTROL!$C$15, $E$9, 100%, $G$9) + CHOOSE(CONTROL!$C$38, 0.0347, 0)</f>
        <v>48.939100000000003</v>
      </c>
      <c r="D729" s="14">
        <f>48.8966 * CHOOSE(CONTROL!$C$15, $E$9, 100%, $G$9) + CHOOSE(CONTROL!$C$38, 0.0347, 0)</f>
        <v>48.9313</v>
      </c>
      <c r="E729" s="46">
        <f>51.5623 * CHOOSE(CONTROL!$C$15, $E$9, 100%, $G$9) + CHOOSE(CONTROL!$C$38, 0.0347, 0)</f>
        <v>51.597000000000001</v>
      </c>
      <c r="F729" s="45">
        <f>51.5623 * CHOOSE(CONTROL!$C$15, $E$9, 100%, $G$9) + CHOOSE(CONTROL!$C$38, 0.0256, 0)</f>
        <v>51.587899999999998</v>
      </c>
      <c r="G729" s="14">
        <f>48.9028 * CHOOSE(CONTROL!$C$15, $E$9, 100%, $G$9) + CHOOSE(CONTROL!$C$38, 0.0347, 0)</f>
        <v>48.9375</v>
      </c>
      <c r="H729" s="14">
        <f>48.9028 * CHOOSE(CONTROL!$C$15, $E$9, 100%, $G$9) + CHOOSE(CONTROL!$C$38, 0.0347, 0)</f>
        <v>48.9375</v>
      </c>
      <c r="I729" s="14">
        <f>48.9044 * CHOOSE(CONTROL!$C$15, $E$9, 100%, $G$9) + CHOOSE(CONTROL!$C$38, 0.0347, 0)</f>
        <v>48.939100000000003</v>
      </c>
      <c r="J729" s="44">
        <f>444.2353</f>
        <v>444.2353</v>
      </c>
    </row>
    <row r="730" spans="1:10" ht="15.75" x14ac:dyDescent="0.25">
      <c r="A730" s="32">
        <v>63158</v>
      </c>
      <c r="B730" s="14">
        <f>51.3545 * CHOOSE(CONTROL!$C$15, $E$9, 100%, $G$9) + CHOOSE(CONTROL!$C$38, 0.0256, 0)</f>
        <v>51.380099999999999</v>
      </c>
      <c r="C730" s="14">
        <f>48.5592 * CHOOSE(CONTROL!$C$15, $E$9, 100%, $G$9) + CHOOSE(CONTROL!$C$38, 0.0347, 0)</f>
        <v>48.593899999999998</v>
      </c>
      <c r="D730" s="14">
        <f>48.5514 * CHOOSE(CONTROL!$C$15, $E$9, 100%, $G$9) + CHOOSE(CONTROL!$C$38, 0.0347, 0)</f>
        <v>48.586100000000002</v>
      </c>
      <c r="E730" s="46">
        <f>51.1982 * CHOOSE(CONTROL!$C$15, $E$9, 100%, $G$9) + CHOOSE(CONTROL!$C$38, 0.0347, 0)</f>
        <v>51.232900000000001</v>
      </c>
      <c r="F730" s="45">
        <f>51.1982 * CHOOSE(CONTROL!$C$15, $E$9, 100%, $G$9) + CHOOSE(CONTROL!$C$38, 0.0256, 0)</f>
        <v>51.223799999999997</v>
      </c>
      <c r="G730" s="14">
        <f>48.5576 * CHOOSE(CONTROL!$C$15, $E$9, 100%, $G$9) + CHOOSE(CONTROL!$C$38, 0.0347, 0)</f>
        <v>48.592300000000002</v>
      </c>
      <c r="H730" s="14">
        <f>48.5576 * CHOOSE(CONTROL!$C$15, $E$9, 100%, $G$9) + CHOOSE(CONTROL!$C$38, 0.0347, 0)</f>
        <v>48.592300000000002</v>
      </c>
      <c r="I730" s="14">
        <f>48.5592 * CHOOSE(CONTROL!$C$15, $E$9, 100%, $G$9) + CHOOSE(CONTROL!$C$38, 0.0347, 0)</f>
        <v>48.593899999999998</v>
      </c>
      <c r="J730" s="44">
        <f>441.07</f>
        <v>441.07</v>
      </c>
    </row>
    <row r="731" spans="1:10" ht="15.75" x14ac:dyDescent="0.25">
      <c r="A731" s="32">
        <v>63189</v>
      </c>
      <c r="B731" s="14">
        <f>49.8488 * CHOOSE(CONTROL!$C$15, $E$9, 100%, $G$9) + CHOOSE(CONTROL!$C$38, 0.0256, 0)</f>
        <v>49.874399999999994</v>
      </c>
      <c r="C731" s="14">
        <f>47.1319 * CHOOSE(CONTROL!$C$15, $E$9, 100%, $G$9) + CHOOSE(CONTROL!$C$38, 0.0347, 0)</f>
        <v>47.166600000000003</v>
      </c>
      <c r="D731" s="14">
        <f>47.1241 * CHOOSE(CONTROL!$C$15, $E$9, 100%, $G$9) + CHOOSE(CONTROL!$C$38, 0.0347, 0)</f>
        <v>47.158799999999999</v>
      </c>
      <c r="E731" s="46">
        <f>49.6926 * CHOOSE(CONTROL!$C$15, $E$9, 100%, $G$9) + CHOOSE(CONTROL!$C$38, 0.0347, 0)</f>
        <v>49.7273</v>
      </c>
      <c r="F731" s="45">
        <f>49.6926 * CHOOSE(CONTROL!$C$15, $E$9, 100%, $G$9) + CHOOSE(CONTROL!$C$38, 0.0256, 0)</f>
        <v>49.718199999999996</v>
      </c>
      <c r="G731" s="14">
        <f>47.1303 * CHOOSE(CONTROL!$C$15, $E$9, 100%, $G$9) + CHOOSE(CONTROL!$C$38, 0.0347, 0)</f>
        <v>47.164999999999999</v>
      </c>
      <c r="H731" s="14">
        <f>47.1303 * CHOOSE(CONTROL!$C$15, $E$9, 100%, $G$9) + CHOOSE(CONTROL!$C$38, 0.0347, 0)</f>
        <v>47.164999999999999</v>
      </c>
      <c r="I731" s="14">
        <f>47.1319 * CHOOSE(CONTROL!$C$15, $E$9, 100%, $G$9) + CHOOSE(CONTROL!$C$38, 0.0347, 0)</f>
        <v>47.166600000000003</v>
      </c>
      <c r="J731" s="44">
        <f>427.9812</f>
        <v>427.9812</v>
      </c>
    </row>
    <row r="732" spans="1:10" ht="15.75" x14ac:dyDescent="0.25">
      <c r="A732" s="32">
        <v>63220</v>
      </c>
      <c r="B732" s="14">
        <f>49.4749 * CHOOSE(CONTROL!$C$15, $E$9, 100%, $G$9) + CHOOSE(CONTROL!$C$38, 0.0256, 0)</f>
        <v>49.500499999999995</v>
      </c>
      <c r="C732" s="14">
        <f>46.7774 * CHOOSE(CONTROL!$C$15, $E$9, 100%, $G$9) + CHOOSE(CONTROL!$C$38, 0.0347, 0)</f>
        <v>46.812100000000001</v>
      </c>
      <c r="D732" s="14">
        <f>46.7696 * CHOOSE(CONTROL!$C$15, $E$9, 100%, $G$9) + CHOOSE(CONTROL!$C$38, 0.0347, 0)</f>
        <v>46.804299999999998</v>
      </c>
      <c r="E732" s="46">
        <f>49.3187 * CHOOSE(CONTROL!$C$15, $E$9, 100%, $G$9) + CHOOSE(CONTROL!$C$38, 0.0347, 0)</f>
        <v>49.353400000000001</v>
      </c>
      <c r="F732" s="45">
        <f>49.3187 * CHOOSE(CONTROL!$C$15, $E$9, 100%, $G$9) + CHOOSE(CONTROL!$C$38, 0.0256, 0)</f>
        <v>49.344299999999997</v>
      </c>
      <c r="G732" s="14">
        <f>46.7759 * CHOOSE(CONTROL!$C$15, $E$9, 100%, $G$9) + CHOOSE(CONTROL!$C$38, 0.0347, 0)</f>
        <v>46.810600000000001</v>
      </c>
      <c r="H732" s="14">
        <f>46.7759 * CHOOSE(CONTROL!$C$15, $E$9, 100%, $G$9) + CHOOSE(CONTROL!$C$38, 0.0347, 0)</f>
        <v>46.810600000000001</v>
      </c>
      <c r="I732" s="14">
        <f>46.7774 * CHOOSE(CONTROL!$C$15, $E$9, 100%, $G$9) + CHOOSE(CONTROL!$C$38, 0.0347, 0)</f>
        <v>46.812100000000001</v>
      </c>
      <c r="J732" s="44">
        <f>427.6722</f>
        <v>427.67219999999998</v>
      </c>
    </row>
    <row r="733" spans="1:10" ht="15.75" x14ac:dyDescent="0.25">
      <c r="A733" s="32">
        <v>63248</v>
      </c>
      <c r="B733" s="14">
        <f>49.3391 * CHOOSE(CONTROL!$C$15, $E$9, 100%, $G$9) + CHOOSE(CONTROL!$C$38, 0.0256, 0)</f>
        <v>49.364699999999999</v>
      </c>
      <c r="C733" s="14">
        <f>46.6487 * CHOOSE(CONTROL!$C$15, $E$9, 100%, $G$9) + CHOOSE(CONTROL!$C$38, 0.0347, 0)</f>
        <v>46.683399999999999</v>
      </c>
      <c r="D733" s="14">
        <f>46.6409 * CHOOSE(CONTROL!$C$15, $E$9, 100%, $G$9) + CHOOSE(CONTROL!$C$38, 0.0347, 0)</f>
        <v>46.675600000000003</v>
      </c>
      <c r="E733" s="46">
        <f>49.1829 * CHOOSE(CONTROL!$C$15, $E$9, 100%, $G$9) + CHOOSE(CONTROL!$C$38, 0.0347, 0)</f>
        <v>49.217599999999997</v>
      </c>
      <c r="F733" s="45">
        <f>49.1829 * CHOOSE(CONTROL!$C$15, $E$9, 100%, $G$9) + CHOOSE(CONTROL!$C$38, 0.0256, 0)</f>
        <v>49.208499999999994</v>
      </c>
      <c r="G733" s="14">
        <f>46.6471 * CHOOSE(CONTROL!$C$15, $E$9, 100%, $G$9) + CHOOSE(CONTROL!$C$38, 0.0347, 0)</f>
        <v>46.681800000000003</v>
      </c>
      <c r="H733" s="14">
        <f>46.6471 * CHOOSE(CONTROL!$C$15, $E$9, 100%, $G$9) + CHOOSE(CONTROL!$C$38, 0.0347, 0)</f>
        <v>46.681800000000003</v>
      </c>
      <c r="I733" s="14">
        <f>46.6487 * CHOOSE(CONTROL!$C$15, $E$9, 100%, $G$9) + CHOOSE(CONTROL!$C$38, 0.0347, 0)</f>
        <v>46.683399999999999</v>
      </c>
      <c r="J733" s="44">
        <f>426.4834</f>
        <v>426.48340000000002</v>
      </c>
    </row>
    <row r="734" spans="1:10" ht="15.75" x14ac:dyDescent="0.25">
      <c r="A734" s="32">
        <v>63279</v>
      </c>
      <c r="B734" s="14">
        <f>51.907 * CHOOSE(CONTROL!$C$15, $E$9, 100%, $G$9) + CHOOSE(CONTROL!$C$38, 0.0256, 0)</f>
        <v>51.932599999999994</v>
      </c>
      <c r="C734" s="14">
        <f>49.083 * CHOOSE(CONTROL!$C$15, $E$9, 100%, $G$9) + CHOOSE(CONTROL!$C$38, 0.0347, 0)</f>
        <v>49.117699999999999</v>
      </c>
      <c r="D734" s="14">
        <f>49.0752 * CHOOSE(CONTROL!$C$15, $E$9, 100%, $G$9) + CHOOSE(CONTROL!$C$38, 0.0347, 0)</f>
        <v>49.109900000000003</v>
      </c>
      <c r="E734" s="46">
        <f>51.7508 * CHOOSE(CONTROL!$C$15, $E$9, 100%, $G$9) + CHOOSE(CONTROL!$C$38, 0.0347, 0)</f>
        <v>51.785499999999999</v>
      </c>
      <c r="F734" s="45">
        <f>51.7508 * CHOOSE(CONTROL!$C$15, $E$9, 100%, $G$9) + CHOOSE(CONTROL!$C$38, 0.0256, 0)</f>
        <v>51.776399999999995</v>
      </c>
      <c r="G734" s="14">
        <f>49.0815 * CHOOSE(CONTROL!$C$15, $E$9, 100%, $G$9) + CHOOSE(CONTROL!$C$38, 0.0347, 0)</f>
        <v>49.116199999999999</v>
      </c>
      <c r="H734" s="14">
        <f>49.0815 * CHOOSE(CONTROL!$C$15, $E$9, 100%, $G$9) + CHOOSE(CONTROL!$C$38, 0.0347, 0)</f>
        <v>49.116199999999999</v>
      </c>
      <c r="I734" s="14">
        <f>49.083 * CHOOSE(CONTROL!$C$15, $E$9, 100%, $G$9) + CHOOSE(CONTROL!$C$38, 0.0347, 0)</f>
        <v>49.117699999999999</v>
      </c>
      <c r="J734" s="44">
        <f>448.9616</f>
        <v>448.96159999999998</v>
      </c>
    </row>
    <row r="735" spans="1:10" ht="15.75" x14ac:dyDescent="0.25">
      <c r="A735" s="32">
        <v>63309</v>
      </c>
      <c r="B735" s="14">
        <f>55.237 * CHOOSE(CONTROL!$C$15, $E$9, 100%, $G$9) + CHOOSE(CONTROL!$C$38, 0.0256, 0)</f>
        <v>55.262599999999999</v>
      </c>
      <c r="C735" s="14">
        <f>52.2398 * CHOOSE(CONTROL!$C$15, $E$9, 100%, $G$9) + CHOOSE(CONTROL!$C$38, 0.0347, 0)</f>
        <v>52.274500000000003</v>
      </c>
      <c r="D735" s="14">
        <f>52.232 * CHOOSE(CONTROL!$C$15, $E$9, 100%, $G$9) + CHOOSE(CONTROL!$C$38, 0.0347, 0)</f>
        <v>52.2667</v>
      </c>
      <c r="E735" s="46">
        <f>55.0808 * CHOOSE(CONTROL!$C$15, $E$9, 100%, $G$9) + CHOOSE(CONTROL!$C$38, 0.0347, 0)</f>
        <v>55.115500000000004</v>
      </c>
      <c r="F735" s="45">
        <f>55.0808 * CHOOSE(CONTROL!$C$15, $E$9, 100%, $G$9) + CHOOSE(CONTROL!$C$38, 0.0256, 0)</f>
        <v>55.106400000000001</v>
      </c>
      <c r="G735" s="14">
        <f>52.2383 * CHOOSE(CONTROL!$C$15, $E$9, 100%, $G$9) + CHOOSE(CONTROL!$C$38, 0.0347, 0)</f>
        <v>52.273000000000003</v>
      </c>
      <c r="H735" s="14">
        <f>52.2383 * CHOOSE(CONTROL!$C$15, $E$9, 100%, $G$9) + CHOOSE(CONTROL!$C$38, 0.0347, 0)</f>
        <v>52.273000000000003</v>
      </c>
      <c r="I735" s="14">
        <f>52.2398 * CHOOSE(CONTROL!$C$15, $E$9, 100%, $G$9) + CHOOSE(CONTROL!$C$38, 0.0347, 0)</f>
        <v>52.274500000000003</v>
      </c>
      <c r="J735" s="44">
        <f>478.1103</f>
        <v>478.1103</v>
      </c>
    </row>
    <row r="736" spans="1:10" ht="15.75" x14ac:dyDescent="0.25">
      <c r="A736" s="32">
        <v>63340</v>
      </c>
      <c r="B736" s="14">
        <f>57.07 * CHOOSE(CONTROL!$C$15, $E$9, 100%, $G$9) + CHOOSE(CONTROL!$C$38, 0.0278, 0)</f>
        <v>57.097799999999999</v>
      </c>
      <c r="C736" s="14">
        <f>53.9774 * CHOOSE(CONTROL!$C$15, $E$9, 100%, $G$9) + CHOOSE(CONTROL!$C$38, 0.0369, 0)</f>
        <v>54.014300000000006</v>
      </c>
      <c r="D736" s="14">
        <f>53.9696 * CHOOSE(CONTROL!$C$15, $E$9, 100%, $G$9) + CHOOSE(CONTROL!$C$38, 0.0369, 0)</f>
        <v>54.006500000000003</v>
      </c>
      <c r="E736" s="46">
        <f>56.9137 * CHOOSE(CONTROL!$C$15, $E$9, 100%, $G$9) + CHOOSE(CONTROL!$C$38, 0.0369, 0)</f>
        <v>56.950600000000001</v>
      </c>
      <c r="F736" s="45">
        <f>56.9137 * CHOOSE(CONTROL!$C$15, $E$9, 100%, $G$9) + CHOOSE(CONTROL!$C$38, 0.0278, 0)</f>
        <v>56.941499999999998</v>
      </c>
      <c r="G736" s="14">
        <f>53.9759 * CHOOSE(CONTROL!$C$15, $E$9, 100%, $G$9) + CHOOSE(CONTROL!$C$38, 0.0369, 0)</f>
        <v>54.012800000000006</v>
      </c>
      <c r="H736" s="14">
        <f>53.9759 * CHOOSE(CONTROL!$C$15, $E$9, 100%, $G$9) + CHOOSE(CONTROL!$C$38, 0.0369, 0)</f>
        <v>54.012800000000006</v>
      </c>
      <c r="I736" s="14">
        <f>53.9774 * CHOOSE(CONTROL!$C$15, $E$9, 100%, $G$9) + CHOOSE(CONTROL!$C$38, 0.0369, 0)</f>
        <v>54.014300000000006</v>
      </c>
      <c r="J736" s="44">
        <f>494.1548</f>
        <v>494.15480000000002</v>
      </c>
    </row>
    <row r="737" spans="1:10" ht="15.75" x14ac:dyDescent="0.25">
      <c r="A737" s="32">
        <v>63370</v>
      </c>
      <c r="B737" s="14">
        <f>57.8834 * CHOOSE(CONTROL!$C$15, $E$9, 100%, $G$9) + CHOOSE(CONTROL!$C$38, 0.0278, 0)</f>
        <v>57.911200000000001</v>
      </c>
      <c r="C737" s="14">
        <f>54.7485 * CHOOSE(CONTROL!$C$15, $E$9, 100%, $G$9) + CHOOSE(CONTROL!$C$38, 0.0369, 0)</f>
        <v>54.785400000000003</v>
      </c>
      <c r="D737" s="14">
        <f>54.7407 * CHOOSE(CONTROL!$C$15, $E$9, 100%, $G$9) + CHOOSE(CONTROL!$C$38, 0.0369, 0)</f>
        <v>54.7776</v>
      </c>
      <c r="E737" s="46">
        <f>57.7271 * CHOOSE(CONTROL!$C$15, $E$9, 100%, $G$9) + CHOOSE(CONTROL!$C$38, 0.0369, 0)</f>
        <v>57.764000000000003</v>
      </c>
      <c r="F737" s="45">
        <f>57.7271 * CHOOSE(CONTROL!$C$15, $E$9, 100%, $G$9) + CHOOSE(CONTROL!$C$38, 0.0278, 0)</f>
        <v>57.754899999999999</v>
      </c>
      <c r="G737" s="14">
        <f>54.747 * CHOOSE(CONTROL!$C$15, $E$9, 100%, $G$9) + CHOOSE(CONTROL!$C$38, 0.0369, 0)</f>
        <v>54.783900000000003</v>
      </c>
      <c r="H737" s="14">
        <f>54.747 * CHOOSE(CONTROL!$C$15, $E$9, 100%, $G$9) + CHOOSE(CONTROL!$C$38, 0.0369, 0)</f>
        <v>54.783900000000003</v>
      </c>
      <c r="I737" s="14">
        <f>54.7485 * CHOOSE(CONTROL!$C$15, $E$9, 100%, $G$9) + CHOOSE(CONTROL!$C$38, 0.0369, 0)</f>
        <v>54.785400000000003</v>
      </c>
      <c r="J737" s="44">
        <f>501.275</f>
        <v>501.27499999999998</v>
      </c>
    </row>
    <row r="738" spans="1:10" ht="15.75" x14ac:dyDescent="0.25">
      <c r="A738" s="32">
        <v>63401</v>
      </c>
      <c r="B738" s="14">
        <f>57.6156 * CHOOSE(CONTROL!$C$15, $E$9, 100%, $G$9) + CHOOSE(CONTROL!$C$38, 0.0278, 0)</f>
        <v>57.6434</v>
      </c>
      <c r="C738" s="14">
        <f>54.4946 * CHOOSE(CONTROL!$C$15, $E$9, 100%, $G$9) + CHOOSE(CONTROL!$C$38, 0.0369, 0)</f>
        <v>54.531500000000001</v>
      </c>
      <c r="D738" s="14">
        <f>54.4868 * CHOOSE(CONTROL!$C$15, $E$9, 100%, $G$9) + CHOOSE(CONTROL!$C$38, 0.0369, 0)</f>
        <v>54.523700000000005</v>
      </c>
      <c r="E738" s="46">
        <f>57.4593 * CHOOSE(CONTROL!$C$15, $E$9, 100%, $G$9) + CHOOSE(CONTROL!$C$38, 0.0369, 0)</f>
        <v>57.496200000000002</v>
      </c>
      <c r="F738" s="45">
        <f>57.4593 * CHOOSE(CONTROL!$C$15, $E$9, 100%, $G$9) + CHOOSE(CONTROL!$C$38, 0.0278, 0)</f>
        <v>57.487099999999998</v>
      </c>
      <c r="G738" s="14">
        <f>54.4931 * CHOOSE(CONTROL!$C$15, $E$9, 100%, $G$9) + CHOOSE(CONTROL!$C$38, 0.0369, 0)</f>
        <v>54.53</v>
      </c>
      <c r="H738" s="14">
        <f>54.4931 * CHOOSE(CONTROL!$C$15, $E$9, 100%, $G$9) + CHOOSE(CONTROL!$C$38, 0.0369, 0)</f>
        <v>54.53</v>
      </c>
      <c r="I738" s="14">
        <f>54.4946 * CHOOSE(CONTROL!$C$15, $E$9, 100%, $G$9) + CHOOSE(CONTROL!$C$38, 0.0369, 0)</f>
        <v>54.531500000000001</v>
      </c>
      <c r="J738" s="44">
        <f>498.9307</f>
        <v>498.9307</v>
      </c>
    </row>
    <row r="739" spans="1:10" ht="15.75" x14ac:dyDescent="0.25">
      <c r="A739" s="32">
        <v>63432</v>
      </c>
      <c r="B739" s="14">
        <f>56.2887 * CHOOSE(CONTROL!$C$15, $E$9, 100%, $G$9) + CHOOSE(CONTROL!$C$38, 0.0278, 0)</f>
        <v>56.316499999999998</v>
      </c>
      <c r="C739" s="14">
        <f>53.2368 * CHOOSE(CONTROL!$C$15, $E$9, 100%, $G$9) + CHOOSE(CONTROL!$C$38, 0.0369, 0)</f>
        <v>53.273700000000005</v>
      </c>
      <c r="D739" s="14">
        <f>53.229 * CHOOSE(CONTROL!$C$15, $E$9, 100%, $G$9) + CHOOSE(CONTROL!$C$38, 0.0369, 0)</f>
        <v>53.265900000000002</v>
      </c>
      <c r="E739" s="46">
        <f>56.1324 * CHOOSE(CONTROL!$C$15, $E$9, 100%, $G$9) + CHOOSE(CONTROL!$C$38, 0.0369, 0)</f>
        <v>56.1693</v>
      </c>
      <c r="F739" s="45">
        <f>56.1324 * CHOOSE(CONTROL!$C$15, $E$9, 100%, $G$9) + CHOOSE(CONTROL!$C$38, 0.0278, 0)</f>
        <v>56.160199999999996</v>
      </c>
      <c r="G739" s="14">
        <f>53.2352 * CHOOSE(CONTROL!$C$15, $E$9, 100%, $G$9) + CHOOSE(CONTROL!$C$38, 0.0369, 0)</f>
        <v>53.272100000000002</v>
      </c>
      <c r="H739" s="14">
        <f>53.2352 * CHOOSE(CONTROL!$C$15, $E$9, 100%, $G$9) + CHOOSE(CONTROL!$C$38, 0.0369, 0)</f>
        <v>53.272100000000002</v>
      </c>
      <c r="I739" s="14">
        <f>53.2368 * CHOOSE(CONTROL!$C$15, $E$9, 100%, $G$9) + CHOOSE(CONTROL!$C$38, 0.0369, 0)</f>
        <v>53.273700000000005</v>
      </c>
      <c r="J739" s="44">
        <f>487.3158</f>
        <v>487.31580000000002</v>
      </c>
    </row>
    <row r="740" spans="1:10" ht="15.75" x14ac:dyDescent="0.25">
      <c r="A740" s="32">
        <v>63462</v>
      </c>
      <c r="B740" s="14">
        <f>54.4382 * CHOOSE(CONTROL!$C$15, $E$9, 100%, $G$9) + CHOOSE(CONTROL!$C$38, 0.0278, 0)</f>
        <v>54.466000000000001</v>
      </c>
      <c r="C740" s="14">
        <f>51.4826 * CHOOSE(CONTROL!$C$15, $E$9, 100%, $G$9) + CHOOSE(CONTROL!$C$38, 0.0369, 0)</f>
        <v>51.519500000000001</v>
      </c>
      <c r="D740" s="14">
        <f>51.4748 * CHOOSE(CONTROL!$C$15, $E$9, 100%, $G$9) + CHOOSE(CONTROL!$C$38, 0.0369, 0)</f>
        <v>51.511700000000005</v>
      </c>
      <c r="E740" s="46">
        <f>54.282 * CHOOSE(CONTROL!$C$15, $E$9, 100%, $G$9) + CHOOSE(CONTROL!$C$38, 0.0369, 0)</f>
        <v>54.318899999999999</v>
      </c>
      <c r="F740" s="45">
        <f>54.282 * CHOOSE(CONTROL!$C$15, $E$9, 100%, $G$9) + CHOOSE(CONTROL!$C$38, 0.0278, 0)</f>
        <v>54.309799999999996</v>
      </c>
      <c r="G740" s="14">
        <f>51.481 * CHOOSE(CONTROL!$C$15, $E$9, 100%, $G$9) + CHOOSE(CONTROL!$C$38, 0.0369, 0)</f>
        <v>51.517900000000004</v>
      </c>
      <c r="H740" s="14">
        <f>51.481 * CHOOSE(CONTROL!$C$15, $E$9, 100%, $G$9) + CHOOSE(CONTROL!$C$38, 0.0369, 0)</f>
        <v>51.517900000000004</v>
      </c>
      <c r="I740" s="14">
        <f>51.4826 * CHOOSE(CONTROL!$C$15, $E$9, 100%, $G$9) + CHOOSE(CONTROL!$C$38, 0.0369, 0)</f>
        <v>51.519500000000001</v>
      </c>
      <c r="J740" s="44">
        <f>471.1183</f>
        <v>471.11829999999998</v>
      </c>
    </row>
    <row r="741" spans="1:10" ht="15.75" x14ac:dyDescent="0.25">
      <c r="A741" s="32">
        <v>63493</v>
      </c>
      <c r="B741" s="14">
        <f>52.5771 * CHOOSE(CONTROL!$C$15, $E$9, 100%, $G$9) + CHOOSE(CONTROL!$C$38, 0.0256, 0)</f>
        <v>52.602699999999999</v>
      </c>
      <c r="C741" s="14">
        <f>49.7182 * CHOOSE(CONTROL!$C$15, $E$9, 100%, $G$9) + CHOOSE(CONTROL!$C$38, 0.0347, 0)</f>
        <v>49.752900000000004</v>
      </c>
      <c r="D741" s="14">
        <f>49.7104 * CHOOSE(CONTROL!$C$15, $E$9, 100%, $G$9) + CHOOSE(CONTROL!$C$38, 0.0347, 0)</f>
        <v>49.745100000000001</v>
      </c>
      <c r="E741" s="46">
        <f>52.4208 * CHOOSE(CONTROL!$C$15, $E$9, 100%, $G$9) + CHOOSE(CONTROL!$C$38, 0.0347, 0)</f>
        <v>52.455500000000001</v>
      </c>
      <c r="F741" s="45">
        <f>52.4208 * CHOOSE(CONTROL!$C$15, $E$9, 100%, $G$9) + CHOOSE(CONTROL!$C$38, 0.0256, 0)</f>
        <v>52.446399999999997</v>
      </c>
      <c r="G741" s="14">
        <f>49.7166 * CHOOSE(CONTROL!$C$15, $E$9, 100%, $G$9) + CHOOSE(CONTROL!$C$38, 0.0347, 0)</f>
        <v>49.751300000000001</v>
      </c>
      <c r="H741" s="14">
        <f>49.7166 * CHOOSE(CONTROL!$C$15, $E$9, 100%, $G$9) + CHOOSE(CONTROL!$C$38, 0.0347, 0)</f>
        <v>49.751300000000001</v>
      </c>
      <c r="I741" s="14">
        <f>49.7182 * CHOOSE(CONTROL!$C$15, $E$9, 100%, $G$9) + CHOOSE(CONTROL!$C$38, 0.0347, 0)</f>
        <v>49.752900000000004</v>
      </c>
      <c r="J741" s="44">
        <f>454.8265</f>
        <v>454.82650000000001</v>
      </c>
    </row>
    <row r="742" spans="1:10" ht="15.75" x14ac:dyDescent="0.25">
      <c r="A742" s="32">
        <v>63523</v>
      </c>
      <c r="B742" s="14">
        <f>52.2068 * CHOOSE(CONTROL!$C$15, $E$9, 100%, $G$9) + CHOOSE(CONTROL!$C$38, 0.0256, 0)</f>
        <v>52.232399999999998</v>
      </c>
      <c r="C742" s="14">
        <f>49.3672 * CHOOSE(CONTROL!$C$15, $E$9, 100%, $G$9) + CHOOSE(CONTROL!$C$38, 0.0347, 0)</f>
        <v>49.401899999999998</v>
      </c>
      <c r="D742" s="14">
        <f>49.3594 * CHOOSE(CONTROL!$C$15, $E$9, 100%, $G$9) + CHOOSE(CONTROL!$C$38, 0.0347, 0)</f>
        <v>49.394100000000002</v>
      </c>
      <c r="E742" s="46">
        <f>52.0506 * CHOOSE(CONTROL!$C$15, $E$9, 100%, $G$9) + CHOOSE(CONTROL!$C$38, 0.0347, 0)</f>
        <v>52.085300000000004</v>
      </c>
      <c r="F742" s="45">
        <f>52.0506 * CHOOSE(CONTROL!$C$15, $E$9, 100%, $G$9) + CHOOSE(CONTROL!$C$38, 0.0256, 0)</f>
        <v>52.0762</v>
      </c>
      <c r="G742" s="14">
        <f>49.3657 * CHOOSE(CONTROL!$C$15, $E$9, 100%, $G$9) + CHOOSE(CONTROL!$C$38, 0.0347, 0)</f>
        <v>49.400399999999998</v>
      </c>
      <c r="H742" s="14">
        <f>49.3657 * CHOOSE(CONTROL!$C$15, $E$9, 100%, $G$9) + CHOOSE(CONTROL!$C$38, 0.0347, 0)</f>
        <v>49.400399999999998</v>
      </c>
      <c r="I742" s="14">
        <f>49.3672 * CHOOSE(CONTROL!$C$15, $E$9, 100%, $G$9) + CHOOSE(CONTROL!$C$38, 0.0347, 0)</f>
        <v>49.401899999999998</v>
      </c>
      <c r="J742" s="44">
        <f>451.5858</f>
        <v>451.58580000000001</v>
      </c>
    </row>
    <row r="743" spans="1:10" ht="15.75" x14ac:dyDescent="0.25">
      <c r="A743" s="32">
        <v>63554</v>
      </c>
      <c r="B743" s="14">
        <f>50.6759 * CHOOSE(CONTROL!$C$15, $E$9, 100%, $G$9) + CHOOSE(CONTROL!$C$38, 0.0256, 0)</f>
        <v>50.701499999999996</v>
      </c>
      <c r="C743" s="14">
        <f>47.9159 * CHOOSE(CONTROL!$C$15, $E$9, 100%, $G$9) + CHOOSE(CONTROL!$C$38, 0.0347, 0)</f>
        <v>47.950600000000001</v>
      </c>
      <c r="D743" s="14">
        <f>47.9081 * CHOOSE(CONTROL!$C$15, $E$9, 100%, $G$9) + CHOOSE(CONTROL!$C$38, 0.0347, 0)</f>
        <v>47.942799999999998</v>
      </c>
      <c r="E743" s="46">
        <f>50.5196 * CHOOSE(CONTROL!$C$15, $E$9, 100%, $G$9) + CHOOSE(CONTROL!$C$38, 0.0347, 0)</f>
        <v>50.554299999999998</v>
      </c>
      <c r="F743" s="45">
        <f>50.5196 * CHOOSE(CONTROL!$C$15, $E$9, 100%, $G$9) + CHOOSE(CONTROL!$C$38, 0.0256, 0)</f>
        <v>50.545199999999994</v>
      </c>
      <c r="G743" s="14">
        <f>47.9144 * CHOOSE(CONTROL!$C$15, $E$9, 100%, $G$9) + CHOOSE(CONTROL!$C$38, 0.0347, 0)</f>
        <v>47.949100000000001</v>
      </c>
      <c r="H743" s="14">
        <f>47.9144 * CHOOSE(CONTROL!$C$15, $E$9, 100%, $G$9) + CHOOSE(CONTROL!$C$38, 0.0347, 0)</f>
        <v>47.949100000000001</v>
      </c>
      <c r="I743" s="14">
        <f>47.9159 * CHOOSE(CONTROL!$C$15, $E$9, 100%, $G$9) + CHOOSE(CONTROL!$C$38, 0.0347, 0)</f>
        <v>47.950600000000001</v>
      </c>
      <c r="J743" s="44">
        <f>438.1849</f>
        <v>438.18490000000003</v>
      </c>
    </row>
    <row r="744" spans="1:10" ht="15.75" x14ac:dyDescent="0.25">
      <c r="A744" s="32">
        <v>63585</v>
      </c>
      <c r="B744" s="14">
        <f>50.2957 * CHOOSE(CONTROL!$C$15, $E$9, 100%, $G$9) + CHOOSE(CONTROL!$C$38, 0.0256, 0)</f>
        <v>50.321299999999994</v>
      </c>
      <c r="C744" s="14">
        <f>47.5555 * CHOOSE(CONTROL!$C$15, $E$9, 100%, $G$9) + CHOOSE(CONTROL!$C$38, 0.0347, 0)</f>
        <v>47.590200000000003</v>
      </c>
      <c r="D744" s="14">
        <f>47.5477 * CHOOSE(CONTROL!$C$15, $E$9, 100%, $G$9) + CHOOSE(CONTROL!$C$38, 0.0347, 0)</f>
        <v>47.5824</v>
      </c>
      <c r="E744" s="46">
        <f>50.1395 * CHOOSE(CONTROL!$C$15, $E$9, 100%, $G$9) + CHOOSE(CONTROL!$C$38, 0.0347, 0)</f>
        <v>50.174199999999999</v>
      </c>
      <c r="F744" s="45">
        <f>50.1395 * CHOOSE(CONTROL!$C$15, $E$9, 100%, $G$9) + CHOOSE(CONTROL!$C$38, 0.0256, 0)</f>
        <v>50.165099999999995</v>
      </c>
      <c r="G744" s="14">
        <f>47.554 * CHOOSE(CONTROL!$C$15, $E$9, 100%, $G$9) + CHOOSE(CONTROL!$C$38, 0.0347, 0)</f>
        <v>47.588700000000003</v>
      </c>
      <c r="H744" s="14">
        <f>47.554 * CHOOSE(CONTROL!$C$15, $E$9, 100%, $G$9) + CHOOSE(CONTROL!$C$38, 0.0347, 0)</f>
        <v>47.588700000000003</v>
      </c>
      <c r="I744" s="14">
        <f>47.5555 * CHOOSE(CONTROL!$C$15, $E$9, 100%, $G$9) + CHOOSE(CONTROL!$C$38, 0.0347, 0)</f>
        <v>47.590200000000003</v>
      </c>
      <c r="J744" s="44">
        <f>437.8685</f>
        <v>437.86849999999998</v>
      </c>
    </row>
    <row r="745" spans="1:10" ht="15.75" x14ac:dyDescent="0.25">
      <c r="A745" s="32">
        <v>63613</v>
      </c>
      <c r="B745" s="14">
        <f>50.1576 * CHOOSE(CONTROL!$C$15, $E$9, 100%, $G$9) + CHOOSE(CONTROL!$C$38, 0.0256, 0)</f>
        <v>50.183199999999999</v>
      </c>
      <c r="C745" s="14">
        <f>47.4246 * CHOOSE(CONTROL!$C$15, $E$9, 100%, $G$9) + CHOOSE(CONTROL!$C$38, 0.0347, 0)</f>
        <v>47.459299999999999</v>
      </c>
      <c r="D745" s="14">
        <f>47.4168 * CHOOSE(CONTROL!$C$15, $E$9, 100%, $G$9) + CHOOSE(CONTROL!$C$38, 0.0347, 0)</f>
        <v>47.451500000000003</v>
      </c>
      <c r="E745" s="46">
        <f>50.0014 * CHOOSE(CONTROL!$C$15, $E$9, 100%, $G$9) + CHOOSE(CONTROL!$C$38, 0.0347, 0)</f>
        <v>50.036099999999998</v>
      </c>
      <c r="F745" s="45">
        <f>50.0014 * CHOOSE(CONTROL!$C$15, $E$9, 100%, $G$9) + CHOOSE(CONTROL!$C$38, 0.0256, 0)</f>
        <v>50.026999999999994</v>
      </c>
      <c r="G745" s="14">
        <f>47.4231 * CHOOSE(CONTROL!$C$15, $E$9, 100%, $G$9) + CHOOSE(CONTROL!$C$38, 0.0347, 0)</f>
        <v>47.457799999999999</v>
      </c>
      <c r="H745" s="14">
        <f>47.4231 * CHOOSE(CONTROL!$C$15, $E$9, 100%, $G$9) + CHOOSE(CONTROL!$C$38, 0.0347, 0)</f>
        <v>47.457799999999999</v>
      </c>
      <c r="I745" s="14">
        <f>47.4246 * CHOOSE(CONTROL!$C$15, $E$9, 100%, $G$9) + CHOOSE(CONTROL!$C$38, 0.0347, 0)</f>
        <v>47.459299999999999</v>
      </c>
      <c r="J745" s="44">
        <f>436.6514</f>
        <v>436.65140000000002</v>
      </c>
    </row>
    <row r="746" spans="1:10" ht="15.75" x14ac:dyDescent="0.25">
      <c r="A746" s="32">
        <v>63644</v>
      </c>
      <c r="B746" s="14">
        <f>52.7687 * CHOOSE(CONTROL!$C$15, $E$9, 100%, $G$9) + CHOOSE(CONTROL!$C$38, 0.0256, 0)</f>
        <v>52.7943</v>
      </c>
      <c r="C746" s="14">
        <f>49.8999 * CHOOSE(CONTROL!$C$15, $E$9, 100%, $G$9) + CHOOSE(CONTROL!$C$38, 0.0347, 0)</f>
        <v>49.934600000000003</v>
      </c>
      <c r="D746" s="14">
        <f>49.8921 * CHOOSE(CONTROL!$C$15, $E$9, 100%, $G$9) + CHOOSE(CONTROL!$C$38, 0.0347, 0)</f>
        <v>49.9268</v>
      </c>
      <c r="E746" s="46">
        <f>52.6124 * CHOOSE(CONTROL!$C$15, $E$9, 100%, $G$9) + CHOOSE(CONTROL!$C$38, 0.0347, 0)</f>
        <v>52.647100000000002</v>
      </c>
      <c r="F746" s="45">
        <f>52.6124 * CHOOSE(CONTROL!$C$15, $E$9, 100%, $G$9) + CHOOSE(CONTROL!$C$38, 0.0256, 0)</f>
        <v>52.637999999999998</v>
      </c>
      <c r="G746" s="14">
        <f>49.8983 * CHOOSE(CONTROL!$C$15, $E$9, 100%, $G$9) + CHOOSE(CONTROL!$C$38, 0.0347, 0)</f>
        <v>49.933</v>
      </c>
      <c r="H746" s="14">
        <f>49.8983 * CHOOSE(CONTROL!$C$15, $E$9, 100%, $G$9) + CHOOSE(CONTROL!$C$38, 0.0347, 0)</f>
        <v>49.933</v>
      </c>
      <c r="I746" s="14">
        <f>49.8999 * CHOOSE(CONTROL!$C$15, $E$9, 100%, $G$9) + CHOOSE(CONTROL!$C$38, 0.0347, 0)</f>
        <v>49.934600000000003</v>
      </c>
      <c r="J746" s="44">
        <f>459.6655</f>
        <v>459.66550000000001</v>
      </c>
    </row>
    <row r="747" spans="1:10" ht="15.75" x14ac:dyDescent="0.25">
      <c r="A747" s="32">
        <v>63674</v>
      </c>
      <c r="B747" s="14">
        <f>56.1546 * CHOOSE(CONTROL!$C$15, $E$9, 100%, $G$9) + CHOOSE(CONTROL!$C$38, 0.0256, 0)</f>
        <v>56.180199999999999</v>
      </c>
      <c r="C747" s="14">
        <f>53.1097 * CHOOSE(CONTROL!$C$15, $E$9, 100%, $G$9) + CHOOSE(CONTROL!$C$38, 0.0347, 0)</f>
        <v>53.144399999999997</v>
      </c>
      <c r="D747" s="14">
        <f>53.1019 * CHOOSE(CONTROL!$C$15, $E$9, 100%, $G$9) + CHOOSE(CONTROL!$C$38, 0.0347, 0)</f>
        <v>53.136600000000001</v>
      </c>
      <c r="E747" s="46">
        <f>55.9984 * CHOOSE(CONTROL!$C$15, $E$9, 100%, $G$9) + CHOOSE(CONTROL!$C$38, 0.0347, 0)</f>
        <v>56.033099999999997</v>
      </c>
      <c r="F747" s="45">
        <f>55.9984 * CHOOSE(CONTROL!$C$15, $E$9, 100%, $G$9) + CHOOSE(CONTROL!$C$38, 0.0256, 0)</f>
        <v>56.023999999999994</v>
      </c>
      <c r="G747" s="14">
        <f>53.1081 * CHOOSE(CONTROL!$C$15, $E$9, 100%, $G$9) + CHOOSE(CONTROL!$C$38, 0.0347, 0)</f>
        <v>53.142800000000001</v>
      </c>
      <c r="H747" s="14">
        <f>53.1081 * CHOOSE(CONTROL!$C$15, $E$9, 100%, $G$9) + CHOOSE(CONTROL!$C$38, 0.0347, 0)</f>
        <v>53.142800000000001</v>
      </c>
      <c r="I747" s="14">
        <f>53.1097 * CHOOSE(CONTROL!$C$15, $E$9, 100%, $G$9) + CHOOSE(CONTROL!$C$38, 0.0347, 0)</f>
        <v>53.144399999999997</v>
      </c>
      <c r="J747" s="44">
        <f>489.5092</f>
        <v>489.50920000000002</v>
      </c>
    </row>
    <row r="748" spans="1:10" ht="15.75" x14ac:dyDescent="0.25">
      <c r="A748" s="32">
        <v>63705</v>
      </c>
      <c r="B748" s="14">
        <f>58.0183 * CHOOSE(CONTROL!$C$15, $E$9, 100%, $G$9) + CHOOSE(CONTROL!$C$38, 0.0278, 0)</f>
        <v>58.046100000000003</v>
      </c>
      <c r="C748" s="14">
        <f>54.8765 * CHOOSE(CONTROL!$C$15, $E$9, 100%, $G$9) + CHOOSE(CONTROL!$C$38, 0.0369, 0)</f>
        <v>54.913400000000003</v>
      </c>
      <c r="D748" s="14">
        <f>54.8687 * CHOOSE(CONTROL!$C$15, $E$9, 100%, $G$9) + CHOOSE(CONTROL!$C$38, 0.0369, 0)</f>
        <v>54.9056</v>
      </c>
      <c r="E748" s="46">
        <f>57.8621 * CHOOSE(CONTROL!$C$15, $E$9, 100%, $G$9) + CHOOSE(CONTROL!$C$38, 0.0369, 0)</f>
        <v>57.899000000000001</v>
      </c>
      <c r="F748" s="45">
        <f>57.8621 * CHOOSE(CONTROL!$C$15, $E$9, 100%, $G$9) + CHOOSE(CONTROL!$C$38, 0.0278, 0)</f>
        <v>57.889899999999997</v>
      </c>
      <c r="G748" s="14">
        <f>54.8749 * CHOOSE(CONTROL!$C$15, $E$9, 100%, $G$9) + CHOOSE(CONTROL!$C$38, 0.0369, 0)</f>
        <v>54.911799999999999</v>
      </c>
      <c r="H748" s="14">
        <f>54.8749 * CHOOSE(CONTROL!$C$15, $E$9, 100%, $G$9) + CHOOSE(CONTROL!$C$38, 0.0369, 0)</f>
        <v>54.911799999999999</v>
      </c>
      <c r="I748" s="14">
        <f>54.8765 * CHOOSE(CONTROL!$C$15, $E$9, 100%, $G$9) + CHOOSE(CONTROL!$C$38, 0.0369, 0)</f>
        <v>54.913400000000003</v>
      </c>
      <c r="J748" s="44">
        <f>505.9362</f>
        <v>505.93619999999999</v>
      </c>
    </row>
    <row r="749" spans="1:10" ht="15.75" x14ac:dyDescent="0.25">
      <c r="A749" s="32">
        <v>63735</v>
      </c>
      <c r="B749" s="14">
        <f>58.8454 * CHOOSE(CONTROL!$C$15, $E$9, 100%, $G$9) + CHOOSE(CONTROL!$C$38, 0.0278, 0)</f>
        <v>58.873199999999997</v>
      </c>
      <c r="C749" s="14">
        <f>55.6606 * CHOOSE(CONTROL!$C$15, $E$9, 100%, $G$9) + CHOOSE(CONTROL!$C$38, 0.0369, 0)</f>
        <v>55.697500000000005</v>
      </c>
      <c r="D749" s="14">
        <f>55.6527 * CHOOSE(CONTROL!$C$15, $E$9, 100%, $G$9) + CHOOSE(CONTROL!$C$38, 0.0369, 0)</f>
        <v>55.689600000000006</v>
      </c>
      <c r="E749" s="46">
        <f>58.6892 * CHOOSE(CONTROL!$C$15, $E$9, 100%, $G$9) + CHOOSE(CONTROL!$C$38, 0.0369, 0)</f>
        <v>58.726100000000002</v>
      </c>
      <c r="F749" s="45">
        <f>58.6892 * CHOOSE(CONTROL!$C$15, $E$9, 100%, $G$9) + CHOOSE(CONTROL!$C$38, 0.0278, 0)</f>
        <v>58.716999999999999</v>
      </c>
      <c r="G749" s="14">
        <f>55.659 * CHOOSE(CONTROL!$C$15, $E$9, 100%, $G$9) + CHOOSE(CONTROL!$C$38, 0.0369, 0)</f>
        <v>55.695900000000002</v>
      </c>
      <c r="H749" s="14">
        <f>55.659 * CHOOSE(CONTROL!$C$15, $E$9, 100%, $G$9) + CHOOSE(CONTROL!$C$38, 0.0369, 0)</f>
        <v>55.695900000000002</v>
      </c>
      <c r="I749" s="14">
        <f>55.6606 * CHOOSE(CONTROL!$C$15, $E$9, 100%, $G$9) + CHOOSE(CONTROL!$C$38, 0.0369, 0)</f>
        <v>55.697500000000005</v>
      </c>
      <c r="J749" s="44">
        <f>513.2262</f>
        <v>513.22619999999995</v>
      </c>
    </row>
    <row r="750" spans="1:10" ht="15.75" x14ac:dyDescent="0.25">
      <c r="A750" s="32">
        <v>63766</v>
      </c>
      <c r="B750" s="14">
        <f>58.5731 * CHOOSE(CONTROL!$C$15, $E$9, 100%, $G$9) + CHOOSE(CONTROL!$C$38, 0.0278, 0)</f>
        <v>58.600899999999996</v>
      </c>
      <c r="C750" s="14">
        <f>55.4024 * CHOOSE(CONTROL!$C$15, $E$9, 100%, $G$9) + CHOOSE(CONTROL!$C$38, 0.0369, 0)</f>
        <v>55.439300000000003</v>
      </c>
      <c r="D750" s="14">
        <f>55.3946 * CHOOSE(CONTROL!$C$15, $E$9, 100%, $G$9) + CHOOSE(CONTROL!$C$38, 0.0369, 0)</f>
        <v>55.4315</v>
      </c>
      <c r="E750" s="46">
        <f>58.4169 * CHOOSE(CONTROL!$C$15, $E$9, 100%, $G$9) + CHOOSE(CONTROL!$C$38, 0.0369, 0)</f>
        <v>58.453800000000001</v>
      </c>
      <c r="F750" s="45">
        <f>58.4169 * CHOOSE(CONTROL!$C$15, $E$9, 100%, $G$9) + CHOOSE(CONTROL!$C$38, 0.0278, 0)</f>
        <v>58.444699999999997</v>
      </c>
      <c r="G750" s="14">
        <f>55.4008 * CHOOSE(CONTROL!$C$15, $E$9, 100%, $G$9) + CHOOSE(CONTROL!$C$38, 0.0369, 0)</f>
        <v>55.4377</v>
      </c>
      <c r="H750" s="14">
        <f>55.4008 * CHOOSE(CONTROL!$C$15, $E$9, 100%, $G$9) + CHOOSE(CONTROL!$C$38, 0.0369, 0)</f>
        <v>55.4377</v>
      </c>
      <c r="I750" s="14">
        <f>55.4024 * CHOOSE(CONTROL!$C$15, $E$9, 100%, $G$9) + CHOOSE(CONTROL!$C$38, 0.0369, 0)</f>
        <v>55.439300000000003</v>
      </c>
      <c r="J750" s="44">
        <f>510.8259</f>
        <v>510.82589999999999</v>
      </c>
    </row>
    <row r="751" spans="1:10" ht="15.75" x14ac:dyDescent="0.25">
      <c r="A751" s="32">
        <v>63797</v>
      </c>
      <c r="B751" s="14">
        <f>57.2239 * CHOOSE(CONTROL!$C$15, $E$9, 100%, $G$9) + CHOOSE(CONTROL!$C$38, 0.0278, 0)</f>
        <v>57.2517</v>
      </c>
      <c r="C751" s="14">
        <f>54.1234 * CHOOSE(CONTROL!$C$15, $E$9, 100%, $G$9) + CHOOSE(CONTROL!$C$38, 0.0369, 0)</f>
        <v>54.160299999999999</v>
      </c>
      <c r="D751" s="14">
        <f>54.1156 * CHOOSE(CONTROL!$C$15, $E$9, 100%, $G$9) + CHOOSE(CONTROL!$C$38, 0.0369, 0)</f>
        <v>54.152500000000003</v>
      </c>
      <c r="E751" s="46">
        <f>57.0677 * CHOOSE(CONTROL!$C$15, $E$9, 100%, $G$9) + CHOOSE(CONTROL!$C$38, 0.0369, 0)</f>
        <v>57.104600000000005</v>
      </c>
      <c r="F751" s="45">
        <f>57.0677 * CHOOSE(CONTROL!$C$15, $E$9, 100%, $G$9) + CHOOSE(CONTROL!$C$38, 0.0278, 0)</f>
        <v>57.095500000000001</v>
      </c>
      <c r="G751" s="14">
        <f>54.1218 * CHOOSE(CONTROL!$C$15, $E$9, 100%, $G$9) + CHOOSE(CONTROL!$C$38, 0.0369, 0)</f>
        <v>54.158700000000003</v>
      </c>
      <c r="H751" s="14">
        <f>54.1218 * CHOOSE(CONTROL!$C$15, $E$9, 100%, $G$9) + CHOOSE(CONTROL!$C$38, 0.0369, 0)</f>
        <v>54.158700000000003</v>
      </c>
      <c r="I751" s="14">
        <f>54.1234 * CHOOSE(CONTROL!$C$15, $E$9, 100%, $G$9) + CHOOSE(CONTROL!$C$38, 0.0369, 0)</f>
        <v>54.160299999999999</v>
      </c>
      <c r="J751" s="44">
        <f>498.9341</f>
        <v>498.9341</v>
      </c>
    </row>
    <row r="752" spans="1:10" ht="15.75" x14ac:dyDescent="0.25">
      <c r="A752" s="32">
        <v>63827</v>
      </c>
      <c r="B752" s="14">
        <f>55.3424 * CHOOSE(CONTROL!$C$15, $E$9, 100%, $G$9) + CHOOSE(CONTROL!$C$38, 0.0278, 0)</f>
        <v>55.370199999999997</v>
      </c>
      <c r="C752" s="14">
        <f>52.3397 * CHOOSE(CONTROL!$C$15, $E$9, 100%, $G$9) + CHOOSE(CONTROL!$C$38, 0.0369, 0)</f>
        <v>52.376600000000003</v>
      </c>
      <c r="D752" s="14">
        <f>52.3319 * CHOOSE(CONTROL!$C$15, $E$9, 100%, $G$9) + CHOOSE(CONTROL!$C$38, 0.0369, 0)</f>
        <v>52.3688</v>
      </c>
      <c r="E752" s="46">
        <f>55.1862 * CHOOSE(CONTROL!$C$15, $E$9, 100%, $G$9) + CHOOSE(CONTROL!$C$38, 0.0369, 0)</f>
        <v>55.223100000000002</v>
      </c>
      <c r="F752" s="45">
        <f>55.1862 * CHOOSE(CONTROL!$C$15, $E$9, 100%, $G$9) + CHOOSE(CONTROL!$C$38, 0.0278, 0)</f>
        <v>55.213999999999999</v>
      </c>
      <c r="G752" s="14">
        <f>52.3382 * CHOOSE(CONTROL!$C$15, $E$9, 100%, $G$9) + CHOOSE(CONTROL!$C$38, 0.0369, 0)</f>
        <v>52.375100000000003</v>
      </c>
      <c r="H752" s="14">
        <f>52.3382 * CHOOSE(CONTROL!$C$15, $E$9, 100%, $G$9) + CHOOSE(CONTROL!$C$38, 0.0369, 0)</f>
        <v>52.375100000000003</v>
      </c>
      <c r="I752" s="14">
        <f>52.3397 * CHOOSE(CONTROL!$C$15, $E$9, 100%, $G$9) + CHOOSE(CONTROL!$C$38, 0.0369, 0)</f>
        <v>52.376600000000003</v>
      </c>
      <c r="J752" s="44">
        <f>482.3504</f>
        <v>482.35039999999998</v>
      </c>
    </row>
    <row r="753" spans="1:10" ht="15.75" x14ac:dyDescent="0.25">
      <c r="A753" s="32">
        <v>63858</v>
      </c>
      <c r="B753" s="14">
        <f>53.45 * CHOOSE(CONTROL!$C$15, $E$9, 100%, $G$9) + CHOOSE(CONTROL!$C$38, 0.0256, 0)</f>
        <v>53.4756</v>
      </c>
      <c r="C753" s="14">
        <f>50.5457 * CHOOSE(CONTROL!$C$15, $E$9, 100%, $G$9) + CHOOSE(CONTROL!$C$38, 0.0347, 0)</f>
        <v>50.580399999999997</v>
      </c>
      <c r="D753" s="14">
        <f>50.5379 * CHOOSE(CONTROL!$C$15, $E$9, 100%, $G$9) + CHOOSE(CONTROL!$C$38, 0.0347, 0)</f>
        <v>50.572600000000001</v>
      </c>
      <c r="E753" s="46">
        <f>53.2937 * CHOOSE(CONTROL!$C$15, $E$9, 100%, $G$9) + CHOOSE(CONTROL!$C$38, 0.0347, 0)</f>
        <v>53.328400000000002</v>
      </c>
      <c r="F753" s="45">
        <f>53.2937 * CHOOSE(CONTROL!$C$15, $E$9, 100%, $G$9) + CHOOSE(CONTROL!$C$38, 0.0256, 0)</f>
        <v>53.319299999999998</v>
      </c>
      <c r="G753" s="14">
        <f>50.5442 * CHOOSE(CONTROL!$C$15, $E$9, 100%, $G$9) + CHOOSE(CONTROL!$C$38, 0.0347, 0)</f>
        <v>50.578899999999997</v>
      </c>
      <c r="H753" s="14">
        <f>50.5442 * CHOOSE(CONTROL!$C$15, $E$9, 100%, $G$9) + CHOOSE(CONTROL!$C$38, 0.0347, 0)</f>
        <v>50.578899999999997</v>
      </c>
      <c r="I753" s="14">
        <f>50.5457 * CHOOSE(CONTROL!$C$15, $E$9, 100%, $G$9) + CHOOSE(CONTROL!$C$38, 0.0347, 0)</f>
        <v>50.580399999999997</v>
      </c>
      <c r="J753" s="44">
        <f>465.6703</f>
        <v>465.6703</v>
      </c>
    </row>
    <row r="754" spans="1:10" ht="15.75" x14ac:dyDescent="0.25">
      <c r="A754" s="32">
        <v>63888</v>
      </c>
      <c r="B754" s="14">
        <f>53.0735 * CHOOSE(CONTROL!$C$15, $E$9, 100%, $G$9) + CHOOSE(CONTROL!$C$38, 0.0256, 0)</f>
        <v>53.0991</v>
      </c>
      <c r="C754" s="14">
        <f>50.1889 * CHOOSE(CONTROL!$C$15, $E$9, 100%, $G$9) + CHOOSE(CONTROL!$C$38, 0.0347, 0)</f>
        <v>50.223599999999998</v>
      </c>
      <c r="D754" s="14">
        <f>50.181 * CHOOSE(CONTROL!$C$15, $E$9, 100%, $G$9) + CHOOSE(CONTROL!$C$38, 0.0347, 0)</f>
        <v>50.215699999999998</v>
      </c>
      <c r="E754" s="46">
        <f>52.9173 * CHOOSE(CONTROL!$C$15, $E$9, 100%, $G$9) + CHOOSE(CONTROL!$C$38, 0.0347, 0)</f>
        <v>52.951999999999998</v>
      </c>
      <c r="F754" s="45">
        <f>52.9173 * CHOOSE(CONTROL!$C$15, $E$9, 100%, $G$9) + CHOOSE(CONTROL!$C$38, 0.0256, 0)</f>
        <v>52.942899999999995</v>
      </c>
      <c r="G754" s="14">
        <f>50.1873 * CHOOSE(CONTROL!$C$15, $E$9, 100%, $G$9) + CHOOSE(CONTROL!$C$38, 0.0347, 0)</f>
        <v>50.222000000000001</v>
      </c>
      <c r="H754" s="14">
        <f>50.1873 * CHOOSE(CONTROL!$C$15, $E$9, 100%, $G$9) + CHOOSE(CONTROL!$C$38, 0.0347, 0)</f>
        <v>50.222000000000001</v>
      </c>
      <c r="I754" s="14">
        <f>50.1889 * CHOOSE(CONTROL!$C$15, $E$9, 100%, $G$9) + CHOOSE(CONTROL!$C$38, 0.0347, 0)</f>
        <v>50.223599999999998</v>
      </c>
      <c r="J754" s="44">
        <f>462.3522</f>
        <v>462.35219999999998</v>
      </c>
    </row>
    <row r="755" spans="1:10" ht="15.75" x14ac:dyDescent="0.25">
      <c r="A755" s="32">
        <v>63919</v>
      </c>
      <c r="B755" s="14">
        <f>51.5169 * CHOOSE(CONTROL!$C$15, $E$9, 100%, $G$9) + CHOOSE(CONTROL!$C$38, 0.0256, 0)</f>
        <v>51.542499999999997</v>
      </c>
      <c r="C755" s="14">
        <f>48.7132 * CHOOSE(CONTROL!$C$15, $E$9, 100%, $G$9) + CHOOSE(CONTROL!$C$38, 0.0347, 0)</f>
        <v>48.747900000000001</v>
      </c>
      <c r="D755" s="14">
        <f>48.7054 * CHOOSE(CONTROL!$C$15, $E$9, 100%, $G$9) + CHOOSE(CONTROL!$C$38, 0.0347, 0)</f>
        <v>48.740099999999998</v>
      </c>
      <c r="E755" s="46">
        <f>51.3606 * CHOOSE(CONTROL!$C$15, $E$9, 100%, $G$9) + CHOOSE(CONTROL!$C$38, 0.0347, 0)</f>
        <v>51.395299999999999</v>
      </c>
      <c r="F755" s="45">
        <f>51.3606 * CHOOSE(CONTROL!$C$15, $E$9, 100%, $G$9) + CHOOSE(CONTROL!$C$38, 0.0256, 0)</f>
        <v>51.386199999999995</v>
      </c>
      <c r="G755" s="14">
        <f>48.7116 * CHOOSE(CONTROL!$C$15, $E$9, 100%, $G$9) + CHOOSE(CONTROL!$C$38, 0.0347, 0)</f>
        <v>48.746299999999998</v>
      </c>
      <c r="H755" s="14">
        <f>48.7116 * CHOOSE(CONTROL!$C$15, $E$9, 100%, $G$9) + CHOOSE(CONTROL!$C$38, 0.0347, 0)</f>
        <v>48.746299999999998</v>
      </c>
      <c r="I755" s="14">
        <f>48.7132 * CHOOSE(CONTROL!$C$15, $E$9, 100%, $G$9) + CHOOSE(CONTROL!$C$38, 0.0347, 0)</f>
        <v>48.747900000000001</v>
      </c>
      <c r="J755" s="44">
        <f>448.6319</f>
        <v>448.63189999999997</v>
      </c>
    </row>
    <row r="756" spans="1:10" ht="15.75" x14ac:dyDescent="0.25">
      <c r="A756" s="32">
        <v>63950</v>
      </c>
      <c r="B756" s="14">
        <f>51.1303 * CHOOSE(CONTROL!$C$15, $E$9, 100%, $G$9) + CHOOSE(CONTROL!$C$38, 0.0256, 0)</f>
        <v>51.155899999999995</v>
      </c>
      <c r="C756" s="14">
        <f>48.3467 * CHOOSE(CONTROL!$C$15, $E$9, 100%, $G$9) + CHOOSE(CONTROL!$C$38, 0.0347, 0)</f>
        <v>48.381399999999999</v>
      </c>
      <c r="D756" s="14">
        <f>48.3389 * CHOOSE(CONTROL!$C$15, $E$9, 100%, $G$9) + CHOOSE(CONTROL!$C$38, 0.0347, 0)</f>
        <v>48.373600000000003</v>
      </c>
      <c r="E756" s="46">
        <f>50.974 * CHOOSE(CONTROL!$C$15, $E$9, 100%, $G$9) + CHOOSE(CONTROL!$C$38, 0.0347, 0)</f>
        <v>51.008699999999997</v>
      </c>
      <c r="F756" s="45">
        <f>50.974 * CHOOSE(CONTROL!$C$15, $E$9, 100%, $G$9) + CHOOSE(CONTROL!$C$38, 0.0256, 0)</f>
        <v>50.999599999999994</v>
      </c>
      <c r="G756" s="14">
        <f>48.3451 * CHOOSE(CONTROL!$C$15, $E$9, 100%, $G$9) + CHOOSE(CONTROL!$C$38, 0.0347, 0)</f>
        <v>48.379800000000003</v>
      </c>
      <c r="H756" s="14">
        <f>48.3451 * CHOOSE(CONTROL!$C$15, $E$9, 100%, $G$9) + CHOOSE(CONTROL!$C$38, 0.0347, 0)</f>
        <v>48.379800000000003</v>
      </c>
      <c r="I756" s="14">
        <f>48.3467 * CHOOSE(CONTROL!$C$15, $E$9, 100%, $G$9) + CHOOSE(CONTROL!$C$38, 0.0347, 0)</f>
        <v>48.381399999999999</v>
      </c>
      <c r="J756" s="44">
        <f>448.308</f>
        <v>448.30799999999999</v>
      </c>
    </row>
    <row r="757" spans="1:10" ht="15.75" x14ac:dyDescent="0.25">
      <c r="A757" s="32">
        <v>63978</v>
      </c>
      <c r="B757" s="14">
        <f>50.9899 * CHOOSE(CONTROL!$C$15, $E$9, 100%, $G$9) + CHOOSE(CONTROL!$C$38, 0.0256, 0)</f>
        <v>51.015499999999996</v>
      </c>
      <c r="C757" s="14">
        <f>48.2136 * CHOOSE(CONTROL!$C$15, $E$9, 100%, $G$9) + CHOOSE(CONTROL!$C$38, 0.0347, 0)</f>
        <v>48.2483</v>
      </c>
      <c r="D757" s="14">
        <f>48.2058 * CHOOSE(CONTROL!$C$15, $E$9, 100%, $G$9) + CHOOSE(CONTROL!$C$38, 0.0347, 0)</f>
        <v>48.240500000000004</v>
      </c>
      <c r="E757" s="46">
        <f>50.8336 * CHOOSE(CONTROL!$C$15, $E$9, 100%, $G$9) + CHOOSE(CONTROL!$C$38, 0.0347, 0)</f>
        <v>50.868299999999998</v>
      </c>
      <c r="F757" s="45">
        <f>50.8336 * CHOOSE(CONTROL!$C$15, $E$9, 100%, $G$9) + CHOOSE(CONTROL!$C$38, 0.0256, 0)</f>
        <v>50.859199999999994</v>
      </c>
      <c r="G757" s="14">
        <f>48.212 * CHOOSE(CONTROL!$C$15, $E$9, 100%, $G$9) + CHOOSE(CONTROL!$C$38, 0.0347, 0)</f>
        <v>48.246700000000004</v>
      </c>
      <c r="H757" s="14">
        <f>48.212 * CHOOSE(CONTROL!$C$15, $E$9, 100%, $G$9) + CHOOSE(CONTROL!$C$38, 0.0347, 0)</f>
        <v>48.246700000000004</v>
      </c>
      <c r="I757" s="14">
        <f>48.2136 * CHOOSE(CONTROL!$C$15, $E$9, 100%, $G$9) + CHOOSE(CONTROL!$C$38, 0.0347, 0)</f>
        <v>48.2483</v>
      </c>
      <c r="J757" s="44">
        <f>447.0618</f>
        <v>447.06180000000001</v>
      </c>
    </row>
    <row r="758" spans="1:10" ht="15.75" x14ac:dyDescent="0.25">
      <c r="A758" s="32">
        <v>64009</v>
      </c>
      <c r="B758" s="14">
        <f>53.6448 * CHOOSE(CONTROL!$C$15, $E$9, 100%, $G$9) + CHOOSE(CONTROL!$C$38, 0.0256, 0)</f>
        <v>53.670399999999994</v>
      </c>
      <c r="C758" s="14">
        <f>50.7304 * CHOOSE(CONTROL!$C$15, $E$9, 100%, $G$9) + CHOOSE(CONTROL!$C$38, 0.0347, 0)</f>
        <v>50.765100000000004</v>
      </c>
      <c r="D758" s="14">
        <f>50.7226 * CHOOSE(CONTROL!$C$15, $E$9, 100%, $G$9) + CHOOSE(CONTROL!$C$38, 0.0347, 0)</f>
        <v>50.757300000000001</v>
      </c>
      <c r="E758" s="46">
        <f>53.4886 * CHOOSE(CONTROL!$C$15, $E$9, 100%, $G$9) + CHOOSE(CONTROL!$C$38, 0.0347, 0)</f>
        <v>53.523299999999999</v>
      </c>
      <c r="F758" s="45">
        <f>53.4886 * CHOOSE(CONTROL!$C$15, $E$9, 100%, $G$9) + CHOOSE(CONTROL!$C$38, 0.0256, 0)</f>
        <v>53.514199999999995</v>
      </c>
      <c r="G758" s="14">
        <f>50.7289 * CHOOSE(CONTROL!$C$15, $E$9, 100%, $G$9) + CHOOSE(CONTROL!$C$38, 0.0347, 0)</f>
        <v>50.763600000000004</v>
      </c>
      <c r="H758" s="14">
        <f>50.7289 * CHOOSE(CONTROL!$C$15, $E$9, 100%, $G$9) + CHOOSE(CONTROL!$C$38, 0.0347, 0)</f>
        <v>50.763600000000004</v>
      </c>
      <c r="I758" s="14">
        <f>50.7304 * CHOOSE(CONTROL!$C$15, $E$9, 100%, $G$9) + CHOOSE(CONTROL!$C$38, 0.0347, 0)</f>
        <v>50.765100000000004</v>
      </c>
      <c r="J758" s="44">
        <f>470.6246</f>
        <v>470.62459999999999</v>
      </c>
    </row>
    <row r="759" spans="1:10" ht="15.75" x14ac:dyDescent="0.25">
      <c r="A759" s="32">
        <v>64039</v>
      </c>
      <c r="B759" s="14">
        <f>57.0876 * CHOOSE(CONTROL!$C$15, $E$9, 100%, $G$9) + CHOOSE(CONTROL!$C$38, 0.0256, 0)</f>
        <v>57.113199999999999</v>
      </c>
      <c r="C759" s="14">
        <f>53.9942 * CHOOSE(CONTROL!$C$15, $E$9, 100%, $G$9) + CHOOSE(CONTROL!$C$38, 0.0347, 0)</f>
        <v>54.0289</v>
      </c>
      <c r="D759" s="14">
        <f>53.9864 * CHOOSE(CONTROL!$C$15, $E$9, 100%, $G$9) + CHOOSE(CONTROL!$C$38, 0.0347, 0)</f>
        <v>54.021100000000004</v>
      </c>
      <c r="E759" s="46">
        <f>56.9314 * CHOOSE(CONTROL!$C$15, $E$9, 100%, $G$9) + CHOOSE(CONTROL!$C$38, 0.0347, 0)</f>
        <v>56.966099999999997</v>
      </c>
      <c r="F759" s="45">
        <f>56.9314 * CHOOSE(CONTROL!$C$15, $E$9, 100%, $G$9) + CHOOSE(CONTROL!$C$38, 0.0256, 0)</f>
        <v>56.956999999999994</v>
      </c>
      <c r="G759" s="14">
        <f>53.9926 * CHOOSE(CONTROL!$C$15, $E$9, 100%, $G$9) + CHOOSE(CONTROL!$C$38, 0.0347, 0)</f>
        <v>54.027300000000004</v>
      </c>
      <c r="H759" s="14">
        <f>53.9926 * CHOOSE(CONTROL!$C$15, $E$9, 100%, $G$9) + CHOOSE(CONTROL!$C$38, 0.0347, 0)</f>
        <v>54.027300000000004</v>
      </c>
      <c r="I759" s="14">
        <f>53.9942 * CHOOSE(CONTROL!$C$15, $E$9, 100%, $G$9) + CHOOSE(CONTROL!$C$38, 0.0347, 0)</f>
        <v>54.0289</v>
      </c>
      <c r="J759" s="44">
        <f>501.1798</f>
        <v>501.1798</v>
      </c>
    </row>
    <row r="760" spans="1:10" ht="15.75" x14ac:dyDescent="0.25">
      <c r="A760" s="32">
        <v>64070</v>
      </c>
      <c r="B760" s="14">
        <f>58.9827 * CHOOSE(CONTROL!$C$15, $E$9, 100%, $G$9) + CHOOSE(CONTROL!$C$38, 0.0278, 0)</f>
        <v>59.0105</v>
      </c>
      <c r="C760" s="14">
        <f>55.7907 * CHOOSE(CONTROL!$C$15, $E$9, 100%, $G$9) + CHOOSE(CONTROL!$C$38, 0.0369, 0)</f>
        <v>55.827600000000004</v>
      </c>
      <c r="D760" s="14">
        <f>55.7828 * CHOOSE(CONTROL!$C$15, $E$9, 100%, $G$9) + CHOOSE(CONTROL!$C$38, 0.0369, 0)</f>
        <v>55.819700000000005</v>
      </c>
      <c r="E760" s="46">
        <f>58.8264 * CHOOSE(CONTROL!$C$15, $E$9, 100%, $G$9) + CHOOSE(CONTROL!$C$38, 0.0369, 0)</f>
        <v>58.863300000000002</v>
      </c>
      <c r="F760" s="45">
        <f>58.8264 * CHOOSE(CONTROL!$C$15, $E$9, 100%, $G$9) + CHOOSE(CONTROL!$C$38, 0.0278, 0)</f>
        <v>58.854199999999999</v>
      </c>
      <c r="G760" s="14">
        <f>55.7891 * CHOOSE(CONTROL!$C$15, $E$9, 100%, $G$9) + CHOOSE(CONTROL!$C$38, 0.0369, 0)</f>
        <v>55.826000000000001</v>
      </c>
      <c r="H760" s="14">
        <f>55.7891 * CHOOSE(CONTROL!$C$15, $E$9, 100%, $G$9) + CHOOSE(CONTROL!$C$38, 0.0369, 0)</f>
        <v>55.826000000000001</v>
      </c>
      <c r="I760" s="14">
        <f>55.7907 * CHOOSE(CONTROL!$C$15, $E$9, 100%, $G$9) + CHOOSE(CONTROL!$C$38, 0.0369, 0)</f>
        <v>55.827600000000004</v>
      </c>
      <c r="J760" s="44">
        <f>517.9984</f>
        <v>517.99839999999995</v>
      </c>
    </row>
    <row r="761" spans="1:10" ht="15.75" x14ac:dyDescent="0.25">
      <c r="A761" s="32">
        <v>64100</v>
      </c>
      <c r="B761" s="14">
        <f>59.8237 * CHOOSE(CONTROL!$C$15, $E$9, 100%, $G$9) + CHOOSE(CONTROL!$C$38, 0.0278, 0)</f>
        <v>59.851500000000001</v>
      </c>
      <c r="C761" s="14">
        <f>56.5879 * CHOOSE(CONTROL!$C$15, $E$9, 100%, $G$9) + CHOOSE(CONTROL!$C$38, 0.0369, 0)</f>
        <v>56.6248</v>
      </c>
      <c r="D761" s="14">
        <f>56.5801 * CHOOSE(CONTROL!$C$15, $E$9, 100%, $G$9) + CHOOSE(CONTROL!$C$38, 0.0369, 0)</f>
        <v>56.617000000000004</v>
      </c>
      <c r="E761" s="46">
        <f>59.6674 * CHOOSE(CONTROL!$C$15, $E$9, 100%, $G$9) + CHOOSE(CONTROL!$C$38, 0.0369, 0)</f>
        <v>59.704300000000003</v>
      </c>
      <c r="F761" s="45">
        <f>59.6674 * CHOOSE(CONTROL!$C$15, $E$9, 100%, $G$9) + CHOOSE(CONTROL!$C$38, 0.0278, 0)</f>
        <v>59.6952</v>
      </c>
      <c r="G761" s="14">
        <f>56.5863 * CHOOSE(CONTROL!$C$15, $E$9, 100%, $G$9) + CHOOSE(CONTROL!$C$38, 0.0369, 0)</f>
        <v>56.623200000000004</v>
      </c>
      <c r="H761" s="14">
        <f>56.5863 * CHOOSE(CONTROL!$C$15, $E$9, 100%, $G$9) + CHOOSE(CONTROL!$C$38, 0.0369, 0)</f>
        <v>56.623200000000004</v>
      </c>
      <c r="I761" s="14">
        <f>56.5879 * CHOOSE(CONTROL!$C$15, $E$9, 100%, $G$9) + CHOOSE(CONTROL!$C$38, 0.0369, 0)</f>
        <v>56.6248</v>
      </c>
      <c r="J761" s="44">
        <f>525.4622</f>
        <v>525.46220000000005</v>
      </c>
    </row>
    <row r="762" spans="1:10" ht="15.75" x14ac:dyDescent="0.25">
      <c r="A762" s="32">
        <v>64131</v>
      </c>
      <c r="B762" s="14">
        <f>59.5468 * CHOOSE(CONTROL!$C$15, $E$9, 100%, $G$9) + CHOOSE(CONTROL!$C$38, 0.0278, 0)</f>
        <v>59.574599999999997</v>
      </c>
      <c r="C762" s="14">
        <f>56.3254 * CHOOSE(CONTROL!$C$15, $E$9, 100%, $G$9) + CHOOSE(CONTROL!$C$38, 0.0369, 0)</f>
        <v>56.362300000000005</v>
      </c>
      <c r="D762" s="14">
        <f>56.3176 * CHOOSE(CONTROL!$C$15, $E$9, 100%, $G$9) + CHOOSE(CONTROL!$C$38, 0.0369, 0)</f>
        <v>56.354500000000002</v>
      </c>
      <c r="E762" s="46">
        <f>59.3905 * CHOOSE(CONTROL!$C$15, $E$9, 100%, $G$9) + CHOOSE(CONTROL!$C$38, 0.0369, 0)</f>
        <v>59.427400000000006</v>
      </c>
      <c r="F762" s="45">
        <f>59.3905 * CHOOSE(CONTROL!$C$15, $E$9, 100%, $G$9) + CHOOSE(CONTROL!$C$38, 0.0278, 0)</f>
        <v>59.418300000000002</v>
      </c>
      <c r="G762" s="14">
        <f>56.3238 * CHOOSE(CONTROL!$C$15, $E$9, 100%, $G$9) + CHOOSE(CONTROL!$C$38, 0.0369, 0)</f>
        <v>56.360700000000001</v>
      </c>
      <c r="H762" s="14">
        <f>56.3238 * CHOOSE(CONTROL!$C$15, $E$9, 100%, $G$9) + CHOOSE(CONTROL!$C$38, 0.0369, 0)</f>
        <v>56.360700000000001</v>
      </c>
      <c r="I762" s="14">
        <f>56.3254 * CHOOSE(CONTROL!$C$15, $E$9, 100%, $G$9) + CHOOSE(CONTROL!$C$38, 0.0369, 0)</f>
        <v>56.362300000000005</v>
      </c>
      <c r="J762" s="44">
        <f>523.0048</f>
        <v>523.00480000000005</v>
      </c>
    </row>
    <row r="763" spans="1:10" ht="15.75" x14ac:dyDescent="0.25">
      <c r="A763" s="32">
        <v>64162</v>
      </c>
      <c r="B763" s="14">
        <f>58.1749 * CHOOSE(CONTROL!$C$15, $E$9, 100%, $G$9) + CHOOSE(CONTROL!$C$38, 0.0278, 0)</f>
        <v>58.2027</v>
      </c>
      <c r="C763" s="14">
        <f>55.0249 * CHOOSE(CONTROL!$C$15, $E$9, 100%, $G$9) + CHOOSE(CONTROL!$C$38, 0.0369, 0)</f>
        <v>55.061800000000005</v>
      </c>
      <c r="D763" s="14">
        <f>55.0171 * CHOOSE(CONTROL!$C$15, $E$9, 100%, $G$9) + CHOOSE(CONTROL!$C$38, 0.0369, 0)</f>
        <v>55.054000000000002</v>
      </c>
      <c r="E763" s="46">
        <f>58.0187 * CHOOSE(CONTROL!$C$15, $E$9, 100%, $G$9) + CHOOSE(CONTROL!$C$38, 0.0369, 0)</f>
        <v>58.055600000000005</v>
      </c>
      <c r="F763" s="45">
        <f>58.0187 * CHOOSE(CONTROL!$C$15, $E$9, 100%, $G$9) + CHOOSE(CONTROL!$C$38, 0.0278, 0)</f>
        <v>58.046500000000002</v>
      </c>
      <c r="G763" s="14">
        <f>55.0233 * CHOOSE(CONTROL!$C$15, $E$9, 100%, $G$9) + CHOOSE(CONTROL!$C$38, 0.0369, 0)</f>
        <v>55.060200000000002</v>
      </c>
      <c r="H763" s="14">
        <f>55.0233 * CHOOSE(CONTROL!$C$15, $E$9, 100%, $G$9) + CHOOSE(CONTROL!$C$38, 0.0369, 0)</f>
        <v>55.060200000000002</v>
      </c>
      <c r="I763" s="14">
        <f>55.0249 * CHOOSE(CONTROL!$C$15, $E$9, 100%, $G$9) + CHOOSE(CONTROL!$C$38, 0.0369, 0)</f>
        <v>55.061800000000005</v>
      </c>
      <c r="J763" s="44">
        <f>510.8295</f>
        <v>510.8295</v>
      </c>
    </row>
    <row r="764" spans="1:10" ht="15.75" x14ac:dyDescent="0.25">
      <c r="A764" s="32">
        <v>64192</v>
      </c>
      <c r="B764" s="14">
        <f>56.2618 * CHOOSE(CONTROL!$C$15, $E$9, 100%, $G$9) + CHOOSE(CONTROL!$C$38, 0.0278, 0)</f>
        <v>56.2896</v>
      </c>
      <c r="C764" s="14">
        <f>53.2113 * CHOOSE(CONTROL!$C$15, $E$9, 100%, $G$9) + CHOOSE(CONTROL!$C$38, 0.0369, 0)</f>
        <v>53.248200000000004</v>
      </c>
      <c r="D764" s="14">
        <f>53.2035 * CHOOSE(CONTROL!$C$15, $E$9, 100%, $G$9) + CHOOSE(CONTROL!$C$38, 0.0369, 0)</f>
        <v>53.240400000000001</v>
      </c>
      <c r="E764" s="46">
        <f>56.1055 * CHOOSE(CONTROL!$C$15, $E$9, 100%, $G$9) + CHOOSE(CONTROL!$C$38, 0.0369, 0)</f>
        <v>56.142400000000002</v>
      </c>
      <c r="F764" s="45">
        <f>56.1055 * CHOOSE(CONTROL!$C$15, $E$9, 100%, $G$9) + CHOOSE(CONTROL!$C$38, 0.0278, 0)</f>
        <v>56.133299999999998</v>
      </c>
      <c r="G764" s="14">
        <f>53.2097 * CHOOSE(CONTROL!$C$15, $E$9, 100%, $G$9) + CHOOSE(CONTROL!$C$38, 0.0369, 0)</f>
        <v>53.246600000000001</v>
      </c>
      <c r="H764" s="14">
        <f>53.2097 * CHOOSE(CONTROL!$C$15, $E$9, 100%, $G$9) + CHOOSE(CONTROL!$C$38, 0.0369, 0)</f>
        <v>53.246600000000001</v>
      </c>
      <c r="I764" s="14">
        <f>53.2113 * CHOOSE(CONTROL!$C$15, $E$9, 100%, $G$9) + CHOOSE(CONTROL!$C$38, 0.0369, 0)</f>
        <v>53.248200000000004</v>
      </c>
      <c r="J764" s="44">
        <f>493.8504</f>
        <v>493.85039999999998</v>
      </c>
    </row>
    <row r="765" spans="1:10" ht="15.75" x14ac:dyDescent="0.25">
      <c r="A765" s="32">
        <v>64223</v>
      </c>
      <c r="B765" s="14">
        <f>54.3375 * CHOOSE(CONTROL!$C$15, $E$9, 100%, $G$9) + CHOOSE(CONTROL!$C$38, 0.0256, 0)</f>
        <v>54.363099999999996</v>
      </c>
      <c r="C765" s="14">
        <f>51.3871 * CHOOSE(CONTROL!$C$15, $E$9, 100%, $G$9) + CHOOSE(CONTROL!$C$38, 0.0347, 0)</f>
        <v>51.421799999999998</v>
      </c>
      <c r="D765" s="14">
        <f>51.3793 * CHOOSE(CONTROL!$C$15, $E$9, 100%, $G$9) + CHOOSE(CONTROL!$C$38, 0.0347, 0)</f>
        <v>51.414000000000001</v>
      </c>
      <c r="E765" s="46">
        <f>54.1813 * CHOOSE(CONTROL!$C$15, $E$9, 100%, $G$9) + CHOOSE(CONTROL!$C$38, 0.0347, 0)</f>
        <v>54.216000000000001</v>
      </c>
      <c r="F765" s="45">
        <f>54.1813 * CHOOSE(CONTROL!$C$15, $E$9, 100%, $G$9) + CHOOSE(CONTROL!$C$38, 0.0256, 0)</f>
        <v>54.206899999999997</v>
      </c>
      <c r="G765" s="14">
        <f>51.3856 * CHOOSE(CONTROL!$C$15, $E$9, 100%, $G$9) + CHOOSE(CONTROL!$C$38, 0.0347, 0)</f>
        <v>51.420299999999997</v>
      </c>
      <c r="H765" s="14">
        <f>51.3856 * CHOOSE(CONTROL!$C$15, $E$9, 100%, $G$9) + CHOOSE(CONTROL!$C$38, 0.0347, 0)</f>
        <v>51.420299999999997</v>
      </c>
      <c r="I765" s="14">
        <f>51.3871 * CHOOSE(CONTROL!$C$15, $E$9, 100%, $G$9) + CHOOSE(CONTROL!$C$38, 0.0347, 0)</f>
        <v>51.421799999999998</v>
      </c>
      <c r="J765" s="44">
        <f>476.7725</f>
        <v>476.77249999999998</v>
      </c>
    </row>
    <row r="766" spans="1:10" ht="15.75" x14ac:dyDescent="0.25">
      <c r="A766" s="32">
        <v>64253</v>
      </c>
      <c r="B766" s="14">
        <f>53.9548 * CHOOSE(CONTROL!$C$15, $E$9, 100%, $G$9) + CHOOSE(CONTROL!$C$38, 0.0256, 0)</f>
        <v>53.980399999999996</v>
      </c>
      <c r="C766" s="14">
        <f>51.0243 * CHOOSE(CONTROL!$C$15, $E$9, 100%, $G$9) + CHOOSE(CONTROL!$C$38, 0.0347, 0)</f>
        <v>51.058999999999997</v>
      </c>
      <c r="D766" s="14">
        <f>51.0165 * CHOOSE(CONTROL!$C$15, $E$9, 100%, $G$9) + CHOOSE(CONTROL!$C$38, 0.0347, 0)</f>
        <v>51.051200000000001</v>
      </c>
      <c r="E766" s="46">
        <f>53.7985 * CHOOSE(CONTROL!$C$15, $E$9, 100%, $G$9) + CHOOSE(CONTROL!$C$38, 0.0347, 0)</f>
        <v>53.833199999999998</v>
      </c>
      <c r="F766" s="45">
        <f>53.7985 * CHOOSE(CONTROL!$C$15, $E$9, 100%, $G$9) + CHOOSE(CONTROL!$C$38, 0.0256, 0)</f>
        <v>53.824099999999994</v>
      </c>
      <c r="G766" s="14">
        <f>51.0227 * CHOOSE(CONTROL!$C$15, $E$9, 100%, $G$9) + CHOOSE(CONTROL!$C$38, 0.0347, 0)</f>
        <v>51.057400000000001</v>
      </c>
      <c r="H766" s="14">
        <f>51.0227 * CHOOSE(CONTROL!$C$15, $E$9, 100%, $G$9) + CHOOSE(CONTROL!$C$38, 0.0347, 0)</f>
        <v>51.057400000000001</v>
      </c>
      <c r="I766" s="14">
        <f>51.0243 * CHOOSE(CONTROL!$C$15, $E$9, 100%, $G$9) + CHOOSE(CONTROL!$C$38, 0.0347, 0)</f>
        <v>51.058999999999997</v>
      </c>
      <c r="J766" s="44">
        <f>473.3754</f>
        <v>473.37540000000001</v>
      </c>
    </row>
    <row r="767" spans="1:10" ht="15.75" x14ac:dyDescent="0.25">
      <c r="A767" s="32">
        <v>64284</v>
      </c>
      <c r="B767" s="14">
        <f>52.372 * CHOOSE(CONTROL!$C$15, $E$9, 100%, $G$9) + CHOOSE(CONTROL!$C$38, 0.0256, 0)</f>
        <v>52.397599999999997</v>
      </c>
      <c r="C767" s="14">
        <f>49.5238 * CHOOSE(CONTROL!$C$15, $E$9, 100%, $G$9) + CHOOSE(CONTROL!$C$38, 0.0347, 0)</f>
        <v>49.558500000000002</v>
      </c>
      <c r="D767" s="14">
        <f>49.516 * CHOOSE(CONTROL!$C$15, $E$9, 100%, $G$9) + CHOOSE(CONTROL!$C$38, 0.0347, 0)</f>
        <v>49.550699999999999</v>
      </c>
      <c r="E767" s="46">
        <f>52.2157 * CHOOSE(CONTROL!$C$15, $E$9, 100%, $G$9) + CHOOSE(CONTROL!$C$38, 0.0347, 0)</f>
        <v>52.250399999999999</v>
      </c>
      <c r="F767" s="45">
        <f>52.2157 * CHOOSE(CONTROL!$C$15, $E$9, 100%, $G$9) + CHOOSE(CONTROL!$C$38, 0.0256, 0)</f>
        <v>52.241299999999995</v>
      </c>
      <c r="G767" s="14">
        <f>49.5222 * CHOOSE(CONTROL!$C$15, $E$9, 100%, $G$9) + CHOOSE(CONTROL!$C$38, 0.0347, 0)</f>
        <v>49.556899999999999</v>
      </c>
      <c r="H767" s="14">
        <f>49.5222 * CHOOSE(CONTROL!$C$15, $E$9, 100%, $G$9) + CHOOSE(CONTROL!$C$38, 0.0347, 0)</f>
        <v>49.556899999999999</v>
      </c>
      <c r="I767" s="14">
        <f>49.5238 * CHOOSE(CONTROL!$C$15, $E$9, 100%, $G$9) + CHOOSE(CONTROL!$C$38, 0.0347, 0)</f>
        <v>49.558500000000002</v>
      </c>
      <c r="J767" s="44">
        <f>459.3279</f>
        <v>459.3279</v>
      </c>
    </row>
    <row r="768" spans="1:10" ht="15.75" x14ac:dyDescent="0.25">
      <c r="A768" s="32">
        <v>64315</v>
      </c>
      <c r="B768" s="14">
        <f>51.9789 * CHOOSE(CONTROL!$C$15, $E$9, 100%, $G$9) + CHOOSE(CONTROL!$C$38, 0.0256, 0)</f>
        <v>52.0045</v>
      </c>
      <c r="C768" s="14">
        <f>49.1512 * CHOOSE(CONTROL!$C$15, $E$9, 100%, $G$9) + CHOOSE(CONTROL!$C$38, 0.0347, 0)</f>
        <v>49.185900000000004</v>
      </c>
      <c r="D768" s="14">
        <f>49.1434 * CHOOSE(CONTROL!$C$15, $E$9, 100%, $G$9) + CHOOSE(CONTROL!$C$38, 0.0347, 0)</f>
        <v>49.178100000000001</v>
      </c>
      <c r="E768" s="46">
        <f>51.8227 * CHOOSE(CONTROL!$C$15, $E$9, 100%, $G$9) + CHOOSE(CONTROL!$C$38, 0.0347, 0)</f>
        <v>51.857399999999998</v>
      </c>
      <c r="F768" s="45">
        <f>51.8227 * CHOOSE(CONTROL!$C$15, $E$9, 100%, $G$9) + CHOOSE(CONTROL!$C$38, 0.0256, 0)</f>
        <v>51.848299999999995</v>
      </c>
      <c r="G768" s="14">
        <f>49.1496 * CHOOSE(CONTROL!$C$15, $E$9, 100%, $G$9) + CHOOSE(CONTROL!$C$38, 0.0347, 0)</f>
        <v>49.1843</v>
      </c>
      <c r="H768" s="14">
        <f>49.1496 * CHOOSE(CONTROL!$C$15, $E$9, 100%, $G$9) + CHOOSE(CONTROL!$C$38, 0.0347, 0)</f>
        <v>49.1843</v>
      </c>
      <c r="I768" s="14">
        <f>49.1512 * CHOOSE(CONTROL!$C$15, $E$9, 100%, $G$9) + CHOOSE(CONTROL!$C$38, 0.0347, 0)</f>
        <v>49.185900000000004</v>
      </c>
      <c r="J768" s="44">
        <f>458.9963</f>
        <v>458.99630000000002</v>
      </c>
    </row>
    <row r="769" spans="1:10" ht="15.75" x14ac:dyDescent="0.25">
      <c r="A769" s="32">
        <v>64344</v>
      </c>
      <c r="B769" s="14">
        <f>51.8361 * CHOOSE(CONTROL!$C$15, $E$9, 100%, $G$9) + CHOOSE(CONTROL!$C$38, 0.0256, 0)</f>
        <v>51.861699999999999</v>
      </c>
      <c r="C769" s="14">
        <f>49.0158 * CHOOSE(CONTROL!$C$15, $E$9, 100%, $G$9) + CHOOSE(CONTROL!$C$38, 0.0347, 0)</f>
        <v>49.0505</v>
      </c>
      <c r="D769" s="14">
        <f>49.008 * CHOOSE(CONTROL!$C$15, $E$9, 100%, $G$9) + CHOOSE(CONTROL!$C$38, 0.0347, 0)</f>
        <v>49.042700000000004</v>
      </c>
      <c r="E769" s="46">
        <f>51.6799 * CHOOSE(CONTROL!$C$15, $E$9, 100%, $G$9) + CHOOSE(CONTROL!$C$38, 0.0347, 0)</f>
        <v>51.714600000000004</v>
      </c>
      <c r="F769" s="45">
        <f>51.6799 * CHOOSE(CONTROL!$C$15, $E$9, 100%, $G$9) + CHOOSE(CONTROL!$C$38, 0.0256, 0)</f>
        <v>51.705500000000001</v>
      </c>
      <c r="G769" s="14">
        <f>49.0143 * CHOOSE(CONTROL!$C$15, $E$9, 100%, $G$9) + CHOOSE(CONTROL!$C$38, 0.0347, 0)</f>
        <v>49.048999999999999</v>
      </c>
      <c r="H769" s="14">
        <f>49.0143 * CHOOSE(CONTROL!$C$15, $E$9, 100%, $G$9) + CHOOSE(CONTROL!$C$38, 0.0347, 0)</f>
        <v>49.048999999999999</v>
      </c>
      <c r="I769" s="14">
        <f>49.0158 * CHOOSE(CONTROL!$C$15, $E$9, 100%, $G$9) + CHOOSE(CONTROL!$C$38, 0.0347, 0)</f>
        <v>49.0505</v>
      </c>
      <c r="J769" s="44">
        <f>457.7205</f>
        <v>457.72050000000002</v>
      </c>
    </row>
    <row r="770" spans="1:10" ht="15.75" x14ac:dyDescent="0.25">
      <c r="A770" s="32">
        <v>64375</v>
      </c>
      <c r="B770" s="14">
        <f>54.5357 * CHOOSE(CONTROL!$C$15, $E$9, 100%, $G$9) + CHOOSE(CONTROL!$C$38, 0.0256, 0)</f>
        <v>54.561299999999996</v>
      </c>
      <c r="C770" s="14">
        <f>51.575 * CHOOSE(CONTROL!$C$15, $E$9, 100%, $G$9) + CHOOSE(CONTROL!$C$38, 0.0347, 0)</f>
        <v>51.609700000000004</v>
      </c>
      <c r="D770" s="14">
        <f>51.5671 * CHOOSE(CONTROL!$C$15, $E$9, 100%, $G$9) + CHOOSE(CONTROL!$C$38, 0.0347, 0)</f>
        <v>51.601800000000004</v>
      </c>
      <c r="E770" s="46">
        <f>54.3794 * CHOOSE(CONTROL!$C$15, $E$9, 100%, $G$9) + CHOOSE(CONTROL!$C$38, 0.0347, 0)</f>
        <v>54.414099999999998</v>
      </c>
      <c r="F770" s="45">
        <f>54.3794 * CHOOSE(CONTROL!$C$15, $E$9, 100%, $G$9) + CHOOSE(CONTROL!$C$38, 0.0256, 0)</f>
        <v>54.404999999999994</v>
      </c>
      <c r="G770" s="14">
        <f>51.5734 * CHOOSE(CONTROL!$C$15, $E$9, 100%, $G$9) + CHOOSE(CONTROL!$C$38, 0.0347, 0)</f>
        <v>51.6081</v>
      </c>
      <c r="H770" s="14">
        <f>51.5734 * CHOOSE(CONTROL!$C$15, $E$9, 100%, $G$9) + CHOOSE(CONTROL!$C$38, 0.0347, 0)</f>
        <v>51.6081</v>
      </c>
      <c r="I770" s="14">
        <f>51.575 * CHOOSE(CONTROL!$C$15, $E$9, 100%, $G$9) + CHOOSE(CONTROL!$C$38, 0.0347, 0)</f>
        <v>51.609700000000004</v>
      </c>
      <c r="J770" s="44">
        <f>481.845</f>
        <v>481.84500000000003</v>
      </c>
    </row>
    <row r="771" spans="1:10" ht="15.75" x14ac:dyDescent="0.25">
      <c r="A771" s="32">
        <v>64405</v>
      </c>
      <c r="B771" s="14">
        <f>58.0363 * CHOOSE(CONTROL!$C$15, $E$9, 100%, $G$9) + CHOOSE(CONTROL!$C$38, 0.0256, 0)</f>
        <v>58.061899999999994</v>
      </c>
      <c r="C771" s="14">
        <f>54.8935 * CHOOSE(CONTROL!$C$15, $E$9, 100%, $G$9) + CHOOSE(CONTROL!$C$38, 0.0347, 0)</f>
        <v>54.928200000000004</v>
      </c>
      <c r="D771" s="14">
        <f>54.8857 * CHOOSE(CONTROL!$C$15, $E$9, 100%, $G$9) + CHOOSE(CONTROL!$C$38, 0.0347, 0)</f>
        <v>54.920400000000001</v>
      </c>
      <c r="E771" s="46">
        <f>57.8801 * CHOOSE(CONTROL!$C$15, $E$9, 100%, $G$9) + CHOOSE(CONTROL!$C$38, 0.0347, 0)</f>
        <v>57.9148</v>
      </c>
      <c r="F771" s="45">
        <f>57.8801 * CHOOSE(CONTROL!$C$15, $E$9, 100%, $G$9) + CHOOSE(CONTROL!$C$38, 0.0256, 0)</f>
        <v>57.905699999999996</v>
      </c>
      <c r="G771" s="14">
        <f>54.892 * CHOOSE(CONTROL!$C$15, $E$9, 100%, $G$9) + CHOOSE(CONTROL!$C$38, 0.0347, 0)</f>
        <v>54.926700000000004</v>
      </c>
      <c r="H771" s="14">
        <f>54.892 * CHOOSE(CONTROL!$C$15, $E$9, 100%, $G$9) + CHOOSE(CONTROL!$C$38, 0.0347, 0)</f>
        <v>54.926700000000004</v>
      </c>
      <c r="I771" s="14">
        <f>54.8935 * CHOOSE(CONTROL!$C$15, $E$9, 100%, $G$9) + CHOOSE(CONTROL!$C$38, 0.0347, 0)</f>
        <v>54.928200000000004</v>
      </c>
      <c r="J771" s="44">
        <f>513.1287</f>
        <v>513.12869999999998</v>
      </c>
    </row>
    <row r="772" spans="1:10" ht="15.75" x14ac:dyDescent="0.25">
      <c r="A772" s="32">
        <v>64436</v>
      </c>
      <c r="B772" s="14">
        <f>59.9632 * CHOOSE(CONTROL!$C$15, $E$9, 100%, $G$9) + CHOOSE(CONTROL!$C$38, 0.0278, 0)</f>
        <v>59.991</v>
      </c>
      <c r="C772" s="14">
        <f>56.7202 * CHOOSE(CONTROL!$C$15, $E$9, 100%, $G$9) + CHOOSE(CONTROL!$C$38, 0.0369, 0)</f>
        <v>56.757100000000001</v>
      </c>
      <c r="D772" s="14">
        <f>56.7124 * CHOOSE(CONTROL!$C$15, $E$9, 100%, $G$9) + CHOOSE(CONTROL!$C$38, 0.0369, 0)</f>
        <v>56.749300000000005</v>
      </c>
      <c r="E772" s="46">
        <f>59.8069 * CHOOSE(CONTROL!$C$15, $E$9, 100%, $G$9) + CHOOSE(CONTROL!$C$38, 0.0369, 0)</f>
        <v>59.843800000000002</v>
      </c>
      <c r="F772" s="45">
        <f>59.8069 * CHOOSE(CONTROL!$C$15, $E$9, 100%, $G$9) + CHOOSE(CONTROL!$C$38, 0.0278, 0)</f>
        <v>59.834699999999998</v>
      </c>
      <c r="G772" s="14">
        <f>56.7186 * CHOOSE(CONTROL!$C$15, $E$9, 100%, $G$9) + CHOOSE(CONTROL!$C$38, 0.0369, 0)</f>
        <v>56.755500000000005</v>
      </c>
      <c r="H772" s="14">
        <f>56.7186 * CHOOSE(CONTROL!$C$15, $E$9, 100%, $G$9) + CHOOSE(CONTROL!$C$38, 0.0369, 0)</f>
        <v>56.755500000000005</v>
      </c>
      <c r="I772" s="14">
        <f>56.7202 * CHOOSE(CONTROL!$C$15, $E$9, 100%, $G$9) + CHOOSE(CONTROL!$C$38, 0.0369, 0)</f>
        <v>56.757100000000001</v>
      </c>
      <c r="J772" s="44">
        <f>530.3483</f>
        <v>530.34829999999999</v>
      </c>
    </row>
    <row r="773" spans="1:10" ht="15.75" x14ac:dyDescent="0.25">
      <c r="A773" s="32">
        <v>64466</v>
      </c>
      <c r="B773" s="14">
        <f>60.8183 * CHOOSE(CONTROL!$C$15, $E$9, 100%, $G$9) + CHOOSE(CONTROL!$C$38, 0.0278, 0)</f>
        <v>60.8461</v>
      </c>
      <c r="C773" s="14">
        <f>57.5308 * CHOOSE(CONTROL!$C$15, $E$9, 100%, $G$9) + CHOOSE(CONTROL!$C$38, 0.0369, 0)</f>
        <v>57.567700000000002</v>
      </c>
      <c r="D773" s="14">
        <f>57.523 * CHOOSE(CONTROL!$C$15, $E$9, 100%, $G$9) + CHOOSE(CONTROL!$C$38, 0.0369, 0)</f>
        <v>57.559900000000006</v>
      </c>
      <c r="E773" s="46">
        <f>60.6621 * CHOOSE(CONTROL!$C$15, $E$9, 100%, $G$9) + CHOOSE(CONTROL!$C$38, 0.0369, 0)</f>
        <v>60.699000000000005</v>
      </c>
      <c r="F773" s="45">
        <f>60.6621 * CHOOSE(CONTROL!$C$15, $E$9, 100%, $G$9) + CHOOSE(CONTROL!$C$38, 0.0278, 0)</f>
        <v>60.689900000000002</v>
      </c>
      <c r="G773" s="14">
        <f>57.5292 * CHOOSE(CONTROL!$C$15, $E$9, 100%, $G$9) + CHOOSE(CONTROL!$C$38, 0.0369, 0)</f>
        <v>57.566100000000006</v>
      </c>
      <c r="H773" s="14">
        <f>57.5292 * CHOOSE(CONTROL!$C$15, $E$9, 100%, $G$9) + CHOOSE(CONTROL!$C$38, 0.0369, 0)</f>
        <v>57.566100000000006</v>
      </c>
      <c r="I773" s="14">
        <f>57.5308 * CHOOSE(CONTROL!$C$15, $E$9, 100%, $G$9) + CHOOSE(CONTROL!$C$38, 0.0369, 0)</f>
        <v>57.567700000000002</v>
      </c>
      <c r="J773" s="44">
        <f>537.99</f>
        <v>537.99</v>
      </c>
    </row>
    <row r="774" spans="1:10" ht="15.75" x14ac:dyDescent="0.25">
      <c r="A774" s="32">
        <v>64497</v>
      </c>
      <c r="B774" s="14">
        <f>60.5368 * CHOOSE(CONTROL!$C$15, $E$9, 100%, $G$9) + CHOOSE(CONTROL!$C$38, 0.0278, 0)</f>
        <v>60.564599999999999</v>
      </c>
      <c r="C774" s="14">
        <f>57.2639 * CHOOSE(CONTROL!$C$15, $E$9, 100%, $G$9) + CHOOSE(CONTROL!$C$38, 0.0369, 0)</f>
        <v>57.300800000000002</v>
      </c>
      <c r="D774" s="14">
        <f>57.2561 * CHOOSE(CONTROL!$C$15, $E$9, 100%, $G$9) + CHOOSE(CONTROL!$C$38, 0.0369, 0)</f>
        <v>57.293000000000006</v>
      </c>
      <c r="E774" s="46">
        <f>60.3805 * CHOOSE(CONTROL!$C$15, $E$9, 100%, $G$9) + CHOOSE(CONTROL!$C$38, 0.0369, 0)</f>
        <v>60.417400000000001</v>
      </c>
      <c r="F774" s="45">
        <f>60.3805 * CHOOSE(CONTROL!$C$15, $E$9, 100%, $G$9) + CHOOSE(CONTROL!$C$38, 0.0278, 0)</f>
        <v>60.408299999999997</v>
      </c>
      <c r="G774" s="14">
        <f>57.2624 * CHOOSE(CONTROL!$C$15, $E$9, 100%, $G$9) + CHOOSE(CONTROL!$C$38, 0.0369, 0)</f>
        <v>57.299300000000002</v>
      </c>
      <c r="H774" s="14">
        <f>57.2624 * CHOOSE(CONTROL!$C$15, $E$9, 100%, $G$9) + CHOOSE(CONTROL!$C$38, 0.0369, 0)</f>
        <v>57.299300000000002</v>
      </c>
      <c r="I774" s="14">
        <f>57.2639 * CHOOSE(CONTROL!$C$15, $E$9, 100%, $G$9) + CHOOSE(CONTROL!$C$38, 0.0369, 0)</f>
        <v>57.300800000000002</v>
      </c>
      <c r="J774" s="44">
        <f>535.474</f>
        <v>535.47400000000005</v>
      </c>
    </row>
    <row r="775" spans="1:10" ht="15.75" x14ac:dyDescent="0.25">
      <c r="A775" s="32">
        <v>64528</v>
      </c>
      <c r="B775" s="14">
        <f>59.1419 * CHOOSE(CONTROL!$C$15, $E$9, 100%, $G$9) + CHOOSE(CONTROL!$C$38, 0.0278, 0)</f>
        <v>59.169699999999999</v>
      </c>
      <c r="C775" s="14">
        <f>55.9416 * CHOOSE(CONTROL!$C$15, $E$9, 100%, $G$9) + CHOOSE(CONTROL!$C$38, 0.0369, 0)</f>
        <v>55.978500000000004</v>
      </c>
      <c r="D775" s="14">
        <f>55.9338 * CHOOSE(CONTROL!$C$15, $E$9, 100%, $G$9) + CHOOSE(CONTROL!$C$38, 0.0369, 0)</f>
        <v>55.970700000000001</v>
      </c>
      <c r="E775" s="46">
        <f>58.9856 * CHOOSE(CONTROL!$C$15, $E$9, 100%, $G$9) + CHOOSE(CONTROL!$C$38, 0.0369, 0)</f>
        <v>59.022500000000001</v>
      </c>
      <c r="F775" s="45">
        <f>58.9856 * CHOOSE(CONTROL!$C$15, $E$9, 100%, $G$9) + CHOOSE(CONTROL!$C$38, 0.0278, 0)</f>
        <v>59.013399999999997</v>
      </c>
      <c r="G775" s="14">
        <f>55.94 * CHOOSE(CONTROL!$C$15, $E$9, 100%, $G$9) + CHOOSE(CONTROL!$C$38, 0.0369, 0)</f>
        <v>55.976900000000001</v>
      </c>
      <c r="H775" s="14">
        <f>55.94 * CHOOSE(CONTROL!$C$15, $E$9, 100%, $G$9) + CHOOSE(CONTROL!$C$38, 0.0369, 0)</f>
        <v>55.976900000000001</v>
      </c>
      <c r="I775" s="14">
        <f>55.9416 * CHOOSE(CONTROL!$C$15, $E$9, 100%, $G$9) + CHOOSE(CONTROL!$C$38, 0.0369, 0)</f>
        <v>55.978500000000004</v>
      </c>
      <c r="J775" s="44">
        <f>523.0084</f>
        <v>523.00840000000005</v>
      </c>
    </row>
    <row r="776" spans="1:10" ht="15.75" x14ac:dyDescent="0.25">
      <c r="A776" s="32">
        <v>64558</v>
      </c>
      <c r="B776" s="14">
        <f>57.1966 * CHOOSE(CONTROL!$C$15, $E$9, 100%, $G$9) + CHOOSE(CONTROL!$C$38, 0.0278, 0)</f>
        <v>57.224399999999996</v>
      </c>
      <c r="C776" s="14">
        <f>54.0975 * CHOOSE(CONTROL!$C$15, $E$9, 100%, $G$9) + CHOOSE(CONTROL!$C$38, 0.0369, 0)</f>
        <v>54.134399999999999</v>
      </c>
      <c r="D776" s="14">
        <f>54.0897 * CHOOSE(CONTROL!$C$15, $E$9, 100%, $G$9) + CHOOSE(CONTROL!$C$38, 0.0369, 0)</f>
        <v>54.126600000000003</v>
      </c>
      <c r="E776" s="46">
        <f>57.0404 * CHOOSE(CONTROL!$C$15, $E$9, 100%, $G$9) + CHOOSE(CONTROL!$C$38, 0.0369, 0)</f>
        <v>57.077300000000001</v>
      </c>
      <c r="F776" s="45">
        <f>57.0404 * CHOOSE(CONTROL!$C$15, $E$9, 100%, $G$9) + CHOOSE(CONTROL!$C$38, 0.0278, 0)</f>
        <v>57.068199999999997</v>
      </c>
      <c r="G776" s="14">
        <f>54.0959 * CHOOSE(CONTROL!$C$15, $E$9, 100%, $G$9) + CHOOSE(CONTROL!$C$38, 0.0369, 0)</f>
        <v>54.132800000000003</v>
      </c>
      <c r="H776" s="14">
        <f>54.0959 * CHOOSE(CONTROL!$C$15, $E$9, 100%, $G$9) + CHOOSE(CONTROL!$C$38, 0.0369, 0)</f>
        <v>54.132800000000003</v>
      </c>
      <c r="I776" s="14">
        <f>54.0975 * CHOOSE(CONTROL!$C$15, $E$9, 100%, $G$9) + CHOOSE(CONTROL!$C$38, 0.0369, 0)</f>
        <v>54.134399999999999</v>
      </c>
      <c r="J776" s="44">
        <f>505.6245</f>
        <v>505.62450000000001</v>
      </c>
    </row>
    <row r="777" spans="1:10" ht="15.75" x14ac:dyDescent="0.25">
      <c r="A777" s="32">
        <v>64589</v>
      </c>
      <c r="B777" s="14">
        <f>55.24 * CHOOSE(CONTROL!$C$15, $E$9, 100%, $G$9) + CHOOSE(CONTROL!$C$38, 0.0256, 0)</f>
        <v>55.265599999999999</v>
      </c>
      <c r="C777" s="14">
        <f>52.2427 * CHOOSE(CONTROL!$C$15, $E$9, 100%, $G$9) + CHOOSE(CONTROL!$C$38, 0.0347, 0)</f>
        <v>52.2774</v>
      </c>
      <c r="D777" s="14">
        <f>52.2349 * CHOOSE(CONTROL!$C$15, $E$9, 100%, $G$9) + CHOOSE(CONTROL!$C$38, 0.0347, 0)</f>
        <v>52.269600000000004</v>
      </c>
      <c r="E777" s="46">
        <f>55.0838 * CHOOSE(CONTROL!$C$15, $E$9, 100%, $G$9) + CHOOSE(CONTROL!$C$38, 0.0347, 0)</f>
        <v>55.118499999999997</v>
      </c>
      <c r="F777" s="45">
        <f>55.0838 * CHOOSE(CONTROL!$C$15, $E$9, 100%, $G$9) + CHOOSE(CONTROL!$C$38, 0.0256, 0)</f>
        <v>55.109399999999994</v>
      </c>
      <c r="G777" s="14">
        <f>52.2411 * CHOOSE(CONTROL!$C$15, $E$9, 100%, $G$9) + CHOOSE(CONTROL!$C$38, 0.0347, 0)</f>
        <v>52.275800000000004</v>
      </c>
      <c r="H777" s="14">
        <f>52.2411 * CHOOSE(CONTROL!$C$15, $E$9, 100%, $G$9) + CHOOSE(CONTROL!$C$38, 0.0347, 0)</f>
        <v>52.275800000000004</v>
      </c>
      <c r="I777" s="14">
        <f>52.2427 * CHOOSE(CONTROL!$C$15, $E$9, 100%, $G$9) + CHOOSE(CONTROL!$C$38, 0.0347, 0)</f>
        <v>52.2774</v>
      </c>
      <c r="J777" s="44">
        <f>488.1395</f>
        <v>488.1395</v>
      </c>
    </row>
    <row r="778" spans="1:10" ht="15.75" x14ac:dyDescent="0.25">
      <c r="A778" s="32">
        <v>64619</v>
      </c>
      <c r="B778" s="14">
        <f>54.8508 * CHOOSE(CONTROL!$C$15, $E$9, 100%, $G$9) + CHOOSE(CONTROL!$C$38, 0.0256, 0)</f>
        <v>54.876399999999997</v>
      </c>
      <c r="C778" s="14">
        <f>51.8737 * CHOOSE(CONTROL!$C$15, $E$9, 100%, $G$9) + CHOOSE(CONTROL!$C$38, 0.0347, 0)</f>
        <v>51.9084</v>
      </c>
      <c r="D778" s="14">
        <f>51.8659 * CHOOSE(CONTROL!$C$15, $E$9, 100%, $G$9) + CHOOSE(CONTROL!$C$38, 0.0347, 0)</f>
        <v>51.900600000000004</v>
      </c>
      <c r="E778" s="46">
        <f>54.6946 * CHOOSE(CONTROL!$C$15, $E$9, 100%, $G$9) + CHOOSE(CONTROL!$C$38, 0.0347, 0)</f>
        <v>54.729300000000002</v>
      </c>
      <c r="F778" s="45">
        <f>54.6946 * CHOOSE(CONTROL!$C$15, $E$9, 100%, $G$9) + CHOOSE(CONTROL!$C$38, 0.0256, 0)</f>
        <v>54.720199999999998</v>
      </c>
      <c r="G778" s="14">
        <f>51.8722 * CHOOSE(CONTROL!$C$15, $E$9, 100%, $G$9) + CHOOSE(CONTROL!$C$38, 0.0347, 0)</f>
        <v>51.9069</v>
      </c>
      <c r="H778" s="14">
        <f>51.8722 * CHOOSE(CONTROL!$C$15, $E$9, 100%, $G$9) + CHOOSE(CONTROL!$C$38, 0.0347, 0)</f>
        <v>51.9069</v>
      </c>
      <c r="I778" s="14">
        <f>51.8737 * CHOOSE(CONTROL!$C$15, $E$9, 100%, $G$9) + CHOOSE(CONTROL!$C$38, 0.0347, 0)</f>
        <v>51.9084</v>
      </c>
      <c r="J778" s="44">
        <f>484.6614</f>
        <v>484.66140000000001</v>
      </c>
    </row>
    <row r="779" spans="1:10" ht="15.75" x14ac:dyDescent="0.25">
      <c r="A779" s="32">
        <v>64650</v>
      </c>
      <c r="B779" s="14">
        <f>53.2414 * CHOOSE(CONTROL!$C$15, $E$9, 100%, $G$9) + CHOOSE(CONTROL!$C$38, 0.0256, 0)</f>
        <v>53.266999999999996</v>
      </c>
      <c r="C779" s="14">
        <f>50.348 * CHOOSE(CONTROL!$C$15, $E$9, 100%, $G$9) + CHOOSE(CONTROL!$C$38, 0.0347, 0)</f>
        <v>50.3827</v>
      </c>
      <c r="D779" s="14">
        <f>50.3402 * CHOOSE(CONTROL!$C$15, $E$9, 100%, $G$9) + CHOOSE(CONTROL!$C$38, 0.0347, 0)</f>
        <v>50.374900000000004</v>
      </c>
      <c r="E779" s="46">
        <f>53.0852 * CHOOSE(CONTROL!$C$15, $E$9, 100%, $G$9) + CHOOSE(CONTROL!$C$38, 0.0347, 0)</f>
        <v>53.119900000000001</v>
      </c>
      <c r="F779" s="45">
        <f>53.0852 * CHOOSE(CONTROL!$C$15, $E$9, 100%, $G$9) + CHOOSE(CONTROL!$C$38, 0.0256, 0)</f>
        <v>53.110799999999998</v>
      </c>
      <c r="G779" s="14">
        <f>50.3465 * CHOOSE(CONTROL!$C$15, $E$9, 100%, $G$9) + CHOOSE(CONTROL!$C$38, 0.0347, 0)</f>
        <v>50.3812</v>
      </c>
      <c r="H779" s="14">
        <f>50.3465 * CHOOSE(CONTROL!$C$15, $E$9, 100%, $G$9) + CHOOSE(CONTROL!$C$38, 0.0347, 0)</f>
        <v>50.3812</v>
      </c>
      <c r="I779" s="14">
        <f>50.348 * CHOOSE(CONTROL!$C$15, $E$9, 100%, $G$9) + CHOOSE(CONTROL!$C$38, 0.0347, 0)</f>
        <v>50.3827</v>
      </c>
      <c r="J779" s="44">
        <f>470.279</f>
        <v>470.279</v>
      </c>
    </row>
    <row r="780" spans="1:10" ht="15.75" x14ac:dyDescent="0.25">
      <c r="A780" s="32">
        <v>64681</v>
      </c>
      <c r="B780" s="14">
        <f>52.8418 * CHOOSE(CONTROL!$C$15, $E$9, 100%, $G$9) + CHOOSE(CONTROL!$C$38, 0.0256, 0)</f>
        <v>52.867399999999996</v>
      </c>
      <c r="C780" s="14">
        <f>49.9692 * CHOOSE(CONTROL!$C$15, $E$9, 100%, $G$9) + CHOOSE(CONTROL!$C$38, 0.0347, 0)</f>
        <v>50.003900000000002</v>
      </c>
      <c r="D780" s="14">
        <f>49.9613 * CHOOSE(CONTROL!$C$15, $E$9, 100%, $G$9) + CHOOSE(CONTROL!$C$38, 0.0347, 0)</f>
        <v>49.996000000000002</v>
      </c>
      <c r="E780" s="46">
        <f>52.6855 * CHOOSE(CONTROL!$C$15, $E$9, 100%, $G$9) + CHOOSE(CONTROL!$C$38, 0.0347, 0)</f>
        <v>52.720199999999998</v>
      </c>
      <c r="F780" s="45">
        <f>52.6855 * CHOOSE(CONTROL!$C$15, $E$9, 100%, $G$9) + CHOOSE(CONTROL!$C$38, 0.0256, 0)</f>
        <v>52.711099999999995</v>
      </c>
      <c r="G780" s="14">
        <f>49.9676 * CHOOSE(CONTROL!$C$15, $E$9, 100%, $G$9) + CHOOSE(CONTROL!$C$38, 0.0347, 0)</f>
        <v>50.002299999999998</v>
      </c>
      <c r="H780" s="14">
        <f>49.9676 * CHOOSE(CONTROL!$C$15, $E$9, 100%, $G$9) + CHOOSE(CONTROL!$C$38, 0.0347, 0)</f>
        <v>50.002299999999998</v>
      </c>
      <c r="I780" s="14">
        <f>49.9692 * CHOOSE(CONTROL!$C$15, $E$9, 100%, $G$9) + CHOOSE(CONTROL!$C$38, 0.0347, 0)</f>
        <v>50.003900000000002</v>
      </c>
      <c r="J780" s="44">
        <f>469.9395</f>
        <v>469.93950000000001</v>
      </c>
    </row>
    <row r="781" spans="1:10" ht="15.75" x14ac:dyDescent="0.25">
      <c r="A781" s="32">
        <v>64709</v>
      </c>
      <c r="B781" s="14">
        <f>52.6966 * CHOOSE(CONTROL!$C$15, $E$9, 100%, $G$9) + CHOOSE(CONTROL!$C$38, 0.0256, 0)</f>
        <v>52.722199999999994</v>
      </c>
      <c r="C781" s="14">
        <f>49.8315 * CHOOSE(CONTROL!$C$15, $E$9, 100%, $G$9) + CHOOSE(CONTROL!$C$38, 0.0347, 0)</f>
        <v>49.866199999999999</v>
      </c>
      <c r="D781" s="14">
        <f>49.8237 * CHOOSE(CONTROL!$C$15, $E$9, 100%, $G$9) + CHOOSE(CONTROL!$C$38, 0.0347, 0)</f>
        <v>49.858400000000003</v>
      </c>
      <c r="E781" s="46">
        <f>52.5404 * CHOOSE(CONTROL!$C$15, $E$9, 100%, $G$9) + CHOOSE(CONTROL!$C$38, 0.0347, 0)</f>
        <v>52.575099999999999</v>
      </c>
      <c r="F781" s="45">
        <f>52.5404 * CHOOSE(CONTROL!$C$15, $E$9, 100%, $G$9) + CHOOSE(CONTROL!$C$38, 0.0256, 0)</f>
        <v>52.565999999999995</v>
      </c>
      <c r="G781" s="14">
        <f>49.83 * CHOOSE(CONTROL!$C$15, $E$9, 100%, $G$9) + CHOOSE(CONTROL!$C$38, 0.0347, 0)</f>
        <v>49.864699999999999</v>
      </c>
      <c r="H781" s="14">
        <f>49.83 * CHOOSE(CONTROL!$C$15, $E$9, 100%, $G$9) + CHOOSE(CONTROL!$C$38, 0.0347, 0)</f>
        <v>49.864699999999999</v>
      </c>
      <c r="I781" s="14">
        <f>49.8315 * CHOOSE(CONTROL!$C$15, $E$9, 100%, $G$9) + CHOOSE(CONTROL!$C$38, 0.0347, 0)</f>
        <v>49.866199999999999</v>
      </c>
      <c r="J781" s="44">
        <f>468.6332</f>
        <v>468.63319999999999</v>
      </c>
    </row>
    <row r="782" spans="1:10" ht="15.75" x14ac:dyDescent="0.25">
      <c r="A782" s="32">
        <v>64740</v>
      </c>
      <c r="B782" s="14">
        <f>55.4415 * CHOOSE(CONTROL!$C$15, $E$9, 100%, $G$9) + CHOOSE(CONTROL!$C$38, 0.0256, 0)</f>
        <v>55.467099999999995</v>
      </c>
      <c r="C782" s="14">
        <f>52.4337 * CHOOSE(CONTROL!$C$15, $E$9, 100%, $G$9) + CHOOSE(CONTROL!$C$38, 0.0347, 0)</f>
        <v>52.468400000000003</v>
      </c>
      <c r="D782" s="14">
        <f>52.4258 * CHOOSE(CONTROL!$C$15, $E$9, 100%, $G$9) + CHOOSE(CONTROL!$C$38, 0.0347, 0)</f>
        <v>52.460500000000003</v>
      </c>
      <c r="E782" s="46">
        <f>55.2852 * CHOOSE(CONTROL!$C$15, $E$9, 100%, $G$9) + CHOOSE(CONTROL!$C$38, 0.0347, 0)</f>
        <v>55.319900000000004</v>
      </c>
      <c r="F782" s="45">
        <f>55.2852 * CHOOSE(CONTROL!$C$15, $E$9, 100%, $G$9) + CHOOSE(CONTROL!$C$38, 0.0256, 0)</f>
        <v>55.3108</v>
      </c>
      <c r="G782" s="14">
        <f>52.4321 * CHOOSE(CONTROL!$C$15, $E$9, 100%, $G$9) + CHOOSE(CONTROL!$C$38, 0.0347, 0)</f>
        <v>52.466799999999999</v>
      </c>
      <c r="H782" s="14">
        <f>52.4321 * CHOOSE(CONTROL!$C$15, $E$9, 100%, $G$9) + CHOOSE(CONTROL!$C$38, 0.0347, 0)</f>
        <v>52.466799999999999</v>
      </c>
      <c r="I782" s="14">
        <f>52.4337 * CHOOSE(CONTROL!$C$15, $E$9, 100%, $G$9) + CHOOSE(CONTROL!$C$38, 0.0347, 0)</f>
        <v>52.468400000000003</v>
      </c>
      <c r="J782" s="44">
        <f>493.3329</f>
        <v>493.3329</v>
      </c>
    </row>
    <row r="783" spans="1:10" ht="15.75" x14ac:dyDescent="0.25">
      <c r="A783" s="32">
        <v>64770</v>
      </c>
      <c r="B783" s="14">
        <f>59.001 * CHOOSE(CONTROL!$C$15, $E$9, 100%, $G$9) + CHOOSE(CONTROL!$C$38, 0.0256, 0)</f>
        <v>59.026599999999995</v>
      </c>
      <c r="C783" s="14">
        <f>55.808 * CHOOSE(CONTROL!$C$15, $E$9, 100%, $G$9) + CHOOSE(CONTROL!$C$38, 0.0347, 0)</f>
        <v>55.842700000000001</v>
      </c>
      <c r="D783" s="14">
        <f>55.8002 * CHOOSE(CONTROL!$C$15, $E$9, 100%, $G$9) + CHOOSE(CONTROL!$C$38, 0.0347, 0)</f>
        <v>55.834899999999998</v>
      </c>
      <c r="E783" s="46">
        <f>58.8447 * CHOOSE(CONTROL!$C$15, $E$9, 100%, $G$9) + CHOOSE(CONTROL!$C$38, 0.0347, 0)</f>
        <v>58.879400000000004</v>
      </c>
      <c r="F783" s="45">
        <f>58.8447 * CHOOSE(CONTROL!$C$15, $E$9, 100%, $G$9) + CHOOSE(CONTROL!$C$38, 0.0256, 0)</f>
        <v>58.8703</v>
      </c>
      <c r="G783" s="14">
        <f>55.8064 * CHOOSE(CONTROL!$C$15, $E$9, 100%, $G$9) + CHOOSE(CONTROL!$C$38, 0.0347, 0)</f>
        <v>55.841099999999997</v>
      </c>
      <c r="H783" s="14">
        <f>55.8064 * CHOOSE(CONTROL!$C$15, $E$9, 100%, $G$9) + CHOOSE(CONTROL!$C$38, 0.0347, 0)</f>
        <v>55.841099999999997</v>
      </c>
      <c r="I783" s="14">
        <f>55.808 * CHOOSE(CONTROL!$C$15, $E$9, 100%, $G$9) + CHOOSE(CONTROL!$C$38, 0.0347, 0)</f>
        <v>55.842700000000001</v>
      </c>
      <c r="J783" s="44">
        <f>525.3625</f>
        <v>525.36249999999995</v>
      </c>
    </row>
    <row r="784" spans="1:10" ht="15.75" x14ac:dyDescent="0.25">
      <c r="A784" s="32">
        <v>64801</v>
      </c>
      <c r="B784" s="14">
        <f>60.9602 * CHOOSE(CONTROL!$C$15, $E$9, 100%, $G$9) + CHOOSE(CONTROL!$C$38, 0.0278, 0)</f>
        <v>60.988</v>
      </c>
      <c r="C784" s="14">
        <f>57.6653 * CHOOSE(CONTROL!$C$15, $E$9, 100%, $G$9) + CHOOSE(CONTROL!$C$38, 0.0369, 0)</f>
        <v>57.702200000000005</v>
      </c>
      <c r="D784" s="14">
        <f>57.6575 * CHOOSE(CONTROL!$C$15, $E$9, 100%, $G$9) + CHOOSE(CONTROL!$C$38, 0.0369, 0)</f>
        <v>57.694400000000002</v>
      </c>
      <c r="E784" s="46">
        <f>60.8039 * CHOOSE(CONTROL!$C$15, $E$9, 100%, $G$9) + CHOOSE(CONTROL!$C$38, 0.0369, 0)</f>
        <v>60.840800000000002</v>
      </c>
      <c r="F784" s="45">
        <f>60.8039 * CHOOSE(CONTROL!$C$15, $E$9, 100%, $G$9) + CHOOSE(CONTROL!$C$38, 0.0278, 0)</f>
        <v>60.831699999999998</v>
      </c>
      <c r="G784" s="14">
        <f>57.6638 * CHOOSE(CONTROL!$C$15, $E$9, 100%, $G$9) + CHOOSE(CONTROL!$C$38, 0.0369, 0)</f>
        <v>57.700700000000005</v>
      </c>
      <c r="H784" s="14">
        <f>57.6638 * CHOOSE(CONTROL!$C$15, $E$9, 100%, $G$9) + CHOOSE(CONTROL!$C$38, 0.0369, 0)</f>
        <v>57.700700000000005</v>
      </c>
      <c r="I784" s="14">
        <f>57.6653 * CHOOSE(CONTROL!$C$15, $E$9, 100%, $G$9) + CHOOSE(CONTROL!$C$38, 0.0369, 0)</f>
        <v>57.702200000000005</v>
      </c>
      <c r="J784" s="44">
        <f>542.9926</f>
        <v>542.99260000000004</v>
      </c>
    </row>
    <row r="785" spans="1:10" ht="15.75" x14ac:dyDescent="0.25">
      <c r="A785" s="32">
        <v>64831</v>
      </c>
      <c r="B785" s="14">
        <f>61.8297 * CHOOSE(CONTROL!$C$15, $E$9, 100%, $G$9) + CHOOSE(CONTROL!$C$38, 0.0278, 0)</f>
        <v>61.857500000000002</v>
      </c>
      <c r="C785" s="14">
        <f>58.4896 * CHOOSE(CONTROL!$C$15, $E$9, 100%, $G$9) + CHOOSE(CONTROL!$C$38, 0.0369, 0)</f>
        <v>58.526500000000006</v>
      </c>
      <c r="D785" s="14">
        <f>58.4818 * CHOOSE(CONTROL!$C$15, $E$9, 100%, $G$9) + CHOOSE(CONTROL!$C$38, 0.0369, 0)</f>
        <v>58.518700000000003</v>
      </c>
      <c r="E785" s="46">
        <f>61.6734 * CHOOSE(CONTROL!$C$15, $E$9, 100%, $G$9) + CHOOSE(CONTROL!$C$38, 0.0369, 0)</f>
        <v>61.710300000000004</v>
      </c>
      <c r="F785" s="45">
        <f>61.6734 * CHOOSE(CONTROL!$C$15, $E$9, 100%, $G$9) + CHOOSE(CONTROL!$C$38, 0.0278, 0)</f>
        <v>61.7012</v>
      </c>
      <c r="G785" s="14">
        <f>58.488 * CHOOSE(CONTROL!$C$15, $E$9, 100%, $G$9) + CHOOSE(CONTROL!$C$38, 0.0369, 0)</f>
        <v>58.524900000000002</v>
      </c>
      <c r="H785" s="14">
        <f>58.488 * CHOOSE(CONTROL!$C$15, $E$9, 100%, $G$9) + CHOOSE(CONTROL!$C$38, 0.0369, 0)</f>
        <v>58.524900000000002</v>
      </c>
      <c r="I785" s="14">
        <f>58.4896 * CHOOSE(CONTROL!$C$15, $E$9, 100%, $G$9) + CHOOSE(CONTROL!$C$38, 0.0369, 0)</f>
        <v>58.526500000000006</v>
      </c>
      <c r="J785" s="44">
        <f>550.8165</f>
        <v>550.81650000000002</v>
      </c>
    </row>
    <row r="786" spans="1:10" ht="15.75" x14ac:dyDescent="0.25">
      <c r="A786" s="32">
        <v>64862</v>
      </c>
      <c r="B786" s="14">
        <f>61.5434 * CHOOSE(CONTROL!$C$15, $E$9, 100%, $G$9) + CHOOSE(CONTROL!$C$38, 0.0278, 0)</f>
        <v>61.571199999999997</v>
      </c>
      <c r="C786" s="14">
        <f>58.2182 * CHOOSE(CONTROL!$C$15, $E$9, 100%, $G$9) + CHOOSE(CONTROL!$C$38, 0.0369, 0)</f>
        <v>58.255100000000006</v>
      </c>
      <c r="D786" s="14">
        <f>58.2104 * CHOOSE(CONTROL!$C$15, $E$9, 100%, $G$9) + CHOOSE(CONTROL!$C$38, 0.0369, 0)</f>
        <v>58.247300000000003</v>
      </c>
      <c r="E786" s="46">
        <f>61.3871 * CHOOSE(CONTROL!$C$15, $E$9, 100%, $G$9) + CHOOSE(CONTROL!$C$38, 0.0369, 0)</f>
        <v>61.423999999999999</v>
      </c>
      <c r="F786" s="45">
        <f>61.3871 * CHOOSE(CONTROL!$C$15, $E$9, 100%, $G$9) + CHOOSE(CONTROL!$C$38, 0.0278, 0)</f>
        <v>61.414899999999996</v>
      </c>
      <c r="G786" s="14">
        <f>58.2166 * CHOOSE(CONTROL!$C$15, $E$9, 100%, $G$9) + CHOOSE(CONTROL!$C$38, 0.0369, 0)</f>
        <v>58.253500000000003</v>
      </c>
      <c r="H786" s="14">
        <f>58.2166 * CHOOSE(CONTROL!$C$15, $E$9, 100%, $G$9) + CHOOSE(CONTROL!$C$38, 0.0369, 0)</f>
        <v>58.253500000000003</v>
      </c>
      <c r="I786" s="14">
        <f>58.2182 * CHOOSE(CONTROL!$C$15, $E$9, 100%, $G$9) + CHOOSE(CONTROL!$C$38, 0.0369, 0)</f>
        <v>58.255100000000006</v>
      </c>
      <c r="J786" s="44">
        <f>548.2405</f>
        <v>548.2405</v>
      </c>
    </row>
    <row r="787" spans="1:10" ht="15.75" x14ac:dyDescent="0.25">
      <c r="A787" s="32">
        <v>64893</v>
      </c>
      <c r="B787" s="14">
        <f>60.1251 * CHOOSE(CONTROL!$C$15, $E$9, 100%, $G$9) + CHOOSE(CONTROL!$C$38, 0.0278, 0)</f>
        <v>60.152900000000002</v>
      </c>
      <c r="C787" s="14">
        <f>56.8736 * CHOOSE(CONTROL!$C$15, $E$9, 100%, $G$9) + CHOOSE(CONTROL!$C$38, 0.0369, 0)</f>
        <v>56.910500000000006</v>
      </c>
      <c r="D787" s="14">
        <f>56.8658 * CHOOSE(CONTROL!$C$15, $E$9, 100%, $G$9) + CHOOSE(CONTROL!$C$38, 0.0369, 0)</f>
        <v>56.902700000000003</v>
      </c>
      <c r="E787" s="46">
        <f>59.9688 * CHOOSE(CONTROL!$C$15, $E$9, 100%, $G$9) + CHOOSE(CONTROL!$C$38, 0.0369, 0)</f>
        <v>60.005700000000004</v>
      </c>
      <c r="F787" s="45">
        <f>59.9688 * CHOOSE(CONTROL!$C$15, $E$9, 100%, $G$9) + CHOOSE(CONTROL!$C$38, 0.0278, 0)</f>
        <v>59.996600000000001</v>
      </c>
      <c r="G787" s="14">
        <f>56.8721 * CHOOSE(CONTROL!$C$15, $E$9, 100%, $G$9) + CHOOSE(CONTROL!$C$38, 0.0369, 0)</f>
        <v>56.909000000000006</v>
      </c>
      <c r="H787" s="14">
        <f>56.8721 * CHOOSE(CONTROL!$C$15, $E$9, 100%, $G$9) + CHOOSE(CONTROL!$C$38, 0.0369, 0)</f>
        <v>56.909000000000006</v>
      </c>
      <c r="I787" s="14">
        <f>56.8736 * CHOOSE(CONTROL!$C$15, $E$9, 100%, $G$9) + CHOOSE(CONTROL!$C$38, 0.0369, 0)</f>
        <v>56.910500000000006</v>
      </c>
      <c r="J787" s="44">
        <f>535.4777</f>
        <v>535.47770000000003</v>
      </c>
    </row>
    <row r="788" spans="1:10" ht="15.75" x14ac:dyDescent="0.25">
      <c r="A788" s="32">
        <v>64923</v>
      </c>
      <c r="B788" s="14">
        <f>58.1471 * CHOOSE(CONTROL!$C$15, $E$9, 100%, $G$9) + CHOOSE(CONTROL!$C$38, 0.0278, 0)</f>
        <v>58.174900000000001</v>
      </c>
      <c r="C788" s="14">
        <f>54.9986 * CHOOSE(CONTROL!$C$15, $E$9, 100%, $G$9) + CHOOSE(CONTROL!$C$38, 0.0369, 0)</f>
        <v>55.035500000000006</v>
      </c>
      <c r="D788" s="14">
        <f>54.9908 * CHOOSE(CONTROL!$C$15, $E$9, 100%, $G$9) + CHOOSE(CONTROL!$C$38, 0.0369, 0)</f>
        <v>55.027700000000003</v>
      </c>
      <c r="E788" s="46">
        <f>57.9909 * CHOOSE(CONTROL!$C$15, $E$9, 100%, $G$9) + CHOOSE(CONTROL!$C$38, 0.0369, 0)</f>
        <v>58.027800000000006</v>
      </c>
      <c r="F788" s="45">
        <f>57.9909 * CHOOSE(CONTROL!$C$15, $E$9, 100%, $G$9) + CHOOSE(CONTROL!$C$38, 0.0278, 0)</f>
        <v>58.018700000000003</v>
      </c>
      <c r="G788" s="14">
        <f>54.997 * CHOOSE(CONTROL!$C$15, $E$9, 100%, $G$9) + CHOOSE(CONTROL!$C$38, 0.0369, 0)</f>
        <v>55.033900000000003</v>
      </c>
      <c r="H788" s="14">
        <f>54.997 * CHOOSE(CONTROL!$C$15, $E$9, 100%, $G$9) + CHOOSE(CONTROL!$C$38, 0.0369, 0)</f>
        <v>55.033900000000003</v>
      </c>
      <c r="I788" s="14">
        <f>54.9986 * CHOOSE(CONTROL!$C$15, $E$9, 100%, $G$9) + CHOOSE(CONTROL!$C$38, 0.0369, 0)</f>
        <v>55.035500000000006</v>
      </c>
      <c r="J788" s="44">
        <f>517.6794</f>
        <v>517.67939999999999</v>
      </c>
    </row>
    <row r="789" spans="1:10" ht="15.75" x14ac:dyDescent="0.25">
      <c r="A789" s="32">
        <v>64954</v>
      </c>
      <c r="B789" s="14">
        <f>56.1577 * CHOOSE(CONTROL!$C$15, $E$9, 100%, $G$9) + CHOOSE(CONTROL!$C$38, 0.0256, 0)</f>
        <v>56.183299999999996</v>
      </c>
      <c r="C789" s="14">
        <f>53.1126 * CHOOSE(CONTROL!$C$15, $E$9, 100%, $G$9) + CHOOSE(CONTROL!$C$38, 0.0347, 0)</f>
        <v>53.147300000000001</v>
      </c>
      <c r="D789" s="14">
        <f>53.1048 * CHOOSE(CONTROL!$C$15, $E$9, 100%, $G$9) + CHOOSE(CONTROL!$C$38, 0.0347, 0)</f>
        <v>53.139499999999998</v>
      </c>
      <c r="E789" s="46">
        <f>56.0014 * CHOOSE(CONTROL!$C$15, $E$9, 100%, $G$9) + CHOOSE(CONTROL!$C$38, 0.0347, 0)</f>
        <v>56.036099999999998</v>
      </c>
      <c r="F789" s="45">
        <f>56.0014 * CHOOSE(CONTROL!$C$15, $E$9, 100%, $G$9) + CHOOSE(CONTROL!$C$38, 0.0256, 0)</f>
        <v>56.026999999999994</v>
      </c>
      <c r="G789" s="14">
        <f>53.111 * CHOOSE(CONTROL!$C$15, $E$9, 100%, $G$9) + CHOOSE(CONTROL!$C$38, 0.0347, 0)</f>
        <v>53.145699999999998</v>
      </c>
      <c r="H789" s="14">
        <f>53.111 * CHOOSE(CONTROL!$C$15, $E$9, 100%, $G$9) + CHOOSE(CONTROL!$C$38, 0.0347, 0)</f>
        <v>53.145699999999998</v>
      </c>
      <c r="I789" s="14">
        <f>53.1126 * CHOOSE(CONTROL!$C$15, $E$9, 100%, $G$9) + CHOOSE(CONTROL!$C$38, 0.0347, 0)</f>
        <v>53.147300000000001</v>
      </c>
      <c r="J789" s="44">
        <f>499.7775</f>
        <v>499.77749999999997</v>
      </c>
    </row>
    <row r="790" spans="1:10" ht="15.75" x14ac:dyDescent="0.25">
      <c r="A790" s="32">
        <v>64984</v>
      </c>
      <c r="B790" s="14">
        <f>55.7619 * CHOOSE(CONTROL!$C$15, $E$9, 100%, $G$9) + CHOOSE(CONTROL!$C$38, 0.0256, 0)</f>
        <v>55.787499999999994</v>
      </c>
      <c r="C790" s="14">
        <f>52.7374 * CHOOSE(CONTROL!$C$15, $E$9, 100%, $G$9) + CHOOSE(CONTROL!$C$38, 0.0347, 0)</f>
        <v>52.772100000000002</v>
      </c>
      <c r="D790" s="14">
        <f>52.7296 * CHOOSE(CONTROL!$C$15, $E$9, 100%, $G$9) + CHOOSE(CONTROL!$C$38, 0.0347, 0)</f>
        <v>52.764299999999999</v>
      </c>
      <c r="E790" s="46">
        <f>55.6057 * CHOOSE(CONTROL!$C$15, $E$9, 100%, $G$9) + CHOOSE(CONTROL!$C$38, 0.0347, 0)</f>
        <v>55.6404</v>
      </c>
      <c r="F790" s="45">
        <f>55.6057 * CHOOSE(CONTROL!$C$15, $E$9, 100%, $G$9) + CHOOSE(CONTROL!$C$38, 0.0256, 0)</f>
        <v>55.631299999999996</v>
      </c>
      <c r="G790" s="14">
        <f>52.7359 * CHOOSE(CONTROL!$C$15, $E$9, 100%, $G$9) + CHOOSE(CONTROL!$C$38, 0.0347, 0)</f>
        <v>52.770600000000002</v>
      </c>
      <c r="H790" s="14">
        <f>52.7359 * CHOOSE(CONTROL!$C$15, $E$9, 100%, $G$9) + CHOOSE(CONTROL!$C$38, 0.0347, 0)</f>
        <v>52.770600000000002</v>
      </c>
      <c r="I790" s="14">
        <f>52.7374 * CHOOSE(CONTROL!$C$15, $E$9, 100%, $G$9) + CHOOSE(CONTROL!$C$38, 0.0347, 0)</f>
        <v>52.772100000000002</v>
      </c>
      <c r="J790" s="44">
        <f>496.2164</f>
        <v>496.21640000000002</v>
      </c>
    </row>
    <row r="791" spans="1:10" ht="15.75" x14ac:dyDescent="0.25">
      <c r="A791" s="32">
        <v>65015</v>
      </c>
      <c r="B791" s="14">
        <f>54.1255 * CHOOSE(CONTROL!$C$15, $E$9, 100%, $G$9) + CHOOSE(CONTROL!$C$38, 0.0256, 0)</f>
        <v>54.1511</v>
      </c>
      <c r="C791" s="14">
        <f>51.1861 * CHOOSE(CONTROL!$C$15, $E$9, 100%, $G$9) + CHOOSE(CONTROL!$C$38, 0.0347, 0)</f>
        <v>51.220800000000004</v>
      </c>
      <c r="D791" s="14">
        <f>51.1783 * CHOOSE(CONTROL!$C$15, $E$9, 100%, $G$9) + CHOOSE(CONTROL!$C$38, 0.0347, 0)</f>
        <v>51.213000000000001</v>
      </c>
      <c r="E791" s="46">
        <f>53.9693 * CHOOSE(CONTROL!$C$15, $E$9, 100%, $G$9) + CHOOSE(CONTROL!$C$38, 0.0347, 0)</f>
        <v>54.003999999999998</v>
      </c>
      <c r="F791" s="45">
        <f>53.9693 * CHOOSE(CONTROL!$C$15, $E$9, 100%, $G$9) + CHOOSE(CONTROL!$C$38, 0.0256, 0)</f>
        <v>53.994899999999994</v>
      </c>
      <c r="G791" s="14">
        <f>51.1846 * CHOOSE(CONTROL!$C$15, $E$9, 100%, $G$9) + CHOOSE(CONTROL!$C$38, 0.0347, 0)</f>
        <v>51.219300000000004</v>
      </c>
      <c r="H791" s="14">
        <f>51.1846 * CHOOSE(CONTROL!$C$15, $E$9, 100%, $G$9) + CHOOSE(CONTROL!$C$38, 0.0347, 0)</f>
        <v>51.219300000000004</v>
      </c>
      <c r="I791" s="14">
        <f>51.1861 * CHOOSE(CONTROL!$C$15, $E$9, 100%, $G$9) + CHOOSE(CONTROL!$C$38, 0.0347, 0)</f>
        <v>51.220800000000004</v>
      </c>
      <c r="J791" s="44">
        <f>481.4912</f>
        <v>481.49119999999999</v>
      </c>
    </row>
    <row r="792" spans="1:10" ht="15.75" x14ac:dyDescent="0.25">
      <c r="A792" s="32">
        <v>65046</v>
      </c>
      <c r="B792" s="14">
        <f>53.7191 * CHOOSE(CONTROL!$C$15, $E$9, 100%, $G$9) + CHOOSE(CONTROL!$C$38, 0.0256, 0)</f>
        <v>53.744699999999995</v>
      </c>
      <c r="C792" s="14">
        <f>50.8009 * CHOOSE(CONTROL!$C$15, $E$9, 100%, $G$9) + CHOOSE(CONTROL!$C$38, 0.0347, 0)</f>
        <v>50.835599999999999</v>
      </c>
      <c r="D792" s="14">
        <f>50.7931 * CHOOSE(CONTROL!$C$15, $E$9, 100%, $G$9) + CHOOSE(CONTROL!$C$38, 0.0347, 0)</f>
        <v>50.827800000000003</v>
      </c>
      <c r="E792" s="46">
        <f>53.5629 * CHOOSE(CONTROL!$C$15, $E$9, 100%, $G$9) + CHOOSE(CONTROL!$C$38, 0.0347, 0)</f>
        <v>53.5976</v>
      </c>
      <c r="F792" s="45">
        <f>53.5629 * CHOOSE(CONTROL!$C$15, $E$9, 100%, $G$9) + CHOOSE(CONTROL!$C$38, 0.0256, 0)</f>
        <v>53.588499999999996</v>
      </c>
      <c r="G792" s="14">
        <f>50.7993 * CHOOSE(CONTROL!$C$15, $E$9, 100%, $G$9) + CHOOSE(CONTROL!$C$38, 0.0347, 0)</f>
        <v>50.834000000000003</v>
      </c>
      <c r="H792" s="14">
        <f>50.7993 * CHOOSE(CONTROL!$C$15, $E$9, 100%, $G$9) + CHOOSE(CONTROL!$C$38, 0.0347, 0)</f>
        <v>50.834000000000003</v>
      </c>
      <c r="I792" s="14">
        <f>50.8009 * CHOOSE(CONTROL!$C$15, $E$9, 100%, $G$9) + CHOOSE(CONTROL!$C$38, 0.0347, 0)</f>
        <v>50.835599999999999</v>
      </c>
      <c r="J792" s="44">
        <f>481.1435</f>
        <v>481.14350000000002</v>
      </c>
    </row>
    <row r="793" spans="1:10" ht="15.75" x14ac:dyDescent="0.25">
      <c r="A793" s="32">
        <v>65074</v>
      </c>
      <c r="B793" s="14">
        <f>53.5715 * CHOOSE(CONTROL!$C$15, $E$9, 100%, $G$9) + CHOOSE(CONTROL!$C$38, 0.0256, 0)</f>
        <v>53.597099999999998</v>
      </c>
      <c r="C793" s="14">
        <f>50.661 * CHOOSE(CONTROL!$C$15, $E$9, 100%, $G$9) + CHOOSE(CONTROL!$C$38, 0.0347, 0)</f>
        <v>50.695700000000002</v>
      </c>
      <c r="D793" s="14">
        <f>50.6531 * CHOOSE(CONTROL!$C$15, $E$9, 100%, $G$9) + CHOOSE(CONTROL!$C$38, 0.0347, 0)</f>
        <v>50.687800000000003</v>
      </c>
      <c r="E793" s="46">
        <f>53.4153 * CHOOSE(CONTROL!$C$15, $E$9, 100%, $G$9) + CHOOSE(CONTROL!$C$38, 0.0347, 0)</f>
        <v>53.45</v>
      </c>
      <c r="F793" s="45">
        <f>53.4153 * CHOOSE(CONTROL!$C$15, $E$9, 100%, $G$9) + CHOOSE(CONTROL!$C$38, 0.0256, 0)</f>
        <v>53.440899999999999</v>
      </c>
      <c r="G793" s="14">
        <f>50.6594 * CHOOSE(CONTROL!$C$15, $E$9, 100%, $G$9) + CHOOSE(CONTROL!$C$38, 0.0347, 0)</f>
        <v>50.694099999999999</v>
      </c>
      <c r="H793" s="14">
        <f>50.6594 * CHOOSE(CONTROL!$C$15, $E$9, 100%, $G$9) + CHOOSE(CONTROL!$C$38, 0.0347, 0)</f>
        <v>50.694099999999999</v>
      </c>
      <c r="I793" s="14">
        <f>50.661 * CHOOSE(CONTROL!$C$15, $E$9, 100%, $G$9) + CHOOSE(CONTROL!$C$38, 0.0347, 0)</f>
        <v>50.695700000000002</v>
      </c>
      <c r="J793" s="44">
        <f>479.8061</f>
        <v>479.80610000000001</v>
      </c>
    </row>
    <row r="794" spans="1:10" ht="15.75" x14ac:dyDescent="0.25">
      <c r="A794" s="32">
        <v>65105</v>
      </c>
      <c r="B794" s="14">
        <f>56.3625 * CHOOSE(CONTROL!$C$15, $E$9, 100%, $G$9) + CHOOSE(CONTROL!$C$38, 0.0256, 0)</f>
        <v>56.388099999999994</v>
      </c>
      <c r="C794" s="14">
        <f>53.3068 * CHOOSE(CONTROL!$C$15, $E$9, 100%, $G$9) + CHOOSE(CONTROL!$C$38, 0.0347, 0)</f>
        <v>53.341500000000003</v>
      </c>
      <c r="D794" s="14">
        <f>53.299 * CHOOSE(CONTROL!$C$15, $E$9, 100%, $G$9) + CHOOSE(CONTROL!$C$38, 0.0347, 0)</f>
        <v>53.3337</v>
      </c>
      <c r="E794" s="46">
        <f>56.2063 * CHOOSE(CONTROL!$C$15, $E$9, 100%, $G$9) + CHOOSE(CONTROL!$C$38, 0.0347, 0)</f>
        <v>56.241</v>
      </c>
      <c r="F794" s="45">
        <f>56.2063 * CHOOSE(CONTROL!$C$15, $E$9, 100%, $G$9) + CHOOSE(CONTROL!$C$38, 0.0256, 0)</f>
        <v>56.231899999999996</v>
      </c>
      <c r="G794" s="14">
        <f>53.3052 * CHOOSE(CONTROL!$C$15, $E$9, 100%, $G$9) + CHOOSE(CONTROL!$C$38, 0.0347, 0)</f>
        <v>53.3399</v>
      </c>
      <c r="H794" s="14">
        <f>53.3052 * CHOOSE(CONTROL!$C$15, $E$9, 100%, $G$9) + CHOOSE(CONTROL!$C$38, 0.0347, 0)</f>
        <v>53.3399</v>
      </c>
      <c r="I794" s="14">
        <f>53.3068 * CHOOSE(CONTROL!$C$15, $E$9, 100%, $G$9) + CHOOSE(CONTROL!$C$38, 0.0347, 0)</f>
        <v>53.341500000000003</v>
      </c>
      <c r="J794" s="44">
        <f>505.0947</f>
        <v>505.09469999999999</v>
      </c>
    </row>
    <row r="795" spans="1:10" ht="15.75" x14ac:dyDescent="0.25">
      <c r="A795" s="32">
        <v>65135</v>
      </c>
      <c r="B795" s="14">
        <f>59.9818 * CHOOSE(CONTROL!$C$15, $E$9, 100%, $G$9) + CHOOSE(CONTROL!$C$38, 0.0256, 0)</f>
        <v>60.007399999999997</v>
      </c>
      <c r="C795" s="14">
        <f>56.7378 * CHOOSE(CONTROL!$C$15, $E$9, 100%, $G$9) + CHOOSE(CONTROL!$C$38, 0.0347, 0)</f>
        <v>56.772500000000001</v>
      </c>
      <c r="D795" s="14">
        <f>56.73 * CHOOSE(CONTROL!$C$15, $E$9, 100%, $G$9) + CHOOSE(CONTROL!$C$38, 0.0347, 0)</f>
        <v>56.764699999999998</v>
      </c>
      <c r="E795" s="46">
        <f>59.8255 * CHOOSE(CONTROL!$C$15, $E$9, 100%, $G$9) + CHOOSE(CONTROL!$C$38, 0.0347, 0)</f>
        <v>59.860199999999999</v>
      </c>
      <c r="F795" s="45">
        <f>59.8255 * CHOOSE(CONTROL!$C$15, $E$9, 100%, $G$9) + CHOOSE(CONTROL!$C$38, 0.0256, 0)</f>
        <v>59.851099999999995</v>
      </c>
      <c r="G795" s="14">
        <f>56.7362 * CHOOSE(CONTROL!$C$15, $E$9, 100%, $G$9) + CHOOSE(CONTROL!$C$38, 0.0347, 0)</f>
        <v>56.770899999999997</v>
      </c>
      <c r="H795" s="14">
        <f>56.7362 * CHOOSE(CONTROL!$C$15, $E$9, 100%, $G$9) + CHOOSE(CONTROL!$C$38, 0.0347, 0)</f>
        <v>56.770899999999997</v>
      </c>
      <c r="I795" s="14">
        <f>56.7378 * CHOOSE(CONTROL!$C$15, $E$9, 100%, $G$9) + CHOOSE(CONTROL!$C$38, 0.0347, 0)</f>
        <v>56.772500000000001</v>
      </c>
      <c r="J795" s="44">
        <f>537.8879</f>
        <v>537.88789999999995</v>
      </c>
    </row>
    <row r="796" spans="1:10" ht="15.75" x14ac:dyDescent="0.25">
      <c r="A796" s="32">
        <v>65166</v>
      </c>
      <c r="B796" s="14">
        <f>61.9739 * CHOOSE(CONTROL!$C$15, $E$9, 100%, $G$9) + CHOOSE(CONTROL!$C$38, 0.0278, 0)</f>
        <v>62.0017</v>
      </c>
      <c r="C796" s="14">
        <f>58.6263 * CHOOSE(CONTROL!$C$15, $E$9, 100%, $G$9) + CHOOSE(CONTROL!$C$38, 0.0369, 0)</f>
        <v>58.663200000000003</v>
      </c>
      <c r="D796" s="14">
        <f>58.6185 * CHOOSE(CONTROL!$C$15, $E$9, 100%, $G$9) + CHOOSE(CONTROL!$C$38, 0.0369, 0)</f>
        <v>58.6554</v>
      </c>
      <c r="E796" s="46">
        <f>61.8177 * CHOOSE(CONTROL!$C$15, $E$9, 100%, $G$9) + CHOOSE(CONTROL!$C$38, 0.0369, 0)</f>
        <v>61.854600000000005</v>
      </c>
      <c r="F796" s="45">
        <f>61.8177 * CHOOSE(CONTROL!$C$15, $E$9, 100%, $G$9) + CHOOSE(CONTROL!$C$38, 0.0278, 0)</f>
        <v>61.845500000000001</v>
      </c>
      <c r="G796" s="14">
        <f>58.6248 * CHOOSE(CONTROL!$C$15, $E$9, 100%, $G$9) + CHOOSE(CONTROL!$C$38, 0.0369, 0)</f>
        <v>58.661700000000003</v>
      </c>
      <c r="H796" s="14">
        <f>58.6248 * CHOOSE(CONTROL!$C$15, $E$9, 100%, $G$9) + CHOOSE(CONTROL!$C$38, 0.0369, 0)</f>
        <v>58.661700000000003</v>
      </c>
      <c r="I796" s="14">
        <f>58.6263 * CHOOSE(CONTROL!$C$15, $E$9, 100%, $G$9) + CHOOSE(CONTROL!$C$38, 0.0369, 0)</f>
        <v>58.663200000000003</v>
      </c>
      <c r="J796" s="44">
        <f>555.9384</f>
        <v>555.9384</v>
      </c>
    </row>
    <row r="797" spans="1:10" ht="15.75" x14ac:dyDescent="0.25">
      <c r="A797" s="32">
        <v>65196</v>
      </c>
      <c r="B797" s="14">
        <f>62.858 * CHOOSE(CONTROL!$C$15, $E$9, 100%, $G$9) + CHOOSE(CONTROL!$C$38, 0.0278, 0)</f>
        <v>62.885799999999996</v>
      </c>
      <c r="C797" s="14">
        <f>59.4644 * CHOOSE(CONTROL!$C$15, $E$9, 100%, $G$9) + CHOOSE(CONTROL!$C$38, 0.0369, 0)</f>
        <v>59.501300000000001</v>
      </c>
      <c r="D797" s="14">
        <f>59.4566 * CHOOSE(CONTROL!$C$15, $E$9, 100%, $G$9) + CHOOSE(CONTROL!$C$38, 0.0369, 0)</f>
        <v>59.493500000000004</v>
      </c>
      <c r="E797" s="46">
        <f>62.7018 * CHOOSE(CONTROL!$C$15, $E$9, 100%, $G$9) + CHOOSE(CONTROL!$C$38, 0.0369, 0)</f>
        <v>62.738700000000001</v>
      </c>
      <c r="F797" s="45">
        <f>62.7018 * CHOOSE(CONTROL!$C$15, $E$9, 100%, $G$9) + CHOOSE(CONTROL!$C$38, 0.0278, 0)</f>
        <v>62.729599999999998</v>
      </c>
      <c r="G797" s="14">
        <f>59.4629 * CHOOSE(CONTROL!$C$15, $E$9, 100%, $G$9) + CHOOSE(CONTROL!$C$38, 0.0369, 0)</f>
        <v>59.4998</v>
      </c>
      <c r="H797" s="14">
        <f>59.4629 * CHOOSE(CONTROL!$C$15, $E$9, 100%, $G$9) + CHOOSE(CONTROL!$C$38, 0.0369, 0)</f>
        <v>59.4998</v>
      </c>
      <c r="I797" s="14">
        <f>59.4644 * CHOOSE(CONTROL!$C$15, $E$9, 100%, $G$9) + CHOOSE(CONTROL!$C$38, 0.0369, 0)</f>
        <v>59.501300000000001</v>
      </c>
      <c r="J797" s="44">
        <f>563.9488</f>
        <v>563.94880000000001</v>
      </c>
    </row>
    <row r="798" spans="1:10" ht="15.75" x14ac:dyDescent="0.25">
      <c r="A798" s="32">
        <v>65227</v>
      </c>
      <c r="B798" s="14">
        <f>62.5669 * CHOOSE(CONTROL!$C$15, $E$9, 100%, $G$9) + CHOOSE(CONTROL!$C$38, 0.0278, 0)</f>
        <v>62.594699999999996</v>
      </c>
      <c r="C798" s="14">
        <f>59.1885 * CHOOSE(CONTROL!$C$15, $E$9, 100%, $G$9) + CHOOSE(CONTROL!$C$38, 0.0369, 0)</f>
        <v>59.2254</v>
      </c>
      <c r="D798" s="14">
        <f>59.1807 * CHOOSE(CONTROL!$C$15, $E$9, 100%, $G$9) + CHOOSE(CONTROL!$C$38, 0.0369, 0)</f>
        <v>59.217600000000004</v>
      </c>
      <c r="E798" s="46">
        <f>62.4107 * CHOOSE(CONTROL!$C$15, $E$9, 100%, $G$9) + CHOOSE(CONTROL!$C$38, 0.0369, 0)</f>
        <v>62.447600000000001</v>
      </c>
      <c r="F798" s="45">
        <f>62.4107 * CHOOSE(CONTROL!$C$15, $E$9, 100%, $G$9) + CHOOSE(CONTROL!$C$38, 0.0278, 0)</f>
        <v>62.438499999999998</v>
      </c>
      <c r="G798" s="14">
        <f>59.1869 * CHOOSE(CONTROL!$C$15, $E$9, 100%, $G$9) + CHOOSE(CONTROL!$C$38, 0.0369, 0)</f>
        <v>59.223800000000004</v>
      </c>
      <c r="H798" s="14">
        <f>59.1869 * CHOOSE(CONTROL!$C$15, $E$9, 100%, $G$9) + CHOOSE(CONTROL!$C$38, 0.0369, 0)</f>
        <v>59.223800000000004</v>
      </c>
      <c r="I798" s="14">
        <f>59.1885 * CHOOSE(CONTROL!$C$15, $E$9, 100%, $G$9) + CHOOSE(CONTROL!$C$38, 0.0369, 0)</f>
        <v>59.2254</v>
      </c>
      <c r="J798" s="44">
        <f>561.3114</f>
        <v>561.31140000000005</v>
      </c>
    </row>
    <row r="799" spans="1:10" ht="15.75" x14ac:dyDescent="0.25">
      <c r="A799" s="32">
        <v>65258</v>
      </c>
      <c r="B799" s="14">
        <f>61.1248 * CHOOSE(CONTROL!$C$15, $E$9, 100%, $G$9) + CHOOSE(CONTROL!$C$38, 0.0278, 0)</f>
        <v>61.1526</v>
      </c>
      <c r="C799" s="14">
        <f>57.8213 * CHOOSE(CONTROL!$C$15, $E$9, 100%, $G$9) + CHOOSE(CONTROL!$C$38, 0.0369, 0)</f>
        <v>57.858200000000004</v>
      </c>
      <c r="D799" s="14">
        <f>57.8135 * CHOOSE(CONTROL!$C$15, $E$9, 100%, $G$9) + CHOOSE(CONTROL!$C$38, 0.0369, 0)</f>
        <v>57.8504</v>
      </c>
      <c r="E799" s="46">
        <f>60.9685 * CHOOSE(CONTROL!$C$15, $E$9, 100%, $G$9) + CHOOSE(CONTROL!$C$38, 0.0369, 0)</f>
        <v>61.005400000000002</v>
      </c>
      <c r="F799" s="45">
        <f>60.9685 * CHOOSE(CONTROL!$C$15, $E$9, 100%, $G$9) + CHOOSE(CONTROL!$C$38, 0.0278, 0)</f>
        <v>60.996299999999998</v>
      </c>
      <c r="G799" s="14">
        <f>57.8198 * CHOOSE(CONTROL!$C$15, $E$9, 100%, $G$9) + CHOOSE(CONTROL!$C$38, 0.0369, 0)</f>
        <v>57.856700000000004</v>
      </c>
      <c r="H799" s="14">
        <f>57.8198 * CHOOSE(CONTROL!$C$15, $E$9, 100%, $G$9) + CHOOSE(CONTROL!$C$38, 0.0369, 0)</f>
        <v>57.856700000000004</v>
      </c>
      <c r="I799" s="14">
        <f>57.8213 * CHOOSE(CONTROL!$C$15, $E$9, 100%, $G$9) + CHOOSE(CONTROL!$C$38, 0.0369, 0)</f>
        <v>57.858200000000004</v>
      </c>
      <c r="J799" s="44">
        <f>548.2443</f>
        <v>548.24429999999995</v>
      </c>
    </row>
    <row r="800" spans="1:10" ht="15.75" x14ac:dyDescent="0.25">
      <c r="A800" s="32">
        <v>65288</v>
      </c>
      <c r="B800" s="14">
        <f>59.1136 * CHOOSE(CONTROL!$C$15, $E$9, 100%, $G$9) + CHOOSE(CONTROL!$C$38, 0.0278, 0)</f>
        <v>59.141399999999997</v>
      </c>
      <c r="C800" s="14">
        <f>55.9148 * CHOOSE(CONTROL!$C$15, $E$9, 100%, $G$9) + CHOOSE(CONTROL!$C$38, 0.0369, 0)</f>
        <v>55.951700000000002</v>
      </c>
      <c r="D800" s="14">
        <f>55.907 * CHOOSE(CONTROL!$C$15, $E$9, 100%, $G$9) + CHOOSE(CONTROL!$C$38, 0.0369, 0)</f>
        <v>55.943899999999999</v>
      </c>
      <c r="E800" s="46">
        <f>58.9574 * CHOOSE(CONTROL!$C$15, $E$9, 100%, $G$9) + CHOOSE(CONTROL!$C$38, 0.0369, 0)</f>
        <v>58.994300000000003</v>
      </c>
      <c r="F800" s="45">
        <f>58.9574 * CHOOSE(CONTROL!$C$15, $E$9, 100%, $G$9) + CHOOSE(CONTROL!$C$38, 0.0278, 0)</f>
        <v>58.985199999999999</v>
      </c>
      <c r="G800" s="14">
        <f>55.9132 * CHOOSE(CONTROL!$C$15, $E$9, 100%, $G$9) + CHOOSE(CONTROL!$C$38, 0.0369, 0)</f>
        <v>55.950100000000006</v>
      </c>
      <c r="H800" s="14">
        <f>55.9132 * CHOOSE(CONTROL!$C$15, $E$9, 100%, $G$9) + CHOOSE(CONTROL!$C$38, 0.0369, 0)</f>
        <v>55.950100000000006</v>
      </c>
      <c r="I800" s="14">
        <f>55.9148 * CHOOSE(CONTROL!$C$15, $E$9, 100%, $G$9) + CHOOSE(CONTROL!$C$38, 0.0369, 0)</f>
        <v>55.951700000000002</v>
      </c>
      <c r="J800" s="44">
        <f>530.0216</f>
        <v>530.02160000000003</v>
      </c>
    </row>
    <row r="801" spans="1:10" ht="15.75" x14ac:dyDescent="0.25">
      <c r="A801" s="32">
        <v>65319</v>
      </c>
      <c r="B801" s="14">
        <f>57.0907 * CHOOSE(CONTROL!$C$15, $E$9, 100%, $G$9) + CHOOSE(CONTROL!$C$38, 0.0256, 0)</f>
        <v>57.116299999999995</v>
      </c>
      <c r="C801" s="14">
        <f>53.9971 * CHOOSE(CONTROL!$C$15, $E$9, 100%, $G$9) + CHOOSE(CONTROL!$C$38, 0.0347, 0)</f>
        <v>54.031800000000004</v>
      </c>
      <c r="D801" s="14">
        <f>53.9893 * CHOOSE(CONTROL!$C$15, $E$9, 100%, $G$9) + CHOOSE(CONTROL!$C$38, 0.0347, 0)</f>
        <v>54.024000000000001</v>
      </c>
      <c r="E801" s="46">
        <f>56.9345 * CHOOSE(CONTROL!$C$15, $E$9, 100%, $G$9) + CHOOSE(CONTROL!$C$38, 0.0347, 0)</f>
        <v>56.969200000000001</v>
      </c>
      <c r="F801" s="45">
        <f>56.9345 * CHOOSE(CONTROL!$C$15, $E$9, 100%, $G$9) + CHOOSE(CONTROL!$C$38, 0.0256, 0)</f>
        <v>56.960099999999997</v>
      </c>
      <c r="G801" s="14">
        <f>53.9956 * CHOOSE(CONTROL!$C$15, $E$9, 100%, $G$9) + CHOOSE(CONTROL!$C$38, 0.0347, 0)</f>
        <v>54.030300000000004</v>
      </c>
      <c r="H801" s="14">
        <f>53.9956 * CHOOSE(CONTROL!$C$15, $E$9, 100%, $G$9) + CHOOSE(CONTROL!$C$38, 0.0347, 0)</f>
        <v>54.030300000000004</v>
      </c>
      <c r="I801" s="14">
        <f>53.9971 * CHOOSE(CONTROL!$C$15, $E$9, 100%, $G$9) + CHOOSE(CONTROL!$C$38, 0.0347, 0)</f>
        <v>54.031800000000004</v>
      </c>
      <c r="J801" s="44">
        <f>511.6929</f>
        <v>511.69290000000001</v>
      </c>
    </row>
    <row r="802" spans="1:10" ht="15.75" x14ac:dyDescent="0.25">
      <c r="A802" s="32">
        <v>65349</v>
      </c>
      <c r="B802" s="14">
        <f>56.6884 * CHOOSE(CONTROL!$C$15, $E$9, 100%, $G$9) + CHOOSE(CONTROL!$C$38, 0.0256, 0)</f>
        <v>56.713999999999999</v>
      </c>
      <c r="C802" s="14">
        <f>53.6157 * CHOOSE(CONTROL!$C$15, $E$9, 100%, $G$9) + CHOOSE(CONTROL!$C$38, 0.0347, 0)</f>
        <v>53.650399999999998</v>
      </c>
      <c r="D802" s="14">
        <f>53.6079 * CHOOSE(CONTROL!$C$15, $E$9, 100%, $G$9) + CHOOSE(CONTROL!$C$38, 0.0347, 0)</f>
        <v>53.642600000000002</v>
      </c>
      <c r="E802" s="46">
        <f>56.5321 * CHOOSE(CONTROL!$C$15, $E$9, 100%, $G$9) + CHOOSE(CONTROL!$C$38, 0.0347, 0)</f>
        <v>56.566800000000001</v>
      </c>
      <c r="F802" s="45">
        <f>56.5321 * CHOOSE(CONTROL!$C$15, $E$9, 100%, $G$9) + CHOOSE(CONTROL!$C$38, 0.0256, 0)</f>
        <v>56.557699999999997</v>
      </c>
      <c r="G802" s="14">
        <f>53.6141 * CHOOSE(CONTROL!$C$15, $E$9, 100%, $G$9) + CHOOSE(CONTROL!$C$38, 0.0347, 0)</f>
        <v>53.648800000000001</v>
      </c>
      <c r="H802" s="14">
        <f>53.6141 * CHOOSE(CONTROL!$C$15, $E$9, 100%, $G$9) + CHOOSE(CONTROL!$C$38, 0.0347, 0)</f>
        <v>53.648800000000001</v>
      </c>
      <c r="I802" s="14">
        <f>53.6157 * CHOOSE(CONTROL!$C$15, $E$9, 100%, $G$9) + CHOOSE(CONTROL!$C$38, 0.0347, 0)</f>
        <v>53.650399999999998</v>
      </c>
      <c r="J802" s="44">
        <f>508.047</f>
        <v>508.04700000000003</v>
      </c>
    </row>
    <row r="803" spans="1:10" ht="15.75" x14ac:dyDescent="0.25">
      <c r="A803" s="32">
        <v>65380</v>
      </c>
      <c r="B803" s="14">
        <f>55.0244 * CHOOSE(CONTROL!$C$15, $E$9, 100%, $G$9) + CHOOSE(CONTROL!$C$38, 0.0256, 0)</f>
        <v>55.05</v>
      </c>
      <c r="C803" s="14">
        <f>52.0383 * CHOOSE(CONTROL!$C$15, $E$9, 100%, $G$9) + CHOOSE(CONTROL!$C$38, 0.0347, 0)</f>
        <v>52.073</v>
      </c>
      <c r="D803" s="14">
        <f>52.0305 * CHOOSE(CONTROL!$C$15, $E$9, 100%, $G$9) + CHOOSE(CONTROL!$C$38, 0.0347, 0)</f>
        <v>52.065200000000004</v>
      </c>
      <c r="E803" s="46">
        <f>54.8682 * CHOOSE(CONTROL!$C$15, $E$9, 100%, $G$9) + CHOOSE(CONTROL!$C$38, 0.0347, 0)</f>
        <v>54.902900000000002</v>
      </c>
      <c r="F803" s="45">
        <f>54.8682 * CHOOSE(CONTROL!$C$15, $E$9, 100%, $G$9) + CHOOSE(CONTROL!$C$38, 0.0256, 0)</f>
        <v>54.893799999999999</v>
      </c>
      <c r="G803" s="14">
        <f>52.0367 * CHOOSE(CONTROL!$C$15, $E$9, 100%, $G$9) + CHOOSE(CONTROL!$C$38, 0.0347, 0)</f>
        <v>52.071400000000004</v>
      </c>
      <c r="H803" s="14">
        <f>52.0367 * CHOOSE(CONTROL!$C$15, $E$9, 100%, $G$9) + CHOOSE(CONTROL!$C$38, 0.0347, 0)</f>
        <v>52.071400000000004</v>
      </c>
      <c r="I803" s="14">
        <f>52.0383 * CHOOSE(CONTROL!$C$15, $E$9, 100%, $G$9) + CHOOSE(CONTROL!$C$38, 0.0347, 0)</f>
        <v>52.073</v>
      </c>
      <c r="J803" s="44">
        <f>492.9706</f>
        <v>492.97059999999999</v>
      </c>
    </row>
    <row r="804" spans="1:10" ht="15.75" x14ac:dyDescent="0.25">
      <c r="A804" s="32">
        <v>65411</v>
      </c>
      <c r="B804" s="14">
        <f>54.6112 * CHOOSE(CONTROL!$C$15, $E$9, 100%, $G$9) + CHOOSE(CONTROL!$C$38, 0.0256, 0)</f>
        <v>54.636799999999994</v>
      </c>
      <c r="C804" s="14">
        <f>51.6466 * CHOOSE(CONTROL!$C$15, $E$9, 100%, $G$9) + CHOOSE(CONTROL!$C$38, 0.0347, 0)</f>
        <v>51.6813</v>
      </c>
      <c r="D804" s="14">
        <f>51.6388 * CHOOSE(CONTROL!$C$15, $E$9, 100%, $G$9) + CHOOSE(CONTROL!$C$38, 0.0347, 0)</f>
        <v>51.673500000000004</v>
      </c>
      <c r="E804" s="46">
        <f>54.455 * CHOOSE(CONTROL!$C$15, $E$9, 100%, $G$9) + CHOOSE(CONTROL!$C$38, 0.0347, 0)</f>
        <v>54.489699999999999</v>
      </c>
      <c r="F804" s="45">
        <f>54.455 * CHOOSE(CONTROL!$C$15, $E$9, 100%, $G$9) + CHOOSE(CONTROL!$C$38, 0.0256, 0)</f>
        <v>54.480599999999995</v>
      </c>
      <c r="G804" s="14">
        <f>51.645 * CHOOSE(CONTROL!$C$15, $E$9, 100%, $G$9) + CHOOSE(CONTROL!$C$38, 0.0347, 0)</f>
        <v>51.679700000000004</v>
      </c>
      <c r="H804" s="14">
        <f>51.645 * CHOOSE(CONTROL!$C$15, $E$9, 100%, $G$9) + CHOOSE(CONTROL!$C$38, 0.0347, 0)</f>
        <v>51.679700000000004</v>
      </c>
      <c r="I804" s="14">
        <f>51.6466 * CHOOSE(CONTROL!$C$15, $E$9, 100%, $G$9) + CHOOSE(CONTROL!$C$38, 0.0347, 0)</f>
        <v>51.6813</v>
      </c>
      <c r="J804" s="44">
        <f>492.6147</f>
        <v>492.61470000000003</v>
      </c>
    </row>
    <row r="805" spans="1:10" ht="15.75" x14ac:dyDescent="0.25">
      <c r="A805" s="32">
        <v>65439</v>
      </c>
      <c r="B805" s="14">
        <f>54.4611 * CHOOSE(CONTROL!$C$15, $E$9, 100%, $G$9) + CHOOSE(CONTROL!$C$38, 0.0256, 0)</f>
        <v>54.486699999999999</v>
      </c>
      <c r="C805" s="14">
        <f>51.5043 * CHOOSE(CONTROL!$C$15, $E$9, 100%, $G$9) + CHOOSE(CONTROL!$C$38, 0.0347, 0)</f>
        <v>51.539000000000001</v>
      </c>
      <c r="D805" s="14">
        <f>51.4965 * CHOOSE(CONTROL!$C$15, $E$9, 100%, $G$9) + CHOOSE(CONTROL!$C$38, 0.0347, 0)</f>
        <v>51.531199999999998</v>
      </c>
      <c r="E805" s="46">
        <f>54.3049 * CHOOSE(CONTROL!$C$15, $E$9, 100%, $G$9) + CHOOSE(CONTROL!$C$38, 0.0347, 0)</f>
        <v>54.339600000000004</v>
      </c>
      <c r="F805" s="45">
        <f>54.3049 * CHOOSE(CONTROL!$C$15, $E$9, 100%, $G$9) + CHOOSE(CONTROL!$C$38, 0.0256, 0)</f>
        <v>54.330500000000001</v>
      </c>
      <c r="G805" s="14">
        <f>51.5027 * CHOOSE(CONTROL!$C$15, $E$9, 100%, $G$9) + CHOOSE(CONTROL!$C$38, 0.0347, 0)</f>
        <v>51.537399999999998</v>
      </c>
      <c r="H805" s="14">
        <f>51.5027 * CHOOSE(CONTROL!$C$15, $E$9, 100%, $G$9) + CHOOSE(CONTROL!$C$38, 0.0347, 0)</f>
        <v>51.537399999999998</v>
      </c>
      <c r="I805" s="14">
        <f>51.5043 * CHOOSE(CONTROL!$C$15, $E$9, 100%, $G$9) + CHOOSE(CONTROL!$C$38, 0.0347, 0)</f>
        <v>51.539000000000001</v>
      </c>
      <c r="J805" s="44">
        <f>491.2454</f>
        <v>491.24540000000002</v>
      </c>
    </row>
    <row r="806" spans="1:10" ht="15.75" x14ac:dyDescent="0.25">
      <c r="A806" s="32">
        <v>65470</v>
      </c>
      <c r="B806" s="14">
        <f>57.299 * CHOOSE(CONTROL!$C$15, $E$9, 100%, $G$9) + CHOOSE(CONTROL!$C$38, 0.0256, 0)</f>
        <v>57.324599999999997</v>
      </c>
      <c r="C806" s="14">
        <f>54.1946 * CHOOSE(CONTROL!$C$15, $E$9, 100%, $G$9) + CHOOSE(CONTROL!$C$38, 0.0347, 0)</f>
        <v>54.229300000000002</v>
      </c>
      <c r="D806" s="14">
        <f>54.1868 * CHOOSE(CONTROL!$C$15, $E$9, 100%, $G$9) + CHOOSE(CONTROL!$C$38, 0.0347, 0)</f>
        <v>54.221499999999999</v>
      </c>
      <c r="E806" s="46">
        <f>57.1428 * CHOOSE(CONTROL!$C$15, $E$9, 100%, $G$9) + CHOOSE(CONTROL!$C$38, 0.0347, 0)</f>
        <v>57.177500000000002</v>
      </c>
      <c r="F806" s="45">
        <f>57.1428 * CHOOSE(CONTROL!$C$15, $E$9, 100%, $G$9) + CHOOSE(CONTROL!$C$38, 0.0256, 0)</f>
        <v>57.168399999999998</v>
      </c>
      <c r="G806" s="14">
        <f>54.193 * CHOOSE(CONTROL!$C$15, $E$9, 100%, $G$9) + CHOOSE(CONTROL!$C$38, 0.0347, 0)</f>
        <v>54.227699999999999</v>
      </c>
      <c r="H806" s="14">
        <f>54.193 * CHOOSE(CONTROL!$C$15, $E$9, 100%, $G$9) + CHOOSE(CONTROL!$C$38, 0.0347, 0)</f>
        <v>54.227699999999999</v>
      </c>
      <c r="I806" s="14">
        <f>54.1946 * CHOOSE(CONTROL!$C$15, $E$9, 100%, $G$9) + CHOOSE(CONTROL!$C$38, 0.0347, 0)</f>
        <v>54.229300000000002</v>
      </c>
      <c r="J806" s="44">
        <f>517.1369</f>
        <v>517.13689999999997</v>
      </c>
    </row>
    <row r="807" spans="1:10" ht="15.75" x14ac:dyDescent="0.25">
      <c r="A807" s="32">
        <v>65500</v>
      </c>
      <c r="B807" s="14">
        <f>60.9791 * CHOOSE(CONTROL!$C$15, $E$9, 100%, $G$9) + CHOOSE(CONTROL!$C$38, 0.0256, 0)</f>
        <v>61.0047</v>
      </c>
      <c r="C807" s="14">
        <f>57.6832 * CHOOSE(CONTROL!$C$15, $E$9, 100%, $G$9) + CHOOSE(CONTROL!$C$38, 0.0347, 0)</f>
        <v>57.7179</v>
      </c>
      <c r="D807" s="14">
        <f>57.6754 * CHOOSE(CONTROL!$C$15, $E$9, 100%, $G$9) + CHOOSE(CONTROL!$C$38, 0.0347, 0)</f>
        <v>57.710100000000004</v>
      </c>
      <c r="E807" s="46">
        <f>60.8228 * CHOOSE(CONTROL!$C$15, $E$9, 100%, $G$9) + CHOOSE(CONTROL!$C$38, 0.0347, 0)</f>
        <v>60.857500000000002</v>
      </c>
      <c r="F807" s="45">
        <f>60.8228 * CHOOSE(CONTROL!$C$15, $E$9, 100%, $G$9) + CHOOSE(CONTROL!$C$38, 0.0256, 0)</f>
        <v>60.848399999999998</v>
      </c>
      <c r="G807" s="14">
        <f>57.6817 * CHOOSE(CONTROL!$C$15, $E$9, 100%, $G$9) + CHOOSE(CONTROL!$C$38, 0.0347, 0)</f>
        <v>57.7164</v>
      </c>
      <c r="H807" s="14">
        <f>57.6817 * CHOOSE(CONTROL!$C$15, $E$9, 100%, $G$9) + CHOOSE(CONTROL!$C$38, 0.0347, 0)</f>
        <v>57.7164</v>
      </c>
      <c r="I807" s="14">
        <f>57.6832 * CHOOSE(CONTROL!$C$15, $E$9, 100%, $G$9) + CHOOSE(CONTROL!$C$38, 0.0347, 0)</f>
        <v>57.7179</v>
      </c>
      <c r="J807" s="44">
        <f>550.712</f>
        <v>550.71199999999999</v>
      </c>
    </row>
    <row r="808" spans="1:10" ht="15.75" x14ac:dyDescent="0.25">
      <c r="A808" s="32">
        <v>65531</v>
      </c>
      <c r="B808" s="14">
        <f>63.0047 * CHOOSE(CONTROL!$C$15, $E$9, 100%, $G$9) + CHOOSE(CONTROL!$C$38, 0.0278, 0)</f>
        <v>63.032499999999999</v>
      </c>
      <c r="C808" s="14">
        <f>59.6035 * CHOOSE(CONTROL!$C$15, $E$9, 100%, $G$9) + CHOOSE(CONTROL!$C$38, 0.0369, 0)</f>
        <v>59.6404</v>
      </c>
      <c r="D808" s="14">
        <f>59.5957 * CHOOSE(CONTROL!$C$15, $E$9, 100%, $G$9) + CHOOSE(CONTROL!$C$38, 0.0369, 0)</f>
        <v>59.632600000000004</v>
      </c>
      <c r="E808" s="46">
        <f>62.8485 * CHOOSE(CONTROL!$C$15, $E$9, 100%, $G$9) + CHOOSE(CONTROL!$C$38, 0.0369, 0)</f>
        <v>62.885400000000004</v>
      </c>
      <c r="F808" s="45">
        <f>62.8485 * CHOOSE(CONTROL!$C$15, $E$9, 100%, $G$9) + CHOOSE(CONTROL!$C$38, 0.0278, 0)</f>
        <v>62.876300000000001</v>
      </c>
      <c r="G808" s="14">
        <f>59.6019 * CHOOSE(CONTROL!$C$15, $E$9, 100%, $G$9) + CHOOSE(CONTROL!$C$38, 0.0369, 0)</f>
        <v>59.638800000000003</v>
      </c>
      <c r="H808" s="14">
        <f>59.6019 * CHOOSE(CONTROL!$C$15, $E$9, 100%, $G$9) + CHOOSE(CONTROL!$C$38, 0.0369, 0)</f>
        <v>59.638800000000003</v>
      </c>
      <c r="I808" s="14">
        <f>59.6035 * CHOOSE(CONTROL!$C$15, $E$9, 100%, $G$9) + CHOOSE(CONTROL!$C$38, 0.0369, 0)</f>
        <v>59.6404</v>
      </c>
      <c r="J808" s="44">
        <f>569.1928</f>
        <v>569.19280000000003</v>
      </c>
    </row>
    <row r="809" spans="1:10" ht="15.75" x14ac:dyDescent="0.25">
      <c r="A809" s="32">
        <v>65561</v>
      </c>
      <c r="B809" s="14">
        <f>63.9037 * CHOOSE(CONTROL!$C$15, $E$9, 100%, $G$9) + CHOOSE(CONTROL!$C$38, 0.0278, 0)</f>
        <v>63.9315</v>
      </c>
      <c r="C809" s="14">
        <f>60.4557 * CHOOSE(CONTROL!$C$15, $E$9, 100%, $G$9) + CHOOSE(CONTROL!$C$38, 0.0369, 0)</f>
        <v>60.492600000000003</v>
      </c>
      <c r="D809" s="14">
        <f>60.4479 * CHOOSE(CONTROL!$C$15, $E$9, 100%, $G$9) + CHOOSE(CONTROL!$C$38, 0.0369, 0)</f>
        <v>60.4848</v>
      </c>
      <c r="E809" s="46">
        <f>63.7474 * CHOOSE(CONTROL!$C$15, $E$9, 100%, $G$9) + CHOOSE(CONTROL!$C$38, 0.0369, 0)</f>
        <v>63.784300000000002</v>
      </c>
      <c r="F809" s="45">
        <f>63.7474 * CHOOSE(CONTROL!$C$15, $E$9, 100%, $G$9) + CHOOSE(CONTROL!$C$38, 0.0278, 0)</f>
        <v>63.775199999999998</v>
      </c>
      <c r="G809" s="14">
        <f>60.4541 * CHOOSE(CONTROL!$C$15, $E$9, 100%, $G$9) + CHOOSE(CONTROL!$C$38, 0.0369, 0)</f>
        <v>60.491</v>
      </c>
      <c r="H809" s="14">
        <f>60.4541 * CHOOSE(CONTROL!$C$15, $E$9, 100%, $G$9) + CHOOSE(CONTROL!$C$38, 0.0369, 0)</f>
        <v>60.491</v>
      </c>
      <c r="I809" s="14">
        <f>60.4557 * CHOOSE(CONTROL!$C$15, $E$9, 100%, $G$9) + CHOOSE(CONTROL!$C$38, 0.0369, 0)</f>
        <v>60.492600000000003</v>
      </c>
      <c r="J809" s="44">
        <f>577.3942</f>
        <v>577.39419999999996</v>
      </c>
    </row>
    <row r="810" spans="1:10" ht="15.75" x14ac:dyDescent="0.25">
      <c r="A810" s="32">
        <v>65592</v>
      </c>
      <c r="B810" s="14">
        <f>63.6077 * CHOOSE(CONTROL!$C$15, $E$9, 100%, $G$9) + CHOOSE(CONTROL!$C$38, 0.0278, 0)</f>
        <v>63.6355</v>
      </c>
      <c r="C810" s="14">
        <f>60.1751 * CHOOSE(CONTROL!$C$15, $E$9, 100%, $G$9) + CHOOSE(CONTROL!$C$38, 0.0369, 0)</f>
        <v>60.212000000000003</v>
      </c>
      <c r="D810" s="14">
        <f>60.1673 * CHOOSE(CONTROL!$C$15, $E$9, 100%, $G$9) + CHOOSE(CONTROL!$C$38, 0.0369, 0)</f>
        <v>60.2042</v>
      </c>
      <c r="E810" s="46">
        <f>63.4514 * CHOOSE(CONTROL!$C$15, $E$9, 100%, $G$9) + CHOOSE(CONTROL!$C$38, 0.0369, 0)</f>
        <v>63.488300000000002</v>
      </c>
      <c r="F810" s="45">
        <f>63.4514 * CHOOSE(CONTROL!$C$15, $E$9, 100%, $G$9) + CHOOSE(CONTROL!$C$38, 0.0278, 0)</f>
        <v>63.479199999999999</v>
      </c>
      <c r="G810" s="14">
        <f>60.1735 * CHOOSE(CONTROL!$C$15, $E$9, 100%, $G$9) + CHOOSE(CONTROL!$C$38, 0.0369, 0)</f>
        <v>60.2104</v>
      </c>
      <c r="H810" s="14">
        <f>60.1735 * CHOOSE(CONTROL!$C$15, $E$9, 100%, $G$9) + CHOOSE(CONTROL!$C$38, 0.0369, 0)</f>
        <v>60.2104</v>
      </c>
      <c r="I810" s="14">
        <f>60.1751 * CHOOSE(CONTROL!$C$15, $E$9, 100%, $G$9) + CHOOSE(CONTROL!$C$38, 0.0369, 0)</f>
        <v>60.212000000000003</v>
      </c>
      <c r="J810" s="44">
        <f>574.6939</f>
        <v>574.69389999999999</v>
      </c>
    </row>
    <row r="811" spans="1:10" ht="15.75" x14ac:dyDescent="0.25">
      <c r="A811" s="32">
        <v>65623</v>
      </c>
      <c r="B811" s="14">
        <f>62.1413 * CHOOSE(CONTROL!$C$15, $E$9, 100%, $G$9) + CHOOSE(CONTROL!$C$38, 0.0278, 0)</f>
        <v>62.1691</v>
      </c>
      <c r="C811" s="14">
        <f>58.785 * CHOOSE(CONTROL!$C$15, $E$9, 100%, $G$9) + CHOOSE(CONTROL!$C$38, 0.0369, 0)</f>
        <v>58.821899999999999</v>
      </c>
      <c r="D811" s="14">
        <f>58.7772 * CHOOSE(CONTROL!$C$15, $E$9, 100%, $G$9) + CHOOSE(CONTROL!$C$38, 0.0369, 0)</f>
        <v>58.814100000000003</v>
      </c>
      <c r="E811" s="46">
        <f>61.985 * CHOOSE(CONTROL!$C$15, $E$9, 100%, $G$9) + CHOOSE(CONTROL!$C$38, 0.0369, 0)</f>
        <v>62.021900000000002</v>
      </c>
      <c r="F811" s="45">
        <f>61.985 * CHOOSE(CONTROL!$C$15, $E$9, 100%, $G$9) + CHOOSE(CONTROL!$C$38, 0.0278, 0)</f>
        <v>62.012799999999999</v>
      </c>
      <c r="G811" s="14">
        <f>58.7834 * CHOOSE(CONTROL!$C$15, $E$9, 100%, $G$9) + CHOOSE(CONTROL!$C$38, 0.0369, 0)</f>
        <v>58.820300000000003</v>
      </c>
      <c r="H811" s="14">
        <f>58.7834 * CHOOSE(CONTROL!$C$15, $E$9, 100%, $G$9) + CHOOSE(CONTROL!$C$38, 0.0369, 0)</f>
        <v>58.820300000000003</v>
      </c>
      <c r="I811" s="14">
        <f>58.785 * CHOOSE(CONTROL!$C$15, $E$9, 100%, $G$9) + CHOOSE(CONTROL!$C$38, 0.0369, 0)</f>
        <v>58.821899999999999</v>
      </c>
      <c r="J811" s="44">
        <f>561.3153</f>
        <v>561.31529999999998</v>
      </c>
    </row>
    <row r="812" spans="1:10" ht="15.75" x14ac:dyDescent="0.25">
      <c r="A812" s="32">
        <v>65653</v>
      </c>
      <c r="B812" s="14">
        <f>60.0963 * CHOOSE(CONTROL!$C$15, $E$9, 100%, $G$9) + CHOOSE(CONTROL!$C$38, 0.0278, 0)</f>
        <v>60.124099999999999</v>
      </c>
      <c r="C812" s="14">
        <f>56.8464 * CHOOSE(CONTROL!$C$15, $E$9, 100%, $G$9) + CHOOSE(CONTROL!$C$38, 0.0369, 0)</f>
        <v>56.883300000000006</v>
      </c>
      <c r="D812" s="14">
        <f>56.8386 * CHOOSE(CONTROL!$C$15, $E$9, 100%, $G$9) + CHOOSE(CONTROL!$C$38, 0.0369, 0)</f>
        <v>56.875500000000002</v>
      </c>
      <c r="E812" s="46">
        <f>59.9401 * CHOOSE(CONTROL!$C$15, $E$9, 100%, $G$9) + CHOOSE(CONTROL!$C$38, 0.0369, 0)</f>
        <v>59.977000000000004</v>
      </c>
      <c r="F812" s="45">
        <f>59.9401 * CHOOSE(CONTROL!$C$15, $E$9, 100%, $G$9) + CHOOSE(CONTROL!$C$38, 0.0278, 0)</f>
        <v>59.9679</v>
      </c>
      <c r="G812" s="14">
        <f>56.8448 * CHOOSE(CONTROL!$C$15, $E$9, 100%, $G$9) + CHOOSE(CONTROL!$C$38, 0.0369, 0)</f>
        <v>56.881700000000002</v>
      </c>
      <c r="H812" s="14">
        <f>56.8448 * CHOOSE(CONTROL!$C$15, $E$9, 100%, $G$9) + CHOOSE(CONTROL!$C$38, 0.0369, 0)</f>
        <v>56.881700000000002</v>
      </c>
      <c r="I812" s="14">
        <f>56.8464 * CHOOSE(CONTROL!$C$15, $E$9, 100%, $G$9) + CHOOSE(CONTROL!$C$38, 0.0369, 0)</f>
        <v>56.883300000000006</v>
      </c>
      <c r="J812" s="44">
        <f>542.6581</f>
        <v>542.65809999999999</v>
      </c>
    </row>
    <row r="813" spans="1:10" ht="15.75" x14ac:dyDescent="0.25">
      <c r="A813" s="32">
        <v>65684</v>
      </c>
      <c r="B813" s="14">
        <f>58.0395 * CHOOSE(CONTROL!$C$15, $E$9, 100%, $G$9) + CHOOSE(CONTROL!$C$38, 0.0256, 0)</f>
        <v>58.065099999999994</v>
      </c>
      <c r="C813" s="14">
        <f>54.8965 * CHOOSE(CONTROL!$C$15, $E$9, 100%, $G$9) + CHOOSE(CONTROL!$C$38, 0.0347, 0)</f>
        <v>54.931200000000004</v>
      </c>
      <c r="D813" s="14">
        <f>54.8887 * CHOOSE(CONTROL!$C$15, $E$9, 100%, $G$9) + CHOOSE(CONTROL!$C$38, 0.0347, 0)</f>
        <v>54.923400000000001</v>
      </c>
      <c r="E813" s="46">
        <f>57.8832 * CHOOSE(CONTROL!$C$15, $E$9, 100%, $G$9) + CHOOSE(CONTROL!$C$38, 0.0347, 0)</f>
        <v>57.917900000000003</v>
      </c>
      <c r="F813" s="45">
        <f>57.8832 * CHOOSE(CONTROL!$C$15, $E$9, 100%, $G$9) + CHOOSE(CONTROL!$C$38, 0.0256, 0)</f>
        <v>57.908799999999999</v>
      </c>
      <c r="G813" s="14">
        <f>54.895 * CHOOSE(CONTROL!$C$15, $E$9, 100%, $G$9) + CHOOSE(CONTROL!$C$38, 0.0347, 0)</f>
        <v>54.929700000000004</v>
      </c>
      <c r="H813" s="14">
        <f>54.895 * CHOOSE(CONTROL!$C$15, $E$9, 100%, $G$9) + CHOOSE(CONTROL!$C$38, 0.0347, 0)</f>
        <v>54.929700000000004</v>
      </c>
      <c r="I813" s="14">
        <f>54.8965 * CHOOSE(CONTROL!$C$15, $E$9, 100%, $G$9) + CHOOSE(CONTROL!$C$38, 0.0347, 0)</f>
        <v>54.931200000000004</v>
      </c>
      <c r="J813" s="44">
        <f>523.8925</f>
        <v>523.89250000000004</v>
      </c>
    </row>
    <row r="814" spans="1:10" ht="15.75" x14ac:dyDescent="0.25">
      <c r="A814" s="32">
        <v>65714</v>
      </c>
      <c r="B814" s="14">
        <f>57.6303 * CHOOSE(CONTROL!$C$15, $E$9, 100%, $G$9) + CHOOSE(CONTROL!$C$38, 0.0256, 0)</f>
        <v>57.655899999999995</v>
      </c>
      <c r="C814" s="14">
        <f>54.5087 * CHOOSE(CONTROL!$C$15, $E$9, 100%, $G$9) + CHOOSE(CONTROL!$C$38, 0.0347, 0)</f>
        <v>54.543399999999998</v>
      </c>
      <c r="D814" s="14">
        <f>54.5008 * CHOOSE(CONTROL!$C$15, $E$9, 100%, $G$9) + CHOOSE(CONTROL!$C$38, 0.0347, 0)</f>
        <v>54.535499999999999</v>
      </c>
      <c r="E814" s="46">
        <f>57.4741 * CHOOSE(CONTROL!$C$15, $E$9, 100%, $G$9) + CHOOSE(CONTROL!$C$38, 0.0347, 0)</f>
        <v>57.508800000000001</v>
      </c>
      <c r="F814" s="45">
        <f>57.4741 * CHOOSE(CONTROL!$C$15, $E$9, 100%, $G$9) + CHOOSE(CONTROL!$C$38, 0.0256, 0)</f>
        <v>57.499699999999997</v>
      </c>
      <c r="G814" s="14">
        <f>54.5071 * CHOOSE(CONTROL!$C$15, $E$9, 100%, $G$9) + CHOOSE(CONTROL!$C$38, 0.0347, 0)</f>
        <v>54.541800000000002</v>
      </c>
      <c r="H814" s="14">
        <f>54.5071 * CHOOSE(CONTROL!$C$15, $E$9, 100%, $G$9) + CHOOSE(CONTROL!$C$38, 0.0347, 0)</f>
        <v>54.541800000000002</v>
      </c>
      <c r="I814" s="14">
        <f>54.5087 * CHOOSE(CONTROL!$C$15, $E$9, 100%, $G$9) + CHOOSE(CONTROL!$C$38, 0.0347, 0)</f>
        <v>54.543399999999998</v>
      </c>
      <c r="J814" s="44">
        <f>520.1596</f>
        <v>520.15959999999995</v>
      </c>
    </row>
    <row r="815" spans="1:10" ht="15.75" x14ac:dyDescent="0.25">
      <c r="A815" s="32">
        <v>65745</v>
      </c>
      <c r="B815" s="14">
        <f>55.9385 * CHOOSE(CONTROL!$C$15, $E$9, 100%, $G$9) + CHOOSE(CONTROL!$C$38, 0.0256, 0)</f>
        <v>55.964099999999995</v>
      </c>
      <c r="C815" s="14">
        <f>52.9048 * CHOOSE(CONTROL!$C$15, $E$9, 100%, $G$9) + CHOOSE(CONTROL!$C$38, 0.0347, 0)</f>
        <v>52.939500000000002</v>
      </c>
      <c r="D815" s="14">
        <f>52.897 * CHOOSE(CONTROL!$C$15, $E$9, 100%, $G$9) + CHOOSE(CONTROL!$C$38, 0.0347, 0)</f>
        <v>52.931699999999999</v>
      </c>
      <c r="E815" s="46">
        <f>55.7822 * CHOOSE(CONTROL!$C$15, $E$9, 100%, $G$9) + CHOOSE(CONTROL!$C$38, 0.0347, 0)</f>
        <v>55.816900000000004</v>
      </c>
      <c r="F815" s="45">
        <f>55.7822 * CHOOSE(CONTROL!$C$15, $E$9, 100%, $G$9) + CHOOSE(CONTROL!$C$38, 0.0256, 0)</f>
        <v>55.8078</v>
      </c>
      <c r="G815" s="14">
        <f>52.9032 * CHOOSE(CONTROL!$C$15, $E$9, 100%, $G$9) + CHOOSE(CONTROL!$C$38, 0.0347, 0)</f>
        <v>52.937899999999999</v>
      </c>
      <c r="H815" s="14">
        <f>52.9032 * CHOOSE(CONTROL!$C$15, $E$9, 100%, $G$9) + CHOOSE(CONTROL!$C$38, 0.0347, 0)</f>
        <v>52.937899999999999</v>
      </c>
      <c r="I815" s="14">
        <f>52.9048 * CHOOSE(CONTROL!$C$15, $E$9, 100%, $G$9) + CHOOSE(CONTROL!$C$38, 0.0347, 0)</f>
        <v>52.939500000000002</v>
      </c>
      <c r="J815" s="44">
        <f>504.7238</f>
        <v>504.72379999999998</v>
      </c>
    </row>
    <row r="816" spans="1:10" ht="15.75" x14ac:dyDescent="0.25">
      <c r="A816" s="32">
        <v>65776</v>
      </c>
      <c r="B816" s="14">
        <f>55.5183 * CHOOSE(CONTROL!$C$15, $E$9, 100%, $G$9) + CHOOSE(CONTROL!$C$38, 0.0256, 0)</f>
        <v>55.543900000000001</v>
      </c>
      <c r="C816" s="14">
        <f>52.5065 * CHOOSE(CONTROL!$C$15, $E$9, 100%, $G$9) + CHOOSE(CONTROL!$C$38, 0.0347, 0)</f>
        <v>52.541200000000003</v>
      </c>
      <c r="D816" s="14">
        <f>52.4987 * CHOOSE(CONTROL!$C$15, $E$9, 100%, $G$9) + CHOOSE(CONTROL!$C$38, 0.0347, 0)</f>
        <v>52.5334</v>
      </c>
      <c r="E816" s="46">
        <f>55.3621 * CHOOSE(CONTROL!$C$15, $E$9, 100%, $G$9) + CHOOSE(CONTROL!$C$38, 0.0347, 0)</f>
        <v>55.396799999999999</v>
      </c>
      <c r="F816" s="45">
        <f>55.3621 * CHOOSE(CONTROL!$C$15, $E$9, 100%, $G$9) + CHOOSE(CONTROL!$C$38, 0.0256, 0)</f>
        <v>55.387699999999995</v>
      </c>
      <c r="G816" s="14">
        <f>52.5049 * CHOOSE(CONTROL!$C$15, $E$9, 100%, $G$9) + CHOOSE(CONTROL!$C$38, 0.0347, 0)</f>
        <v>52.5396</v>
      </c>
      <c r="H816" s="14">
        <f>52.5049 * CHOOSE(CONTROL!$C$15, $E$9, 100%, $G$9) + CHOOSE(CONTROL!$C$38, 0.0347, 0)</f>
        <v>52.5396</v>
      </c>
      <c r="I816" s="14">
        <f>52.5065 * CHOOSE(CONTROL!$C$15, $E$9, 100%, $G$9) + CHOOSE(CONTROL!$C$38, 0.0347, 0)</f>
        <v>52.541200000000003</v>
      </c>
      <c r="J816" s="44">
        <f>504.3594</f>
        <v>504.35939999999999</v>
      </c>
    </row>
    <row r="817" spans="1:10" ht="15.75" x14ac:dyDescent="0.25">
      <c r="A817" s="32">
        <v>65805</v>
      </c>
      <c r="B817" s="14">
        <f>55.3657 * CHOOSE(CONTROL!$C$15, $E$9, 100%, $G$9) + CHOOSE(CONTROL!$C$38, 0.0256, 0)</f>
        <v>55.391299999999994</v>
      </c>
      <c r="C817" s="14">
        <f>52.3618 * CHOOSE(CONTROL!$C$15, $E$9, 100%, $G$9) + CHOOSE(CONTROL!$C$38, 0.0347, 0)</f>
        <v>52.396500000000003</v>
      </c>
      <c r="D817" s="14">
        <f>52.354 * CHOOSE(CONTROL!$C$15, $E$9, 100%, $G$9) + CHOOSE(CONTROL!$C$38, 0.0347, 0)</f>
        <v>52.3887</v>
      </c>
      <c r="E817" s="46">
        <f>55.2095 * CHOOSE(CONTROL!$C$15, $E$9, 100%, $G$9) + CHOOSE(CONTROL!$C$38, 0.0347, 0)</f>
        <v>55.244199999999999</v>
      </c>
      <c r="F817" s="45">
        <f>55.2095 * CHOOSE(CONTROL!$C$15, $E$9, 100%, $G$9) + CHOOSE(CONTROL!$C$38, 0.0256, 0)</f>
        <v>55.235099999999996</v>
      </c>
      <c r="G817" s="14">
        <f>52.3603 * CHOOSE(CONTROL!$C$15, $E$9, 100%, $G$9) + CHOOSE(CONTROL!$C$38, 0.0347, 0)</f>
        <v>52.395000000000003</v>
      </c>
      <c r="H817" s="14">
        <f>52.3603 * CHOOSE(CONTROL!$C$15, $E$9, 100%, $G$9) + CHOOSE(CONTROL!$C$38, 0.0347, 0)</f>
        <v>52.395000000000003</v>
      </c>
      <c r="I817" s="14">
        <f>52.3618 * CHOOSE(CONTROL!$C$15, $E$9, 100%, $G$9) + CHOOSE(CONTROL!$C$38, 0.0347, 0)</f>
        <v>52.396500000000003</v>
      </c>
      <c r="J817" s="44">
        <f>502.9575</f>
        <v>502.95749999999998</v>
      </c>
    </row>
    <row r="818" spans="1:10" ht="15.75" x14ac:dyDescent="0.25">
      <c r="A818" s="32">
        <v>65836</v>
      </c>
      <c r="B818" s="14">
        <f>58.2513 * CHOOSE(CONTROL!$C$15, $E$9, 100%, $G$9) + CHOOSE(CONTROL!$C$38, 0.0256, 0)</f>
        <v>58.276899999999998</v>
      </c>
      <c r="C818" s="14">
        <f>55.0973 * CHOOSE(CONTROL!$C$15, $E$9, 100%, $G$9) + CHOOSE(CONTROL!$C$38, 0.0347, 0)</f>
        <v>55.131999999999998</v>
      </c>
      <c r="D818" s="14">
        <f>55.0895 * CHOOSE(CONTROL!$C$15, $E$9, 100%, $G$9) + CHOOSE(CONTROL!$C$38, 0.0347, 0)</f>
        <v>55.124200000000002</v>
      </c>
      <c r="E818" s="46">
        <f>58.095 * CHOOSE(CONTROL!$C$15, $E$9, 100%, $G$9) + CHOOSE(CONTROL!$C$38, 0.0347, 0)</f>
        <v>58.1297</v>
      </c>
      <c r="F818" s="45">
        <f>58.095 * CHOOSE(CONTROL!$C$15, $E$9, 100%, $G$9) + CHOOSE(CONTROL!$C$38, 0.0256, 0)</f>
        <v>58.120599999999996</v>
      </c>
      <c r="G818" s="14">
        <f>55.0957 * CHOOSE(CONTROL!$C$15, $E$9, 100%, $G$9) + CHOOSE(CONTROL!$C$38, 0.0347, 0)</f>
        <v>55.130400000000002</v>
      </c>
      <c r="H818" s="14">
        <f>55.0957 * CHOOSE(CONTROL!$C$15, $E$9, 100%, $G$9) + CHOOSE(CONTROL!$C$38, 0.0347, 0)</f>
        <v>55.130400000000002</v>
      </c>
      <c r="I818" s="14">
        <f>55.0973 * CHOOSE(CONTROL!$C$15, $E$9, 100%, $G$9) + CHOOSE(CONTROL!$C$38, 0.0347, 0)</f>
        <v>55.131999999999998</v>
      </c>
      <c r="J818" s="44">
        <f>529.4662</f>
        <v>529.46619999999996</v>
      </c>
    </row>
    <row r="819" spans="1:10" ht="15.75" x14ac:dyDescent="0.25">
      <c r="A819" s="32">
        <v>65866</v>
      </c>
      <c r="B819" s="14">
        <f>61.9932 * CHOOSE(CONTROL!$C$15, $E$9, 100%, $G$9) + CHOOSE(CONTROL!$C$38, 0.0256, 0)</f>
        <v>62.018799999999999</v>
      </c>
      <c r="C819" s="14">
        <f>58.6446 * CHOOSE(CONTROL!$C$15, $E$9, 100%, $G$9) + CHOOSE(CONTROL!$C$38, 0.0347, 0)</f>
        <v>58.679299999999998</v>
      </c>
      <c r="D819" s="14">
        <f>58.6367 * CHOOSE(CONTROL!$C$15, $E$9, 100%, $G$9) + CHOOSE(CONTROL!$C$38, 0.0347, 0)</f>
        <v>58.671399999999998</v>
      </c>
      <c r="E819" s="46">
        <f>61.8369 * CHOOSE(CONTROL!$C$15, $E$9, 100%, $G$9) + CHOOSE(CONTROL!$C$38, 0.0347, 0)</f>
        <v>61.871600000000001</v>
      </c>
      <c r="F819" s="45">
        <f>61.8369 * CHOOSE(CONTROL!$C$15, $E$9, 100%, $G$9) + CHOOSE(CONTROL!$C$38, 0.0256, 0)</f>
        <v>61.862499999999997</v>
      </c>
      <c r="G819" s="14">
        <f>58.643 * CHOOSE(CONTROL!$C$15, $E$9, 100%, $G$9) + CHOOSE(CONTROL!$C$38, 0.0347, 0)</f>
        <v>58.677700000000002</v>
      </c>
      <c r="H819" s="14">
        <f>58.643 * CHOOSE(CONTROL!$C$15, $E$9, 100%, $G$9) + CHOOSE(CONTROL!$C$38, 0.0347, 0)</f>
        <v>58.677700000000002</v>
      </c>
      <c r="I819" s="14">
        <f>58.6446 * CHOOSE(CONTROL!$C$15, $E$9, 100%, $G$9) + CHOOSE(CONTROL!$C$38, 0.0347, 0)</f>
        <v>58.679299999999998</v>
      </c>
      <c r="J819" s="44">
        <f>563.8418</f>
        <v>563.84180000000003</v>
      </c>
    </row>
    <row r="820" spans="1:10" ht="15.75" x14ac:dyDescent="0.25">
      <c r="A820" s="32">
        <v>65897</v>
      </c>
      <c r="B820" s="14">
        <f>64.0528 * CHOOSE(CONTROL!$C$15, $E$9, 100%, $G$9) + CHOOSE(CONTROL!$C$38, 0.0278, 0)</f>
        <v>64.080600000000004</v>
      </c>
      <c r="C820" s="14">
        <f>60.5971 * CHOOSE(CONTROL!$C$15, $E$9, 100%, $G$9) + CHOOSE(CONTROL!$C$38, 0.0369, 0)</f>
        <v>60.634</v>
      </c>
      <c r="D820" s="14">
        <f>60.5893 * CHOOSE(CONTROL!$C$15, $E$9, 100%, $G$9) + CHOOSE(CONTROL!$C$38, 0.0369, 0)</f>
        <v>60.626200000000004</v>
      </c>
      <c r="E820" s="46">
        <f>63.8966 * CHOOSE(CONTROL!$C$15, $E$9, 100%, $G$9) + CHOOSE(CONTROL!$C$38, 0.0369, 0)</f>
        <v>63.933500000000002</v>
      </c>
      <c r="F820" s="45">
        <f>63.8966 * CHOOSE(CONTROL!$C$15, $E$9, 100%, $G$9) + CHOOSE(CONTROL!$C$38, 0.0278, 0)</f>
        <v>63.924399999999999</v>
      </c>
      <c r="G820" s="14">
        <f>60.5955 * CHOOSE(CONTROL!$C$15, $E$9, 100%, $G$9) + CHOOSE(CONTROL!$C$38, 0.0369, 0)</f>
        <v>60.632400000000004</v>
      </c>
      <c r="H820" s="14">
        <f>60.5955 * CHOOSE(CONTROL!$C$15, $E$9, 100%, $G$9) + CHOOSE(CONTROL!$C$38, 0.0369, 0)</f>
        <v>60.632400000000004</v>
      </c>
      <c r="I820" s="14">
        <f>60.5971 * CHOOSE(CONTROL!$C$15, $E$9, 100%, $G$9) + CHOOSE(CONTROL!$C$38, 0.0369, 0)</f>
        <v>60.634</v>
      </c>
      <c r="J820" s="44">
        <f>582.7632</f>
        <v>582.76319999999998</v>
      </c>
    </row>
    <row r="821" spans="1:10" ht="15.75" x14ac:dyDescent="0.25">
      <c r="A821" s="32">
        <v>65927</v>
      </c>
      <c r="B821" s="14">
        <f>64.9669 * CHOOSE(CONTROL!$C$15, $E$9, 100%, $G$9) + CHOOSE(CONTROL!$C$38, 0.0278, 0)</f>
        <v>64.994699999999995</v>
      </c>
      <c r="C821" s="14">
        <f>61.4636 * CHOOSE(CONTROL!$C$15, $E$9, 100%, $G$9) + CHOOSE(CONTROL!$C$38, 0.0369, 0)</f>
        <v>61.500500000000002</v>
      </c>
      <c r="D821" s="14">
        <f>61.4558 * CHOOSE(CONTROL!$C$15, $E$9, 100%, $G$9) + CHOOSE(CONTROL!$C$38, 0.0369, 0)</f>
        <v>61.492700000000006</v>
      </c>
      <c r="E821" s="46">
        <f>64.8106 * CHOOSE(CONTROL!$C$15, $E$9, 100%, $G$9) + CHOOSE(CONTROL!$C$38, 0.0369, 0)</f>
        <v>64.847499999999997</v>
      </c>
      <c r="F821" s="45">
        <f>64.8106 * CHOOSE(CONTROL!$C$15, $E$9, 100%, $G$9) + CHOOSE(CONTROL!$C$38, 0.0278, 0)</f>
        <v>64.838399999999993</v>
      </c>
      <c r="G821" s="14">
        <f>61.462 * CHOOSE(CONTROL!$C$15, $E$9, 100%, $G$9) + CHOOSE(CONTROL!$C$38, 0.0369, 0)</f>
        <v>61.498900000000006</v>
      </c>
      <c r="H821" s="14">
        <f>61.462 * CHOOSE(CONTROL!$C$15, $E$9, 100%, $G$9) + CHOOSE(CONTROL!$C$38, 0.0369, 0)</f>
        <v>61.498900000000006</v>
      </c>
      <c r="I821" s="14">
        <f>61.4636 * CHOOSE(CONTROL!$C$15, $E$9, 100%, $G$9) + CHOOSE(CONTROL!$C$38, 0.0369, 0)</f>
        <v>61.500500000000002</v>
      </c>
      <c r="J821" s="44">
        <f>591.1602</f>
        <v>591.16020000000003</v>
      </c>
    </row>
    <row r="822" spans="1:10" ht="15.75" x14ac:dyDescent="0.25">
      <c r="A822" s="32">
        <v>65958</v>
      </c>
      <c r="B822" s="14">
        <f>64.6659 * CHOOSE(CONTROL!$C$15, $E$9, 100%, $G$9) + CHOOSE(CONTROL!$C$38, 0.0278, 0)</f>
        <v>64.693699999999993</v>
      </c>
      <c r="C822" s="14">
        <f>61.1783 * CHOOSE(CONTROL!$C$15, $E$9, 100%, $G$9) + CHOOSE(CONTROL!$C$38, 0.0369, 0)</f>
        <v>61.215200000000003</v>
      </c>
      <c r="D822" s="14">
        <f>61.1705 * CHOOSE(CONTROL!$C$15, $E$9, 100%, $G$9) + CHOOSE(CONTROL!$C$38, 0.0369, 0)</f>
        <v>61.2074</v>
      </c>
      <c r="E822" s="46">
        <f>64.5097 * CHOOSE(CONTROL!$C$15, $E$9, 100%, $G$9) + CHOOSE(CONTROL!$C$38, 0.0369, 0)</f>
        <v>64.546599999999998</v>
      </c>
      <c r="F822" s="45">
        <f>64.5097 * CHOOSE(CONTROL!$C$15, $E$9, 100%, $G$9) + CHOOSE(CONTROL!$C$38, 0.0278, 0)</f>
        <v>64.537499999999994</v>
      </c>
      <c r="G822" s="14">
        <f>61.1767 * CHOOSE(CONTROL!$C$15, $E$9, 100%, $G$9) + CHOOSE(CONTROL!$C$38, 0.0369, 0)</f>
        <v>61.2136</v>
      </c>
      <c r="H822" s="14">
        <f>61.1767 * CHOOSE(CONTROL!$C$15, $E$9, 100%, $G$9) + CHOOSE(CONTROL!$C$38, 0.0369, 0)</f>
        <v>61.2136</v>
      </c>
      <c r="I822" s="14">
        <f>61.1783 * CHOOSE(CONTROL!$C$15, $E$9, 100%, $G$9) + CHOOSE(CONTROL!$C$38, 0.0369, 0)</f>
        <v>61.215200000000003</v>
      </c>
      <c r="J822" s="44">
        <f>588.3955</f>
        <v>588.39549999999997</v>
      </c>
    </row>
    <row r="823" spans="1:10" ht="15.75" x14ac:dyDescent="0.25">
      <c r="A823" s="32">
        <v>65989</v>
      </c>
      <c r="B823" s="14">
        <f>63.1749 * CHOOSE(CONTROL!$C$15, $E$9, 100%, $G$9) + CHOOSE(CONTROL!$C$38, 0.0278, 0)</f>
        <v>63.2027</v>
      </c>
      <c r="C823" s="14">
        <f>59.7648 * CHOOSE(CONTROL!$C$15, $E$9, 100%, $G$9) + CHOOSE(CONTROL!$C$38, 0.0369, 0)</f>
        <v>59.801700000000004</v>
      </c>
      <c r="D823" s="14">
        <f>59.757 * CHOOSE(CONTROL!$C$15, $E$9, 100%, $G$9) + CHOOSE(CONTROL!$C$38, 0.0369, 0)</f>
        <v>59.793900000000001</v>
      </c>
      <c r="E823" s="46">
        <f>63.0186 * CHOOSE(CONTROL!$C$15, $E$9, 100%, $G$9) + CHOOSE(CONTROL!$C$38, 0.0369, 0)</f>
        <v>63.055500000000002</v>
      </c>
      <c r="F823" s="45">
        <f>63.0186 * CHOOSE(CONTROL!$C$15, $E$9, 100%, $G$9) + CHOOSE(CONTROL!$C$38, 0.0278, 0)</f>
        <v>63.046399999999998</v>
      </c>
      <c r="G823" s="14">
        <f>59.7633 * CHOOSE(CONTROL!$C$15, $E$9, 100%, $G$9) + CHOOSE(CONTROL!$C$38, 0.0369, 0)</f>
        <v>59.800200000000004</v>
      </c>
      <c r="H823" s="14">
        <f>59.7633 * CHOOSE(CONTROL!$C$15, $E$9, 100%, $G$9) + CHOOSE(CONTROL!$C$38, 0.0369, 0)</f>
        <v>59.800200000000004</v>
      </c>
      <c r="I823" s="14">
        <f>59.7648 * CHOOSE(CONTROL!$C$15, $E$9, 100%, $G$9) + CHOOSE(CONTROL!$C$38, 0.0369, 0)</f>
        <v>59.801700000000004</v>
      </c>
      <c r="J823" s="44">
        <f>574.6979</f>
        <v>574.6979</v>
      </c>
    </row>
    <row r="824" spans="1:10" ht="15.75" x14ac:dyDescent="0.25">
      <c r="A824" s="32">
        <v>66019</v>
      </c>
      <c r="B824" s="14">
        <f>61.0956 * CHOOSE(CONTROL!$C$15, $E$9, 100%, $G$9) + CHOOSE(CONTROL!$C$38, 0.0278, 0)</f>
        <v>61.123399999999997</v>
      </c>
      <c r="C824" s="14">
        <f>57.7937 * CHOOSE(CONTROL!$C$15, $E$9, 100%, $G$9) + CHOOSE(CONTROL!$C$38, 0.0369, 0)</f>
        <v>57.830600000000004</v>
      </c>
      <c r="D824" s="14">
        <f>57.7858 * CHOOSE(CONTROL!$C$15, $E$9, 100%, $G$9) + CHOOSE(CONTROL!$C$38, 0.0369, 0)</f>
        <v>57.822700000000005</v>
      </c>
      <c r="E824" s="46">
        <f>60.9393 * CHOOSE(CONTROL!$C$15, $E$9, 100%, $G$9) + CHOOSE(CONTROL!$C$38, 0.0369, 0)</f>
        <v>60.976200000000006</v>
      </c>
      <c r="F824" s="45">
        <f>60.9393 * CHOOSE(CONTROL!$C$15, $E$9, 100%, $G$9) + CHOOSE(CONTROL!$C$38, 0.0278, 0)</f>
        <v>60.967100000000002</v>
      </c>
      <c r="G824" s="14">
        <f>57.7921 * CHOOSE(CONTROL!$C$15, $E$9, 100%, $G$9) + CHOOSE(CONTROL!$C$38, 0.0369, 0)</f>
        <v>57.829000000000001</v>
      </c>
      <c r="H824" s="14">
        <f>57.7921 * CHOOSE(CONTROL!$C$15, $E$9, 100%, $G$9) + CHOOSE(CONTROL!$C$38, 0.0369, 0)</f>
        <v>57.829000000000001</v>
      </c>
      <c r="I824" s="14">
        <f>57.7937 * CHOOSE(CONTROL!$C$15, $E$9, 100%, $G$9) + CHOOSE(CONTROL!$C$38, 0.0369, 0)</f>
        <v>57.830600000000004</v>
      </c>
      <c r="J824" s="44">
        <f>555.5959</f>
        <v>555.59590000000003</v>
      </c>
    </row>
    <row r="825" spans="1:10" ht="15.75" x14ac:dyDescent="0.25">
      <c r="A825" s="32">
        <v>66050</v>
      </c>
      <c r="B825" s="14">
        <f>59.0042 * CHOOSE(CONTROL!$C$15, $E$9, 100%, $G$9) + CHOOSE(CONTROL!$C$38, 0.0256, 0)</f>
        <v>59.029799999999994</v>
      </c>
      <c r="C825" s="14">
        <f>55.811 * CHOOSE(CONTROL!$C$15, $E$9, 100%, $G$9) + CHOOSE(CONTROL!$C$38, 0.0347, 0)</f>
        <v>55.845700000000001</v>
      </c>
      <c r="D825" s="14">
        <f>55.8032 * CHOOSE(CONTROL!$C$15, $E$9, 100%, $G$9) + CHOOSE(CONTROL!$C$38, 0.0347, 0)</f>
        <v>55.837899999999998</v>
      </c>
      <c r="E825" s="46">
        <f>58.8479 * CHOOSE(CONTROL!$C$15, $E$9, 100%, $G$9) + CHOOSE(CONTROL!$C$38, 0.0347, 0)</f>
        <v>58.882600000000004</v>
      </c>
      <c r="F825" s="45">
        <f>58.8479 * CHOOSE(CONTROL!$C$15, $E$9, 100%, $G$9) + CHOOSE(CONTROL!$C$38, 0.0256, 0)</f>
        <v>58.8735</v>
      </c>
      <c r="G825" s="14">
        <f>55.8095 * CHOOSE(CONTROL!$C$15, $E$9, 100%, $G$9) + CHOOSE(CONTROL!$C$38, 0.0347, 0)</f>
        <v>55.844200000000001</v>
      </c>
      <c r="H825" s="14">
        <f>55.8095 * CHOOSE(CONTROL!$C$15, $E$9, 100%, $G$9) + CHOOSE(CONTROL!$C$38, 0.0347, 0)</f>
        <v>55.844200000000001</v>
      </c>
      <c r="I825" s="14">
        <f>55.811 * CHOOSE(CONTROL!$C$15, $E$9, 100%, $G$9) + CHOOSE(CONTROL!$C$38, 0.0347, 0)</f>
        <v>55.845700000000001</v>
      </c>
      <c r="J825" s="44">
        <f>536.3828</f>
        <v>536.38279999999997</v>
      </c>
    </row>
    <row r="826" spans="1:10" ht="15.75" x14ac:dyDescent="0.25">
      <c r="A826" s="32">
        <v>66080</v>
      </c>
      <c r="B826" s="14">
        <f>58.5881 * CHOOSE(CONTROL!$C$15, $E$9, 100%, $G$9) + CHOOSE(CONTROL!$C$38, 0.0256, 0)</f>
        <v>58.613699999999994</v>
      </c>
      <c r="C826" s="14">
        <f>55.4166 * CHOOSE(CONTROL!$C$15, $E$9, 100%, $G$9) + CHOOSE(CONTROL!$C$38, 0.0347, 0)</f>
        <v>55.451300000000003</v>
      </c>
      <c r="D826" s="14">
        <f>55.4088 * CHOOSE(CONTROL!$C$15, $E$9, 100%, $G$9) + CHOOSE(CONTROL!$C$38, 0.0347, 0)</f>
        <v>55.4435</v>
      </c>
      <c r="E826" s="46">
        <f>58.4319 * CHOOSE(CONTROL!$C$15, $E$9, 100%, $G$9) + CHOOSE(CONTROL!$C$38, 0.0347, 0)</f>
        <v>58.4666</v>
      </c>
      <c r="F826" s="45">
        <f>58.4319 * CHOOSE(CONTROL!$C$15, $E$9, 100%, $G$9) + CHOOSE(CONTROL!$C$38, 0.0256, 0)</f>
        <v>58.457499999999996</v>
      </c>
      <c r="G826" s="14">
        <f>55.4151 * CHOOSE(CONTROL!$C$15, $E$9, 100%, $G$9) + CHOOSE(CONTROL!$C$38, 0.0347, 0)</f>
        <v>55.449800000000003</v>
      </c>
      <c r="H826" s="14">
        <f>55.4151 * CHOOSE(CONTROL!$C$15, $E$9, 100%, $G$9) + CHOOSE(CONTROL!$C$38, 0.0347, 0)</f>
        <v>55.449800000000003</v>
      </c>
      <c r="I826" s="14">
        <f>55.4166 * CHOOSE(CONTROL!$C$15, $E$9, 100%, $G$9) + CHOOSE(CONTROL!$C$38, 0.0347, 0)</f>
        <v>55.451300000000003</v>
      </c>
      <c r="J826" s="44">
        <f>532.561</f>
        <v>532.56100000000004</v>
      </c>
    </row>
    <row r="827" spans="1:10" ht="15.75" x14ac:dyDescent="0.25">
      <c r="A827" s="32">
        <v>66111</v>
      </c>
      <c r="B827" s="14">
        <f>56.8679 * CHOOSE(CONTROL!$C$15, $E$9, 100%, $G$9) + CHOOSE(CONTROL!$C$38, 0.0256, 0)</f>
        <v>56.893499999999996</v>
      </c>
      <c r="C827" s="14">
        <f>53.7858 * CHOOSE(CONTROL!$C$15, $E$9, 100%, $G$9) + CHOOSE(CONTROL!$C$38, 0.0347, 0)</f>
        <v>53.820500000000003</v>
      </c>
      <c r="D827" s="14">
        <f>53.778 * CHOOSE(CONTROL!$C$15, $E$9, 100%, $G$9) + CHOOSE(CONTROL!$C$38, 0.0347, 0)</f>
        <v>53.8127</v>
      </c>
      <c r="E827" s="46">
        <f>56.7116 * CHOOSE(CONTROL!$C$15, $E$9, 100%, $G$9) + CHOOSE(CONTROL!$C$38, 0.0347, 0)</f>
        <v>56.746299999999998</v>
      </c>
      <c r="F827" s="45">
        <f>56.7116 * CHOOSE(CONTROL!$C$15, $E$9, 100%, $G$9) + CHOOSE(CONTROL!$C$38, 0.0256, 0)</f>
        <v>56.737199999999994</v>
      </c>
      <c r="G827" s="14">
        <f>53.7843 * CHOOSE(CONTROL!$C$15, $E$9, 100%, $G$9) + CHOOSE(CONTROL!$C$38, 0.0347, 0)</f>
        <v>53.819000000000003</v>
      </c>
      <c r="H827" s="14">
        <f>53.7843 * CHOOSE(CONTROL!$C$15, $E$9, 100%, $G$9) + CHOOSE(CONTROL!$C$38, 0.0347, 0)</f>
        <v>53.819000000000003</v>
      </c>
      <c r="I827" s="14">
        <f>53.7858 * CHOOSE(CONTROL!$C$15, $E$9, 100%, $G$9) + CHOOSE(CONTROL!$C$38, 0.0347, 0)</f>
        <v>53.820500000000003</v>
      </c>
      <c r="J827" s="44">
        <f>516.7572</f>
        <v>516.75720000000001</v>
      </c>
    </row>
    <row r="828" spans="1:10" ht="15.75" x14ac:dyDescent="0.25">
      <c r="A828" s="32">
        <v>66142</v>
      </c>
      <c r="B828" s="14">
        <f>56.4406 * CHOOSE(CONTROL!$C$15, $E$9, 100%, $G$9) + CHOOSE(CONTROL!$C$38, 0.0256, 0)</f>
        <v>56.466200000000001</v>
      </c>
      <c r="C828" s="14">
        <f>53.3808 * CHOOSE(CONTROL!$C$15, $E$9, 100%, $G$9) + CHOOSE(CONTROL!$C$38, 0.0347, 0)</f>
        <v>53.415500000000002</v>
      </c>
      <c r="D828" s="14">
        <f>53.373 * CHOOSE(CONTROL!$C$15, $E$9, 100%, $G$9) + CHOOSE(CONTROL!$C$38, 0.0347, 0)</f>
        <v>53.407699999999998</v>
      </c>
      <c r="E828" s="46">
        <f>56.2844 * CHOOSE(CONTROL!$C$15, $E$9, 100%, $G$9) + CHOOSE(CONTROL!$C$38, 0.0347, 0)</f>
        <v>56.319099999999999</v>
      </c>
      <c r="F828" s="45">
        <f>56.2844 * CHOOSE(CONTROL!$C$15, $E$9, 100%, $G$9) + CHOOSE(CONTROL!$C$38, 0.0256, 0)</f>
        <v>56.309999999999995</v>
      </c>
      <c r="G828" s="14">
        <f>53.3793 * CHOOSE(CONTROL!$C$15, $E$9, 100%, $G$9) + CHOOSE(CONTROL!$C$38, 0.0347, 0)</f>
        <v>53.414000000000001</v>
      </c>
      <c r="H828" s="14">
        <f>53.3793 * CHOOSE(CONTROL!$C$15, $E$9, 100%, $G$9) + CHOOSE(CONTROL!$C$38, 0.0347, 0)</f>
        <v>53.414000000000001</v>
      </c>
      <c r="I828" s="14">
        <f>53.3808 * CHOOSE(CONTROL!$C$15, $E$9, 100%, $G$9) + CHOOSE(CONTROL!$C$38, 0.0347, 0)</f>
        <v>53.415500000000002</v>
      </c>
      <c r="J828" s="44">
        <f>516.3841</f>
        <v>516.38409999999999</v>
      </c>
    </row>
    <row r="829" spans="1:10" ht="15.75" x14ac:dyDescent="0.25">
      <c r="A829" s="32">
        <v>66170</v>
      </c>
      <c r="B829" s="14">
        <f>56.2855 * CHOOSE(CONTROL!$C$15, $E$9, 100%, $G$9) + CHOOSE(CONTROL!$C$38, 0.0256, 0)</f>
        <v>56.311099999999996</v>
      </c>
      <c r="C829" s="14">
        <f>53.2337 * CHOOSE(CONTROL!$C$15, $E$9, 100%, $G$9) + CHOOSE(CONTROL!$C$38, 0.0347, 0)</f>
        <v>53.2684</v>
      </c>
      <c r="D829" s="14">
        <f>53.2259 * CHOOSE(CONTROL!$C$15, $E$9, 100%, $G$9) + CHOOSE(CONTROL!$C$38, 0.0347, 0)</f>
        <v>53.260600000000004</v>
      </c>
      <c r="E829" s="46">
        <f>56.1292 * CHOOSE(CONTROL!$C$15, $E$9, 100%, $G$9) + CHOOSE(CONTROL!$C$38, 0.0347, 0)</f>
        <v>56.163899999999998</v>
      </c>
      <c r="F829" s="45">
        <f>56.1292 * CHOOSE(CONTROL!$C$15, $E$9, 100%, $G$9) + CHOOSE(CONTROL!$C$38, 0.0256, 0)</f>
        <v>56.154799999999994</v>
      </c>
      <c r="G829" s="14">
        <f>53.2322 * CHOOSE(CONTROL!$C$15, $E$9, 100%, $G$9) + CHOOSE(CONTROL!$C$38, 0.0347, 0)</f>
        <v>53.2669</v>
      </c>
      <c r="H829" s="14">
        <f>53.2322 * CHOOSE(CONTROL!$C$15, $E$9, 100%, $G$9) + CHOOSE(CONTROL!$C$38, 0.0347, 0)</f>
        <v>53.2669</v>
      </c>
      <c r="I829" s="14">
        <f>53.2337 * CHOOSE(CONTROL!$C$15, $E$9, 100%, $G$9) + CHOOSE(CONTROL!$C$38, 0.0347, 0)</f>
        <v>53.2684</v>
      </c>
      <c r="J829" s="44">
        <f>514.9487</f>
        <v>514.94870000000003</v>
      </c>
    </row>
    <row r="830" spans="1:10" ht="15.75" x14ac:dyDescent="0.25">
      <c r="A830" s="32">
        <v>66201</v>
      </c>
      <c r="B830" s="14">
        <f>59.2195 * CHOOSE(CONTROL!$C$15, $E$9, 100%, $G$9) + CHOOSE(CONTROL!$C$38, 0.0256, 0)</f>
        <v>59.245099999999994</v>
      </c>
      <c r="C830" s="14">
        <f>56.0152 * CHOOSE(CONTROL!$C$15, $E$9, 100%, $G$9) + CHOOSE(CONTROL!$C$38, 0.0347, 0)</f>
        <v>56.049900000000001</v>
      </c>
      <c r="D830" s="14">
        <f>56.0074 * CHOOSE(CONTROL!$C$15, $E$9, 100%, $G$9) + CHOOSE(CONTROL!$C$38, 0.0347, 0)</f>
        <v>56.042099999999998</v>
      </c>
      <c r="E830" s="46">
        <f>59.0633 * CHOOSE(CONTROL!$C$15, $E$9, 100%, $G$9) + CHOOSE(CONTROL!$C$38, 0.0347, 0)</f>
        <v>59.097999999999999</v>
      </c>
      <c r="F830" s="45">
        <f>59.0633 * CHOOSE(CONTROL!$C$15, $E$9, 100%, $G$9) + CHOOSE(CONTROL!$C$38, 0.0256, 0)</f>
        <v>59.088899999999995</v>
      </c>
      <c r="G830" s="14">
        <f>56.0136 * CHOOSE(CONTROL!$C$15, $E$9, 100%, $G$9) + CHOOSE(CONTROL!$C$38, 0.0347, 0)</f>
        <v>56.048299999999998</v>
      </c>
      <c r="H830" s="14">
        <f>56.0136 * CHOOSE(CONTROL!$C$15, $E$9, 100%, $G$9) + CHOOSE(CONTROL!$C$38, 0.0347, 0)</f>
        <v>56.048299999999998</v>
      </c>
      <c r="I830" s="14">
        <f>56.0152 * CHOOSE(CONTROL!$C$15, $E$9, 100%, $G$9) + CHOOSE(CONTROL!$C$38, 0.0347, 0)</f>
        <v>56.049900000000001</v>
      </c>
      <c r="J830" s="44">
        <f>542.0895</f>
        <v>542.08950000000004</v>
      </c>
    </row>
    <row r="831" spans="1:10" ht="15.75" x14ac:dyDescent="0.25">
      <c r="A831" s="32">
        <v>66231</v>
      </c>
      <c r="B831" s="14">
        <f>63.0243 * CHOOSE(CONTROL!$C$15, $E$9, 100%, $G$9) + CHOOSE(CONTROL!$C$38, 0.0256, 0)</f>
        <v>63.049899999999994</v>
      </c>
      <c r="C831" s="14">
        <f>59.622 * CHOOSE(CONTROL!$C$15, $E$9, 100%, $G$9) + CHOOSE(CONTROL!$C$38, 0.0347, 0)</f>
        <v>59.656700000000001</v>
      </c>
      <c r="D831" s="14">
        <f>59.6142 * CHOOSE(CONTROL!$C$15, $E$9, 100%, $G$9) + CHOOSE(CONTROL!$C$38, 0.0347, 0)</f>
        <v>59.648899999999998</v>
      </c>
      <c r="E831" s="46">
        <f>62.868 * CHOOSE(CONTROL!$C$15, $E$9, 100%, $G$9) + CHOOSE(CONTROL!$C$38, 0.0347, 0)</f>
        <v>62.902700000000003</v>
      </c>
      <c r="F831" s="45">
        <f>62.868 * CHOOSE(CONTROL!$C$15, $E$9, 100%, $G$9) + CHOOSE(CONTROL!$C$38, 0.0256, 0)</f>
        <v>62.893599999999999</v>
      </c>
      <c r="G831" s="14">
        <f>59.6205 * CHOOSE(CONTROL!$C$15, $E$9, 100%, $G$9) + CHOOSE(CONTROL!$C$38, 0.0347, 0)</f>
        <v>59.655200000000001</v>
      </c>
      <c r="H831" s="14">
        <f>59.6205 * CHOOSE(CONTROL!$C$15, $E$9, 100%, $G$9) + CHOOSE(CONTROL!$C$38, 0.0347, 0)</f>
        <v>59.655200000000001</v>
      </c>
      <c r="I831" s="14">
        <f>59.622 * CHOOSE(CONTROL!$C$15, $E$9, 100%, $G$9) + CHOOSE(CONTROL!$C$38, 0.0347, 0)</f>
        <v>59.656700000000001</v>
      </c>
      <c r="J831" s="44">
        <f>577.2846</f>
        <v>577.28459999999995</v>
      </c>
    </row>
    <row r="832" spans="1:10" ht="15.75" x14ac:dyDescent="0.25">
      <c r="A832" s="32">
        <v>66262</v>
      </c>
      <c r="B832" s="14">
        <f>65.1185 * CHOOSE(CONTROL!$C$15, $E$9, 100%, $G$9) + CHOOSE(CONTROL!$C$38, 0.0278, 0)</f>
        <v>65.146299999999997</v>
      </c>
      <c r="C832" s="14">
        <f>61.6074 * CHOOSE(CONTROL!$C$15, $E$9, 100%, $G$9) + CHOOSE(CONTROL!$C$38, 0.0369, 0)</f>
        <v>61.644300000000001</v>
      </c>
      <c r="D832" s="14">
        <f>61.5995 * CHOOSE(CONTROL!$C$15, $E$9, 100%, $G$9) + CHOOSE(CONTROL!$C$38, 0.0369, 0)</f>
        <v>61.636400000000002</v>
      </c>
      <c r="E832" s="46">
        <f>64.9623 * CHOOSE(CONTROL!$C$15, $E$9, 100%, $G$9) + CHOOSE(CONTROL!$C$38, 0.0369, 0)</f>
        <v>64.999200000000002</v>
      </c>
      <c r="F832" s="45">
        <f>64.9623 * CHOOSE(CONTROL!$C$15, $E$9, 100%, $G$9) + CHOOSE(CONTROL!$C$38, 0.0278, 0)</f>
        <v>64.990099999999998</v>
      </c>
      <c r="G832" s="14">
        <f>61.6058 * CHOOSE(CONTROL!$C$15, $E$9, 100%, $G$9) + CHOOSE(CONTROL!$C$38, 0.0369, 0)</f>
        <v>61.642700000000005</v>
      </c>
      <c r="H832" s="14">
        <f>61.6058 * CHOOSE(CONTROL!$C$15, $E$9, 100%, $G$9) + CHOOSE(CONTROL!$C$38, 0.0369, 0)</f>
        <v>61.642700000000005</v>
      </c>
      <c r="I832" s="14">
        <f>61.6074 * CHOOSE(CONTROL!$C$15, $E$9, 100%, $G$9) + CHOOSE(CONTROL!$C$38, 0.0369, 0)</f>
        <v>61.644300000000001</v>
      </c>
      <c r="J832" s="44">
        <f>596.6571</f>
        <v>596.65710000000001</v>
      </c>
    </row>
    <row r="833" spans="1:10" ht="15.75" x14ac:dyDescent="0.25">
      <c r="A833" s="32">
        <v>66292</v>
      </c>
      <c r="B833" s="14">
        <f>66.0479 * CHOOSE(CONTROL!$C$15, $E$9, 100%, $G$9) + CHOOSE(CONTROL!$C$38, 0.0278, 0)</f>
        <v>66.075699999999998</v>
      </c>
      <c r="C833" s="14">
        <f>62.4884 * CHOOSE(CONTROL!$C$15, $E$9, 100%, $G$9) + CHOOSE(CONTROL!$C$38, 0.0369, 0)</f>
        <v>62.525300000000001</v>
      </c>
      <c r="D833" s="14">
        <f>62.4806 * CHOOSE(CONTROL!$C$15, $E$9, 100%, $G$9) + CHOOSE(CONTROL!$C$38, 0.0369, 0)</f>
        <v>62.517500000000005</v>
      </c>
      <c r="E833" s="46">
        <f>65.8917 * CHOOSE(CONTROL!$C$15, $E$9, 100%, $G$9) + CHOOSE(CONTROL!$C$38, 0.0369, 0)</f>
        <v>65.928600000000003</v>
      </c>
      <c r="F833" s="45">
        <f>65.8917 * CHOOSE(CONTROL!$C$15, $E$9, 100%, $G$9) + CHOOSE(CONTROL!$C$38, 0.0278, 0)</f>
        <v>65.919499999999999</v>
      </c>
      <c r="G833" s="14">
        <f>62.4868 * CHOOSE(CONTROL!$C$15, $E$9, 100%, $G$9) + CHOOSE(CONTROL!$C$38, 0.0369, 0)</f>
        <v>62.523700000000005</v>
      </c>
      <c r="H833" s="14">
        <f>62.4868 * CHOOSE(CONTROL!$C$15, $E$9, 100%, $G$9) + CHOOSE(CONTROL!$C$38, 0.0369, 0)</f>
        <v>62.523700000000005</v>
      </c>
      <c r="I833" s="14">
        <f>62.4884 * CHOOSE(CONTROL!$C$15, $E$9, 100%, $G$9) + CHOOSE(CONTROL!$C$38, 0.0369, 0)</f>
        <v>62.525300000000001</v>
      </c>
      <c r="J833" s="44">
        <f>605.2543</f>
        <v>605.25429999999994</v>
      </c>
    </row>
    <row r="834" spans="1:10" ht="15.75" x14ac:dyDescent="0.25">
      <c r="A834" s="32">
        <v>66323</v>
      </c>
      <c r="B834" s="14">
        <f>65.7419 * CHOOSE(CONTROL!$C$15, $E$9, 100%, $G$9) + CHOOSE(CONTROL!$C$38, 0.0278, 0)</f>
        <v>65.7697</v>
      </c>
      <c r="C834" s="14">
        <f>62.1983 * CHOOSE(CONTROL!$C$15, $E$9, 100%, $G$9) + CHOOSE(CONTROL!$C$38, 0.0369, 0)</f>
        <v>62.235200000000006</v>
      </c>
      <c r="D834" s="14">
        <f>62.1905 * CHOOSE(CONTROL!$C$15, $E$9, 100%, $G$9) + CHOOSE(CONTROL!$C$38, 0.0369, 0)</f>
        <v>62.227400000000003</v>
      </c>
      <c r="E834" s="46">
        <f>65.5857 * CHOOSE(CONTROL!$C$15, $E$9, 100%, $G$9) + CHOOSE(CONTROL!$C$38, 0.0369, 0)</f>
        <v>65.622600000000006</v>
      </c>
      <c r="F834" s="45">
        <f>65.5857 * CHOOSE(CONTROL!$C$15, $E$9, 100%, $G$9) + CHOOSE(CONTROL!$C$38, 0.0278, 0)</f>
        <v>65.613500000000002</v>
      </c>
      <c r="G834" s="14">
        <f>62.1968 * CHOOSE(CONTROL!$C$15, $E$9, 100%, $G$9) + CHOOSE(CONTROL!$C$38, 0.0369, 0)</f>
        <v>62.233700000000006</v>
      </c>
      <c r="H834" s="14">
        <f>62.1968 * CHOOSE(CONTROL!$C$15, $E$9, 100%, $G$9) + CHOOSE(CONTROL!$C$38, 0.0369, 0)</f>
        <v>62.233700000000006</v>
      </c>
      <c r="I834" s="14">
        <f>62.1983 * CHOOSE(CONTROL!$C$15, $E$9, 100%, $G$9) + CHOOSE(CONTROL!$C$38, 0.0369, 0)</f>
        <v>62.235200000000006</v>
      </c>
      <c r="J834" s="44">
        <f>602.4237</f>
        <v>602.42370000000005</v>
      </c>
    </row>
    <row r="835" spans="1:10" ht="15.75" x14ac:dyDescent="0.25">
      <c r="A835" s="32">
        <v>66354</v>
      </c>
      <c r="B835" s="14">
        <f>64.2258 * CHOOSE(CONTROL!$C$15, $E$9, 100%, $G$9) + CHOOSE(CONTROL!$C$38, 0.0278, 0)</f>
        <v>64.253600000000006</v>
      </c>
      <c r="C835" s="14">
        <f>60.7611 * CHOOSE(CONTROL!$C$15, $E$9, 100%, $G$9) + CHOOSE(CONTROL!$C$38, 0.0369, 0)</f>
        <v>60.798000000000002</v>
      </c>
      <c r="D835" s="14">
        <f>60.7533 * CHOOSE(CONTROL!$C$15, $E$9, 100%, $G$9) + CHOOSE(CONTROL!$C$38, 0.0369, 0)</f>
        <v>60.790200000000006</v>
      </c>
      <c r="E835" s="46">
        <f>64.0696 * CHOOSE(CONTROL!$C$15, $E$9, 100%, $G$9) + CHOOSE(CONTROL!$C$38, 0.0369, 0)</f>
        <v>64.106499999999997</v>
      </c>
      <c r="F835" s="45">
        <f>64.0696 * CHOOSE(CONTROL!$C$15, $E$9, 100%, $G$9) + CHOOSE(CONTROL!$C$38, 0.0278, 0)</f>
        <v>64.097399999999993</v>
      </c>
      <c r="G835" s="14">
        <f>60.7595 * CHOOSE(CONTROL!$C$15, $E$9, 100%, $G$9) + CHOOSE(CONTROL!$C$38, 0.0369, 0)</f>
        <v>60.796400000000006</v>
      </c>
      <c r="H835" s="14">
        <f>60.7595 * CHOOSE(CONTROL!$C$15, $E$9, 100%, $G$9) + CHOOSE(CONTROL!$C$38, 0.0369, 0)</f>
        <v>60.796400000000006</v>
      </c>
      <c r="I835" s="14">
        <f>60.7611 * CHOOSE(CONTROL!$C$15, $E$9, 100%, $G$9) + CHOOSE(CONTROL!$C$38, 0.0369, 0)</f>
        <v>60.798000000000002</v>
      </c>
      <c r="J835" s="44">
        <f>588.3995</f>
        <v>588.39949999999999</v>
      </c>
    </row>
    <row r="836" spans="1:10" ht="15.75" x14ac:dyDescent="0.25">
      <c r="A836" s="32">
        <v>66384</v>
      </c>
      <c r="B836" s="14">
        <f>62.1116 * CHOOSE(CONTROL!$C$15, $E$9, 100%, $G$9) + CHOOSE(CONTROL!$C$38, 0.0278, 0)</f>
        <v>62.139400000000002</v>
      </c>
      <c r="C836" s="14">
        <f>58.7568 * CHOOSE(CONTROL!$C$15, $E$9, 100%, $G$9) + CHOOSE(CONTROL!$C$38, 0.0369, 0)</f>
        <v>58.793700000000001</v>
      </c>
      <c r="D836" s="14">
        <f>58.749 * CHOOSE(CONTROL!$C$15, $E$9, 100%, $G$9) + CHOOSE(CONTROL!$C$38, 0.0369, 0)</f>
        <v>58.785900000000005</v>
      </c>
      <c r="E836" s="46">
        <f>61.9553 * CHOOSE(CONTROL!$C$15, $E$9, 100%, $G$9) + CHOOSE(CONTROL!$C$38, 0.0369, 0)</f>
        <v>61.992200000000004</v>
      </c>
      <c r="F836" s="45">
        <f>61.9553 * CHOOSE(CONTROL!$C$15, $E$9, 100%, $G$9) + CHOOSE(CONTROL!$C$38, 0.0278, 0)</f>
        <v>61.9831</v>
      </c>
      <c r="G836" s="14">
        <f>58.7553 * CHOOSE(CONTROL!$C$15, $E$9, 100%, $G$9) + CHOOSE(CONTROL!$C$38, 0.0369, 0)</f>
        <v>58.792200000000001</v>
      </c>
      <c r="H836" s="14">
        <f>58.7553 * CHOOSE(CONTROL!$C$15, $E$9, 100%, $G$9) + CHOOSE(CONTROL!$C$38, 0.0369, 0)</f>
        <v>58.792200000000001</v>
      </c>
      <c r="I836" s="14">
        <f>58.7568 * CHOOSE(CONTROL!$C$15, $E$9, 100%, $G$9) + CHOOSE(CONTROL!$C$38, 0.0369, 0)</f>
        <v>58.793700000000001</v>
      </c>
      <c r="J836" s="44">
        <f>568.8422</f>
        <v>568.84220000000005</v>
      </c>
    </row>
    <row r="837" spans="1:10" ht="15.75" x14ac:dyDescent="0.25">
      <c r="A837" s="32">
        <v>66415</v>
      </c>
      <c r="B837" s="14">
        <f>59.9851 * CHOOSE(CONTROL!$C$15, $E$9, 100%, $G$9) + CHOOSE(CONTROL!$C$38, 0.0256, 0)</f>
        <v>60.0107</v>
      </c>
      <c r="C837" s="14">
        <f>56.7409 * CHOOSE(CONTROL!$C$15, $E$9, 100%, $G$9) + CHOOSE(CONTROL!$C$38, 0.0347, 0)</f>
        <v>56.775600000000004</v>
      </c>
      <c r="D837" s="14">
        <f>56.7331 * CHOOSE(CONTROL!$C$15, $E$9, 100%, $G$9) + CHOOSE(CONTROL!$C$38, 0.0347, 0)</f>
        <v>56.767800000000001</v>
      </c>
      <c r="E837" s="46">
        <f>59.8288 * CHOOSE(CONTROL!$C$15, $E$9, 100%, $G$9) + CHOOSE(CONTROL!$C$38, 0.0347, 0)</f>
        <v>59.863500000000002</v>
      </c>
      <c r="F837" s="45">
        <f>59.8288 * CHOOSE(CONTROL!$C$15, $E$9, 100%, $G$9) + CHOOSE(CONTROL!$C$38, 0.0256, 0)</f>
        <v>59.854399999999998</v>
      </c>
      <c r="G837" s="14">
        <f>56.7393 * CHOOSE(CONTROL!$C$15, $E$9, 100%, $G$9) + CHOOSE(CONTROL!$C$38, 0.0347, 0)</f>
        <v>56.774000000000001</v>
      </c>
      <c r="H837" s="14">
        <f>56.7393 * CHOOSE(CONTROL!$C$15, $E$9, 100%, $G$9) + CHOOSE(CONTROL!$C$38, 0.0347, 0)</f>
        <v>56.774000000000001</v>
      </c>
      <c r="I837" s="14">
        <f>56.7409 * CHOOSE(CONTROL!$C$15, $E$9, 100%, $G$9) + CHOOSE(CONTROL!$C$38, 0.0347, 0)</f>
        <v>56.775600000000004</v>
      </c>
      <c r="J837" s="44">
        <f>549.171</f>
        <v>549.17100000000005</v>
      </c>
    </row>
    <row r="838" spans="1:10" ht="15.75" x14ac:dyDescent="0.25">
      <c r="A838" s="32">
        <v>66445</v>
      </c>
      <c r="B838" s="14">
        <f>59.562 * CHOOSE(CONTROL!$C$15, $E$9, 100%, $G$9) + CHOOSE(CONTROL!$C$38, 0.0256, 0)</f>
        <v>59.587599999999995</v>
      </c>
      <c r="C838" s="14">
        <f>56.3399 * CHOOSE(CONTROL!$C$15, $E$9, 100%, $G$9) + CHOOSE(CONTROL!$C$38, 0.0347, 0)</f>
        <v>56.374600000000001</v>
      </c>
      <c r="D838" s="14">
        <f>56.3321 * CHOOSE(CONTROL!$C$15, $E$9, 100%, $G$9) + CHOOSE(CONTROL!$C$38, 0.0347, 0)</f>
        <v>56.366799999999998</v>
      </c>
      <c r="E838" s="46">
        <f>59.4058 * CHOOSE(CONTROL!$C$15, $E$9, 100%, $G$9) + CHOOSE(CONTROL!$C$38, 0.0347, 0)</f>
        <v>59.4405</v>
      </c>
      <c r="F838" s="45">
        <f>59.4058 * CHOOSE(CONTROL!$C$15, $E$9, 100%, $G$9) + CHOOSE(CONTROL!$C$38, 0.0256, 0)</f>
        <v>59.431399999999996</v>
      </c>
      <c r="G838" s="14">
        <f>56.3383 * CHOOSE(CONTROL!$C$15, $E$9, 100%, $G$9) + CHOOSE(CONTROL!$C$38, 0.0347, 0)</f>
        <v>56.372999999999998</v>
      </c>
      <c r="H838" s="14">
        <f>56.3383 * CHOOSE(CONTROL!$C$15, $E$9, 100%, $G$9) + CHOOSE(CONTROL!$C$38, 0.0347, 0)</f>
        <v>56.372999999999998</v>
      </c>
      <c r="I838" s="14">
        <f>56.3399 * CHOOSE(CONTROL!$C$15, $E$9, 100%, $G$9) + CHOOSE(CONTROL!$C$38, 0.0347, 0)</f>
        <v>56.374600000000001</v>
      </c>
      <c r="J838" s="44">
        <f>545.258</f>
        <v>545.25800000000004</v>
      </c>
    </row>
    <row r="839" spans="1:10" ht="15.75" x14ac:dyDescent="0.25">
      <c r="A839" s="32">
        <v>66476</v>
      </c>
      <c r="B839" s="14">
        <f>57.8129 * CHOOSE(CONTROL!$C$15, $E$9, 100%, $G$9) + CHOOSE(CONTROL!$C$38, 0.0256, 0)</f>
        <v>57.838499999999996</v>
      </c>
      <c r="C839" s="14">
        <f>54.6817 * CHOOSE(CONTROL!$C$15, $E$9, 100%, $G$9) + CHOOSE(CONTROL!$C$38, 0.0347, 0)</f>
        <v>54.7164</v>
      </c>
      <c r="D839" s="14">
        <f>54.6739 * CHOOSE(CONTROL!$C$15, $E$9, 100%, $G$9) + CHOOSE(CONTROL!$C$38, 0.0347, 0)</f>
        <v>54.708600000000004</v>
      </c>
      <c r="E839" s="46">
        <f>57.6566 * CHOOSE(CONTROL!$C$15, $E$9, 100%, $G$9) + CHOOSE(CONTROL!$C$38, 0.0347, 0)</f>
        <v>57.691299999999998</v>
      </c>
      <c r="F839" s="45">
        <f>57.6566 * CHOOSE(CONTROL!$C$15, $E$9, 100%, $G$9) + CHOOSE(CONTROL!$C$38, 0.0256, 0)</f>
        <v>57.682199999999995</v>
      </c>
      <c r="G839" s="14">
        <f>54.6801 * CHOOSE(CONTROL!$C$15, $E$9, 100%, $G$9) + CHOOSE(CONTROL!$C$38, 0.0347, 0)</f>
        <v>54.714800000000004</v>
      </c>
      <c r="H839" s="14">
        <f>54.6801 * CHOOSE(CONTROL!$C$15, $E$9, 100%, $G$9) + CHOOSE(CONTROL!$C$38, 0.0347, 0)</f>
        <v>54.714800000000004</v>
      </c>
      <c r="I839" s="14">
        <f>54.6817 * CHOOSE(CONTROL!$C$15, $E$9, 100%, $G$9) + CHOOSE(CONTROL!$C$38, 0.0347, 0)</f>
        <v>54.7164</v>
      </c>
      <c r="J839" s="44">
        <f>529.0774</f>
        <v>529.07740000000001</v>
      </c>
    </row>
    <row r="840" spans="1:10" ht="15.75" x14ac:dyDescent="0.25">
      <c r="A840" s="32">
        <v>66507</v>
      </c>
      <c r="B840" s="14">
        <f>57.3785 * CHOOSE(CONTROL!$C$15, $E$9, 100%, $G$9) + CHOOSE(CONTROL!$C$38, 0.0256, 0)</f>
        <v>57.4041</v>
      </c>
      <c r="C840" s="14">
        <f>54.2699 * CHOOSE(CONTROL!$C$15, $E$9, 100%, $G$9) + CHOOSE(CONTROL!$C$38, 0.0347, 0)</f>
        <v>54.304600000000001</v>
      </c>
      <c r="D840" s="14">
        <f>54.2621 * CHOOSE(CONTROL!$C$15, $E$9, 100%, $G$9) + CHOOSE(CONTROL!$C$38, 0.0347, 0)</f>
        <v>54.296799999999998</v>
      </c>
      <c r="E840" s="46">
        <f>57.2222 * CHOOSE(CONTROL!$C$15, $E$9, 100%, $G$9) + CHOOSE(CONTROL!$C$38, 0.0347, 0)</f>
        <v>57.256900000000002</v>
      </c>
      <c r="F840" s="45">
        <f>57.2222 * CHOOSE(CONTROL!$C$15, $E$9, 100%, $G$9) + CHOOSE(CONTROL!$C$38, 0.0256, 0)</f>
        <v>57.247799999999998</v>
      </c>
      <c r="G840" s="14">
        <f>54.2683 * CHOOSE(CONTROL!$C$15, $E$9, 100%, $G$9) + CHOOSE(CONTROL!$C$38, 0.0347, 0)</f>
        <v>54.303000000000004</v>
      </c>
      <c r="H840" s="14">
        <f>54.2683 * CHOOSE(CONTROL!$C$15, $E$9, 100%, $G$9) + CHOOSE(CONTROL!$C$38, 0.0347, 0)</f>
        <v>54.303000000000004</v>
      </c>
      <c r="I840" s="14">
        <f>54.2699 * CHOOSE(CONTROL!$C$15, $E$9, 100%, $G$9) + CHOOSE(CONTROL!$C$38, 0.0347, 0)</f>
        <v>54.304600000000001</v>
      </c>
      <c r="J840" s="44">
        <f>528.6955</f>
        <v>528.69550000000004</v>
      </c>
    </row>
    <row r="841" spans="1:10" ht="15.75" x14ac:dyDescent="0.25">
      <c r="A841" s="32">
        <v>66535</v>
      </c>
      <c r="B841" s="14">
        <f>57.2207 * CHOOSE(CONTROL!$C$15, $E$9, 100%, $G$9) + CHOOSE(CONTROL!$C$38, 0.0256, 0)</f>
        <v>57.246299999999998</v>
      </c>
      <c r="C841" s="14">
        <f>54.1203 * CHOOSE(CONTROL!$C$15, $E$9, 100%, $G$9) + CHOOSE(CONTROL!$C$38, 0.0347, 0)</f>
        <v>54.155000000000001</v>
      </c>
      <c r="D841" s="14">
        <f>54.1125 * CHOOSE(CONTROL!$C$15, $E$9, 100%, $G$9) + CHOOSE(CONTROL!$C$38, 0.0347, 0)</f>
        <v>54.147199999999998</v>
      </c>
      <c r="E841" s="46">
        <f>57.0644 * CHOOSE(CONTROL!$C$15, $E$9, 100%, $G$9) + CHOOSE(CONTROL!$C$38, 0.0347, 0)</f>
        <v>57.0991</v>
      </c>
      <c r="F841" s="45">
        <f>57.0644 * CHOOSE(CONTROL!$C$15, $E$9, 100%, $G$9) + CHOOSE(CONTROL!$C$38, 0.0256, 0)</f>
        <v>57.089999999999996</v>
      </c>
      <c r="G841" s="14">
        <f>54.1187 * CHOOSE(CONTROL!$C$15, $E$9, 100%, $G$9) + CHOOSE(CONTROL!$C$38, 0.0347, 0)</f>
        <v>54.153399999999998</v>
      </c>
      <c r="H841" s="14">
        <f>54.1187 * CHOOSE(CONTROL!$C$15, $E$9, 100%, $G$9) + CHOOSE(CONTROL!$C$38, 0.0347, 0)</f>
        <v>54.153399999999998</v>
      </c>
      <c r="I841" s="14">
        <f>54.1203 * CHOOSE(CONTROL!$C$15, $E$9, 100%, $G$9) + CHOOSE(CONTROL!$C$38, 0.0347, 0)</f>
        <v>54.155000000000001</v>
      </c>
      <c r="J841" s="44">
        <f>527.2259</f>
        <v>527.22590000000002</v>
      </c>
    </row>
    <row r="842" spans="1:10" ht="15.75" x14ac:dyDescent="0.25">
      <c r="A842" s="32">
        <v>66566</v>
      </c>
      <c r="B842" s="14">
        <f>60.204 * CHOOSE(CONTROL!$C$15, $E$9, 100%, $G$9) + CHOOSE(CONTROL!$C$38, 0.0256, 0)</f>
        <v>60.229599999999998</v>
      </c>
      <c r="C842" s="14">
        <f>56.9485 * CHOOSE(CONTROL!$C$15, $E$9, 100%, $G$9) + CHOOSE(CONTROL!$C$38, 0.0347, 0)</f>
        <v>56.983200000000004</v>
      </c>
      <c r="D842" s="14">
        <f>56.9407 * CHOOSE(CONTROL!$C$15, $E$9, 100%, $G$9) + CHOOSE(CONTROL!$C$38, 0.0347, 0)</f>
        <v>56.9754</v>
      </c>
      <c r="E842" s="46">
        <f>60.0478 * CHOOSE(CONTROL!$C$15, $E$9, 100%, $G$9) + CHOOSE(CONTROL!$C$38, 0.0347, 0)</f>
        <v>60.082500000000003</v>
      </c>
      <c r="F842" s="45">
        <f>60.0478 * CHOOSE(CONTROL!$C$15, $E$9, 100%, $G$9) + CHOOSE(CONTROL!$C$38, 0.0256, 0)</f>
        <v>60.073399999999999</v>
      </c>
      <c r="G842" s="14">
        <f>56.9469 * CHOOSE(CONTROL!$C$15, $E$9, 100%, $G$9) + CHOOSE(CONTROL!$C$38, 0.0347, 0)</f>
        <v>56.9816</v>
      </c>
      <c r="H842" s="14">
        <f>56.9469 * CHOOSE(CONTROL!$C$15, $E$9, 100%, $G$9) + CHOOSE(CONTROL!$C$38, 0.0347, 0)</f>
        <v>56.9816</v>
      </c>
      <c r="I842" s="14">
        <f>56.9485 * CHOOSE(CONTROL!$C$15, $E$9, 100%, $G$9) + CHOOSE(CONTROL!$C$38, 0.0347, 0)</f>
        <v>56.983200000000004</v>
      </c>
      <c r="J842" s="44">
        <f>555.0137</f>
        <v>555.01369999999997</v>
      </c>
    </row>
    <row r="843" spans="1:10" ht="15.75" x14ac:dyDescent="0.25">
      <c r="A843" s="32">
        <v>66596</v>
      </c>
      <c r="B843" s="14">
        <f>64.0727 * CHOOSE(CONTROL!$C$15, $E$9, 100%, $G$9) + CHOOSE(CONTROL!$C$38, 0.0256, 0)</f>
        <v>64.098299999999995</v>
      </c>
      <c r="C843" s="14">
        <f>60.6159 * CHOOSE(CONTROL!$C$15, $E$9, 100%, $G$9) + CHOOSE(CONTROL!$C$38, 0.0347, 0)</f>
        <v>60.650600000000004</v>
      </c>
      <c r="D843" s="14">
        <f>60.6081 * CHOOSE(CONTROL!$C$15, $E$9, 100%, $G$9) + CHOOSE(CONTROL!$C$38, 0.0347, 0)</f>
        <v>60.642800000000001</v>
      </c>
      <c r="E843" s="46">
        <f>63.9164 * CHOOSE(CONTROL!$C$15, $E$9, 100%, $G$9) + CHOOSE(CONTROL!$C$38, 0.0347, 0)</f>
        <v>63.951100000000004</v>
      </c>
      <c r="F843" s="45">
        <f>63.9164 * CHOOSE(CONTROL!$C$15, $E$9, 100%, $G$9) + CHOOSE(CONTROL!$C$38, 0.0256, 0)</f>
        <v>63.942</v>
      </c>
      <c r="G843" s="14">
        <f>60.6144 * CHOOSE(CONTROL!$C$15, $E$9, 100%, $G$9) + CHOOSE(CONTROL!$C$38, 0.0347, 0)</f>
        <v>60.649100000000004</v>
      </c>
      <c r="H843" s="14">
        <f>60.6144 * CHOOSE(CONTROL!$C$15, $E$9, 100%, $G$9) + CHOOSE(CONTROL!$C$38, 0.0347, 0)</f>
        <v>60.649100000000004</v>
      </c>
      <c r="I843" s="14">
        <f>60.6159 * CHOOSE(CONTROL!$C$15, $E$9, 100%, $G$9) + CHOOSE(CONTROL!$C$38, 0.0347, 0)</f>
        <v>60.650600000000004</v>
      </c>
      <c r="J843" s="44">
        <f>591.0479</f>
        <v>591.04790000000003</v>
      </c>
    </row>
    <row r="844" spans="1:10" ht="15.75" x14ac:dyDescent="0.25">
      <c r="A844" s="32">
        <v>66627</v>
      </c>
      <c r="B844" s="14">
        <f>66.2021 * CHOOSE(CONTROL!$C$15, $E$9, 100%, $G$9) + CHOOSE(CONTROL!$C$38, 0.0278, 0)</f>
        <v>66.229900000000001</v>
      </c>
      <c r="C844" s="14">
        <f>62.6346 * CHOOSE(CONTROL!$C$15, $E$9, 100%, $G$9) + CHOOSE(CONTROL!$C$38, 0.0369, 0)</f>
        <v>62.671500000000002</v>
      </c>
      <c r="D844" s="14">
        <f>62.6268 * CHOOSE(CONTROL!$C$15, $E$9, 100%, $G$9) + CHOOSE(CONTROL!$C$38, 0.0369, 0)</f>
        <v>62.663700000000006</v>
      </c>
      <c r="E844" s="46">
        <f>66.0459 * CHOOSE(CONTROL!$C$15, $E$9, 100%, $G$9) + CHOOSE(CONTROL!$C$38, 0.0369, 0)</f>
        <v>66.082800000000006</v>
      </c>
      <c r="F844" s="45">
        <f>66.0459 * CHOOSE(CONTROL!$C$15, $E$9, 100%, $G$9) + CHOOSE(CONTROL!$C$38, 0.0278, 0)</f>
        <v>66.073700000000002</v>
      </c>
      <c r="G844" s="14">
        <f>62.633 * CHOOSE(CONTROL!$C$15, $E$9, 100%, $G$9) + CHOOSE(CONTROL!$C$38, 0.0369, 0)</f>
        <v>62.669900000000005</v>
      </c>
      <c r="H844" s="14">
        <f>62.633 * CHOOSE(CONTROL!$C$15, $E$9, 100%, $G$9) + CHOOSE(CONTROL!$C$38, 0.0369, 0)</f>
        <v>62.669900000000005</v>
      </c>
      <c r="I844" s="14">
        <f>62.6346 * CHOOSE(CONTROL!$C$15, $E$9, 100%, $G$9) + CHOOSE(CONTROL!$C$38, 0.0369, 0)</f>
        <v>62.671500000000002</v>
      </c>
      <c r="J844" s="44">
        <f>610.8823</f>
        <v>610.88229999999999</v>
      </c>
    </row>
    <row r="845" spans="1:10" ht="15.75" x14ac:dyDescent="0.25">
      <c r="A845" s="32">
        <v>66657</v>
      </c>
      <c r="B845" s="14">
        <f>67.1471 * CHOOSE(CONTROL!$C$15, $E$9, 100%, $G$9) + CHOOSE(CONTROL!$C$38, 0.0278, 0)</f>
        <v>67.174899999999994</v>
      </c>
      <c r="C845" s="14">
        <f>63.5305 * CHOOSE(CONTROL!$C$15, $E$9, 100%, $G$9) + CHOOSE(CONTROL!$C$38, 0.0369, 0)</f>
        <v>63.567400000000006</v>
      </c>
      <c r="D845" s="14">
        <f>63.5226 * CHOOSE(CONTROL!$C$15, $E$9, 100%, $G$9) + CHOOSE(CONTROL!$C$38, 0.0369, 0)</f>
        <v>63.5595</v>
      </c>
      <c r="E845" s="46">
        <f>66.9909 * CHOOSE(CONTROL!$C$15, $E$9, 100%, $G$9) + CHOOSE(CONTROL!$C$38, 0.0369, 0)</f>
        <v>67.027799999999999</v>
      </c>
      <c r="F845" s="45">
        <f>66.9909 * CHOOSE(CONTROL!$C$15, $E$9, 100%, $G$9) + CHOOSE(CONTROL!$C$38, 0.0278, 0)</f>
        <v>67.018699999999995</v>
      </c>
      <c r="G845" s="14">
        <f>63.5289 * CHOOSE(CONTROL!$C$15, $E$9, 100%, $G$9) + CHOOSE(CONTROL!$C$38, 0.0369, 0)</f>
        <v>63.565800000000003</v>
      </c>
      <c r="H845" s="14">
        <f>63.5289 * CHOOSE(CONTROL!$C$15, $E$9, 100%, $G$9) + CHOOSE(CONTROL!$C$38, 0.0369, 0)</f>
        <v>63.565800000000003</v>
      </c>
      <c r="I845" s="14">
        <f>63.5305 * CHOOSE(CONTROL!$C$15, $E$9, 100%, $G$9) + CHOOSE(CONTROL!$C$38, 0.0369, 0)</f>
        <v>63.567400000000006</v>
      </c>
      <c r="J845" s="44">
        <f>619.6845</f>
        <v>619.68449999999996</v>
      </c>
    </row>
    <row r="846" spans="1:10" ht="15.75" x14ac:dyDescent="0.25">
      <c r="A846" s="32">
        <v>66688</v>
      </c>
      <c r="B846" s="14">
        <f>66.836 * CHOOSE(CONTROL!$C$15, $E$9, 100%, $G$9) + CHOOSE(CONTROL!$C$38, 0.0278, 0)</f>
        <v>66.863799999999998</v>
      </c>
      <c r="C846" s="14">
        <f>63.2355 * CHOOSE(CONTROL!$C$15, $E$9, 100%, $G$9) + CHOOSE(CONTROL!$C$38, 0.0369, 0)</f>
        <v>63.272400000000005</v>
      </c>
      <c r="D846" s="14">
        <f>63.2277 * CHOOSE(CONTROL!$C$15, $E$9, 100%, $G$9) + CHOOSE(CONTROL!$C$38, 0.0369, 0)</f>
        <v>63.264600000000002</v>
      </c>
      <c r="E846" s="46">
        <f>66.6797 * CHOOSE(CONTROL!$C$15, $E$9, 100%, $G$9) + CHOOSE(CONTROL!$C$38, 0.0369, 0)</f>
        <v>66.7166</v>
      </c>
      <c r="F846" s="45">
        <f>66.6797 * CHOOSE(CONTROL!$C$15, $E$9, 100%, $G$9) + CHOOSE(CONTROL!$C$38, 0.0278, 0)</f>
        <v>66.707499999999996</v>
      </c>
      <c r="G846" s="14">
        <f>63.2339 * CHOOSE(CONTROL!$C$15, $E$9, 100%, $G$9) + CHOOSE(CONTROL!$C$38, 0.0369, 0)</f>
        <v>63.270800000000001</v>
      </c>
      <c r="H846" s="14">
        <f>63.2339 * CHOOSE(CONTROL!$C$15, $E$9, 100%, $G$9) + CHOOSE(CONTROL!$C$38, 0.0369, 0)</f>
        <v>63.270800000000001</v>
      </c>
      <c r="I846" s="14">
        <f>63.2355 * CHOOSE(CONTROL!$C$15, $E$9, 100%, $G$9) + CHOOSE(CONTROL!$C$38, 0.0369, 0)</f>
        <v>63.272400000000005</v>
      </c>
      <c r="J846" s="44">
        <f>616.7864</f>
        <v>616.78639999999996</v>
      </c>
    </row>
    <row r="847" spans="1:10" ht="15.75" x14ac:dyDescent="0.25">
      <c r="A847" s="32">
        <v>66719</v>
      </c>
      <c r="B847" s="14">
        <f>65.2944 * CHOOSE(CONTROL!$C$15, $E$9, 100%, $G$9) + CHOOSE(CONTROL!$C$38, 0.0278, 0)</f>
        <v>65.322199999999995</v>
      </c>
      <c r="C847" s="14">
        <f>61.7741 * CHOOSE(CONTROL!$C$15, $E$9, 100%, $G$9) + CHOOSE(CONTROL!$C$38, 0.0369, 0)</f>
        <v>61.811</v>
      </c>
      <c r="D847" s="14">
        <f>61.7663 * CHOOSE(CONTROL!$C$15, $E$9, 100%, $G$9) + CHOOSE(CONTROL!$C$38, 0.0369, 0)</f>
        <v>61.803200000000004</v>
      </c>
      <c r="E847" s="46">
        <f>65.1382 * CHOOSE(CONTROL!$C$15, $E$9, 100%, $G$9) + CHOOSE(CONTROL!$C$38, 0.0369, 0)</f>
        <v>65.1751</v>
      </c>
      <c r="F847" s="45">
        <f>65.1382 * CHOOSE(CONTROL!$C$15, $E$9, 100%, $G$9) + CHOOSE(CONTROL!$C$38, 0.0278, 0)</f>
        <v>65.165999999999997</v>
      </c>
      <c r="G847" s="14">
        <f>61.7726 * CHOOSE(CONTROL!$C$15, $E$9, 100%, $G$9) + CHOOSE(CONTROL!$C$38, 0.0369, 0)</f>
        <v>61.8095</v>
      </c>
      <c r="H847" s="14">
        <f>61.7726 * CHOOSE(CONTROL!$C$15, $E$9, 100%, $G$9) + CHOOSE(CONTROL!$C$38, 0.0369, 0)</f>
        <v>61.8095</v>
      </c>
      <c r="I847" s="14">
        <f>61.7741 * CHOOSE(CONTROL!$C$15, $E$9, 100%, $G$9) + CHOOSE(CONTROL!$C$38, 0.0369, 0)</f>
        <v>61.811</v>
      </c>
      <c r="J847" s="44">
        <f>602.4279</f>
        <v>602.42790000000002</v>
      </c>
    </row>
    <row r="848" spans="1:10" ht="15.75" x14ac:dyDescent="0.25">
      <c r="A848" s="32">
        <v>66749</v>
      </c>
      <c r="B848" s="14">
        <f>63.1447 * CHOOSE(CONTROL!$C$15, $E$9, 100%, $G$9) + CHOOSE(CONTROL!$C$38, 0.0278, 0)</f>
        <v>63.172499999999999</v>
      </c>
      <c r="C848" s="14">
        <f>59.7362 * CHOOSE(CONTROL!$C$15, $E$9, 100%, $G$9) + CHOOSE(CONTROL!$C$38, 0.0369, 0)</f>
        <v>59.773099999999999</v>
      </c>
      <c r="D848" s="14">
        <f>59.7284 * CHOOSE(CONTROL!$C$15, $E$9, 100%, $G$9) + CHOOSE(CONTROL!$C$38, 0.0369, 0)</f>
        <v>59.765300000000003</v>
      </c>
      <c r="E848" s="46">
        <f>62.9884 * CHOOSE(CONTROL!$C$15, $E$9, 100%, $G$9) + CHOOSE(CONTROL!$C$38, 0.0369, 0)</f>
        <v>63.025300000000001</v>
      </c>
      <c r="F848" s="45">
        <f>62.9884 * CHOOSE(CONTROL!$C$15, $E$9, 100%, $G$9) + CHOOSE(CONTROL!$C$38, 0.0278, 0)</f>
        <v>63.016199999999998</v>
      </c>
      <c r="G848" s="14">
        <f>59.7346 * CHOOSE(CONTROL!$C$15, $E$9, 100%, $G$9) + CHOOSE(CONTROL!$C$38, 0.0369, 0)</f>
        <v>59.771500000000003</v>
      </c>
      <c r="H848" s="14">
        <f>59.7346 * CHOOSE(CONTROL!$C$15, $E$9, 100%, $G$9) + CHOOSE(CONTROL!$C$38, 0.0369, 0)</f>
        <v>59.771500000000003</v>
      </c>
      <c r="I848" s="14">
        <f>59.7362 * CHOOSE(CONTROL!$C$15, $E$9, 100%, $G$9) + CHOOSE(CONTROL!$C$38, 0.0369, 0)</f>
        <v>59.773099999999999</v>
      </c>
      <c r="J848" s="44">
        <f>582.4042</f>
        <v>582.40419999999995</v>
      </c>
    </row>
    <row r="849" spans="1:10" ht="15.75" x14ac:dyDescent="0.25">
      <c r="A849" s="32">
        <v>66780</v>
      </c>
      <c r="B849" s="14">
        <f>60.9824 * CHOOSE(CONTROL!$C$15, $E$9, 100%, $G$9) + CHOOSE(CONTROL!$C$38, 0.0256, 0)</f>
        <v>61.007999999999996</v>
      </c>
      <c r="C849" s="14">
        <f>57.6864 * CHOOSE(CONTROL!$C$15, $E$9, 100%, $G$9) + CHOOSE(CONTROL!$C$38, 0.0347, 0)</f>
        <v>57.7211</v>
      </c>
      <c r="D849" s="14">
        <f>57.6786 * CHOOSE(CONTROL!$C$15, $E$9, 100%, $G$9) + CHOOSE(CONTROL!$C$38, 0.0347, 0)</f>
        <v>57.713300000000004</v>
      </c>
      <c r="E849" s="46">
        <f>60.8262 * CHOOSE(CONTROL!$C$15, $E$9, 100%, $G$9) + CHOOSE(CONTROL!$C$38, 0.0347, 0)</f>
        <v>60.860900000000001</v>
      </c>
      <c r="F849" s="45">
        <f>60.8262 * CHOOSE(CONTROL!$C$15, $E$9, 100%, $G$9) + CHOOSE(CONTROL!$C$38, 0.0256, 0)</f>
        <v>60.851799999999997</v>
      </c>
      <c r="G849" s="14">
        <f>57.6848 * CHOOSE(CONTROL!$C$15, $E$9, 100%, $G$9) + CHOOSE(CONTROL!$C$38, 0.0347, 0)</f>
        <v>57.719500000000004</v>
      </c>
      <c r="H849" s="14">
        <f>57.6848 * CHOOSE(CONTROL!$C$15, $E$9, 100%, $G$9) + CHOOSE(CONTROL!$C$38, 0.0347, 0)</f>
        <v>57.719500000000004</v>
      </c>
      <c r="I849" s="14">
        <f>57.6864 * CHOOSE(CONTROL!$C$15, $E$9, 100%, $G$9) + CHOOSE(CONTROL!$C$38, 0.0347, 0)</f>
        <v>57.7211</v>
      </c>
      <c r="J849" s="44">
        <f>562.2641</f>
        <v>562.26409999999998</v>
      </c>
    </row>
    <row r="850" spans="1:10" ht="15.75" x14ac:dyDescent="0.25">
      <c r="A850" s="32">
        <v>66810</v>
      </c>
      <c r="B850" s="14">
        <f>60.5523 * CHOOSE(CONTROL!$C$15, $E$9, 100%, $G$9) + CHOOSE(CONTROL!$C$38, 0.0256, 0)</f>
        <v>60.5779</v>
      </c>
      <c r="C850" s="14">
        <f>57.2786 * CHOOSE(CONTROL!$C$15, $E$9, 100%, $G$9) + CHOOSE(CONTROL!$C$38, 0.0347, 0)</f>
        <v>57.313299999999998</v>
      </c>
      <c r="D850" s="14">
        <f>57.2708 * CHOOSE(CONTROL!$C$15, $E$9, 100%, $G$9) + CHOOSE(CONTROL!$C$38, 0.0347, 0)</f>
        <v>57.305500000000002</v>
      </c>
      <c r="E850" s="46">
        <f>60.3961 * CHOOSE(CONTROL!$C$15, $E$9, 100%, $G$9) + CHOOSE(CONTROL!$C$38, 0.0347, 0)</f>
        <v>60.430799999999998</v>
      </c>
      <c r="F850" s="45">
        <f>60.3961 * CHOOSE(CONTROL!$C$15, $E$9, 100%, $G$9) + CHOOSE(CONTROL!$C$38, 0.0256, 0)</f>
        <v>60.421699999999994</v>
      </c>
      <c r="G850" s="14">
        <f>57.2771 * CHOOSE(CONTROL!$C$15, $E$9, 100%, $G$9) + CHOOSE(CONTROL!$C$38, 0.0347, 0)</f>
        <v>57.311799999999998</v>
      </c>
      <c r="H850" s="14">
        <f>57.2771 * CHOOSE(CONTROL!$C$15, $E$9, 100%, $G$9) + CHOOSE(CONTROL!$C$38, 0.0347, 0)</f>
        <v>57.311799999999998</v>
      </c>
      <c r="I850" s="14">
        <f>57.2786 * CHOOSE(CONTROL!$C$15, $E$9, 100%, $G$9) + CHOOSE(CONTROL!$C$38, 0.0347, 0)</f>
        <v>57.313299999999998</v>
      </c>
      <c r="J850" s="44">
        <f>558.2578</f>
        <v>558.25779999999997</v>
      </c>
    </row>
    <row r="851" spans="1:10" ht="15.75" x14ac:dyDescent="0.25">
      <c r="A851" s="32">
        <v>66841</v>
      </c>
      <c r="B851" s="14">
        <f>58.7737 * CHOOSE(CONTROL!$C$15, $E$9, 100%, $G$9) + CHOOSE(CONTROL!$C$38, 0.0256, 0)</f>
        <v>58.799299999999995</v>
      </c>
      <c r="C851" s="14">
        <f>55.5926 * CHOOSE(CONTROL!$C$15, $E$9, 100%, $G$9) + CHOOSE(CONTROL!$C$38, 0.0347, 0)</f>
        <v>55.627299999999998</v>
      </c>
      <c r="D851" s="14">
        <f>55.5848 * CHOOSE(CONTROL!$C$15, $E$9, 100%, $G$9) + CHOOSE(CONTROL!$C$38, 0.0347, 0)</f>
        <v>55.619500000000002</v>
      </c>
      <c r="E851" s="46">
        <f>58.6175 * CHOOSE(CONTROL!$C$15, $E$9, 100%, $G$9) + CHOOSE(CONTROL!$C$38, 0.0347, 0)</f>
        <v>58.652200000000001</v>
      </c>
      <c r="F851" s="45">
        <f>58.6175 * CHOOSE(CONTROL!$C$15, $E$9, 100%, $G$9) + CHOOSE(CONTROL!$C$38, 0.0256, 0)</f>
        <v>58.643099999999997</v>
      </c>
      <c r="G851" s="14">
        <f>55.591 * CHOOSE(CONTROL!$C$15, $E$9, 100%, $G$9) + CHOOSE(CONTROL!$C$38, 0.0347, 0)</f>
        <v>55.625700000000002</v>
      </c>
      <c r="H851" s="14">
        <f>55.591 * CHOOSE(CONTROL!$C$15, $E$9, 100%, $G$9) + CHOOSE(CONTROL!$C$38, 0.0347, 0)</f>
        <v>55.625700000000002</v>
      </c>
      <c r="I851" s="14">
        <f>55.5926 * CHOOSE(CONTROL!$C$15, $E$9, 100%, $G$9) + CHOOSE(CONTROL!$C$38, 0.0347, 0)</f>
        <v>55.627299999999998</v>
      </c>
      <c r="J851" s="44">
        <f>541.6914</f>
        <v>541.69140000000004</v>
      </c>
    </row>
    <row r="852" spans="1:10" ht="15.75" x14ac:dyDescent="0.25">
      <c r="A852" s="32">
        <v>66872</v>
      </c>
      <c r="B852" s="14">
        <f>58.332 * CHOOSE(CONTROL!$C$15, $E$9, 100%, $G$9) + CHOOSE(CONTROL!$C$38, 0.0256, 0)</f>
        <v>58.357599999999998</v>
      </c>
      <c r="C852" s="14">
        <f>55.1739 * CHOOSE(CONTROL!$C$15, $E$9, 100%, $G$9) + CHOOSE(CONTROL!$C$38, 0.0347, 0)</f>
        <v>55.208600000000004</v>
      </c>
      <c r="D852" s="14">
        <f>55.166 * CHOOSE(CONTROL!$C$15, $E$9, 100%, $G$9) + CHOOSE(CONTROL!$C$38, 0.0347, 0)</f>
        <v>55.200699999999998</v>
      </c>
      <c r="E852" s="46">
        <f>58.1758 * CHOOSE(CONTROL!$C$15, $E$9, 100%, $G$9) + CHOOSE(CONTROL!$C$38, 0.0347, 0)</f>
        <v>58.210500000000003</v>
      </c>
      <c r="F852" s="45">
        <f>58.1758 * CHOOSE(CONTROL!$C$15, $E$9, 100%, $G$9) + CHOOSE(CONTROL!$C$38, 0.0256, 0)</f>
        <v>58.2014</v>
      </c>
      <c r="G852" s="14">
        <f>55.1723 * CHOOSE(CONTROL!$C$15, $E$9, 100%, $G$9) + CHOOSE(CONTROL!$C$38, 0.0347, 0)</f>
        <v>55.207000000000001</v>
      </c>
      <c r="H852" s="14">
        <f>55.1723 * CHOOSE(CONTROL!$C$15, $E$9, 100%, $G$9) + CHOOSE(CONTROL!$C$38, 0.0347, 0)</f>
        <v>55.207000000000001</v>
      </c>
      <c r="I852" s="14">
        <f>55.1739 * CHOOSE(CONTROL!$C$15, $E$9, 100%, $G$9) + CHOOSE(CONTROL!$C$38, 0.0347, 0)</f>
        <v>55.208600000000004</v>
      </c>
      <c r="J852" s="44">
        <f>541.3004</f>
        <v>541.30039999999997</v>
      </c>
    </row>
    <row r="853" spans="1:10" ht="15.75" x14ac:dyDescent="0.25">
      <c r="A853" s="32">
        <v>66900</v>
      </c>
      <c r="B853" s="14">
        <f>58.1716 * CHOOSE(CONTROL!$C$15, $E$9, 100%, $G$9) + CHOOSE(CONTROL!$C$38, 0.0256, 0)</f>
        <v>58.197199999999995</v>
      </c>
      <c r="C853" s="14">
        <f>55.0218 * CHOOSE(CONTROL!$C$15, $E$9, 100%, $G$9) + CHOOSE(CONTROL!$C$38, 0.0347, 0)</f>
        <v>55.0565</v>
      </c>
      <c r="D853" s="14">
        <f>55.014 * CHOOSE(CONTROL!$C$15, $E$9, 100%, $G$9) + CHOOSE(CONTROL!$C$38, 0.0347, 0)</f>
        <v>55.048700000000004</v>
      </c>
      <c r="E853" s="46">
        <f>58.0154 * CHOOSE(CONTROL!$C$15, $E$9, 100%, $G$9) + CHOOSE(CONTROL!$C$38, 0.0347, 0)</f>
        <v>58.0501</v>
      </c>
      <c r="F853" s="45">
        <f>58.0154 * CHOOSE(CONTROL!$C$15, $E$9, 100%, $G$9) + CHOOSE(CONTROL!$C$38, 0.0256, 0)</f>
        <v>58.040999999999997</v>
      </c>
      <c r="G853" s="14">
        <f>55.0202 * CHOOSE(CONTROL!$C$15, $E$9, 100%, $G$9) + CHOOSE(CONTROL!$C$38, 0.0347, 0)</f>
        <v>55.054900000000004</v>
      </c>
      <c r="H853" s="14">
        <f>55.0202 * CHOOSE(CONTROL!$C$15, $E$9, 100%, $G$9) + CHOOSE(CONTROL!$C$38, 0.0347, 0)</f>
        <v>55.054900000000004</v>
      </c>
      <c r="I853" s="14">
        <f>55.0218 * CHOOSE(CONTROL!$C$15, $E$9, 100%, $G$9) + CHOOSE(CONTROL!$C$38, 0.0347, 0)</f>
        <v>55.0565</v>
      </c>
      <c r="J853" s="44">
        <f>539.7957</f>
        <v>539.79570000000001</v>
      </c>
    </row>
    <row r="854" spans="1:10" ht="15.75" x14ac:dyDescent="0.25">
      <c r="A854" s="32">
        <v>66931</v>
      </c>
      <c r="B854" s="14">
        <f>61.2051 * CHOOSE(CONTROL!$C$15, $E$9, 100%, $G$9) + CHOOSE(CONTROL!$C$38, 0.0256, 0)</f>
        <v>61.230699999999999</v>
      </c>
      <c r="C854" s="14">
        <f>57.8974 * CHOOSE(CONTROL!$C$15, $E$9, 100%, $G$9) + CHOOSE(CONTROL!$C$38, 0.0347, 0)</f>
        <v>57.932099999999998</v>
      </c>
      <c r="D854" s="14">
        <f>57.8896 * CHOOSE(CONTROL!$C$15, $E$9, 100%, $G$9) + CHOOSE(CONTROL!$C$38, 0.0347, 0)</f>
        <v>57.924300000000002</v>
      </c>
      <c r="E854" s="46">
        <f>61.0488 * CHOOSE(CONTROL!$C$15, $E$9, 100%, $G$9) + CHOOSE(CONTROL!$C$38, 0.0347, 0)</f>
        <v>61.083500000000001</v>
      </c>
      <c r="F854" s="45">
        <f>61.0488 * CHOOSE(CONTROL!$C$15, $E$9, 100%, $G$9) + CHOOSE(CONTROL!$C$38, 0.0256, 0)</f>
        <v>61.074399999999997</v>
      </c>
      <c r="G854" s="14">
        <f>57.8959 * CHOOSE(CONTROL!$C$15, $E$9, 100%, $G$9) + CHOOSE(CONTROL!$C$38, 0.0347, 0)</f>
        <v>57.930599999999998</v>
      </c>
      <c r="H854" s="14">
        <f>57.8959 * CHOOSE(CONTROL!$C$15, $E$9, 100%, $G$9) + CHOOSE(CONTROL!$C$38, 0.0347, 0)</f>
        <v>57.930599999999998</v>
      </c>
      <c r="I854" s="14">
        <f>57.8974 * CHOOSE(CONTROL!$C$15, $E$9, 100%, $G$9) + CHOOSE(CONTROL!$C$38, 0.0347, 0)</f>
        <v>57.932099999999998</v>
      </c>
      <c r="J854" s="44">
        <f>568.2461</f>
        <v>568.24609999999996</v>
      </c>
    </row>
    <row r="855" spans="1:10" ht="15.75" x14ac:dyDescent="0.25">
      <c r="A855" s="32">
        <v>66961</v>
      </c>
      <c r="B855" s="14">
        <f>65.1387 * CHOOSE(CONTROL!$C$15, $E$9, 100%, $G$9) + CHOOSE(CONTROL!$C$38, 0.0256, 0)</f>
        <v>65.164299999999997</v>
      </c>
      <c r="C855" s="14">
        <f>61.6265 * CHOOSE(CONTROL!$C$15, $E$9, 100%, $G$9) + CHOOSE(CONTROL!$C$38, 0.0347, 0)</f>
        <v>61.661200000000001</v>
      </c>
      <c r="D855" s="14">
        <f>61.6187 * CHOOSE(CONTROL!$C$15, $E$9, 100%, $G$9) + CHOOSE(CONTROL!$C$38, 0.0347, 0)</f>
        <v>61.653399999999998</v>
      </c>
      <c r="E855" s="46">
        <f>64.9825 * CHOOSE(CONTROL!$C$15, $E$9, 100%, $G$9) + CHOOSE(CONTROL!$C$38, 0.0347, 0)</f>
        <v>65.017200000000003</v>
      </c>
      <c r="F855" s="45">
        <f>64.9825 * CHOOSE(CONTROL!$C$15, $E$9, 100%, $G$9) + CHOOSE(CONTROL!$C$38, 0.0256, 0)</f>
        <v>65.008099999999999</v>
      </c>
      <c r="G855" s="14">
        <f>61.6249 * CHOOSE(CONTROL!$C$15, $E$9, 100%, $G$9) + CHOOSE(CONTROL!$C$38, 0.0347, 0)</f>
        <v>61.659599999999998</v>
      </c>
      <c r="H855" s="14">
        <f>61.6249 * CHOOSE(CONTROL!$C$15, $E$9, 100%, $G$9) + CHOOSE(CONTROL!$C$38, 0.0347, 0)</f>
        <v>61.659599999999998</v>
      </c>
      <c r="I855" s="14">
        <f>61.6265 * CHOOSE(CONTROL!$C$15, $E$9, 100%, $G$9) + CHOOSE(CONTROL!$C$38, 0.0347, 0)</f>
        <v>61.661200000000001</v>
      </c>
      <c r="J855" s="44">
        <f>605.1394</f>
        <v>605.13940000000002</v>
      </c>
    </row>
    <row r="856" spans="1:10" ht="15.75" x14ac:dyDescent="0.25">
      <c r="A856" s="32">
        <v>66992</v>
      </c>
      <c r="B856" s="14">
        <f>67.3039 * CHOOSE(CONTROL!$C$15, $E$9, 100%, $G$9) + CHOOSE(CONTROL!$C$38, 0.0278, 0)</f>
        <v>67.331699999999998</v>
      </c>
      <c r="C856" s="14">
        <f>63.6791 * CHOOSE(CONTROL!$C$15, $E$9, 100%, $G$9) + CHOOSE(CONTROL!$C$38, 0.0369, 0)</f>
        <v>63.716000000000001</v>
      </c>
      <c r="D856" s="14">
        <f>63.6713 * CHOOSE(CONTROL!$C$15, $E$9, 100%, $G$9) + CHOOSE(CONTROL!$C$38, 0.0369, 0)</f>
        <v>63.708200000000005</v>
      </c>
      <c r="E856" s="46">
        <f>67.1477 * CHOOSE(CONTROL!$C$15, $E$9, 100%, $G$9) + CHOOSE(CONTROL!$C$38, 0.0369, 0)</f>
        <v>67.184600000000003</v>
      </c>
      <c r="F856" s="45">
        <f>67.1477 * CHOOSE(CONTROL!$C$15, $E$9, 100%, $G$9) + CHOOSE(CONTROL!$C$38, 0.0278, 0)</f>
        <v>67.1755</v>
      </c>
      <c r="G856" s="14">
        <f>63.6775 * CHOOSE(CONTROL!$C$15, $E$9, 100%, $G$9) + CHOOSE(CONTROL!$C$38, 0.0369, 0)</f>
        <v>63.714400000000005</v>
      </c>
      <c r="H856" s="14">
        <f>63.6775 * CHOOSE(CONTROL!$C$15, $E$9, 100%, $G$9) + CHOOSE(CONTROL!$C$38, 0.0369, 0)</f>
        <v>63.714400000000005</v>
      </c>
      <c r="I856" s="14">
        <f>63.6791 * CHOOSE(CONTROL!$C$15, $E$9, 100%, $G$9) + CHOOSE(CONTROL!$C$38, 0.0369, 0)</f>
        <v>63.716000000000001</v>
      </c>
      <c r="J856" s="44">
        <f>625.4467</f>
        <v>625.44669999999996</v>
      </c>
    </row>
    <row r="857" spans="1:10" ht="15.75" x14ac:dyDescent="0.25">
      <c r="A857" s="32">
        <v>67022</v>
      </c>
      <c r="B857" s="14">
        <f>68.2648 * CHOOSE(CONTROL!$C$15, $E$9, 100%, $G$9) + CHOOSE(CONTROL!$C$38, 0.0278, 0)</f>
        <v>68.292599999999993</v>
      </c>
      <c r="C857" s="14">
        <f>64.59 * CHOOSE(CONTROL!$C$15, $E$9, 100%, $G$9) + CHOOSE(CONTROL!$C$38, 0.0369, 0)</f>
        <v>64.626900000000006</v>
      </c>
      <c r="D857" s="14">
        <f>64.5822 * CHOOSE(CONTROL!$C$15, $E$9, 100%, $G$9) + CHOOSE(CONTROL!$C$38, 0.0369, 0)</f>
        <v>64.619100000000003</v>
      </c>
      <c r="E857" s="46">
        <f>68.1086 * CHOOSE(CONTROL!$C$15, $E$9, 100%, $G$9) + CHOOSE(CONTROL!$C$38, 0.0369, 0)</f>
        <v>68.145499999999998</v>
      </c>
      <c r="F857" s="45">
        <f>68.1086 * CHOOSE(CONTROL!$C$15, $E$9, 100%, $G$9) + CHOOSE(CONTROL!$C$38, 0.0278, 0)</f>
        <v>68.136399999999995</v>
      </c>
      <c r="G857" s="14">
        <f>64.5884 * CHOOSE(CONTROL!$C$15, $E$9, 100%, $G$9) + CHOOSE(CONTROL!$C$38, 0.0369, 0)</f>
        <v>64.625299999999996</v>
      </c>
      <c r="H857" s="14">
        <f>64.5884 * CHOOSE(CONTROL!$C$15, $E$9, 100%, $G$9) + CHOOSE(CONTROL!$C$38, 0.0369, 0)</f>
        <v>64.625299999999996</v>
      </c>
      <c r="I857" s="14">
        <f>64.59 * CHOOSE(CONTROL!$C$15, $E$9, 100%, $G$9) + CHOOSE(CONTROL!$C$38, 0.0369, 0)</f>
        <v>64.626900000000006</v>
      </c>
      <c r="J857" s="44">
        <f>634.4587</f>
        <v>634.45870000000002</v>
      </c>
    </row>
    <row r="858" spans="1:10" ht="15.75" x14ac:dyDescent="0.25">
      <c r="A858" s="32">
        <v>67053</v>
      </c>
      <c r="B858" s="14">
        <f>67.9485 * CHOOSE(CONTROL!$C$15, $E$9, 100%, $G$9) + CHOOSE(CONTROL!$C$38, 0.0278, 0)</f>
        <v>67.976299999999995</v>
      </c>
      <c r="C858" s="14">
        <f>64.2901 * CHOOSE(CONTROL!$C$15, $E$9, 100%, $G$9) + CHOOSE(CONTROL!$C$38, 0.0369, 0)</f>
        <v>64.326999999999998</v>
      </c>
      <c r="D858" s="14">
        <f>64.2823 * CHOOSE(CONTROL!$C$15, $E$9, 100%, $G$9) + CHOOSE(CONTROL!$C$38, 0.0369, 0)</f>
        <v>64.319200000000009</v>
      </c>
      <c r="E858" s="46">
        <f>67.7922 * CHOOSE(CONTROL!$C$15, $E$9, 100%, $G$9) + CHOOSE(CONTROL!$C$38, 0.0369, 0)</f>
        <v>67.829099999999997</v>
      </c>
      <c r="F858" s="45">
        <f>67.7922 * CHOOSE(CONTROL!$C$15, $E$9, 100%, $G$9) + CHOOSE(CONTROL!$C$38, 0.0278, 0)</f>
        <v>67.819999999999993</v>
      </c>
      <c r="G858" s="14">
        <f>64.2885 * CHOOSE(CONTROL!$C$15, $E$9, 100%, $G$9) + CHOOSE(CONTROL!$C$38, 0.0369, 0)</f>
        <v>64.325400000000002</v>
      </c>
      <c r="H858" s="14">
        <f>64.2885 * CHOOSE(CONTROL!$C$15, $E$9, 100%, $G$9) + CHOOSE(CONTROL!$C$38, 0.0369, 0)</f>
        <v>64.325400000000002</v>
      </c>
      <c r="I858" s="14">
        <f>64.2901 * CHOOSE(CONTROL!$C$15, $E$9, 100%, $G$9) + CHOOSE(CONTROL!$C$38, 0.0369, 0)</f>
        <v>64.326999999999998</v>
      </c>
      <c r="J858" s="44">
        <f>631.4915</f>
        <v>631.49149999999997</v>
      </c>
    </row>
    <row r="859" spans="1:10" ht="15.75" x14ac:dyDescent="0.25">
      <c r="A859" s="32">
        <v>67084</v>
      </c>
      <c r="B859" s="14">
        <f>66.381 * CHOOSE(CONTROL!$C$15, $E$9, 100%, $G$9) + CHOOSE(CONTROL!$C$38, 0.0278, 0)</f>
        <v>66.408799999999999</v>
      </c>
      <c r="C859" s="14">
        <f>62.8042 * CHOOSE(CONTROL!$C$15, $E$9, 100%, $G$9) + CHOOSE(CONTROL!$C$38, 0.0369, 0)</f>
        <v>62.841100000000004</v>
      </c>
      <c r="D859" s="14">
        <f>62.7964 * CHOOSE(CONTROL!$C$15, $E$9, 100%, $G$9) + CHOOSE(CONTROL!$C$38, 0.0369, 0)</f>
        <v>62.833300000000001</v>
      </c>
      <c r="E859" s="46">
        <f>66.2248 * CHOOSE(CONTROL!$C$15, $E$9, 100%, $G$9) + CHOOSE(CONTROL!$C$38, 0.0369, 0)</f>
        <v>66.261700000000005</v>
      </c>
      <c r="F859" s="45">
        <f>66.2248 * CHOOSE(CONTROL!$C$15, $E$9, 100%, $G$9) + CHOOSE(CONTROL!$C$38, 0.0278, 0)</f>
        <v>66.252600000000001</v>
      </c>
      <c r="G859" s="14">
        <f>62.8026 * CHOOSE(CONTROL!$C$15, $E$9, 100%, $G$9) + CHOOSE(CONTROL!$C$38, 0.0369, 0)</f>
        <v>62.839500000000001</v>
      </c>
      <c r="H859" s="14">
        <f>62.8026 * CHOOSE(CONTROL!$C$15, $E$9, 100%, $G$9) + CHOOSE(CONTROL!$C$38, 0.0369, 0)</f>
        <v>62.839500000000001</v>
      </c>
      <c r="I859" s="14">
        <f>62.8042 * CHOOSE(CONTROL!$C$15, $E$9, 100%, $G$9) + CHOOSE(CONTROL!$C$38, 0.0369, 0)</f>
        <v>62.841100000000004</v>
      </c>
      <c r="J859" s="44">
        <f>616.7906</f>
        <v>616.79060000000004</v>
      </c>
    </row>
    <row r="860" spans="1:10" ht="15.75" x14ac:dyDescent="0.25">
      <c r="A860" s="32">
        <v>67114</v>
      </c>
      <c r="B860" s="14">
        <f>64.1951 * CHOOSE(CONTROL!$C$15, $E$9, 100%, $G$9) + CHOOSE(CONTROL!$C$38, 0.0278, 0)</f>
        <v>64.222899999999996</v>
      </c>
      <c r="C860" s="14">
        <f>60.732 * CHOOSE(CONTROL!$C$15, $E$9, 100%, $G$9) + CHOOSE(CONTROL!$C$38, 0.0369, 0)</f>
        <v>60.768900000000002</v>
      </c>
      <c r="D860" s="14">
        <f>60.7242 * CHOOSE(CONTROL!$C$15, $E$9, 100%, $G$9) + CHOOSE(CONTROL!$C$38, 0.0369, 0)</f>
        <v>60.761100000000006</v>
      </c>
      <c r="E860" s="46">
        <f>64.0389 * CHOOSE(CONTROL!$C$15, $E$9, 100%, $G$9) + CHOOSE(CONTROL!$C$38, 0.0369, 0)</f>
        <v>64.075800000000001</v>
      </c>
      <c r="F860" s="45">
        <f>64.0389 * CHOOSE(CONTROL!$C$15, $E$9, 100%, $G$9) + CHOOSE(CONTROL!$C$38, 0.0278, 0)</f>
        <v>64.066699999999997</v>
      </c>
      <c r="G860" s="14">
        <f>60.7304 * CHOOSE(CONTROL!$C$15, $E$9, 100%, $G$9) + CHOOSE(CONTROL!$C$38, 0.0369, 0)</f>
        <v>60.767300000000006</v>
      </c>
      <c r="H860" s="14">
        <f>60.7304 * CHOOSE(CONTROL!$C$15, $E$9, 100%, $G$9) + CHOOSE(CONTROL!$C$38, 0.0369, 0)</f>
        <v>60.767300000000006</v>
      </c>
      <c r="I860" s="14">
        <f>60.732 * CHOOSE(CONTROL!$C$15, $E$9, 100%, $G$9) + CHOOSE(CONTROL!$C$38, 0.0369, 0)</f>
        <v>60.768900000000002</v>
      </c>
      <c r="J860" s="44">
        <f>596.2896</f>
        <v>596.28959999999995</v>
      </c>
    </row>
    <row r="861" spans="1:10" ht="15.75" x14ac:dyDescent="0.25">
      <c r="A861" s="32">
        <v>67145</v>
      </c>
      <c r="B861" s="14">
        <f>61.9965 * CHOOSE(CONTROL!$C$15, $E$9, 100%, $G$9) + CHOOSE(CONTROL!$C$38, 0.0256, 0)</f>
        <v>62.022099999999995</v>
      </c>
      <c r="C861" s="14">
        <f>58.6478 * CHOOSE(CONTROL!$C$15, $E$9, 100%, $G$9) + CHOOSE(CONTROL!$C$38, 0.0347, 0)</f>
        <v>58.682499999999997</v>
      </c>
      <c r="D861" s="14">
        <f>58.6399 * CHOOSE(CONTROL!$C$15, $E$9, 100%, $G$9) + CHOOSE(CONTROL!$C$38, 0.0347, 0)</f>
        <v>58.674599999999998</v>
      </c>
      <c r="E861" s="46">
        <f>61.8403 * CHOOSE(CONTROL!$C$15, $E$9, 100%, $G$9) + CHOOSE(CONTROL!$C$38, 0.0347, 0)</f>
        <v>61.875</v>
      </c>
      <c r="F861" s="45">
        <f>61.8403 * CHOOSE(CONTROL!$C$15, $E$9, 100%, $G$9) + CHOOSE(CONTROL!$C$38, 0.0256, 0)</f>
        <v>61.865899999999996</v>
      </c>
      <c r="G861" s="14">
        <f>58.6462 * CHOOSE(CONTROL!$C$15, $E$9, 100%, $G$9) + CHOOSE(CONTROL!$C$38, 0.0347, 0)</f>
        <v>58.680900000000001</v>
      </c>
      <c r="H861" s="14">
        <f>58.6462 * CHOOSE(CONTROL!$C$15, $E$9, 100%, $G$9) + CHOOSE(CONTROL!$C$38, 0.0347, 0)</f>
        <v>58.680900000000001</v>
      </c>
      <c r="I861" s="14">
        <f>58.6478 * CHOOSE(CONTROL!$C$15, $E$9, 100%, $G$9) + CHOOSE(CONTROL!$C$38, 0.0347, 0)</f>
        <v>58.682499999999997</v>
      </c>
      <c r="J861" s="44">
        <f>575.6693</f>
        <v>575.66930000000002</v>
      </c>
    </row>
    <row r="862" spans="1:10" ht="15.75" x14ac:dyDescent="0.25">
      <c r="A862" s="32">
        <v>67175</v>
      </c>
      <c r="B862" s="14">
        <f>61.5592 * CHOOSE(CONTROL!$C$15, $E$9, 100%, $G$9) + CHOOSE(CONTROL!$C$38, 0.0256, 0)</f>
        <v>61.584799999999994</v>
      </c>
      <c r="C862" s="14">
        <f>58.2332 * CHOOSE(CONTROL!$C$15, $E$9, 100%, $G$9) + CHOOSE(CONTROL!$C$38, 0.0347, 0)</f>
        <v>58.267899999999997</v>
      </c>
      <c r="D862" s="14">
        <f>58.2254 * CHOOSE(CONTROL!$C$15, $E$9, 100%, $G$9) + CHOOSE(CONTROL!$C$38, 0.0347, 0)</f>
        <v>58.260100000000001</v>
      </c>
      <c r="E862" s="46">
        <f>61.4029 * CHOOSE(CONTROL!$C$15, $E$9, 100%, $G$9) + CHOOSE(CONTROL!$C$38, 0.0347, 0)</f>
        <v>61.437600000000003</v>
      </c>
      <c r="F862" s="45">
        <f>61.4029 * CHOOSE(CONTROL!$C$15, $E$9, 100%, $G$9) + CHOOSE(CONTROL!$C$38, 0.0256, 0)</f>
        <v>61.4285</v>
      </c>
      <c r="G862" s="14">
        <f>58.2316 * CHOOSE(CONTROL!$C$15, $E$9, 100%, $G$9) + CHOOSE(CONTROL!$C$38, 0.0347, 0)</f>
        <v>58.266300000000001</v>
      </c>
      <c r="H862" s="14">
        <f>58.2316 * CHOOSE(CONTROL!$C$15, $E$9, 100%, $G$9) + CHOOSE(CONTROL!$C$38, 0.0347, 0)</f>
        <v>58.266300000000001</v>
      </c>
      <c r="I862" s="14">
        <f>58.2332 * CHOOSE(CONTROL!$C$15, $E$9, 100%, $G$9) + CHOOSE(CONTROL!$C$38, 0.0347, 0)</f>
        <v>58.267899999999997</v>
      </c>
      <c r="J862" s="44">
        <f>571.5675</f>
        <v>571.5675</v>
      </c>
    </row>
    <row r="863" spans="1:10" ht="15.75" x14ac:dyDescent="0.25">
      <c r="A863" s="32">
        <v>67206</v>
      </c>
      <c r="B863" s="14">
        <f>59.7507 * CHOOSE(CONTROL!$C$15, $E$9, 100%, $G$9) + CHOOSE(CONTROL!$C$38, 0.0256, 0)</f>
        <v>59.776299999999999</v>
      </c>
      <c r="C863" s="14">
        <f>56.5188 * CHOOSE(CONTROL!$C$15, $E$9, 100%, $G$9) + CHOOSE(CONTROL!$C$38, 0.0347, 0)</f>
        <v>56.5535</v>
      </c>
      <c r="D863" s="14">
        <f>56.511 * CHOOSE(CONTROL!$C$15, $E$9, 100%, $G$9) + CHOOSE(CONTROL!$C$38, 0.0347, 0)</f>
        <v>56.545700000000004</v>
      </c>
      <c r="E863" s="46">
        <f>59.5945 * CHOOSE(CONTROL!$C$15, $E$9, 100%, $G$9) + CHOOSE(CONTROL!$C$38, 0.0347, 0)</f>
        <v>59.629199999999997</v>
      </c>
      <c r="F863" s="45">
        <f>59.5945 * CHOOSE(CONTROL!$C$15, $E$9, 100%, $G$9) + CHOOSE(CONTROL!$C$38, 0.0256, 0)</f>
        <v>59.620099999999994</v>
      </c>
      <c r="G863" s="14">
        <f>56.5172 * CHOOSE(CONTROL!$C$15, $E$9, 100%, $G$9) + CHOOSE(CONTROL!$C$38, 0.0347, 0)</f>
        <v>56.551900000000003</v>
      </c>
      <c r="H863" s="14">
        <f>56.5172 * CHOOSE(CONTROL!$C$15, $E$9, 100%, $G$9) + CHOOSE(CONTROL!$C$38, 0.0347, 0)</f>
        <v>56.551900000000003</v>
      </c>
      <c r="I863" s="14">
        <f>56.5188 * CHOOSE(CONTROL!$C$15, $E$9, 100%, $G$9) + CHOOSE(CONTROL!$C$38, 0.0347, 0)</f>
        <v>56.5535</v>
      </c>
      <c r="J863" s="44">
        <f>554.6062</f>
        <v>554.60619999999994</v>
      </c>
    </row>
    <row r="864" spans="1:10" ht="15.75" x14ac:dyDescent="0.25">
      <c r="A864" s="32">
        <v>67237</v>
      </c>
      <c r="B864" s="14">
        <f>59.3016 * CHOOSE(CONTROL!$C$15, $E$9, 100%, $G$9) + CHOOSE(CONTROL!$C$38, 0.0256, 0)</f>
        <v>59.327199999999998</v>
      </c>
      <c r="C864" s="14">
        <f>56.093 * CHOOSE(CONTROL!$C$15, $E$9, 100%, $G$9) + CHOOSE(CONTROL!$C$38, 0.0347, 0)</f>
        <v>56.127700000000004</v>
      </c>
      <c r="D864" s="14">
        <f>56.0852 * CHOOSE(CONTROL!$C$15, $E$9, 100%, $G$9) + CHOOSE(CONTROL!$C$38, 0.0347, 0)</f>
        <v>56.119900000000001</v>
      </c>
      <c r="E864" s="46">
        <f>59.1454 * CHOOSE(CONTROL!$C$15, $E$9, 100%, $G$9) + CHOOSE(CONTROL!$C$38, 0.0347, 0)</f>
        <v>59.180100000000003</v>
      </c>
      <c r="F864" s="45">
        <f>59.1454 * CHOOSE(CONTROL!$C$15, $E$9, 100%, $G$9) + CHOOSE(CONTROL!$C$38, 0.0256, 0)</f>
        <v>59.170999999999999</v>
      </c>
      <c r="G864" s="14">
        <f>56.0915 * CHOOSE(CONTROL!$C$15, $E$9, 100%, $G$9) + CHOOSE(CONTROL!$C$38, 0.0347, 0)</f>
        <v>56.126200000000004</v>
      </c>
      <c r="H864" s="14">
        <f>56.0915 * CHOOSE(CONTROL!$C$15, $E$9, 100%, $G$9) + CHOOSE(CONTROL!$C$38, 0.0347, 0)</f>
        <v>56.126200000000004</v>
      </c>
      <c r="I864" s="14">
        <f>56.093 * CHOOSE(CONTROL!$C$15, $E$9, 100%, $G$9) + CHOOSE(CONTROL!$C$38, 0.0347, 0)</f>
        <v>56.127700000000004</v>
      </c>
      <c r="J864" s="44">
        <f>554.2058</f>
        <v>554.20579999999995</v>
      </c>
    </row>
    <row r="865" spans="1:10" ht="15.75" x14ac:dyDescent="0.25">
      <c r="A865" s="32">
        <v>67266</v>
      </c>
      <c r="B865" s="14">
        <f>59.1385 * CHOOSE(CONTROL!$C$15, $E$9, 100%, $G$9) + CHOOSE(CONTROL!$C$38, 0.0256, 0)</f>
        <v>59.164099999999998</v>
      </c>
      <c r="C865" s="14">
        <f>55.9384 * CHOOSE(CONTROL!$C$15, $E$9, 100%, $G$9) + CHOOSE(CONTROL!$C$38, 0.0347, 0)</f>
        <v>55.973100000000002</v>
      </c>
      <c r="D865" s="14">
        <f>55.9306 * CHOOSE(CONTROL!$C$15, $E$9, 100%, $G$9) + CHOOSE(CONTROL!$C$38, 0.0347, 0)</f>
        <v>55.965299999999999</v>
      </c>
      <c r="E865" s="46">
        <f>58.9823 * CHOOSE(CONTROL!$C$15, $E$9, 100%, $G$9) + CHOOSE(CONTROL!$C$38, 0.0347, 0)</f>
        <v>59.017000000000003</v>
      </c>
      <c r="F865" s="45">
        <f>58.9823 * CHOOSE(CONTROL!$C$15, $E$9, 100%, $G$9) + CHOOSE(CONTROL!$C$38, 0.0256, 0)</f>
        <v>59.007899999999999</v>
      </c>
      <c r="G865" s="14">
        <f>55.9368 * CHOOSE(CONTROL!$C$15, $E$9, 100%, $G$9) + CHOOSE(CONTROL!$C$38, 0.0347, 0)</f>
        <v>55.971499999999999</v>
      </c>
      <c r="H865" s="14">
        <f>55.9368 * CHOOSE(CONTROL!$C$15, $E$9, 100%, $G$9) + CHOOSE(CONTROL!$C$38, 0.0347, 0)</f>
        <v>55.971499999999999</v>
      </c>
      <c r="I865" s="14">
        <f>55.9384 * CHOOSE(CONTROL!$C$15, $E$9, 100%, $G$9) + CHOOSE(CONTROL!$C$38, 0.0347, 0)</f>
        <v>55.973100000000002</v>
      </c>
      <c r="J865" s="44">
        <f>552.6653</f>
        <v>552.6653</v>
      </c>
    </row>
    <row r="866" spans="1:10" ht="15.75" x14ac:dyDescent="0.25">
      <c r="A866" s="32">
        <v>67297</v>
      </c>
      <c r="B866" s="14">
        <f>62.2229 * CHOOSE(CONTROL!$C$15, $E$9, 100%, $G$9) + CHOOSE(CONTROL!$C$38, 0.0256, 0)</f>
        <v>62.2485</v>
      </c>
      <c r="C866" s="14">
        <f>58.8624 * CHOOSE(CONTROL!$C$15, $E$9, 100%, $G$9) + CHOOSE(CONTROL!$C$38, 0.0347, 0)</f>
        <v>58.897100000000002</v>
      </c>
      <c r="D866" s="14">
        <f>58.8546 * CHOOSE(CONTROL!$C$15, $E$9, 100%, $G$9) + CHOOSE(CONTROL!$C$38, 0.0347, 0)</f>
        <v>58.889299999999999</v>
      </c>
      <c r="E866" s="46">
        <f>62.0667 * CHOOSE(CONTROL!$C$15, $E$9, 100%, $G$9) + CHOOSE(CONTROL!$C$38, 0.0347, 0)</f>
        <v>62.101399999999998</v>
      </c>
      <c r="F866" s="45">
        <f>62.0667 * CHOOSE(CONTROL!$C$15, $E$9, 100%, $G$9) + CHOOSE(CONTROL!$C$38, 0.0256, 0)</f>
        <v>62.092299999999994</v>
      </c>
      <c r="G866" s="14">
        <f>58.8608 * CHOOSE(CONTROL!$C$15, $E$9, 100%, $G$9) + CHOOSE(CONTROL!$C$38, 0.0347, 0)</f>
        <v>58.895499999999998</v>
      </c>
      <c r="H866" s="14">
        <f>58.8608 * CHOOSE(CONTROL!$C$15, $E$9, 100%, $G$9) + CHOOSE(CONTROL!$C$38, 0.0347, 0)</f>
        <v>58.895499999999998</v>
      </c>
      <c r="I866" s="14">
        <f>58.8624 * CHOOSE(CONTROL!$C$15, $E$9, 100%, $G$9) + CHOOSE(CONTROL!$C$38, 0.0347, 0)</f>
        <v>58.897100000000002</v>
      </c>
      <c r="J866" s="44">
        <f>581.7939</f>
        <v>581.79390000000001</v>
      </c>
    </row>
    <row r="867" spans="1:10" ht="15.75" x14ac:dyDescent="0.25">
      <c r="A867" s="32">
        <v>67327</v>
      </c>
      <c r="B867" s="14">
        <f>66.2227 * CHOOSE(CONTROL!$C$15, $E$9, 100%, $G$9) + CHOOSE(CONTROL!$C$38, 0.0256, 0)</f>
        <v>66.2483</v>
      </c>
      <c r="C867" s="14">
        <f>62.6541 * CHOOSE(CONTROL!$C$15, $E$9, 100%, $G$9) + CHOOSE(CONTROL!$C$38, 0.0347, 0)</f>
        <v>62.688800000000001</v>
      </c>
      <c r="D867" s="14">
        <f>62.6463 * CHOOSE(CONTROL!$C$15, $E$9, 100%, $G$9) + CHOOSE(CONTROL!$C$38, 0.0347, 0)</f>
        <v>62.680999999999997</v>
      </c>
      <c r="E867" s="46">
        <f>66.0664 * CHOOSE(CONTROL!$C$15, $E$9, 100%, $G$9) + CHOOSE(CONTROL!$C$38, 0.0347, 0)</f>
        <v>66.101100000000002</v>
      </c>
      <c r="F867" s="45">
        <f>66.0664 * CHOOSE(CONTROL!$C$15, $E$9, 100%, $G$9) + CHOOSE(CONTROL!$C$38, 0.0256, 0)</f>
        <v>66.091999999999999</v>
      </c>
      <c r="G867" s="14">
        <f>62.6525 * CHOOSE(CONTROL!$C$15, $E$9, 100%, $G$9) + CHOOSE(CONTROL!$C$38, 0.0347, 0)</f>
        <v>62.687200000000004</v>
      </c>
      <c r="H867" s="14">
        <f>62.6525 * CHOOSE(CONTROL!$C$15, $E$9, 100%, $G$9) + CHOOSE(CONTROL!$C$38, 0.0347, 0)</f>
        <v>62.687200000000004</v>
      </c>
      <c r="I867" s="14">
        <f>62.6541 * CHOOSE(CONTROL!$C$15, $E$9, 100%, $G$9) + CHOOSE(CONTROL!$C$38, 0.0347, 0)</f>
        <v>62.688800000000001</v>
      </c>
      <c r="J867" s="44">
        <f>619.5668</f>
        <v>619.56679999999994</v>
      </c>
    </row>
    <row r="868" spans="1:10" ht="15.75" x14ac:dyDescent="0.25">
      <c r="A868" s="32">
        <v>67358</v>
      </c>
      <c r="B868" s="14">
        <f>68.4243 * CHOOSE(CONTROL!$C$15, $E$9, 100%, $G$9) + CHOOSE(CONTROL!$C$38, 0.0278, 0)</f>
        <v>68.452100000000002</v>
      </c>
      <c r="C868" s="14">
        <f>64.7412 * CHOOSE(CONTROL!$C$15, $E$9, 100%, $G$9) + CHOOSE(CONTROL!$C$38, 0.0369, 0)</f>
        <v>64.778100000000009</v>
      </c>
      <c r="D868" s="14">
        <f>64.7333 * CHOOSE(CONTROL!$C$15, $E$9, 100%, $G$9) + CHOOSE(CONTROL!$C$38, 0.0369, 0)</f>
        <v>64.770200000000003</v>
      </c>
      <c r="E868" s="46">
        <f>68.268 * CHOOSE(CONTROL!$C$15, $E$9, 100%, $G$9) + CHOOSE(CONTROL!$C$38, 0.0369, 0)</f>
        <v>68.304900000000004</v>
      </c>
      <c r="F868" s="45">
        <f>68.268 * CHOOSE(CONTROL!$C$15, $E$9, 100%, $G$9) + CHOOSE(CONTROL!$C$38, 0.0278, 0)</f>
        <v>68.2958</v>
      </c>
      <c r="G868" s="14">
        <f>64.7396 * CHOOSE(CONTROL!$C$15, $E$9, 100%, $G$9) + CHOOSE(CONTROL!$C$38, 0.0369, 0)</f>
        <v>64.776499999999999</v>
      </c>
      <c r="H868" s="14">
        <f>64.7396 * CHOOSE(CONTROL!$C$15, $E$9, 100%, $G$9) + CHOOSE(CONTROL!$C$38, 0.0369, 0)</f>
        <v>64.776499999999999</v>
      </c>
      <c r="I868" s="14">
        <f>64.7412 * CHOOSE(CONTROL!$C$15, $E$9, 100%, $G$9) + CHOOSE(CONTROL!$C$38, 0.0369, 0)</f>
        <v>64.778100000000009</v>
      </c>
      <c r="J868" s="44">
        <f>640.3583</f>
        <v>640.35829999999999</v>
      </c>
    </row>
    <row r="869" spans="1:10" ht="15.75" x14ac:dyDescent="0.25">
      <c r="A869" s="32">
        <v>67388</v>
      </c>
      <c r="B869" s="14">
        <f>69.4013 * CHOOSE(CONTROL!$C$15, $E$9, 100%, $G$9) + CHOOSE(CONTROL!$C$38, 0.0278, 0)</f>
        <v>69.429100000000005</v>
      </c>
      <c r="C869" s="14">
        <f>65.6674 * CHOOSE(CONTROL!$C$15, $E$9, 100%, $G$9) + CHOOSE(CONTROL!$C$38, 0.0369, 0)</f>
        <v>65.704300000000003</v>
      </c>
      <c r="D869" s="14">
        <f>65.6595 * CHOOSE(CONTROL!$C$15, $E$9, 100%, $G$9) + CHOOSE(CONTROL!$C$38, 0.0369, 0)</f>
        <v>65.696399999999997</v>
      </c>
      <c r="E869" s="46">
        <f>69.245 * CHOOSE(CONTROL!$C$15, $E$9, 100%, $G$9) + CHOOSE(CONTROL!$C$38, 0.0369, 0)</f>
        <v>69.281900000000007</v>
      </c>
      <c r="F869" s="45">
        <f>69.245 * CHOOSE(CONTROL!$C$15, $E$9, 100%, $G$9) + CHOOSE(CONTROL!$C$38, 0.0278, 0)</f>
        <v>69.272800000000004</v>
      </c>
      <c r="G869" s="14">
        <f>65.6658 * CHOOSE(CONTROL!$C$15, $E$9, 100%, $G$9) + CHOOSE(CONTROL!$C$38, 0.0369, 0)</f>
        <v>65.702700000000007</v>
      </c>
      <c r="H869" s="14">
        <f>65.6658 * CHOOSE(CONTROL!$C$15, $E$9, 100%, $G$9) + CHOOSE(CONTROL!$C$38, 0.0369, 0)</f>
        <v>65.702700000000007</v>
      </c>
      <c r="I869" s="14">
        <f>65.6674 * CHOOSE(CONTROL!$C$15, $E$9, 100%, $G$9) + CHOOSE(CONTROL!$C$38, 0.0369, 0)</f>
        <v>65.704300000000003</v>
      </c>
      <c r="J869" s="44">
        <f>649.5851</f>
        <v>649.58510000000001</v>
      </c>
    </row>
    <row r="870" spans="1:10" ht="15.75" x14ac:dyDescent="0.25">
      <c r="A870" s="32">
        <v>67419</v>
      </c>
      <c r="B870" s="14">
        <f>69.0796 * CHOOSE(CONTROL!$C$15, $E$9, 100%, $G$9) + CHOOSE(CONTROL!$C$38, 0.0278, 0)</f>
        <v>69.107399999999998</v>
      </c>
      <c r="C870" s="14">
        <f>65.3624 * CHOOSE(CONTROL!$C$15, $E$9, 100%, $G$9) + CHOOSE(CONTROL!$C$38, 0.0369, 0)</f>
        <v>65.399299999999997</v>
      </c>
      <c r="D870" s="14">
        <f>65.3546 * CHOOSE(CONTROL!$C$15, $E$9, 100%, $G$9) + CHOOSE(CONTROL!$C$38, 0.0369, 0)</f>
        <v>65.391500000000008</v>
      </c>
      <c r="E870" s="46">
        <f>68.9233 * CHOOSE(CONTROL!$C$15, $E$9, 100%, $G$9) + CHOOSE(CONTROL!$C$38, 0.0369, 0)</f>
        <v>68.9602</v>
      </c>
      <c r="F870" s="45">
        <f>68.9233 * CHOOSE(CONTROL!$C$15, $E$9, 100%, $G$9) + CHOOSE(CONTROL!$C$38, 0.0278, 0)</f>
        <v>68.951099999999997</v>
      </c>
      <c r="G870" s="14">
        <f>65.3608 * CHOOSE(CONTROL!$C$15, $E$9, 100%, $G$9) + CHOOSE(CONTROL!$C$38, 0.0369, 0)</f>
        <v>65.3977</v>
      </c>
      <c r="H870" s="14">
        <f>65.3608 * CHOOSE(CONTROL!$C$15, $E$9, 100%, $G$9) + CHOOSE(CONTROL!$C$38, 0.0369, 0)</f>
        <v>65.3977</v>
      </c>
      <c r="I870" s="14">
        <f>65.3624 * CHOOSE(CONTROL!$C$15, $E$9, 100%, $G$9) + CHOOSE(CONTROL!$C$38, 0.0369, 0)</f>
        <v>65.399299999999997</v>
      </c>
      <c r="J870" s="44">
        <f>646.5472</f>
        <v>646.54719999999998</v>
      </c>
    </row>
    <row r="871" spans="1:10" ht="15.75" x14ac:dyDescent="0.25">
      <c r="A871" s="32">
        <v>67450</v>
      </c>
      <c r="B871" s="14">
        <f>67.4858 * CHOOSE(CONTROL!$C$15, $E$9, 100%, $G$9) + CHOOSE(CONTROL!$C$38, 0.0278, 0)</f>
        <v>67.513599999999997</v>
      </c>
      <c r="C871" s="14">
        <f>63.8515 * CHOOSE(CONTROL!$C$15, $E$9, 100%, $G$9) + CHOOSE(CONTROL!$C$38, 0.0369, 0)</f>
        <v>63.888400000000004</v>
      </c>
      <c r="D871" s="14">
        <f>63.8437 * CHOOSE(CONTROL!$C$15, $E$9, 100%, $G$9) + CHOOSE(CONTROL!$C$38, 0.0369, 0)</f>
        <v>63.880600000000001</v>
      </c>
      <c r="E871" s="46">
        <f>67.3296 * CHOOSE(CONTROL!$C$15, $E$9, 100%, $G$9) + CHOOSE(CONTROL!$C$38, 0.0369, 0)</f>
        <v>67.366500000000002</v>
      </c>
      <c r="F871" s="45">
        <f>67.3296 * CHOOSE(CONTROL!$C$15, $E$9, 100%, $G$9) + CHOOSE(CONTROL!$C$38, 0.0278, 0)</f>
        <v>67.357399999999998</v>
      </c>
      <c r="G871" s="14">
        <f>63.85 * CHOOSE(CONTROL!$C$15, $E$9, 100%, $G$9) + CHOOSE(CONTROL!$C$38, 0.0369, 0)</f>
        <v>63.886900000000004</v>
      </c>
      <c r="H871" s="14">
        <f>63.85 * CHOOSE(CONTROL!$C$15, $E$9, 100%, $G$9) + CHOOSE(CONTROL!$C$38, 0.0369, 0)</f>
        <v>63.886900000000004</v>
      </c>
      <c r="I871" s="14">
        <f>63.8515 * CHOOSE(CONTROL!$C$15, $E$9, 100%, $G$9) + CHOOSE(CONTROL!$C$38, 0.0369, 0)</f>
        <v>63.888400000000004</v>
      </c>
      <c r="J871" s="44">
        <f>631.4959</f>
        <v>631.49590000000001</v>
      </c>
    </row>
    <row r="872" spans="1:10" ht="15.75" x14ac:dyDescent="0.25">
      <c r="A872" s="32">
        <v>67480</v>
      </c>
      <c r="B872" s="14">
        <f>65.2632 * CHOOSE(CONTROL!$C$15, $E$9, 100%, $G$9) + CHOOSE(CONTROL!$C$38, 0.0278, 0)</f>
        <v>65.290999999999997</v>
      </c>
      <c r="C872" s="14">
        <f>61.7445 * CHOOSE(CONTROL!$C$15, $E$9, 100%, $G$9) + CHOOSE(CONTROL!$C$38, 0.0369, 0)</f>
        <v>61.781400000000005</v>
      </c>
      <c r="D872" s="14">
        <f>61.7367 * CHOOSE(CONTROL!$C$15, $E$9, 100%, $G$9) + CHOOSE(CONTROL!$C$38, 0.0369, 0)</f>
        <v>61.773600000000002</v>
      </c>
      <c r="E872" s="46">
        <f>65.107 * CHOOSE(CONTROL!$C$15, $E$9, 100%, $G$9) + CHOOSE(CONTROL!$C$38, 0.0369, 0)</f>
        <v>65.143900000000002</v>
      </c>
      <c r="F872" s="45">
        <f>65.107 * CHOOSE(CONTROL!$C$15, $E$9, 100%, $G$9) + CHOOSE(CONTROL!$C$38, 0.0278, 0)</f>
        <v>65.134799999999998</v>
      </c>
      <c r="G872" s="14">
        <f>61.743 * CHOOSE(CONTROL!$C$15, $E$9, 100%, $G$9) + CHOOSE(CONTROL!$C$38, 0.0369, 0)</f>
        <v>61.779900000000005</v>
      </c>
      <c r="H872" s="14">
        <f>61.743 * CHOOSE(CONTROL!$C$15, $E$9, 100%, $G$9) + CHOOSE(CONTROL!$C$38, 0.0369, 0)</f>
        <v>61.779900000000005</v>
      </c>
      <c r="I872" s="14">
        <f>61.7445 * CHOOSE(CONTROL!$C$15, $E$9, 100%, $G$9) + CHOOSE(CONTROL!$C$38, 0.0369, 0)</f>
        <v>61.781400000000005</v>
      </c>
      <c r="J872" s="44">
        <f>610.506</f>
        <v>610.50599999999997</v>
      </c>
    </row>
    <row r="873" spans="1:10" ht="15.75" x14ac:dyDescent="0.25">
      <c r="A873" s="32">
        <v>67511</v>
      </c>
      <c r="B873" s="14">
        <f>63.0277 * CHOOSE(CONTROL!$C$15, $E$9, 100%, $G$9) + CHOOSE(CONTROL!$C$38, 0.0256, 0)</f>
        <v>63.0533</v>
      </c>
      <c r="C873" s="14">
        <f>59.6253 * CHOOSE(CONTROL!$C$15, $E$9, 100%, $G$9) + CHOOSE(CONTROL!$C$38, 0.0347, 0)</f>
        <v>59.660000000000004</v>
      </c>
      <c r="D873" s="14">
        <f>59.6175 * CHOOSE(CONTROL!$C$15, $E$9, 100%, $G$9) + CHOOSE(CONTROL!$C$38, 0.0347, 0)</f>
        <v>59.652200000000001</v>
      </c>
      <c r="E873" s="46">
        <f>62.8714 * CHOOSE(CONTROL!$C$15, $E$9, 100%, $G$9) + CHOOSE(CONTROL!$C$38, 0.0347, 0)</f>
        <v>62.906100000000002</v>
      </c>
      <c r="F873" s="45">
        <f>62.8714 * CHOOSE(CONTROL!$C$15, $E$9, 100%, $G$9) + CHOOSE(CONTROL!$C$38, 0.0256, 0)</f>
        <v>62.896999999999998</v>
      </c>
      <c r="G873" s="14">
        <f>59.6237 * CHOOSE(CONTROL!$C$15, $E$9, 100%, $G$9) + CHOOSE(CONTROL!$C$38, 0.0347, 0)</f>
        <v>59.6584</v>
      </c>
      <c r="H873" s="14">
        <f>59.6237 * CHOOSE(CONTROL!$C$15, $E$9, 100%, $G$9) + CHOOSE(CONTROL!$C$38, 0.0347, 0)</f>
        <v>59.6584</v>
      </c>
      <c r="I873" s="14">
        <f>59.6253 * CHOOSE(CONTROL!$C$15, $E$9, 100%, $G$9) + CHOOSE(CONTROL!$C$38, 0.0347, 0)</f>
        <v>59.660000000000004</v>
      </c>
      <c r="J873" s="44">
        <f>589.3941</f>
        <v>589.39409999999998</v>
      </c>
    </row>
    <row r="874" spans="1:10" ht="15.75" x14ac:dyDescent="0.25">
      <c r="A874" s="32">
        <v>67541</v>
      </c>
      <c r="B874" s="14">
        <f>62.583 * CHOOSE(CONTROL!$C$15, $E$9, 100%, $G$9) + CHOOSE(CONTROL!$C$38, 0.0256, 0)</f>
        <v>62.608599999999996</v>
      </c>
      <c r="C874" s="14">
        <f>59.2037 * CHOOSE(CONTROL!$C$15, $E$9, 100%, $G$9) + CHOOSE(CONTROL!$C$38, 0.0347, 0)</f>
        <v>59.238399999999999</v>
      </c>
      <c r="D874" s="14">
        <f>59.1959 * CHOOSE(CONTROL!$C$15, $E$9, 100%, $G$9) + CHOOSE(CONTROL!$C$38, 0.0347, 0)</f>
        <v>59.230600000000003</v>
      </c>
      <c r="E874" s="46">
        <f>62.4268 * CHOOSE(CONTROL!$C$15, $E$9, 100%, $G$9) + CHOOSE(CONTROL!$C$38, 0.0347, 0)</f>
        <v>62.461500000000001</v>
      </c>
      <c r="F874" s="45">
        <f>62.4268 * CHOOSE(CONTROL!$C$15, $E$9, 100%, $G$9) + CHOOSE(CONTROL!$C$38, 0.0256, 0)</f>
        <v>62.452399999999997</v>
      </c>
      <c r="G874" s="14">
        <f>59.2022 * CHOOSE(CONTROL!$C$15, $E$9, 100%, $G$9) + CHOOSE(CONTROL!$C$38, 0.0347, 0)</f>
        <v>59.236899999999999</v>
      </c>
      <c r="H874" s="14">
        <f>59.2022 * CHOOSE(CONTROL!$C$15, $E$9, 100%, $G$9) + CHOOSE(CONTROL!$C$38, 0.0347, 0)</f>
        <v>59.236899999999999</v>
      </c>
      <c r="I874" s="14">
        <f>59.2037 * CHOOSE(CONTROL!$C$15, $E$9, 100%, $G$9) + CHOOSE(CONTROL!$C$38, 0.0347, 0)</f>
        <v>59.238399999999999</v>
      </c>
      <c r="J874" s="44">
        <f>585.1945</f>
        <v>585.19449999999995</v>
      </c>
    </row>
    <row r="875" spans="1:10" ht="15.75" x14ac:dyDescent="0.25">
      <c r="A875" s="32">
        <v>67572</v>
      </c>
      <c r="B875" s="14">
        <f>60.7442 * CHOOSE(CONTROL!$C$15, $E$9, 100%, $G$9) + CHOOSE(CONTROL!$C$38, 0.0256, 0)</f>
        <v>60.769799999999996</v>
      </c>
      <c r="C875" s="14">
        <f>57.4605 * CHOOSE(CONTROL!$C$15, $E$9, 100%, $G$9) + CHOOSE(CONTROL!$C$38, 0.0347, 0)</f>
        <v>57.495200000000004</v>
      </c>
      <c r="D875" s="14">
        <f>57.4527 * CHOOSE(CONTROL!$C$15, $E$9, 100%, $G$9) + CHOOSE(CONTROL!$C$38, 0.0347, 0)</f>
        <v>57.487400000000001</v>
      </c>
      <c r="E875" s="46">
        <f>60.5879 * CHOOSE(CONTROL!$C$15, $E$9, 100%, $G$9) + CHOOSE(CONTROL!$C$38, 0.0347, 0)</f>
        <v>60.622599999999998</v>
      </c>
      <c r="F875" s="45">
        <f>60.5879 * CHOOSE(CONTROL!$C$15, $E$9, 100%, $G$9) + CHOOSE(CONTROL!$C$38, 0.0256, 0)</f>
        <v>60.613499999999995</v>
      </c>
      <c r="G875" s="14">
        <f>57.459 * CHOOSE(CONTROL!$C$15, $E$9, 100%, $G$9) + CHOOSE(CONTROL!$C$38, 0.0347, 0)</f>
        <v>57.493700000000004</v>
      </c>
      <c r="H875" s="14">
        <f>57.459 * CHOOSE(CONTROL!$C$15, $E$9, 100%, $G$9) + CHOOSE(CONTROL!$C$38, 0.0347, 0)</f>
        <v>57.493700000000004</v>
      </c>
      <c r="I875" s="14">
        <f>57.4605 * CHOOSE(CONTROL!$C$15, $E$9, 100%, $G$9) + CHOOSE(CONTROL!$C$38, 0.0347, 0)</f>
        <v>57.495200000000004</v>
      </c>
      <c r="J875" s="44">
        <f>567.8288</f>
        <v>567.8288</v>
      </c>
    </row>
    <row r="876" spans="1:10" ht="15.75" x14ac:dyDescent="0.25">
      <c r="A876" s="32">
        <v>67603</v>
      </c>
      <c r="B876" s="14">
        <f>60.2875 * CHOOSE(CONTROL!$C$15, $E$9, 100%, $G$9) + CHOOSE(CONTROL!$C$38, 0.0256, 0)</f>
        <v>60.313099999999999</v>
      </c>
      <c r="C876" s="14">
        <f>57.0276 * CHOOSE(CONTROL!$C$15, $E$9, 100%, $G$9) + CHOOSE(CONTROL!$C$38, 0.0347, 0)</f>
        <v>57.0623</v>
      </c>
      <c r="D876" s="14">
        <f>57.0198 * CHOOSE(CONTROL!$C$15, $E$9, 100%, $G$9) + CHOOSE(CONTROL!$C$38, 0.0347, 0)</f>
        <v>57.054499999999997</v>
      </c>
      <c r="E876" s="46">
        <f>60.1313 * CHOOSE(CONTROL!$C$15, $E$9, 100%, $G$9) + CHOOSE(CONTROL!$C$38, 0.0347, 0)</f>
        <v>60.166000000000004</v>
      </c>
      <c r="F876" s="45">
        <f>60.1313 * CHOOSE(CONTROL!$C$15, $E$9, 100%, $G$9) + CHOOSE(CONTROL!$C$38, 0.0256, 0)</f>
        <v>60.1569</v>
      </c>
      <c r="G876" s="14">
        <f>57.0261 * CHOOSE(CONTROL!$C$15, $E$9, 100%, $G$9) + CHOOSE(CONTROL!$C$38, 0.0347, 0)</f>
        <v>57.0608</v>
      </c>
      <c r="H876" s="14">
        <f>57.0261 * CHOOSE(CONTROL!$C$15, $E$9, 100%, $G$9) + CHOOSE(CONTROL!$C$38, 0.0347, 0)</f>
        <v>57.0608</v>
      </c>
      <c r="I876" s="14">
        <f>57.0276 * CHOOSE(CONTROL!$C$15, $E$9, 100%, $G$9) + CHOOSE(CONTROL!$C$38, 0.0347, 0)</f>
        <v>57.0623</v>
      </c>
      <c r="J876" s="44">
        <f>567.4189</f>
        <v>567.41890000000001</v>
      </c>
    </row>
    <row r="877" spans="1:10" ht="15.75" x14ac:dyDescent="0.25">
      <c r="A877" s="32">
        <v>67631</v>
      </c>
      <c r="B877" s="14">
        <f>60.1217 * CHOOSE(CONTROL!$C$15, $E$9, 100%, $G$9) + CHOOSE(CONTROL!$C$38, 0.0256, 0)</f>
        <v>60.147299999999994</v>
      </c>
      <c r="C877" s="14">
        <f>56.8704 * CHOOSE(CONTROL!$C$15, $E$9, 100%, $G$9) + CHOOSE(CONTROL!$C$38, 0.0347, 0)</f>
        <v>56.905099999999997</v>
      </c>
      <c r="D877" s="14">
        <f>56.8626 * CHOOSE(CONTROL!$C$15, $E$9, 100%, $G$9) + CHOOSE(CONTROL!$C$38, 0.0347, 0)</f>
        <v>56.897300000000001</v>
      </c>
      <c r="E877" s="46">
        <f>59.9654 * CHOOSE(CONTROL!$C$15, $E$9, 100%, $G$9) + CHOOSE(CONTROL!$C$38, 0.0347, 0)</f>
        <v>60.000100000000003</v>
      </c>
      <c r="F877" s="45">
        <f>59.9654 * CHOOSE(CONTROL!$C$15, $E$9, 100%, $G$9) + CHOOSE(CONTROL!$C$38, 0.0256, 0)</f>
        <v>59.991</v>
      </c>
      <c r="G877" s="14">
        <f>56.8688 * CHOOSE(CONTROL!$C$15, $E$9, 100%, $G$9) + CHOOSE(CONTROL!$C$38, 0.0347, 0)</f>
        <v>56.903500000000001</v>
      </c>
      <c r="H877" s="14">
        <f>56.8688 * CHOOSE(CONTROL!$C$15, $E$9, 100%, $G$9) + CHOOSE(CONTROL!$C$38, 0.0347, 0)</f>
        <v>56.903500000000001</v>
      </c>
      <c r="I877" s="14">
        <f>56.8704 * CHOOSE(CONTROL!$C$15, $E$9, 100%, $G$9) + CHOOSE(CONTROL!$C$38, 0.0347, 0)</f>
        <v>56.905099999999997</v>
      </c>
      <c r="J877" s="44">
        <f>565.8416</f>
        <v>565.84159999999997</v>
      </c>
    </row>
    <row r="878" spans="1:10" ht="15.75" x14ac:dyDescent="0.25">
      <c r="A878" s="32">
        <v>67662</v>
      </c>
      <c r="B878" s="14">
        <f>63.2579 * CHOOSE(CONTROL!$C$15, $E$9, 100%, $G$9) + CHOOSE(CONTROL!$C$38, 0.0256, 0)</f>
        <v>63.283499999999997</v>
      </c>
      <c r="C878" s="14">
        <f>59.8435 * CHOOSE(CONTROL!$C$15, $E$9, 100%, $G$9) + CHOOSE(CONTROL!$C$38, 0.0347, 0)</f>
        <v>59.8782</v>
      </c>
      <c r="D878" s="14">
        <f>59.8357 * CHOOSE(CONTROL!$C$15, $E$9, 100%, $G$9) + CHOOSE(CONTROL!$C$38, 0.0347, 0)</f>
        <v>59.870400000000004</v>
      </c>
      <c r="E878" s="46">
        <f>63.1016 * CHOOSE(CONTROL!$C$15, $E$9, 100%, $G$9) + CHOOSE(CONTROL!$C$38, 0.0347, 0)</f>
        <v>63.136299999999999</v>
      </c>
      <c r="F878" s="45">
        <f>63.1016 * CHOOSE(CONTROL!$C$15, $E$9, 100%, $G$9) + CHOOSE(CONTROL!$C$38, 0.0256, 0)</f>
        <v>63.127199999999995</v>
      </c>
      <c r="G878" s="14">
        <f>59.8419 * CHOOSE(CONTROL!$C$15, $E$9, 100%, $G$9) + CHOOSE(CONTROL!$C$38, 0.0347, 0)</f>
        <v>59.876600000000003</v>
      </c>
      <c r="H878" s="14">
        <f>59.8419 * CHOOSE(CONTROL!$C$15, $E$9, 100%, $G$9) + CHOOSE(CONTROL!$C$38, 0.0347, 0)</f>
        <v>59.876600000000003</v>
      </c>
      <c r="I878" s="14">
        <f>59.8435 * CHOOSE(CONTROL!$C$15, $E$9, 100%, $G$9) + CHOOSE(CONTROL!$C$38, 0.0347, 0)</f>
        <v>59.8782</v>
      </c>
      <c r="J878" s="44">
        <f>595.6648</f>
        <v>595.66480000000001</v>
      </c>
    </row>
    <row r="879" spans="1:10" ht="15.75" x14ac:dyDescent="0.25">
      <c r="A879" s="32">
        <v>67692</v>
      </c>
      <c r="B879" s="14">
        <f>67.3248 * CHOOSE(CONTROL!$C$15, $E$9, 100%, $G$9) + CHOOSE(CONTROL!$C$38, 0.0256, 0)</f>
        <v>67.350399999999993</v>
      </c>
      <c r="C879" s="14">
        <f>63.6989 * CHOOSE(CONTROL!$C$15, $E$9, 100%, $G$9) + CHOOSE(CONTROL!$C$38, 0.0347, 0)</f>
        <v>63.733600000000003</v>
      </c>
      <c r="D879" s="14">
        <f>63.6911 * CHOOSE(CONTROL!$C$15, $E$9, 100%, $G$9) + CHOOSE(CONTROL!$C$38, 0.0347, 0)</f>
        <v>63.7258</v>
      </c>
      <c r="E879" s="46">
        <f>67.1686 * CHOOSE(CONTROL!$C$15, $E$9, 100%, $G$9) + CHOOSE(CONTROL!$C$38, 0.0347, 0)</f>
        <v>67.203299999999999</v>
      </c>
      <c r="F879" s="45">
        <f>67.1686 * CHOOSE(CONTROL!$C$15, $E$9, 100%, $G$9) + CHOOSE(CONTROL!$C$38, 0.0256, 0)</f>
        <v>67.194199999999995</v>
      </c>
      <c r="G879" s="14">
        <f>63.6973 * CHOOSE(CONTROL!$C$15, $E$9, 100%, $G$9) + CHOOSE(CONTROL!$C$38, 0.0347, 0)</f>
        <v>63.731999999999999</v>
      </c>
      <c r="H879" s="14">
        <f>63.6973 * CHOOSE(CONTROL!$C$15, $E$9, 100%, $G$9) + CHOOSE(CONTROL!$C$38, 0.0347, 0)</f>
        <v>63.731999999999999</v>
      </c>
      <c r="I879" s="14">
        <f>63.6989 * CHOOSE(CONTROL!$C$15, $E$9, 100%, $G$9) + CHOOSE(CONTROL!$C$38, 0.0347, 0)</f>
        <v>63.733600000000003</v>
      </c>
      <c r="J879" s="44">
        <f>634.3382</f>
        <v>634.33820000000003</v>
      </c>
    </row>
    <row r="880" spans="1:10" ht="15.75" x14ac:dyDescent="0.25">
      <c r="A880" s="32">
        <v>67723</v>
      </c>
      <c r="B880" s="14">
        <f>69.5634 * CHOOSE(CONTROL!$C$15, $E$9, 100%, $G$9) + CHOOSE(CONTROL!$C$38, 0.0278, 0)</f>
        <v>69.591200000000001</v>
      </c>
      <c r="C880" s="14">
        <f>65.821 * CHOOSE(CONTROL!$C$15, $E$9, 100%, $G$9) + CHOOSE(CONTROL!$C$38, 0.0369, 0)</f>
        <v>65.857900000000001</v>
      </c>
      <c r="D880" s="14">
        <f>65.8132 * CHOOSE(CONTROL!$C$15, $E$9, 100%, $G$9) + CHOOSE(CONTROL!$C$38, 0.0369, 0)</f>
        <v>65.850099999999998</v>
      </c>
      <c r="E880" s="46">
        <f>69.4071 * CHOOSE(CONTROL!$C$15, $E$9, 100%, $G$9) + CHOOSE(CONTROL!$C$38, 0.0369, 0)</f>
        <v>69.444000000000003</v>
      </c>
      <c r="F880" s="45">
        <f>69.4071 * CHOOSE(CONTROL!$C$15, $E$9, 100%, $G$9) + CHOOSE(CONTROL!$C$38, 0.0278, 0)</f>
        <v>69.434899999999999</v>
      </c>
      <c r="G880" s="14">
        <f>65.8195 * CHOOSE(CONTROL!$C$15, $E$9, 100%, $G$9) + CHOOSE(CONTROL!$C$38, 0.0369, 0)</f>
        <v>65.856400000000008</v>
      </c>
      <c r="H880" s="14">
        <f>65.8195 * CHOOSE(CONTROL!$C$15, $E$9, 100%, $G$9) + CHOOSE(CONTROL!$C$38, 0.0369, 0)</f>
        <v>65.856400000000008</v>
      </c>
      <c r="I880" s="14">
        <f>65.821 * CHOOSE(CONTROL!$C$15, $E$9, 100%, $G$9) + CHOOSE(CONTROL!$C$38, 0.0369, 0)</f>
        <v>65.857900000000001</v>
      </c>
      <c r="J880" s="44">
        <f>655.6254</f>
        <v>655.62540000000001</v>
      </c>
    </row>
    <row r="881" spans="1:10" ht="15.75" x14ac:dyDescent="0.25">
      <c r="A881" s="32">
        <v>67753</v>
      </c>
      <c r="B881" s="14">
        <f>70.5568 * CHOOSE(CONTROL!$C$15, $E$9, 100%, $G$9) + CHOOSE(CONTROL!$C$38, 0.0278, 0)</f>
        <v>70.584599999999995</v>
      </c>
      <c r="C881" s="14">
        <f>66.7628 * CHOOSE(CONTROL!$C$15, $E$9, 100%, $G$9) + CHOOSE(CONTROL!$C$38, 0.0369, 0)</f>
        <v>66.799700000000001</v>
      </c>
      <c r="D881" s="14">
        <f>66.755 * CHOOSE(CONTROL!$C$15, $E$9, 100%, $G$9) + CHOOSE(CONTROL!$C$38, 0.0369, 0)</f>
        <v>66.791899999999998</v>
      </c>
      <c r="E881" s="46">
        <f>70.4006 * CHOOSE(CONTROL!$C$15, $E$9, 100%, $G$9) + CHOOSE(CONTROL!$C$38, 0.0369, 0)</f>
        <v>70.4375</v>
      </c>
      <c r="F881" s="45">
        <f>70.4006 * CHOOSE(CONTROL!$C$15, $E$9, 100%, $G$9) + CHOOSE(CONTROL!$C$38, 0.0278, 0)</f>
        <v>70.428399999999996</v>
      </c>
      <c r="G881" s="14">
        <f>66.7612 * CHOOSE(CONTROL!$C$15, $E$9, 100%, $G$9) + CHOOSE(CONTROL!$C$38, 0.0369, 0)</f>
        <v>66.798100000000005</v>
      </c>
      <c r="H881" s="14">
        <f>66.7612 * CHOOSE(CONTROL!$C$15, $E$9, 100%, $G$9) + CHOOSE(CONTROL!$C$38, 0.0369, 0)</f>
        <v>66.798100000000005</v>
      </c>
      <c r="I881" s="14">
        <f>66.7628 * CHOOSE(CONTROL!$C$15, $E$9, 100%, $G$9) + CHOOSE(CONTROL!$C$38, 0.0369, 0)</f>
        <v>66.799700000000001</v>
      </c>
      <c r="J881" s="44">
        <f>665.0722</f>
        <v>665.07219999999995</v>
      </c>
    </row>
    <row r="882" spans="1:10" ht="15.75" x14ac:dyDescent="0.25">
      <c r="A882" s="32">
        <v>67784</v>
      </c>
      <c r="B882" s="14">
        <f>70.2298 * CHOOSE(CONTROL!$C$15, $E$9, 100%, $G$9) + CHOOSE(CONTROL!$C$38, 0.0278, 0)</f>
        <v>70.257599999999996</v>
      </c>
      <c r="C882" s="14">
        <f>66.4527 * CHOOSE(CONTROL!$C$15, $E$9, 100%, $G$9) + CHOOSE(CONTROL!$C$38, 0.0369, 0)</f>
        <v>66.489599999999996</v>
      </c>
      <c r="D882" s="14">
        <f>66.4449 * CHOOSE(CONTROL!$C$15, $E$9, 100%, $G$9) + CHOOSE(CONTROL!$C$38, 0.0369, 0)</f>
        <v>66.481800000000007</v>
      </c>
      <c r="E882" s="46">
        <f>70.0735 * CHOOSE(CONTROL!$C$15, $E$9, 100%, $G$9) + CHOOSE(CONTROL!$C$38, 0.0369, 0)</f>
        <v>70.110399999999998</v>
      </c>
      <c r="F882" s="45">
        <f>70.0735 * CHOOSE(CONTROL!$C$15, $E$9, 100%, $G$9) + CHOOSE(CONTROL!$C$38, 0.0278, 0)</f>
        <v>70.101299999999995</v>
      </c>
      <c r="G882" s="14">
        <f>66.4512 * CHOOSE(CONTROL!$C$15, $E$9, 100%, $G$9) + CHOOSE(CONTROL!$C$38, 0.0369, 0)</f>
        <v>66.488100000000003</v>
      </c>
      <c r="H882" s="14">
        <f>66.4512 * CHOOSE(CONTROL!$C$15, $E$9, 100%, $G$9) + CHOOSE(CONTROL!$C$38, 0.0369, 0)</f>
        <v>66.488100000000003</v>
      </c>
      <c r="I882" s="14">
        <f>66.4527 * CHOOSE(CONTROL!$C$15, $E$9, 100%, $G$9) + CHOOSE(CONTROL!$C$38, 0.0369, 0)</f>
        <v>66.489599999999996</v>
      </c>
      <c r="J882" s="44">
        <f>661.9619</f>
        <v>661.96190000000001</v>
      </c>
    </row>
    <row r="883" spans="1:10" ht="15.75" x14ac:dyDescent="0.25">
      <c r="A883" s="32">
        <v>67815</v>
      </c>
      <c r="B883" s="14">
        <f>68.6092 * CHOOSE(CONTROL!$C$15, $E$9, 100%, $G$9) + CHOOSE(CONTROL!$C$38, 0.0278, 0)</f>
        <v>68.637</v>
      </c>
      <c r="C883" s="14">
        <f>64.9165 * CHOOSE(CONTROL!$C$15, $E$9, 100%, $G$9) + CHOOSE(CONTROL!$C$38, 0.0369, 0)</f>
        <v>64.953400000000002</v>
      </c>
      <c r="D883" s="14">
        <f>64.9087 * CHOOSE(CONTROL!$C$15, $E$9, 100%, $G$9) + CHOOSE(CONTROL!$C$38, 0.0369, 0)</f>
        <v>64.945599999999999</v>
      </c>
      <c r="E883" s="46">
        <f>68.4529 * CHOOSE(CONTROL!$C$15, $E$9, 100%, $G$9) + CHOOSE(CONTROL!$C$38, 0.0369, 0)</f>
        <v>68.489800000000002</v>
      </c>
      <c r="F883" s="45">
        <f>68.4529 * CHOOSE(CONTROL!$C$15, $E$9, 100%, $G$9) + CHOOSE(CONTROL!$C$38, 0.0278, 0)</f>
        <v>68.480699999999999</v>
      </c>
      <c r="G883" s="14">
        <f>64.9149 * CHOOSE(CONTROL!$C$15, $E$9, 100%, $G$9) + CHOOSE(CONTROL!$C$38, 0.0369, 0)</f>
        <v>64.951800000000006</v>
      </c>
      <c r="H883" s="14">
        <f>64.9149 * CHOOSE(CONTROL!$C$15, $E$9, 100%, $G$9) + CHOOSE(CONTROL!$C$38, 0.0369, 0)</f>
        <v>64.951800000000006</v>
      </c>
      <c r="I883" s="14">
        <f>64.9165 * CHOOSE(CONTROL!$C$15, $E$9, 100%, $G$9) + CHOOSE(CONTROL!$C$38, 0.0369, 0)</f>
        <v>64.953400000000002</v>
      </c>
      <c r="J883" s="44">
        <f>646.5517</f>
        <v>646.55169999999998</v>
      </c>
    </row>
    <row r="884" spans="1:10" ht="15.75" x14ac:dyDescent="0.25">
      <c r="A884" s="32">
        <v>67845</v>
      </c>
      <c r="B884" s="14">
        <f>66.3493 * CHOOSE(CONTROL!$C$15, $E$9, 100%, $G$9) + CHOOSE(CONTROL!$C$38, 0.0278, 0)</f>
        <v>66.377099999999999</v>
      </c>
      <c r="C884" s="14">
        <f>62.7741 * CHOOSE(CONTROL!$C$15, $E$9, 100%, $G$9) + CHOOSE(CONTROL!$C$38, 0.0369, 0)</f>
        <v>62.811</v>
      </c>
      <c r="D884" s="14">
        <f>62.7663 * CHOOSE(CONTROL!$C$15, $E$9, 100%, $G$9) + CHOOSE(CONTROL!$C$38, 0.0369, 0)</f>
        <v>62.803200000000004</v>
      </c>
      <c r="E884" s="46">
        <f>66.193 * CHOOSE(CONTROL!$C$15, $E$9, 100%, $G$9) + CHOOSE(CONTROL!$C$38, 0.0369, 0)</f>
        <v>66.229900000000001</v>
      </c>
      <c r="F884" s="45">
        <f>66.193 * CHOOSE(CONTROL!$C$15, $E$9, 100%, $G$9) + CHOOSE(CONTROL!$C$38, 0.0278, 0)</f>
        <v>66.220799999999997</v>
      </c>
      <c r="G884" s="14">
        <f>62.7725 * CHOOSE(CONTROL!$C$15, $E$9, 100%, $G$9) + CHOOSE(CONTROL!$C$38, 0.0369, 0)</f>
        <v>62.809400000000004</v>
      </c>
      <c r="H884" s="14">
        <f>62.7725 * CHOOSE(CONTROL!$C$15, $E$9, 100%, $G$9) + CHOOSE(CONTROL!$C$38, 0.0369, 0)</f>
        <v>62.809400000000004</v>
      </c>
      <c r="I884" s="14">
        <f>62.7741 * CHOOSE(CONTROL!$C$15, $E$9, 100%, $G$9) + CHOOSE(CONTROL!$C$38, 0.0369, 0)</f>
        <v>62.811</v>
      </c>
      <c r="J884" s="44">
        <f>625.0614</f>
        <v>625.06140000000005</v>
      </c>
    </row>
    <row r="885" spans="1:10" ht="15.75" x14ac:dyDescent="0.25">
      <c r="A885" s="32">
        <v>67876</v>
      </c>
      <c r="B885" s="14">
        <f>64.0762 * CHOOSE(CONTROL!$C$15, $E$9, 100%, $G$9) + CHOOSE(CONTROL!$C$38, 0.0256, 0)</f>
        <v>64.101799999999997</v>
      </c>
      <c r="C885" s="14">
        <f>60.6192 * CHOOSE(CONTROL!$C$15, $E$9, 100%, $G$9) + CHOOSE(CONTROL!$C$38, 0.0347, 0)</f>
        <v>60.6539</v>
      </c>
      <c r="D885" s="14">
        <f>60.6114 * CHOOSE(CONTROL!$C$15, $E$9, 100%, $G$9) + CHOOSE(CONTROL!$C$38, 0.0347, 0)</f>
        <v>60.646100000000004</v>
      </c>
      <c r="E885" s="46">
        <f>63.9199 * CHOOSE(CONTROL!$C$15, $E$9, 100%, $G$9) + CHOOSE(CONTROL!$C$38, 0.0347, 0)</f>
        <v>63.954599999999999</v>
      </c>
      <c r="F885" s="45">
        <f>63.9199 * CHOOSE(CONTROL!$C$15, $E$9, 100%, $G$9) + CHOOSE(CONTROL!$C$38, 0.0256, 0)</f>
        <v>63.945499999999996</v>
      </c>
      <c r="G885" s="14">
        <f>60.6177 * CHOOSE(CONTROL!$C$15, $E$9, 100%, $G$9) + CHOOSE(CONTROL!$C$38, 0.0347, 0)</f>
        <v>60.6524</v>
      </c>
      <c r="H885" s="14">
        <f>60.6177 * CHOOSE(CONTROL!$C$15, $E$9, 100%, $G$9) + CHOOSE(CONTROL!$C$38, 0.0347, 0)</f>
        <v>60.6524</v>
      </c>
      <c r="I885" s="14">
        <f>60.6192 * CHOOSE(CONTROL!$C$15, $E$9, 100%, $G$9) + CHOOSE(CONTROL!$C$38, 0.0347, 0)</f>
        <v>60.6539</v>
      </c>
      <c r="J885" s="44">
        <f>603.4461</f>
        <v>603.4461</v>
      </c>
    </row>
    <row r="886" spans="1:10" ht="15.75" x14ac:dyDescent="0.25">
      <c r="A886" s="32">
        <v>67906</v>
      </c>
      <c r="B886" s="14">
        <f>63.624 * CHOOSE(CONTROL!$C$15, $E$9, 100%, $G$9) + CHOOSE(CONTROL!$C$38, 0.0256, 0)</f>
        <v>63.6496</v>
      </c>
      <c r="C886" s="14">
        <f>60.1906 * CHOOSE(CONTROL!$C$15, $E$9, 100%, $G$9) + CHOOSE(CONTROL!$C$38, 0.0347, 0)</f>
        <v>60.225300000000004</v>
      </c>
      <c r="D886" s="14">
        <f>60.1828 * CHOOSE(CONTROL!$C$15, $E$9, 100%, $G$9) + CHOOSE(CONTROL!$C$38, 0.0347, 0)</f>
        <v>60.217500000000001</v>
      </c>
      <c r="E886" s="46">
        <f>63.4678 * CHOOSE(CONTROL!$C$15, $E$9, 100%, $G$9) + CHOOSE(CONTROL!$C$38, 0.0347, 0)</f>
        <v>63.502499999999998</v>
      </c>
      <c r="F886" s="45">
        <f>63.4678 * CHOOSE(CONTROL!$C$15, $E$9, 100%, $G$9) + CHOOSE(CONTROL!$C$38, 0.0256, 0)</f>
        <v>63.493399999999994</v>
      </c>
      <c r="G886" s="14">
        <f>60.189 * CHOOSE(CONTROL!$C$15, $E$9, 100%, $G$9) + CHOOSE(CONTROL!$C$38, 0.0347, 0)</f>
        <v>60.223700000000001</v>
      </c>
      <c r="H886" s="14">
        <f>60.189 * CHOOSE(CONTROL!$C$15, $E$9, 100%, $G$9) + CHOOSE(CONTROL!$C$38, 0.0347, 0)</f>
        <v>60.223700000000001</v>
      </c>
      <c r="I886" s="14">
        <f>60.1906 * CHOOSE(CONTROL!$C$15, $E$9, 100%, $G$9) + CHOOSE(CONTROL!$C$38, 0.0347, 0)</f>
        <v>60.225300000000004</v>
      </c>
      <c r="J886" s="44">
        <f>599.1464</f>
        <v>599.14639999999997</v>
      </c>
    </row>
    <row r="887" spans="1:10" ht="15.75" x14ac:dyDescent="0.25">
      <c r="A887" s="32">
        <v>67937</v>
      </c>
      <c r="B887" s="14">
        <f>61.7543 * CHOOSE(CONTROL!$C$15, $E$9, 100%, $G$9) + CHOOSE(CONTROL!$C$38, 0.0256, 0)</f>
        <v>61.779899999999998</v>
      </c>
      <c r="C887" s="14">
        <f>58.4181 * CHOOSE(CONTROL!$C$15, $E$9, 100%, $G$9) + CHOOSE(CONTROL!$C$38, 0.0347, 0)</f>
        <v>58.452800000000003</v>
      </c>
      <c r="D887" s="14">
        <f>58.4103 * CHOOSE(CONTROL!$C$15, $E$9, 100%, $G$9) + CHOOSE(CONTROL!$C$38, 0.0347, 0)</f>
        <v>58.445</v>
      </c>
      <c r="E887" s="46">
        <f>61.598 * CHOOSE(CONTROL!$C$15, $E$9, 100%, $G$9) + CHOOSE(CONTROL!$C$38, 0.0347, 0)</f>
        <v>61.6327</v>
      </c>
      <c r="F887" s="45">
        <f>61.598 * CHOOSE(CONTROL!$C$15, $E$9, 100%, $G$9) + CHOOSE(CONTROL!$C$38, 0.0256, 0)</f>
        <v>61.623599999999996</v>
      </c>
      <c r="G887" s="14">
        <f>58.4165 * CHOOSE(CONTROL!$C$15, $E$9, 100%, $G$9) + CHOOSE(CONTROL!$C$38, 0.0347, 0)</f>
        <v>58.4512</v>
      </c>
      <c r="H887" s="14">
        <f>58.4165 * CHOOSE(CONTROL!$C$15, $E$9, 100%, $G$9) + CHOOSE(CONTROL!$C$38, 0.0347, 0)</f>
        <v>58.4512</v>
      </c>
      <c r="I887" s="14">
        <f>58.4181 * CHOOSE(CONTROL!$C$15, $E$9, 100%, $G$9) + CHOOSE(CONTROL!$C$38, 0.0347, 0)</f>
        <v>58.452800000000003</v>
      </c>
      <c r="J887" s="44">
        <f>581.3667</f>
        <v>581.36670000000004</v>
      </c>
    </row>
    <row r="888" spans="1:10" ht="15.75" x14ac:dyDescent="0.25">
      <c r="A888" s="32">
        <v>67968</v>
      </c>
      <c r="B888" s="14">
        <f>61.29 * CHOOSE(CONTROL!$C$15, $E$9, 100%, $G$9) + CHOOSE(CONTROL!$C$38, 0.0256, 0)</f>
        <v>61.315599999999996</v>
      </c>
      <c r="C888" s="14">
        <f>57.9779 * CHOOSE(CONTROL!$C$15, $E$9, 100%, $G$9) + CHOOSE(CONTROL!$C$38, 0.0347, 0)</f>
        <v>58.012599999999999</v>
      </c>
      <c r="D888" s="14">
        <f>57.9701 * CHOOSE(CONTROL!$C$15, $E$9, 100%, $G$9) + CHOOSE(CONTROL!$C$38, 0.0347, 0)</f>
        <v>58.004800000000003</v>
      </c>
      <c r="E888" s="46">
        <f>61.1337 * CHOOSE(CONTROL!$C$15, $E$9, 100%, $G$9) + CHOOSE(CONTROL!$C$38, 0.0347, 0)</f>
        <v>61.168399999999998</v>
      </c>
      <c r="F888" s="45">
        <f>61.1337 * CHOOSE(CONTROL!$C$15, $E$9, 100%, $G$9) + CHOOSE(CONTROL!$C$38, 0.0256, 0)</f>
        <v>61.159299999999995</v>
      </c>
      <c r="G888" s="14">
        <f>57.9764 * CHOOSE(CONTROL!$C$15, $E$9, 100%, $G$9) + CHOOSE(CONTROL!$C$38, 0.0347, 0)</f>
        <v>58.011099999999999</v>
      </c>
      <c r="H888" s="14">
        <f>57.9764 * CHOOSE(CONTROL!$C$15, $E$9, 100%, $G$9) + CHOOSE(CONTROL!$C$38, 0.0347, 0)</f>
        <v>58.011099999999999</v>
      </c>
      <c r="I888" s="14">
        <f>57.9779 * CHOOSE(CONTROL!$C$15, $E$9, 100%, $G$9) + CHOOSE(CONTROL!$C$38, 0.0347, 0)</f>
        <v>58.012599999999999</v>
      </c>
      <c r="J888" s="44">
        <f>580.947</f>
        <v>580.947</v>
      </c>
    </row>
    <row r="889" spans="1:10" ht="15.75" x14ac:dyDescent="0.25">
      <c r="A889" s="32">
        <v>67996</v>
      </c>
      <c r="B889" s="14">
        <f>61.1213 * CHOOSE(CONTROL!$C$15, $E$9, 100%, $G$9) + CHOOSE(CONTROL!$C$38, 0.0256, 0)</f>
        <v>61.146899999999995</v>
      </c>
      <c r="C889" s="14">
        <f>57.8181 * CHOOSE(CONTROL!$C$15, $E$9, 100%, $G$9) + CHOOSE(CONTROL!$C$38, 0.0347, 0)</f>
        <v>57.852800000000002</v>
      </c>
      <c r="D889" s="14">
        <f>57.8102 * CHOOSE(CONTROL!$C$15, $E$9, 100%, $G$9) + CHOOSE(CONTROL!$C$38, 0.0347, 0)</f>
        <v>57.844900000000003</v>
      </c>
      <c r="E889" s="46">
        <f>60.9651 * CHOOSE(CONTROL!$C$15, $E$9, 100%, $G$9) + CHOOSE(CONTROL!$C$38, 0.0347, 0)</f>
        <v>60.9998</v>
      </c>
      <c r="F889" s="45">
        <f>60.9651 * CHOOSE(CONTROL!$C$15, $E$9, 100%, $G$9) + CHOOSE(CONTROL!$C$38, 0.0256, 0)</f>
        <v>60.990699999999997</v>
      </c>
      <c r="G889" s="14">
        <f>57.8165 * CHOOSE(CONTROL!$C$15, $E$9, 100%, $G$9) + CHOOSE(CONTROL!$C$38, 0.0347, 0)</f>
        <v>57.851199999999999</v>
      </c>
      <c r="H889" s="14">
        <f>57.8165 * CHOOSE(CONTROL!$C$15, $E$9, 100%, $G$9) + CHOOSE(CONTROL!$C$38, 0.0347, 0)</f>
        <v>57.851199999999999</v>
      </c>
      <c r="I889" s="14">
        <f>57.8181 * CHOOSE(CONTROL!$C$15, $E$9, 100%, $G$9) + CHOOSE(CONTROL!$C$38, 0.0347, 0)</f>
        <v>57.852800000000002</v>
      </c>
      <c r="J889" s="44">
        <f>579.3321</f>
        <v>579.33209999999997</v>
      </c>
    </row>
    <row r="890" spans="1:10" ht="15.75" x14ac:dyDescent="0.25">
      <c r="A890" s="32">
        <v>68027</v>
      </c>
      <c r="B890" s="14">
        <f>64.3102 * CHOOSE(CONTROL!$C$15, $E$9, 100%, $G$9) + CHOOSE(CONTROL!$C$38, 0.0256, 0)</f>
        <v>64.335799999999992</v>
      </c>
      <c r="C890" s="14">
        <f>60.8411 * CHOOSE(CONTROL!$C$15, $E$9, 100%, $G$9) + CHOOSE(CONTROL!$C$38, 0.0347, 0)</f>
        <v>60.875799999999998</v>
      </c>
      <c r="D890" s="14">
        <f>60.8333 * CHOOSE(CONTROL!$C$15, $E$9, 100%, $G$9) + CHOOSE(CONTROL!$C$38, 0.0347, 0)</f>
        <v>60.868000000000002</v>
      </c>
      <c r="E890" s="46">
        <f>64.154 * CHOOSE(CONTROL!$C$15, $E$9, 100%, $G$9) + CHOOSE(CONTROL!$C$38, 0.0347, 0)</f>
        <v>64.188699999999997</v>
      </c>
      <c r="F890" s="45">
        <f>64.154 * CHOOSE(CONTROL!$C$15, $E$9, 100%, $G$9) + CHOOSE(CONTROL!$C$38, 0.0256, 0)</f>
        <v>64.179599999999994</v>
      </c>
      <c r="G890" s="14">
        <f>60.8395 * CHOOSE(CONTROL!$C$15, $E$9, 100%, $G$9) + CHOOSE(CONTROL!$C$38, 0.0347, 0)</f>
        <v>60.874200000000002</v>
      </c>
      <c r="H890" s="14">
        <f>60.8395 * CHOOSE(CONTROL!$C$15, $E$9, 100%, $G$9) + CHOOSE(CONTROL!$C$38, 0.0347, 0)</f>
        <v>60.874200000000002</v>
      </c>
      <c r="I890" s="14">
        <f>60.8411 * CHOOSE(CONTROL!$C$15, $E$9, 100%, $G$9) + CHOOSE(CONTROL!$C$38, 0.0347, 0)</f>
        <v>60.875799999999998</v>
      </c>
      <c r="J890" s="44">
        <f>609.8663</f>
        <v>609.86630000000002</v>
      </c>
    </row>
    <row r="891" spans="1:10" ht="15.75" x14ac:dyDescent="0.25">
      <c r="A891" s="32">
        <v>68057</v>
      </c>
      <c r="B891" s="14">
        <f>68.4455 * CHOOSE(CONTROL!$C$15, $E$9, 100%, $G$9) + CHOOSE(CONTROL!$C$38, 0.0256, 0)</f>
        <v>68.471099999999993</v>
      </c>
      <c r="C891" s="14">
        <f>64.7613 * CHOOSE(CONTROL!$C$15, $E$9, 100%, $G$9) + CHOOSE(CONTROL!$C$38, 0.0347, 0)</f>
        <v>64.796000000000006</v>
      </c>
      <c r="D891" s="14">
        <f>64.7535 * CHOOSE(CONTROL!$C$15, $E$9, 100%, $G$9) + CHOOSE(CONTROL!$C$38, 0.0347, 0)</f>
        <v>64.788200000000003</v>
      </c>
      <c r="E891" s="46">
        <f>68.2892 * CHOOSE(CONTROL!$C$15, $E$9, 100%, $G$9) + CHOOSE(CONTROL!$C$38, 0.0347, 0)</f>
        <v>68.323899999999995</v>
      </c>
      <c r="F891" s="45">
        <f>68.2892 * CHOOSE(CONTROL!$C$15, $E$9, 100%, $G$9) + CHOOSE(CONTROL!$C$38, 0.0256, 0)</f>
        <v>68.314799999999991</v>
      </c>
      <c r="G891" s="14">
        <f>64.7597 * CHOOSE(CONTROL!$C$15, $E$9, 100%, $G$9) + CHOOSE(CONTROL!$C$38, 0.0347, 0)</f>
        <v>64.794399999999996</v>
      </c>
      <c r="H891" s="14">
        <f>64.7597 * CHOOSE(CONTROL!$C$15, $E$9, 100%, $G$9) + CHOOSE(CONTROL!$C$38, 0.0347, 0)</f>
        <v>64.794399999999996</v>
      </c>
      <c r="I891" s="14">
        <f>64.7613 * CHOOSE(CONTROL!$C$15, $E$9, 100%, $G$9) + CHOOSE(CONTROL!$C$38, 0.0347, 0)</f>
        <v>64.796000000000006</v>
      </c>
      <c r="J891" s="44">
        <f>649.4618</f>
        <v>649.46180000000004</v>
      </c>
    </row>
    <row r="892" spans="1:10" ht="15.75" x14ac:dyDescent="0.25">
      <c r="A892" s="32">
        <v>68088</v>
      </c>
      <c r="B892" s="14">
        <f>70.7217 * CHOOSE(CONTROL!$C$15, $E$9, 100%, $G$9) + CHOOSE(CONTROL!$C$38, 0.0278, 0)</f>
        <v>70.749499999999998</v>
      </c>
      <c r="C892" s="14">
        <f>66.9191 * CHOOSE(CONTROL!$C$15, $E$9, 100%, $G$9) + CHOOSE(CONTROL!$C$38, 0.0369, 0)</f>
        <v>66.956000000000003</v>
      </c>
      <c r="D892" s="14">
        <f>66.9113 * CHOOSE(CONTROL!$C$15, $E$9, 100%, $G$9) + CHOOSE(CONTROL!$C$38, 0.0369, 0)</f>
        <v>66.9482</v>
      </c>
      <c r="E892" s="46">
        <f>70.5654 * CHOOSE(CONTROL!$C$15, $E$9, 100%, $G$9) + CHOOSE(CONTROL!$C$38, 0.0369, 0)</f>
        <v>70.6023</v>
      </c>
      <c r="F892" s="45">
        <f>70.5654 * CHOOSE(CONTROL!$C$15, $E$9, 100%, $G$9) + CHOOSE(CONTROL!$C$38, 0.0278, 0)</f>
        <v>70.593199999999996</v>
      </c>
      <c r="G892" s="14">
        <f>66.9175 * CHOOSE(CONTROL!$C$15, $E$9, 100%, $G$9) + CHOOSE(CONTROL!$C$38, 0.0369, 0)</f>
        <v>66.954400000000007</v>
      </c>
      <c r="H892" s="14">
        <f>66.9175 * CHOOSE(CONTROL!$C$15, $E$9, 100%, $G$9) + CHOOSE(CONTROL!$C$38, 0.0369, 0)</f>
        <v>66.954400000000007</v>
      </c>
      <c r="I892" s="14">
        <f>66.9191 * CHOOSE(CONTROL!$C$15, $E$9, 100%, $G$9) + CHOOSE(CONTROL!$C$38, 0.0369, 0)</f>
        <v>66.956000000000003</v>
      </c>
      <c r="J892" s="44">
        <f>671.2565</f>
        <v>671.25649999999996</v>
      </c>
    </row>
    <row r="893" spans="1:10" ht="15.75" x14ac:dyDescent="0.25">
      <c r="A893" s="32">
        <v>68118</v>
      </c>
      <c r="B893" s="14">
        <f>71.7318 * CHOOSE(CONTROL!$C$15, $E$9, 100%, $G$9) + CHOOSE(CONTROL!$C$38, 0.0278, 0)</f>
        <v>71.759600000000006</v>
      </c>
      <c r="C893" s="14">
        <f>67.8767 * CHOOSE(CONTROL!$C$15, $E$9, 100%, $G$9) + CHOOSE(CONTROL!$C$38, 0.0369, 0)</f>
        <v>67.913600000000002</v>
      </c>
      <c r="D893" s="14">
        <f>67.8689 * CHOOSE(CONTROL!$C$15, $E$9, 100%, $G$9) + CHOOSE(CONTROL!$C$38, 0.0369, 0)</f>
        <v>67.905799999999999</v>
      </c>
      <c r="E893" s="46">
        <f>71.5756 * CHOOSE(CONTROL!$C$15, $E$9, 100%, $G$9) + CHOOSE(CONTROL!$C$38, 0.0369, 0)</f>
        <v>71.612499999999997</v>
      </c>
      <c r="F893" s="45">
        <f>71.5756 * CHOOSE(CONTROL!$C$15, $E$9, 100%, $G$9) + CHOOSE(CONTROL!$C$38, 0.0278, 0)</f>
        <v>71.603399999999993</v>
      </c>
      <c r="G893" s="14">
        <f>67.8751 * CHOOSE(CONTROL!$C$15, $E$9, 100%, $G$9) + CHOOSE(CONTROL!$C$38, 0.0369, 0)</f>
        <v>67.912000000000006</v>
      </c>
      <c r="H893" s="14">
        <f>67.8751 * CHOOSE(CONTROL!$C$15, $E$9, 100%, $G$9) + CHOOSE(CONTROL!$C$38, 0.0369, 0)</f>
        <v>67.912000000000006</v>
      </c>
      <c r="I893" s="14">
        <f>67.8767 * CHOOSE(CONTROL!$C$15, $E$9, 100%, $G$9) + CHOOSE(CONTROL!$C$38, 0.0369, 0)</f>
        <v>67.913600000000002</v>
      </c>
      <c r="J893" s="44">
        <f>680.9285</f>
        <v>680.92849999999999</v>
      </c>
    </row>
    <row r="894" spans="1:10" ht="15.75" x14ac:dyDescent="0.25">
      <c r="A894" s="32">
        <v>68149</v>
      </c>
      <c r="B894" s="14">
        <f>71.3992 * CHOOSE(CONTROL!$C$15, $E$9, 100%, $G$9) + CHOOSE(CONTROL!$C$38, 0.0278, 0)</f>
        <v>71.426999999999992</v>
      </c>
      <c r="C894" s="14">
        <f>67.5614 * CHOOSE(CONTROL!$C$15, $E$9, 100%, $G$9) + CHOOSE(CONTROL!$C$38, 0.0369, 0)</f>
        <v>67.598300000000009</v>
      </c>
      <c r="D894" s="14">
        <f>67.5536 * CHOOSE(CONTROL!$C$15, $E$9, 100%, $G$9) + CHOOSE(CONTROL!$C$38, 0.0369, 0)</f>
        <v>67.590500000000006</v>
      </c>
      <c r="E894" s="46">
        <f>71.243 * CHOOSE(CONTROL!$C$15, $E$9, 100%, $G$9) + CHOOSE(CONTROL!$C$38, 0.0369, 0)</f>
        <v>71.279899999999998</v>
      </c>
      <c r="F894" s="45">
        <f>71.243 * CHOOSE(CONTROL!$C$15, $E$9, 100%, $G$9) + CHOOSE(CONTROL!$C$38, 0.0278, 0)</f>
        <v>71.270799999999994</v>
      </c>
      <c r="G894" s="14">
        <f>67.5598 * CHOOSE(CONTROL!$C$15, $E$9, 100%, $G$9) + CHOOSE(CONTROL!$C$38, 0.0369, 0)</f>
        <v>67.596699999999998</v>
      </c>
      <c r="H894" s="14">
        <f>67.5598 * CHOOSE(CONTROL!$C$15, $E$9, 100%, $G$9) + CHOOSE(CONTROL!$C$38, 0.0369, 0)</f>
        <v>67.596699999999998</v>
      </c>
      <c r="I894" s="14">
        <f>67.5614 * CHOOSE(CONTROL!$C$15, $E$9, 100%, $G$9) + CHOOSE(CONTROL!$C$38, 0.0369, 0)</f>
        <v>67.598300000000009</v>
      </c>
      <c r="J894" s="44">
        <f>677.744</f>
        <v>677.74400000000003</v>
      </c>
    </row>
    <row r="895" spans="1:10" ht="15.75" x14ac:dyDescent="0.25">
      <c r="A895" s="32">
        <v>68180</v>
      </c>
      <c r="B895" s="14">
        <f>69.7514 * CHOOSE(CONTROL!$C$15, $E$9, 100%, $G$9) + CHOOSE(CONTROL!$C$38, 0.0278, 0)</f>
        <v>69.779200000000003</v>
      </c>
      <c r="C895" s="14">
        <f>65.9993 * CHOOSE(CONTROL!$C$15, $E$9, 100%, $G$9) + CHOOSE(CONTROL!$C$38, 0.0369, 0)</f>
        <v>66.036200000000008</v>
      </c>
      <c r="D895" s="14">
        <f>65.9915 * CHOOSE(CONTROL!$C$15, $E$9, 100%, $G$9) + CHOOSE(CONTROL!$C$38, 0.0369, 0)</f>
        <v>66.028400000000005</v>
      </c>
      <c r="E895" s="46">
        <f>69.5952 * CHOOSE(CONTROL!$C$15, $E$9, 100%, $G$9) + CHOOSE(CONTROL!$C$38, 0.0369, 0)</f>
        <v>69.632100000000008</v>
      </c>
      <c r="F895" s="45">
        <f>69.5952 * CHOOSE(CONTROL!$C$15, $E$9, 100%, $G$9) + CHOOSE(CONTROL!$C$38, 0.0278, 0)</f>
        <v>69.623000000000005</v>
      </c>
      <c r="G895" s="14">
        <f>65.9977 * CHOOSE(CONTROL!$C$15, $E$9, 100%, $G$9) + CHOOSE(CONTROL!$C$38, 0.0369, 0)</f>
        <v>66.034599999999998</v>
      </c>
      <c r="H895" s="14">
        <f>65.9977 * CHOOSE(CONTROL!$C$15, $E$9, 100%, $G$9) + CHOOSE(CONTROL!$C$38, 0.0369, 0)</f>
        <v>66.034599999999998</v>
      </c>
      <c r="I895" s="14">
        <f>65.9993 * CHOOSE(CONTROL!$C$15, $E$9, 100%, $G$9) + CHOOSE(CONTROL!$C$38, 0.0369, 0)</f>
        <v>66.036200000000008</v>
      </c>
      <c r="J895" s="44">
        <f>661.9664</f>
        <v>661.96640000000002</v>
      </c>
    </row>
    <row r="896" spans="1:10" ht="15.75" x14ac:dyDescent="0.25">
      <c r="A896" s="32">
        <v>68210</v>
      </c>
      <c r="B896" s="14">
        <f>67.4535 * CHOOSE(CONTROL!$C$15, $E$9, 100%, $G$9) + CHOOSE(CONTROL!$C$38, 0.0278, 0)</f>
        <v>67.481300000000005</v>
      </c>
      <c r="C896" s="14">
        <f>63.8209 * CHOOSE(CONTROL!$C$15, $E$9, 100%, $G$9) + CHOOSE(CONTROL!$C$38, 0.0369, 0)</f>
        <v>63.857800000000005</v>
      </c>
      <c r="D896" s="14">
        <f>63.8131 * CHOOSE(CONTROL!$C$15, $E$9, 100%, $G$9) + CHOOSE(CONTROL!$C$38, 0.0369, 0)</f>
        <v>63.85</v>
      </c>
      <c r="E896" s="46">
        <f>67.2973 * CHOOSE(CONTROL!$C$15, $E$9, 100%, $G$9) + CHOOSE(CONTROL!$C$38, 0.0369, 0)</f>
        <v>67.33420000000001</v>
      </c>
      <c r="F896" s="45">
        <f>67.2973 * CHOOSE(CONTROL!$C$15, $E$9, 100%, $G$9) + CHOOSE(CONTROL!$C$38, 0.0278, 0)</f>
        <v>67.325100000000006</v>
      </c>
      <c r="G896" s="14">
        <f>63.8194 * CHOOSE(CONTROL!$C$15, $E$9, 100%, $G$9) + CHOOSE(CONTROL!$C$38, 0.0369, 0)</f>
        <v>63.856300000000005</v>
      </c>
      <c r="H896" s="14">
        <f>63.8194 * CHOOSE(CONTROL!$C$15, $E$9, 100%, $G$9) + CHOOSE(CONTROL!$C$38, 0.0369, 0)</f>
        <v>63.856300000000005</v>
      </c>
      <c r="I896" s="14">
        <f>63.8209 * CHOOSE(CONTROL!$C$15, $E$9, 100%, $G$9) + CHOOSE(CONTROL!$C$38, 0.0369, 0)</f>
        <v>63.857800000000005</v>
      </c>
      <c r="J896" s="44">
        <f>639.9638</f>
        <v>639.96379999999999</v>
      </c>
    </row>
    <row r="897" spans="1:10" ht="15.75" x14ac:dyDescent="0.25">
      <c r="A897" s="32">
        <v>68241</v>
      </c>
      <c r="B897" s="14">
        <f>65.1423 * CHOOSE(CONTROL!$C$15, $E$9, 100%, $G$9) + CHOOSE(CONTROL!$C$38, 0.0256, 0)</f>
        <v>65.167900000000003</v>
      </c>
      <c r="C897" s="14">
        <f>61.6299 * CHOOSE(CONTROL!$C$15, $E$9, 100%, $G$9) + CHOOSE(CONTROL!$C$38, 0.0347, 0)</f>
        <v>61.6646</v>
      </c>
      <c r="D897" s="14">
        <f>61.6221 * CHOOSE(CONTROL!$C$15, $E$9, 100%, $G$9) + CHOOSE(CONTROL!$C$38, 0.0347, 0)</f>
        <v>61.656800000000004</v>
      </c>
      <c r="E897" s="46">
        <f>64.986 * CHOOSE(CONTROL!$C$15, $E$9, 100%, $G$9) + CHOOSE(CONTROL!$C$38, 0.0347, 0)</f>
        <v>65.020700000000005</v>
      </c>
      <c r="F897" s="45">
        <f>64.986 * CHOOSE(CONTROL!$C$15, $E$9, 100%, $G$9) + CHOOSE(CONTROL!$C$38, 0.0256, 0)</f>
        <v>65.011600000000001</v>
      </c>
      <c r="G897" s="14">
        <f>61.6283 * CHOOSE(CONTROL!$C$15, $E$9, 100%, $G$9) + CHOOSE(CONTROL!$C$38, 0.0347, 0)</f>
        <v>61.663000000000004</v>
      </c>
      <c r="H897" s="14">
        <f>61.6283 * CHOOSE(CONTROL!$C$15, $E$9, 100%, $G$9) + CHOOSE(CONTROL!$C$38, 0.0347, 0)</f>
        <v>61.663000000000004</v>
      </c>
      <c r="I897" s="14">
        <f>61.6299 * CHOOSE(CONTROL!$C$15, $E$9, 100%, $G$9) + CHOOSE(CONTROL!$C$38, 0.0347, 0)</f>
        <v>61.6646</v>
      </c>
      <c r="J897" s="44">
        <f>617.8332</f>
        <v>617.83320000000003</v>
      </c>
    </row>
    <row r="898" spans="1:10" ht="15.75" x14ac:dyDescent="0.25">
      <c r="A898" s="32">
        <v>68271</v>
      </c>
      <c r="B898" s="14">
        <f>64.6825 * CHOOSE(CONTROL!$C$15, $E$9, 100%, $G$9) + CHOOSE(CONTROL!$C$38, 0.0256, 0)</f>
        <v>64.708100000000002</v>
      </c>
      <c r="C898" s="14">
        <f>61.194 * CHOOSE(CONTROL!$C$15, $E$9, 100%, $G$9) + CHOOSE(CONTROL!$C$38, 0.0347, 0)</f>
        <v>61.228700000000003</v>
      </c>
      <c r="D898" s="14">
        <f>61.1862 * CHOOSE(CONTROL!$C$15, $E$9, 100%, $G$9) + CHOOSE(CONTROL!$C$38, 0.0347, 0)</f>
        <v>61.2209</v>
      </c>
      <c r="E898" s="46">
        <f>64.5263 * CHOOSE(CONTROL!$C$15, $E$9, 100%, $G$9) + CHOOSE(CONTROL!$C$38, 0.0347, 0)</f>
        <v>64.561000000000007</v>
      </c>
      <c r="F898" s="45">
        <f>64.5263 * CHOOSE(CONTROL!$C$15, $E$9, 100%, $G$9) + CHOOSE(CONTROL!$C$38, 0.0256, 0)</f>
        <v>64.551900000000003</v>
      </c>
      <c r="G898" s="14">
        <f>61.1925 * CHOOSE(CONTROL!$C$15, $E$9, 100%, $G$9) + CHOOSE(CONTROL!$C$38, 0.0347, 0)</f>
        <v>61.227200000000003</v>
      </c>
      <c r="H898" s="14">
        <f>61.1925 * CHOOSE(CONTROL!$C$15, $E$9, 100%, $G$9) + CHOOSE(CONTROL!$C$38, 0.0347, 0)</f>
        <v>61.227200000000003</v>
      </c>
      <c r="I898" s="14">
        <f>61.194 * CHOOSE(CONTROL!$C$15, $E$9, 100%, $G$9) + CHOOSE(CONTROL!$C$38, 0.0347, 0)</f>
        <v>61.228700000000003</v>
      </c>
      <c r="J898" s="44">
        <f>613.431</f>
        <v>613.43100000000004</v>
      </c>
    </row>
    <row r="899" spans="1:10" ht="15.75" x14ac:dyDescent="0.25">
      <c r="A899" s="32">
        <v>68302</v>
      </c>
      <c r="B899" s="14">
        <f>62.7814 * CHOOSE(CONTROL!$C$15, $E$9, 100%, $G$9) + CHOOSE(CONTROL!$C$38, 0.0256, 0)</f>
        <v>62.806999999999995</v>
      </c>
      <c r="C899" s="14">
        <f>59.3918 * CHOOSE(CONTROL!$C$15, $E$9, 100%, $G$9) + CHOOSE(CONTROL!$C$38, 0.0347, 0)</f>
        <v>59.426500000000004</v>
      </c>
      <c r="D899" s="14">
        <f>59.384 * CHOOSE(CONTROL!$C$15, $E$9, 100%, $G$9) + CHOOSE(CONTROL!$C$38, 0.0347, 0)</f>
        <v>59.418700000000001</v>
      </c>
      <c r="E899" s="46">
        <f>62.6251 * CHOOSE(CONTROL!$C$15, $E$9, 100%, $G$9) + CHOOSE(CONTROL!$C$38, 0.0347, 0)</f>
        <v>62.659800000000004</v>
      </c>
      <c r="F899" s="45">
        <f>62.6251 * CHOOSE(CONTROL!$C$15, $E$9, 100%, $G$9) + CHOOSE(CONTROL!$C$38, 0.0256, 0)</f>
        <v>62.650700000000001</v>
      </c>
      <c r="G899" s="14">
        <f>59.3902 * CHOOSE(CONTROL!$C$15, $E$9, 100%, $G$9) + CHOOSE(CONTROL!$C$38, 0.0347, 0)</f>
        <v>59.424900000000001</v>
      </c>
      <c r="H899" s="14">
        <f>59.3902 * CHOOSE(CONTROL!$C$15, $E$9, 100%, $G$9) + CHOOSE(CONTROL!$C$38, 0.0347, 0)</f>
        <v>59.424900000000001</v>
      </c>
      <c r="I899" s="14">
        <f>59.3918 * CHOOSE(CONTROL!$C$15, $E$9, 100%, $G$9) + CHOOSE(CONTROL!$C$38, 0.0347, 0)</f>
        <v>59.426500000000004</v>
      </c>
      <c r="J899" s="44">
        <f>595.2274</f>
        <v>595.22739999999999</v>
      </c>
    </row>
    <row r="900" spans="1:10" ht="15.75" x14ac:dyDescent="0.25">
      <c r="A900" s="32">
        <v>68333</v>
      </c>
      <c r="B900" s="14">
        <f>62.3092 * CHOOSE(CONTROL!$C$15, $E$9, 100%, $G$9) + CHOOSE(CONTROL!$C$38, 0.0256, 0)</f>
        <v>62.334799999999994</v>
      </c>
      <c r="C900" s="14">
        <f>58.9442 * CHOOSE(CONTROL!$C$15, $E$9, 100%, $G$9) + CHOOSE(CONTROL!$C$38, 0.0347, 0)</f>
        <v>58.978900000000003</v>
      </c>
      <c r="D900" s="14">
        <f>58.9364 * CHOOSE(CONTROL!$C$15, $E$9, 100%, $G$9) + CHOOSE(CONTROL!$C$38, 0.0347, 0)</f>
        <v>58.9711</v>
      </c>
      <c r="E900" s="46">
        <f>62.153 * CHOOSE(CONTROL!$C$15, $E$9, 100%, $G$9) + CHOOSE(CONTROL!$C$38, 0.0347, 0)</f>
        <v>62.1877</v>
      </c>
      <c r="F900" s="45">
        <f>62.153 * CHOOSE(CONTROL!$C$15, $E$9, 100%, $G$9) + CHOOSE(CONTROL!$C$38, 0.0256, 0)</f>
        <v>62.178599999999996</v>
      </c>
      <c r="G900" s="14">
        <f>58.9426 * CHOOSE(CONTROL!$C$15, $E$9, 100%, $G$9) + CHOOSE(CONTROL!$C$38, 0.0347, 0)</f>
        <v>58.9773</v>
      </c>
      <c r="H900" s="14">
        <f>58.9426 * CHOOSE(CONTROL!$C$15, $E$9, 100%, $G$9) + CHOOSE(CONTROL!$C$38, 0.0347, 0)</f>
        <v>58.9773</v>
      </c>
      <c r="I900" s="14">
        <f>58.9442 * CHOOSE(CONTROL!$C$15, $E$9, 100%, $G$9) + CHOOSE(CONTROL!$C$38, 0.0347, 0)</f>
        <v>58.978900000000003</v>
      </c>
      <c r="J900" s="44">
        <f>594.7976</f>
        <v>594.79759999999999</v>
      </c>
    </row>
    <row r="901" spans="1:10" ht="15.75" x14ac:dyDescent="0.25">
      <c r="A901" s="32">
        <v>68361</v>
      </c>
      <c r="B901" s="14">
        <f>62.1378 * CHOOSE(CONTROL!$C$15, $E$9, 100%, $G$9) + CHOOSE(CONTROL!$C$38, 0.0256, 0)</f>
        <v>62.163399999999996</v>
      </c>
      <c r="C901" s="14">
        <f>58.7816 * CHOOSE(CONTROL!$C$15, $E$9, 100%, $G$9) + CHOOSE(CONTROL!$C$38, 0.0347, 0)</f>
        <v>58.816299999999998</v>
      </c>
      <c r="D901" s="14">
        <f>58.7738 * CHOOSE(CONTROL!$C$15, $E$9, 100%, $G$9) + CHOOSE(CONTROL!$C$38, 0.0347, 0)</f>
        <v>58.808500000000002</v>
      </c>
      <c r="E901" s="46">
        <f>61.9815 * CHOOSE(CONTROL!$C$15, $E$9, 100%, $G$9) + CHOOSE(CONTROL!$C$38, 0.0347, 0)</f>
        <v>62.016199999999998</v>
      </c>
      <c r="F901" s="45">
        <f>61.9815 * CHOOSE(CONTROL!$C$15, $E$9, 100%, $G$9) + CHOOSE(CONTROL!$C$38, 0.0256, 0)</f>
        <v>62.007099999999994</v>
      </c>
      <c r="G901" s="14">
        <f>58.7801 * CHOOSE(CONTROL!$C$15, $E$9, 100%, $G$9) + CHOOSE(CONTROL!$C$38, 0.0347, 0)</f>
        <v>58.814799999999998</v>
      </c>
      <c r="H901" s="14">
        <f>58.7801 * CHOOSE(CONTROL!$C$15, $E$9, 100%, $G$9) + CHOOSE(CONTROL!$C$38, 0.0347, 0)</f>
        <v>58.814799999999998</v>
      </c>
      <c r="I901" s="14">
        <f>58.7816 * CHOOSE(CONTROL!$C$15, $E$9, 100%, $G$9) + CHOOSE(CONTROL!$C$38, 0.0347, 0)</f>
        <v>58.816299999999998</v>
      </c>
      <c r="J901" s="44">
        <f>593.1443</f>
        <v>593.14430000000004</v>
      </c>
    </row>
    <row r="902" spans="1:10" ht="15.75" x14ac:dyDescent="0.25">
      <c r="A902" s="32">
        <v>68392</v>
      </c>
      <c r="B902" s="14">
        <f>65.3803 * CHOOSE(CONTROL!$C$15, $E$9, 100%, $G$9) + CHOOSE(CONTROL!$C$38, 0.0256, 0)</f>
        <v>65.405900000000003</v>
      </c>
      <c r="C902" s="14">
        <f>61.8555 * CHOOSE(CONTROL!$C$15, $E$9, 100%, $G$9) + CHOOSE(CONTROL!$C$38, 0.0347, 0)</f>
        <v>61.8902</v>
      </c>
      <c r="D902" s="14">
        <f>61.8477 * CHOOSE(CONTROL!$C$15, $E$9, 100%, $G$9) + CHOOSE(CONTROL!$C$38, 0.0347, 0)</f>
        <v>61.882400000000004</v>
      </c>
      <c r="E902" s="46">
        <f>65.224 * CHOOSE(CONTROL!$C$15, $E$9, 100%, $G$9) + CHOOSE(CONTROL!$C$38, 0.0347, 0)</f>
        <v>65.258700000000005</v>
      </c>
      <c r="F902" s="45">
        <f>65.224 * CHOOSE(CONTROL!$C$15, $E$9, 100%, $G$9) + CHOOSE(CONTROL!$C$38, 0.0256, 0)</f>
        <v>65.249600000000001</v>
      </c>
      <c r="G902" s="14">
        <f>61.8539 * CHOOSE(CONTROL!$C$15, $E$9, 100%, $G$9) + CHOOSE(CONTROL!$C$38, 0.0347, 0)</f>
        <v>61.888600000000004</v>
      </c>
      <c r="H902" s="14">
        <f>61.8539 * CHOOSE(CONTROL!$C$15, $E$9, 100%, $G$9) + CHOOSE(CONTROL!$C$38, 0.0347, 0)</f>
        <v>61.888600000000004</v>
      </c>
      <c r="I902" s="14">
        <f>61.8555 * CHOOSE(CONTROL!$C$15, $E$9, 100%, $G$9) + CHOOSE(CONTROL!$C$38, 0.0347, 0)</f>
        <v>61.8902</v>
      </c>
      <c r="J902" s="44">
        <f>624.4064</f>
        <v>624.40639999999996</v>
      </c>
    </row>
    <row r="903" spans="1:10" ht="15.75" x14ac:dyDescent="0.25">
      <c r="A903" s="32">
        <v>68422</v>
      </c>
      <c r="B903" s="14">
        <f>69.585 * CHOOSE(CONTROL!$C$15, $E$9, 100%, $G$9) + CHOOSE(CONTROL!$C$38, 0.0256, 0)</f>
        <v>69.610599999999991</v>
      </c>
      <c r="C903" s="14">
        <f>65.8415 * CHOOSE(CONTROL!$C$15, $E$9, 100%, $G$9) + CHOOSE(CONTROL!$C$38, 0.0347, 0)</f>
        <v>65.876199999999997</v>
      </c>
      <c r="D903" s="14">
        <f>65.8337 * CHOOSE(CONTROL!$C$15, $E$9, 100%, $G$9) + CHOOSE(CONTROL!$C$38, 0.0347, 0)</f>
        <v>65.868399999999994</v>
      </c>
      <c r="E903" s="46">
        <f>69.4287 * CHOOSE(CONTROL!$C$15, $E$9, 100%, $G$9) + CHOOSE(CONTROL!$C$38, 0.0347, 0)</f>
        <v>69.463400000000007</v>
      </c>
      <c r="F903" s="45">
        <f>69.4287 * CHOOSE(CONTROL!$C$15, $E$9, 100%, $G$9) + CHOOSE(CONTROL!$C$38, 0.0256, 0)</f>
        <v>69.454300000000003</v>
      </c>
      <c r="G903" s="14">
        <f>65.8399 * CHOOSE(CONTROL!$C$15, $E$9, 100%, $G$9) + CHOOSE(CONTROL!$C$38, 0.0347, 0)</f>
        <v>65.874600000000001</v>
      </c>
      <c r="H903" s="14">
        <f>65.8399 * CHOOSE(CONTROL!$C$15, $E$9, 100%, $G$9) + CHOOSE(CONTROL!$C$38, 0.0347, 0)</f>
        <v>65.874600000000001</v>
      </c>
      <c r="I903" s="14">
        <f>65.8415 * CHOOSE(CONTROL!$C$15, $E$9, 100%, $G$9) + CHOOSE(CONTROL!$C$38, 0.0347, 0)</f>
        <v>65.876199999999997</v>
      </c>
      <c r="J903" s="44">
        <f>664.9459</f>
        <v>664.94590000000005</v>
      </c>
    </row>
    <row r="904" spans="1:10" ht="15.75" x14ac:dyDescent="0.25">
      <c r="A904" s="32">
        <v>68453</v>
      </c>
      <c r="B904" s="14">
        <f>71.8994 * CHOOSE(CONTROL!$C$15, $E$9, 100%, $G$9) + CHOOSE(CONTROL!$C$38, 0.0278, 0)</f>
        <v>71.927199999999999</v>
      </c>
      <c r="C904" s="14">
        <f>68.0356 * CHOOSE(CONTROL!$C$15, $E$9, 100%, $G$9) + CHOOSE(CONTROL!$C$38, 0.0369, 0)</f>
        <v>68.072500000000005</v>
      </c>
      <c r="D904" s="14">
        <f>68.0277 * CHOOSE(CONTROL!$C$15, $E$9, 100%, $G$9) + CHOOSE(CONTROL!$C$38, 0.0369, 0)</f>
        <v>68.064599999999999</v>
      </c>
      <c r="E904" s="46">
        <f>71.7432 * CHOOSE(CONTROL!$C$15, $E$9, 100%, $G$9) + CHOOSE(CONTROL!$C$38, 0.0369, 0)</f>
        <v>71.780100000000004</v>
      </c>
      <c r="F904" s="45">
        <f>71.7432 * CHOOSE(CONTROL!$C$15, $E$9, 100%, $G$9) + CHOOSE(CONTROL!$C$38, 0.0278, 0)</f>
        <v>71.771000000000001</v>
      </c>
      <c r="G904" s="14">
        <f>68.034 * CHOOSE(CONTROL!$C$15, $E$9, 100%, $G$9) + CHOOSE(CONTROL!$C$38, 0.0369, 0)</f>
        <v>68.070900000000009</v>
      </c>
      <c r="H904" s="14">
        <f>68.034 * CHOOSE(CONTROL!$C$15, $E$9, 100%, $G$9) + CHOOSE(CONTROL!$C$38, 0.0369, 0)</f>
        <v>68.070900000000009</v>
      </c>
      <c r="I904" s="14">
        <f>68.0356 * CHOOSE(CONTROL!$C$15, $E$9, 100%, $G$9) + CHOOSE(CONTROL!$C$38, 0.0369, 0)</f>
        <v>68.072500000000005</v>
      </c>
      <c r="J904" s="44">
        <f>687.2602</f>
        <v>687.26020000000005</v>
      </c>
    </row>
    <row r="905" spans="1:10" ht="15.75" x14ac:dyDescent="0.25">
      <c r="A905" s="32">
        <v>68483</v>
      </c>
      <c r="B905" s="14">
        <f>72.9265 * CHOOSE(CONTROL!$C$15, $E$9, 100%, $G$9) + CHOOSE(CONTROL!$C$38, 0.0278, 0)</f>
        <v>72.954300000000003</v>
      </c>
      <c r="C905" s="14">
        <f>69.0092 * CHOOSE(CONTROL!$C$15, $E$9, 100%, $G$9) + CHOOSE(CONTROL!$C$38, 0.0369, 0)</f>
        <v>69.04610000000001</v>
      </c>
      <c r="D905" s="14">
        <f>69.0014 * CHOOSE(CONTROL!$C$15, $E$9, 100%, $G$9) + CHOOSE(CONTROL!$C$38, 0.0369, 0)</f>
        <v>69.038300000000007</v>
      </c>
      <c r="E905" s="46">
        <f>72.7703 * CHOOSE(CONTROL!$C$15, $E$9, 100%, $G$9) + CHOOSE(CONTROL!$C$38, 0.0369, 0)</f>
        <v>72.807200000000009</v>
      </c>
      <c r="F905" s="45">
        <f>72.7703 * CHOOSE(CONTROL!$C$15, $E$9, 100%, $G$9) + CHOOSE(CONTROL!$C$38, 0.0278, 0)</f>
        <v>72.798100000000005</v>
      </c>
      <c r="G905" s="14">
        <f>69.0077 * CHOOSE(CONTROL!$C$15, $E$9, 100%, $G$9) + CHOOSE(CONTROL!$C$38, 0.0369, 0)</f>
        <v>69.044600000000003</v>
      </c>
      <c r="H905" s="14">
        <f>69.0077 * CHOOSE(CONTROL!$C$15, $E$9, 100%, $G$9) + CHOOSE(CONTROL!$C$38, 0.0369, 0)</f>
        <v>69.044600000000003</v>
      </c>
      <c r="I905" s="14">
        <f>69.0092 * CHOOSE(CONTROL!$C$15, $E$9, 100%, $G$9) + CHOOSE(CONTROL!$C$38, 0.0369, 0)</f>
        <v>69.04610000000001</v>
      </c>
      <c r="J905" s="44">
        <f>697.1629</f>
        <v>697.16290000000004</v>
      </c>
    </row>
    <row r="906" spans="1:10" ht="15.75" x14ac:dyDescent="0.25">
      <c r="A906" s="32">
        <v>68514</v>
      </c>
      <c r="B906" s="14">
        <f>72.5883 * CHOOSE(CONTROL!$C$15, $E$9, 100%, $G$9) + CHOOSE(CONTROL!$C$38, 0.0278, 0)</f>
        <v>72.616100000000003</v>
      </c>
      <c r="C906" s="14">
        <f>68.6887 * CHOOSE(CONTROL!$C$15, $E$9, 100%, $G$9) + CHOOSE(CONTROL!$C$38, 0.0369, 0)</f>
        <v>68.7256</v>
      </c>
      <c r="D906" s="14">
        <f>68.6808 * CHOOSE(CONTROL!$C$15, $E$9, 100%, $G$9) + CHOOSE(CONTROL!$C$38, 0.0369, 0)</f>
        <v>68.717700000000008</v>
      </c>
      <c r="E906" s="46">
        <f>72.4321 * CHOOSE(CONTROL!$C$15, $E$9, 100%, $G$9) + CHOOSE(CONTROL!$C$38, 0.0369, 0)</f>
        <v>72.469000000000008</v>
      </c>
      <c r="F906" s="45">
        <f>72.4321 * CHOOSE(CONTROL!$C$15, $E$9, 100%, $G$9) + CHOOSE(CONTROL!$C$38, 0.0278, 0)</f>
        <v>72.459900000000005</v>
      </c>
      <c r="G906" s="14">
        <f>68.6871 * CHOOSE(CONTROL!$C$15, $E$9, 100%, $G$9) + CHOOSE(CONTROL!$C$38, 0.0369, 0)</f>
        <v>68.724000000000004</v>
      </c>
      <c r="H906" s="14">
        <f>68.6871 * CHOOSE(CONTROL!$C$15, $E$9, 100%, $G$9) + CHOOSE(CONTROL!$C$38, 0.0369, 0)</f>
        <v>68.724000000000004</v>
      </c>
      <c r="I906" s="14">
        <f>68.6887 * CHOOSE(CONTROL!$C$15, $E$9, 100%, $G$9) + CHOOSE(CONTROL!$C$38, 0.0369, 0)</f>
        <v>68.7256</v>
      </c>
      <c r="J906" s="44">
        <f>693.9025</f>
        <v>693.90250000000003</v>
      </c>
    </row>
    <row r="907" spans="1:10" ht="15.75" x14ac:dyDescent="0.25">
      <c r="A907" s="32">
        <v>68545</v>
      </c>
      <c r="B907" s="14">
        <f>70.9129 * CHOOSE(CONTROL!$C$15, $E$9, 100%, $G$9) + CHOOSE(CONTROL!$C$38, 0.0278, 0)</f>
        <v>70.940699999999993</v>
      </c>
      <c r="C907" s="14">
        <f>67.1003 * CHOOSE(CONTROL!$C$15, $E$9, 100%, $G$9) + CHOOSE(CONTROL!$C$38, 0.0369, 0)</f>
        <v>67.137200000000007</v>
      </c>
      <c r="D907" s="14">
        <f>67.0925 * CHOOSE(CONTROL!$C$15, $E$9, 100%, $G$9) + CHOOSE(CONTROL!$C$38, 0.0369, 0)</f>
        <v>67.129400000000004</v>
      </c>
      <c r="E907" s="46">
        <f>70.7566 * CHOOSE(CONTROL!$C$15, $E$9, 100%, $G$9) + CHOOSE(CONTROL!$C$38, 0.0369, 0)</f>
        <v>70.793500000000009</v>
      </c>
      <c r="F907" s="45">
        <f>70.7566 * CHOOSE(CONTROL!$C$15, $E$9, 100%, $G$9) + CHOOSE(CONTROL!$C$38, 0.0278, 0)</f>
        <v>70.784400000000005</v>
      </c>
      <c r="G907" s="14">
        <f>67.0988 * CHOOSE(CONTROL!$C$15, $E$9, 100%, $G$9) + CHOOSE(CONTROL!$C$38, 0.0369, 0)</f>
        <v>67.1357</v>
      </c>
      <c r="H907" s="14">
        <f>67.0988 * CHOOSE(CONTROL!$C$15, $E$9, 100%, $G$9) + CHOOSE(CONTROL!$C$38, 0.0369, 0)</f>
        <v>67.1357</v>
      </c>
      <c r="I907" s="14">
        <f>67.1003 * CHOOSE(CONTROL!$C$15, $E$9, 100%, $G$9) + CHOOSE(CONTROL!$C$38, 0.0369, 0)</f>
        <v>67.137200000000007</v>
      </c>
      <c r="J907" s="44">
        <f>677.7487</f>
        <v>677.74869999999999</v>
      </c>
    </row>
    <row r="908" spans="1:10" ht="15.75" x14ac:dyDescent="0.25">
      <c r="A908" s="32">
        <v>68575</v>
      </c>
      <c r="B908" s="14">
        <f>68.5764 * CHOOSE(CONTROL!$C$15, $E$9, 100%, $G$9) + CHOOSE(CONTROL!$C$38, 0.0278, 0)</f>
        <v>68.604200000000006</v>
      </c>
      <c r="C908" s="14">
        <f>64.8854 * CHOOSE(CONTROL!$C$15, $E$9, 100%, $G$9) + CHOOSE(CONTROL!$C$38, 0.0369, 0)</f>
        <v>64.922300000000007</v>
      </c>
      <c r="D908" s="14">
        <f>64.8775 * CHOOSE(CONTROL!$C$15, $E$9, 100%, $G$9) + CHOOSE(CONTROL!$C$38, 0.0369, 0)</f>
        <v>64.914400000000001</v>
      </c>
      <c r="E908" s="46">
        <f>68.4201 * CHOOSE(CONTROL!$C$15, $E$9, 100%, $G$9) + CHOOSE(CONTROL!$C$38, 0.0369, 0)</f>
        <v>68.457000000000008</v>
      </c>
      <c r="F908" s="45">
        <f>68.4201 * CHOOSE(CONTROL!$C$15, $E$9, 100%, $G$9) + CHOOSE(CONTROL!$C$38, 0.0278, 0)</f>
        <v>68.447900000000004</v>
      </c>
      <c r="G908" s="14">
        <f>64.8838 * CHOOSE(CONTROL!$C$15, $E$9, 100%, $G$9) + CHOOSE(CONTROL!$C$38, 0.0369, 0)</f>
        <v>64.920699999999997</v>
      </c>
      <c r="H908" s="14">
        <f>64.8838 * CHOOSE(CONTROL!$C$15, $E$9, 100%, $G$9) + CHOOSE(CONTROL!$C$38, 0.0369, 0)</f>
        <v>64.920699999999997</v>
      </c>
      <c r="I908" s="14">
        <f>64.8854 * CHOOSE(CONTROL!$C$15, $E$9, 100%, $G$9) + CHOOSE(CONTROL!$C$38, 0.0369, 0)</f>
        <v>64.922300000000007</v>
      </c>
      <c r="J908" s="44">
        <f>655.2215</f>
        <v>655.22149999999999</v>
      </c>
    </row>
    <row r="909" spans="1:10" ht="15.75" x14ac:dyDescent="0.25">
      <c r="A909" s="32">
        <v>68606</v>
      </c>
      <c r="B909" s="14">
        <f>66.2263 * CHOOSE(CONTROL!$C$15, $E$9, 100%, $G$9) + CHOOSE(CONTROL!$C$38, 0.0256, 0)</f>
        <v>66.251899999999992</v>
      </c>
      <c r="C909" s="14">
        <f>62.6575 * CHOOSE(CONTROL!$C$15, $E$9, 100%, $G$9) + CHOOSE(CONTROL!$C$38, 0.0347, 0)</f>
        <v>62.6922</v>
      </c>
      <c r="D909" s="14">
        <f>62.6497 * CHOOSE(CONTROL!$C$15, $E$9, 100%, $G$9) + CHOOSE(CONTROL!$C$38, 0.0347, 0)</f>
        <v>62.684400000000004</v>
      </c>
      <c r="E909" s="46">
        <f>66.07 * CHOOSE(CONTROL!$C$15, $E$9, 100%, $G$9) + CHOOSE(CONTROL!$C$38, 0.0347, 0)</f>
        <v>66.104699999999994</v>
      </c>
      <c r="F909" s="45">
        <f>66.07 * CHOOSE(CONTROL!$C$15, $E$9, 100%, $G$9) + CHOOSE(CONTROL!$C$38, 0.0256, 0)</f>
        <v>66.09559999999999</v>
      </c>
      <c r="G909" s="14">
        <f>62.6559 * CHOOSE(CONTROL!$C$15, $E$9, 100%, $G$9) + CHOOSE(CONTROL!$C$38, 0.0347, 0)</f>
        <v>62.690600000000003</v>
      </c>
      <c r="H909" s="14">
        <f>62.6559 * CHOOSE(CONTROL!$C$15, $E$9, 100%, $G$9) + CHOOSE(CONTROL!$C$38, 0.0347, 0)</f>
        <v>62.690600000000003</v>
      </c>
      <c r="I909" s="14">
        <f>62.6575 * CHOOSE(CONTROL!$C$15, $E$9, 100%, $G$9) + CHOOSE(CONTROL!$C$38, 0.0347, 0)</f>
        <v>62.6922</v>
      </c>
      <c r="J909" s="44">
        <f>632.5633</f>
        <v>632.56330000000003</v>
      </c>
    </row>
    <row r="910" spans="1:10" ht="15.75" x14ac:dyDescent="0.25">
      <c r="A910" s="32">
        <v>68636</v>
      </c>
      <c r="B910" s="14">
        <f>65.7588 * CHOOSE(CONTROL!$C$15, $E$9, 100%, $G$9) + CHOOSE(CONTROL!$C$38, 0.0256, 0)</f>
        <v>65.784399999999991</v>
      </c>
      <c r="C910" s="14">
        <f>62.2143 * CHOOSE(CONTROL!$C$15, $E$9, 100%, $G$9) + CHOOSE(CONTROL!$C$38, 0.0347, 0)</f>
        <v>62.249000000000002</v>
      </c>
      <c r="D910" s="14">
        <f>62.2065 * CHOOSE(CONTROL!$C$15, $E$9, 100%, $G$9) + CHOOSE(CONTROL!$C$38, 0.0347, 0)</f>
        <v>62.241199999999999</v>
      </c>
      <c r="E910" s="46">
        <f>65.6025 * CHOOSE(CONTROL!$C$15, $E$9, 100%, $G$9) + CHOOSE(CONTROL!$C$38, 0.0347, 0)</f>
        <v>65.637200000000007</v>
      </c>
      <c r="F910" s="45">
        <f>65.6025 * CHOOSE(CONTROL!$C$15, $E$9, 100%, $G$9) + CHOOSE(CONTROL!$C$38, 0.0256, 0)</f>
        <v>65.628100000000003</v>
      </c>
      <c r="G910" s="14">
        <f>62.2128 * CHOOSE(CONTROL!$C$15, $E$9, 100%, $G$9) + CHOOSE(CONTROL!$C$38, 0.0347, 0)</f>
        <v>62.247500000000002</v>
      </c>
      <c r="H910" s="14">
        <f>62.2128 * CHOOSE(CONTROL!$C$15, $E$9, 100%, $G$9) + CHOOSE(CONTROL!$C$38, 0.0347, 0)</f>
        <v>62.247500000000002</v>
      </c>
      <c r="I910" s="14">
        <f>62.2143 * CHOOSE(CONTROL!$C$15, $E$9, 100%, $G$9) + CHOOSE(CONTROL!$C$38, 0.0347, 0)</f>
        <v>62.249000000000002</v>
      </c>
      <c r="J910" s="44">
        <f>628.0561</f>
        <v>628.05610000000001</v>
      </c>
    </row>
    <row r="911" spans="1:10" ht="15.75" x14ac:dyDescent="0.25">
      <c r="A911" s="32">
        <v>68667</v>
      </c>
      <c r="B911" s="14">
        <f>63.8257 * CHOOSE(CONTROL!$C$15, $E$9, 100%, $G$9) + CHOOSE(CONTROL!$C$38, 0.0256, 0)</f>
        <v>63.851299999999995</v>
      </c>
      <c r="C911" s="14">
        <f>60.3818 * CHOOSE(CONTROL!$C$15, $E$9, 100%, $G$9) + CHOOSE(CONTROL!$C$38, 0.0347, 0)</f>
        <v>60.416499999999999</v>
      </c>
      <c r="D911" s="14">
        <f>60.374 * CHOOSE(CONTROL!$C$15, $E$9, 100%, $G$9) + CHOOSE(CONTROL!$C$38, 0.0347, 0)</f>
        <v>60.408700000000003</v>
      </c>
      <c r="E911" s="46">
        <f>63.6695 * CHOOSE(CONTROL!$C$15, $E$9, 100%, $G$9) + CHOOSE(CONTROL!$C$38, 0.0347, 0)</f>
        <v>63.7042</v>
      </c>
      <c r="F911" s="45">
        <f>63.6695 * CHOOSE(CONTROL!$C$15, $E$9, 100%, $G$9) + CHOOSE(CONTROL!$C$38, 0.0256, 0)</f>
        <v>63.695099999999996</v>
      </c>
      <c r="G911" s="14">
        <f>60.3802 * CHOOSE(CONTROL!$C$15, $E$9, 100%, $G$9) + CHOOSE(CONTROL!$C$38, 0.0347, 0)</f>
        <v>60.414900000000003</v>
      </c>
      <c r="H911" s="14">
        <f>60.3802 * CHOOSE(CONTROL!$C$15, $E$9, 100%, $G$9) + CHOOSE(CONTROL!$C$38, 0.0347, 0)</f>
        <v>60.414900000000003</v>
      </c>
      <c r="I911" s="14">
        <f>60.3818 * CHOOSE(CONTROL!$C$15, $E$9, 100%, $G$9) + CHOOSE(CONTROL!$C$38, 0.0347, 0)</f>
        <v>60.416499999999999</v>
      </c>
      <c r="J911" s="44">
        <f>609.4185</f>
        <v>609.41849999999999</v>
      </c>
    </row>
    <row r="912" spans="1:10" ht="15.75" x14ac:dyDescent="0.25">
      <c r="A912" s="32">
        <v>68698</v>
      </c>
      <c r="B912" s="14">
        <f>63.3457 * CHOOSE(CONTROL!$C$15, $E$9, 100%, $G$9) + CHOOSE(CONTROL!$C$38, 0.0256, 0)</f>
        <v>63.371299999999998</v>
      </c>
      <c r="C912" s="14">
        <f>59.9267 * CHOOSE(CONTROL!$C$15, $E$9, 100%, $G$9) + CHOOSE(CONTROL!$C$38, 0.0347, 0)</f>
        <v>59.961399999999998</v>
      </c>
      <c r="D912" s="14">
        <f>59.9189 * CHOOSE(CONTROL!$C$15, $E$9, 100%, $G$9) + CHOOSE(CONTROL!$C$38, 0.0347, 0)</f>
        <v>59.953600000000002</v>
      </c>
      <c r="E912" s="46">
        <f>63.1894 * CHOOSE(CONTROL!$C$15, $E$9, 100%, $G$9) + CHOOSE(CONTROL!$C$38, 0.0347, 0)</f>
        <v>63.2241</v>
      </c>
      <c r="F912" s="45">
        <f>63.1894 * CHOOSE(CONTROL!$C$15, $E$9, 100%, $G$9) + CHOOSE(CONTROL!$C$38, 0.0256, 0)</f>
        <v>63.214999999999996</v>
      </c>
      <c r="G912" s="14">
        <f>59.9251 * CHOOSE(CONTROL!$C$15, $E$9, 100%, $G$9) + CHOOSE(CONTROL!$C$38, 0.0347, 0)</f>
        <v>59.959800000000001</v>
      </c>
      <c r="H912" s="14">
        <f>59.9251 * CHOOSE(CONTROL!$C$15, $E$9, 100%, $G$9) + CHOOSE(CONTROL!$C$38, 0.0347, 0)</f>
        <v>59.959800000000001</v>
      </c>
      <c r="I912" s="14">
        <f>59.9267 * CHOOSE(CONTROL!$C$15, $E$9, 100%, $G$9) + CHOOSE(CONTROL!$C$38, 0.0347, 0)</f>
        <v>59.961399999999998</v>
      </c>
      <c r="J912" s="44">
        <f>608.9785</f>
        <v>608.97850000000005</v>
      </c>
    </row>
    <row r="913" spans="1:10" ht="15.75" x14ac:dyDescent="0.25">
      <c r="A913" s="32">
        <v>68727</v>
      </c>
      <c r="B913" s="14">
        <f>63.1713 * CHOOSE(CONTROL!$C$15, $E$9, 100%, $G$9) + CHOOSE(CONTROL!$C$38, 0.0256, 0)</f>
        <v>63.196899999999999</v>
      </c>
      <c r="C913" s="14">
        <f>59.7614 * CHOOSE(CONTROL!$C$15, $E$9, 100%, $G$9) + CHOOSE(CONTROL!$C$38, 0.0347, 0)</f>
        <v>59.796100000000003</v>
      </c>
      <c r="D913" s="14">
        <f>59.7536 * CHOOSE(CONTROL!$C$15, $E$9, 100%, $G$9) + CHOOSE(CONTROL!$C$38, 0.0347, 0)</f>
        <v>59.7883</v>
      </c>
      <c r="E913" s="46">
        <f>63.015 * CHOOSE(CONTROL!$C$15, $E$9, 100%, $G$9) + CHOOSE(CONTROL!$C$38, 0.0347, 0)</f>
        <v>63.049700000000001</v>
      </c>
      <c r="F913" s="45">
        <f>63.015 * CHOOSE(CONTROL!$C$15, $E$9, 100%, $G$9) + CHOOSE(CONTROL!$C$38, 0.0256, 0)</f>
        <v>63.040599999999998</v>
      </c>
      <c r="G913" s="14">
        <f>59.7599 * CHOOSE(CONTROL!$C$15, $E$9, 100%, $G$9) + CHOOSE(CONTROL!$C$38, 0.0347, 0)</f>
        <v>59.794600000000003</v>
      </c>
      <c r="H913" s="14">
        <f>59.7599 * CHOOSE(CONTROL!$C$15, $E$9, 100%, $G$9) + CHOOSE(CONTROL!$C$38, 0.0347, 0)</f>
        <v>59.794600000000003</v>
      </c>
      <c r="I913" s="14">
        <f>59.7614 * CHOOSE(CONTROL!$C$15, $E$9, 100%, $G$9) + CHOOSE(CONTROL!$C$38, 0.0347, 0)</f>
        <v>59.796100000000003</v>
      </c>
      <c r="J913" s="44">
        <f>607.2857</f>
        <v>607.28570000000002</v>
      </c>
    </row>
    <row r="914" spans="1:10" ht="15.75" x14ac:dyDescent="0.25">
      <c r="A914" s="32">
        <v>68758</v>
      </c>
      <c r="B914" s="14">
        <f>66.4683 * CHOOSE(CONTROL!$C$15, $E$9, 100%, $G$9) + CHOOSE(CONTROL!$C$38, 0.0256, 0)</f>
        <v>66.493899999999996</v>
      </c>
      <c r="C914" s="14">
        <f>62.8869 * CHOOSE(CONTROL!$C$15, $E$9, 100%, $G$9) + CHOOSE(CONTROL!$C$38, 0.0347, 0)</f>
        <v>62.921599999999998</v>
      </c>
      <c r="D914" s="14">
        <f>62.8791 * CHOOSE(CONTROL!$C$15, $E$9, 100%, $G$9) + CHOOSE(CONTROL!$C$38, 0.0347, 0)</f>
        <v>62.913800000000002</v>
      </c>
      <c r="E914" s="46">
        <f>66.312 * CHOOSE(CONTROL!$C$15, $E$9, 100%, $G$9) + CHOOSE(CONTROL!$C$38, 0.0347, 0)</f>
        <v>66.346699999999998</v>
      </c>
      <c r="F914" s="45">
        <f>66.312 * CHOOSE(CONTROL!$C$15, $E$9, 100%, $G$9) + CHOOSE(CONTROL!$C$38, 0.0256, 0)</f>
        <v>66.337599999999995</v>
      </c>
      <c r="G914" s="14">
        <f>62.8853 * CHOOSE(CONTROL!$C$15, $E$9, 100%, $G$9) + CHOOSE(CONTROL!$C$38, 0.0347, 0)</f>
        <v>62.92</v>
      </c>
      <c r="H914" s="14">
        <f>62.8853 * CHOOSE(CONTROL!$C$15, $E$9, 100%, $G$9) + CHOOSE(CONTROL!$C$38, 0.0347, 0)</f>
        <v>62.92</v>
      </c>
      <c r="I914" s="14">
        <f>62.8869 * CHOOSE(CONTROL!$C$15, $E$9, 100%, $G$9) + CHOOSE(CONTROL!$C$38, 0.0347, 0)</f>
        <v>62.921599999999998</v>
      </c>
      <c r="J914" s="44">
        <f>639.2932</f>
        <v>639.29319999999996</v>
      </c>
    </row>
    <row r="915" spans="1:10" ht="15.75" x14ac:dyDescent="0.25">
      <c r="A915" s="32">
        <v>68788</v>
      </c>
      <c r="B915" s="14">
        <f>70.7436 * CHOOSE(CONTROL!$C$15, $E$9, 100%, $G$9) + CHOOSE(CONTROL!$C$38, 0.0256, 0)</f>
        <v>70.769199999999998</v>
      </c>
      <c r="C915" s="14">
        <f>66.9399 * CHOOSE(CONTROL!$C$15, $E$9, 100%, $G$9) + CHOOSE(CONTROL!$C$38, 0.0347, 0)</f>
        <v>66.974599999999995</v>
      </c>
      <c r="D915" s="14">
        <f>66.9321 * CHOOSE(CONTROL!$C$15, $E$9, 100%, $G$9) + CHOOSE(CONTROL!$C$38, 0.0347, 0)</f>
        <v>66.966800000000006</v>
      </c>
      <c r="E915" s="46">
        <f>70.5874 * CHOOSE(CONTROL!$C$15, $E$9, 100%, $G$9) + CHOOSE(CONTROL!$C$38, 0.0347, 0)</f>
        <v>70.622100000000003</v>
      </c>
      <c r="F915" s="45">
        <f>70.5874 * CHOOSE(CONTROL!$C$15, $E$9, 100%, $G$9) + CHOOSE(CONTROL!$C$38, 0.0256, 0)</f>
        <v>70.613</v>
      </c>
      <c r="G915" s="14">
        <f>66.9383 * CHOOSE(CONTROL!$C$15, $E$9, 100%, $G$9) + CHOOSE(CONTROL!$C$38, 0.0347, 0)</f>
        <v>66.972999999999999</v>
      </c>
      <c r="H915" s="14">
        <f>66.9383 * CHOOSE(CONTROL!$C$15, $E$9, 100%, $G$9) + CHOOSE(CONTROL!$C$38, 0.0347, 0)</f>
        <v>66.972999999999999</v>
      </c>
      <c r="I915" s="14">
        <f>66.9399 * CHOOSE(CONTROL!$C$15, $E$9, 100%, $G$9) + CHOOSE(CONTROL!$C$38, 0.0347, 0)</f>
        <v>66.974599999999995</v>
      </c>
      <c r="J915" s="44">
        <f>680.7993</f>
        <v>680.79930000000002</v>
      </c>
    </row>
    <row r="916" spans="1:10" ht="15.75" x14ac:dyDescent="0.25">
      <c r="A916" s="32">
        <v>68819</v>
      </c>
      <c r="B916" s="14">
        <f>73.0969 * CHOOSE(CONTROL!$C$15, $E$9, 100%, $G$9) + CHOOSE(CONTROL!$C$38, 0.0278, 0)</f>
        <v>73.124700000000004</v>
      </c>
      <c r="C916" s="14">
        <f>69.1708 * CHOOSE(CONTROL!$C$15, $E$9, 100%, $G$9) + CHOOSE(CONTROL!$C$38, 0.0369, 0)</f>
        <v>69.207700000000003</v>
      </c>
      <c r="D916" s="14">
        <f>69.163 * CHOOSE(CONTROL!$C$15, $E$9, 100%, $G$9) + CHOOSE(CONTROL!$C$38, 0.0369, 0)</f>
        <v>69.1999</v>
      </c>
      <c r="E916" s="46">
        <f>72.9407 * CHOOSE(CONTROL!$C$15, $E$9, 100%, $G$9) + CHOOSE(CONTROL!$C$38, 0.0369, 0)</f>
        <v>72.97760000000001</v>
      </c>
      <c r="F916" s="45">
        <f>72.9407 * CHOOSE(CONTROL!$C$15, $E$9, 100%, $G$9) + CHOOSE(CONTROL!$C$38, 0.0278, 0)</f>
        <v>72.968500000000006</v>
      </c>
      <c r="G916" s="14">
        <f>69.1692 * CHOOSE(CONTROL!$C$15, $E$9, 100%, $G$9) + CHOOSE(CONTROL!$C$38, 0.0369, 0)</f>
        <v>69.206100000000006</v>
      </c>
      <c r="H916" s="14">
        <f>69.1692 * CHOOSE(CONTROL!$C$15, $E$9, 100%, $G$9) + CHOOSE(CONTROL!$C$38, 0.0369, 0)</f>
        <v>69.206100000000006</v>
      </c>
      <c r="I916" s="14">
        <f>69.1708 * CHOOSE(CONTROL!$C$15, $E$9, 100%, $G$9) + CHOOSE(CONTROL!$C$38, 0.0369, 0)</f>
        <v>69.207700000000003</v>
      </c>
      <c r="J916" s="44">
        <f>703.6455</f>
        <v>703.64549999999997</v>
      </c>
    </row>
    <row r="917" spans="1:10" ht="15.75" x14ac:dyDescent="0.25">
      <c r="A917" s="32">
        <v>68849</v>
      </c>
      <c r="B917" s="14">
        <f>74.1413 * CHOOSE(CONTROL!$C$15, $E$9, 100%, $G$9) + CHOOSE(CONTROL!$C$38, 0.0278, 0)</f>
        <v>74.1691</v>
      </c>
      <c r="C917" s="14">
        <f>70.1608 * CHOOSE(CONTROL!$C$15, $E$9, 100%, $G$9) + CHOOSE(CONTROL!$C$38, 0.0369, 0)</f>
        <v>70.197699999999998</v>
      </c>
      <c r="D917" s="14">
        <f>70.153 * CHOOSE(CONTROL!$C$15, $E$9, 100%, $G$9) + CHOOSE(CONTROL!$C$38, 0.0369, 0)</f>
        <v>70.189900000000009</v>
      </c>
      <c r="E917" s="46">
        <f>73.985 * CHOOSE(CONTROL!$C$15, $E$9, 100%, $G$9) + CHOOSE(CONTROL!$C$38, 0.0369, 0)</f>
        <v>74.021900000000002</v>
      </c>
      <c r="F917" s="45">
        <f>73.985 * CHOOSE(CONTROL!$C$15, $E$9, 100%, $G$9) + CHOOSE(CONTROL!$C$38, 0.0278, 0)</f>
        <v>74.012799999999999</v>
      </c>
      <c r="G917" s="14">
        <f>70.1593 * CHOOSE(CONTROL!$C$15, $E$9, 100%, $G$9) + CHOOSE(CONTROL!$C$38, 0.0369, 0)</f>
        <v>70.196200000000005</v>
      </c>
      <c r="H917" s="14">
        <f>70.1593 * CHOOSE(CONTROL!$C$15, $E$9, 100%, $G$9) + CHOOSE(CONTROL!$C$38, 0.0369, 0)</f>
        <v>70.196200000000005</v>
      </c>
      <c r="I917" s="14">
        <f>70.1608 * CHOOSE(CONTROL!$C$15, $E$9, 100%, $G$9) + CHOOSE(CONTROL!$C$38, 0.0369, 0)</f>
        <v>70.197699999999998</v>
      </c>
      <c r="J917" s="44">
        <f>713.7843</f>
        <v>713.78430000000003</v>
      </c>
    </row>
    <row r="918" spans="1:10" ht="15.75" x14ac:dyDescent="0.25">
      <c r="A918" s="32">
        <v>68880</v>
      </c>
      <c r="B918" s="14">
        <f>73.7974 * CHOOSE(CONTROL!$C$15, $E$9, 100%, $G$9) + CHOOSE(CONTROL!$C$38, 0.0278, 0)</f>
        <v>73.825199999999995</v>
      </c>
      <c r="C918" s="14">
        <f>69.8349 * CHOOSE(CONTROL!$C$15, $E$9, 100%, $G$9) + CHOOSE(CONTROL!$C$38, 0.0369, 0)</f>
        <v>69.871800000000007</v>
      </c>
      <c r="D918" s="14">
        <f>69.827 * CHOOSE(CONTROL!$C$15, $E$9, 100%, $G$9) + CHOOSE(CONTROL!$C$38, 0.0369, 0)</f>
        <v>69.863900000000001</v>
      </c>
      <c r="E918" s="46">
        <f>73.6412 * CHOOSE(CONTROL!$C$15, $E$9, 100%, $G$9) + CHOOSE(CONTROL!$C$38, 0.0369, 0)</f>
        <v>73.678100000000001</v>
      </c>
      <c r="F918" s="45">
        <f>73.6412 * CHOOSE(CONTROL!$C$15, $E$9, 100%, $G$9) + CHOOSE(CONTROL!$C$38, 0.0278, 0)</f>
        <v>73.668999999999997</v>
      </c>
      <c r="G918" s="14">
        <f>69.8333 * CHOOSE(CONTROL!$C$15, $E$9, 100%, $G$9) + CHOOSE(CONTROL!$C$38, 0.0369, 0)</f>
        <v>69.870199999999997</v>
      </c>
      <c r="H918" s="14">
        <f>69.8333 * CHOOSE(CONTROL!$C$15, $E$9, 100%, $G$9) + CHOOSE(CONTROL!$C$38, 0.0369, 0)</f>
        <v>69.870199999999997</v>
      </c>
      <c r="I918" s="14">
        <f>69.8349 * CHOOSE(CONTROL!$C$15, $E$9, 100%, $G$9) + CHOOSE(CONTROL!$C$38, 0.0369, 0)</f>
        <v>69.871800000000007</v>
      </c>
      <c r="J918" s="44">
        <f>710.4461</f>
        <v>710.4461</v>
      </c>
    </row>
    <row r="919" spans="1:10" ht="15.75" x14ac:dyDescent="0.25">
      <c r="A919" s="32">
        <v>68911</v>
      </c>
      <c r="B919" s="14">
        <f>72.0938 * CHOOSE(CONTROL!$C$15, $E$9, 100%, $G$9) + CHOOSE(CONTROL!$C$38, 0.0278, 0)</f>
        <v>72.121600000000001</v>
      </c>
      <c r="C919" s="14">
        <f>68.2199 * CHOOSE(CONTROL!$C$15, $E$9, 100%, $G$9) + CHOOSE(CONTROL!$C$38, 0.0369, 0)</f>
        <v>68.256799999999998</v>
      </c>
      <c r="D919" s="14">
        <f>68.2121 * CHOOSE(CONTROL!$C$15, $E$9, 100%, $G$9) + CHOOSE(CONTROL!$C$38, 0.0369, 0)</f>
        <v>68.249000000000009</v>
      </c>
      <c r="E919" s="46">
        <f>71.9376 * CHOOSE(CONTROL!$C$15, $E$9, 100%, $G$9) + CHOOSE(CONTROL!$C$38, 0.0369, 0)</f>
        <v>71.974500000000006</v>
      </c>
      <c r="F919" s="45">
        <f>71.9376 * CHOOSE(CONTROL!$C$15, $E$9, 100%, $G$9) + CHOOSE(CONTROL!$C$38, 0.0278, 0)</f>
        <v>71.965400000000002</v>
      </c>
      <c r="G919" s="14">
        <f>68.2183 * CHOOSE(CONTROL!$C$15, $E$9, 100%, $G$9) + CHOOSE(CONTROL!$C$38, 0.0369, 0)</f>
        <v>68.255200000000002</v>
      </c>
      <c r="H919" s="14">
        <f>68.2183 * CHOOSE(CONTROL!$C$15, $E$9, 100%, $G$9) + CHOOSE(CONTROL!$C$38, 0.0369, 0)</f>
        <v>68.255200000000002</v>
      </c>
      <c r="I919" s="14">
        <f>68.2199 * CHOOSE(CONTROL!$C$15, $E$9, 100%, $G$9) + CHOOSE(CONTROL!$C$38, 0.0369, 0)</f>
        <v>68.256799999999998</v>
      </c>
      <c r="J919" s="44">
        <f>693.9073</f>
        <v>693.90729999999996</v>
      </c>
    </row>
    <row r="920" spans="1:10" ht="15.75" x14ac:dyDescent="0.25">
      <c r="A920" s="32">
        <v>68941</v>
      </c>
      <c r="B920" s="14">
        <f>69.7181 * CHOOSE(CONTROL!$C$15, $E$9, 100%, $G$9) + CHOOSE(CONTROL!$C$38, 0.0278, 0)</f>
        <v>69.745900000000006</v>
      </c>
      <c r="C920" s="14">
        <f>65.9677 * CHOOSE(CONTROL!$C$15, $E$9, 100%, $G$9) + CHOOSE(CONTROL!$C$38, 0.0369, 0)</f>
        <v>66.004599999999996</v>
      </c>
      <c r="D920" s="14">
        <f>65.9599 * CHOOSE(CONTROL!$C$15, $E$9, 100%, $G$9) + CHOOSE(CONTROL!$C$38, 0.0369, 0)</f>
        <v>65.996800000000007</v>
      </c>
      <c r="E920" s="46">
        <f>69.5618 * CHOOSE(CONTROL!$C$15, $E$9, 100%, $G$9) + CHOOSE(CONTROL!$C$38, 0.0369, 0)</f>
        <v>69.598700000000008</v>
      </c>
      <c r="F920" s="45">
        <f>69.5618 * CHOOSE(CONTROL!$C$15, $E$9, 100%, $G$9) + CHOOSE(CONTROL!$C$38, 0.0278, 0)</f>
        <v>69.589600000000004</v>
      </c>
      <c r="G920" s="14">
        <f>65.9661 * CHOOSE(CONTROL!$C$15, $E$9, 100%, $G$9) + CHOOSE(CONTROL!$C$38, 0.0369, 0)</f>
        <v>66.003</v>
      </c>
      <c r="H920" s="14">
        <f>65.9661 * CHOOSE(CONTROL!$C$15, $E$9, 100%, $G$9) + CHOOSE(CONTROL!$C$38, 0.0369, 0)</f>
        <v>66.003</v>
      </c>
      <c r="I920" s="14">
        <f>65.9677 * CHOOSE(CONTROL!$C$15, $E$9, 100%, $G$9) + CHOOSE(CONTROL!$C$38, 0.0369, 0)</f>
        <v>66.004599999999996</v>
      </c>
      <c r="J920" s="44">
        <f>670.843</f>
        <v>670.84299999999996</v>
      </c>
    </row>
    <row r="921" spans="1:10" ht="15.75" x14ac:dyDescent="0.25">
      <c r="A921" s="32">
        <v>68972</v>
      </c>
      <c r="B921" s="14">
        <f>67.3285 * CHOOSE(CONTROL!$C$15, $E$9, 100%, $G$9) + CHOOSE(CONTROL!$C$38, 0.0256, 0)</f>
        <v>67.354100000000003</v>
      </c>
      <c r="C921" s="14">
        <f>63.7024 * CHOOSE(CONTROL!$C$15, $E$9, 100%, $G$9) + CHOOSE(CONTROL!$C$38, 0.0347, 0)</f>
        <v>63.737099999999998</v>
      </c>
      <c r="D921" s="14">
        <f>63.6946 * CHOOSE(CONTROL!$C$15, $E$9, 100%, $G$9) + CHOOSE(CONTROL!$C$38, 0.0347, 0)</f>
        <v>63.729300000000002</v>
      </c>
      <c r="E921" s="46">
        <f>67.1722 * CHOOSE(CONTROL!$C$15, $E$9, 100%, $G$9) + CHOOSE(CONTROL!$C$38, 0.0347, 0)</f>
        <v>67.206900000000005</v>
      </c>
      <c r="F921" s="45">
        <f>67.1722 * CHOOSE(CONTROL!$C$15, $E$9, 100%, $G$9) + CHOOSE(CONTROL!$C$38, 0.0256, 0)</f>
        <v>67.197800000000001</v>
      </c>
      <c r="G921" s="14">
        <f>63.7008 * CHOOSE(CONTROL!$C$15, $E$9, 100%, $G$9) + CHOOSE(CONTROL!$C$38, 0.0347, 0)</f>
        <v>63.735500000000002</v>
      </c>
      <c r="H921" s="14">
        <f>63.7008 * CHOOSE(CONTROL!$C$15, $E$9, 100%, $G$9) + CHOOSE(CONTROL!$C$38, 0.0347, 0)</f>
        <v>63.735500000000002</v>
      </c>
      <c r="I921" s="14">
        <f>63.7024 * CHOOSE(CONTROL!$C$15, $E$9, 100%, $G$9) + CHOOSE(CONTROL!$C$38, 0.0347, 0)</f>
        <v>63.737099999999998</v>
      </c>
      <c r="J921" s="44">
        <f>647.6445</f>
        <v>647.64449999999999</v>
      </c>
    </row>
    <row r="922" spans="1:10" ht="15.75" x14ac:dyDescent="0.25">
      <c r="A922" s="32">
        <v>69002</v>
      </c>
      <c r="B922" s="14">
        <f>66.8532 * CHOOSE(CONTROL!$C$15, $E$9, 100%, $G$9) + CHOOSE(CONTROL!$C$38, 0.0256, 0)</f>
        <v>66.878799999999998</v>
      </c>
      <c r="C922" s="14">
        <f>63.2518 * CHOOSE(CONTROL!$C$15, $E$9, 100%, $G$9) + CHOOSE(CONTROL!$C$38, 0.0347, 0)</f>
        <v>63.286500000000004</v>
      </c>
      <c r="D922" s="14">
        <f>63.244 * CHOOSE(CONTROL!$C$15, $E$9, 100%, $G$9) + CHOOSE(CONTROL!$C$38, 0.0347, 0)</f>
        <v>63.278700000000001</v>
      </c>
      <c r="E922" s="46">
        <f>66.6969 * CHOOSE(CONTROL!$C$15, $E$9, 100%, $G$9) + CHOOSE(CONTROL!$C$38, 0.0347, 0)</f>
        <v>66.7316</v>
      </c>
      <c r="F922" s="45">
        <f>66.6969 * CHOOSE(CONTROL!$C$15, $E$9, 100%, $G$9) + CHOOSE(CONTROL!$C$38, 0.0256, 0)</f>
        <v>66.722499999999997</v>
      </c>
      <c r="G922" s="14">
        <f>63.2502 * CHOOSE(CONTROL!$C$15, $E$9, 100%, $G$9) + CHOOSE(CONTROL!$C$38, 0.0347, 0)</f>
        <v>63.2849</v>
      </c>
      <c r="H922" s="14">
        <f>63.2502 * CHOOSE(CONTROL!$C$15, $E$9, 100%, $G$9) + CHOOSE(CONTROL!$C$38, 0.0347, 0)</f>
        <v>63.2849</v>
      </c>
      <c r="I922" s="14">
        <f>63.2518 * CHOOSE(CONTROL!$C$15, $E$9, 100%, $G$9) + CHOOSE(CONTROL!$C$38, 0.0347, 0)</f>
        <v>63.286500000000004</v>
      </c>
      <c r="J922" s="44">
        <f>643.0299</f>
        <v>643.0299</v>
      </c>
    </row>
    <row r="923" spans="1:10" ht="15.75" x14ac:dyDescent="0.25">
      <c r="A923" s="32">
        <v>69033</v>
      </c>
      <c r="B923" s="14">
        <f>64.8876 * CHOOSE(CONTROL!$C$15, $E$9, 100%, $G$9) + CHOOSE(CONTROL!$C$38, 0.0256, 0)</f>
        <v>64.913200000000003</v>
      </c>
      <c r="C923" s="14">
        <f>61.3885 * CHOOSE(CONTROL!$C$15, $E$9, 100%, $G$9) + CHOOSE(CONTROL!$C$38, 0.0347, 0)</f>
        <v>61.423200000000001</v>
      </c>
      <c r="D923" s="14">
        <f>61.3806 * CHOOSE(CONTROL!$C$15, $E$9, 100%, $G$9) + CHOOSE(CONTROL!$C$38, 0.0347, 0)</f>
        <v>61.415300000000002</v>
      </c>
      <c r="E923" s="46">
        <f>64.7314 * CHOOSE(CONTROL!$C$15, $E$9, 100%, $G$9) + CHOOSE(CONTROL!$C$38, 0.0347, 0)</f>
        <v>64.766099999999994</v>
      </c>
      <c r="F923" s="45">
        <f>64.7314 * CHOOSE(CONTROL!$C$15, $E$9, 100%, $G$9) + CHOOSE(CONTROL!$C$38, 0.0256, 0)</f>
        <v>64.756999999999991</v>
      </c>
      <c r="G923" s="14">
        <f>61.3869 * CHOOSE(CONTROL!$C$15, $E$9, 100%, $G$9) + CHOOSE(CONTROL!$C$38, 0.0347, 0)</f>
        <v>61.421599999999998</v>
      </c>
      <c r="H923" s="14">
        <f>61.3869 * CHOOSE(CONTROL!$C$15, $E$9, 100%, $G$9) + CHOOSE(CONTROL!$C$38, 0.0347, 0)</f>
        <v>61.421599999999998</v>
      </c>
      <c r="I923" s="14">
        <f>61.3885 * CHOOSE(CONTROL!$C$15, $E$9, 100%, $G$9) + CHOOSE(CONTROL!$C$38, 0.0347, 0)</f>
        <v>61.423200000000001</v>
      </c>
      <c r="J923" s="44">
        <f>623.9479</f>
        <v>623.9479</v>
      </c>
    </row>
    <row r="924" spans="1:10" ht="15.75" x14ac:dyDescent="0.25">
      <c r="A924" s="32">
        <v>69064</v>
      </c>
      <c r="B924" s="14">
        <f>64.3995 * CHOOSE(CONTROL!$C$15, $E$9, 100%, $G$9) + CHOOSE(CONTROL!$C$38, 0.0256, 0)</f>
        <v>64.4251</v>
      </c>
      <c r="C924" s="14">
        <f>60.9257 * CHOOSE(CONTROL!$C$15, $E$9, 100%, $G$9) + CHOOSE(CONTROL!$C$38, 0.0347, 0)</f>
        <v>60.9604</v>
      </c>
      <c r="D924" s="14">
        <f>60.9179 * CHOOSE(CONTROL!$C$15, $E$9, 100%, $G$9) + CHOOSE(CONTROL!$C$38, 0.0347, 0)</f>
        <v>60.952600000000004</v>
      </c>
      <c r="E924" s="46">
        <f>64.2432 * CHOOSE(CONTROL!$C$15, $E$9, 100%, $G$9) + CHOOSE(CONTROL!$C$38, 0.0347, 0)</f>
        <v>64.277900000000002</v>
      </c>
      <c r="F924" s="45">
        <f>64.2432 * CHOOSE(CONTROL!$C$15, $E$9, 100%, $G$9) + CHOOSE(CONTROL!$C$38, 0.0256, 0)</f>
        <v>64.268799999999999</v>
      </c>
      <c r="G924" s="14">
        <f>60.9242 * CHOOSE(CONTROL!$C$15, $E$9, 100%, $G$9) + CHOOSE(CONTROL!$C$38, 0.0347, 0)</f>
        <v>60.9589</v>
      </c>
      <c r="H924" s="14">
        <f>60.9242 * CHOOSE(CONTROL!$C$15, $E$9, 100%, $G$9) + CHOOSE(CONTROL!$C$38, 0.0347, 0)</f>
        <v>60.9589</v>
      </c>
      <c r="I924" s="14">
        <f>60.9257 * CHOOSE(CONTROL!$C$15, $E$9, 100%, $G$9) + CHOOSE(CONTROL!$C$38, 0.0347, 0)</f>
        <v>60.9604</v>
      </c>
      <c r="J924" s="44">
        <f>623.4975</f>
        <v>623.49749999999995</v>
      </c>
    </row>
    <row r="925" spans="1:10" ht="15.75" x14ac:dyDescent="0.25">
      <c r="A925" s="32">
        <v>69092</v>
      </c>
      <c r="B925" s="14">
        <f>64.2222 * CHOOSE(CONTROL!$C$15, $E$9, 100%, $G$9) + CHOOSE(CONTROL!$C$38, 0.0256, 0)</f>
        <v>64.247799999999998</v>
      </c>
      <c r="C925" s="14">
        <f>60.7576 * CHOOSE(CONTROL!$C$15, $E$9, 100%, $G$9) + CHOOSE(CONTROL!$C$38, 0.0347, 0)</f>
        <v>60.792299999999997</v>
      </c>
      <c r="D925" s="14">
        <f>60.7498 * CHOOSE(CONTROL!$C$15, $E$9, 100%, $G$9) + CHOOSE(CONTROL!$C$38, 0.0347, 0)</f>
        <v>60.784500000000001</v>
      </c>
      <c r="E925" s="46">
        <f>64.0659 * CHOOSE(CONTROL!$C$15, $E$9, 100%, $G$9) + CHOOSE(CONTROL!$C$38, 0.0347, 0)</f>
        <v>64.1006</v>
      </c>
      <c r="F925" s="45">
        <f>64.0659 * CHOOSE(CONTROL!$C$15, $E$9, 100%, $G$9) + CHOOSE(CONTROL!$C$38, 0.0256, 0)</f>
        <v>64.091499999999996</v>
      </c>
      <c r="G925" s="14">
        <f>60.7561 * CHOOSE(CONTROL!$C$15, $E$9, 100%, $G$9) + CHOOSE(CONTROL!$C$38, 0.0347, 0)</f>
        <v>60.790800000000004</v>
      </c>
      <c r="H925" s="14">
        <f>60.7561 * CHOOSE(CONTROL!$C$15, $E$9, 100%, $G$9) + CHOOSE(CONTROL!$C$38, 0.0347, 0)</f>
        <v>60.790800000000004</v>
      </c>
      <c r="I925" s="14">
        <f>60.7576 * CHOOSE(CONTROL!$C$15, $E$9, 100%, $G$9) + CHOOSE(CONTROL!$C$38, 0.0347, 0)</f>
        <v>60.792299999999997</v>
      </c>
      <c r="J925" s="44">
        <f>621.7643</f>
        <v>621.76430000000005</v>
      </c>
    </row>
    <row r="926" spans="1:10" ht="15.75" x14ac:dyDescent="0.25">
      <c r="A926" s="32">
        <v>69123</v>
      </c>
      <c r="B926" s="14">
        <f>67.5745 * CHOOSE(CONTROL!$C$15, $E$9, 100%, $G$9) + CHOOSE(CONTROL!$C$38, 0.0256, 0)</f>
        <v>67.600099999999998</v>
      </c>
      <c r="C926" s="14">
        <f>63.9356 * CHOOSE(CONTROL!$C$15, $E$9, 100%, $G$9) + CHOOSE(CONTROL!$C$38, 0.0347, 0)</f>
        <v>63.970300000000002</v>
      </c>
      <c r="D926" s="14">
        <f>63.9278 * CHOOSE(CONTROL!$C$15, $E$9, 100%, $G$9) + CHOOSE(CONTROL!$C$38, 0.0347, 0)</f>
        <v>63.962499999999999</v>
      </c>
      <c r="E926" s="46">
        <f>67.4183 * CHOOSE(CONTROL!$C$15, $E$9, 100%, $G$9) + CHOOSE(CONTROL!$C$38, 0.0347, 0)</f>
        <v>67.453000000000003</v>
      </c>
      <c r="F926" s="45">
        <f>67.4183 * CHOOSE(CONTROL!$C$15, $E$9, 100%, $G$9) + CHOOSE(CONTROL!$C$38, 0.0256, 0)</f>
        <v>67.443899999999999</v>
      </c>
      <c r="G926" s="14">
        <f>63.9341 * CHOOSE(CONTROL!$C$15, $E$9, 100%, $G$9) + CHOOSE(CONTROL!$C$38, 0.0347, 0)</f>
        <v>63.968800000000002</v>
      </c>
      <c r="H926" s="14">
        <f>63.9341 * CHOOSE(CONTROL!$C$15, $E$9, 100%, $G$9) + CHOOSE(CONTROL!$C$38, 0.0347, 0)</f>
        <v>63.968800000000002</v>
      </c>
      <c r="I926" s="14">
        <f>63.9356 * CHOOSE(CONTROL!$C$15, $E$9, 100%, $G$9) + CHOOSE(CONTROL!$C$38, 0.0347, 0)</f>
        <v>63.970300000000002</v>
      </c>
      <c r="J926" s="44">
        <f>654.5349</f>
        <v>654.53489999999999</v>
      </c>
    </row>
    <row r="927" spans="1:10" ht="15.75" x14ac:dyDescent="0.25">
      <c r="A927" s="32">
        <v>69153</v>
      </c>
      <c r="B927" s="14">
        <f>71.9217 * CHOOSE(CONTROL!$C$15, $E$9, 100%, $G$9) + CHOOSE(CONTROL!$C$38, 0.0256, 0)</f>
        <v>71.947299999999998</v>
      </c>
      <c r="C927" s="14">
        <f>68.0567 * CHOOSE(CONTROL!$C$15, $E$9, 100%, $G$9) + CHOOSE(CONTROL!$C$38, 0.0347, 0)</f>
        <v>68.091400000000007</v>
      </c>
      <c r="D927" s="14">
        <f>68.0489 * CHOOSE(CONTROL!$C$15, $E$9, 100%, $G$9) + CHOOSE(CONTROL!$C$38, 0.0347, 0)</f>
        <v>68.083600000000004</v>
      </c>
      <c r="E927" s="46">
        <f>71.7655 * CHOOSE(CONTROL!$C$15, $E$9, 100%, $G$9) + CHOOSE(CONTROL!$C$38, 0.0347, 0)</f>
        <v>71.800200000000004</v>
      </c>
      <c r="F927" s="45">
        <f>71.7655 * CHOOSE(CONTROL!$C$15, $E$9, 100%, $G$9) + CHOOSE(CONTROL!$C$38, 0.0256, 0)</f>
        <v>71.7911</v>
      </c>
      <c r="G927" s="14">
        <f>68.0552 * CHOOSE(CONTROL!$C$15, $E$9, 100%, $G$9) + CHOOSE(CONTROL!$C$38, 0.0347, 0)</f>
        <v>68.0899</v>
      </c>
      <c r="H927" s="14">
        <f>68.0552 * CHOOSE(CONTROL!$C$15, $E$9, 100%, $G$9) + CHOOSE(CONTROL!$C$38, 0.0347, 0)</f>
        <v>68.0899</v>
      </c>
      <c r="I927" s="14">
        <f>68.0567 * CHOOSE(CONTROL!$C$15, $E$9, 100%, $G$9) + CHOOSE(CONTROL!$C$38, 0.0347, 0)</f>
        <v>68.091400000000007</v>
      </c>
      <c r="J927" s="44">
        <f>697.0305</f>
        <v>697.03049999999996</v>
      </c>
    </row>
    <row r="928" spans="1:10" ht="15.75" x14ac:dyDescent="0.25">
      <c r="A928" s="32">
        <v>69184</v>
      </c>
      <c r="B928" s="14">
        <f>74.3146 * CHOOSE(CONTROL!$C$15, $E$9, 100%, $G$9) + CHOOSE(CONTROL!$C$38, 0.0278, 0)</f>
        <v>74.342399999999998</v>
      </c>
      <c r="C928" s="14">
        <f>70.3251 * CHOOSE(CONTROL!$C$15, $E$9, 100%, $G$9) + CHOOSE(CONTROL!$C$38, 0.0369, 0)</f>
        <v>70.362000000000009</v>
      </c>
      <c r="D928" s="14">
        <f>70.3173 * CHOOSE(CONTROL!$C$15, $E$9, 100%, $G$9) + CHOOSE(CONTROL!$C$38, 0.0369, 0)</f>
        <v>70.354200000000006</v>
      </c>
      <c r="E928" s="46">
        <f>74.1583 * CHOOSE(CONTROL!$C$15, $E$9, 100%, $G$9) + CHOOSE(CONTROL!$C$38, 0.0369, 0)</f>
        <v>74.1952</v>
      </c>
      <c r="F928" s="45">
        <f>74.1583 * CHOOSE(CONTROL!$C$15, $E$9, 100%, $G$9) + CHOOSE(CONTROL!$C$38, 0.0278, 0)</f>
        <v>74.186099999999996</v>
      </c>
      <c r="G928" s="14">
        <f>70.3235 * CHOOSE(CONTROL!$C$15, $E$9, 100%, $G$9) + CHOOSE(CONTROL!$C$38, 0.0369, 0)</f>
        <v>70.360399999999998</v>
      </c>
      <c r="H928" s="14">
        <f>70.3235 * CHOOSE(CONTROL!$C$15, $E$9, 100%, $G$9) + CHOOSE(CONTROL!$C$38, 0.0369, 0)</f>
        <v>70.360399999999998</v>
      </c>
      <c r="I928" s="14">
        <f>70.3251 * CHOOSE(CONTROL!$C$15, $E$9, 100%, $G$9) + CHOOSE(CONTROL!$C$38, 0.0369, 0)</f>
        <v>70.362000000000009</v>
      </c>
      <c r="J928" s="44">
        <f>720.4215</f>
        <v>720.42150000000004</v>
      </c>
    </row>
    <row r="929" spans="1:10" ht="15.75" x14ac:dyDescent="0.25">
      <c r="A929" s="32">
        <v>69214</v>
      </c>
      <c r="B929" s="14">
        <f>75.3765 * CHOOSE(CONTROL!$C$15, $E$9, 100%, $G$9) + CHOOSE(CONTROL!$C$38, 0.0278, 0)</f>
        <v>75.404299999999992</v>
      </c>
      <c r="C929" s="14">
        <f>71.3318 * CHOOSE(CONTROL!$C$15, $E$9, 100%, $G$9) + CHOOSE(CONTROL!$C$38, 0.0369, 0)</f>
        <v>71.368700000000004</v>
      </c>
      <c r="D929" s="14">
        <f>71.324 * CHOOSE(CONTROL!$C$15, $E$9, 100%, $G$9) + CHOOSE(CONTROL!$C$38, 0.0369, 0)</f>
        <v>71.360900000000001</v>
      </c>
      <c r="E929" s="46">
        <f>75.2202 * CHOOSE(CONTROL!$C$15, $E$9, 100%, $G$9) + CHOOSE(CONTROL!$C$38, 0.0369, 0)</f>
        <v>75.257100000000008</v>
      </c>
      <c r="F929" s="45">
        <f>75.2202 * CHOOSE(CONTROL!$C$15, $E$9, 100%, $G$9) + CHOOSE(CONTROL!$C$38, 0.0278, 0)</f>
        <v>75.248000000000005</v>
      </c>
      <c r="G929" s="14">
        <f>71.3302 * CHOOSE(CONTROL!$C$15, $E$9, 100%, $G$9) + CHOOSE(CONTROL!$C$38, 0.0369, 0)</f>
        <v>71.367100000000008</v>
      </c>
      <c r="H929" s="14">
        <f>71.3302 * CHOOSE(CONTROL!$C$15, $E$9, 100%, $G$9) + CHOOSE(CONTROL!$C$38, 0.0369, 0)</f>
        <v>71.367100000000008</v>
      </c>
      <c r="I929" s="14">
        <f>71.3318 * CHOOSE(CONTROL!$C$15, $E$9, 100%, $G$9) + CHOOSE(CONTROL!$C$38, 0.0369, 0)</f>
        <v>71.368700000000004</v>
      </c>
      <c r="J929" s="44">
        <f>730.802</f>
        <v>730.80200000000002</v>
      </c>
    </row>
    <row r="930" spans="1:10" ht="15.75" x14ac:dyDescent="0.25">
      <c r="A930" s="32">
        <v>69245</v>
      </c>
      <c r="B930" s="14">
        <f>75.0269 * CHOOSE(CONTROL!$C$15, $E$9, 100%, $G$9) + CHOOSE(CONTROL!$C$38, 0.0278, 0)</f>
        <v>75.054699999999997</v>
      </c>
      <c r="C930" s="14">
        <f>71.0003 * CHOOSE(CONTROL!$C$15, $E$9, 100%, $G$9) + CHOOSE(CONTROL!$C$38, 0.0369, 0)</f>
        <v>71.037199999999999</v>
      </c>
      <c r="D930" s="14">
        <f>70.9925 * CHOOSE(CONTROL!$C$15, $E$9, 100%, $G$9) + CHOOSE(CONTROL!$C$38, 0.0369, 0)</f>
        <v>71.02940000000001</v>
      </c>
      <c r="E930" s="46">
        <f>74.8706 * CHOOSE(CONTROL!$C$15, $E$9, 100%, $G$9) + CHOOSE(CONTROL!$C$38, 0.0369, 0)</f>
        <v>74.907499999999999</v>
      </c>
      <c r="F930" s="45">
        <f>74.8706 * CHOOSE(CONTROL!$C$15, $E$9, 100%, $G$9) + CHOOSE(CONTROL!$C$38, 0.0278, 0)</f>
        <v>74.898399999999995</v>
      </c>
      <c r="G930" s="14">
        <f>70.9988 * CHOOSE(CONTROL!$C$15, $E$9, 100%, $G$9) + CHOOSE(CONTROL!$C$38, 0.0369, 0)</f>
        <v>71.035700000000006</v>
      </c>
      <c r="H930" s="14">
        <f>70.9988 * CHOOSE(CONTROL!$C$15, $E$9, 100%, $G$9) + CHOOSE(CONTROL!$C$38, 0.0369, 0)</f>
        <v>71.035700000000006</v>
      </c>
      <c r="I930" s="14">
        <f>71.0003 * CHOOSE(CONTROL!$C$15, $E$9, 100%, $G$9) + CHOOSE(CONTROL!$C$38, 0.0369, 0)</f>
        <v>71.037199999999999</v>
      </c>
      <c r="J930" s="44">
        <f>727.3842</f>
        <v>727.38419999999996</v>
      </c>
    </row>
    <row r="931" spans="1:10" ht="15.75" x14ac:dyDescent="0.25">
      <c r="A931" s="32">
        <v>69276</v>
      </c>
      <c r="B931" s="14">
        <f>73.2946 * CHOOSE(CONTROL!$C$15, $E$9, 100%, $G$9) + CHOOSE(CONTROL!$C$38, 0.0278, 0)</f>
        <v>73.322400000000002</v>
      </c>
      <c r="C931" s="14">
        <f>69.3582 * CHOOSE(CONTROL!$C$15, $E$9, 100%, $G$9) + CHOOSE(CONTROL!$C$38, 0.0369, 0)</f>
        <v>69.395099999999999</v>
      </c>
      <c r="D931" s="14">
        <f>69.3504 * CHOOSE(CONTROL!$C$15, $E$9, 100%, $G$9) + CHOOSE(CONTROL!$C$38, 0.0369, 0)</f>
        <v>69.387299999999996</v>
      </c>
      <c r="E931" s="46">
        <f>73.1384 * CHOOSE(CONTROL!$C$15, $E$9, 100%, $G$9) + CHOOSE(CONTROL!$C$38, 0.0369, 0)</f>
        <v>73.175300000000007</v>
      </c>
      <c r="F931" s="45">
        <f>73.1384 * CHOOSE(CONTROL!$C$15, $E$9, 100%, $G$9) + CHOOSE(CONTROL!$C$38, 0.0278, 0)</f>
        <v>73.166200000000003</v>
      </c>
      <c r="G931" s="14">
        <f>69.3566 * CHOOSE(CONTROL!$C$15, $E$9, 100%, $G$9) + CHOOSE(CONTROL!$C$38, 0.0369, 0)</f>
        <v>69.393500000000003</v>
      </c>
      <c r="H931" s="14">
        <f>69.3566 * CHOOSE(CONTROL!$C$15, $E$9, 100%, $G$9) + CHOOSE(CONTROL!$C$38, 0.0369, 0)</f>
        <v>69.393500000000003</v>
      </c>
      <c r="I931" s="14">
        <f>69.3582 * CHOOSE(CONTROL!$C$15, $E$9, 100%, $G$9) + CHOOSE(CONTROL!$C$38, 0.0369, 0)</f>
        <v>69.395099999999999</v>
      </c>
      <c r="J931" s="44">
        <f>710.451</f>
        <v>710.45100000000002</v>
      </c>
    </row>
    <row r="932" spans="1:10" ht="15.75" x14ac:dyDescent="0.25">
      <c r="A932" s="32">
        <v>69306</v>
      </c>
      <c r="B932" s="14">
        <f>70.879 * CHOOSE(CONTROL!$C$15, $E$9, 100%, $G$9) + CHOOSE(CONTROL!$C$38, 0.0278, 0)</f>
        <v>70.906800000000004</v>
      </c>
      <c r="C932" s="14">
        <f>67.0682 * CHOOSE(CONTROL!$C$15, $E$9, 100%, $G$9) + CHOOSE(CONTROL!$C$38, 0.0369, 0)</f>
        <v>67.105100000000007</v>
      </c>
      <c r="D932" s="14">
        <f>67.0604 * CHOOSE(CONTROL!$C$15, $E$9, 100%, $G$9) + CHOOSE(CONTROL!$C$38, 0.0369, 0)</f>
        <v>67.097300000000004</v>
      </c>
      <c r="E932" s="46">
        <f>70.7227 * CHOOSE(CONTROL!$C$15, $E$9, 100%, $G$9) + CHOOSE(CONTROL!$C$38, 0.0369, 0)</f>
        <v>70.759600000000006</v>
      </c>
      <c r="F932" s="45">
        <f>70.7227 * CHOOSE(CONTROL!$C$15, $E$9, 100%, $G$9) + CHOOSE(CONTROL!$C$38, 0.0278, 0)</f>
        <v>70.750500000000002</v>
      </c>
      <c r="G932" s="14">
        <f>67.0666 * CHOOSE(CONTROL!$C$15, $E$9, 100%, $G$9) + CHOOSE(CONTROL!$C$38, 0.0369, 0)</f>
        <v>67.103499999999997</v>
      </c>
      <c r="H932" s="14">
        <f>67.0666 * CHOOSE(CONTROL!$C$15, $E$9, 100%, $G$9) + CHOOSE(CONTROL!$C$38, 0.0369, 0)</f>
        <v>67.103499999999997</v>
      </c>
      <c r="I932" s="14">
        <f>67.0682 * CHOOSE(CONTROL!$C$15, $E$9, 100%, $G$9) + CHOOSE(CONTROL!$C$38, 0.0369, 0)</f>
        <v>67.105100000000007</v>
      </c>
      <c r="J932" s="44">
        <f>686.8369</f>
        <v>686.83690000000001</v>
      </c>
    </row>
    <row r="933" spans="1:10" ht="15.75" x14ac:dyDescent="0.25">
      <c r="A933" s="32">
        <v>69337</v>
      </c>
      <c r="B933" s="14">
        <f>68.4492 * CHOOSE(CONTROL!$C$15, $E$9, 100%, $G$9) + CHOOSE(CONTROL!$C$38, 0.0256, 0)</f>
        <v>68.474800000000002</v>
      </c>
      <c r="C933" s="14">
        <f>64.7648 * CHOOSE(CONTROL!$C$15, $E$9, 100%, $G$9) + CHOOSE(CONTROL!$C$38, 0.0347, 0)</f>
        <v>64.799499999999995</v>
      </c>
      <c r="D933" s="14">
        <f>64.757 * CHOOSE(CONTROL!$C$15, $E$9, 100%, $G$9) + CHOOSE(CONTROL!$C$38, 0.0347, 0)</f>
        <v>64.791700000000006</v>
      </c>
      <c r="E933" s="46">
        <f>68.293 * CHOOSE(CONTROL!$C$15, $E$9, 100%, $G$9) + CHOOSE(CONTROL!$C$38, 0.0347, 0)</f>
        <v>68.327700000000007</v>
      </c>
      <c r="F933" s="45">
        <f>68.293 * CHOOSE(CONTROL!$C$15, $E$9, 100%, $G$9) + CHOOSE(CONTROL!$C$38, 0.0256, 0)</f>
        <v>68.318600000000004</v>
      </c>
      <c r="G933" s="14">
        <f>64.7633 * CHOOSE(CONTROL!$C$15, $E$9, 100%, $G$9) + CHOOSE(CONTROL!$C$38, 0.0347, 0)</f>
        <v>64.798000000000002</v>
      </c>
      <c r="H933" s="14">
        <f>64.7633 * CHOOSE(CONTROL!$C$15, $E$9, 100%, $G$9) + CHOOSE(CONTROL!$C$38, 0.0347, 0)</f>
        <v>64.798000000000002</v>
      </c>
      <c r="I933" s="14">
        <f>64.7648 * CHOOSE(CONTROL!$C$15, $E$9, 100%, $G$9) + CHOOSE(CONTROL!$C$38, 0.0347, 0)</f>
        <v>64.799499999999995</v>
      </c>
      <c r="J933" s="44">
        <f>663.0853</f>
        <v>663.08529999999996</v>
      </c>
    </row>
    <row r="934" spans="1:10" ht="15.75" x14ac:dyDescent="0.25">
      <c r="A934" s="32">
        <v>69367</v>
      </c>
      <c r="B934" s="14">
        <f>67.9659 * CHOOSE(CONTROL!$C$15, $E$9, 100%, $G$9) + CHOOSE(CONTROL!$C$38, 0.0256, 0)</f>
        <v>67.991500000000002</v>
      </c>
      <c r="C934" s="14">
        <f>64.3066 * CHOOSE(CONTROL!$C$15, $E$9, 100%, $G$9) + CHOOSE(CONTROL!$C$38, 0.0347, 0)</f>
        <v>64.341300000000004</v>
      </c>
      <c r="D934" s="14">
        <f>64.2988 * CHOOSE(CONTROL!$C$15, $E$9, 100%, $G$9) + CHOOSE(CONTROL!$C$38, 0.0347, 0)</f>
        <v>64.333500000000001</v>
      </c>
      <c r="E934" s="46">
        <f>67.8097 * CHOOSE(CONTROL!$C$15, $E$9, 100%, $G$9) + CHOOSE(CONTROL!$C$38, 0.0347, 0)</f>
        <v>67.844400000000007</v>
      </c>
      <c r="F934" s="45">
        <f>67.8097 * CHOOSE(CONTROL!$C$15, $E$9, 100%, $G$9) + CHOOSE(CONTROL!$C$38, 0.0256, 0)</f>
        <v>67.835300000000004</v>
      </c>
      <c r="G934" s="14">
        <f>64.3051 * CHOOSE(CONTROL!$C$15, $E$9, 100%, $G$9) + CHOOSE(CONTROL!$C$38, 0.0347, 0)</f>
        <v>64.339799999999997</v>
      </c>
      <c r="H934" s="14">
        <f>64.3051 * CHOOSE(CONTROL!$C$15, $E$9, 100%, $G$9) + CHOOSE(CONTROL!$C$38, 0.0347, 0)</f>
        <v>64.339799999999997</v>
      </c>
      <c r="I934" s="14">
        <f>64.3066 * CHOOSE(CONTROL!$C$15, $E$9, 100%, $G$9) + CHOOSE(CONTROL!$C$38, 0.0347, 0)</f>
        <v>64.341300000000004</v>
      </c>
      <c r="J934" s="44">
        <f>658.3607</f>
        <v>658.36069999999995</v>
      </c>
    </row>
    <row r="935" spans="1:10" ht="15.75" x14ac:dyDescent="0.25">
      <c r="A935" s="32">
        <v>69398</v>
      </c>
      <c r="B935" s="14">
        <f>65.9673 * CHOOSE(CONTROL!$C$15, $E$9, 100%, $G$9) + CHOOSE(CONTROL!$C$38, 0.0256, 0)</f>
        <v>65.992899999999992</v>
      </c>
      <c r="C935" s="14">
        <f>62.412 * CHOOSE(CONTROL!$C$15, $E$9, 100%, $G$9) + CHOOSE(CONTROL!$C$38, 0.0347, 0)</f>
        <v>62.4467</v>
      </c>
      <c r="D935" s="14">
        <f>62.4042 * CHOOSE(CONTROL!$C$15, $E$9, 100%, $G$9) + CHOOSE(CONTROL!$C$38, 0.0347, 0)</f>
        <v>62.438900000000004</v>
      </c>
      <c r="E935" s="46">
        <f>65.8111 * CHOOSE(CONTROL!$C$15, $E$9, 100%, $G$9) + CHOOSE(CONTROL!$C$38, 0.0347, 0)</f>
        <v>65.845799999999997</v>
      </c>
      <c r="F935" s="45">
        <f>65.8111 * CHOOSE(CONTROL!$C$15, $E$9, 100%, $G$9) + CHOOSE(CONTROL!$C$38, 0.0256, 0)</f>
        <v>65.836699999999993</v>
      </c>
      <c r="G935" s="14">
        <f>62.4105 * CHOOSE(CONTROL!$C$15, $E$9, 100%, $G$9) + CHOOSE(CONTROL!$C$38, 0.0347, 0)</f>
        <v>62.4452</v>
      </c>
      <c r="H935" s="14">
        <f>62.4105 * CHOOSE(CONTROL!$C$15, $E$9, 100%, $G$9) + CHOOSE(CONTROL!$C$38, 0.0347, 0)</f>
        <v>62.4452</v>
      </c>
      <c r="I935" s="14">
        <f>62.412 * CHOOSE(CONTROL!$C$15, $E$9, 100%, $G$9) + CHOOSE(CONTROL!$C$38, 0.0347, 0)</f>
        <v>62.4467</v>
      </c>
      <c r="J935" s="44">
        <f>638.8238</f>
        <v>638.82380000000001</v>
      </c>
    </row>
    <row r="936" spans="1:10" ht="15.75" x14ac:dyDescent="0.25">
      <c r="A936" s="32">
        <v>69429</v>
      </c>
      <c r="B936" s="14">
        <f>65.471 * CHOOSE(CONTROL!$C$15, $E$9, 100%, $G$9) + CHOOSE(CONTROL!$C$38, 0.0256, 0)</f>
        <v>65.496600000000001</v>
      </c>
      <c r="C936" s="14">
        <f>61.9415 * CHOOSE(CONTROL!$C$15, $E$9, 100%, $G$9) + CHOOSE(CONTROL!$C$38, 0.0347, 0)</f>
        <v>61.976199999999999</v>
      </c>
      <c r="D936" s="14">
        <f>61.9337 * CHOOSE(CONTROL!$C$15, $E$9, 100%, $G$9) + CHOOSE(CONTROL!$C$38, 0.0347, 0)</f>
        <v>61.968400000000003</v>
      </c>
      <c r="E936" s="46">
        <f>65.3148 * CHOOSE(CONTROL!$C$15, $E$9, 100%, $G$9) + CHOOSE(CONTROL!$C$38, 0.0347, 0)</f>
        <v>65.349500000000006</v>
      </c>
      <c r="F936" s="45">
        <f>65.3148 * CHOOSE(CONTROL!$C$15, $E$9, 100%, $G$9) + CHOOSE(CONTROL!$C$38, 0.0256, 0)</f>
        <v>65.340400000000002</v>
      </c>
      <c r="G936" s="14">
        <f>61.9399 * CHOOSE(CONTROL!$C$15, $E$9, 100%, $G$9) + CHOOSE(CONTROL!$C$38, 0.0347, 0)</f>
        <v>61.974600000000002</v>
      </c>
      <c r="H936" s="14">
        <f>61.9399 * CHOOSE(CONTROL!$C$15, $E$9, 100%, $G$9) + CHOOSE(CONTROL!$C$38, 0.0347, 0)</f>
        <v>61.974600000000002</v>
      </c>
      <c r="I936" s="14">
        <f>61.9415 * CHOOSE(CONTROL!$C$15, $E$9, 100%, $G$9) + CHOOSE(CONTROL!$C$38, 0.0347, 0)</f>
        <v>61.976199999999999</v>
      </c>
      <c r="J936" s="44">
        <f>638.3626</f>
        <v>638.36260000000004</v>
      </c>
    </row>
    <row r="937" spans="1:10" ht="15.75" x14ac:dyDescent="0.25">
      <c r="A937" s="32">
        <v>69457</v>
      </c>
      <c r="B937" s="14">
        <f>65.2907 * CHOOSE(CONTROL!$C$15, $E$9, 100%, $G$9) + CHOOSE(CONTROL!$C$38, 0.0256, 0)</f>
        <v>65.316299999999998</v>
      </c>
      <c r="C937" s="14">
        <f>61.7706 * CHOOSE(CONTROL!$C$15, $E$9, 100%, $G$9) + CHOOSE(CONTROL!$C$38, 0.0347, 0)</f>
        <v>61.805300000000003</v>
      </c>
      <c r="D937" s="14">
        <f>61.7628 * CHOOSE(CONTROL!$C$15, $E$9, 100%, $G$9) + CHOOSE(CONTROL!$C$38, 0.0347, 0)</f>
        <v>61.797499999999999</v>
      </c>
      <c r="E937" s="46">
        <f>65.1345 * CHOOSE(CONTROL!$C$15, $E$9, 100%, $G$9) + CHOOSE(CONTROL!$C$38, 0.0347, 0)</f>
        <v>65.169200000000004</v>
      </c>
      <c r="F937" s="45">
        <f>65.1345 * CHOOSE(CONTROL!$C$15, $E$9, 100%, $G$9) + CHOOSE(CONTROL!$C$38, 0.0256, 0)</f>
        <v>65.1601</v>
      </c>
      <c r="G937" s="14">
        <f>61.7691 * CHOOSE(CONTROL!$C$15, $E$9, 100%, $G$9) + CHOOSE(CONTROL!$C$38, 0.0347, 0)</f>
        <v>61.803800000000003</v>
      </c>
      <c r="H937" s="14">
        <f>61.7691 * CHOOSE(CONTROL!$C$15, $E$9, 100%, $G$9) + CHOOSE(CONTROL!$C$38, 0.0347, 0)</f>
        <v>61.803800000000003</v>
      </c>
      <c r="I937" s="14">
        <f>61.7706 * CHOOSE(CONTROL!$C$15, $E$9, 100%, $G$9) + CHOOSE(CONTROL!$C$38, 0.0347, 0)</f>
        <v>61.805300000000003</v>
      </c>
      <c r="J937" s="44">
        <f>636.5881</f>
        <v>636.58810000000005</v>
      </c>
    </row>
    <row r="938" spans="1:10" ht="15.75" x14ac:dyDescent="0.25">
      <c r="A938" s="32">
        <v>69488</v>
      </c>
      <c r="B938" s="14">
        <f>68.6994 * CHOOSE(CONTROL!$C$15, $E$9, 100%, $G$9) + CHOOSE(CONTROL!$C$38, 0.0256, 0)</f>
        <v>68.724999999999994</v>
      </c>
      <c r="C938" s="14">
        <f>65.002 * CHOOSE(CONTROL!$C$15, $E$9, 100%, $G$9) + CHOOSE(CONTROL!$C$38, 0.0347, 0)</f>
        <v>65.036699999999996</v>
      </c>
      <c r="D938" s="14">
        <f>64.9942 * CHOOSE(CONTROL!$C$15, $E$9, 100%, $G$9) + CHOOSE(CONTROL!$C$38, 0.0347, 0)</f>
        <v>65.028900000000007</v>
      </c>
      <c r="E938" s="46">
        <f>68.5432 * CHOOSE(CONTROL!$C$15, $E$9, 100%, $G$9) + CHOOSE(CONTROL!$C$38, 0.0347, 0)</f>
        <v>68.5779</v>
      </c>
      <c r="F938" s="45">
        <f>68.5432 * CHOOSE(CONTROL!$C$15, $E$9, 100%, $G$9) + CHOOSE(CONTROL!$C$38, 0.0256, 0)</f>
        <v>68.568799999999996</v>
      </c>
      <c r="G938" s="14">
        <f>65.0004 * CHOOSE(CONTROL!$C$15, $E$9, 100%, $G$9) + CHOOSE(CONTROL!$C$38, 0.0347, 0)</f>
        <v>65.0351</v>
      </c>
      <c r="H938" s="14">
        <f>65.0004 * CHOOSE(CONTROL!$C$15, $E$9, 100%, $G$9) + CHOOSE(CONTROL!$C$38, 0.0347, 0)</f>
        <v>65.0351</v>
      </c>
      <c r="I938" s="14">
        <f>65.002 * CHOOSE(CONTROL!$C$15, $E$9, 100%, $G$9) + CHOOSE(CONTROL!$C$38, 0.0347, 0)</f>
        <v>65.036699999999996</v>
      </c>
      <c r="J938" s="44">
        <f>670.14</f>
        <v>670.14</v>
      </c>
    </row>
    <row r="939" spans="1:10" ht="15.75" x14ac:dyDescent="0.25">
      <c r="A939" s="32">
        <v>69518</v>
      </c>
      <c r="B939" s="14">
        <f>73.1196 * CHOOSE(CONTROL!$C$15, $E$9, 100%, $G$9) + CHOOSE(CONTROL!$C$38, 0.0256, 0)</f>
        <v>73.145200000000003</v>
      </c>
      <c r="C939" s="14">
        <f>69.1923 * CHOOSE(CONTROL!$C$15, $E$9, 100%, $G$9) + CHOOSE(CONTROL!$C$38, 0.0347, 0)</f>
        <v>69.227000000000004</v>
      </c>
      <c r="D939" s="14">
        <f>69.1845 * CHOOSE(CONTROL!$C$15, $E$9, 100%, $G$9) + CHOOSE(CONTROL!$C$38, 0.0347, 0)</f>
        <v>69.219200000000001</v>
      </c>
      <c r="E939" s="46">
        <f>72.9634 * CHOOSE(CONTROL!$C$15, $E$9, 100%, $G$9) + CHOOSE(CONTROL!$C$38, 0.0347, 0)</f>
        <v>72.998099999999994</v>
      </c>
      <c r="F939" s="45">
        <f>72.9634 * CHOOSE(CONTROL!$C$15, $E$9, 100%, $G$9) + CHOOSE(CONTROL!$C$38, 0.0256, 0)</f>
        <v>72.98899999999999</v>
      </c>
      <c r="G939" s="14">
        <f>69.1907 * CHOOSE(CONTROL!$C$15, $E$9, 100%, $G$9) + CHOOSE(CONTROL!$C$38, 0.0347, 0)</f>
        <v>69.225400000000008</v>
      </c>
      <c r="H939" s="14">
        <f>69.1907 * CHOOSE(CONTROL!$C$15, $E$9, 100%, $G$9) + CHOOSE(CONTROL!$C$38, 0.0347, 0)</f>
        <v>69.225400000000008</v>
      </c>
      <c r="I939" s="14">
        <f>69.1923 * CHOOSE(CONTROL!$C$15, $E$9, 100%, $G$9) + CHOOSE(CONTROL!$C$38, 0.0347, 0)</f>
        <v>69.227000000000004</v>
      </c>
      <c r="J939" s="44">
        <f>713.6488</f>
        <v>713.64880000000005</v>
      </c>
    </row>
    <row r="940" spans="1:10" ht="15.75" x14ac:dyDescent="0.25">
      <c r="A940" s="32">
        <v>69549</v>
      </c>
      <c r="B940" s="14">
        <f>75.5527 * CHOOSE(CONTROL!$C$15, $E$9, 100%, $G$9) + CHOOSE(CONTROL!$C$38, 0.0278, 0)</f>
        <v>75.580500000000001</v>
      </c>
      <c r="C940" s="14">
        <f>71.4988 * CHOOSE(CONTROL!$C$15, $E$9, 100%, $G$9) + CHOOSE(CONTROL!$C$38, 0.0369, 0)</f>
        <v>71.535700000000006</v>
      </c>
      <c r="D940" s="14">
        <f>71.491 * CHOOSE(CONTROL!$C$15, $E$9, 100%, $G$9) + CHOOSE(CONTROL!$C$38, 0.0369, 0)</f>
        <v>71.527900000000002</v>
      </c>
      <c r="E940" s="46">
        <f>75.3964 * CHOOSE(CONTROL!$C$15, $E$9, 100%, $G$9) + CHOOSE(CONTROL!$C$38, 0.0369, 0)</f>
        <v>75.433300000000003</v>
      </c>
      <c r="F940" s="45">
        <f>75.3964 * CHOOSE(CONTROL!$C$15, $E$9, 100%, $G$9) + CHOOSE(CONTROL!$C$38, 0.0278, 0)</f>
        <v>75.424199999999999</v>
      </c>
      <c r="G940" s="14">
        <f>71.4972 * CHOOSE(CONTROL!$C$15, $E$9, 100%, $G$9) + CHOOSE(CONTROL!$C$38, 0.0369, 0)</f>
        <v>71.534100000000009</v>
      </c>
      <c r="H940" s="14">
        <f>71.4972 * CHOOSE(CONTROL!$C$15, $E$9, 100%, $G$9) + CHOOSE(CONTROL!$C$38, 0.0369, 0)</f>
        <v>71.534100000000009</v>
      </c>
      <c r="I940" s="14">
        <f>71.4988 * CHOOSE(CONTROL!$C$15, $E$9, 100%, $G$9) + CHOOSE(CONTROL!$C$38, 0.0369, 0)</f>
        <v>71.535700000000006</v>
      </c>
      <c r="J940" s="44">
        <f>737.5974</f>
        <v>737.59739999999999</v>
      </c>
    </row>
    <row r="941" spans="1:10" ht="15.75" x14ac:dyDescent="0.25">
      <c r="A941" s="32">
        <v>69579</v>
      </c>
      <c r="B941" s="14">
        <f>76.6324 * CHOOSE(CONTROL!$C$15, $E$9, 100%, $G$9) + CHOOSE(CONTROL!$C$38, 0.0278, 0)</f>
        <v>76.660200000000003</v>
      </c>
      <c r="C941" s="14">
        <f>72.5224 * CHOOSE(CONTROL!$C$15, $E$9, 100%, $G$9) + CHOOSE(CONTROL!$C$38, 0.0369, 0)</f>
        <v>72.559300000000007</v>
      </c>
      <c r="D941" s="14">
        <f>72.5146 * CHOOSE(CONTROL!$C$15, $E$9, 100%, $G$9) + CHOOSE(CONTROL!$C$38, 0.0369, 0)</f>
        <v>72.551500000000004</v>
      </c>
      <c r="E941" s="46">
        <f>76.4762 * CHOOSE(CONTROL!$C$15, $E$9, 100%, $G$9) + CHOOSE(CONTROL!$C$38, 0.0369, 0)</f>
        <v>76.513100000000009</v>
      </c>
      <c r="F941" s="45">
        <f>76.4762 * CHOOSE(CONTROL!$C$15, $E$9, 100%, $G$9) + CHOOSE(CONTROL!$C$38, 0.0278, 0)</f>
        <v>76.504000000000005</v>
      </c>
      <c r="G941" s="14">
        <f>72.5208 * CHOOSE(CONTROL!$C$15, $E$9, 100%, $G$9) + CHOOSE(CONTROL!$C$38, 0.0369, 0)</f>
        <v>72.557699999999997</v>
      </c>
      <c r="H941" s="14">
        <f>72.5208 * CHOOSE(CONTROL!$C$15, $E$9, 100%, $G$9) + CHOOSE(CONTROL!$C$38, 0.0369, 0)</f>
        <v>72.557699999999997</v>
      </c>
      <c r="I941" s="14">
        <f>72.5224 * CHOOSE(CONTROL!$C$15, $E$9, 100%, $G$9) + CHOOSE(CONTROL!$C$38, 0.0369, 0)</f>
        <v>72.559300000000007</v>
      </c>
      <c r="J941" s="44">
        <f>748.2254</f>
        <v>748.22540000000004</v>
      </c>
    </row>
    <row r="942" spans="1:10" ht="15.75" x14ac:dyDescent="0.25">
      <c r="A942" s="32">
        <v>69610</v>
      </c>
      <c r="B942" s="14">
        <f>76.2769 * CHOOSE(CONTROL!$C$15, $E$9, 100%, $G$9) + CHOOSE(CONTROL!$C$38, 0.0278, 0)</f>
        <v>76.304699999999997</v>
      </c>
      <c r="C942" s="14">
        <f>72.1854 * CHOOSE(CONTROL!$C$15, $E$9, 100%, $G$9) + CHOOSE(CONTROL!$C$38, 0.0369, 0)</f>
        <v>72.222300000000004</v>
      </c>
      <c r="D942" s="14">
        <f>72.1776 * CHOOSE(CONTROL!$C$15, $E$9, 100%, $G$9) + CHOOSE(CONTROL!$C$38, 0.0369, 0)</f>
        <v>72.214500000000001</v>
      </c>
      <c r="E942" s="46">
        <f>76.1207 * CHOOSE(CONTROL!$C$15, $E$9, 100%, $G$9) + CHOOSE(CONTROL!$C$38, 0.0369, 0)</f>
        <v>76.157600000000002</v>
      </c>
      <c r="F942" s="45">
        <f>76.1207 * CHOOSE(CONTROL!$C$15, $E$9, 100%, $G$9) + CHOOSE(CONTROL!$C$38, 0.0278, 0)</f>
        <v>76.148499999999999</v>
      </c>
      <c r="G942" s="14">
        <f>72.1838 * CHOOSE(CONTROL!$C$15, $E$9, 100%, $G$9) + CHOOSE(CONTROL!$C$38, 0.0369, 0)</f>
        <v>72.220700000000008</v>
      </c>
      <c r="H942" s="14">
        <f>72.1838 * CHOOSE(CONTROL!$C$15, $E$9, 100%, $G$9) + CHOOSE(CONTROL!$C$38, 0.0369, 0)</f>
        <v>72.220700000000008</v>
      </c>
      <c r="I942" s="14">
        <f>72.1854 * CHOOSE(CONTROL!$C$15, $E$9, 100%, $G$9) + CHOOSE(CONTROL!$C$38, 0.0369, 0)</f>
        <v>72.222300000000004</v>
      </c>
      <c r="J942" s="44">
        <f>744.7262</f>
        <v>744.72619999999995</v>
      </c>
    </row>
    <row r="943" spans="1:10" ht="15.75" x14ac:dyDescent="0.25">
      <c r="A943" s="32">
        <v>69641</v>
      </c>
      <c r="B943" s="14">
        <f>74.5156 * CHOOSE(CONTROL!$C$15, $E$9, 100%, $G$9) + CHOOSE(CONTROL!$C$38, 0.0278, 0)</f>
        <v>74.543400000000005</v>
      </c>
      <c r="C943" s="14">
        <f>70.5157 * CHOOSE(CONTROL!$C$15, $E$9, 100%, $G$9) + CHOOSE(CONTROL!$C$38, 0.0369, 0)</f>
        <v>70.552599999999998</v>
      </c>
      <c r="D943" s="14">
        <f>70.5078 * CHOOSE(CONTROL!$C$15, $E$9, 100%, $G$9) + CHOOSE(CONTROL!$C$38, 0.0369, 0)</f>
        <v>70.544700000000006</v>
      </c>
      <c r="E943" s="46">
        <f>74.3593 * CHOOSE(CONTROL!$C$15, $E$9, 100%, $G$9) + CHOOSE(CONTROL!$C$38, 0.0369, 0)</f>
        <v>74.396200000000007</v>
      </c>
      <c r="F943" s="45">
        <f>74.3593 * CHOOSE(CONTROL!$C$15, $E$9, 100%, $G$9) + CHOOSE(CONTROL!$C$38, 0.0278, 0)</f>
        <v>74.387100000000004</v>
      </c>
      <c r="G943" s="14">
        <f>70.5141 * CHOOSE(CONTROL!$C$15, $E$9, 100%, $G$9) + CHOOSE(CONTROL!$C$38, 0.0369, 0)</f>
        <v>70.551000000000002</v>
      </c>
      <c r="H943" s="14">
        <f>70.5141 * CHOOSE(CONTROL!$C$15, $E$9, 100%, $G$9) + CHOOSE(CONTROL!$C$38, 0.0369, 0)</f>
        <v>70.551000000000002</v>
      </c>
      <c r="I943" s="14">
        <f>70.5157 * CHOOSE(CONTROL!$C$15, $E$9, 100%, $G$9) + CHOOSE(CONTROL!$C$38, 0.0369, 0)</f>
        <v>70.552599999999998</v>
      </c>
      <c r="J943" s="44">
        <f>727.3893</f>
        <v>727.38930000000005</v>
      </c>
    </row>
    <row r="944" spans="1:10" ht="15.75" x14ac:dyDescent="0.25">
      <c r="A944" s="32">
        <v>69671</v>
      </c>
      <c r="B944" s="14">
        <f>72.0593 * CHOOSE(CONTROL!$C$15, $E$9, 100%, $G$9) + CHOOSE(CONTROL!$C$38, 0.0278, 0)</f>
        <v>72.087099999999992</v>
      </c>
      <c r="C944" s="14">
        <f>68.1872 * CHOOSE(CONTROL!$C$15, $E$9, 100%, $G$9) + CHOOSE(CONTROL!$C$38, 0.0369, 0)</f>
        <v>68.224100000000007</v>
      </c>
      <c r="D944" s="14">
        <f>68.1793 * CHOOSE(CONTROL!$C$15, $E$9, 100%, $G$9) + CHOOSE(CONTROL!$C$38, 0.0369, 0)</f>
        <v>68.216200000000001</v>
      </c>
      <c r="E944" s="46">
        <f>71.9031 * CHOOSE(CONTROL!$C$15, $E$9, 100%, $G$9) + CHOOSE(CONTROL!$C$38, 0.0369, 0)</f>
        <v>71.94</v>
      </c>
      <c r="F944" s="45">
        <f>71.9031 * CHOOSE(CONTROL!$C$15, $E$9, 100%, $G$9) + CHOOSE(CONTROL!$C$38, 0.0278, 0)</f>
        <v>71.930899999999994</v>
      </c>
      <c r="G944" s="14">
        <f>68.1856 * CHOOSE(CONTROL!$C$15, $E$9, 100%, $G$9) + CHOOSE(CONTROL!$C$38, 0.0369, 0)</f>
        <v>68.222499999999997</v>
      </c>
      <c r="H944" s="14">
        <f>68.1856 * CHOOSE(CONTROL!$C$15, $E$9, 100%, $G$9) + CHOOSE(CONTROL!$C$38, 0.0369, 0)</f>
        <v>68.222499999999997</v>
      </c>
      <c r="I944" s="14">
        <f>68.1872 * CHOOSE(CONTROL!$C$15, $E$9, 100%, $G$9) + CHOOSE(CONTROL!$C$38, 0.0369, 0)</f>
        <v>68.224100000000007</v>
      </c>
      <c r="J944" s="44">
        <f>703.2121</f>
        <v>703.21209999999996</v>
      </c>
    </row>
    <row r="945" spans="1:10" ht="15.75" x14ac:dyDescent="0.25">
      <c r="A945" s="32">
        <v>69702</v>
      </c>
      <c r="B945" s="14">
        <f>69.5888 * CHOOSE(CONTROL!$C$15, $E$9, 100%, $G$9) + CHOOSE(CONTROL!$C$38, 0.0256, 0)</f>
        <v>69.614400000000003</v>
      </c>
      <c r="C945" s="14">
        <f>65.8451 * CHOOSE(CONTROL!$C$15, $E$9, 100%, $G$9) + CHOOSE(CONTROL!$C$38, 0.0347, 0)</f>
        <v>65.879800000000003</v>
      </c>
      <c r="D945" s="14">
        <f>65.8373 * CHOOSE(CONTROL!$C$15, $E$9, 100%, $G$9) + CHOOSE(CONTROL!$C$38, 0.0347, 0)</f>
        <v>65.872</v>
      </c>
      <c r="E945" s="46">
        <f>69.4325 * CHOOSE(CONTROL!$C$15, $E$9, 100%, $G$9) + CHOOSE(CONTROL!$C$38, 0.0347, 0)</f>
        <v>69.467200000000005</v>
      </c>
      <c r="F945" s="45">
        <f>69.4325 * CHOOSE(CONTROL!$C$15, $E$9, 100%, $G$9) + CHOOSE(CONTROL!$C$38, 0.0256, 0)</f>
        <v>69.458100000000002</v>
      </c>
      <c r="G945" s="14">
        <f>65.8436 * CHOOSE(CONTROL!$C$15, $E$9, 100%, $G$9) + CHOOSE(CONTROL!$C$38, 0.0347, 0)</f>
        <v>65.878299999999996</v>
      </c>
      <c r="H945" s="14">
        <f>65.8436 * CHOOSE(CONTROL!$C$15, $E$9, 100%, $G$9) + CHOOSE(CONTROL!$C$38, 0.0347, 0)</f>
        <v>65.878299999999996</v>
      </c>
      <c r="I945" s="14">
        <f>65.8451 * CHOOSE(CONTROL!$C$15, $E$9, 100%, $G$9) + CHOOSE(CONTROL!$C$38, 0.0347, 0)</f>
        <v>65.879800000000003</v>
      </c>
      <c r="J945" s="44">
        <f>678.8943</f>
        <v>678.89430000000004</v>
      </c>
    </row>
    <row r="946" spans="1:10" ht="15.75" x14ac:dyDescent="0.25">
      <c r="A946" s="32">
        <v>69732</v>
      </c>
      <c r="B946" s="14">
        <f>69.0974 * CHOOSE(CONTROL!$C$15, $E$9, 100%, $G$9) + CHOOSE(CONTROL!$C$38, 0.0256, 0)</f>
        <v>69.12299999999999</v>
      </c>
      <c r="C946" s="14">
        <f>65.3792 * CHOOSE(CONTROL!$C$15, $E$9, 100%, $G$9) + CHOOSE(CONTROL!$C$38, 0.0347, 0)</f>
        <v>65.413899999999998</v>
      </c>
      <c r="D946" s="14">
        <f>65.3714 * CHOOSE(CONTROL!$C$15, $E$9, 100%, $G$9) + CHOOSE(CONTROL!$C$38, 0.0347, 0)</f>
        <v>65.406099999999995</v>
      </c>
      <c r="E946" s="46">
        <f>68.9411 * CHOOSE(CONTROL!$C$15, $E$9, 100%, $G$9) + CHOOSE(CONTROL!$C$38, 0.0347, 0)</f>
        <v>68.975800000000007</v>
      </c>
      <c r="F946" s="45">
        <f>68.9411 * CHOOSE(CONTROL!$C$15, $E$9, 100%, $G$9) + CHOOSE(CONTROL!$C$38, 0.0256, 0)</f>
        <v>68.966700000000003</v>
      </c>
      <c r="G946" s="14">
        <f>65.3777 * CHOOSE(CONTROL!$C$15, $E$9, 100%, $G$9) + CHOOSE(CONTROL!$C$38, 0.0347, 0)</f>
        <v>65.412400000000005</v>
      </c>
      <c r="H946" s="14">
        <f>65.3777 * CHOOSE(CONTROL!$C$15, $E$9, 100%, $G$9) + CHOOSE(CONTROL!$C$38, 0.0347, 0)</f>
        <v>65.412400000000005</v>
      </c>
      <c r="I946" s="14">
        <f>65.3792 * CHOOSE(CONTROL!$C$15, $E$9, 100%, $G$9) + CHOOSE(CONTROL!$C$38, 0.0347, 0)</f>
        <v>65.413899999999998</v>
      </c>
      <c r="J946" s="44">
        <f>674.057</f>
        <v>674.05700000000002</v>
      </c>
    </row>
    <row r="947" spans="1:10" ht="15.75" x14ac:dyDescent="0.25">
      <c r="A947" s="32">
        <v>69763</v>
      </c>
      <c r="B947" s="14">
        <f>67.0652 * CHOOSE(CONTROL!$C$15, $E$9, 100%, $G$9) + CHOOSE(CONTROL!$C$38, 0.0256, 0)</f>
        <v>67.090800000000002</v>
      </c>
      <c r="C947" s="14">
        <f>63.4528 * CHOOSE(CONTROL!$C$15, $E$9, 100%, $G$9) + CHOOSE(CONTROL!$C$38, 0.0347, 0)</f>
        <v>63.487500000000004</v>
      </c>
      <c r="D947" s="14">
        <f>63.445 * CHOOSE(CONTROL!$C$15, $E$9, 100%, $G$9) + CHOOSE(CONTROL!$C$38, 0.0347, 0)</f>
        <v>63.479700000000001</v>
      </c>
      <c r="E947" s="46">
        <f>66.9089 * CHOOSE(CONTROL!$C$15, $E$9, 100%, $G$9) + CHOOSE(CONTROL!$C$38, 0.0347, 0)</f>
        <v>66.943600000000004</v>
      </c>
      <c r="F947" s="45">
        <f>66.9089 * CHOOSE(CONTROL!$C$15, $E$9, 100%, $G$9) + CHOOSE(CONTROL!$C$38, 0.0256, 0)</f>
        <v>66.9345</v>
      </c>
      <c r="G947" s="14">
        <f>63.4512 * CHOOSE(CONTROL!$C$15, $E$9, 100%, $G$9) + CHOOSE(CONTROL!$C$38, 0.0347, 0)</f>
        <v>63.485900000000001</v>
      </c>
      <c r="H947" s="14">
        <f>63.4512 * CHOOSE(CONTROL!$C$15, $E$9, 100%, $G$9) + CHOOSE(CONTROL!$C$38, 0.0347, 0)</f>
        <v>63.485900000000001</v>
      </c>
      <c r="I947" s="14">
        <f>63.4528 * CHOOSE(CONTROL!$C$15, $E$9, 100%, $G$9) + CHOOSE(CONTROL!$C$38, 0.0347, 0)</f>
        <v>63.487500000000004</v>
      </c>
      <c r="J947" s="44">
        <f>654.0543</f>
        <v>654.05430000000001</v>
      </c>
    </row>
    <row r="948" spans="1:10" ht="15.75" x14ac:dyDescent="0.25">
      <c r="A948" s="32">
        <v>69794</v>
      </c>
      <c r="B948" s="14">
        <f>66.5605 * CHOOSE(CONTROL!$C$15, $E$9, 100%, $G$9) + CHOOSE(CONTROL!$C$38, 0.0256, 0)</f>
        <v>66.586100000000002</v>
      </c>
      <c r="C948" s="14">
        <f>62.9744 * CHOOSE(CONTROL!$C$15, $E$9, 100%, $G$9) + CHOOSE(CONTROL!$C$38, 0.0347, 0)</f>
        <v>63.009100000000004</v>
      </c>
      <c r="D948" s="14">
        <f>62.9666 * CHOOSE(CONTROL!$C$15, $E$9, 100%, $G$9) + CHOOSE(CONTROL!$C$38, 0.0347, 0)</f>
        <v>63.001300000000001</v>
      </c>
      <c r="E948" s="46">
        <f>66.4043 * CHOOSE(CONTROL!$C$15, $E$9, 100%, $G$9) + CHOOSE(CONTROL!$C$38, 0.0347, 0)</f>
        <v>66.439000000000007</v>
      </c>
      <c r="F948" s="45">
        <f>66.4043 * CHOOSE(CONTROL!$C$15, $E$9, 100%, $G$9) + CHOOSE(CONTROL!$C$38, 0.0256, 0)</f>
        <v>66.429900000000004</v>
      </c>
      <c r="G948" s="14">
        <f>62.9728 * CHOOSE(CONTROL!$C$15, $E$9, 100%, $G$9) + CHOOSE(CONTROL!$C$38, 0.0347, 0)</f>
        <v>63.0075</v>
      </c>
      <c r="H948" s="14">
        <f>62.9728 * CHOOSE(CONTROL!$C$15, $E$9, 100%, $G$9) + CHOOSE(CONTROL!$C$38, 0.0347, 0)</f>
        <v>63.0075</v>
      </c>
      <c r="I948" s="14">
        <f>62.9744 * CHOOSE(CONTROL!$C$15, $E$9, 100%, $G$9) + CHOOSE(CONTROL!$C$38, 0.0347, 0)</f>
        <v>63.009100000000004</v>
      </c>
      <c r="J948" s="44">
        <f>653.5821</f>
        <v>653.58209999999997</v>
      </c>
    </row>
    <row r="949" spans="1:10" ht="15.75" x14ac:dyDescent="0.25">
      <c r="A949" s="32">
        <v>69822</v>
      </c>
      <c r="B949" s="14">
        <f>66.3772 * CHOOSE(CONTROL!$C$15, $E$9, 100%, $G$9) + CHOOSE(CONTROL!$C$38, 0.0256, 0)</f>
        <v>66.402799999999999</v>
      </c>
      <c r="C949" s="14">
        <f>62.8006 * CHOOSE(CONTROL!$C$15, $E$9, 100%, $G$9) + CHOOSE(CONTROL!$C$38, 0.0347, 0)</f>
        <v>62.835300000000004</v>
      </c>
      <c r="D949" s="14">
        <f>62.7928 * CHOOSE(CONTROL!$C$15, $E$9, 100%, $G$9) + CHOOSE(CONTROL!$C$38, 0.0347, 0)</f>
        <v>62.827500000000001</v>
      </c>
      <c r="E949" s="46">
        <f>66.221 * CHOOSE(CONTROL!$C$15, $E$9, 100%, $G$9) + CHOOSE(CONTROL!$C$38, 0.0347, 0)</f>
        <v>66.255700000000004</v>
      </c>
      <c r="F949" s="45">
        <f>66.221 * CHOOSE(CONTROL!$C$15, $E$9, 100%, $G$9) + CHOOSE(CONTROL!$C$38, 0.0256, 0)</f>
        <v>66.246600000000001</v>
      </c>
      <c r="G949" s="14">
        <f>62.799 * CHOOSE(CONTROL!$C$15, $E$9, 100%, $G$9) + CHOOSE(CONTROL!$C$38, 0.0347, 0)</f>
        <v>62.8337</v>
      </c>
      <c r="H949" s="14">
        <f>62.799 * CHOOSE(CONTROL!$C$15, $E$9, 100%, $G$9) + CHOOSE(CONTROL!$C$38, 0.0347, 0)</f>
        <v>62.8337</v>
      </c>
      <c r="I949" s="14">
        <f>62.8006 * CHOOSE(CONTROL!$C$15, $E$9, 100%, $G$9) + CHOOSE(CONTROL!$C$38, 0.0347, 0)</f>
        <v>62.835300000000004</v>
      </c>
      <c r="J949" s="44">
        <f>651.7654</f>
        <v>651.7654</v>
      </c>
    </row>
    <row r="950" spans="1:10" ht="15.75" x14ac:dyDescent="0.25">
      <c r="A950" s="32">
        <v>69853</v>
      </c>
      <c r="B950" s="14">
        <f>69.8432 * CHOOSE(CONTROL!$C$15, $E$9, 100%, $G$9) + CHOOSE(CONTROL!$C$38, 0.0256, 0)</f>
        <v>69.868799999999993</v>
      </c>
      <c r="C950" s="14">
        <f>66.0863 * CHOOSE(CONTROL!$C$15, $E$9, 100%, $G$9) + CHOOSE(CONTROL!$C$38, 0.0347, 0)</f>
        <v>66.120999999999995</v>
      </c>
      <c r="D950" s="14">
        <f>66.0785 * CHOOSE(CONTROL!$C$15, $E$9, 100%, $G$9) + CHOOSE(CONTROL!$C$38, 0.0347, 0)</f>
        <v>66.113200000000006</v>
      </c>
      <c r="E950" s="46">
        <f>69.6869 * CHOOSE(CONTROL!$C$15, $E$9, 100%, $G$9) + CHOOSE(CONTROL!$C$38, 0.0347, 0)</f>
        <v>69.721599999999995</v>
      </c>
      <c r="F950" s="45">
        <f>69.6869 * CHOOSE(CONTROL!$C$15, $E$9, 100%, $G$9) + CHOOSE(CONTROL!$C$38, 0.0256, 0)</f>
        <v>69.712499999999991</v>
      </c>
      <c r="G950" s="14">
        <f>66.0847 * CHOOSE(CONTROL!$C$15, $E$9, 100%, $G$9) + CHOOSE(CONTROL!$C$38, 0.0347, 0)</f>
        <v>66.119399999999999</v>
      </c>
      <c r="H950" s="14">
        <f>66.0847 * CHOOSE(CONTROL!$C$15, $E$9, 100%, $G$9) + CHOOSE(CONTROL!$C$38, 0.0347, 0)</f>
        <v>66.119399999999999</v>
      </c>
      <c r="I950" s="14">
        <f>66.0863 * CHOOSE(CONTROL!$C$15, $E$9, 100%, $G$9) + CHOOSE(CONTROL!$C$38, 0.0347, 0)</f>
        <v>66.120999999999995</v>
      </c>
      <c r="J950" s="44">
        <f>686.1172</f>
        <v>686.11720000000003</v>
      </c>
    </row>
    <row r="951" spans="1:10" ht="15.75" x14ac:dyDescent="0.25">
      <c r="A951" s="32">
        <v>69883</v>
      </c>
      <c r="B951" s="14">
        <f>74.3377 * CHOOSE(CONTROL!$C$15, $E$9, 100%, $G$9) + CHOOSE(CONTROL!$C$38, 0.0256, 0)</f>
        <v>74.363299999999995</v>
      </c>
      <c r="C951" s="14">
        <f>70.347 * CHOOSE(CONTROL!$C$15, $E$9, 100%, $G$9) + CHOOSE(CONTROL!$C$38, 0.0347, 0)</f>
        <v>70.381699999999995</v>
      </c>
      <c r="D951" s="14">
        <f>70.3392 * CHOOSE(CONTROL!$C$15, $E$9, 100%, $G$9) + CHOOSE(CONTROL!$C$38, 0.0347, 0)</f>
        <v>70.373900000000006</v>
      </c>
      <c r="E951" s="46">
        <f>74.1814 * CHOOSE(CONTROL!$C$15, $E$9, 100%, $G$9) + CHOOSE(CONTROL!$C$38, 0.0347, 0)</f>
        <v>74.216099999999997</v>
      </c>
      <c r="F951" s="45">
        <f>74.1814 * CHOOSE(CONTROL!$C$15, $E$9, 100%, $G$9) + CHOOSE(CONTROL!$C$38, 0.0256, 0)</f>
        <v>74.206999999999994</v>
      </c>
      <c r="G951" s="14">
        <f>70.3454 * CHOOSE(CONTROL!$C$15, $E$9, 100%, $G$9) + CHOOSE(CONTROL!$C$38, 0.0347, 0)</f>
        <v>70.380099999999999</v>
      </c>
      <c r="H951" s="14">
        <f>70.3454 * CHOOSE(CONTROL!$C$15, $E$9, 100%, $G$9) + CHOOSE(CONTROL!$C$38, 0.0347, 0)</f>
        <v>70.380099999999999</v>
      </c>
      <c r="I951" s="14">
        <f>70.347 * CHOOSE(CONTROL!$C$15, $E$9, 100%, $G$9) + CHOOSE(CONTROL!$C$38, 0.0347, 0)</f>
        <v>70.381699999999995</v>
      </c>
      <c r="J951" s="44">
        <f>730.6632</f>
        <v>730.66319999999996</v>
      </c>
    </row>
    <row r="952" spans="1:10" ht="15.75" x14ac:dyDescent="0.25">
      <c r="A952" s="32">
        <v>69914</v>
      </c>
      <c r="B952" s="14">
        <f>76.8116 * CHOOSE(CONTROL!$C$15, $E$9, 100%, $G$9) + CHOOSE(CONTROL!$C$38, 0.0278, 0)</f>
        <v>76.839399999999998</v>
      </c>
      <c r="C952" s="14">
        <f>72.6922 * CHOOSE(CONTROL!$C$15, $E$9, 100%, $G$9) + CHOOSE(CONTROL!$C$38, 0.0369, 0)</f>
        <v>72.729100000000003</v>
      </c>
      <c r="D952" s="14">
        <f>72.6844 * CHOOSE(CONTROL!$C$15, $E$9, 100%, $G$9) + CHOOSE(CONTROL!$C$38, 0.0369, 0)</f>
        <v>72.721299999999999</v>
      </c>
      <c r="E952" s="46">
        <f>76.6553 * CHOOSE(CONTROL!$C$15, $E$9, 100%, $G$9) + CHOOSE(CONTROL!$C$38, 0.0369, 0)</f>
        <v>76.6922</v>
      </c>
      <c r="F952" s="45">
        <f>76.6553 * CHOOSE(CONTROL!$C$15, $E$9, 100%, $G$9) + CHOOSE(CONTROL!$C$38, 0.0278, 0)</f>
        <v>76.683099999999996</v>
      </c>
      <c r="G952" s="14">
        <f>72.6907 * CHOOSE(CONTROL!$C$15, $E$9, 100%, $G$9) + CHOOSE(CONTROL!$C$38, 0.0369, 0)</f>
        <v>72.72760000000001</v>
      </c>
      <c r="H952" s="14">
        <f>72.6907 * CHOOSE(CONTROL!$C$15, $E$9, 100%, $G$9) + CHOOSE(CONTROL!$C$38, 0.0369, 0)</f>
        <v>72.72760000000001</v>
      </c>
      <c r="I952" s="14">
        <f>72.6922 * CHOOSE(CONTROL!$C$15, $E$9, 100%, $G$9) + CHOOSE(CONTROL!$C$38, 0.0369, 0)</f>
        <v>72.729100000000003</v>
      </c>
      <c r="J952" s="44">
        <f>755.1828</f>
        <v>755.18280000000004</v>
      </c>
    </row>
    <row r="953" spans="1:10" ht="15.75" x14ac:dyDescent="0.25">
      <c r="A953" s="32">
        <v>69944</v>
      </c>
      <c r="B953" s="14">
        <f>77.9095 * CHOOSE(CONTROL!$C$15, $E$9, 100%, $G$9) + CHOOSE(CONTROL!$C$38, 0.0278, 0)</f>
        <v>77.937299999999993</v>
      </c>
      <c r="C953" s="14">
        <f>73.733 * CHOOSE(CONTROL!$C$15, $E$9, 100%, $G$9) + CHOOSE(CONTROL!$C$38, 0.0369, 0)</f>
        <v>73.769900000000007</v>
      </c>
      <c r="D953" s="14">
        <f>73.7252 * CHOOSE(CONTROL!$C$15, $E$9, 100%, $G$9) + CHOOSE(CONTROL!$C$38, 0.0369, 0)</f>
        <v>73.762100000000004</v>
      </c>
      <c r="E953" s="46">
        <f>77.7532 * CHOOSE(CONTROL!$C$15, $E$9, 100%, $G$9) + CHOOSE(CONTROL!$C$38, 0.0369, 0)</f>
        <v>77.79010000000001</v>
      </c>
      <c r="F953" s="45">
        <f>77.7532 * CHOOSE(CONTROL!$C$15, $E$9, 100%, $G$9) + CHOOSE(CONTROL!$C$38, 0.0278, 0)</f>
        <v>77.781000000000006</v>
      </c>
      <c r="G953" s="14">
        <f>73.7314 * CHOOSE(CONTROL!$C$15, $E$9, 100%, $G$9) + CHOOSE(CONTROL!$C$38, 0.0369, 0)</f>
        <v>73.768299999999996</v>
      </c>
      <c r="H953" s="14">
        <f>73.7314 * CHOOSE(CONTROL!$C$15, $E$9, 100%, $G$9) + CHOOSE(CONTROL!$C$38, 0.0369, 0)</f>
        <v>73.768299999999996</v>
      </c>
      <c r="I953" s="14">
        <f>73.733 * CHOOSE(CONTROL!$C$15, $E$9, 100%, $G$9) + CHOOSE(CONTROL!$C$38, 0.0369, 0)</f>
        <v>73.769900000000007</v>
      </c>
      <c r="J953" s="44">
        <f>766.0642</f>
        <v>766.06420000000003</v>
      </c>
    </row>
    <row r="954" spans="1:10" ht="15.75" x14ac:dyDescent="0.25">
      <c r="A954" s="32">
        <v>69975</v>
      </c>
      <c r="B954" s="14">
        <f>77.548 * CHOOSE(CONTROL!$C$15, $E$9, 100%, $G$9) + CHOOSE(CONTROL!$C$38, 0.0278, 0)</f>
        <v>77.575800000000001</v>
      </c>
      <c r="C954" s="14">
        <f>73.3903 * CHOOSE(CONTROL!$C$15, $E$9, 100%, $G$9) + CHOOSE(CONTROL!$C$38, 0.0369, 0)</f>
        <v>73.427199999999999</v>
      </c>
      <c r="D954" s="14">
        <f>73.3825 * CHOOSE(CONTROL!$C$15, $E$9, 100%, $G$9) + CHOOSE(CONTROL!$C$38, 0.0369, 0)</f>
        <v>73.419399999999996</v>
      </c>
      <c r="E954" s="46">
        <f>77.3917 * CHOOSE(CONTROL!$C$15, $E$9, 100%, $G$9) + CHOOSE(CONTROL!$C$38, 0.0369, 0)</f>
        <v>77.428600000000003</v>
      </c>
      <c r="F954" s="45">
        <f>77.3917 * CHOOSE(CONTROL!$C$15, $E$9, 100%, $G$9) + CHOOSE(CONTROL!$C$38, 0.0278, 0)</f>
        <v>77.419499999999999</v>
      </c>
      <c r="G954" s="14">
        <f>73.3888 * CHOOSE(CONTROL!$C$15, $E$9, 100%, $G$9) + CHOOSE(CONTROL!$C$38, 0.0369, 0)</f>
        <v>73.425700000000006</v>
      </c>
      <c r="H954" s="14">
        <f>73.3888 * CHOOSE(CONTROL!$C$15, $E$9, 100%, $G$9) + CHOOSE(CONTROL!$C$38, 0.0369, 0)</f>
        <v>73.425700000000006</v>
      </c>
      <c r="I954" s="14">
        <f>73.3903 * CHOOSE(CONTROL!$C$15, $E$9, 100%, $G$9) + CHOOSE(CONTROL!$C$38, 0.0369, 0)</f>
        <v>73.427199999999999</v>
      </c>
      <c r="J954" s="44">
        <f>762.4816</f>
        <v>762.48159999999996</v>
      </c>
    </row>
    <row r="955" spans="1:10" ht="15.75" x14ac:dyDescent="0.25">
      <c r="A955" s="32">
        <v>70006</v>
      </c>
      <c r="B955" s="14">
        <f>75.7571 * CHOOSE(CONTROL!$C$15, $E$9, 100%, $G$9) + CHOOSE(CONTROL!$C$38, 0.0278, 0)</f>
        <v>75.784899999999993</v>
      </c>
      <c r="C955" s="14">
        <f>71.6926 * CHOOSE(CONTROL!$C$15, $E$9, 100%, $G$9) + CHOOSE(CONTROL!$C$38, 0.0369, 0)</f>
        <v>71.729500000000002</v>
      </c>
      <c r="D955" s="14">
        <f>71.6847 * CHOOSE(CONTROL!$C$15, $E$9, 100%, $G$9) + CHOOSE(CONTROL!$C$38, 0.0369, 0)</f>
        <v>71.721600000000009</v>
      </c>
      <c r="E955" s="46">
        <f>75.6008 * CHOOSE(CONTROL!$C$15, $E$9, 100%, $G$9) + CHOOSE(CONTROL!$C$38, 0.0369, 0)</f>
        <v>75.637700000000009</v>
      </c>
      <c r="F955" s="45">
        <f>75.6008 * CHOOSE(CONTROL!$C$15, $E$9, 100%, $G$9) + CHOOSE(CONTROL!$C$38, 0.0278, 0)</f>
        <v>75.628600000000006</v>
      </c>
      <c r="G955" s="14">
        <f>71.691 * CHOOSE(CONTROL!$C$15, $E$9, 100%, $G$9) + CHOOSE(CONTROL!$C$38, 0.0369, 0)</f>
        <v>71.727900000000005</v>
      </c>
      <c r="H955" s="14">
        <f>71.691 * CHOOSE(CONTROL!$C$15, $E$9, 100%, $G$9) + CHOOSE(CONTROL!$C$38, 0.0369, 0)</f>
        <v>71.727900000000005</v>
      </c>
      <c r="I955" s="14">
        <f>71.6926 * CHOOSE(CONTROL!$C$15, $E$9, 100%, $G$9) + CHOOSE(CONTROL!$C$38, 0.0369, 0)</f>
        <v>71.729500000000002</v>
      </c>
      <c r="J955" s="44">
        <f>744.7313</f>
        <v>744.73130000000003</v>
      </c>
    </row>
    <row r="956" spans="1:10" ht="15.75" x14ac:dyDescent="0.25">
      <c r="A956" s="32">
        <v>70036</v>
      </c>
      <c r="B956" s="14">
        <f>73.2595 * CHOOSE(CONTROL!$C$15, $E$9, 100%, $G$9) + CHOOSE(CONTROL!$C$38, 0.0278, 0)</f>
        <v>73.287300000000002</v>
      </c>
      <c r="C956" s="14">
        <f>69.3249 * CHOOSE(CONTROL!$C$15, $E$9, 100%, $G$9) + CHOOSE(CONTROL!$C$38, 0.0369, 0)</f>
        <v>69.361800000000002</v>
      </c>
      <c r="D956" s="14">
        <f>69.3171 * CHOOSE(CONTROL!$C$15, $E$9, 100%, $G$9) + CHOOSE(CONTROL!$C$38, 0.0369, 0)</f>
        <v>69.353999999999999</v>
      </c>
      <c r="E956" s="46">
        <f>73.1033 * CHOOSE(CONTROL!$C$15, $E$9, 100%, $G$9) + CHOOSE(CONTROL!$C$38, 0.0369, 0)</f>
        <v>73.140200000000007</v>
      </c>
      <c r="F956" s="45">
        <f>73.1033 * CHOOSE(CONTROL!$C$15, $E$9, 100%, $G$9) + CHOOSE(CONTROL!$C$38, 0.0278, 0)</f>
        <v>73.131100000000004</v>
      </c>
      <c r="G956" s="14">
        <f>69.3234 * CHOOSE(CONTROL!$C$15, $E$9, 100%, $G$9) + CHOOSE(CONTROL!$C$38, 0.0369, 0)</f>
        <v>69.360300000000009</v>
      </c>
      <c r="H956" s="14">
        <f>69.3234 * CHOOSE(CONTROL!$C$15, $E$9, 100%, $G$9) + CHOOSE(CONTROL!$C$38, 0.0369, 0)</f>
        <v>69.360300000000009</v>
      </c>
      <c r="I956" s="14">
        <f>69.3249 * CHOOSE(CONTROL!$C$15, $E$9, 100%, $G$9) + CHOOSE(CONTROL!$C$38, 0.0369, 0)</f>
        <v>69.361800000000002</v>
      </c>
      <c r="J956" s="44">
        <f>719.9777</f>
        <v>719.97770000000003</v>
      </c>
    </row>
    <row r="957" spans="1:10" ht="15.75" x14ac:dyDescent="0.25">
      <c r="A957" s="32">
        <v>70067</v>
      </c>
      <c r="B957" s="14">
        <f>70.7475 * CHOOSE(CONTROL!$C$15, $E$9, 100%, $G$9) + CHOOSE(CONTROL!$C$38, 0.0256, 0)</f>
        <v>70.773099999999999</v>
      </c>
      <c r="C957" s="14">
        <f>66.9436 * CHOOSE(CONTROL!$C$15, $E$9, 100%, $G$9) + CHOOSE(CONTROL!$C$38, 0.0347, 0)</f>
        <v>66.978300000000004</v>
      </c>
      <c r="D957" s="14">
        <f>66.9357 * CHOOSE(CONTROL!$C$15, $E$9, 100%, $G$9) + CHOOSE(CONTROL!$C$38, 0.0347, 0)</f>
        <v>66.970399999999998</v>
      </c>
      <c r="E957" s="46">
        <f>70.5912 * CHOOSE(CONTROL!$C$15, $E$9, 100%, $G$9) + CHOOSE(CONTROL!$C$38, 0.0347, 0)</f>
        <v>70.625900000000001</v>
      </c>
      <c r="F957" s="45">
        <f>70.5912 * CHOOSE(CONTROL!$C$15, $E$9, 100%, $G$9) + CHOOSE(CONTROL!$C$38, 0.0256, 0)</f>
        <v>70.616799999999998</v>
      </c>
      <c r="G957" s="14">
        <f>66.942 * CHOOSE(CONTROL!$C$15, $E$9, 100%, $G$9) + CHOOSE(CONTROL!$C$38, 0.0347, 0)</f>
        <v>66.976699999999994</v>
      </c>
      <c r="H957" s="14">
        <f>66.942 * CHOOSE(CONTROL!$C$15, $E$9, 100%, $G$9) + CHOOSE(CONTROL!$C$38, 0.0347, 0)</f>
        <v>66.976699999999994</v>
      </c>
      <c r="I957" s="14">
        <f>66.9436 * CHOOSE(CONTROL!$C$15, $E$9, 100%, $G$9) + CHOOSE(CONTROL!$C$38, 0.0347, 0)</f>
        <v>66.978300000000004</v>
      </c>
      <c r="J957" s="44">
        <f>695.0802</f>
        <v>695.08019999999999</v>
      </c>
    </row>
    <row r="958" spans="1:10" ht="15.75" x14ac:dyDescent="0.25">
      <c r="A958" s="32">
        <v>70097</v>
      </c>
      <c r="B958" s="14">
        <f>70.2478 * CHOOSE(CONTROL!$C$15, $E$9, 100%, $G$9) + CHOOSE(CONTROL!$C$38, 0.0256, 0)</f>
        <v>70.273399999999995</v>
      </c>
      <c r="C958" s="14">
        <f>66.4698 * CHOOSE(CONTROL!$C$15, $E$9, 100%, $G$9) + CHOOSE(CONTROL!$C$38, 0.0347, 0)</f>
        <v>66.504500000000007</v>
      </c>
      <c r="D958" s="14">
        <f>66.462 * CHOOSE(CONTROL!$C$15, $E$9, 100%, $G$9) + CHOOSE(CONTROL!$C$38, 0.0347, 0)</f>
        <v>66.496700000000004</v>
      </c>
      <c r="E958" s="46">
        <f>70.0916 * CHOOSE(CONTROL!$C$15, $E$9, 100%, $G$9) + CHOOSE(CONTROL!$C$38, 0.0347, 0)</f>
        <v>70.126300000000001</v>
      </c>
      <c r="F958" s="45">
        <f>70.0916 * CHOOSE(CONTROL!$C$15, $E$9, 100%, $G$9) + CHOOSE(CONTROL!$C$38, 0.0256, 0)</f>
        <v>70.117199999999997</v>
      </c>
      <c r="G958" s="14">
        <f>66.4683 * CHOOSE(CONTROL!$C$15, $E$9, 100%, $G$9) + CHOOSE(CONTROL!$C$38, 0.0347, 0)</f>
        <v>66.503</v>
      </c>
      <c r="H958" s="14">
        <f>66.4683 * CHOOSE(CONTROL!$C$15, $E$9, 100%, $G$9) + CHOOSE(CONTROL!$C$38, 0.0347, 0)</f>
        <v>66.503</v>
      </c>
      <c r="I958" s="14">
        <f>66.4698 * CHOOSE(CONTROL!$C$15, $E$9, 100%, $G$9) + CHOOSE(CONTROL!$C$38, 0.0347, 0)</f>
        <v>66.504500000000007</v>
      </c>
      <c r="J958" s="44">
        <f>690.1275</f>
        <v>690.12750000000005</v>
      </c>
    </row>
    <row r="959" spans="1:10" ht="15.75" x14ac:dyDescent="0.25">
      <c r="A959" s="32">
        <v>70128</v>
      </c>
      <c r="B959" s="14">
        <f>68.1815 * CHOOSE(CONTROL!$C$15, $E$9, 100%, $G$9) + CHOOSE(CONTROL!$C$38, 0.0256, 0)</f>
        <v>68.207099999999997</v>
      </c>
      <c r="C959" s="14">
        <f>64.511 * CHOOSE(CONTROL!$C$15, $E$9, 100%, $G$9) + CHOOSE(CONTROL!$C$38, 0.0347, 0)</f>
        <v>64.545699999999997</v>
      </c>
      <c r="D959" s="14">
        <f>64.5032 * CHOOSE(CONTROL!$C$15, $E$9, 100%, $G$9) + CHOOSE(CONTROL!$C$38, 0.0347, 0)</f>
        <v>64.537900000000008</v>
      </c>
      <c r="E959" s="46">
        <f>68.0253 * CHOOSE(CONTROL!$C$15, $E$9, 100%, $G$9) + CHOOSE(CONTROL!$C$38, 0.0347, 0)</f>
        <v>68.06</v>
      </c>
      <c r="F959" s="45">
        <f>68.0253 * CHOOSE(CONTROL!$C$15, $E$9, 100%, $G$9) + CHOOSE(CONTROL!$C$38, 0.0256, 0)</f>
        <v>68.050899999999999</v>
      </c>
      <c r="G959" s="14">
        <f>64.5095 * CHOOSE(CONTROL!$C$15, $E$9, 100%, $G$9) + CHOOSE(CONTROL!$C$38, 0.0347, 0)</f>
        <v>64.544200000000004</v>
      </c>
      <c r="H959" s="14">
        <f>64.5095 * CHOOSE(CONTROL!$C$15, $E$9, 100%, $G$9) + CHOOSE(CONTROL!$C$38, 0.0347, 0)</f>
        <v>64.544200000000004</v>
      </c>
      <c r="I959" s="14">
        <f>64.511 * CHOOSE(CONTROL!$C$15, $E$9, 100%, $G$9) + CHOOSE(CONTROL!$C$38, 0.0347, 0)</f>
        <v>64.545699999999997</v>
      </c>
      <c r="J959" s="44">
        <f>669.6479</f>
        <v>669.64790000000005</v>
      </c>
    </row>
    <row r="960" spans="1:10" ht="15.75" x14ac:dyDescent="0.25">
      <c r="A960" s="32">
        <v>70159</v>
      </c>
      <c r="B960" s="14">
        <f>67.6684 * CHOOSE(CONTROL!$C$15, $E$9, 100%, $G$9) + CHOOSE(CONTROL!$C$38, 0.0256, 0)</f>
        <v>67.694000000000003</v>
      </c>
      <c r="C960" s="14">
        <f>64.0246 * CHOOSE(CONTROL!$C$15, $E$9, 100%, $G$9) + CHOOSE(CONTROL!$C$38, 0.0347, 0)</f>
        <v>64.059300000000007</v>
      </c>
      <c r="D960" s="14">
        <f>64.0168 * CHOOSE(CONTROL!$C$15, $E$9, 100%, $G$9) + CHOOSE(CONTROL!$C$38, 0.0347, 0)</f>
        <v>64.051500000000004</v>
      </c>
      <c r="E960" s="46">
        <f>67.5121 * CHOOSE(CONTROL!$C$15, $E$9, 100%, $G$9) + CHOOSE(CONTROL!$C$38, 0.0347, 0)</f>
        <v>67.546800000000005</v>
      </c>
      <c r="F960" s="45">
        <f>67.5121 * CHOOSE(CONTROL!$C$15, $E$9, 100%, $G$9) + CHOOSE(CONTROL!$C$38, 0.0256, 0)</f>
        <v>67.537700000000001</v>
      </c>
      <c r="G960" s="14">
        <f>64.023 * CHOOSE(CONTROL!$C$15, $E$9, 100%, $G$9) + CHOOSE(CONTROL!$C$38, 0.0347, 0)</f>
        <v>64.057699999999997</v>
      </c>
      <c r="H960" s="14">
        <f>64.023 * CHOOSE(CONTROL!$C$15, $E$9, 100%, $G$9) + CHOOSE(CONTROL!$C$38, 0.0347, 0)</f>
        <v>64.057699999999997</v>
      </c>
      <c r="I960" s="14">
        <f>64.0246 * CHOOSE(CONTROL!$C$15, $E$9, 100%, $G$9) + CHOOSE(CONTROL!$C$38, 0.0347, 0)</f>
        <v>64.059300000000007</v>
      </c>
      <c r="J960" s="44">
        <f>669.1645</f>
        <v>669.16449999999998</v>
      </c>
    </row>
    <row r="961" spans="1:10" ht="15.75" x14ac:dyDescent="0.25">
      <c r="A961" s="32">
        <v>70188</v>
      </c>
      <c r="B961" s="14">
        <f>67.482 * CHOOSE(CONTROL!$C$15, $E$9, 100%, $G$9) + CHOOSE(CONTROL!$C$38, 0.0256, 0)</f>
        <v>67.507599999999996</v>
      </c>
      <c r="C961" s="14">
        <f>63.8479 * CHOOSE(CONTROL!$C$15, $E$9, 100%, $G$9) + CHOOSE(CONTROL!$C$38, 0.0347, 0)</f>
        <v>63.882600000000004</v>
      </c>
      <c r="D961" s="14">
        <f>63.8401 * CHOOSE(CONTROL!$C$15, $E$9, 100%, $G$9) + CHOOSE(CONTROL!$C$38, 0.0347, 0)</f>
        <v>63.8748</v>
      </c>
      <c r="E961" s="46">
        <f>67.3257 * CHOOSE(CONTROL!$C$15, $E$9, 100%, $G$9) + CHOOSE(CONTROL!$C$38, 0.0347, 0)</f>
        <v>67.360399999999998</v>
      </c>
      <c r="F961" s="45">
        <f>67.3257 * CHOOSE(CONTROL!$C$15, $E$9, 100%, $G$9) + CHOOSE(CONTROL!$C$38, 0.0256, 0)</f>
        <v>67.351299999999995</v>
      </c>
      <c r="G961" s="14">
        <f>63.8463 * CHOOSE(CONTROL!$C$15, $E$9, 100%, $G$9) + CHOOSE(CONTROL!$C$38, 0.0347, 0)</f>
        <v>63.881</v>
      </c>
      <c r="H961" s="14">
        <f>63.8463 * CHOOSE(CONTROL!$C$15, $E$9, 100%, $G$9) + CHOOSE(CONTROL!$C$38, 0.0347, 0)</f>
        <v>63.881</v>
      </c>
      <c r="I961" s="14">
        <f>63.8479 * CHOOSE(CONTROL!$C$15, $E$9, 100%, $G$9) + CHOOSE(CONTROL!$C$38, 0.0347, 0)</f>
        <v>63.882600000000004</v>
      </c>
      <c r="J961" s="44">
        <f>667.3044</f>
        <v>667.30439999999999</v>
      </c>
    </row>
    <row r="962" spans="1:10" ht="15.75" x14ac:dyDescent="0.25">
      <c r="A962" s="32">
        <v>70219</v>
      </c>
      <c r="B962" s="14">
        <f>71.0062 * CHOOSE(CONTROL!$C$15, $E$9, 100%, $G$9) + CHOOSE(CONTROL!$C$38, 0.0256, 0)</f>
        <v>71.031800000000004</v>
      </c>
      <c r="C962" s="14">
        <f>67.1888 * CHOOSE(CONTROL!$C$15, $E$9, 100%, $G$9) + CHOOSE(CONTROL!$C$38, 0.0347, 0)</f>
        <v>67.223500000000001</v>
      </c>
      <c r="D962" s="14">
        <f>67.1809 * CHOOSE(CONTROL!$C$15, $E$9, 100%, $G$9) + CHOOSE(CONTROL!$C$38, 0.0347, 0)</f>
        <v>67.215599999999995</v>
      </c>
      <c r="E962" s="46">
        <f>70.8499 * CHOOSE(CONTROL!$C$15, $E$9, 100%, $G$9) + CHOOSE(CONTROL!$C$38, 0.0347, 0)</f>
        <v>70.884600000000006</v>
      </c>
      <c r="F962" s="45">
        <f>70.8499 * CHOOSE(CONTROL!$C$15, $E$9, 100%, $G$9) + CHOOSE(CONTROL!$C$38, 0.0256, 0)</f>
        <v>70.875500000000002</v>
      </c>
      <c r="G962" s="14">
        <f>67.1872 * CHOOSE(CONTROL!$C$15, $E$9, 100%, $G$9) + CHOOSE(CONTROL!$C$38, 0.0347, 0)</f>
        <v>67.221900000000005</v>
      </c>
      <c r="H962" s="14">
        <f>67.1872 * CHOOSE(CONTROL!$C$15, $E$9, 100%, $G$9) + CHOOSE(CONTROL!$C$38, 0.0347, 0)</f>
        <v>67.221900000000005</v>
      </c>
      <c r="I962" s="14">
        <f>67.1888 * CHOOSE(CONTROL!$C$15, $E$9, 100%, $G$9) + CHOOSE(CONTROL!$C$38, 0.0347, 0)</f>
        <v>67.223500000000001</v>
      </c>
      <c r="J962" s="44">
        <f>702.4752</f>
        <v>702.47519999999997</v>
      </c>
    </row>
    <row r="963" spans="1:10" ht="15.75" x14ac:dyDescent="0.25">
      <c r="A963" s="32">
        <v>70249</v>
      </c>
      <c r="B963" s="14">
        <f>75.5761 * CHOOSE(CONTROL!$C$15, $E$9, 100%, $G$9) + CHOOSE(CONTROL!$C$38, 0.0256, 0)</f>
        <v>75.601699999999994</v>
      </c>
      <c r="C963" s="14">
        <f>71.521 * CHOOSE(CONTROL!$C$15, $E$9, 100%, $G$9) + CHOOSE(CONTROL!$C$38, 0.0347, 0)</f>
        <v>71.555700000000002</v>
      </c>
      <c r="D963" s="14">
        <f>71.5132 * CHOOSE(CONTROL!$C$15, $E$9, 100%, $G$9) + CHOOSE(CONTROL!$C$38, 0.0347, 0)</f>
        <v>71.547899999999998</v>
      </c>
      <c r="E963" s="46">
        <f>75.4199 * CHOOSE(CONTROL!$C$15, $E$9, 100%, $G$9) + CHOOSE(CONTROL!$C$38, 0.0347, 0)</f>
        <v>75.454599999999999</v>
      </c>
      <c r="F963" s="45">
        <f>75.4199 * CHOOSE(CONTROL!$C$15, $E$9, 100%, $G$9) + CHOOSE(CONTROL!$C$38, 0.0256, 0)</f>
        <v>75.445499999999996</v>
      </c>
      <c r="G963" s="14">
        <f>71.5195 * CHOOSE(CONTROL!$C$15, $E$9, 100%, $G$9) + CHOOSE(CONTROL!$C$38, 0.0347, 0)</f>
        <v>71.554199999999994</v>
      </c>
      <c r="H963" s="14">
        <f>71.5195 * CHOOSE(CONTROL!$C$15, $E$9, 100%, $G$9) + CHOOSE(CONTROL!$C$38, 0.0347, 0)</f>
        <v>71.554199999999994</v>
      </c>
      <c r="I963" s="14">
        <f>71.521 * CHOOSE(CONTROL!$C$15, $E$9, 100%, $G$9) + CHOOSE(CONTROL!$C$38, 0.0347, 0)</f>
        <v>71.555700000000002</v>
      </c>
      <c r="J963" s="44">
        <f>748.0833</f>
        <v>748.08330000000001</v>
      </c>
    </row>
    <row r="964" spans="1:10" ht="15.75" x14ac:dyDescent="0.25">
      <c r="A964" s="32">
        <v>70280</v>
      </c>
      <c r="B964" s="14">
        <f>78.0916 * CHOOSE(CONTROL!$C$15, $E$9, 100%, $G$9) + CHOOSE(CONTROL!$C$38, 0.0278, 0)</f>
        <v>78.119399999999999</v>
      </c>
      <c r="C964" s="14">
        <f>73.9057 * CHOOSE(CONTROL!$C$15, $E$9, 100%, $G$9) + CHOOSE(CONTROL!$C$38, 0.0369, 0)</f>
        <v>73.942599999999999</v>
      </c>
      <c r="D964" s="14">
        <f>73.8979 * CHOOSE(CONTROL!$C$15, $E$9, 100%, $G$9) + CHOOSE(CONTROL!$C$38, 0.0369, 0)</f>
        <v>73.93480000000001</v>
      </c>
      <c r="E964" s="46">
        <f>77.9354 * CHOOSE(CONTROL!$C$15, $E$9, 100%, $G$9) + CHOOSE(CONTROL!$C$38, 0.0369, 0)</f>
        <v>77.972300000000004</v>
      </c>
      <c r="F964" s="45">
        <f>77.9354 * CHOOSE(CONTROL!$C$15, $E$9, 100%, $G$9) + CHOOSE(CONTROL!$C$38, 0.0278, 0)</f>
        <v>77.963200000000001</v>
      </c>
      <c r="G964" s="14">
        <f>73.9041 * CHOOSE(CONTROL!$C$15, $E$9, 100%, $G$9) + CHOOSE(CONTROL!$C$38, 0.0369, 0)</f>
        <v>73.941000000000003</v>
      </c>
      <c r="H964" s="14">
        <f>73.9041 * CHOOSE(CONTROL!$C$15, $E$9, 100%, $G$9) + CHOOSE(CONTROL!$C$38, 0.0369, 0)</f>
        <v>73.941000000000003</v>
      </c>
      <c r="I964" s="14">
        <f>73.9057 * CHOOSE(CONTROL!$C$15, $E$9, 100%, $G$9) + CHOOSE(CONTROL!$C$38, 0.0369, 0)</f>
        <v>73.942599999999999</v>
      </c>
      <c r="J964" s="44">
        <f>773.1875</f>
        <v>773.1875</v>
      </c>
    </row>
    <row r="965" spans="1:10" ht="15.75" x14ac:dyDescent="0.25">
      <c r="A965" s="32">
        <v>70310</v>
      </c>
      <c r="B965" s="14">
        <f>79.2079 * CHOOSE(CONTROL!$C$15, $E$9, 100%, $G$9) + CHOOSE(CONTROL!$C$38, 0.0278, 0)</f>
        <v>79.235699999999994</v>
      </c>
      <c r="C965" s="14">
        <f>74.9639 * CHOOSE(CONTROL!$C$15, $E$9, 100%, $G$9) + CHOOSE(CONTROL!$C$38, 0.0369, 0)</f>
        <v>75.000799999999998</v>
      </c>
      <c r="D965" s="14">
        <f>74.9561 * CHOOSE(CONTROL!$C$15, $E$9, 100%, $G$9) + CHOOSE(CONTROL!$C$38, 0.0369, 0)</f>
        <v>74.993000000000009</v>
      </c>
      <c r="E965" s="46">
        <f>79.0517 * CHOOSE(CONTROL!$C$15, $E$9, 100%, $G$9) + CHOOSE(CONTROL!$C$38, 0.0369, 0)</f>
        <v>79.0886</v>
      </c>
      <c r="F965" s="45">
        <f>79.0517 * CHOOSE(CONTROL!$C$15, $E$9, 100%, $G$9) + CHOOSE(CONTROL!$C$38, 0.0278, 0)</f>
        <v>79.079499999999996</v>
      </c>
      <c r="G965" s="14">
        <f>74.9624 * CHOOSE(CONTROL!$C$15, $E$9, 100%, $G$9) + CHOOSE(CONTROL!$C$38, 0.0369, 0)</f>
        <v>74.999300000000005</v>
      </c>
      <c r="H965" s="14">
        <f>74.9624 * CHOOSE(CONTROL!$C$15, $E$9, 100%, $G$9) + CHOOSE(CONTROL!$C$38, 0.0369, 0)</f>
        <v>74.999300000000005</v>
      </c>
      <c r="I965" s="14">
        <f>74.9639 * CHOOSE(CONTROL!$C$15, $E$9, 100%, $G$9) + CHOOSE(CONTROL!$C$38, 0.0369, 0)</f>
        <v>75.000799999999998</v>
      </c>
      <c r="J965" s="44">
        <f>784.3283</f>
        <v>784.32830000000001</v>
      </c>
    </row>
    <row r="966" spans="1:10" ht="15.75" x14ac:dyDescent="0.25">
      <c r="A966" s="32">
        <v>70341</v>
      </c>
      <c r="B966" s="14">
        <f>78.8404 * CHOOSE(CONTROL!$C$15, $E$9, 100%, $G$9) + CHOOSE(CONTROL!$C$38, 0.0278, 0)</f>
        <v>78.868200000000002</v>
      </c>
      <c r="C966" s="14">
        <f>74.6155 * CHOOSE(CONTROL!$C$15, $E$9, 100%, $G$9) + CHOOSE(CONTROL!$C$38, 0.0369, 0)</f>
        <v>74.6524</v>
      </c>
      <c r="D966" s="14">
        <f>74.6077 * CHOOSE(CONTROL!$C$15, $E$9, 100%, $G$9) + CHOOSE(CONTROL!$C$38, 0.0369, 0)</f>
        <v>74.644599999999997</v>
      </c>
      <c r="E966" s="46">
        <f>78.6841 * CHOOSE(CONTROL!$C$15, $E$9, 100%, $G$9) + CHOOSE(CONTROL!$C$38, 0.0369, 0)</f>
        <v>78.721000000000004</v>
      </c>
      <c r="F966" s="45">
        <f>78.6841 * CHOOSE(CONTROL!$C$15, $E$9, 100%, $G$9) + CHOOSE(CONTROL!$C$38, 0.0278, 0)</f>
        <v>78.7119</v>
      </c>
      <c r="G966" s="14">
        <f>74.614 * CHOOSE(CONTROL!$C$15, $E$9, 100%, $G$9) + CHOOSE(CONTROL!$C$38, 0.0369, 0)</f>
        <v>74.650900000000007</v>
      </c>
      <c r="H966" s="14">
        <f>74.614 * CHOOSE(CONTROL!$C$15, $E$9, 100%, $G$9) + CHOOSE(CONTROL!$C$38, 0.0369, 0)</f>
        <v>74.650900000000007</v>
      </c>
      <c r="I966" s="14">
        <f>74.6155 * CHOOSE(CONTROL!$C$15, $E$9, 100%, $G$9) + CHOOSE(CONTROL!$C$38, 0.0369, 0)</f>
        <v>74.6524</v>
      </c>
      <c r="J966" s="44">
        <f>780.6603</f>
        <v>780.66030000000001</v>
      </c>
    </row>
    <row r="967" spans="1:10" ht="15.75" x14ac:dyDescent="0.25">
      <c r="A967" s="32">
        <v>70372</v>
      </c>
      <c r="B967" s="14">
        <f>77.0194 * CHOOSE(CONTROL!$C$15, $E$9, 100%, $G$9) + CHOOSE(CONTROL!$C$38, 0.0278, 0)</f>
        <v>77.047200000000004</v>
      </c>
      <c r="C967" s="14">
        <f>72.8892 * CHOOSE(CONTROL!$C$15, $E$9, 100%, $G$9) + CHOOSE(CONTROL!$C$38, 0.0369, 0)</f>
        <v>72.926100000000005</v>
      </c>
      <c r="D967" s="14">
        <f>72.8814 * CHOOSE(CONTROL!$C$15, $E$9, 100%, $G$9) + CHOOSE(CONTROL!$C$38, 0.0369, 0)</f>
        <v>72.918300000000002</v>
      </c>
      <c r="E967" s="46">
        <f>76.8631 * CHOOSE(CONTROL!$C$15, $E$9, 100%, $G$9) + CHOOSE(CONTROL!$C$38, 0.0369, 0)</f>
        <v>76.900000000000006</v>
      </c>
      <c r="F967" s="45">
        <f>76.8631 * CHOOSE(CONTROL!$C$15, $E$9, 100%, $G$9) + CHOOSE(CONTROL!$C$38, 0.0278, 0)</f>
        <v>76.890900000000002</v>
      </c>
      <c r="G967" s="14">
        <f>72.8877 * CHOOSE(CONTROL!$C$15, $E$9, 100%, $G$9) + CHOOSE(CONTROL!$C$38, 0.0369, 0)</f>
        <v>72.924599999999998</v>
      </c>
      <c r="H967" s="14">
        <f>72.8877 * CHOOSE(CONTROL!$C$15, $E$9, 100%, $G$9) + CHOOSE(CONTROL!$C$38, 0.0369, 0)</f>
        <v>72.924599999999998</v>
      </c>
      <c r="I967" s="14">
        <f>72.8892 * CHOOSE(CONTROL!$C$15, $E$9, 100%, $G$9) + CHOOSE(CONTROL!$C$38, 0.0369, 0)</f>
        <v>72.926100000000005</v>
      </c>
      <c r="J967" s="44">
        <f>762.4868</f>
        <v>762.48680000000002</v>
      </c>
    </row>
    <row r="968" spans="1:10" ht="15.75" x14ac:dyDescent="0.25">
      <c r="A968" s="32">
        <v>70402</v>
      </c>
      <c r="B968" s="14">
        <f>74.4799 * CHOOSE(CONTROL!$C$15, $E$9, 100%, $G$9) + CHOOSE(CONTROL!$C$38, 0.0278, 0)</f>
        <v>74.5077</v>
      </c>
      <c r="C968" s="14">
        <f>70.4818 * CHOOSE(CONTROL!$C$15, $E$9, 100%, $G$9) + CHOOSE(CONTROL!$C$38, 0.0369, 0)</f>
        <v>70.51870000000001</v>
      </c>
      <c r="D968" s="14">
        <f>70.474 * CHOOSE(CONTROL!$C$15, $E$9, 100%, $G$9) + CHOOSE(CONTROL!$C$38, 0.0369, 0)</f>
        <v>70.510900000000007</v>
      </c>
      <c r="E968" s="46">
        <f>74.3237 * CHOOSE(CONTROL!$C$15, $E$9, 100%, $G$9) + CHOOSE(CONTROL!$C$38, 0.0369, 0)</f>
        <v>74.360600000000005</v>
      </c>
      <c r="F968" s="45">
        <f>74.3237 * CHOOSE(CONTROL!$C$15, $E$9, 100%, $G$9) + CHOOSE(CONTROL!$C$38, 0.0278, 0)</f>
        <v>74.351500000000001</v>
      </c>
      <c r="G968" s="14">
        <f>70.4803 * CHOOSE(CONTROL!$C$15, $E$9, 100%, $G$9) + CHOOSE(CONTROL!$C$38, 0.0369, 0)</f>
        <v>70.517200000000003</v>
      </c>
      <c r="H968" s="14">
        <f>70.4803 * CHOOSE(CONTROL!$C$15, $E$9, 100%, $G$9) + CHOOSE(CONTROL!$C$38, 0.0369, 0)</f>
        <v>70.517200000000003</v>
      </c>
      <c r="I968" s="14">
        <f>70.4818 * CHOOSE(CONTROL!$C$15, $E$9, 100%, $G$9) + CHOOSE(CONTROL!$C$38, 0.0369, 0)</f>
        <v>70.51870000000001</v>
      </c>
      <c r="J968" s="44">
        <f>737.1431</f>
        <v>737.1431</v>
      </c>
    </row>
    <row r="969" spans="1:10" ht="15.75" x14ac:dyDescent="0.25">
      <c r="A969" s="32">
        <v>70433</v>
      </c>
      <c r="B969" s="14">
        <f>71.9257 * CHOOSE(CONTROL!$C$15, $E$9, 100%, $G$9) + CHOOSE(CONTROL!$C$38, 0.0256, 0)</f>
        <v>71.951300000000003</v>
      </c>
      <c r="C969" s="14">
        <f>68.0604 * CHOOSE(CONTROL!$C$15, $E$9, 100%, $G$9) + CHOOSE(CONTROL!$C$38, 0.0347, 0)</f>
        <v>68.095100000000002</v>
      </c>
      <c r="D969" s="14">
        <f>68.0526 * CHOOSE(CONTROL!$C$15, $E$9, 100%, $G$9) + CHOOSE(CONTROL!$C$38, 0.0347, 0)</f>
        <v>68.087299999999999</v>
      </c>
      <c r="E969" s="46">
        <f>71.7694 * CHOOSE(CONTROL!$C$15, $E$9, 100%, $G$9) + CHOOSE(CONTROL!$C$38, 0.0347, 0)</f>
        <v>71.804100000000005</v>
      </c>
      <c r="F969" s="45">
        <f>71.7694 * CHOOSE(CONTROL!$C$15, $E$9, 100%, $G$9) + CHOOSE(CONTROL!$C$38, 0.0256, 0)</f>
        <v>71.795000000000002</v>
      </c>
      <c r="G969" s="14">
        <f>68.0589 * CHOOSE(CONTROL!$C$15, $E$9, 100%, $G$9) + CHOOSE(CONTROL!$C$38, 0.0347, 0)</f>
        <v>68.093599999999995</v>
      </c>
      <c r="H969" s="14">
        <f>68.0589 * CHOOSE(CONTROL!$C$15, $E$9, 100%, $G$9) + CHOOSE(CONTROL!$C$38, 0.0347, 0)</f>
        <v>68.093599999999995</v>
      </c>
      <c r="I969" s="14">
        <f>68.0604 * CHOOSE(CONTROL!$C$15, $E$9, 100%, $G$9) + CHOOSE(CONTROL!$C$38, 0.0347, 0)</f>
        <v>68.095100000000002</v>
      </c>
      <c r="J969" s="44">
        <f>711.6519</f>
        <v>711.65189999999996</v>
      </c>
    </row>
    <row r="970" spans="1:10" ht="15.75" x14ac:dyDescent="0.25">
      <c r="A970" s="32">
        <v>70463</v>
      </c>
      <c r="B970" s="14">
        <f>71.4176 * CHOOSE(CONTROL!$C$15, $E$9, 100%, $G$9) + CHOOSE(CONTROL!$C$38, 0.0256, 0)</f>
        <v>71.44319999999999</v>
      </c>
      <c r="C970" s="14">
        <f>67.5788 * CHOOSE(CONTROL!$C$15, $E$9, 100%, $G$9) + CHOOSE(CONTROL!$C$38, 0.0347, 0)</f>
        <v>67.613500000000002</v>
      </c>
      <c r="D970" s="14">
        <f>67.571 * CHOOSE(CONTROL!$C$15, $E$9, 100%, $G$9) + CHOOSE(CONTROL!$C$38, 0.0347, 0)</f>
        <v>67.605699999999999</v>
      </c>
      <c r="E970" s="46">
        <f>71.2613 * CHOOSE(CONTROL!$C$15, $E$9, 100%, $G$9) + CHOOSE(CONTROL!$C$38, 0.0347, 0)</f>
        <v>71.296000000000006</v>
      </c>
      <c r="F970" s="45">
        <f>71.2613 * CHOOSE(CONTROL!$C$15, $E$9, 100%, $G$9) + CHOOSE(CONTROL!$C$38, 0.0256, 0)</f>
        <v>71.286900000000003</v>
      </c>
      <c r="G970" s="14">
        <f>67.5772 * CHOOSE(CONTROL!$C$15, $E$9, 100%, $G$9) + CHOOSE(CONTROL!$C$38, 0.0347, 0)</f>
        <v>67.611900000000006</v>
      </c>
      <c r="H970" s="14">
        <f>67.5772 * CHOOSE(CONTROL!$C$15, $E$9, 100%, $G$9) + CHOOSE(CONTROL!$C$38, 0.0347, 0)</f>
        <v>67.611900000000006</v>
      </c>
      <c r="I970" s="14">
        <f>67.5788 * CHOOSE(CONTROL!$C$15, $E$9, 100%, $G$9) + CHOOSE(CONTROL!$C$38, 0.0347, 0)</f>
        <v>67.613500000000002</v>
      </c>
      <c r="J970" s="44">
        <f>706.5812</f>
        <v>706.58119999999997</v>
      </c>
    </row>
    <row r="971" spans="1:10" ht="15.75" x14ac:dyDescent="0.25">
      <c r="A971" s="32">
        <v>70494</v>
      </c>
      <c r="B971" s="14">
        <f>69.3166 * CHOOSE(CONTROL!$C$15, $E$9, 100%, $G$9) + CHOOSE(CONTROL!$C$38, 0.0256, 0)</f>
        <v>69.342199999999991</v>
      </c>
      <c r="C971" s="14">
        <f>65.5871 * CHOOSE(CONTROL!$C$15, $E$9, 100%, $G$9) + CHOOSE(CONTROL!$C$38, 0.0347, 0)</f>
        <v>65.621800000000007</v>
      </c>
      <c r="D971" s="14">
        <f>65.5792 * CHOOSE(CONTROL!$C$15, $E$9, 100%, $G$9) + CHOOSE(CONTROL!$C$38, 0.0347, 0)</f>
        <v>65.613900000000001</v>
      </c>
      <c r="E971" s="46">
        <f>69.1603 * CHOOSE(CONTROL!$C$15, $E$9, 100%, $G$9) + CHOOSE(CONTROL!$C$38, 0.0347, 0)</f>
        <v>69.195000000000007</v>
      </c>
      <c r="F971" s="45">
        <f>69.1603 * CHOOSE(CONTROL!$C$15, $E$9, 100%, $G$9) + CHOOSE(CONTROL!$C$38, 0.0256, 0)</f>
        <v>69.185900000000004</v>
      </c>
      <c r="G971" s="14">
        <f>65.5855 * CHOOSE(CONTROL!$C$15, $E$9, 100%, $G$9) + CHOOSE(CONTROL!$C$38, 0.0347, 0)</f>
        <v>65.620199999999997</v>
      </c>
      <c r="H971" s="14">
        <f>65.5855 * CHOOSE(CONTROL!$C$15, $E$9, 100%, $G$9) + CHOOSE(CONTROL!$C$38, 0.0347, 0)</f>
        <v>65.620199999999997</v>
      </c>
      <c r="I971" s="14">
        <f>65.5871 * CHOOSE(CONTROL!$C$15, $E$9, 100%, $G$9) + CHOOSE(CONTROL!$C$38, 0.0347, 0)</f>
        <v>65.621800000000007</v>
      </c>
      <c r="J971" s="44">
        <f>685.6134</f>
        <v>685.61339999999996</v>
      </c>
    </row>
    <row r="972" spans="1:10" ht="15.75" x14ac:dyDescent="0.25">
      <c r="A972" s="32">
        <v>70525</v>
      </c>
      <c r="B972" s="14">
        <f>68.7948 * CHOOSE(CONTROL!$C$15, $E$9, 100%, $G$9) + CHOOSE(CONTROL!$C$38, 0.0256, 0)</f>
        <v>68.820399999999992</v>
      </c>
      <c r="C972" s="14">
        <f>65.0924 * CHOOSE(CONTROL!$C$15, $E$9, 100%, $G$9) + CHOOSE(CONTROL!$C$38, 0.0347, 0)</f>
        <v>65.127099999999999</v>
      </c>
      <c r="D972" s="14">
        <f>65.0846 * CHOOSE(CONTROL!$C$15, $E$9, 100%, $G$9) + CHOOSE(CONTROL!$C$38, 0.0347, 0)</f>
        <v>65.119299999999996</v>
      </c>
      <c r="E972" s="46">
        <f>68.6386 * CHOOSE(CONTROL!$C$15, $E$9, 100%, $G$9) + CHOOSE(CONTROL!$C$38, 0.0347, 0)</f>
        <v>68.673299999999998</v>
      </c>
      <c r="F972" s="45">
        <f>68.6386 * CHOOSE(CONTROL!$C$15, $E$9, 100%, $G$9) + CHOOSE(CONTROL!$C$38, 0.0256, 0)</f>
        <v>68.664199999999994</v>
      </c>
      <c r="G972" s="14">
        <f>65.0909 * CHOOSE(CONTROL!$C$15, $E$9, 100%, $G$9) + CHOOSE(CONTROL!$C$38, 0.0347, 0)</f>
        <v>65.125600000000006</v>
      </c>
      <c r="H972" s="14">
        <f>65.0909 * CHOOSE(CONTROL!$C$15, $E$9, 100%, $G$9) + CHOOSE(CONTROL!$C$38, 0.0347, 0)</f>
        <v>65.125600000000006</v>
      </c>
      <c r="I972" s="14">
        <f>65.0924 * CHOOSE(CONTROL!$C$15, $E$9, 100%, $G$9) + CHOOSE(CONTROL!$C$38, 0.0347, 0)</f>
        <v>65.127099999999999</v>
      </c>
      <c r="J972" s="44">
        <f>685.1184</f>
        <v>685.11839999999995</v>
      </c>
    </row>
    <row r="973" spans="1:10" ht="15.75" x14ac:dyDescent="0.25">
      <c r="A973" s="32">
        <v>70553</v>
      </c>
      <c r="B973" s="14">
        <f>68.6053 * CHOOSE(CONTROL!$C$15, $E$9, 100%, $G$9) + CHOOSE(CONTROL!$C$38, 0.0256, 0)</f>
        <v>68.630899999999997</v>
      </c>
      <c r="C973" s="14">
        <f>64.9128 * CHOOSE(CONTROL!$C$15, $E$9, 100%, $G$9) + CHOOSE(CONTROL!$C$38, 0.0347, 0)</f>
        <v>64.947500000000005</v>
      </c>
      <c r="D973" s="14">
        <f>64.905 * CHOOSE(CONTROL!$C$15, $E$9, 100%, $G$9) + CHOOSE(CONTROL!$C$38, 0.0347, 0)</f>
        <v>64.939700000000002</v>
      </c>
      <c r="E973" s="46">
        <f>68.4491 * CHOOSE(CONTROL!$C$15, $E$9, 100%, $G$9) + CHOOSE(CONTROL!$C$38, 0.0347, 0)</f>
        <v>68.483800000000002</v>
      </c>
      <c r="F973" s="45">
        <f>68.4491 * CHOOSE(CONTROL!$C$15, $E$9, 100%, $G$9) + CHOOSE(CONTROL!$C$38, 0.0256, 0)</f>
        <v>68.474699999999999</v>
      </c>
      <c r="G973" s="14">
        <f>64.9112 * CHOOSE(CONTROL!$C$15, $E$9, 100%, $G$9) + CHOOSE(CONTROL!$C$38, 0.0347, 0)</f>
        <v>64.945899999999995</v>
      </c>
      <c r="H973" s="14">
        <f>64.9112 * CHOOSE(CONTROL!$C$15, $E$9, 100%, $G$9) + CHOOSE(CONTROL!$C$38, 0.0347, 0)</f>
        <v>64.945899999999995</v>
      </c>
      <c r="I973" s="14">
        <f>64.9128 * CHOOSE(CONTROL!$C$15, $E$9, 100%, $G$9) + CHOOSE(CONTROL!$C$38, 0.0347, 0)</f>
        <v>64.947500000000005</v>
      </c>
      <c r="J973" s="44">
        <f>683.214</f>
        <v>683.21400000000006</v>
      </c>
    </row>
    <row r="974" spans="1:10" ht="15.75" x14ac:dyDescent="0.25">
      <c r="A974" s="32">
        <v>70584</v>
      </c>
      <c r="B974" s="14">
        <f>72.1887 * CHOOSE(CONTROL!$C$15, $E$9, 100%, $G$9) + CHOOSE(CONTROL!$C$38, 0.0256, 0)</f>
        <v>72.214299999999994</v>
      </c>
      <c r="C974" s="14">
        <f>68.3098 * CHOOSE(CONTROL!$C$15, $E$9, 100%, $G$9) + CHOOSE(CONTROL!$C$38, 0.0347, 0)</f>
        <v>68.344499999999996</v>
      </c>
      <c r="D974" s="14">
        <f>68.302 * CHOOSE(CONTROL!$C$15, $E$9, 100%, $G$9) + CHOOSE(CONTROL!$C$38, 0.0347, 0)</f>
        <v>68.336700000000008</v>
      </c>
      <c r="E974" s="46">
        <f>72.0324 * CHOOSE(CONTROL!$C$15, $E$9, 100%, $G$9) + CHOOSE(CONTROL!$C$38, 0.0347, 0)</f>
        <v>72.067099999999996</v>
      </c>
      <c r="F974" s="45">
        <f>72.0324 * CHOOSE(CONTROL!$C$15, $E$9, 100%, $G$9) + CHOOSE(CONTROL!$C$38, 0.0256, 0)</f>
        <v>72.057999999999993</v>
      </c>
      <c r="G974" s="14">
        <f>68.3082 * CHOOSE(CONTROL!$C$15, $E$9, 100%, $G$9) + CHOOSE(CONTROL!$C$38, 0.0347, 0)</f>
        <v>68.3429</v>
      </c>
      <c r="H974" s="14">
        <f>68.3082 * CHOOSE(CONTROL!$C$15, $E$9, 100%, $G$9) + CHOOSE(CONTROL!$C$38, 0.0347, 0)</f>
        <v>68.3429</v>
      </c>
      <c r="I974" s="14">
        <f>68.3098 * CHOOSE(CONTROL!$C$15, $E$9, 100%, $G$9) + CHOOSE(CONTROL!$C$38, 0.0347, 0)</f>
        <v>68.344499999999996</v>
      </c>
      <c r="J974" s="44">
        <f>719.2233</f>
        <v>719.22329999999999</v>
      </c>
    </row>
    <row r="975" spans="1:10" ht="15.75" x14ac:dyDescent="0.25">
      <c r="A975" s="32">
        <v>70614</v>
      </c>
      <c r="B975" s="14">
        <f>76.8354 * CHOOSE(CONTROL!$C$15, $E$9, 100%, $G$9) + CHOOSE(CONTROL!$C$38, 0.0256, 0)</f>
        <v>76.861000000000004</v>
      </c>
      <c r="C975" s="14">
        <f>72.7148 * CHOOSE(CONTROL!$C$15, $E$9, 100%, $G$9) + CHOOSE(CONTROL!$C$38, 0.0347, 0)</f>
        <v>72.749499999999998</v>
      </c>
      <c r="D975" s="14">
        <f>72.707 * CHOOSE(CONTROL!$C$15, $E$9, 100%, $G$9) + CHOOSE(CONTROL!$C$38, 0.0347, 0)</f>
        <v>72.741699999999994</v>
      </c>
      <c r="E975" s="46">
        <f>76.6792 * CHOOSE(CONTROL!$C$15, $E$9, 100%, $G$9) + CHOOSE(CONTROL!$C$38, 0.0347, 0)</f>
        <v>76.713899999999995</v>
      </c>
      <c r="F975" s="45">
        <f>76.6792 * CHOOSE(CONTROL!$C$15, $E$9, 100%, $G$9) + CHOOSE(CONTROL!$C$38, 0.0256, 0)</f>
        <v>76.704799999999992</v>
      </c>
      <c r="G975" s="14">
        <f>72.7133 * CHOOSE(CONTROL!$C$15, $E$9, 100%, $G$9) + CHOOSE(CONTROL!$C$38, 0.0347, 0)</f>
        <v>72.748000000000005</v>
      </c>
      <c r="H975" s="14">
        <f>72.7133 * CHOOSE(CONTROL!$C$15, $E$9, 100%, $G$9) + CHOOSE(CONTROL!$C$38, 0.0347, 0)</f>
        <v>72.748000000000005</v>
      </c>
      <c r="I975" s="14">
        <f>72.7148 * CHOOSE(CONTROL!$C$15, $E$9, 100%, $G$9) + CHOOSE(CONTROL!$C$38, 0.0347, 0)</f>
        <v>72.749499999999998</v>
      </c>
      <c r="J975" s="44">
        <f>765.9188</f>
        <v>765.91880000000003</v>
      </c>
    </row>
    <row r="976" spans="1:10" ht="15.75" x14ac:dyDescent="0.25">
      <c r="A976" s="32">
        <v>70645</v>
      </c>
      <c r="B976" s="14">
        <f>79.3932 * CHOOSE(CONTROL!$C$15, $E$9, 100%, $G$9) + CHOOSE(CONTROL!$C$38, 0.0278, 0)</f>
        <v>79.420999999999992</v>
      </c>
      <c r="C976" s="14">
        <f>75.1395 * CHOOSE(CONTROL!$C$15, $E$9, 100%, $G$9) + CHOOSE(CONTROL!$C$38, 0.0369, 0)</f>
        <v>75.176400000000001</v>
      </c>
      <c r="D976" s="14">
        <f>75.1317 * CHOOSE(CONTROL!$C$15, $E$9, 100%, $G$9) + CHOOSE(CONTROL!$C$38, 0.0369, 0)</f>
        <v>75.168599999999998</v>
      </c>
      <c r="E976" s="46">
        <f>79.2369 * CHOOSE(CONTROL!$C$15, $E$9, 100%, $G$9) + CHOOSE(CONTROL!$C$38, 0.0369, 0)</f>
        <v>79.273800000000008</v>
      </c>
      <c r="F976" s="45">
        <f>79.2369 * CHOOSE(CONTROL!$C$15, $E$9, 100%, $G$9) + CHOOSE(CONTROL!$C$38, 0.0278, 0)</f>
        <v>79.264700000000005</v>
      </c>
      <c r="G976" s="14">
        <f>75.138 * CHOOSE(CONTROL!$C$15, $E$9, 100%, $G$9) + CHOOSE(CONTROL!$C$38, 0.0369, 0)</f>
        <v>75.174900000000008</v>
      </c>
      <c r="H976" s="14">
        <f>75.138 * CHOOSE(CONTROL!$C$15, $E$9, 100%, $G$9) + CHOOSE(CONTROL!$C$38, 0.0369, 0)</f>
        <v>75.174900000000008</v>
      </c>
      <c r="I976" s="14">
        <f>75.1395 * CHOOSE(CONTROL!$C$15, $E$9, 100%, $G$9) + CHOOSE(CONTROL!$C$38, 0.0369, 0)</f>
        <v>75.176400000000001</v>
      </c>
      <c r="J976" s="44">
        <f>791.6215</f>
        <v>791.62149999999997</v>
      </c>
    </row>
    <row r="977" spans="1:10" ht="15.75" x14ac:dyDescent="0.25">
      <c r="A977" s="32">
        <v>70675</v>
      </c>
      <c r="B977" s="14">
        <f>80.5283 * CHOOSE(CONTROL!$C$15, $E$9, 100%, $G$9) + CHOOSE(CONTROL!$C$38, 0.0278, 0)</f>
        <v>80.556100000000001</v>
      </c>
      <c r="C977" s="14">
        <f>76.2156 * CHOOSE(CONTROL!$C$15, $E$9, 100%, $G$9) + CHOOSE(CONTROL!$C$38, 0.0369, 0)</f>
        <v>76.252499999999998</v>
      </c>
      <c r="D977" s="14">
        <f>76.2078 * CHOOSE(CONTROL!$C$15, $E$9, 100%, $G$9) + CHOOSE(CONTROL!$C$38, 0.0369, 0)</f>
        <v>76.244700000000009</v>
      </c>
      <c r="E977" s="46">
        <f>80.372 * CHOOSE(CONTROL!$C$15, $E$9, 100%, $G$9) + CHOOSE(CONTROL!$C$38, 0.0369, 0)</f>
        <v>80.408900000000003</v>
      </c>
      <c r="F977" s="45">
        <f>80.372 * CHOOSE(CONTROL!$C$15, $E$9, 100%, $G$9) + CHOOSE(CONTROL!$C$38, 0.0278, 0)</f>
        <v>80.399799999999999</v>
      </c>
      <c r="G977" s="14">
        <f>76.214 * CHOOSE(CONTROL!$C$15, $E$9, 100%, $G$9) + CHOOSE(CONTROL!$C$38, 0.0369, 0)</f>
        <v>76.250900000000001</v>
      </c>
      <c r="H977" s="14">
        <f>76.214 * CHOOSE(CONTROL!$C$15, $E$9, 100%, $G$9) + CHOOSE(CONTROL!$C$38, 0.0369, 0)</f>
        <v>76.250900000000001</v>
      </c>
      <c r="I977" s="14">
        <f>76.2156 * CHOOSE(CONTROL!$C$15, $E$9, 100%, $G$9) + CHOOSE(CONTROL!$C$38, 0.0369, 0)</f>
        <v>76.252499999999998</v>
      </c>
      <c r="J977" s="44">
        <f>803.0279</f>
        <v>803.02790000000005</v>
      </c>
    </row>
    <row r="978" spans="1:10" ht="15.75" x14ac:dyDescent="0.25">
      <c r="A978" s="32">
        <v>70706</v>
      </c>
      <c r="B978" s="14">
        <f>80.1545 * CHOOSE(CONTROL!$C$15, $E$9, 100%, $G$9) + CHOOSE(CONTROL!$C$38, 0.0278, 0)</f>
        <v>80.182299999999998</v>
      </c>
      <c r="C978" s="14">
        <f>75.8613 * CHOOSE(CONTROL!$C$15, $E$9, 100%, $G$9) + CHOOSE(CONTROL!$C$38, 0.0369, 0)</f>
        <v>75.898200000000003</v>
      </c>
      <c r="D978" s="14">
        <f>75.8535 * CHOOSE(CONTROL!$C$15, $E$9, 100%, $G$9) + CHOOSE(CONTROL!$C$38, 0.0369, 0)</f>
        <v>75.8904</v>
      </c>
      <c r="E978" s="46">
        <f>79.9983 * CHOOSE(CONTROL!$C$15, $E$9, 100%, $G$9) + CHOOSE(CONTROL!$C$38, 0.0369, 0)</f>
        <v>80.035200000000003</v>
      </c>
      <c r="F978" s="45">
        <f>79.9983 * CHOOSE(CONTROL!$C$15, $E$9, 100%, $G$9) + CHOOSE(CONTROL!$C$38, 0.0278, 0)</f>
        <v>80.0261</v>
      </c>
      <c r="G978" s="14">
        <f>75.8597 * CHOOSE(CONTROL!$C$15, $E$9, 100%, $G$9) + CHOOSE(CONTROL!$C$38, 0.0369, 0)</f>
        <v>75.896600000000007</v>
      </c>
      <c r="H978" s="14">
        <f>75.8597 * CHOOSE(CONTROL!$C$15, $E$9, 100%, $G$9) + CHOOSE(CONTROL!$C$38, 0.0369, 0)</f>
        <v>75.896600000000007</v>
      </c>
      <c r="I978" s="14">
        <f>75.8613 * CHOOSE(CONTROL!$C$15, $E$9, 100%, $G$9) + CHOOSE(CONTROL!$C$38, 0.0369, 0)</f>
        <v>75.898200000000003</v>
      </c>
      <c r="J978" s="44">
        <f>799.2724</f>
        <v>799.27239999999995</v>
      </c>
    </row>
    <row r="979" spans="1:10" ht="15.75" x14ac:dyDescent="0.25">
      <c r="A979" s="32">
        <v>70737</v>
      </c>
      <c r="B979" s="14">
        <f>78.3029 * CHOOSE(CONTROL!$C$15, $E$9, 100%, $G$9) + CHOOSE(CONTROL!$C$38, 0.0278, 0)</f>
        <v>78.330699999999993</v>
      </c>
      <c r="C979" s="14">
        <f>74.106 * CHOOSE(CONTROL!$C$15, $E$9, 100%, $G$9) + CHOOSE(CONTROL!$C$38, 0.0369, 0)</f>
        <v>74.142899999999997</v>
      </c>
      <c r="D979" s="14">
        <f>74.0982 * CHOOSE(CONTROL!$C$15, $E$9, 100%, $G$9) + CHOOSE(CONTROL!$C$38, 0.0369, 0)</f>
        <v>74.135100000000008</v>
      </c>
      <c r="E979" s="46">
        <f>78.1467 * CHOOSE(CONTROL!$C$15, $E$9, 100%, $G$9) + CHOOSE(CONTROL!$C$38, 0.0369, 0)</f>
        <v>78.183599999999998</v>
      </c>
      <c r="F979" s="45">
        <f>78.1467 * CHOOSE(CONTROL!$C$15, $E$9, 100%, $G$9) + CHOOSE(CONTROL!$C$38, 0.0278, 0)</f>
        <v>78.174499999999995</v>
      </c>
      <c r="G979" s="14">
        <f>74.1044 * CHOOSE(CONTROL!$C$15, $E$9, 100%, $G$9) + CHOOSE(CONTROL!$C$38, 0.0369, 0)</f>
        <v>74.141300000000001</v>
      </c>
      <c r="H979" s="14">
        <f>74.1044 * CHOOSE(CONTROL!$C$15, $E$9, 100%, $G$9) + CHOOSE(CONTROL!$C$38, 0.0369, 0)</f>
        <v>74.141300000000001</v>
      </c>
      <c r="I979" s="14">
        <f>74.106 * CHOOSE(CONTROL!$C$15, $E$9, 100%, $G$9) + CHOOSE(CONTROL!$C$38, 0.0369, 0)</f>
        <v>74.142899999999997</v>
      </c>
      <c r="J979" s="44">
        <f>780.6657</f>
        <v>780.66570000000002</v>
      </c>
    </row>
    <row r="980" spans="1:10" ht="15.75" x14ac:dyDescent="0.25">
      <c r="A980" s="32">
        <v>70767</v>
      </c>
      <c r="B980" s="14">
        <f>75.7208 * CHOOSE(CONTROL!$C$15, $E$9, 100%, $G$9) + CHOOSE(CONTROL!$C$38, 0.0278, 0)</f>
        <v>75.748599999999996</v>
      </c>
      <c r="C980" s="14">
        <f>71.6582 * CHOOSE(CONTROL!$C$15, $E$9, 100%, $G$9) + CHOOSE(CONTROL!$C$38, 0.0369, 0)</f>
        <v>71.695099999999996</v>
      </c>
      <c r="D980" s="14">
        <f>71.6504 * CHOOSE(CONTROL!$C$15, $E$9, 100%, $G$9) + CHOOSE(CONTROL!$C$38, 0.0369, 0)</f>
        <v>71.687300000000008</v>
      </c>
      <c r="E980" s="46">
        <f>75.5645 * CHOOSE(CONTROL!$C$15, $E$9, 100%, $G$9) + CHOOSE(CONTROL!$C$38, 0.0369, 0)</f>
        <v>75.601399999999998</v>
      </c>
      <c r="F980" s="45">
        <f>75.5645 * CHOOSE(CONTROL!$C$15, $E$9, 100%, $G$9) + CHOOSE(CONTROL!$C$38, 0.0278, 0)</f>
        <v>75.592299999999994</v>
      </c>
      <c r="G980" s="14">
        <f>71.6566 * CHOOSE(CONTROL!$C$15, $E$9, 100%, $G$9) + CHOOSE(CONTROL!$C$38, 0.0369, 0)</f>
        <v>71.6935</v>
      </c>
      <c r="H980" s="14">
        <f>71.6566 * CHOOSE(CONTROL!$C$15, $E$9, 100%, $G$9) + CHOOSE(CONTROL!$C$38, 0.0369, 0)</f>
        <v>71.6935</v>
      </c>
      <c r="I980" s="14">
        <f>71.6582 * CHOOSE(CONTROL!$C$15, $E$9, 100%, $G$9) + CHOOSE(CONTROL!$C$38, 0.0369, 0)</f>
        <v>71.695099999999996</v>
      </c>
      <c r="J980" s="44">
        <f>754.7177</f>
        <v>754.71770000000004</v>
      </c>
    </row>
    <row r="981" spans="1:10" ht="15.75" x14ac:dyDescent="0.25">
      <c r="A981" s="32">
        <v>70798</v>
      </c>
      <c r="B981" s="14">
        <f>73.1236 * CHOOSE(CONTROL!$C$15, $E$9, 100%, $G$9) + CHOOSE(CONTROL!$C$38, 0.0256, 0)</f>
        <v>73.149199999999993</v>
      </c>
      <c r="C981" s="14">
        <f>69.1961 * CHOOSE(CONTROL!$C$15, $E$9, 100%, $G$9) + CHOOSE(CONTROL!$C$38, 0.0347, 0)</f>
        <v>69.230800000000002</v>
      </c>
      <c r="D981" s="14">
        <f>69.1883 * CHOOSE(CONTROL!$C$15, $E$9, 100%, $G$9) + CHOOSE(CONTROL!$C$38, 0.0347, 0)</f>
        <v>69.222999999999999</v>
      </c>
      <c r="E981" s="46">
        <f>72.9674 * CHOOSE(CONTROL!$C$15, $E$9, 100%, $G$9) + CHOOSE(CONTROL!$C$38, 0.0347, 0)</f>
        <v>73.002099999999999</v>
      </c>
      <c r="F981" s="45">
        <f>72.9674 * CHOOSE(CONTROL!$C$15, $E$9, 100%, $G$9) + CHOOSE(CONTROL!$C$38, 0.0256, 0)</f>
        <v>72.992999999999995</v>
      </c>
      <c r="G981" s="14">
        <f>69.1945 * CHOOSE(CONTROL!$C$15, $E$9, 100%, $G$9) + CHOOSE(CONTROL!$C$38, 0.0347, 0)</f>
        <v>69.229200000000006</v>
      </c>
      <c r="H981" s="14">
        <f>69.1945 * CHOOSE(CONTROL!$C$15, $E$9, 100%, $G$9) + CHOOSE(CONTROL!$C$38, 0.0347, 0)</f>
        <v>69.229200000000006</v>
      </c>
      <c r="I981" s="14">
        <f>69.1961 * CHOOSE(CONTROL!$C$15, $E$9, 100%, $G$9) + CHOOSE(CONTROL!$C$38, 0.0347, 0)</f>
        <v>69.230800000000002</v>
      </c>
      <c r="J981" s="44">
        <f>728.6188</f>
        <v>728.61879999999996</v>
      </c>
    </row>
    <row r="982" spans="1:10" ht="15.75" x14ac:dyDescent="0.25">
      <c r="A982" s="32">
        <v>70828</v>
      </c>
      <c r="B982" s="14">
        <f>72.607 * CHOOSE(CONTROL!$C$15, $E$9, 100%, $G$9) + CHOOSE(CONTROL!$C$38, 0.0256, 0)</f>
        <v>72.632599999999996</v>
      </c>
      <c r="C982" s="14">
        <f>68.7063 * CHOOSE(CONTROL!$C$15, $E$9, 100%, $G$9) + CHOOSE(CONTROL!$C$38, 0.0347, 0)</f>
        <v>68.741</v>
      </c>
      <c r="D982" s="14">
        <f>68.6985 * CHOOSE(CONTROL!$C$15, $E$9, 100%, $G$9) + CHOOSE(CONTROL!$C$38, 0.0347, 0)</f>
        <v>68.733199999999997</v>
      </c>
      <c r="E982" s="46">
        <f>72.4508 * CHOOSE(CONTROL!$C$15, $E$9, 100%, $G$9) + CHOOSE(CONTROL!$C$38, 0.0347, 0)</f>
        <v>72.485500000000002</v>
      </c>
      <c r="F982" s="45">
        <f>72.4508 * CHOOSE(CONTROL!$C$15, $E$9, 100%, $G$9) + CHOOSE(CONTROL!$C$38, 0.0256, 0)</f>
        <v>72.476399999999998</v>
      </c>
      <c r="G982" s="14">
        <f>68.7048 * CHOOSE(CONTROL!$C$15, $E$9, 100%, $G$9) + CHOOSE(CONTROL!$C$38, 0.0347, 0)</f>
        <v>68.739500000000007</v>
      </c>
      <c r="H982" s="14">
        <f>68.7048 * CHOOSE(CONTROL!$C$15, $E$9, 100%, $G$9) + CHOOSE(CONTROL!$C$38, 0.0347, 0)</f>
        <v>68.739500000000007</v>
      </c>
      <c r="I982" s="14">
        <f>68.7063 * CHOOSE(CONTROL!$C$15, $E$9, 100%, $G$9) + CHOOSE(CONTROL!$C$38, 0.0347, 0)</f>
        <v>68.741</v>
      </c>
      <c r="J982" s="44">
        <f>723.4272</f>
        <v>723.42719999999997</v>
      </c>
    </row>
    <row r="983" spans="1:10" ht="15.75" x14ac:dyDescent="0.25">
      <c r="A983" s="32">
        <v>70859</v>
      </c>
      <c r="B983" s="14">
        <f>70.4707 * CHOOSE(CONTROL!$C$15, $E$9, 100%, $G$9) + CHOOSE(CONTROL!$C$38, 0.0256, 0)</f>
        <v>70.496299999999991</v>
      </c>
      <c r="C983" s="14">
        <f>66.6812 * CHOOSE(CONTROL!$C$15, $E$9, 100%, $G$9) + CHOOSE(CONTROL!$C$38, 0.0347, 0)</f>
        <v>66.715900000000005</v>
      </c>
      <c r="D983" s="14">
        <f>66.6733 * CHOOSE(CONTROL!$C$15, $E$9, 100%, $G$9) + CHOOSE(CONTROL!$C$38, 0.0347, 0)</f>
        <v>66.707999999999998</v>
      </c>
      <c r="E983" s="46">
        <f>70.3145 * CHOOSE(CONTROL!$C$15, $E$9, 100%, $G$9) + CHOOSE(CONTROL!$C$38, 0.0347, 0)</f>
        <v>70.349199999999996</v>
      </c>
      <c r="F983" s="45">
        <f>70.3145 * CHOOSE(CONTROL!$C$15, $E$9, 100%, $G$9) + CHOOSE(CONTROL!$C$38, 0.0256, 0)</f>
        <v>70.340099999999993</v>
      </c>
      <c r="G983" s="14">
        <f>66.6796 * CHOOSE(CONTROL!$C$15, $E$9, 100%, $G$9) + CHOOSE(CONTROL!$C$38, 0.0347, 0)</f>
        <v>66.714299999999994</v>
      </c>
      <c r="H983" s="14">
        <f>66.6796 * CHOOSE(CONTROL!$C$15, $E$9, 100%, $G$9) + CHOOSE(CONTROL!$C$38, 0.0347, 0)</f>
        <v>66.714299999999994</v>
      </c>
      <c r="I983" s="14">
        <f>66.6812 * CHOOSE(CONTROL!$C$15, $E$9, 100%, $G$9) + CHOOSE(CONTROL!$C$38, 0.0347, 0)</f>
        <v>66.715900000000005</v>
      </c>
      <c r="J983" s="44">
        <f>701.9594</f>
        <v>701.95939999999996</v>
      </c>
    </row>
    <row r="984" spans="1:10" ht="15.75" x14ac:dyDescent="0.25">
      <c r="A984" s="32">
        <v>70890</v>
      </c>
      <c r="B984" s="14">
        <f>69.9402 * CHOOSE(CONTROL!$C$15, $E$9, 100%, $G$9) + CHOOSE(CONTROL!$C$38, 0.0256, 0)</f>
        <v>69.965800000000002</v>
      </c>
      <c r="C984" s="14">
        <f>66.1782 * CHOOSE(CONTROL!$C$15, $E$9, 100%, $G$9) + CHOOSE(CONTROL!$C$38, 0.0347, 0)</f>
        <v>66.212900000000005</v>
      </c>
      <c r="D984" s="14">
        <f>66.1704 * CHOOSE(CONTROL!$C$15, $E$9, 100%, $G$9) + CHOOSE(CONTROL!$C$38, 0.0347, 0)</f>
        <v>66.205100000000002</v>
      </c>
      <c r="E984" s="46">
        <f>69.7839 * CHOOSE(CONTROL!$C$15, $E$9, 100%, $G$9) + CHOOSE(CONTROL!$C$38, 0.0347, 0)</f>
        <v>69.818600000000004</v>
      </c>
      <c r="F984" s="45">
        <f>69.7839 * CHOOSE(CONTROL!$C$15, $E$9, 100%, $G$9) + CHOOSE(CONTROL!$C$38, 0.0256, 0)</f>
        <v>69.8095</v>
      </c>
      <c r="G984" s="14">
        <f>66.1767 * CHOOSE(CONTROL!$C$15, $E$9, 100%, $G$9) + CHOOSE(CONTROL!$C$38, 0.0347, 0)</f>
        <v>66.211399999999998</v>
      </c>
      <c r="H984" s="14">
        <f>66.1767 * CHOOSE(CONTROL!$C$15, $E$9, 100%, $G$9) + CHOOSE(CONTROL!$C$38, 0.0347, 0)</f>
        <v>66.211399999999998</v>
      </c>
      <c r="I984" s="14">
        <f>66.1782 * CHOOSE(CONTROL!$C$15, $E$9, 100%, $G$9) + CHOOSE(CONTROL!$C$38, 0.0347, 0)</f>
        <v>66.212900000000005</v>
      </c>
      <c r="J984" s="44">
        <f>701.4526</f>
        <v>701.45259999999996</v>
      </c>
    </row>
    <row r="985" spans="1:10" ht="15.75" x14ac:dyDescent="0.25">
      <c r="A985" s="32">
        <v>70918</v>
      </c>
      <c r="B985" s="14">
        <f>69.7475 * CHOOSE(CONTROL!$C$15, $E$9, 100%, $G$9) + CHOOSE(CONTROL!$C$38, 0.0256, 0)</f>
        <v>69.773099999999999</v>
      </c>
      <c r="C985" s="14">
        <f>65.9956 * CHOOSE(CONTROL!$C$15, $E$9, 100%, $G$9) + CHOOSE(CONTROL!$C$38, 0.0347, 0)</f>
        <v>66.030299999999997</v>
      </c>
      <c r="D985" s="14">
        <f>65.9877 * CHOOSE(CONTROL!$C$15, $E$9, 100%, $G$9) + CHOOSE(CONTROL!$C$38, 0.0347, 0)</f>
        <v>66.022400000000005</v>
      </c>
      <c r="E985" s="46">
        <f>69.5912 * CHOOSE(CONTROL!$C$15, $E$9, 100%, $G$9) + CHOOSE(CONTROL!$C$38, 0.0347, 0)</f>
        <v>69.625900000000001</v>
      </c>
      <c r="F985" s="45">
        <f>69.5912 * CHOOSE(CONTROL!$C$15, $E$9, 100%, $G$9) + CHOOSE(CONTROL!$C$38, 0.0256, 0)</f>
        <v>69.616799999999998</v>
      </c>
      <c r="G985" s="14">
        <f>65.994 * CHOOSE(CONTROL!$C$15, $E$9, 100%, $G$9) + CHOOSE(CONTROL!$C$38, 0.0347, 0)</f>
        <v>66.028700000000001</v>
      </c>
      <c r="H985" s="14">
        <f>65.994 * CHOOSE(CONTROL!$C$15, $E$9, 100%, $G$9) + CHOOSE(CONTROL!$C$38, 0.0347, 0)</f>
        <v>66.028700000000001</v>
      </c>
      <c r="I985" s="14">
        <f>65.9956 * CHOOSE(CONTROL!$C$15, $E$9, 100%, $G$9) + CHOOSE(CONTROL!$C$38, 0.0347, 0)</f>
        <v>66.030299999999997</v>
      </c>
      <c r="J985" s="44">
        <f>699.5028</f>
        <v>699.50279999999998</v>
      </c>
    </row>
    <row r="986" spans="1:10" ht="15.75" x14ac:dyDescent="0.25">
      <c r="A986" s="32">
        <v>70949</v>
      </c>
      <c r="B986" s="14">
        <f>73.3911 * CHOOSE(CONTROL!$C$15, $E$9, 100%, $G$9) + CHOOSE(CONTROL!$C$38, 0.0256, 0)</f>
        <v>73.416699999999992</v>
      </c>
      <c r="C986" s="14">
        <f>69.4496 * CHOOSE(CONTROL!$C$15, $E$9, 100%, $G$9) + CHOOSE(CONTROL!$C$38, 0.0347, 0)</f>
        <v>69.484300000000005</v>
      </c>
      <c r="D986" s="14">
        <f>69.4418 * CHOOSE(CONTROL!$C$15, $E$9, 100%, $G$9) + CHOOSE(CONTROL!$C$38, 0.0347, 0)</f>
        <v>69.476500000000001</v>
      </c>
      <c r="E986" s="46">
        <f>73.2348 * CHOOSE(CONTROL!$C$15, $E$9, 100%, $G$9) + CHOOSE(CONTROL!$C$38, 0.0347, 0)</f>
        <v>73.269500000000008</v>
      </c>
      <c r="F986" s="45">
        <f>73.2348 * CHOOSE(CONTROL!$C$15, $E$9, 100%, $G$9) + CHOOSE(CONTROL!$C$38, 0.0256, 0)</f>
        <v>73.260400000000004</v>
      </c>
      <c r="G986" s="14">
        <f>69.448 * CHOOSE(CONTROL!$C$15, $E$9, 100%, $G$9) + CHOOSE(CONTROL!$C$38, 0.0347, 0)</f>
        <v>69.482699999999994</v>
      </c>
      <c r="H986" s="14">
        <f>69.448 * CHOOSE(CONTROL!$C$15, $E$9, 100%, $G$9) + CHOOSE(CONTROL!$C$38, 0.0347, 0)</f>
        <v>69.482699999999994</v>
      </c>
      <c r="I986" s="14">
        <f>69.4496 * CHOOSE(CONTROL!$C$15, $E$9, 100%, $G$9) + CHOOSE(CONTROL!$C$38, 0.0347, 0)</f>
        <v>69.484300000000005</v>
      </c>
      <c r="J986" s="44">
        <f>736.3706</f>
        <v>736.37059999999997</v>
      </c>
    </row>
    <row r="987" spans="1:10" ht="15.75" x14ac:dyDescent="0.25">
      <c r="A987" s="32">
        <v>70979</v>
      </c>
      <c r="B987" s="14">
        <f>78.1159 * CHOOSE(CONTROL!$C$15, $E$9, 100%, $G$9) + CHOOSE(CONTROL!$C$38, 0.0256, 0)</f>
        <v>78.141499999999994</v>
      </c>
      <c r="C987" s="14">
        <f>73.9287 * CHOOSE(CONTROL!$C$15, $E$9, 100%, $G$9) + CHOOSE(CONTROL!$C$38, 0.0347, 0)</f>
        <v>73.963400000000007</v>
      </c>
      <c r="D987" s="14">
        <f>73.9209 * CHOOSE(CONTROL!$C$15, $E$9, 100%, $G$9) + CHOOSE(CONTROL!$C$38, 0.0347, 0)</f>
        <v>73.955600000000004</v>
      </c>
      <c r="E987" s="46">
        <f>77.9596 * CHOOSE(CONTROL!$C$15, $E$9, 100%, $G$9) + CHOOSE(CONTROL!$C$38, 0.0347, 0)</f>
        <v>77.994299999999996</v>
      </c>
      <c r="F987" s="45">
        <f>77.9596 * CHOOSE(CONTROL!$C$15, $E$9, 100%, $G$9) + CHOOSE(CONTROL!$C$38, 0.0256, 0)</f>
        <v>77.985199999999992</v>
      </c>
      <c r="G987" s="14">
        <f>73.9271 * CHOOSE(CONTROL!$C$15, $E$9, 100%, $G$9) + CHOOSE(CONTROL!$C$38, 0.0347, 0)</f>
        <v>73.961799999999997</v>
      </c>
      <c r="H987" s="14">
        <f>73.9271 * CHOOSE(CONTROL!$C$15, $E$9, 100%, $G$9) + CHOOSE(CONTROL!$C$38, 0.0347, 0)</f>
        <v>73.961799999999997</v>
      </c>
      <c r="I987" s="14">
        <f>73.9287 * CHOOSE(CONTROL!$C$15, $E$9, 100%, $G$9) + CHOOSE(CONTROL!$C$38, 0.0347, 0)</f>
        <v>73.963400000000007</v>
      </c>
      <c r="J987" s="44">
        <f>784.1794</f>
        <v>784.17939999999999</v>
      </c>
    </row>
    <row r="988" spans="1:10" ht="15.75" x14ac:dyDescent="0.25">
      <c r="A988" s="32">
        <v>71010</v>
      </c>
      <c r="B988" s="14">
        <f>80.7166 * CHOOSE(CONTROL!$C$15, $E$9, 100%, $G$9) + CHOOSE(CONTROL!$C$38, 0.0278, 0)</f>
        <v>80.744399999999999</v>
      </c>
      <c r="C988" s="14">
        <f>76.3941 * CHOOSE(CONTROL!$C$15, $E$9, 100%, $G$9) + CHOOSE(CONTROL!$C$38, 0.0369, 0)</f>
        <v>76.430999999999997</v>
      </c>
      <c r="D988" s="14">
        <f>76.3863 * CHOOSE(CONTROL!$C$15, $E$9, 100%, $G$9) + CHOOSE(CONTROL!$C$38, 0.0369, 0)</f>
        <v>76.423200000000008</v>
      </c>
      <c r="E988" s="46">
        <f>80.5603 * CHOOSE(CONTROL!$C$15, $E$9, 100%, $G$9) + CHOOSE(CONTROL!$C$38, 0.0369, 0)</f>
        <v>80.597200000000001</v>
      </c>
      <c r="F988" s="45">
        <f>80.5603 * CHOOSE(CONTROL!$C$15, $E$9, 100%, $G$9) + CHOOSE(CONTROL!$C$38, 0.0278, 0)</f>
        <v>80.588099999999997</v>
      </c>
      <c r="G988" s="14">
        <f>76.3926 * CHOOSE(CONTROL!$C$15, $E$9, 100%, $G$9) + CHOOSE(CONTROL!$C$38, 0.0369, 0)</f>
        <v>76.429500000000004</v>
      </c>
      <c r="H988" s="14">
        <f>76.3926 * CHOOSE(CONTROL!$C$15, $E$9, 100%, $G$9) + CHOOSE(CONTROL!$C$38, 0.0369, 0)</f>
        <v>76.429500000000004</v>
      </c>
      <c r="I988" s="14">
        <f>76.3941 * CHOOSE(CONTROL!$C$15, $E$9, 100%, $G$9) + CHOOSE(CONTROL!$C$38, 0.0369, 0)</f>
        <v>76.430999999999997</v>
      </c>
      <c r="J988" s="44">
        <f>810.4949</f>
        <v>810.49490000000003</v>
      </c>
    </row>
    <row r="989" spans="1:10" ht="15.75" x14ac:dyDescent="0.25">
      <c r="A989" s="32">
        <v>71040</v>
      </c>
      <c r="B989" s="14">
        <f>81.8707 * CHOOSE(CONTROL!$C$15, $E$9, 100%, $G$9) + CHOOSE(CONTROL!$C$38, 0.0278, 0)</f>
        <v>81.898499999999999</v>
      </c>
      <c r="C989" s="14">
        <f>77.4882 * CHOOSE(CONTROL!$C$15, $E$9, 100%, $G$9) + CHOOSE(CONTROL!$C$38, 0.0369, 0)</f>
        <v>77.525100000000009</v>
      </c>
      <c r="D989" s="14">
        <f>77.4804 * CHOOSE(CONTROL!$C$15, $E$9, 100%, $G$9) + CHOOSE(CONTROL!$C$38, 0.0369, 0)</f>
        <v>77.517300000000006</v>
      </c>
      <c r="E989" s="46">
        <f>81.7145 * CHOOSE(CONTROL!$C$15, $E$9, 100%, $G$9) + CHOOSE(CONTROL!$C$38, 0.0369, 0)</f>
        <v>81.751400000000004</v>
      </c>
      <c r="F989" s="45">
        <f>81.7145 * CHOOSE(CONTROL!$C$15, $E$9, 100%, $G$9) + CHOOSE(CONTROL!$C$38, 0.0278, 0)</f>
        <v>81.7423</v>
      </c>
      <c r="G989" s="14">
        <f>77.4867 * CHOOSE(CONTROL!$C$15, $E$9, 100%, $G$9) + CHOOSE(CONTROL!$C$38, 0.0369, 0)</f>
        <v>77.523600000000002</v>
      </c>
      <c r="H989" s="14">
        <f>77.4867 * CHOOSE(CONTROL!$C$15, $E$9, 100%, $G$9) + CHOOSE(CONTROL!$C$38, 0.0369, 0)</f>
        <v>77.523600000000002</v>
      </c>
      <c r="I989" s="14">
        <f>77.4882 * CHOOSE(CONTROL!$C$15, $E$9, 100%, $G$9) + CHOOSE(CONTROL!$C$38, 0.0369, 0)</f>
        <v>77.525100000000009</v>
      </c>
      <c r="J989" s="44">
        <f>822.1733</f>
        <v>822.17330000000004</v>
      </c>
    </row>
    <row r="990" spans="1:10" ht="15.75" x14ac:dyDescent="0.25">
      <c r="A990" s="32">
        <v>71071</v>
      </c>
      <c r="B990" s="14">
        <f>81.4907 * CHOOSE(CONTROL!$C$15, $E$9, 100%, $G$9) + CHOOSE(CONTROL!$C$38, 0.0278, 0)</f>
        <v>81.518500000000003</v>
      </c>
      <c r="C990" s="14">
        <f>77.128 * CHOOSE(CONTROL!$C$15, $E$9, 100%, $G$9) + CHOOSE(CONTROL!$C$38, 0.0369, 0)</f>
        <v>77.164900000000003</v>
      </c>
      <c r="D990" s="14">
        <f>77.1202 * CHOOSE(CONTROL!$C$15, $E$9, 100%, $G$9) + CHOOSE(CONTROL!$C$38, 0.0369, 0)</f>
        <v>77.1571</v>
      </c>
      <c r="E990" s="46">
        <f>81.3345 * CHOOSE(CONTROL!$C$15, $E$9, 100%, $G$9) + CHOOSE(CONTROL!$C$38, 0.0369, 0)</f>
        <v>81.371400000000008</v>
      </c>
      <c r="F990" s="45">
        <f>81.3345 * CHOOSE(CONTROL!$C$15, $E$9, 100%, $G$9) + CHOOSE(CONTROL!$C$38, 0.0278, 0)</f>
        <v>81.362300000000005</v>
      </c>
      <c r="G990" s="14">
        <f>77.1264 * CHOOSE(CONTROL!$C$15, $E$9, 100%, $G$9) + CHOOSE(CONTROL!$C$38, 0.0369, 0)</f>
        <v>77.163300000000007</v>
      </c>
      <c r="H990" s="14">
        <f>77.1264 * CHOOSE(CONTROL!$C$15, $E$9, 100%, $G$9) + CHOOSE(CONTROL!$C$38, 0.0369, 0)</f>
        <v>77.163300000000007</v>
      </c>
      <c r="I990" s="14">
        <f>77.128 * CHOOSE(CONTROL!$C$15, $E$9, 100%, $G$9) + CHOOSE(CONTROL!$C$38, 0.0369, 0)</f>
        <v>77.164900000000003</v>
      </c>
      <c r="J990" s="44">
        <f>818.3282</f>
        <v>818.32820000000004</v>
      </c>
    </row>
    <row r="991" spans="1:10" ht="15.75" x14ac:dyDescent="0.25">
      <c r="A991" s="32">
        <v>71102</v>
      </c>
      <c r="B991" s="14">
        <f>79.608 * CHOOSE(CONTROL!$C$15, $E$9, 100%, $G$9) + CHOOSE(CONTROL!$C$38, 0.0278, 0)</f>
        <v>79.635800000000003</v>
      </c>
      <c r="C991" s="14">
        <f>75.3432 * CHOOSE(CONTROL!$C$15, $E$9, 100%, $G$9) + CHOOSE(CONTROL!$C$38, 0.0369, 0)</f>
        <v>75.380099999999999</v>
      </c>
      <c r="D991" s="14">
        <f>75.3354 * CHOOSE(CONTROL!$C$15, $E$9, 100%, $G$9) + CHOOSE(CONTROL!$C$38, 0.0369, 0)</f>
        <v>75.37230000000001</v>
      </c>
      <c r="E991" s="46">
        <f>79.4518 * CHOOSE(CONTROL!$C$15, $E$9, 100%, $G$9) + CHOOSE(CONTROL!$C$38, 0.0369, 0)</f>
        <v>79.488700000000009</v>
      </c>
      <c r="F991" s="45">
        <f>79.4518 * CHOOSE(CONTROL!$C$15, $E$9, 100%, $G$9) + CHOOSE(CONTROL!$C$38, 0.0278, 0)</f>
        <v>79.479600000000005</v>
      </c>
      <c r="G991" s="14">
        <f>75.3417 * CHOOSE(CONTROL!$C$15, $E$9, 100%, $G$9) + CHOOSE(CONTROL!$C$38, 0.0369, 0)</f>
        <v>75.378600000000006</v>
      </c>
      <c r="H991" s="14">
        <f>75.3417 * CHOOSE(CONTROL!$C$15, $E$9, 100%, $G$9) + CHOOSE(CONTROL!$C$38, 0.0369, 0)</f>
        <v>75.378600000000006</v>
      </c>
      <c r="I991" s="14">
        <f>75.3432 * CHOOSE(CONTROL!$C$15, $E$9, 100%, $G$9) + CHOOSE(CONTROL!$C$38, 0.0369, 0)</f>
        <v>75.380099999999999</v>
      </c>
      <c r="J991" s="44">
        <f>799.2779</f>
        <v>799.27790000000005</v>
      </c>
    </row>
    <row r="992" spans="1:10" ht="15.75" x14ac:dyDescent="0.25">
      <c r="A992" s="32">
        <v>71132</v>
      </c>
      <c r="B992" s="14">
        <f>76.9825 * CHOOSE(CONTROL!$C$15, $E$9, 100%, $G$9) + CHOOSE(CONTROL!$C$38, 0.0278, 0)</f>
        <v>77.010300000000001</v>
      </c>
      <c r="C992" s="14">
        <f>72.8543 * CHOOSE(CONTROL!$C$15, $E$9, 100%, $G$9) + CHOOSE(CONTROL!$C$38, 0.0369, 0)</f>
        <v>72.891199999999998</v>
      </c>
      <c r="D992" s="14">
        <f>72.8465 * CHOOSE(CONTROL!$C$15, $E$9, 100%, $G$9) + CHOOSE(CONTROL!$C$38, 0.0369, 0)</f>
        <v>72.883400000000009</v>
      </c>
      <c r="E992" s="46">
        <f>76.8263 * CHOOSE(CONTROL!$C$15, $E$9, 100%, $G$9) + CHOOSE(CONTROL!$C$38, 0.0369, 0)</f>
        <v>76.863200000000006</v>
      </c>
      <c r="F992" s="45">
        <f>76.8263 * CHOOSE(CONTROL!$C$15, $E$9, 100%, $G$9) + CHOOSE(CONTROL!$C$38, 0.0278, 0)</f>
        <v>76.854100000000003</v>
      </c>
      <c r="G992" s="14">
        <f>72.8527 * CHOOSE(CONTROL!$C$15, $E$9, 100%, $G$9) + CHOOSE(CONTROL!$C$38, 0.0369, 0)</f>
        <v>72.889600000000002</v>
      </c>
      <c r="H992" s="14">
        <f>72.8527 * CHOOSE(CONTROL!$C$15, $E$9, 100%, $G$9) + CHOOSE(CONTROL!$C$38, 0.0369, 0)</f>
        <v>72.889600000000002</v>
      </c>
      <c r="I992" s="14">
        <f>72.8543 * CHOOSE(CONTROL!$C$15, $E$9, 100%, $G$9) + CHOOSE(CONTROL!$C$38, 0.0369, 0)</f>
        <v>72.891199999999998</v>
      </c>
      <c r="J992" s="44">
        <f>772.7113</f>
        <v>772.71130000000005</v>
      </c>
    </row>
    <row r="993" spans="1:10" ht="15.75" x14ac:dyDescent="0.25">
      <c r="A993" s="32">
        <v>71163</v>
      </c>
      <c r="B993" s="14">
        <f>74.3417 * CHOOSE(CONTROL!$C$15, $E$9, 100%, $G$9) + CHOOSE(CONTROL!$C$38, 0.0256, 0)</f>
        <v>74.3673</v>
      </c>
      <c r="C993" s="14">
        <f>70.3508 * CHOOSE(CONTROL!$C$15, $E$9, 100%, $G$9) + CHOOSE(CONTROL!$C$38, 0.0347, 0)</f>
        <v>70.385500000000008</v>
      </c>
      <c r="D993" s="14">
        <f>70.343 * CHOOSE(CONTROL!$C$15, $E$9, 100%, $G$9) + CHOOSE(CONTROL!$C$38, 0.0347, 0)</f>
        <v>70.377700000000004</v>
      </c>
      <c r="E993" s="46">
        <f>74.1855 * CHOOSE(CONTROL!$C$15, $E$9, 100%, $G$9) + CHOOSE(CONTROL!$C$38, 0.0347, 0)</f>
        <v>74.220200000000006</v>
      </c>
      <c r="F993" s="45">
        <f>74.1855 * CHOOSE(CONTROL!$C$15, $E$9, 100%, $G$9) + CHOOSE(CONTROL!$C$38, 0.0256, 0)</f>
        <v>74.211100000000002</v>
      </c>
      <c r="G993" s="14">
        <f>70.3493 * CHOOSE(CONTROL!$C$15, $E$9, 100%, $G$9) + CHOOSE(CONTROL!$C$38, 0.0347, 0)</f>
        <v>70.384</v>
      </c>
      <c r="H993" s="14">
        <f>70.3493 * CHOOSE(CONTROL!$C$15, $E$9, 100%, $G$9) + CHOOSE(CONTROL!$C$38, 0.0347, 0)</f>
        <v>70.384</v>
      </c>
      <c r="I993" s="14">
        <f>70.3508 * CHOOSE(CONTROL!$C$15, $E$9, 100%, $G$9) + CHOOSE(CONTROL!$C$38, 0.0347, 0)</f>
        <v>70.385500000000008</v>
      </c>
      <c r="J993" s="44">
        <f>745.9901</f>
        <v>745.99009999999998</v>
      </c>
    </row>
    <row r="994" spans="1:10" ht="15.75" x14ac:dyDescent="0.25">
      <c r="A994" s="32">
        <v>71193</v>
      </c>
      <c r="B994" s="14">
        <f>73.8164 * CHOOSE(CONTROL!$C$15, $E$9, 100%, $G$9) + CHOOSE(CONTROL!$C$38, 0.0256, 0)</f>
        <v>73.841999999999999</v>
      </c>
      <c r="C994" s="14">
        <f>69.8528 * CHOOSE(CONTROL!$C$15, $E$9, 100%, $G$9) + CHOOSE(CONTROL!$C$38, 0.0347, 0)</f>
        <v>69.887500000000003</v>
      </c>
      <c r="D994" s="14">
        <f>69.845 * CHOOSE(CONTROL!$C$15, $E$9, 100%, $G$9) + CHOOSE(CONTROL!$C$38, 0.0347, 0)</f>
        <v>69.8797</v>
      </c>
      <c r="E994" s="46">
        <f>73.6602 * CHOOSE(CONTROL!$C$15, $E$9, 100%, $G$9) + CHOOSE(CONTROL!$C$38, 0.0347, 0)</f>
        <v>73.694900000000004</v>
      </c>
      <c r="F994" s="45">
        <f>73.6602 * CHOOSE(CONTROL!$C$15, $E$9, 100%, $G$9) + CHOOSE(CONTROL!$C$38, 0.0256, 0)</f>
        <v>73.6858</v>
      </c>
      <c r="G994" s="14">
        <f>69.8513 * CHOOSE(CONTROL!$C$15, $E$9, 100%, $G$9) + CHOOSE(CONTROL!$C$38, 0.0347, 0)</f>
        <v>69.885999999999996</v>
      </c>
      <c r="H994" s="14">
        <f>69.8513 * CHOOSE(CONTROL!$C$15, $E$9, 100%, $G$9) + CHOOSE(CONTROL!$C$38, 0.0347, 0)</f>
        <v>69.885999999999996</v>
      </c>
      <c r="I994" s="14">
        <f>69.8528 * CHOOSE(CONTROL!$C$15, $E$9, 100%, $G$9) + CHOOSE(CONTROL!$C$38, 0.0347, 0)</f>
        <v>69.887500000000003</v>
      </c>
      <c r="J994" s="44">
        <f>740.6748</f>
        <v>740.6748</v>
      </c>
    </row>
    <row r="995" spans="1:10" ht="15.75" x14ac:dyDescent="0.25">
      <c r="A995" s="32">
        <v>71224</v>
      </c>
      <c r="B995" s="14">
        <f>71.6442 * CHOOSE(CONTROL!$C$15, $E$9, 100%, $G$9) + CHOOSE(CONTROL!$C$38, 0.0256, 0)</f>
        <v>71.669799999999995</v>
      </c>
      <c r="C995" s="14">
        <f>67.7936 * CHOOSE(CONTROL!$C$15, $E$9, 100%, $G$9) + CHOOSE(CONTROL!$C$38, 0.0347, 0)</f>
        <v>67.828299999999999</v>
      </c>
      <c r="D995" s="14">
        <f>67.7858 * CHOOSE(CONTROL!$C$15, $E$9, 100%, $G$9) + CHOOSE(CONTROL!$C$38, 0.0347, 0)</f>
        <v>67.820499999999996</v>
      </c>
      <c r="E995" s="46">
        <f>71.488 * CHOOSE(CONTROL!$C$15, $E$9, 100%, $G$9) + CHOOSE(CONTROL!$C$38, 0.0347, 0)</f>
        <v>71.5227</v>
      </c>
      <c r="F995" s="45">
        <f>71.488 * CHOOSE(CONTROL!$C$15, $E$9, 100%, $G$9) + CHOOSE(CONTROL!$C$38, 0.0256, 0)</f>
        <v>71.513599999999997</v>
      </c>
      <c r="G995" s="14">
        <f>67.7921 * CHOOSE(CONTROL!$C$15, $E$9, 100%, $G$9) + CHOOSE(CONTROL!$C$38, 0.0347, 0)</f>
        <v>67.826800000000006</v>
      </c>
      <c r="H995" s="14">
        <f>67.7921 * CHOOSE(CONTROL!$C$15, $E$9, 100%, $G$9) + CHOOSE(CONTROL!$C$38, 0.0347, 0)</f>
        <v>67.826800000000006</v>
      </c>
      <c r="I995" s="14">
        <f>67.7936 * CHOOSE(CONTROL!$C$15, $E$9, 100%, $G$9) + CHOOSE(CONTROL!$C$38, 0.0347, 0)</f>
        <v>67.828299999999999</v>
      </c>
      <c r="J995" s="44">
        <f>718.6952</f>
        <v>718.6952</v>
      </c>
    </row>
    <row r="996" spans="1:10" ht="15.75" x14ac:dyDescent="0.25">
      <c r="A996" s="32">
        <v>71255</v>
      </c>
      <c r="B996" s="14">
        <f>71.1048 * CHOOSE(CONTROL!$C$15, $E$9, 100%, $G$9) + CHOOSE(CONTROL!$C$38, 0.0256, 0)</f>
        <v>71.130399999999995</v>
      </c>
      <c r="C996" s="14">
        <f>67.2823 * CHOOSE(CONTROL!$C$15, $E$9, 100%, $G$9) + CHOOSE(CONTROL!$C$38, 0.0347, 0)</f>
        <v>67.317000000000007</v>
      </c>
      <c r="D996" s="14">
        <f>67.2744 * CHOOSE(CONTROL!$C$15, $E$9, 100%, $G$9) + CHOOSE(CONTROL!$C$38, 0.0347, 0)</f>
        <v>67.309100000000001</v>
      </c>
      <c r="E996" s="46">
        <f>70.9485 * CHOOSE(CONTROL!$C$15, $E$9, 100%, $G$9) + CHOOSE(CONTROL!$C$38, 0.0347, 0)</f>
        <v>70.983199999999997</v>
      </c>
      <c r="F996" s="45">
        <f>70.9485 * CHOOSE(CONTROL!$C$15, $E$9, 100%, $G$9) + CHOOSE(CONTROL!$C$38, 0.0256, 0)</f>
        <v>70.974099999999993</v>
      </c>
      <c r="G996" s="14">
        <f>67.2807 * CHOOSE(CONTROL!$C$15, $E$9, 100%, $G$9) + CHOOSE(CONTROL!$C$38, 0.0347, 0)</f>
        <v>67.315399999999997</v>
      </c>
      <c r="H996" s="14">
        <f>67.2807 * CHOOSE(CONTROL!$C$15, $E$9, 100%, $G$9) + CHOOSE(CONTROL!$C$38, 0.0347, 0)</f>
        <v>67.315399999999997</v>
      </c>
      <c r="I996" s="14">
        <f>67.2823 * CHOOSE(CONTROL!$C$15, $E$9, 100%, $G$9) + CHOOSE(CONTROL!$C$38, 0.0347, 0)</f>
        <v>67.317000000000007</v>
      </c>
      <c r="J996" s="44">
        <f>718.1763</f>
        <v>718.17629999999997</v>
      </c>
    </row>
    <row r="997" spans="1:10" ht="15.75" x14ac:dyDescent="0.25">
      <c r="A997" s="32">
        <v>71283</v>
      </c>
      <c r="B997" s="14">
        <f>70.9089 * CHOOSE(CONTROL!$C$15, $E$9, 100%, $G$9) + CHOOSE(CONTROL!$C$38, 0.0256, 0)</f>
        <v>70.9345</v>
      </c>
      <c r="C997" s="14">
        <f>67.0965 * CHOOSE(CONTROL!$C$15, $E$9, 100%, $G$9) + CHOOSE(CONTROL!$C$38, 0.0347, 0)</f>
        <v>67.131200000000007</v>
      </c>
      <c r="D997" s="14">
        <f>67.0887 * CHOOSE(CONTROL!$C$15, $E$9, 100%, $G$9) + CHOOSE(CONTROL!$C$38, 0.0347, 0)</f>
        <v>67.123400000000004</v>
      </c>
      <c r="E997" s="46">
        <f>70.7526 * CHOOSE(CONTROL!$C$15, $E$9, 100%, $G$9) + CHOOSE(CONTROL!$C$38, 0.0347, 0)</f>
        <v>70.787300000000002</v>
      </c>
      <c r="F997" s="45">
        <f>70.7526 * CHOOSE(CONTROL!$C$15, $E$9, 100%, $G$9) + CHOOSE(CONTROL!$C$38, 0.0256, 0)</f>
        <v>70.778199999999998</v>
      </c>
      <c r="G997" s="14">
        <f>67.095 * CHOOSE(CONTROL!$C$15, $E$9, 100%, $G$9) + CHOOSE(CONTROL!$C$38, 0.0347, 0)</f>
        <v>67.1297</v>
      </c>
      <c r="H997" s="14">
        <f>67.095 * CHOOSE(CONTROL!$C$15, $E$9, 100%, $G$9) + CHOOSE(CONTROL!$C$38, 0.0347, 0)</f>
        <v>67.1297</v>
      </c>
      <c r="I997" s="14">
        <f>67.0965 * CHOOSE(CONTROL!$C$15, $E$9, 100%, $G$9) + CHOOSE(CONTROL!$C$38, 0.0347, 0)</f>
        <v>67.131200000000007</v>
      </c>
      <c r="J997" s="44">
        <f>716.18</f>
        <v>716.18</v>
      </c>
    </row>
    <row r="998" spans="1:10" ht="15.75" x14ac:dyDescent="0.25">
      <c r="A998" s="32">
        <v>71314</v>
      </c>
      <c r="B998" s="14">
        <f>74.6136 * CHOOSE(CONTROL!$C$15, $E$9, 100%, $G$9) + CHOOSE(CONTROL!$C$38, 0.0256, 0)</f>
        <v>74.639200000000002</v>
      </c>
      <c r="C998" s="14">
        <f>70.6086 * CHOOSE(CONTROL!$C$15, $E$9, 100%, $G$9) + CHOOSE(CONTROL!$C$38, 0.0347, 0)</f>
        <v>70.643299999999996</v>
      </c>
      <c r="D998" s="14">
        <f>70.6008 * CHOOSE(CONTROL!$C$15, $E$9, 100%, $G$9) + CHOOSE(CONTROL!$C$38, 0.0347, 0)</f>
        <v>70.635500000000008</v>
      </c>
      <c r="E998" s="46">
        <f>74.4574 * CHOOSE(CONTROL!$C$15, $E$9, 100%, $G$9) + CHOOSE(CONTROL!$C$38, 0.0347, 0)</f>
        <v>74.492100000000008</v>
      </c>
      <c r="F998" s="45">
        <f>74.4574 * CHOOSE(CONTROL!$C$15, $E$9, 100%, $G$9) + CHOOSE(CONTROL!$C$38, 0.0256, 0)</f>
        <v>74.483000000000004</v>
      </c>
      <c r="G998" s="14">
        <f>70.607 * CHOOSE(CONTROL!$C$15, $E$9, 100%, $G$9) + CHOOSE(CONTROL!$C$38, 0.0347, 0)</f>
        <v>70.6417</v>
      </c>
      <c r="H998" s="14">
        <f>70.607 * CHOOSE(CONTROL!$C$15, $E$9, 100%, $G$9) + CHOOSE(CONTROL!$C$38, 0.0347, 0)</f>
        <v>70.6417</v>
      </c>
      <c r="I998" s="14">
        <f>70.6086 * CHOOSE(CONTROL!$C$15, $E$9, 100%, $G$9) + CHOOSE(CONTROL!$C$38, 0.0347, 0)</f>
        <v>70.643299999999996</v>
      </c>
      <c r="J998" s="44">
        <f>753.9268</f>
        <v>753.92679999999996</v>
      </c>
    </row>
    <row r="999" spans="1:10" ht="15.75" x14ac:dyDescent="0.25">
      <c r="A999" s="32">
        <v>71344</v>
      </c>
      <c r="B999" s="14">
        <f>79.4178 * CHOOSE(CONTROL!$C$15, $E$9, 100%, $G$9) + CHOOSE(CONTROL!$C$38, 0.0256, 0)</f>
        <v>79.443399999999997</v>
      </c>
      <c r="C999" s="14">
        <f>75.1629 * CHOOSE(CONTROL!$C$15, $E$9, 100%, $G$9) + CHOOSE(CONTROL!$C$38, 0.0347, 0)</f>
        <v>75.197599999999994</v>
      </c>
      <c r="D999" s="14">
        <f>75.1551 * CHOOSE(CONTROL!$C$15, $E$9, 100%, $G$9) + CHOOSE(CONTROL!$C$38, 0.0347, 0)</f>
        <v>75.189800000000005</v>
      </c>
      <c r="E999" s="46">
        <f>79.2616 * CHOOSE(CONTROL!$C$15, $E$9, 100%, $G$9) + CHOOSE(CONTROL!$C$38, 0.0347, 0)</f>
        <v>79.296300000000002</v>
      </c>
      <c r="F999" s="45">
        <f>79.2616 * CHOOSE(CONTROL!$C$15, $E$9, 100%, $G$9) + CHOOSE(CONTROL!$C$38, 0.0256, 0)</f>
        <v>79.287199999999999</v>
      </c>
      <c r="G999" s="14">
        <f>75.1614 * CHOOSE(CONTROL!$C$15, $E$9, 100%, $G$9) + CHOOSE(CONTROL!$C$38, 0.0347, 0)</f>
        <v>75.196100000000001</v>
      </c>
      <c r="H999" s="14">
        <f>75.1614 * CHOOSE(CONTROL!$C$15, $E$9, 100%, $G$9) + CHOOSE(CONTROL!$C$38, 0.0347, 0)</f>
        <v>75.196100000000001</v>
      </c>
      <c r="I999" s="14">
        <f>75.1629 * CHOOSE(CONTROL!$C$15, $E$9, 100%, $G$9) + CHOOSE(CONTROL!$C$38, 0.0347, 0)</f>
        <v>75.197599999999994</v>
      </c>
      <c r="J999" s="44">
        <f>802.8754</f>
        <v>802.87540000000001</v>
      </c>
    </row>
    <row r="1000" spans="1:10" ht="15.75" x14ac:dyDescent="0.25">
      <c r="A1000" s="32">
        <v>71375</v>
      </c>
      <c r="B1000" s="14">
        <f>82.0622 * CHOOSE(CONTROL!$C$15, $E$9, 100%, $G$9) + CHOOSE(CONTROL!$C$38, 0.0278, 0)</f>
        <v>82.09</v>
      </c>
      <c r="C1000" s="14">
        <f>77.6698 * CHOOSE(CONTROL!$C$15, $E$9, 100%, $G$9) + CHOOSE(CONTROL!$C$38, 0.0369, 0)</f>
        <v>77.706699999999998</v>
      </c>
      <c r="D1000" s="14">
        <f>77.662 * CHOOSE(CONTROL!$C$15, $E$9, 100%, $G$9) + CHOOSE(CONTROL!$C$38, 0.0369, 0)</f>
        <v>77.698900000000009</v>
      </c>
      <c r="E1000" s="46">
        <f>81.906 * CHOOSE(CONTROL!$C$15, $E$9, 100%, $G$9) + CHOOSE(CONTROL!$C$38, 0.0369, 0)</f>
        <v>81.942900000000009</v>
      </c>
      <c r="F1000" s="45">
        <f>81.906 * CHOOSE(CONTROL!$C$15, $E$9, 100%, $G$9) + CHOOSE(CONTROL!$C$38, 0.0278, 0)</f>
        <v>81.933800000000005</v>
      </c>
      <c r="G1000" s="14">
        <f>77.6682 * CHOOSE(CONTROL!$C$15, $E$9, 100%, $G$9) + CHOOSE(CONTROL!$C$38, 0.0369, 0)</f>
        <v>77.705100000000002</v>
      </c>
      <c r="H1000" s="14">
        <f>77.6682 * CHOOSE(CONTROL!$C$15, $E$9, 100%, $G$9) + CHOOSE(CONTROL!$C$38, 0.0369, 0)</f>
        <v>77.705100000000002</v>
      </c>
      <c r="I1000" s="14">
        <f>77.6698 * CHOOSE(CONTROL!$C$15, $E$9, 100%, $G$9) + CHOOSE(CONTROL!$C$38, 0.0369, 0)</f>
        <v>77.706699999999998</v>
      </c>
      <c r="J1000" s="44">
        <f>829.8183</f>
        <v>829.81830000000002</v>
      </c>
    </row>
    <row r="1001" spans="1:10" ht="15.75" x14ac:dyDescent="0.25">
      <c r="A1001" s="32">
        <v>71405</v>
      </c>
      <c r="B1001" s="14">
        <f>83.2358 * CHOOSE(CONTROL!$C$15, $E$9, 100%, $G$9) + CHOOSE(CONTROL!$C$38, 0.0278, 0)</f>
        <v>83.263599999999997</v>
      </c>
      <c r="C1001" s="14">
        <f>78.7823 * CHOOSE(CONTROL!$C$15, $E$9, 100%, $G$9) + CHOOSE(CONTROL!$C$38, 0.0369, 0)</f>
        <v>78.819200000000009</v>
      </c>
      <c r="D1001" s="14">
        <f>78.7745 * CHOOSE(CONTROL!$C$15, $E$9, 100%, $G$9) + CHOOSE(CONTROL!$C$38, 0.0369, 0)</f>
        <v>78.811400000000006</v>
      </c>
      <c r="E1001" s="46">
        <f>83.0795 * CHOOSE(CONTROL!$C$15, $E$9, 100%, $G$9) + CHOOSE(CONTROL!$C$38, 0.0369, 0)</f>
        <v>83.116399999999999</v>
      </c>
      <c r="F1001" s="45">
        <f>83.0795 * CHOOSE(CONTROL!$C$15, $E$9, 100%, $G$9) + CHOOSE(CONTROL!$C$38, 0.0278, 0)</f>
        <v>83.107299999999995</v>
      </c>
      <c r="G1001" s="14">
        <f>78.7807 * CHOOSE(CONTROL!$C$15, $E$9, 100%, $G$9) + CHOOSE(CONTROL!$C$38, 0.0369, 0)</f>
        <v>78.817599999999999</v>
      </c>
      <c r="H1001" s="14">
        <f>78.7807 * CHOOSE(CONTROL!$C$15, $E$9, 100%, $G$9) + CHOOSE(CONTROL!$C$38, 0.0369, 0)</f>
        <v>78.817599999999999</v>
      </c>
      <c r="I1001" s="14">
        <f>78.7823 * CHOOSE(CONTROL!$C$15, $E$9, 100%, $G$9) + CHOOSE(CONTROL!$C$38, 0.0369, 0)</f>
        <v>78.819200000000009</v>
      </c>
      <c r="J1001" s="44">
        <f>841.7751</f>
        <v>841.77509999999995</v>
      </c>
    </row>
    <row r="1002" spans="1:10" ht="15.75" x14ac:dyDescent="0.25">
      <c r="A1002" s="32">
        <v>71436</v>
      </c>
      <c r="B1002" s="14">
        <f>82.8494 * CHOOSE(CONTROL!$C$15, $E$9, 100%, $G$9) + CHOOSE(CONTROL!$C$38, 0.0278, 0)</f>
        <v>82.877200000000002</v>
      </c>
      <c r="C1002" s="14">
        <f>78.416 * CHOOSE(CONTROL!$C$15, $E$9, 100%, $G$9) + CHOOSE(CONTROL!$C$38, 0.0369, 0)</f>
        <v>78.4529</v>
      </c>
      <c r="D1002" s="14">
        <f>78.4082 * CHOOSE(CONTROL!$C$15, $E$9, 100%, $G$9) + CHOOSE(CONTROL!$C$38, 0.0369, 0)</f>
        <v>78.445099999999996</v>
      </c>
      <c r="E1002" s="46">
        <f>82.6931 * CHOOSE(CONTROL!$C$15, $E$9, 100%, $G$9) + CHOOSE(CONTROL!$C$38, 0.0369, 0)</f>
        <v>82.73</v>
      </c>
      <c r="F1002" s="45">
        <f>82.6931 * CHOOSE(CONTROL!$C$15, $E$9, 100%, $G$9) + CHOOSE(CONTROL!$C$38, 0.0278, 0)</f>
        <v>82.7209</v>
      </c>
      <c r="G1002" s="14">
        <f>78.4144 * CHOOSE(CONTROL!$C$15, $E$9, 100%, $G$9) + CHOOSE(CONTROL!$C$38, 0.0369, 0)</f>
        <v>78.451300000000003</v>
      </c>
      <c r="H1002" s="14">
        <f>78.4144 * CHOOSE(CONTROL!$C$15, $E$9, 100%, $G$9) + CHOOSE(CONTROL!$C$38, 0.0369, 0)</f>
        <v>78.451300000000003</v>
      </c>
      <c r="I1002" s="14">
        <f>78.416 * CHOOSE(CONTROL!$C$15, $E$9, 100%, $G$9) + CHOOSE(CONTROL!$C$38, 0.0369, 0)</f>
        <v>78.4529</v>
      </c>
      <c r="J1002" s="44">
        <f>837.8384</f>
        <v>837.83839999999998</v>
      </c>
    </row>
    <row r="1003" spans="1:10" ht="15.75" x14ac:dyDescent="0.25">
      <c r="A1003" s="32">
        <v>71467</v>
      </c>
      <c r="B1003" s="14">
        <f>80.9351 * CHOOSE(CONTROL!$C$15, $E$9, 100%, $G$9) + CHOOSE(CONTROL!$C$38, 0.0278, 0)</f>
        <v>80.962900000000005</v>
      </c>
      <c r="C1003" s="14">
        <f>76.6012 * CHOOSE(CONTROL!$C$15, $E$9, 100%, $G$9) + CHOOSE(CONTROL!$C$38, 0.0369, 0)</f>
        <v>76.638100000000009</v>
      </c>
      <c r="D1003" s="14">
        <f>76.5934 * CHOOSE(CONTROL!$C$15, $E$9, 100%, $G$9) + CHOOSE(CONTROL!$C$38, 0.0369, 0)</f>
        <v>76.630300000000005</v>
      </c>
      <c r="E1003" s="46">
        <f>80.7788 * CHOOSE(CONTROL!$C$15, $E$9, 100%, $G$9) + CHOOSE(CONTROL!$C$38, 0.0369, 0)</f>
        <v>80.815700000000007</v>
      </c>
      <c r="F1003" s="45">
        <f>80.7788 * CHOOSE(CONTROL!$C$15, $E$9, 100%, $G$9) + CHOOSE(CONTROL!$C$38, 0.0278, 0)</f>
        <v>80.806600000000003</v>
      </c>
      <c r="G1003" s="14">
        <f>76.5997 * CHOOSE(CONTROL!$C$15, $E$9, 100%, $G$9) + CHOOSE(CONTROL!$C$38, 0.0369, 0)</f>
        <v>76.636600000000001</v>
      </c>
      <c r="H1003" s="14">
        <f>76.5997 * CHOOSE(CONTROL!$C$15, $E$9, 100%, $G$9) + CHOOSE(CONTROL!$C$38, 0.0369, 0)</f>
        <v>76.636600000000001</v>
      </c>
      <c r="I1003" s="14">
        <f>76.6012 * CHOOSE(CONTROL!$C$15, $E$9, 100%, $G$9) + CHOOSE(CONTROL!$C$38, 0.0369, 0)</f>
        <v>76.638100000000009</v>
      </c>
      <c r="J1003" s="44">
        <f>818.3339</f>
        <v>818.33389999999997</v>
      </c>
    </row>
    <row r="1004" spans="1:10" ht="15.75" x14ac:dyDescent="0.25">
      <c r="A1004" s="32">
        <v>71497</v>
      </c>
      <c r="B1004" s="14">
        <f>78.2654 * CHOOSE(CONTROL!$C$15, $E$9, 100%, $G$9) + CHOOSE(CONTROL!$C$38, 0.0278, 0)</f>
        <v>78.293199999999999</v>
      </c>
      <c r="C1004" s="14">
        <f>74.0705 * CHOOSE(CONTROL!$C$15, $E$9, 100%, $G$9) + CHOOSE(CONTROL!$C$38, 0.0369, 0)</f>
        <v>74.107399999999998</v>
      </c>
      <c r="D1004" s="14">
        <f>74.0626 * CHOOSE(CONTROL!$C$15, $E$9, 100%, $G$9) + CHOOSE(CONTROL!$C$38, 0.0369, 0)</f>
        <v>74.099500000000006</v>
      </c>
      <c r="E1004" s="46">
        <f>78.1092 * CHOOSE(CONTROL!$C$15, $E$9, 100%, $G$9) + CHOOSE(CONTROL!$C$38, 0.0369, 0)</f>
        <v>78.146100000000004</v>
      </c>
      <c r="F1004" s="45">
        <f>78.1092 * CHOOSE(CONTROL!$C$15, $E$9, 100%, $G$9) + CHOOSE(CONTROL!$C$38, 0.0278, 0)</f>
        <v>78.137</v>
      </c>
      <c r="G1004" s="14">
        <f>74.0689 * CHOOSE(CONTROL!$C$15, $E$9, 100%, $G$9) + CHOOSE(CONTROL!$C$38, 0.0369, 0)</f>
        <v>74.105800000000002</v>
      </c>
      <c r="H1004" s="14">
        <f>74.0689 * CHOOSE(CONTROL!$C$15, $E$9, 100%, $G$9) + CHOOSE(CONTROL!$C$38, 0.0369, 0)</f>
        <v>74.105800000000002</v>
      </c>
      <c r="I1004" s="14">
        <f>74.0705 * CHOOSE(CONTROL!$C$15, $E$9, 100%, $G$9) + CHOOSE(CONTROL!$C$38, 0.0369, 0)</f>
        <v>74.107399999999998</v>
      </c>
      <c r="J1004" s="44">
        <f>791.1339</f>
        <v>791.13390000000004</v>
      </c>
    </row>
    <row r="1005" spans="1:10" ht="15.75" x14ac:dyDescent="0.25">
      <c r="A1005" s="32">
        <v>71528</v>
      </c>
      <c r="B1005" s="14">
        <f>75.5803 * CHOOSE(CONTROL!$C$15, $E$9, 100%, $G$9) + CHOOSE(CONTROL!$C$38, 0.0256, 0)</f>
        <v>75.605899999999991</v>
      </c>
      <c r="C1005" s="14">
        <f>71.525 * CHOOSE(CONTROL!$C$15, $E$9, 100%, $G$9) + CHOOSE(CONTROL!$C$38, 0.0347, 0)</f>
        <v>71.559700000000007</v>
      </c>
      <c r="D1005" s="14">
        <f>71.5172 * CHOOSE(CONTROL!$C$15, $E$9, 100%, $G$9) + CHOOSE(CONTROL!$C$38, 0.0347, 0)</f>
        <v>71.551900000000003</v>
      </c>
      <c r="E1005" s="46">
        <f>75.424 * CHOOSE(CONTROL!$C$15, $E$9, 100%, $G$9) + CHOOSE(CONTROL!$C$38, 0.0347, 0)</f>
        <v>75.458700000000007</v>
      </c>
      <c r="F1005" s="45">
        <f>75.424 * CHOOSE(CONTROL!$C$15, $E$9, 100%, $G$9) + CHOOSE(CONTROL!$C$38, 0.0256, 0)</f>
        <v>75.449600000000004</v>
      </c>
      <c r="G1005" s="14">
        <f>71.5234 * CHOOSE(CONTROL!$C$15, $E$9, 100%, $G$9) + CHOOSE(CONTROL!$C$38, 0.0347, 0)</f>
        <v>71.558099999999996</v>
      </c>
      <c r="H1005" s="14">
        <f>71.5234 * CHOOSE(CONTROL!$C$15, $E$9, 100%, $G$9) + CHOOSE(CONTROL!$C$38, 0.0347, 0)</f>
        <v>71.558099999999996</v>
      </c>
      <c r="I1005" s="14">
        <f>71.525 * CHOOSE(CONTROL!$C$15, $E$9, 100%, $G$9) + CHOOSE(CONTROL!$C$38, 0.0347, 0)</f>
        <v>71.559700000000007</v>
      </c>
      <c r="J1005" s="44">
        <f>763.7756</f>
        <v>763.77560000000005</v>
      </c>
    </row>
    <row r="1006" spans="1:10" ht="15.75" x14ac:dyDescent="0.25">
      <c r="A1006" s="32">
        <v>71558</v>
      </c>
      <c r="B1006" s="14">
        <f>75.0461 * CHOOSE(CONTROL!$C$15, $E$9, 100%, $G$9) + CHOOSE(CONTROL!$C$38, 0.0256, 0)</f>
        <v>75.071699999999993</v>
      </c>
      <c r="C1006" s="14">
        <f>71.0186 * CHOOSE(CONTROL!$C$15, $E$9, 100%, $G$9) + CHOOSE(CONTROL!$C$38, 0.0347, 0)</f>
        <v>71.053300000000007</v>
      </c>
      <c r="D1006" s="14">
        <f>71.0108 * CHOOSE(CONTROL!$C$15, $E$9, 100%, $G$9) + CHOOSE(CONTROL!$C$38, 0.0347, 0)</f>
        <v>71.045500000000004</v>
      </c>
      <c r="E1006" s="46">
        <f>74.8899 * CHOOSE(CONTROL!$C$15, $E$9, 100%, $G$9) + CHOOSE(CONTROL!$C$38, 0.0347, 0)</f>
        <v>74.924599999999998</v>
      </c>
      <c r="F1006" s="45">
        <f>74.8899 * CHOOSE(CONTROL!$C$15, $E$9, 100%, $G$9) + CHOOSE(CONTROL!$C$38, 0.0256, 0)</f>
        <v>74.915499999999994</v>
      </c>
      <c r="G1006" s="14">
        <f>71.0171 * CHOOSE(CONTROL!$C$15, $E$9, 100%, $G$9) + CHOOSE(CONTROL!$C$38, 0.0347, 0)</f>
        <v>71.0518</v>
      </c>
      <c r="H1006" s="14">
        <f>71.0171 * CHOOSE(CONTROL!$C$15, $E$9, 100%, $G$9) + CHOOSE(CONTROL!$C$38, 0.0347, 0)</f>
        <v>71.0518</v>
      </c>
      <c r="I1006" s="14">
        <f>71.0186 * CHOOSE(CONTROL!$C$15, $E$9, 100%, $G$9) + CHOOSE(CONTROL!$C$38, 0.0347, 0)</f>
        <v>71.053300000000007</v>
      </c>
      <c r="J1006" s="44">
        <f>758.3336</f>
        <v>758.33360000000005</v>
      </c>
    </row>
    <row r="1007" spans="1:10" ht="15.75" x14ac:dyDescent="0.25">
      <c r="A1007" s="32">
        <v>71589</v>
      </c>
      <c r="B1007" s="14">
        <f>72.8375 * CHOOSE(CONTROL!$C$15, $E$9, 100%, $G$9) + CHOOSE(CONTROL!$C$38, 0.0256, 0)</f>
        <v>72.863100000000003</v>
      </c>
      <c r="C1007" s="14">
        <f>68.9248 * CHOOSE(CONTROL!$C$15, $E$9, 100%, $G$9) + CHOOSE(CONTROL!$C$38, 0.0347, 0)</f>
        <v>68.959500000000006</v>
      </c>
      <c r="D1007" s="14">
        <f>68.917 * CHOOSE(CONTROL!$C$15, $E$9, 100%, $G$9) + CHOOSE(CONTROL!$C$38, 0.0347, 0)</f>
        <v>68.951700000000002</v>
      </c>
      <c r="E1007" s="46">
        <f>72.6812 * CHOOSE(CONTROL!$C$15, $E$9, 100%, $G$9) + CHOOSE(CONTROL!$C$38, 0.0347, 0)</f>
        <v>72.715900000000005</v>
      </c>
      <c r="F1007" s="45">
        <f>72.6812 * CHOOSE(CONTROL!$C$15, $E$9, 100%, $G$9) + CHOOSE(CONTROL!$C$38, 0.0256, 0)</f>
        <v>72.706800000000001</v>
      </c>
      <c r="G1007" s="14">
        <f>68.9232 * CHOOSE(CONTROL!$C$15, $E$9, 100%, $G$9) + CHOOSE(CONTROL!$C$38, 0.0347, 0)</f>
        <v>68.957899999999995</v>
      </c>
      <c r="H1007" s="14">
        <f>68.9232 * CHOOSE(CONTROL!$C$15, $E$9, 100%, $G$9) + CHOOSE(CONTROL!$C$38, 0.0347, 0)</f>
        <v>68.957899999999995</v>
      </c>
      <c r="I1007" s="14">
        <f>68.9248 * CHOOSE(CONTROL!$C$15, $E$9, 100%, $G$9) + CHOOSE(CONTROL!$C$38, 0.0347, 0)</f>
        <v>68.959500000000006</v>
      </c>
      <c r="J1007" s="44">
        <f>735.8299</f>
        <v>735.82989999999995</v>
      </c>
    </row>
    <row r="1008" spans="1:10" ht="15.75" x14ac:dyDescent="0.25">
      <c r="A1008" s="32">
        <v>71620</v>
      </c>
      <c r="B1008" s="14">
        <f>72.289 * CHOOSE(CONTROL!$C$15, $E$9, 100%, $G$9) + CHOOSE(CONTROL!$C$38, 0.0256, 0)</f>
        <v>72.314599999999999</v>
      </c>
      <c r="C1008" s="14">
        <f>68.4048 * CHOOSE(CONTROL!$C$15, $E$9, 100%, $G$9) + CHOOSE(CONTROL!$C$38, 0.0347, 0)</f>
        <v>68.439499999999995</v>
      </c>
      <c r="D1008" s="14">
        <f>68.397 * CHOOSE(CONTROL!$C$15, $E$9, 100%, $G$9) + CHOOSE(CONTROL!$C$38, 0.0347, 0)</f>
        <v>68.431700000000006</v>
      </c>
      <c r="E1008" s="46">
        <f>72.1327 * CHOOSE(CONTROL!$C$15, $E$9, 100%, $G$9) + CHOOSE(CONTROL!$C$38, 0.0347, 0)</f>
        <v>72.167400000000001</v>
      </c>
      <c r="F1008" s="45">
        <f>72.1327 * CHOOSE(CONTROL!$C$15, $E$9, 100%, $G$9) + CHOOSE(CONTROL!$C$38, 0.0256, 0)</f>
        <v>72.158299999999997</v>
      </c>
      <c r="G1008" s="14">
        <f>68.4033 * CHOOSE(CONTROL!$C$15, $E$9, 100%, $G$9) + CHOOSE(CONTROL!$C$38, 0.0347, 0)</f>
        <v>68.438000000000002</v>
      </c>
      <c r="H1008" s="14">
        <f>68.4033 * CHOOSE(CONTROL!$C$15, $E$9, 100%, $G$9) + CHOOSE(CONTROL!$C$38, 0.0347, 0)</f>
        <v>68.438000000000002</v>
      </c>
      <c r="I1008" s="14">
        <f>68.4048 * CHOOSE(CONTROL!$C$15, $E$9, 100%, $G$9) + CHOOSE(CONTROL!$C$38, 0.0347, 0)</f>
        <v>68.439499999999995</v>
      </c>
      <c r="J1008" s="44">
        <f>735.2987</f>
        <v>735.29870000000005</v>
      </c>
    </row>
    <row r="1009" spans="1:10" ht="15.75" x14ac:dyDescent="0.25">
      <c r="A1009" s="32">
        <v>71649</v>
      </c>
      <c r="B1009" s="14">
        <f>72.0897 * CHOOSE(CONTROL!$C$15, $E$9, 100%, $G$9) + CHOOSE(CONTROL!$C$38, 0.0256, 0)</f>
        <v>72.115299999999991</v>
      </c>
      <c r="C1009" s="14">
        <f>68.216 * CHOOSE(CONTROL!$C$15, $E$9, 100%, $G$9) + CHOOSE(CONTROL!$C$38, 0.0347, 0)</f>
        <v>68.250699999999995</v>
      </c>
      <c r="D1009" s="14">
        <f>68.2082 * CHOOSE(CONTROL!$C$15, $E$9, 100%, $G$9) + CHOOSE(CONTROL!$C$38, 0.0347, 0)</f>
        <v>68.242900000000006</v>
      </c>
      <c r="E1009" s="46">
        <f>71.9335 * CHOOSE(CONTROL!$C$15, $E$9, 100%, $G$9) + CHOOSE(CONTROL!$C$38, 0.0347, 0)</f>
        <v>71.968199999999996</v>
      </c>
      <c r="F1009" s="45">
        <f>71.9335 * CHOOSE(CONTROL!$C$15, $E$9, 100%, $G$9) + CHOOSE(CONTROL!$C$38, 0.0256, 0)</f>
        <v>71.959099999999992</v>
      </c>
      <c r="G1009" s="14">
        <f>68.2144 * CHOOSE(CONTROL!$C$15, $E$9, 100%, $G$9) + CHOOSE(CONTROL!$C$38, 0.0347, 0)</f>
        <v>68.249099999999999</v>
      </c>
      <c r="H1009" s="14">
        <f>68.2144 * CHOOSE(CONTROL!$C$15, $E$9, 100%, $G$9) + CHOOSE(CONTROL!$C$38, 0.0347, 0)</f>
        <v>68.249099999999999</v>
      </c>
      <c r="I1009" s="14">
        <f>68.216 * CHOOSE(CONTROL!$C$15, $E$9, 100%, $G$9) + CHOOSE(CONTROL!$C$38, 0.0347, 0)</f>
        <v>68.250699999999995</v>
      </c>
      <c r="J1009" s="44">
        <f>733.2548</f>
        <v>733.25480000000005</v>
      </c>
    </row>
    <row r="1010" spans="1:10" ht="15.75" x14ac:dyDescent="0.25">
      <c r="A1010" s="32">
        <v>71680</v>
      </c>
      <c r="B1010" s="14">
        <f>75.8568 * CHOOSE(CONTROL!$C$15, $E$9, 100%, $G$9) + CHOOSE(CONTROL!$C$38, 0.0256, 0)</f>
        <v>75.882400000000004</v>
      </c>
      <c r="C1010" s="14">
        <f>71.7871 * CHOOSE(CONTROL!$C$15, $E$9, 100%, $G$9) + CHOOSE(CONTROL!$C$38, 0.0347, 0)</f>
        <v>71.821799999999996</v>
      </c>
      <c r="D1010" s="14">
        <f>71.7793 * CHOOSE(CONTROL!$C$15, $E$9, 100%, $G$9) + CHOOSE(CONTROL!$C$38, 0.0347, 0)</f>
        <v>71.814000000000007</v>
      </c>
      <c r="E1010" s="46">
        <f>75.7005 * CHOOSE(CONTROL!$C$15, $E$9, 100%, $G$9) + CHOOSE(CONTROL!$C$38, 0.0347, 0)</f>
        <v>75.735200000000006</v>
      </c>
      <c r="F1010" s="45">
        <f>75.7005 * CHOOSE(CONTROL!$C$15, $E$9, 100%, $G$9) + CHOOSE(CONTROL!$C$38, 0.0256, 0)</f>
        <v>75.726100000000002</v>
      </c>
      <c r="G1010" s="14">
        <f>71.7855 * CHOOSE(CONTROL!$C$15, $E$9, 100%, $G$9) + CHOOSE(CONTROL!$C$38, 0.0347, 0)</f>
        <v>71.8202</v>
      </c>
      <c r="H1010" s="14">
        <f>71.7855 * CHOOSE(CONTROL!$C$15, $E$9, 100%, $G$9) + CHOOSE(CONTROL!$C$38, 0.0347, 0)</f>
        <v>71.8202</v>
      </c>
      <c r="I1010" s="14">
        <f>71.7871 * CHOOSE(CONTROL!$C$15, $E$9, 100%, $G$9) + CHOOSE(CONTROL!$C$38, 0.0347, 0)</f>
        <v>71.821799999999996</v>
      </c>
      <c r="J1010" s="44">
        <f>771.9016</f>
        <v>771.90160000000003</v>
      </c>
    </row>
    <row r="1011" spans="1:10" ht="15.75" x14ac:dyDescent="0.25">
      <c r="A1011" s="32">
        <v>71710</v>
      </c>
      <c r="B1011" s="14">
        <f>80.7417 * CHOOSE(CONTROL!$C$15, $E$9, 100%, $G$9) + CHOOSE(CONTROL!$C$38, 0.0256, 0)</f>
        <v>80.767299999999992</v>
      </c>
      <c r="C1011" s="14">
        <f>76.4179 * CHOOSE(CONTROL!$C$15, $E$9, 100%, $G$9) + CHOOSE(CONTROL!$C$38, 0.0347, 0)</f>
        <v>76.452600000000004</v>
      </c>
      <c r="D1011" s="14">
        <f>76.4101 * CHOOSE(CONTROL!$C$15, $E$9, 100%, $G$9) + CHOOSE(CONTROL!$C$38, 0.0347, 0)</f>
        <v>76.444800000000001</v>
      </c>
      <c r="E1011" s="46">
        <f>80.5854 * CHOOSE(CONTROL!$C$15, $E$9, 100%, $G$9) + CHOOSE(CONTROL!$C$38, 0.0347, 0)</f>
        <v>80.620100000000008</v>
      </c>
      <c r="F1011" s="45">
        <f>80.5854 * CHOOSE(CONTROL!$C$15, $E$9, 100%, $G$9) + CHOOSE(CONTROL!$C$38, 0.0256, 0)</f>
        <v>80.611000000000004</v>
      </c>
      <c r="G1011" s="14">
        <f>76.4163 * CHOOSE(CONTROL!$C$15, $E$9, 100%, $G$9) + CHOOSE(CONTROL!$C$38, 0.0347, 0)</f>
        <v>76.451000000000008</v>
      </c>
      <c r="H1011" s="14">
        <f>76.4163 * CHOOSE(CONTROL!$C$15, $E$9, 100%, $G$9) + CHOOSE(CONTROL!$C$38, 0.0347, 0)</f>
        <v>76.451000000000008</v>
      </c>
      <c r="I1011" s="14">
        <f>76.4179 * CHOOSE(CONTROL!$C$15, $E$9, 100%, $G$9) + CHOOSE(CONTROL!$C$38, 0.0347, 0)</f>
        <v>76.452600000000004</v>
      </c>
      <c r="J1011" s="44">
        <f>822.0172</f>
        <v>822.0172</v>
      </c>
    </row>
    <row r="1012" spans="1:10" ht="15.75" x14ac:dyDescent="0.25">
      <c r="A1012" s="32">
        <v>71741</v>
      </c>
      <c r="B1012" s="14">
        <f>83.4305 * CHOOSE(CONTROL!$C$15, $E$9, 100%, $G$9) + CHOOSE(CONTROL!$C$38, 0.0278, 0)</f>
        <v>83.458299999999994</v>
      </c>
      <c r="C1012" s="14">
        <f>78.9669 * CHOOSE(CONTROL!$C$15, $E$9, 100%, $G$9) + CHOOSE(CONTROL!$C$38, 0.0369, 0)</f>
        <v>79.003799999999998</v>
      </c>
      <c r="D1012" s="14">
        <f>78.9591 * CHOOSE(CONTROL!$C$15, $E$9, 100%, $G$9) + CHOOSE(CONTROL!$C$38, 0.0369, 0)</f>
        <v>78.996000000000009</v>
      </c>
      <c r="E1012" s="46">
        <f>83.2742 * CHOOSE(CONTROL!$C$15, $E$9, 100%, $G$9) + CHOOSE(CONTROL!$C$38, 0.0369, 0)</f>
        <v>83.311099999999996</v>
      </c>
      <c r="F1012" s="45">
        <f>83.2742 * CHOOSE(CONTROL!$C$15, $E$9, 100%, $G$9) + CHOOSE(CONTROL!$C$38, 0.0278, 0)</f>
        <v>83.301999999999992</v>
      </c>
      <c r="G1012" s="14">
        <f>78.9653 * CHOOSE(CONTROL!$C$15, $E$9, 100%, $G$9) + CHOOSE(CONTROL!$C$38, 0.0369, 0)</f>
        <v>79.002200000000002</v>
      </c>
      <c r="H1012" s="14">
        <f>78.9653 * CHOOSE(CONTROL!$C$15, $E$9, 100%, $G$9) + CHOOSE(CONTROL!$C$38, 0.0369, 0)</f>
        <v>79.002200000000002</v>
      </c>
      <c r="I1012" s="14">
        <f>78.9669 * CHOOSE(CONTROL!$C$15, $E$9, 100%, $G$9) + CHOOSE(CONTROL!$C$38, 0.0369, 0)</f>
        <v>79.003799999999998</v>
      </c>
      <c r="J1012" s="44">
        <f>849.6025</f>
        <v>849.60249999999996</v>
      </c>
    </row>
    <row r="1013" spans="1:10" ht="15.75" x14ac:dyDescent="0.25">
      <c r="A1013" s="32">
        <v>71771</v>
      </c>
      <c r="B1013" s="14">
        <f>84.6237 * CHOOSE(CONTROL!$C$15, $E$9, 100%, $G$9) + CHOOSE(CONTROL!$C$38, 0.0278, 0)</f>
        <v>84.651499999999999</v>
      </c>
      <c r="C1013" s="14">
        <f>80.0981 * CHOOSE(CONTROL!$C$15, $E$9, 100%, $G$9) + CHOOSE(CONTROL!$C$38, 0.0369, 0)</f>
        <v>80.135000000000005</v>
      </c>
      <c r="D1013" s="14">
        <f>80.0902 * CHOOSE(CONTROL!$C$15, $E$9, 100%, $G$9) + CHOOSE(CONTROL!$C$38, 0.0369, 0)</f>
        <v>80.127099999999999</v>
      </c>
      <c r="E1013" s="46">
        <f>84.4675 * CHOOSE(CONTROL!$C$15, $E$9, 100%, $G$9) + CHOOSE(CONTROL!$C$38, 0.0369, 0)</f>
        <v>84.504400000000004</v>
      </c>
      <c r="F1013" s="45">
        <f>84.4675 * CHOOSE(CONTROL!$C$15, $E$9, 100%, $G$9) + CHOOSE(CONTROL!$C$38, 0.0278, 0)</f>
        <v>84.4953</v>
      </c>
      <c r="G1013" s="14">
        <f>80.0965 * CHOOSE(CONTROL!$C$15, $E$9, 100%, $G$9) + CHOOSE(CONTROL!$C$38, 0.0369, 0)</f>
        <v>80.133400000000009</v>
      </c>
      <c r="H1013" s="14">
        <f>80.0965 * CHOOSE(CONTROL!$C$15, $E$9, 100%, $G$9) + CHOOSE(CONTROL!$C$38, 0.0369, 0)</f>
        <v>80.133400000000009</v>
      </c>
      <c r="I1013" s="14">
        <f>80.0981 * CHOOSE(CONTROL!$C$15, $E$9, 100%, $G$9) + CHOOSE(CONTROL!$C$38, 0.0369, 0)</f>
        <v>80.135000000000005</v>
      </c>
      <c r="J1013" s="44">
        <f>861.8443</f>
        <v>861.84429999999998</v>
      </c>
    </row>
    <row r="1014" spans="1:10" ht="15.75" x14ac:dyDescent="0.25">
      <c r="A1014" s="32">
        <v>71802</v>
      </c>
      <c r="B1014" s="14">
        <f>84.2309 * CHOOSE(CONTROL!$C$15, $E$9, 100%, $G$9) + CHOOSE(CONTROL!$C$38, 0.0278, 0)</f>
        <v>84.258700000000005</v>
      </c>
      <c r="C1014" s="14">
        <f>79.7256 * CHOOSE(CONTROL!$C$15, $E$9, 100%, $G$9) + CHOOSE(CONTROL!$C$38, 0.0369, 0)</f>
        <v>79.762500000000003</v>
      </c>
      <c r="D1014" s="14">
        <f>79.7178 * CHOOSE(CONTROL!$C$15, $E$9, 100%, $G$9) + CHOOSE(CONTROL!$C$38, 0.0369, 0)</f>
        <v>79.7547</v>
      </c>
      <c r="E1014" s="46">
        <f>84.0746 * CHOOSE(CONTROL!$C$15, $E$9, 100%, $G$9) + CHOOSE(CONTROL!$C$38, 0.0369, 0)</f>
        <v>84.111500000000007</v>
      </c>
      <c r="F1014" s="45">
        <f>84.0746 * CHOOSE(CONTROL!$C$15, $E$9, 100%, $G$9) + CHOOSE(CONTROL!$C$38, 0.0278, 0)</f>
        <v>84.102400000000003</v>
      </c>
      <c r="G1014" s="14">
        <f>79.7241 * CHOOSE(CONTROL!$C$15, $E$9, 100%, $G$9) + CHOOSE(CONTROL!$C$38, 0.0369, 0)</f>
        <v>79.76100000000001</v>
      </c>
      <c r="H1014" s="14">
        <f>79.7241 * CHOOSE(CONTROL!$C$15, $E$9, 100%, $G$9) + CHOOSE(CONTROL!$C$38, 0.0369, 0)</f>
        <v>79.76100000000001</v>
      </c>
      <c r="I1014" s="14">
        <f>79.7256 * CHOOSE(CONTROL!$C$15, $E$9, 100%, $G$9) + CHOOSE(CONTROL!$C$38, 0.0369, 0)</f>
        <v>79.762500000000003</v>
      </c>
      <c r="J1014" s="44">
        <f>857.8137</f>
        <v>857.81370000000004</v>
      </c>
    </row>
    <row r="1015" spans="1:10" ht="15.75" x14ac:dyDescent="0.25">
      <c r="A1015" s="32">
        <v>71833</v>
      </c>
      <c r="B1015" s="14">
        <f>82.2844 * CHOOSE(CONTROL!$C$15, $E$9, 100%, $G$9) + CHOOSE(CONTROL!$C$38, 0.0278, 0)</f>
        <v>82.312200000000004</v>
      </c>
      <c r="C1015" s="14">
        <f>77.8804 * CHOOSE(CONTROL!$C$15, $E$9, 100%, $G$9) + CHOOSE(CONTROL!$C$38, 0.0369, 0)</f>
        <v>77.917299999999997</v>
      </c>
      <c r="D1015" s="14">
        <f>77.8726 * CHOOSE(CONTROL!$C$15, $E$9, 100%, $G$9) + CHOOSE(CONTROL!$C$38, 0.0369, 0)</f>
        <v>77.909500000000008</v>
      </c>
      <c r="E1015" s="46">
        <f>82.1281 * CHOOSE(CONTROL!$C$15, $E$9, 100%, $G$9) + CHOOSE(CONTROL!$C$38, 0.0369, 0)</f>
        <v>82.165000000000006</v>
      </c>
      <c r="F1015" s="45">
        <f>82.1281 * CHOOSE(CONTROL!$C$15, $E$9, 100%, $G$9) + CHOOSE(CONTROL!$C$38, 0.0278, 0)</f>
        <v>82.155900000000003</v>
      </c>
      <c r="G1015" s="14">
        <f>77.8788 * CHOOSE(CONTROL!$C$15, $E$9, 100%, $G$9) + CHOOSE(CONTROL!$C$38, 0.0369, 0)</f>
        <v>77.915700000000001</v>
      </c>
      <c r="H1015" s="14">
        <f>77.8788 * CHOOSE(CONTROL!$C$15, $E$9, 100%, $G$9) + CHOOSE(CONTROL!$C$38, 0.0369, 0)</f>
        <v>77.915700000000001</v>
      </c>
      <c r="I1015" s="14">
        <f>77.8804 * CHOOSE(CONTROL!$C$15, $E$9, 100%, $G$9) + CHOOSE(CONTROL!$C$38, 0.0369, 0)</f>
        <v>77.917299999999997</v>
      </c>
      <c r="J1015" s="44">
        <f>837.8442</f>
        <v>837.8442</v>
      </c>
    </row>
    <row r="1016" spans="1:10" ht="15.75" x14ac:dyDescent="0.25">
      <c r="A1016" s="32">
        <v>71863</v>
      </c>
      <c r="B1016" s="14">
        <f>79.5699 * CHOOSE(CONTROL!$C$15, $E$9, 100%, $G$9) + CHOOSE(CONTROL!$C$38, 0.0278, 0)</f>
        <v>79.597700000000003</v>
      </c>
      <c r="C1016" s="14">
        <f>75.3071 * CHOOSE(CONTROL!$C$15, $E$9, 100%, $G$9) + CHOOSE(CONTROL!$C$38, 0.0369, 0)</f>
        <v>75.344000000000008</v>
      </c>
      <c r="D1016" s="14">
        <f>75.2993 * CHOOSE(CONTROL!$C$15, $E$9, 100%, $G$9) + CHOOSE(CONTROL!$C$38, 0.0369, 0)</f>
        <v>75.336200000000005</v>
      </c>
      <c r="E1016" s="46">
        <f>79.4137 * CHOOSE(CONTROL!$C$15, $E$9, 100%, $G$9) + CHOOSE(CONTROL!$C$38, 0.0369, 0)</f>
        <v>79.450600000000009</v>
      </c>
      <c r="F1016" s="45">
        <f>79.4137 * CHOOSE(CONTROL!$C$15, $E$9, 100%, $G$9) + CHOOSE(CONTROL!$C$38, 0.0278, 0)</f>
        <v>79.441500000000005</v>
      </c>
      <c r="G1016" s="14">
        <f>75.3055 * CHOOSE(CONTROL!$C$15, $E$9, 100%, $G$9) + CHOOSE(CONTROL!$C$38, 0.0369, 0)</f>
        <v>75.342399999999998</v>
      </c>
      <c r="H1016" s="14">
        <f>75.3055 * CHOOSE(CONTROL!$C$15, $E$9, 100%, $G$9) + CHOOSE(CONTROL!$C$38, 0.0369, 0)</f>
        <v>75.342399999999998</v>
      </c>
      <c r="I1016" s="14">
        <f>75.3071 * CHOOSE(CONTROL!$C$15, $E$9, 100%, $G$9) + CHOOSE(CONTROL!$C$38, 0.0369, 0)</f>
        <v>75.344000000000008</v>
      </c>
      <c r="J1016" s="44">
        <f>809.9957</f>
        <v>809.99570000000006</v>
      </c>
    </row>
    <row r="1017" spans="1:10" ht="15.75" x14ac:dyDescent="0.25">
      <c r="A1017" s="32">
        <v>71894</v>
      </c>
      <c r="B1017" s="14">
        <f>76.8396 * CHOOSE(CONTROL!$C$15, $E$9, 100%, $G$9) + CHOOSE(CONTROL!$C$38, 0.0256, 0)</f>
        <v>76.865200000000002</v>
      </c>
      <c r="C1017" s="14">
        <f>72.7188 * CHOOSE(CONTROL!$C$15, $E$9, 100%, $G$9) + CHOOSE(CONTROL!$C$38, 0.0347, 0)</f>
        <v>72.753500000000003</v>
      </c>
      <c r="D1017" s="14">
        <f>72.711 * CHOOSE(CONTROL!$C$15, $E$9, 100%, $G$9) + CHOOSE(CONTROL!$C$38, 0.0347, 0)</f>
        <v>72.745699999999999</v>
      </c>
      <c r="E1017" s="46">
        <f>76.6834 * CHOOSE(CONTROL!$C$15, $E$9, 100%, $G$9) + CHOOSE(CONTROL!$C$38, 0.0347, 0)</f>
        <v>76.718100000000007</v>
      </c>
      <c r="F1017" s="45">
        <f>76.6834 * CHOOSE(CONTROL!$C$15, $E$9, 100%, $G$9) + CHOOSE(CONTROL!$C$38, 0.0256, 0)</f>
        <v>76.709000000000003</v>
      </c>
      <c r="G1017" s="14">
        <f>72.7173 * CHOOSE(CONTROL!$C$15, $E$9, 100%, $G$9) + CHOOSE(CONTROL!$C$38, 0.0347, 0)</f>
        <v>72.751999999999995</v>
      </c>
      <c r="H1017" s="14">
        <f>72.7173 * CHOOSE(CONTROL!$C$15, $E$9, 100%, $G$9) + CHOOSE(CONTROL!$C$38, 0.0347, 0)</f>
        <v>72.751999999999995</v>
      </c>
      <c r="I1017" s="14">
        <f>72.7188 * CHOOSE(CONTROL!$C$15, $E$9, 100%, $G$9) + CHOOSE(CONTROL!$C$38, 0.0347, 0)</f>
        <v>72.753500000000003</v>
      </c>
      <c r="J1017" s="44">
        <f>781.9852</f>
        <v>781.98519999999996</v>
      </c>
    </row>
    <row r="1018" spans="1:10" ht="15.75" x14ac:dyDescent="0.25">
      <c r="A1018" s="32">
        <v>71924</v>
      </c>
      <c r="B1018" s="14">
        <f>76.2965 * CHOOSE(CONTROL!$C$15, $E$9, 100%, $G$9) + CHOOSE(CONTROL!$C$38, 0.0256, 0)</f>
        <v>76.322099999999992</v>
      </c>
      <c r="C1018" s="14">
        <f>72.204 * CHOOSE(CONTROL!$C$15, $E$9, 100%, $G$9) + CHOOSE(CONTROL!$C$38, 0.0347, 0)</f>
        <v>72.238699999999994</v>
      </c>
      <c r="D1018" s="14">
        <f>72.1962 * CHOOSE(CONTROL!$C$15, $E$9, 100%, $G$9) + CHOOSE(CONTROL!$C$38, 0.0347, 0)</f>
        <v>72.230900000000005</v>
      </c>
      <c r="E1018" s="46">
        <f>76.1403 * CHOOSE(CONTROL!$C$15, $E$9, 100%, $G$9) + CHOOSE(CONTROL!$C$38, 0.0347, 0)</f>
        <v>76.174999999999997</v>
      </c>
      <c r="F1018" s="45">
        <f>76.1403 * CHOOSE(CONTROL!$C$15, $E$9, 100%, $G$9) + CHOOSE(CONTROL!$C$38, 0.0256, 0)</f>
        <v>76.165899999999993</v>
      </c>
      <c r="G1018" s="14">
        <f>72.2024 * CHOOSE(CONTROL!$C$15, $E$9, 100%, $G$9) + CHOOSE(CONTROL!$C$38, 0.0347, 0)</f>
        <v>72.237099999999998</v>
      </c>
      <c r="H1018" s="14">
        <f>72.2024 * CHOOSE(CONTROL!$C$15, $E$9, 100%, $G$9) + CHOOSE(CONTROL!$C$38, 0.0347, 0)</f>
        <v>72.237099999999998</v>
      </c>
      <c r="I1018" s="14">
        <f>72.204 * CHOOSE(CONTROL!$C$15, $E$9, 100%, $G$9) + CHOOSE(CONTROL!$C$38, 0.0347, 0)</f>
        <v>72.238699999999994</v>
      </c>
      <c r="J1018" s="44">
        <f>776.4134</f>
        <v>776.41340000000002</v>
      </c>
    </row>
    <row r="1019" spans="1:10" ht="15.75" x14ac:dyDescent="0.25">
      <c r="A1019" s="32">
        <v>71955</v>
      </c>
      <c r="B1019" s="14">
        <f>74.0507 * CHOOSE(CONTROL!$C$15, $E$9, 100%, $G$9) + CHOOSE(CONTROL!$C$38, 0.0256, 0)</f>
        <v>74.076300000000003</v>
      </c>
      <c r="C1019" s="14">
        <f>70.075 * CHOOSE(CONTROL!$C$15, $E$9, 100%, $G$9) + CHOOSE(CONTROL!$C$38, 0.0347, 0)</f>
        <v>70.109700000000004</v>
      </c>
      <c r="D1019" s="14">
        <f>70.0672 * CHOOSE(CONTROL!$C$15, $E$9, 100%, $G$9) + CHOOSE(CONTROL!$C$38, 0.0347, 0)</f>
        <v>70.101900000000001</v>
      </c>
      <c r="E1019" s="46">
        <f>73.8945 * CHOOSE(CONTROL!$C$15, $E$9, 100%, $G$9) + CHOOSE(CONTROL!$C$38, 0.0347, 0)</f>
        <v>73.929199999999994</v>
      </c>
      <c r="F1019" s="45">
        <f>73.8945 * CHOOSE(CONTROL!$C$15, $E$9, 100%, $G$9) + CHOOSE(CONTROL!$C$38, 0.0256, 0)</f>
        <v>73.920099999999991</v>
      </c>
      <c r="G1019" s="14">
        <f>70.0734 * CHOOSE(CONTROL!$C$15, $E$9, 100%, $G$9) + CHOOSE(CONTROL!$C$38, 0.0347, 0)</f>
        <v>70.108100000000007</v>
      </c>
      <c r="H1019" s="14">
        <f>70.0734 * CHOOSE(CONTROL!$C$15, $E$9, 100%, $G$9) + CHOOSE(CONTROL!$C$38, 0.0347, 0)</f>
        <v>70.108100000000007</v>
      </c>
      <c r="I1019" s="14">
        <f>70.075 * CHOOSE(CONTROL!$C$15, $E$9, 100%, $G$9) + CHOOSE(CONTROL!$C$38, 0.0347, 0)</f>
        <v>70.109700000000004</v>
      </c>
      <c r="J1019" s="44">
        <f>753.3732</f>
        <v>753.3732</v>
      </c>
    </row>
    <row r="1020" spans="1:10" ht="15.75" x14ac:dyDescent="0.25">
      <c r="A1020" s="32">
        <v>71986</v>
      </c>
      <c r="B1020" s="14">
        <f>73.493 * CHOOSE(CONTROL!$C$15, $E$9, 100%, $G$9) + CHOOSE(CONTROL!$C$38, 0.0256, 0)</f>
        <v>73.518599999999992</v>
      </c>
      <c r="C1020" s="14">
        <f>69.5463 * CHOOSE(CONTROL!$C$15, $E$9, 100%, $G$9) + CHOOSE(CONTROL!$C$38, 0.0347, 0)</f>
        <v>69.581000000000003</v>
      </c>
      <c r="D1020" s="14">
        <f>69.5385 * CHOOSE(CONTROL!$C$15, $E$9, 100%, $G$9) + CHOOSE(CONTROL!$C$38, 0.0347, 0)</f>
        <v>69.5732</v>
      </c>
      <c r="E1020" s="46">
        <f>73.3368 * CHOOSE(CONTROL!$C$15, $E$9, 100%, $G$9) + CHOOSE(CONTROL!$C$38, 0.0347, 0)</f>
        <v>73.371499999999997</v>
      </c>
      <c r="F1020" s="45">
        <f>73.3368 * CHOOSE(CONTROL!$C$15, $E$9, 100%, $G$9) + CHOOSE(CONTROL!$C$38, 0.0256, 0)</f>
        <v>73.362399999999994</v>
      </c>
      <c r="G1020" s="14">
        <f>69.5447 * CHOOSE(CONTROL!$C$15, $E$9, 100%, $G$9) + CHOOSE(CONTROL!$C$38, 0.0347, 0)</f>
        <v>69.579400000000007</v>
      </c>
      <c r="H1020" s="14">
        <f>69.5447 * CHOOSE(CONTROL!$C$15, $E$9, 100%, $G$9) + CHOOSE(CONTROL!$C$38, 0.0347, 0)</f>
        <v>69.579400000000007</v>
      </c>
      <c r="I1020" s="14">
        <f>69.5463 * CHOOSE(CONTROL!$C$15, $E$9, 100%, $G$9) + CHOOSE(CONTROL!$C$38, 0.0347, 0)</f>
        <v>69.581000000000003</v>
      </c>
      <c r="J1020" s="44">
        <f>752.8293</f>
        <v>752.82929999999999</v>
      </c>
    </row>
    <row r="1021" spans="1:10" ht="15.75" x14ac:dyDescent="0.25">
      <c r="A1021" s="32">
        <v>72014</v>
      </c>
      <c r="B1021" s="14">
        <f>73.2905 * CHOOSE(CONTROL!$C$15, $E$9, 100%, $G$9) + CHOOSE(CONTROL!$C$38, 0.0256, 0)</f>
        <v>73.316099999999992</v>
      </c>
      <c r="C1021" s="14">
        <f>69.3542 * CHOOSE(CONTROL!$C$15, $E$9, 100%, $G$9) + CHOOSE(CONTROL!$C$38, 0.0347, 0)</f>
        <v>69.388900000000007</v>
      </c>
      <c r="D1021" s="14">
        <f>69.3464 * CHOOSE(CONTROL!$C$15, $E$9, 100%, $G$9) + CHOOSE(CONTROL!$C$38, 0.0347, 0)</f>
        <v>69.381100000000004</v>
      </c>
      <c r="E1021" s="46">
        <f>73.1342 * CHOOSE(CONTROL!$C$15, $E$9, 100%, $G$9) + CHOOSE(CONTROL!$C$38, 0.0347, 0)</f>
        <v>73.168900000000008</v>
      </c>
      <c r="F1021" s="45">
        <f>73.1342 * CHOOSE(CONTROL!$C$15, $E$9, 100%, $G$9) + CHOOSE(CONTROL!$C$38, 0.0256, 0)</f>
        <v>73.159800000000004</v>
      </c>
      <c r="G1021" s="14">
        <f>69.3527 * CHOOSE(CONTROL!$C$15, $E$9, 100%, $G$9) + CHOOSE(CONTROL!$C$38, 0.0347, 0)</f>
        <v>69.3874</v>
      </c>
      <c r="H1021" s="14">
        <f>69.3527 * CHOOSE(CONTROL!$C$15, $E$9, 100%, $G$9) + CHOOSE(CONTROL!$C$38, 0.0347, 0)</f>
        <v>69.3874</v>
      </c>
      <c r="I1021" s="14">
        <f>69.3542 * CHOOSE(CONTROL!$C$15, $E$9, 100%, $G$9) + CHOOSE(CONTROL!$C$38, 0.0347, 0)</f>
        <v>69.388900000000007</v>
      </c>
      <c r="J1021" s="44">
        <f>750.7367</f>
        <v>750.73670000000004</v>
      </c>
    </row>
    <row r="1022" spans="1:10" ht="15.75" x14ac:dyDescent="0.25">
      <c r="A1022" s="32">
        <v>72045</v>
      </c>
      <c r="B1022" s="14">
        <f>77.1208 * CHOOSE(CONTROL!$C$15, $E$9, 100%, $G$9) + CHOOSE(CONTROL!$C$38, 0.0256, 0)</f>
        <v>77.1464</v>
      </c>
      <c r="C1022" s="14">
        <f>72.9853 * CHOOSE(CONTROL!$C$15, $E$9, 100%, $G$9) + CHOOSE(CONTROL!$C$38, 0.0347, 0)</f>
        <v>73.02</v>
      </c>
      <c r="D1022" s="14">
        <f>72.9775 * CHOOSE(CONTROL!$C$15, $E$9, 100%, $G$9) + CHOOSE(CONTROL!$C$38, 0.0347, 0)</f>
        <v>73.012200000000007</v>
      </c>
      <c r="E1022" s="46">
        <f>76.9645 * CHOOSE(CONTROL!$C$15, $E$9, 100%, $G$9) + CHOOSE(CONTROL!$C$38, 0.0347, 0)</f>
        <v>76.999200000000002</v>
      </c>
      <c r="F1022" s="45">
        <f>76.9645 * CHOOSE(CONTROL!$C$15, $E$9, 100%, $G$9) + CHOOSE(CONTROL!$C$38, 0.0256, 0)</f>
        <v>76.990099999999998</v>
      </c>
      <c r="G1022" s="14">
        <f>72.9838 * CHOOSE(CONTROL!$C$15, $E$9, 100%, $G$9) + CHOOSE(CONTROL!$C$38, 0.0347, 0)</f>
        <v>73.018500000000003</v>
      </c>
      <c r="H1022" s="14">
        <f>72.9838 * CHOOSE(CONTROL!$C$15, $E$9, 100%, $G$9) + CHOOSE(CONTROL!$C$38, 0.0347, 0)</f>
        <v>73.018500000000003</v>
      </c>
      <c r="I1022" s="14">
        <f>72.9853 * CHOOSE(CONTROL!$C$15, $E$9, 100%, $G$9) + CHOOSE(CONTROL!$C$38, 0.0347, 0)</f>
        <v>73.02</v>
      </c>
      <c r="J1022" s="44">
        <f>790.3049</f>
        <v>790.30489999999998</v>
      </c>
    </row>
    <row r="1023" spans="1:10" ht="15.75" x14ac:dyDescent="0.25">
      <c r="A1023" s="32">
        <v>72075</v>
      </c>
      <c r="B1023" s="14">
        <f>82.0877 * CHOOSE(CONTROL!$C$15, $E$9, 100%, $G$9) + CHOOSE(CONTROL!$C$38, 0.0256, 0)</f>
        <v>82.113299999999995</v>
      </c>
      <c r="C1023" s="14">
        <f>77.694 * CHOOSE(CONTROL!$C$15, $E$9, 100%, $G$9) + CHOOSE(CONTROL!$C$38, 0.0347, 0)</f>
        <v>77.728700000000003</v>
      </c>
      <c r="D1023" s="14">
        <f>77.6861 * CHOOSE(CONTROL!$C$15, $E$9, 100%, $G$9) + CHOOSE(CONTROL!$C$38, 0.0347, 0)</f>
        <v>77.720799999999997</v>
      </c>
      <c r="E1023" s="46">
        <f>81.9315 * CHOOSE(CONTROL!$C$15, $E$9, 100%, $G$9) + CHOOSE(CONTROL!$C$38, 0.0347, 0)</f>
        <v>81.966200000000001</v>
      </c>
      <c r="F1023" s="45">
        <f>81.9315 * CHOOSE(CONTROL!$C$15, $E$9, 100%, $G$9) + CHOOSE(CONTROL!$C$38, 0.0256, 0)</f>
        <v>81.957099999999997</v>
      </c>
      <c r="G1023" s="14">
        <f>77.6924 * CHOOSE(CONTROL!$C$15, $E$9, 100%, $G$9) + CHOOSE(CONTROL!$C$38, 0.0347, 0)</f>
        <v>77.727100000000007</v>
      </c>
      <c r="H1023" s="14">
        <f>77.6924 * CHOOSE(CONTROL!$C$15, $E$9, 100%, $G$9) + CHOOSE(CONTROL!$C$38, 0.0347, 0)</f>
        <v>77.727100000000007</v>
      </c>
      <c r="I1023" s="14">
        <f>77.694 * CHOOSE(CONTROL!$C$15, $E$9, 100%, $G$9) + CHOOSE(CONTROL!$C$38, 0.0347, 0)</f>
        <v>77.728700000000003</v>
      </c>
      <c r="J1023" s="44">
        <f>841.6153</f>
        <v>841.61530000000005</v>
      </c>
    </row>
    <row r="1024" spans="1:10" ht="15.75" x14ac:dyDescent="0.25">
      <c r="A1024" s="32">
        <v>72106</v>
      </c>
      <c r="B1024" s="14">
        <f>84.8217 * CHOOSE(CONTROL!$C$15, $E$9, 100%, $G$9) + CHOOSE(CONTROL!$C$38, 0.0278, 0)</f>
        <v>84.849500000000006</v>
      </c>
      <c r="C1024" s="14">
        <f>80.2857 * CHOOSE(CONTROL!$C$15, $E$9, 100%, $G$9) + CHOOSE(CONTROL!$C$38, 0.0369, 0)</f>
        <v>80.322600000000008</v>
      </c>
      <c r="D1024" s="14">
        <f>80.2779 * CHOOSE(CONTROL!$C$15, $E$9, 100%, $G$9) + CHOOSE(CONTROL!$C$38, 0.0369, 0)</f>
        <v>80.314800000000005</v>
      </c>
      <c r="E1024" s="46">
        <f>84.6655 * CHOOSE(CONTROL!$C$15, $E$9, 100%, $G$9) + CHOOSE(CONTROL!$C$38, 0.0369, 0)</f>
        <v>84.702399999999997</v>
      </c>
      <c r="F1024" s="45">
        <f>84.6655 * CHOOSE(CONTROL!$C$15, $E$9, 100%, $G$9) + CHOOSE(CONTROL!$C$38, 0.0278, 0)</f>
        <v>84.693299999999994</v>
      </c>
      <c r="G1024" s="14">
        <f>80.2842 * CHOOSE(CONTROL!$C$15, $E$9, 100%, $G$9) + CHOOSE(CONTROL!$C$38, 0.0369, 0)</f>
        <v>80.321100000000001</v>
      </c>
      <c r="H1024" s="14">
        <f>80.2842 * CHOOSE(CONTROL!$C$15, $E$9, 100%, $G$9) + CHOOSE(CONTROL!$C$38, 0.0369, 0)</f>
        <v>80.321100000000001</v>
      </c>
      <c r="I1024" s="14">
        <f>80.2857 * CHOOSE(CONTROL!$C$15, $E$9, 100%, $G$9) + CHOOSE(CONTROL!$C$38, 0.0369, 0)</f>
        <v>80.322600000000008</v>
      </c>
      <c r="J1024" s="44">
        <f>869.8583</f>
        <v>869.85829999999999</v>
      </c>
    </row>
    <row r="1025" spans="1:10" ht="15.75" x14ac:dyDescent="0.25">
      <c r="A1025" s="32">
        <v>72136</v>
      </c>
      <c r="B1025" s="14">
        <f>86.035 * CHOOSE(CONTROL!$C$15, $E$9, 100%, $G$9) + CHOOSE(CONTROL!$C$38, 0.0278, 0)</f>
        <v>86.062799999999996</v>
      </c>
      <c r="C1025" s="14">
        <f>81.4359 * CHOOSE(CONTROL!$C$15, $E$9, 100%, $G$9) + CHOOSE(CONTROL!$C$38, 0.0369, 0)</f>
        <v>81.472800000000007</v>
      </c>
      <c r="D1025" s="14">
        <f>81.4281 * CHOOSE(CONTROL!$C$15, $E$9, 100%, $G$9) + CHOOSE(CONTROL!$C$38, 0.0369, 0)</f>
        <v>81.465000000000003</v>
      </c>
      <c r="E1025" s="46">
        <f>85.8788 * CHOOSE(CONTROL!$C$15, $E$9, 100%, $G$9) + CHOOSE(CONTROL!$C$38, 0.0369, 0)</f>
        <v>85.915700000000001</v>
      </c>
      <c r="F1025" s="45">
        <f>85.8788 * CHOOSE(CONTROL!$C$15, $E$9, 100%, $G$9) + CHOOSE(CONTROL!$C$38, 0.0278, 0)</f>
        <v>85.906599999999997</v>
      </c>
      <c r="G1025" s="14">
        <f>81.4344 * CHOOSE(CONTROL!$C$15, $E$9, 100%, $G$9) + CHOOSE(CONTROL!$C$38, 0.0369, 0)</f>
        <v>81.471299999999999</v>
      </c>
      <c r="H1025" s="14">
        <f>81.4344 * CHOOSE(CONTROL!$C$15, $E$9, 100%, $G$9) + CHOOSE(CONTROL!$C$38, 0.0369, 0)</f>
        <v>81.471299999999999</v>
      </c>
      <c r="I1025" s="14">
        <f>81.4359 * CHOOSE(CONTROL!$C$15, $E$9, 100%, $G$9) + CHOOSE(CONTROL!$C$38, 0.0369, 0)</f>
        <v>81.472800000000007</v>
      </c>
      <c r="J1025" s="44">
        <f>882.392</f>
        <v>882.39200000000005</v>
      </c>
    </row>
    <row r="1026" spans="1:10" ht="15.75" x14ac:dyDescent="0.25">
      <c r="A1026" s="32">
        <v>72167</v>
      </c>
      <c r="B1026" s="14">
        <f>85.6356 * CHOOSE(CONTROL!$C$15, $E$9, 100%, $G$9) + CHOOSE(CONTROL!$C$38, 0.0278, 0)</f>
        <v>85.663399999999996</v>
      </c>
      <c r="C1026" s="14">
        <f>81.0572 * CHOOSE(CONTROL!$C$15, $E$9, 100%, $G$9) + CHOOSE(CONTROL!$C$38, 0.0369, 0)</f>
        <v>81.094099999999997</v>
      </c>
      <c r="D1026" s="14">
        <f>81.0494 * CHOOSE(CONTROL!$C$15, $E$9, 100%, $G$9) + CHOOSE(CONTROL!$C$38, 0.0369, 0)</f>
        <v>81.086300000000008</v>
      </c>
      <c r="E1026" s="46">
        <f>85.4793 * CHOOSE(CONTROL!$C$15, $E$9, 100%, $G$9) + CHOOSE(CONTROL!$C$38, 0.0369, 0)</f>
        <v>85.516199999999998</v>
      </c>
      <c r="F1026" s="45">
        <f>85.4793 * CHOOSE(CONTROL!$C$15, $E$9, 100%, $G$9) + CHOOSE(CONTROL!$C$38, 0.0278, 0)</f>
        <v>85.507099999999994</v>
      </c>
      <c r="G1026" s="14">
        <f>81.0557 * CHOOSE(CONTROL!$C$15, $E$9, 100%, $G$9) + CHOOSE(CONTROL!$C$38, 0.0369, 0)</f>
        <v>81.092600000000004</v>
      </c>
      <c r="H1026" s="14">
        <f>81.0557 * CHOOSE(CONTROL!$C$15, $E$9, 100%, $G$9) + CHOOSE(CONTROL!$C$38, 0.0369, 0)</f>
        <v>81.092600000000004</v>
      </c>
      <c r="I1026" s="14">
        <f>81.0572 * CHOOSE(CONTROL!$C$15, $E$9, 100%, $G$9) + CHOOSE(CONTROL!$C$38, 0.0369, 0)</f>
        <v>81.094099999999997</v>
      </c>
      <c r="J1026" s="44">
        <f>878.2653</f>
        <v>878.26530000000002</v>
      </c>
    </row>
    <row r="1027" spans="1:10" ht="15.75" x14ac:dyDescent="0.25">
      <c r="A1027" s="32">
        <v>72198</v>
      </c>
      <c r="B1027" s="14">
        <f>83.6564 * CHOOSE(CONTROL!$C$15, $E$9, 100%, $G$9) + CHOOSE(CONTROL!$C$38, 0.0278, 0)</f>
        <v>83.684200000000004</v>
      </c>
      <c r="C1027" s="14">
        <f>79.181 * CHOOSE(CONTROL!$C$15, $E$9, 100%, $G$9) + CHOOSE(CONTROL!$C$38, 0.0369, 0)</f>
        <v>79.2179</v>
      </c>
      <c r="D1027" s="14">
        <f>79.1732 * CHOOSE(CONTROL!$C$15, $E$9, 100%, $G$9) + CHOOSE(CONTROL!$C$38, 0.0369, 0)</f>
        <v>79.210099999999997</v>
      </c>
      <c r="E1027" s="46">
        <f>83.5001 * CHOOSE(CONTROL!$C$15, $E$9, 100%, $G$9) + CHOOSE(CONTROL!$C$38, 0.0369, 0)</f>
        <v>83.537000000000006</v>
      </c>
      <c r="F1027" s="45">
        <f>83.5001 * CHOOSE(CONTROL!$C$15, $E$9, 100%, $G$9) + CHOOSE(CONTROL!$C$38, 0.0278, 0)</f>
        <v>83.527900000000002</v>
      </c>
      <c r="G1027" s="14">
        <f>79.1794 * CHOOSE(CONTROL!$C$15, $E$9, 100%, $G$9) + CHOOSE(CONTROL!$C$38, 0.0369, 0)</f>
        <v>79.216300000000004</v>
      </c>
      <c r="H1027" s="14">
        <f>79.1794 * CHOOSE(CONTROL!$C$15, $E$9, 100%, $G$9) + CHOOSE(CONTROL!$C$38, 0.0369, 0)</f>
        <v>79.216300000000004</v>
      </c>
      <c r="I1027" s="14">
        <f>79.181 * CHOOSE(CONTROL!$C$15, $E$9, 100%, $G$9) + CHOOSE(CONTROL!$C$38, 0.0369, 0)</f>
        <v>79.2179</v>
      </c>
      <c r="J1027" s="44">
        <f>857.8196</f>
        <v>857.81960000000004</v>
      </c>
    </row>
    <row r="1028" spans="1:10" ht="15.75" x14ac:dyDescent="0.25">
      <c r="A1028" s="32">
        <v>72228</v>
      </c>
      <c r="B1028" s="14">
        <f>80.8963 * CHOOSE(CONTROL!$C$15, $E$9, 100%, $G$9) + CHOOSE(CONTROL!$C$38, 0.0278, 0)</f>
        <v>80.924099999999996</v>
      </c>
      <c r="C1028" s="14">
        <f>76.5645 * CHOOSE(CONTROL!$C$15, $E$9, 100%, $G$9) + CHOOSE(CONTROL!$C$38, 0.0369, 0)</f>
        <v>76.601399999999998</v>
      </c>
      <c r="D1028" s="14">
        <f>76.5567 * CHOOSE(CONTROL!$C$15, $E$9, 100%, $G$9) + CHOOSE(CONTROL!$C$38, 0.0369, 0)</f>
        <v>76.593600000000009</v>
      </c>
      <c r="E1028" s="46">
        <f>80.74 * CHOOSE(CONTROL!$C$15, $E$9, 100%, $G$9) + CHOOSE(CONTROL!$C$38, 0.0369, 0)</f>
        <v>80.776899999999998</v>
      </c>
      <c r="F1028" s="45">
        <f>80.74 * CHOOSE(CONTROL!$C$15, $E$9, 100%, $G$9) + CHOOSE(CONTROL!$C$38, 0.0278, 0)</f>
        <v>80.767799999999994</v>
      </c>
      <c r="G1028" s="14">
        <f>76.5629 * CHOOSE(CONTROL!$C$15, $E$9, 100%, $G$9) + CHOOSE(CONTROL!$C$38, 0.0369, 0)</f>
        <v>76.599800000000002</v>
      </c>
      <c r="H1028" s="14">
        <f>76.5629 * CHOOSE(CONTROL!$C$15, $E$9, 100%, $G$9) + CHOOSE(CONTROL!$C$38, 0.0369, 0)</f>
        <v>76.599800000000002</v>
      </c>
      <c r="I1028" s="14">
        <f>76.5645 * CHOOSE(CONTROL!$C$15, $E$9, 100%, $G$9) + CHOOSE(CONTROL!$C$38, 0.0369, 0)</f>
        <v>76.601399999999998</v>
      </c>
      <c r="J1028" s="44">
        <f>829.3072</f>
        <v>829.30719999999997</v>
      </c>
    </row>
    <row r="1029" spans="1:10" ht="15.75" x14ac:dyDescent="0.25">
      <c r="A1029" s="32">
        <v>72259</v>
      </c>
      <c r="B1029" s="14">
        <f>78.1202 * CHOOSE(CONTROL!$C$15, $E$9, 100%, $G$9) + CHOOSE(CONTROL!$C$38, 0.0256, 0)</f>
        <v>78.145799999999994</v>
      </c>
      <c r="C1029" s="14">
        <f>73.9327 * CHOOSE(CONTROL!$C$15, $E$9, 100%, $G$9) + CHOOSE(CONTROL!$C$38, 0.0347, 0)</f>
        <v>73.967399999999998</v>
      </c>
      <c r="D1029" s="14">
        <f>73.9249 * CHOOSE(CONTROL!$C$15, $E$9, 100%, $G$9) + CHOOSE(CONTROL!$C$38, 0.0347, 0)</f>
        <v>73.959599999999995</v>
      </c>
      <c r="E1029" s="46">
        <f>77.9639 * CHOOSE(CONTROL!$C$15, $E$9, 100%, $G$9) + CHOOSE(CONTROL!$C$38, 0.0347, 0)</f>
        <v>77.998599999999996</v>
      </c>
      <c r="F1029" s="45">
        <f>77.9639 * CHOOSE(CONTROL!$C$15, $E$9, 100%, $G$9) + CHOOSE(CONTROL!$C$38, 0.0256, 0)</f>
        <v>77.989499999999992</v>
      </c>
      <c r="G1029" s="14">
        <f>73.9312 * CHOOSE(CONTROL!$C$15, $E$9, 100%, $G$9) + CHOOSE(CONTROL!$C$38, 0.0347, 0)</f>
        <v>73.965900000000005</v>
      </c>
      <c r="H1029" s="14">
        <f>73.9312 * CHOOSE(CONTROL!$C$15, $E$9, 100%, $G$9) + CHOOSE(CONTROL!$C$38, 0.0347, 0)</f>
        <v>73.965900000000005</v>
      </c>
      <c r="I1029" s="14">
        <f>73.9327 * CHOOSE(CONTROL!$C$15, $E$9, 100%, $G$9) + CHOOSE(CONTROL!$C$38, 0.0347, 0)</f>
        <v>73.967399999999998</v>
      </c>
      <c r="J1029" s="44">
        <f>800.6289</f>
        <v>800.62890000000004</v>
      </c>
    </row>
    <row r="1030" spans="1:10" ht="15.75" x14ac:dyDescent="0.25">
      <c r="A1030" s="32">
        <v>72289</v>
      </c>
      <c r="B1030" s="14">
        <f>77.5679 * CHOOSE(CONTROL!$C$15, $E$9, 100%, $G$9) + CHOOSE(CONTROL!$C$38, 0.0256, 0)</f>
        <v>77.593499999999992</v>
      </c>
      <c r="C1030" s="14">
        <f>73.4092 * CHOOSE(CONTROL!$C$15, $E$9, 100%, $G$9) + CHOOSE(CONTROL!$C$38, 0.0347, 0)</f>
        <v>73.443899999999999</v>
      </c>
      <c r="D1030" s="14">
        <f>73.4014 * CHOOSE(CONTROL!$C$15, $E$9, 100%, $G$9) + CHOOSE(CONTROL!$C$38, 0.0347, 0)</f>
        <v>73.436099999999996</v>
      </c>
      <c r="E1030" s="46">
        <f>77.4117 * CHOOSE(CONTROL!$C$15, $E$9, 100%, $G$9) + CHOOSE(CONTROL!$C$38, 0.0347, 0)</f>
        <v>77.446399999999997</v>
      </c>
      <c r="F1030" s="45">
        <f>77.4117 * CHOOSE(CONTROL!$C$15, $E$9, 100%, $G$9) + CHOOSE(CONTROL!$C$38, 0.0256, 0)</f>
        <v>77.437299999999993</v>
      </c>
      <c r="G1030" s="14">
        <f>73.4077 * CHOOSE(CONTROL!$C$15, $E$9, 100%, $G$9) + CHOOSE(CONTROL!$C$38, 0.0347, 0)</f>
        <v>73.442400000000006</v>
      </c>
      <c r="H1030" s="14">
        <f>73.4077 * CHOOSE(CONTROL!$C$15, $E$9, 100%, $G$9) + CHOOSE(CONTROL!$C$38, 0.0347, 0)</f>
        <v>73.442400000000006</v>
      </c>
      <c r="I1030" s="14">
        <f>73.4092 * CHOOSE(CONTROL!$C$15, $E$9, 100%, $G$9) + CHOOSE(CONTROL!$C$38, 0.0347, 0)</f>
        <v>73.443899999999999</v>
      </c>
      <c r="J1030" s="44">
        <f>794.9242</f>
        <v>794.92420000000004</v>
      </c>
    </row>
    <row r="1031" spans="1:10" ht="15.75" x14ac:dyDescent="0.25">
      <c r="A1031" s="32">
        <v>72320</v>
      </c>
      <c r="B1031" s="14">
        <f>75.2844 * CHOOSE(CONTROL!$C$15, $E$9, 100%, $G$9) + CHOOSE(CONTROL!$C$38, 0.0256, 0)</f>
        <v>75.31</v>
      </c>
      <c r="C1031" s="14">
        <f>71.2445 * CHOOSE(CONTROL!$C$15, $E$9, 100%, $G$9) + CHOOSE(CONTROL!$C$38, 0.0347, 0)</f>
        <v>71.279200000000003</v>
      </c>
      <c r="D1031" s="14">
        <f>71.2367 * CHOOSE(CONTROL!$C$15, $E$9, 100%, $G$9) + CHOOSE(CONTROL!$C$38, 0.0347, 0)</f>
        <v>71.2714</v>
      </c>
      <c r="E1031" s="46">
        <f>75.1282 * CHOOSE(CONTROL!$C$15, $E$9, 100%, $G$9) + CHOOSE(CONTROL!$C$38, 0.0347, 0)</f>
        <v>75.162900000000008</v>
      </c>
      <c r="F1031" s="45">
        <f>75.1282 * CHOOSE(CONTROL!$C$15, $E$9, 100%, $G$9) + CHOOSE(CONTROL!$C$38, 0.0256, 0)</f>
        <v>75.153800000000004</v>
      </c>
      <c r="G1031" s="14">
        <f>71.2429 * CHOOSE(CONTROL!$C$15, $E$9, 100%, $G$9) + CHOOSE(CONTROL!$C$38, 0.0347, 0)</f>
        <v>71.277600000000007</v>
      </c>
      <c r="H1031" s="14">
        <f>71.2429 * CHOOSE(CONTROL!$C$15, $E$9, 100%, $G$9) + CHOOSE(CONTROL!$C$38, 0.0347, 0)</f>
        <v>71.277600000000007</v>
      </c>
      <c r="I1031" s="14">
        <f>71.2445 * CHOOSE(CONTROL!$C$15, $E$9, 100%, $G$9) + CHOOSE(CONTROL!$C$38, 0.0347, 0)</f>
        <v>71.279200000000003</v>
      </c>
      <c r="J1031" s="44">
        <f>771.3348</f>
        <v>771.33479999999997</v>
      </c>
    </row>
    <row r="1032" spans="1:10" ht="15.75" x14ac:dyDescent="0.25">
      <c r="A1032" s="32">
        <v>72351</v>
      </c>
      <c r="B1032" s="14">
        <f>74.7173 * CHOOSE(CONTROL!$C$15, $E$9, 100%, $G$9) + CHOOSE(CONTROL!$C$38, 0.0256, 0)</f>
        <v>74.742899999999992</v>
      </c>
      <c r="C1032" s="14">
        <f>70.7069 * CHOOSE(CONTROL!$C$15, $E$9, 100%, $G$9) + CHOOSE(CONTROL!$C$38, 0.0347, 0)</f>
        <v>70.741600000000005</v>
      </c>
      <c r="D1032" s="14">
        <f>70.6991 * CHOOSE(CONTROL!$C$15, $E$9, 100%, $G$9) + CHOOSE(CONTROL!$C$38, 0.0347, 0)</f>
        <v>70.733800000000002</v>
      </c>
      <c r="E1032" s="46">
        <f>74.5611 * CHOOSE(CONTROL!$C$15, $E$9, 100%, $G$9) + CHOOSE(CONTROL!$C$38, 0.0347, 0)</f>
        <v>74.595799999999997</v>
      </c>
      <c r="F1032" s="45">
        <f>74.5611 * CHOOSE(CONTROL!$C$15, $E$9, 100%, $G$9) + CHOOSE(CONTROL!$C$38, 0.0256, 0)</f>
        <v>74.586699999999993</v>
      </c>
      <c r="G1032" s="14">
        <f>70.7053 * CHOOSE(CONTROL!$C$15, $E$9, 100%, $G$9) + CHOOSE(CONTROL!$C$38, 0.0347, 0)</f>
        <v>70.739999999999995</v>
      </c>
      <c r="H1032" s="14">
        <f>70.7053 * CHOOSE(CONTROL!$C$15, $E$9, 100%, $G$9) + CHOOSE(CONTROL!$C$38, 0.0347, 0)</f>
        <v>70.739999999999995</v>
      </c>
      <c r="I1032" s="14">
        <f>70.7069 * CHOOSE(CONTROL!$C$15, $E$9, 100%, $G$9) + CHOOSE(CONTROL!$C$38, 0.0347, 0)</f>
        <v>70.741600000000005</v>
      </c>
      <c r="J1032" s="44">
        <f>770.7779</f>
        <v>770.77790000000005</v>
      </c>
    </row>
    <row r="1033" spans="1:10" ht="15.75" x14ac:dyDescent="0.25">
      <c r="A1033" s="32">
        <v>72379</v>
      </c>
      <c r="B1033" s="14">
        <f>74.5114 * CHOOSE(CONTROL!$C$15, $E$9, 100%, $G$9) + CHOOSE(CONTROL!$C$38, 0.0256, 0)</f>
        <v>74.536999999999992</v>
      </c>
      <c r="C1033" s="14">
        <f>70.5116 * CHOOSE(CONTROL!$C$15, $E$9, 100%, $G$9) + CHOOSE(CONTROL!$C$38, 0.0347, 0)</f>
        <v>70.546300000000002</v>
      </c>
      <c r="D1033" s="14">
        <f>70.5038 * CHOOSE(CONTROL!$C$15, $E$9, 100%, $G$9) + CHOOSE(CONTROL!$C$38, 0.0347, 0)</f>
        <v>70.538499999999999</v>
      </c>
      <c r="E1033" s="46">
        <f>74.3551 * CHOOSE(CONTROL!$C$15, $E$9, 100%, $G$9) + CHOOSE(CONTROL!$C$38, 0.0347, 0)</f>
        <v>74.389799999999994</v>
      </c>
      <c r="F1033" s="45">
        <f>74.3551 * CHOOSE(CONTROL!$C$15, $E$9, 100%, $G$9) + CHOOSE(CONTROL!$C$38, 0.0256, 0)</f>
        <v>74.38069999999999</v>
      </c>
      <c r="G1033" s="14">
        <f>70.5101 * CHOOSE(CONTROL!$C$15, $E$9, 100%, $G$9) + CHOOSE(CONTROL!$C$38, 0.0347, 0)</f>
        <v>70.544799999999995</v>
      </c>
      <c r="H1033" s="14">
        <f>70.5101 * CHOOSE(CONTROL!$C$15, $E$9, 100%, $G$9) + CHOOSE(CONTROL!$C$38, 0.0347, 0)</f>
        <v>70.544799999999995</v>
      </c>
      <c r="I1033" s="14">
        <f>70.5116 * CHOOSE(CONTROL!$C$15, $E$9, 100%, $G$9) + CHOOSE(CONTROL!$C$38, 0.0347, 0)</f>
        <v>70.546300000000002</v>
      </c>
      <c r="J1033" s="44">
        <f>768.6354</f>
        <v>768.6354</v>
      </c>
    </row>
    <row r="1034" spans="1:10" ht="15.75" x14ac:dyDescent="0.25">
      <c r="A1034" s="32">
        <v>72410</v>
      </c>
      <c r="B1034" s="14">
        <f>78.406 * CHOOSE(CONTROL!$C$15, $E$9, 100%, $G$9) + CHOOSE(CONTROL!$C$38, 0.0256, 0)</f>
        <v>78.431600000000003</v>
      </c>
      <c r="C1034" s="14">
        <f>74.2037 * CHOOSE(CONTROL!$C$15, $E$9, 100%, $G$9) + CHOOSE(CONTROL!$C$38, 0.0347, 0)</f>
        <v>74.238399999999999</v>
      </c>
      <c r="D1034" s="14">
        <f>74.1959 * CHOOSE(CONTROL!$C$15, $E$9, 100%, $G$9) + CHOOSE(CONTROL!$C$38, 0.0347, 0)</f>
        <v>74.230599999999995</v>
      </c>
      <c r="E1034" s="46">
        <f>78.2498 * CHOOSE(CONTROL!$C$15, $E$9, 100%, $G$9) + CHOOSE(CONTROL!$C$38, 0.0347, 0)</f>
        <v>78.284499999999994</v>
      </c>
      <c r="F1034" s="45">
        <f>78.2498 * CHOOSE(CONTROL!$C$15, $E$9, 100%, $G$9) + CHOOSE(CONTROL!$C$38, 0.0256, 0)</f>
        <v>78.275399999999991</v>
      </c>
      <c r="G1034" s="14">
        <f>74.2022 * CHOOSE(CONTROL!$C$15, $E$9, 100%, $G$9) + CHOOSE(CONTROL!$C$38, 0.0347, 0)</f>
        <v>74.236900000000006</v>
      </c>
      <c r="H1034" s="14">
        <f>74.2022 * CHOOSE(CONTROL!$C$15, $E$9, 100%, $G$9) + CHOOSE(CONTROL!$C$38, 0.0347, 0)</f>
        <v>74.236900000000006</v>
      </c>
      <c r="I1034" s="14">
        <f>74.2037 * CHOOSE(CONTROL!$C$15, $E$9, 100%, $G$9) + CHOOSE(CONTROL!$C$38, 0.0347, 0)</f>
        <v>74.238399999999999</v>
      </c>
      <c r="J1034" s="44">
        <f>809.1469</f>
        <v>809.14689999999996</v>
      </c>
    </row>
    <row r="1035" spans="1:10" ht="15.75" x14ac:dyDescent="0.25">
      <c r="A1035" s="32">
        <v>72440</v>
      </c>
      <c r="B1035" s="14">
        <f>83.4564 * CHOOSE(CONTROL!$C$15, $E$9, 100%, $G$9) + CHOOSE(CONTROL!$C$38, 0.0256, 0)</f>
        <v>83.481999999999999</v>
      </c>
      <c r="C1035" s="14">
        <f>78.9915 * CHOOSE(CONTROL!$C$15, $E$9, 100%, $G$9) + CHOOSE(CONTROL!$C$38, 0.0347, 0)</f>
        <v>79.026200000000003</v>
      </c>
      <c r="D1035" s="14">
        <f>78.9836 * CHOOSE(CONTROL!$C$15, $E$9, 100%, $G$9) + CHOOSE(CONTROL!$C$38, 0.0347, 0)</f>
        <v>79.018299999999996</v>
      </c>
      <c r="E1035" s="46">
        <f>83.3002 * CHOOSE(CONTROL!$C$15, $E$9, 100%, $G$9) + CHOOSE(CONTROL!$C$38, 0.0347, 0)</f>
        <v>83.334900000000005</v>
      </c>
      <c r="F1035" s="45">
        <f>83.3002 * CHOOSE(CONTROL!$C$15, $E$9, 100%, $G$9) + CHOOSE(CONTROL!$C$38, 0.0256, 0)</f>
        <v>83.325800000000001</v>
      </c>
      <c r="G1035" s="14">
        <f>78.9899 * CHOOSE(CONTROL!$C$15, $E$9, 100%, $G$9) + CHOOSE(CONTROL!$C$38, 0.0347, 0)</f>
        <v>79.024600000000007</v>
      </c>
      <c r="H1035" s="14">
        <f>78.9899 * CHOOSE(CONTROL!$C$15, $E$9, 100%, $G$9) + CHOOSE(CONTROL!$C$38, 0.0347, 0)</f>
        <v>79.024600000000007</v>
      </c>
      <c r="I1035" s="14">
        <f>78.9915 * CHOOSE(CONTROL!$C$15, $E$9, 100%, $G$9) + CHOOSE(CONTROL!$C$38, 0.0347, 0)</f>
        <v>79.026200000000003</v>
      </c>
      <c r="J1035" s="44">
        <f>861.6807</f>
        <v>861.6807</v>
      </c>
    </row>
    <row r="1036" spans="1:10" ht="15.75" x14ac:dyDescent="0.25">
      <c r="A1036" s="32">
        <v>72471</v>
      </c>
      <c r="B1036" s="14">
        <f>86.2364 * CHOOSE(CONTROL!$C$15, $E$9, 100%, $G$9) + CHOOSE(CONTROL!$C$38, 0.0278, 0)</f>
        <v>86.264200000000002</v>
      </c>
      <c r="C1036" s="14">
        <f>81.6268 * CHOOSE(CONTROL!$C$15, $E$9, 100%, $G$9) + CHOOSE(CONTROL!$C$38, 0.0369, 0)</f>
        <v>81.663700000000006</v>
      </c>
      <c r="D1036" s="14">
        <f>81.619 * CHOOSE(CONTROL!$C$15, $E$9, 100%, $G$9) + CHOOSE(CONTROL!$C$38, 0.0369, 0)</f>
        <v>81.655900000000003</v>
      </c>
      <c r="E1036" s="46">
        <f>86.0801 * CHOOSE(CONTROL!$C$15, $E$9, 100%, $G$9) + CHOOSE(CONTROL!$C$38, 0.0369, 0)</f>
        <v>86.117000000000004</v>
      </c>
      <c r="F1036" s="45">
        <f>86.0801 * CHOOSE(CONTROL!$C$15, $E$9, 100%, $G$9) + CHOOSE(CONTROL!$C$38, 0.0278, 0)</f>
        <v>86.107900000000001</v>
      </c>
      <c r="G1036" s="14">
        <f>81.6252 * CHOOSE(CONTROL!$C$15, $E$9, 100%, $G$9) + CHOOSE(CONTROL!$C$38, 0.0369, 0)</f>
        <v>81.662100000000009</v>
      </c>
      <c r="H1036" s="14">
        <f>81.6252 * CHOOSE(CONTROL!$C$15, $E$9, 100%, $G$9) + CHOOSE(CONTROL!$C$38, 0.0369, 0)</f>
        <v>81.662100000000009</v>
      </c>
      <c r="I1036" s="14">
        <f>81.6268 * CHOOSE(CONTROL!$C$15, $E$9, 100%, $G$9) + CHOOSE(CONTROL!$C$38, 0.0369, 0)</f>
        <v>81.663700000000006</v>
      </c>
      <c r="J1036" s="44">
        <f>890.597</f>
        <v>890.59699999999998</v>
      </c>
    </row>
    <row r="1037" spans="1:10" ht="15.75" x14ac:dyDescent="0.25">
      <c r="A1037" s="32">
        <v>72501</v>
      </c>
      <c r="B1037" s="14">
        <f>87.47 * CHOOSE(CONTROL!$C$15, $E$9, 100%, $G$9) + CHOOSE(CONTROL!$C$38, 0.0278, 0)</f>
        <v>87.497799999999998</v>
      </c>
      <c r="C1037" s="14">
        <f>82.7963 * CHOOSE(CONTROL!$C$15, $E$9, 100%, $G$9) + CHOOSE(CONTROL!$C$38, 0.0369, 0)</f>
        <v>82.833200000000005</v>
      </c>
      <c r="D1037" s="14">
        <f>82.7885 * CHOOSE(CONTROL!$C$15, $E$9, 100%, $G$9) + CHOOSE(CONTROL!$C$38, 0.0369, 0)</f>
        <v>82.825400000000002</v>
      </c>
      <c r="E1037" s="46">
        <f>87.3138 * CHOOSE(CONTROL!$C$15, $E$9, 100%, $G$9) + CHOOSE(CONTROL!$C$38, 0.0369, 0)</f>
        <v>87.350700000000003</v>
      </c>
      <c r="F1037" s="45">
        <f>87.3138 * CHOOSE(CONTROL!$C$15, $E$9, 100%, $G$9) + CHOOSE(CONTROL!$C$38, 0.0278, 0)</f>
        <v>87.3416</v>
      </c>
      <c r="G1037" s="14">
        <f>82.7947 * CHOOSE(CONTROL!$C$15, $E$9, 100%, $G$9) + CHOOSE(CONTROL!$C$38, 0.0369, 0)</f>
        <v>82.831600000000009</v>
      </c>
      <c r="H1037" s="14">
        <f>82.7947 * CHOOSE(CONTROL!$C$15, $E$9, 100%, $G$9) + CHOOSE(CONTROL!$C$38, 0.0369, 0)</f>
        <v>82.831600000000009</v>
      </c>
      <c r="I1037" s="14">
        <f>82.7963 * CHOOSE(CONTROL!$C$15, $E$9, 100%, $G$9) + CHOOSE(CONTROL!$C$38, 0.0369, 0)</f>
        <v>82.833200000000005</v>
      </c>
      <c r="J1037" s="44">
        <f>903.4295</f>
        <v>903.42949999999996</v>
      </c>
    </row>
    <row r="1038" spans="1:10" ht="15.75" x14ac:dyDescent="0.25">
      <c r="A1038" s="32">
        <v>72532</v>
      </c>
      <c r="B1038" s="14">
        <f>87.0638 * CHOOSE(CONTROL!$C$15, $E$9, 100%, $G$9) + CHOOSE(CONTROL!$C$38, 0.0278, 0)</f>
        <v>87.0916</v>
      </c>
      <c r="C1038" s="14">
        <f>82.4112 * CHOOSE(CONTROL!$C$15, $E$9, 100%, $G$9) + CHOOSE(CONTROL!$C$38, 0.0369, 0)</f>
        <v>82.448099999999997</v>
      </c>
      <c r="D1038" s="14">
        <f>82.4034 * CHOOSE(CONTROL!$C$15, $E$9, 100%, $G$9) + CHOOSE(CONTROL!$C$38, 0.0369, 0)</f>
        <v>82.440300000000008</v>
      </c>
      <c r="E1038" s="46">
        <f>86.9076 * CHOOSE(CONTROL!$C$15, $E$9, 100%, $G$9) + CHOOSE(CONTROL!$C$38, 0.0369, 0)</f>
        <v>86.944500000000005</v>
      </c>
      <c r="F1038" s="45">
        <f>86.9076 * CHOOSE(CONTROL!$C$15, $E$9, 100%, $G$9) + CHOOSE(CONTROL!$C$38, 0.0278, 0)</f>
        <v>86.935400000000001</v>
      </c>
      <c r="G1038" s="14">
        <f>82.4097 * CHOOSE(CONTROL!$C$15, $E$9, 100%, $G$9) + CHOOSE(CONTROL!$C$38, 0.0369, 0)</f>
        <v>82.446600000000004</v>
      </c>
      <c r="H1038" s="14">
        <f>82.4097 * CHOOSE(CONTROL!$C$15, $E$9, 100%, $G$9) + CHOOSE(CONTROL!$C$38, 0.0369, 0)</f>
        <v>82.446600000000004</v>
      </c>
      <c r="I1038" s="14">
        <f>82.4112 * CHOOSE(CONTROL!$C$15, $E$9, 100%, $G$9) + CHOOSE(CONTROL!$C$38, 0.0369, 0)</f>
        <v>82.448099999999997</v>
      </c>
      <c r="J1038" s="44">
        <f>899.2045</f>
        <v>899.20450000000005</v>
      </c>
    </row>
    <row r="1039" spans="1:10" ht="15.75" x14ac:dyDescent="0.25">
      <c r="A1039" s="32">
        <v>72563</v>
      </c>
      <c r="B1039" s="14">
        <f>85.0514 * CHOOSE(CONTROL!$C$15, $E$9, 100%, $G$9) + CHOOSE(CONTROL!$C$38, 0.0278, 0)</f>
        <v>85.0792</v>
      </c>
      <c r="C1039" s="14">
        <f>80.5035 * CHOOSE(CONTROL!$C$15, $E$9, 100%, $G$9) + CHOOSE(CONTROL!$C$38, 0.0369, 0)</f>
        <v>80.540400000000005</v>
      </c>
      <c r="D1039" s="14">
        <f>80.4957 * CHOOSE(CONTROL!$C$15, $E$9, 100%, $G$9) + CHOOSE(CONTROL!$C$38, 0.0369, 0)</f>
        <v>80.532600000000002</v>
      </c>
      <c r="E1039" s="46">
        <f>84.8952 * CHOOSE(CONTROL!$C$15, $E$9, 100%, $G$9) + CHOOSE(CONTROL!$C$38, 0.0369, 0)</f>
        <v>84.932100000000005</v>
      </c>
      <c r="F1039" s="45">
        <f>84.8952 * CHOOSE(CONTROL!$C$15, $E$9, 100%, $G$9) + CHOOSE(CONTROL!$C$38, 0.0278, 0)</f>
        <v>84.923000000000002</v>
      </c>
      <c r="G1039" s="14">
        <f>80.5019 * CHOOSE(CONTROL!$C$15, $E$9, 100%, $G$9) + CHOOSE(CONTROL!$C$38, 0.0369, 0)</f>
        <v>80.538800000000009</v>
      </c>
      <c r="H1039" s="14">
        <f>80.5019 * CHOOSE(CONTROL!$C$15, $E$9, 100%, $G$9) + CHOOSE(CONTROL!$C$38, 0.0369, 0)</f>
        <v>80.538800000000009</v>
      </c>
      <c r="I1039" s="14">
        <f>80.5035 * CHOOSE(CONTROL!$C$15, $E$9, 100%, $G$9) + CHOOSE(CONTROL!$C$38, 0.0369, 0)</f>
        <v>80.540400000000005</v>
      </c>
      <c r="J1039" s="44">
        <f>878.2714</f>
        <v>878.27139999999997</v>
      </c>
    </row>
    <row r="1040" spans="1:10" ht="15.75" x14ac:dyDescent="0.25">
      <c r="A1040" s="32">
        <v>72593</v>
      </c>
      <c r="B1040" s="14">
        <f>82.245 * CHOOSE(CONTROL!$C$15, $E$9, 100%, $G$9) + CHOOSE(CONTROL!$C$38, 0.0278, 0)</f>
        <v>82.272800000000004</v>
      </c>
      <c r="C1040" s="14">
        <f>77.843 * CHOOSE(CONTROL!$C$15, $E$9, 100%, $G$9) + CHOOSE(CONTROL!$C$38, 0.0369, 0)</f>
        <v>77.879900000000006</v>
      </c>
      <c r="D1040" s="14">
        <f>77.8352 * CHOOSE(CONTROL!$C$15, $E$9, 100%, $G$9) + CHOOSE(CONTROL!$C$38, 0.0369, 0)</f>
        <v>77.872100000000003</v>
      </c>
      <c r="E1040" s="46">
        <f>82.0887 * CHOOSE(CONTROL!$C$15, $E$9, 100%, $G$9) + CHOOSE(CONTROL!$C$38, 0.0369, 0)</f>
        <v>82.125600000000006</v>
      </c>
      <c r="F1040" s="45">
        <f>82.0887 * CHOOSE(CONTROL!$C$15, $E$9, 100%, $G$9) + CHOOSE(CONTROL!$C$38, 0.0278, 0)</f>
        <v>82.116500000000002</v>
      </c>
      <c r="G1040" s="14">
        <f>77.8414 * CHOOSE(CONTROL!$C$15, $E$9, 100%, $G$9) + CHOOSE(CONTROL!$C$38, 0.0369, 0)</f>
        <v>77.878299999999996</v>
      </c>
      <c r="H1040" s="14">
        <f>77.8414 * CHOOSE(CONTROL!$C$15, $E$9, 100%, $G$9) + CHOOSE(CONTROL!$C$38, 0.0369, 0)</f>
        <v>77.878299999999996</v>
      </c>
      <c r="I1040" s="14">
        <f>77.843 * CHOOSE(CONTROL!$C$15, $E$9, 100%, $G$9) + CHOOSE(CONTROL!$C$38, 0.0369, 0)</f>
        <v>77.879900000000006</v>
      </c>
      <c r="J1040" s="44">
        <f>849.0791</f>
        <v>849.07910000000004</v>
      </c>
    </row>
    <row r="1041" spans="1:10" ht="15.75" x14ac:dyDescent="0.25">
      <c r="A1041" s="32">
        <v>72624</v>
      </c>
      <c r="B1041" s="14">
        <f>79.4222 * CHOOSE(CONTROL!$C$15, $E$9, 100%, $G$9) + CHOOSE(CONTROL!$C$38, 0.0256, 0)</f>
        <v>79.447800000000001</v>
      </c>
      <c r="C1041" s="14">
        <f>75.167 * CHOOSE(CONTROL!$C$15, $E$9, 100%, $G$9) + CHOOSE(CONTROL!$C$38, 0.0347, 0)</f>
        <v>75.201700000000002</v>
      </c>
      <c r="D1041" s="14">
        <f>75.1592 * CHOOSE(CONTROL!$C$15, $E$9, 100%, $G$9) + CHOOSE(CONTROL!$C$38, 0.0347, 0)</f>
        <v>75.193899999999999</v>
      </c>
      <c r="E1041" s="46">
        <f>79.2659 * CHOOSE(CONTROL!$C$15, $E$9, 100%, $G$9) + CHOOSE(CONTROL!$C$38, 0.0347, 0)</f>
        <v>79.300600000000003</v>
      </c>
      <c r="F1041" s="45">
        <f>79.2659 * CHOOSE(CONTROL!$C$15, $E$9, 100%, $G$9) + CHOOSE(CONTROL!$C$38, 0.0256, 0)</f>
        <v>79.291499999999999</v>
      </c>
      <c r="G1041" s="14">
        <f>75.1655 * CHOOSE(CONTROL!$C$15, $E$9, 100%, $G$9) + CHOOSE(CONTROL!$C$38, 0.0347, 0)</f>
        <v>75.200199999999995</v>
      </c>
      <c r="H1041" s="14">
        <f>75.1655 * CHOOSE(CONTROL!$C$15, $E$9, 100%, $G$9) + CHOOSE(CONTROL!$C$38, 0.0347, 0)</f>
        <v>75.200199999999995</v>
      </c>
      <c r="I1041" s="14">
        <f>75.167 * CHOOSE(CONTROL!$C$15, $E$9, 100%, $G$9) + CHOOSE(CONTROL!$C$38, 0.0347, 0)</f>
        <v>75.201700000000002</v>
      </c>
      <c r="J1041" s="44">
        <f>819.7171</f>
        <v>819.71709999999996</v>
      </c>
    </row>
    <row r="1042" spans="1:10" ht="15.75" x14ac:dyDescent="0.25">
      <c r="A1042" s="32">
        <v>72654</v>
      </c>
      <c r="B1042" s="14">
        <f>78.8607 * CHOOSE(CONTROL!$C$15, $E$9, 100%, $G$9) + CHOOSE(CONTROL!$C$38, 0.0256, 0)</f>
        <v>78.886299999999991</v>
      </c>
      <c r="C1042" s="14">
        <f>74.6347 * CHOOSE(CONTROL!$C$15, $E$9, 100%, $G$9) + CHOOSE(CONTROL!$C$38, 0.0347, 0)</f>
        <v>74.669399999999996</v>
      </c>
      <c r="D1042" s="14">
        <f>74.6269 * CHOOSE(CONTROL!$C$15, $E$9, 100%, $G$9) + CHOOSE(CONTROL!$C$38, 0.0347, 0)</f>
        <v>74.661600000000007</v>
      </c>
      <c r="E1042" s="46">
        <f>78.7044 * CHOOSE(CONTROL!$C$15, $E$9, 100%, $G$9) + CHOOSE(CONTROL!$C$38, 0.0347, 0)</f>
        <v>78.739100000000008</v>
      </c>
      <c r="F1042" s="45">
        <f>78.7044 * CHOOSE(CONTROL!$C$15, $E$9, 100%, $G$9) + CHOOSE(CONTROL!$C$38, 0.0256, 0)</f>
        <v>78.73</v>
      </c>
      <c r="G1042" s="14">
        <f>74.6332 * CHOOSE(CONTROL!$C$15, $E$9, 100%, $G$9) + CHOOSE(CONTROL!$C$38, 0.0347, 0)</f>
        <v>74.667900000000003</v>
      </c>
      <c r="H1042" s="14">
        <f>74.6332 * CHOOSE(CONTROL!$C$15, $E$9, 100%, $G$9) + CHOOSE(CONTROL!$C$38, 0.0347, 0)</f>
        <v>74.667900000000003</v>
      </c>
      <c r="I1042" s="14">
        <f>74.6347 * CHOOSE(CONTROL!$C$15, $E$9, 100%, $G$9) + CHOOSE(CONTROL!$C$38, 0.0347, 0)</f>
        <v>74.669399999999996</v>
      </c>
      <c r="J1042" s="44">
        <f>813.8764</f>
        <v>813.87639999999999</v>
      </c>
    </row>
    <row r="1043" spans="1:10" ht="15.75" x14ac:dyDescent="0.25">
      <c r="A1043" s="32">
        <v>72685</v>
      </c>
      <c r="B1043" s="14">
        <f>76.5388 * CHOOSE(CONTROL!$C$15, $E$9, 100%, $G$9) + CHOOSE(CONTROL!$C$38, 0.0256, 0)</f>
        <v>76.564399999999992</v>
      </c>
      <c r="C1043" s="14">
        <f>72.4336 * CHOOSE(CONTROL!$C$15, $E$9, 100%, $G$9) + CHOOSE(CONTROL!$C$38, 0.0347, 0)</f>
        <v>72.468299999999999</v>
      </c>
      <c r="D1043" s="14">
        <f>72.4258 * CHOOSE(CONTROL!$C$15, $E$9, 100%, $G$9) + CHOOSE(CONTROL!$C$38, 0.0347, 0)</f>
        <v>72.460499999999996</v>
      </c>
      <c r="E1043" s="46">
        <f>76.3825 * CHOOSE(CONTROL!$C$15, $E$9, 100%, $G$9) + CHOOSE(CONTROL!$C$38, 0.0347, 0)</f>
        <v>76.417199999999994</v>
      </c>
      <c r="F1043" s="45">
        <f>76.3825 * CHOOSE(CONTROL!$C$15, $E$9, 100%, $G$9) + CHOOSE(CONTROL!$C$38, 0.0256, 0)</f>
        <v>76.40809999999999</v>
      </c>
      <c r="G1043" s="14">
        <f>72.4321 * CHOOSE(CONTROL!$C$15, $E$9, 100%, $G$9) + CHOOSE(CONTROL!$C$38, 0.0347, 0)</f>
        <v>72.466800000000006</v>
      </c>
      <c r="H1043" s="14">
        <f>72.4321 * CHOOSE(CONTROL!$C$15, $E$9, 100%, $G$9) + CHOOSE(CONTROL!$C$38, 0.0347, 0)</f>
        <v>72.466800000000006</v>
      </c>
      <c r="I1043" s="14">
        <f>72.4336 * CHOOSE(CONTROL!$C$15, $E$9, 100%, $G$9) + CHOOSE(CONTROL!$C$38, 0.0347, 0)</f>
        <v>72.468299999999999</v>
      </c>
      <c r="J1043" s="44">
        <f>789.7246</f>
        <v>789.72460000000001</v>
      </c>
    </row>
    <row r="1044" spans="1:10" ht="15.75" x14ac:dyDescent="0.25">
      <c r="A1044" s="32">
        <v>72716</v>
      </c>
      <c r="B1044" s="14">
        <f>75.9622 * CHOOSE(CONTROL!$C$15, $E$9, 100%, $G$9) + CHOOSE(CONTROL!$C$38, 0.0256, 0)</f>
        <v>75.987799999999993</v>
      </c>
      <c r="C1044" s="14">
        <f>71.887 * CHOOSE(CONTROL!$C$15, $E$9, 100%, $G$9) + CHOOSE(CONTROL!$C$38, 0.0347, 0)</f>
        <v>71.921700000000001</v>
      </c>
      <c r="D1044" s="14">
        <f>71.8792 * CHOOSE(CONTROL!$C$15, $E$9, 100%, $G$9) + CHOOSE(CONTROL!$C$38, 0.0347, 0)</f>
        <v>71.913899999999998</v>
      </c>
      <c r="E1044" s="46">
        <f>75.8059 * CHOOSE(CONTROL!$C$15, $E$9, 100%, $G$9) + CHOOSE(CONTROL!$C$38, 0.0347, 0)</f>
        <v>75.840599999999995</v>
      </c>
      <c r="F1044" s="45">
        <f>75.8059 * CHOOSE(CONTROL!$C$15, $E$9, 100%, $G$9) + CHOOSE(CONTROL!$C$38, 0.0256, 0)</f>
        <v>75.831499999999991</v>
      </c>
      <c r="G1044" s="14">
        <f>71.8855 * CHOOSE(CONTROL!$C$15, $E$9, 100%, $G$9) + CHOOSE(CONTROL!$C$38, 0.0347, 0)</f>
        <v>71.920199999999994</v>
      </c>
      <c r="H1044" s="14">
        <f>71.8855 * CHOOSE(CONTROL!$C$15, $E$9, 100%, $G$9) + CHOOSE(CONTROL!$C$38, 0.0347, 0)</f>
        <v>71.920199999999994</v>
      </c>
      <c r="I1044" s="14">
        <f>71.887 * CHOOSE(CONTROL!$C$15, $E$9, 100%, $G$9) + CHOOSE(CONTROL!$C$38, 0.0347, 0)</f>
        <v>71.921700000000001</v>
      </c>
      <c r="J1044" s="44">
        <f>789.1544</f>
        <v>789.15440000000001</v>
      </c>
    </row>
    <row r="1045" spans="1:10" ht="15.75" x14ac:dyDescent="0.25">
      <c r="A1045" s="32">
        <v>72744</v>
      </c>
      <c r="B1045" s="14">
        <f>75.7528 * CHOOSE(CONTROL!$C$15, $E$9, 100%, $G$9) + CHOOSE(CONTROL!$C$38, 0.0256, 0)</f>
        <v>75.778399999999991</v>
      </c>
      <c r="C1045" s="14">
        <f>71.6885 * CHOOSE(CONTROL!$C$15, $E$9, 100%, $G$9) + CHOOSE(CONTROL!$C$38, 0.0347, 0)</f>
        <v>71.723200000000006</v>
      </c>
      <c r="D1045" s="14">
        <f>71.6807 * CHOOSE(CONTROL!$C$15, $E$9, 100%, $G$9) + CHOOSE(CONTROL!$C$38, 0.0347, 0)</f>
        <v>71.715400000000002</v>
      </c>
      <c r="E1045" s="46">
        <f>75.5965 * CHOOSE(CONTROL!$C$15, $E$9, 100%, $G$9) + CHOOSE(CONTROL!$C$38, 0.0347, 0)</f>
        <v>75.631200000000007</v>
      </c>
      <c r="F1045" s="45">
        <f>75.5965 * CHOOSE(CONTROL!$C$15, $E$9, 100%, $G$9) + CHOOSE(CONTROL!$C$38, 0.0256, 0)</f>
        <v>75.622100000000003</v>
      </c>
      <c r="G1045" s="14">
        <f>71.6869 * CHOOSE(CONTROL!$C$15, $E$9, 100%, $G$9) + CHOOSE(CONTROL!$C$38, 0.0347, 0)</f>
        <v>71.721599999999995</v>
      </c>
      <c r="H1045" s="14">
        <f>71.6869 * CHOOSE(CONTROL!$C$15, $E$9, 100%, $G$9) + CHOOSE(CONTROL!$C$38, 0.0347, 0)</f>
        <v>71.721599999999995</v>
      </c>
      <c r="I1045" s="14">
        <f>71.6885 * CHOOSE(CONTROL!$C$15, $E$9, 100%, $G$9) + CHOOSE(CONTROL!$C$38, 0.0347, 0)</f>
        <v>71.723200000000006</v>
      </c>
      <c r="J1045" s="44">
        <f>786.9608</f>
        <v>786.96079999999995</v>
      </c>
    </row>
    <row r="1046" spans="1:10" ht="15.75" x14ac:dyDescent="0.25">
      <c r="A1046" s="32">
        <v>72775</v>
      </c>
      <c r="B1046" s="14">
        <f>79.7128 * CHOOSE(CONTROL!$C$15, $E$9, 100%, $G$9) + CHOOSE(CONTROL!$C$38, 0.0256, 0)</f>
        <v>79.738399999999999</v>
      </c>
      <c r="C1046" s="14">
        <f>75.4426 * CHOOSE(CONTROL!$C$15, $E$9, 100%, $G$9) + CHOOSE(CONTROL!$C$38, 0.0347, 0)</f>
        <v>75.4773</v>
      </c>
      <c r="D1046" s="14">
        <f>75.4348 * CHOOSE(CONTROL!$C$15, $E$9, 100%, $G$9) + CHOOSE(CONTROL!$C$38, 0.0347, 0)</f>
        <v>75.469499999999996</v>
      </c>
      <c r="E1046" s="46">
        <f>79.5566 * CHOOSE(CONTROL!$C$15, $E$9, 100%, $G$9) + CHOOSE(CONTROL!$C$38, 0.0347, 0)</f>
        <v>79.591300000000004</v>
      </c>
      <c r="F1046" s="45">
        <f>79.5566 * CHOOSE(CONTROL!$C$15, $E$9, 100%, $G$9) + CHOOSE(CONTROL!$C$38, 0.0256, 0)</f>
        <v>79.5822</v>
      </c>
      <c r="G1046" s="14">
        <f>75.441 * CHOOSE(CONTROL!$C$15, $E$9, 100%, $G$9) + CHOOSE(CONTROL!$C$38, 0.0347, 0)</f>
        <v>75.475700000000003</v>
      </c>
      <c r="H1046" s="14">
        <f>75.441 * CHOOSE(CONTROL!$C$15, $E$9, 100%, $G$9) + CHOOSE(CONTROL!$C$38, 0.0347, 0)</f>
        <v>75.475700000000003</v>
      </c>
      <c r="I1046" s="14">
        <f>75.4426 * CHOOSE(CONTROL!$C$15, $E$9, 100%, $G$9) + CHOOSE(CONTROL!$C$38, 0.0347, 0)</f>
        <v>75.4773</v>
      </c>
      <c r="J1046" s="44">
        <f>828.4382</f>
        <v>828.43820000000005</v>
      </c>
    </row>
    <row r="1047" spans="1:10" ht="15.75" x14ac:dyDescent="0.25">
      <c r="A1047" s="32">
        <v>72805</v>
      </c>
      <c r="B1047" s="14">
        <f>84.8481 * CHOOSE(CONTROL!$C$15, $E$9, 100%, $G$9) + CHOOSE(CONTROL!$C$38, 0.0256, 0)</f>
        <v>84.873699999999999</v>
      </c>
      <c r="C1047" s="14">
        <f>80.3108 * CHOOSE(CONTROL!$C$15, $E$9, 100%, $G$9) + CHOOSE(CONTROL!$C$38, 0.0347, 0)</f>
        <v>80.345500000000001</v>
      </c>
      <c r="D1047" s="14">
        <f>80.3029 * CHOOSE(CONTROL!$C$15, $E$9, 100%, $G$9) + CHOOSE(CONTROL!$C$38, 0.0347, 0)</f>
        <v>80.337599999999995</v>
      </c>
      <c r="E1047" s="46">
        <f>84.6919 * CHOOSE(CONTROL!$C$15, $E$9, 100%, $G$9) + CHOOSE(CONTROL!$C$38, 0.0347, 0)</f>
        <v>84.726600000000005</v>
      </c>
      <c r="F1047" s="45">
        <f>84.6919 * CHOOSE(CONTROL!$C$15, $E$9, 100%, $G$9) + CHOOSE(CONTROL!$C$38, 0.0256, 0)</f>
        <v>84.717500000000001</v>
      </c>
      <c r="G1047" s="14">
        <f>80.3092 * CHOOSE(CONTROL!$C$15, $E$9, 100%, $G$9) + CHOOSE(CONTROL!$C$38, 0.0347, 0)</f>
        <v>80.343900000000005</v>
      </c>
      <c r="H1047" s="14">
        <f>80.3092 * CHOOSE(CONTROL!$C$15, $E$9, 100%, $G$9) + CHOOSE(CONTROL!$C$38, 0.0347, 0)</f>
        <v>80.343900000000005</v>
      </c>
      <c r="I1047" s="14">
        <f>80.3108 * CHOOSE(CONTROL!$C$15, $E$9, 100%, $G$9) + CHOOSE(CONTROL!$C$38, 0.0347, 0)</f>
        <v>80.345500000000001</v>
      </c>
      <c r="J1047" s="44">
        <f>882.2244</f>
        <v>882.22439999999995</v>
      </c>
    </row>
    <row r="1048" spans="1:10" ht="15.75" x14ac:dyDescent="0.25">
      <c r="A1048" s="32">
        <v>72836</v>
      </c>
      <c r="B1048" s="14">
        <f>87.6747 * CHOOSE(CONTROL!$C$15, $E$9, 100%, $G$9) + CHOOSE(CONTROL!$C$38, 0.0278, 0)</f>
        <v>87.702500000000001</v>
      </c>
      <c r="C1048" s="14">
        <f>82.9904 * CHOOSE(CONTROL!$C$15, $E$9, 100%, $G$9) + CHOOSE(CONTROL!$C$38, 0.0369, 0)</f>
        <v>83.027299999999997</v>
      </c>
      <c r="D1048" s="14">
        <f>82.9825 * CHOOSE(CONTROL!$C$15, $E$9, 100%, $G$9) + CHOOSE(CONTROL!$C$38, 0.0369, 0)</f>
        <v>83.019400000000005</v>
      </c>
      <c r="E1048" s="46">
        <f>87.5185 * CHOOSE(CONTROL!$C$15, $E$9, 100%, $G$9) + CHOOSE(CONTROL!$C$38, 0.0369, 0)</f>
        <v>87.555400000000006</v>
      </c>
      <c r="F1048" s="45">
        <f>87.5185 * CHOOSE(CONTROL!$C$15, $E$9, 100%, $G$9) + CHOOSE(CONTROL!$C$38, 0.0278, 0)</f>
        <v>87.546300000000002</v>
      </c>
      <c r="G1048" s="14">
        <f>82.9888 * CHOOSE(CONTROL!$C$15, $E$9, 100%, $G$9) + CHOOSE(CONTROL!$C$38, 0.0369, 0)</f>
        <v>83.025700000000001</v>
      </c>
      <c r="H1048" s="14">
        <f>82.9888 * CHOOSE(CONTROL!$C$15, $E$9, 100%, $G$9) + CHOOSE(CONTROL!$C$38, 0.0369, 0)</f>
        <v>83.025700000000001</v>
      </c>
      <c r="I1048" s="14">
        <f>82.9904 * CHOOSE(CONTROL!$C$15, $E$9, 100%, $G$9) + CHOOSE(CONTROL!$C$38, 0.0369, 0)</f>
        <v>83.027299999999997</v>
      </c>
      <c r="J1048" s="44">
        <f>911.8302</f>
        <v>911.83019999999999</v>
      </c>
    </row>
    <row r="1049" spans="1:10" ht="15.75" x14ac:dyDescent="0.25">
      <c r="A1049" s="32">
        <v>72866</v>
      </c>
      <c r="B1049" s="14">
        <f>88.9291 * CHOOSE(CONTROL!$C$15, $E$9, 100%, $G$9) + CHOOSE(CONTROL!$C$38, 0.0278, 0)</f>
        <v>88.956900000000005</v>
      </c>
      <c r="C1049" s="14">
        <f>84.1795 * CHOOSE(CONTROL!$C$15, $E$9, 100%, $G$9) + CHOOSE(CONTROL!$C$38, 0.0369, 0)</f>
        <v>84.216400000000007</v>
      </c>
      <c r="D1049" s="14">
        <f>84.1717 * CHOOSE(CONTROL!$C$15, $E$9, 100%, $G$9) + CHOOSE(CONTROL!$C$38, 0.0369, 0)</f>
        <v>84.208600000000004</v>
      </c>
      <c r="E1049" s="46">
        <f>88.7729 * CHOOSE(CONTROL!$C$15, $E$9, 100%, $G$9) + CHOOSE(CONTROL!$C$38, 0.0369, 0)</f>
        <v>88.80980000000001</v>
      </c>
      <c r="F1049" s="45">
        <f>88.7729 * CHOOSE(CONTROL!$C$15, $E$9, 100%, $G$9) + CHOOSE(CONTROL!$C$38, 0.0278, 0)</f>
        <v>88.800700000000006</v>
      </c>
      <c r="G1049" s="14">
        <f>84.1779 * CHOOSE(CONTROL!$C$15, $E$9, 100%, $G$9) + CHOOSE(CONTROL!$C$38, 0.0369, 0)</f>
        <v>84.214799999999997</v>
      </c>
      <c r="H1049" s="14">
        <f>84.1779 * CHOOSE(CONTROL!$C$15, $E$9, 100%, $G$9) + CHOOSE(CONTROL!$C$38, 0.0369, 0)</f>
        <v>84.214799999999997</v>
      </c>
      <c r="I1049" s="14">
        <f>84.1795 * CHOOSE(CONTROL!$C$15, $E$9, 100%, $G$9) + CHOOSE(CONTROL!$C$38, 0.0369, 0)</f>
        <v>84.216400000000007</v>
      </c>
      <c r="J1049" s="44">
        <f>924.9686</f>
        <v>924.96860000000004</v>
      </c>
    </row>
    <row r="1050" spans="1:10" ht="15.75" x14ac:dyDescent="0.25">
      <c r="A1050" s="32">
        <v>72897</v>
      </c>
      <c r="B1050" s="14">
        <f>88.5161 * CHOOSE(CONTROL!$C$15, $E$9, 100%, $G$9) + CHOOSE(CONTROL!$C$38, 0.0278, 0)</f>
        <v>88.543899999999994</v>
      </c>
      <c r="C1050" s="14">
        <f>83.788 * CHOOSE(CONTROL!$C$15, $E$9, 100%, $G$9) + CHOOSE(CONTROL!$C$38, 0.0369, 0)</f>
        <v>83.8249</v>
      </c>
      <c r="D1050" s="14">
        <f>83.7802 * CHOOSE(CONTROL!$C$15, $E$9, 100%, $G$9) + CHOOSE(CONTROL!$C$38, 0.0369, 0)</f>
        <v>83.817099999999996</v>
      </c>
      <c r="E1050" s="46">
        <f>88.3599 * CHOOSE(CONTROL!$C$15, $E$9, 100%, $G$9) + CHOOSE(CONTROL!$C$38, 0.0369, 0)</f>
        <v>88.396799999999999</v>
      </c>
      <c r="F1050" s="45">
        <f>88.3599 * CHOOSE(CONTROL!$C$15, $E$9, 100%, $G$9) + CHOOSE(CONTROL!$C$38, 0.0278, 0)</f>
        <v>88.387699999999995</v>
      </c>
      <c r="G1050" s="14">
        <f>83.7864 * CHOOSE(CONTROL!$C$15, $E$9, 100%, $G$9) + CHOOSE(CONTROL!$C$38, 0.0369, 0)</f>
        <v>83.823300000000003</v>
      </c>
      <c r="H1050" s="14">
        <f>83.7864 * CHOOSE(CONTROL!$C$15, $E$9, 100%, $G$9) + CHOOSE(CONTROL!$C$38, 0.0369, 0)</f>
        <v>83.823300000000003</v>
      </c>
      <c r="I1050" s="14">
        <f>83.788 * CHOOSE(CONTROL!$C$15, $E$9, 100%, $G$9) + CHOOSE(CONTROL!$C$38, 0.0369, 0)</f>
        <v>83.8249</v>
      </c>
      <c r="J1050" s="44">
        <f>920.6428</f>
        <v>920.64279999999997</v>
      </c>
    </row>
    <row r="1051" spans="1:10" ht="15.75" x14ac:dyDescent="0.25">
      <c r="A1051" s="32">
        <v>72928</v>
      </c>
      <c r="B1051" s="14">
        <f>86.4699 * CHOOSE(CONTROL!$C$15, $E$9, 100%, $G$9) + CHOOSE(CONTROL!$C$38, 0.0278, 0)</f>
        <v>86.497699999999995</v>
      </c>
      <c r="C1051" s="14">
        <f>81.8482 * CHOOSE(CONTROL!$C$15, $E$9, 100%, $G$9) + CHOOSE(CONTROL!$C$38, 0.0369, 0)</f>
        <v>81.885100000000008</v>
      </c>
      <c r="D1051" s="14">
        <f>81.8404 * CHOOSE(CONTROL!$C$15, $E$9, 100%, $G$9) + CHOOSE(CONTROL!$C$38, 0.0369, 0)</f>
        <v>81.877300000000005</v>
      </c>
      <c r="E1051" s="46">
        <f>86.3136 * CHOOSE(CONTROL!$C$15, $E$9, 100%, $G$9) + CHOOSE(CONTROL!$C$38, 0.0369, 0)</f>
        <v>86.350499999999997</v>
      </c>
      <c r="F1051" s="45">
        <f>86.3136 * CHOOSE(CONTROL!$C$15, $E$9, 100%, $G$9) + CHOOSE(CONTROL!$C$38, 0.0278, 0)</f>
        <v>86.341399999999993</v>
      </c>
      <c r="G1051" s="14">
        <f>81.8466 * CHOOSE(CONTROL!$C$15, $E$9, 100%, $G$9) + CHOOSE(CONTROL!$C$38, 0.0369, 0)</f>
        <v>81.883499999999998</v>
      </c>
      <c r="H1051" s="14">
        <f>81.8466 * CHOOSE(CONTROL!$C$15, $E$9, 100%, $G$9) + CHOOSE(CONTROL!$C$38, 0.0369, 0)</f>
        <v>81.883499999999998</v>
      </c>
      <c r="I1051" s="14">
        <f>81.8482 * CHOOSE(CONTROL!$C$15, $E$9, 100%, $G$9) + CHOOSE(CONTROL!$C$38, 0.0369, 0)</f>
        <v>81.885100000000008</v>
      </c>
      <c r="J1051" s="44">
        <f>899.2107</f>
        <v>899.21069999999997</v>
      </c>
    </row>
    <row r="1052" spans="1:10" ht="15.75" x14ac:dyDescent="0.25">
      <c r="A1052" s="32">
        <v>72958</v>
      </c>
      <c r="B1052" s="14">
        <f>83.6163 * CHOOSE(CONTROL!$C$15, $E$9, 100%, $G$9) + CHOOSE(CONTROL!$C$38, 0.0278, 0)</f>
        <v>83.644099999999995</v>
      </c>
      <c r="C1052" s="14">
        <f>79.143 * CHOOSE(CONTROL!$C$15, $E$9, 100%, $G$9) + CHOOSE(CONTROL!$C$38, 0.0369, 0)</f>
        <v>79.179900000000004</v>
      </c>
      <c r="D1052" s="14">
        <f>79.1352 * CHOOSE(CONTROL!$C$15, $E$9, 100%, $G$9) + CHOOSE(CONTROL!$C$38, 0.0369, 0)</f>
        <v>79.1721</v>
      </c>
      <c r="E1052" s="46">
        <f>83.46 * CHOOSE(CONTROL!$C$15, $E$9, 100%, $G$9) + CHOOSE(CONTROL!$C$38, 0.0369, 0)</f>
        <v>83.496899999999997</v>
      </c>
      <c r="F1052" s="45">
        <f>83.46 * CHOOSE(CONTROL!$C$15, $E$9, 100%, $G$9) + CHOOSE(CONTROL!$C$38, 0.0278, 0)</f>
        <v>83.487799999999993</v>
      </c>
      <c r="G1052" s="14">
        <f>79.1414 * CHOOSE(CONTROL!$C$15, $E$9, 100%, $G$9) + CHOOSE(CONTROL!$C$38, 0.0369, 0)</f>
        <v>79.178300000000007</v>
      </c>
      <c r="H1052" s="14">
        <f>79.1414 * CHOOSE(CONTROL!$C$15, $E$9, 100%, $G$9) + CHOOSE(CONTROL!$C$38, 0.0369, 0)</f>
        <v>79.178300000000007</v>
      </c>
      <c r="I1052" s="14">
        <f>79.143 * CHOOSE(CONTROL!$C$15, $E$9, 100%, $G$9) + CHOOSE(CONTROL!$C$38, 0.0369, 0)</f>
        <v>79.179900000000004</v>
      </c>
      <c r="J1052" s="44">
        <f>869.3224</f>
        <v>869.32240000000002</v>
      </c>
    </row>
    <row r="1053" spans="1:10" ht="15.75" x14ac:dyDescent="0.25">
      <c r="A1053" s="32">
        <v>72989</v>
      </c>
      <c r="B1053" s="14">
        <f>80.7461 * CHOOSE(CONTROL!$C$15, $E$9, 100%, $G$9) + CHOOSE(CONTROL!$C$38, 0.0256, 0)</f>
        <v>80.771699999999996</v>
      </c>
      <c r="C1053" s="14">
        <f>76.4221 * CHOOSE(CONTROL!$C$15, $E$9, 100%, $G$9) + CHOOSE(CONTROL!$C$38, 0.0347, 0)</f>
        <v>76.456800000000001</v>
      </c>
      <c r="D1053" s="14">
        <f>76.4143 * CHOOSE(CONTROL!$C$15, $E$9, 100%, $G$9) + CHOOSE(CONTROL!$C$38, 0.0347, 0)</f>
        <v>76.448999999999998</v>
      </c>
      <c r="E1053" s="46">
        <f>80.5898 * CHOOSE(CONTROL!$C$15, $E$9, 100%, $G$9) + CHOOSE(CONTROL!$C$38, 0.0347, 0)</f>
        <v>80.624499999999998</v>
      </c>
      <c r="F1053" s="45">
        <f>80.5898 * CHOOSE(CONTROL!$C$15, $E$9, 100%, $G$9) + CHOOSE(CONTROL!$C$38, 0.0256, 0)</f>
        <v>80.615399999999994</v>
      </c>
      <c r="G1053" s="14">
        <f>76.4205 * CHOOSE(CONTROL!$C$15, $E$9, 100%, $G$9) + CHOOSE(CONTROL!$C$38, 0.0347, 0)</f>
        <v>76.455200000000005</v>
      </c>
      <c r="H1053" s="14">
        <f>76.4205 * CHOOSE(CONTROL!$C$15, $E$9, 100%, $G$9) + CHOOSE(CONTROL!$C$38, 0.0347, 0)</f>
        <v>76.455200000000005</v>
      </c>
      <c r="I1053" s="14">
        <f>76.4221 * CHOOSE(CONTROL!$C$15, $E$9, 100%, $G$9) + CHOOSE(CONTROL!$C$38, 0.0347, 0)</f>
        <v>76.456800000000001</v>
      </c>
      <c r="J1053" s="44">
        <f>839.2604</f>
        <v>839.2604</v>
      </c>
    </row>
    <row r="1054" spans="1:10" ht="15.75" x14ac:dyDescent="0.25">
      <c r="A1054" s="32">
        <v>73019</v>
      </c>
      <c r="B1054" s="14">
        <f>80.1752 * CHOOSE(CONTROL!$C$15, $E$9, 100%, $G$9) + CHOOSE(CONTROL!$C$38, 0.0256, 0)</f>
        <v>80.200800000000001</v>
      </c>
      <c r="C1054" s="14">
        <f>75.8808 * CHOOSE(CONTROL!$C$15, $E$9, 100%, $G$9) + CHOOSE(CONTROL!$C$38, 0.0347, 0)</f>
        <v>75.915499999999994</v>
      </c>
      <c r="D1054" s="14">
        <f>75.873 * CHOOSE(CONTROL!$C$15, $E$9, 100%, $G$9) + CHOOSE(CONTROL!$C$38, 0.0347, 0)</f>
        <v>75.907700000000006</v>
      </c>
      <c r="E1054" s="46">
        <f>80.0189 * CHOOSE(CONTROL!$C$15, $E$9, 100%, $G$9) + CHOOSE(CONTROL!$C$38, 0.0347, 0)</f>
        <v>80.053600000000003</v>
      </c>
      <c r="F1054" s="45">
        <f>80.0189 * CHOOSE(CONTROL!$C$15, $E$9, 100%, $G$9) + CHOOSE(CONTROL!$C$38, 0.0256, 0)</f>
        <v>80.044499999999999</v>
      </c>
      <c r="G1054" s="14">
        <f>75.8793 * CHOOSE(CONTROL!$C$15, $E$9, 100%, $G$9) + CHOOSE(CONTROL!$C$38, 0.0347, 0)</f>
        <v>75.914000000000001</v>
      </c>
      <c r="H1054" s="14">
        <f>75.8793 * CHOOSE(CONTROL!$C$15, $E$9, 100%, $G$9) + CHOOSE(CONTROL!$C$38, 0.0347, 0)</f>
        <v>75.914000000000001</v>
      </c>
      <c r="I1054" s="14">
        <f>75.8808 * CHOOSE(CONTROL!$C$15, $E$9, 100%, $G$9) + CHOOSE(CONTROL!$C$38, 0.0347, 0)</f>
        <v>75.915499999999994</v>
      </c>
      <c r="J1054" s="44">
        <f>833.2804</f>
        <v>833.28039999999999</v>
      </c>
    </row>
    <row r="1055" spans="1:10" ht="15.75" x14ac:dyDescent="0.25">
      <c r="A1055" s="32">
        <v>73050</v>
      </c>
      <c r="B1055" s="14">
        <f>77.8143 * CHOOSE(CONTROL!$C$15, $E$9, 100%, $G$9) + CHOOSE(CONTROL!$C$38, 0.0256, 0)</f>
        <v>77.8399</v>
      </c>
      <c r="C1055" s="14">
        <f>73.6428 * CHOOSE(CONTROL!$C$15, $E$9, 100%, $G$9) + CHOOSE(CONTROL!$C$38, 0.0347, 0)</f>
        <v>73.677499999999995</v>
      </c>
      <c r="D1055" s="14">
        <f>73.6349 * CHOOSE(CONTROL!$C$15, $E$9, 100%, $G$9) + CHOOSE(CONTROL!$C$38, 0.0347, 0)</f>
        <v>73.669600000000003</v>
      </c>
      <c r="E1055" s="46">
        <f>77.658 * CHOOSE(CONTROL!$C$15, $E$9, 100%, $G$9) + CHOOSE(CONTROL!$C$38, 0.0347, 0)</f>
        <v>77.692700000000002</v>
      </c>
      <c r="F1055" s="45">
        <f>77.658 * CHOOSE(CONTROL!$C$15, $E$9, 100%, $G$9) + CHOOSE(CONTROL!$C$38, 0.0256, 0)</f>
        <v>77.683599999999998</v>
      </c>
      <c r="G1055" s="14">
        <f>73.6412 * CHOOSE(CONTROL!$C$15, $E$9, 100%, $G$9) + CHOOSE(CONTROL!$C$38, 0.0347, 0)</f>
        <v>73.675899999999999</v>
      </c>
      <c r="H1055" s="14">
        <f>73.6412 * CHOOSE(CONTROL!$C$15, $E$9, 100%, $G$9) + CHOOSE(CONTROL!$C$38, 0.0347, 0)</f>
        <v>73.675899999999999</v>
      </c>
      <c r="I1055" s="14">
        <f>73.6428 * CHOOSE(CONTROL!$C$15, $E$9, 100%, $G$9) + CHOOSE(CONTROL!$C$38, 0.0347, 0)</f>
        <v>73.677499999999995</v>
      </c>
      <c r="J1055" s="44">
        <f>808.5528</f>
        <v>808.55280000000005</v>
      </c>
    </row>
    <row r="1056" spans="1:10" ht="15.75" x14ac:dyDescent="0.25">
      <c r="A1056" s="32">
        <v>73081</v>
      </c>
      <c r="B1056" s="14">
        <f>77.228 * CHOOSE(CONTROL!$C$15, $E$9, 100%, $G$9) + CHOOSE(CONTROL!$C$38, 0.0256, 0)</f>
        <v>77.253599999999992</v>
      </c>
      <c r="C1056" s="14">
        <f>73.087 * CHOOSE(CONTROL!$C$15, $E$9, 100%, $G$9) + CHOOSE(CONTROL!$C$38, 0.0347, 0)</f>
        <v>73.121700000000004</v>
      </c>
      <c r="D1056" s="14">
        <f>73.0791 * CHOOSE(CONTROL!$C$15, $E$9, 100%, $G$9) + CHOOSE(CONTROL!$C$38, 0.0347, 0)</f>
        <v>73.113799999999998</v>
      </c>
      <c r="E1056" s="46">
        <f>77.0717 * CHOOSE(CONTROL!$C$15, $E$9, 100%, $G$9) + CHOOSE(CONTROL!$C$38, 0.0347, 0)</f>
        <v>77.106400000000008</v>
      </c>
      <c r="F1056" s="45">
        <f>77.0717 * CHOOSE(CONTROL!$C$15, $E$9, 100%, $G$9) + CHOOSE(CONTROL!$C$38, 0.0256, 0)</f>
        <v>77.097300000000004</v>
      </c>
      <c r="G1056" s="14">
        <f>73.0854 * CHOOSE(CONTROL!$C$15, $E$9, 100%, $G$9) + CHOOSE(CONTROL!$C$38, 0.0347, 0)</f>
        <v>73.120100000000008</v>
      </c>
      <c r="H1056" s="14">
        <f>73.0854 * CHOOSE(CONTROL!$C$15, $E$9, 100%, $G$9) + CHOOSE(CONTROL!$C$38, 0.0347, 0)</f>
        <v>73.120100000000008</v>
      </c>
      <c r="I1056" s="14">
        <f>73.087 * CHOOSE(CONTROL!$C$15, $E$9, 100%, $G$9) + CHOOSE(CONTROL!$C$38, 0.0347, 0)</f>
        <v>73.121700000000004</v>
      </c>
      <c r="J1056" s="44">
        <f>807.969</f>
        <v>807.96900000000005</v>
      </c>
    </row>
    <row r="1057" spans="1:11" ht="15.75" x14ac:dyDescent="0.25">
      <c r="A1057" s="32">
        <v>73109</v>
      </c>
      <c r="B1057" s="14">
        <f>77.015 * CHOOSE(CONTROL!$C$15, $E$9, 100%, $G$9) + CHOOSE(CONTROL!$C$38, 0.0256, 0)</f>
        <v>77.040599999999998</v>
      </c>
      <c r="C1057" s="14">
        <f>72.8851 * CHOOSE(CONTROL!$C$15, $E$9, 100%, $G$9) + CHOOSE(CONTROL!$C$38, 0.0347, 0)</f>
        <v>72.919799999999995</v>
      </c>
      <c r="D1057" s="14">
        <f>72.8773 * CHOOSE(CONTROL!$C$15, $E$9, 100%, $G$9) + CHOOSE(CONTROL!$C$38, 0.0347, 0)</f>
        <v>72.912000000000006</v>
      </c>
      <c r="E1057" s="46">
        <f>76.8588 * CHOOSE(CONTROL!$C$15, $E$9, 100%, $G$9) + CHOOSE(CONTROL!$C$38, 0.0347, 0)</f>
        <v>76.893500000000003</v>
      </c>
      <c r="F1057" s="45">
        <f>76.8588 * CHOOSE(CONTROL!$C$15, $E$9, 100%, $G$9) + CHOOSE(CONTROL!$C$38, 0.0256, 0)</f>
        <v>76.884399999999999</v>
      </c>
      <c r="G1057" s="14">
        <f>72.8835 * CHOOSE(CONTROL!$C$15, $E$9, 100%, $G$9) + CHOOSE(CONTROL!$C$38, 0.0347, 0)</f>
        <v>72.918199999999999</v>
      </c>
      <c r="H1057" s="14">
        <f>72.8835 * CHOOSE(CONTROL!$C$15, $E$9, 100%, $G$9) + CHOOSE(CONTROL!$C$38, 0.0347, 0)</f>
        <v>72.918199999999999</v>
      </c>
      <c r="I1057" s="14">
        <f>72.8851 * CHOOSE(CONTROL!$C$15, $E$9, 100%, $G$9) + CHOOSE(CONTROL!$C$38, 0.0347, 0)</f>
        <v>72.919799999999995</v>
      </c>
      <c r="J1057" s="44">
        <f>805.7231</f>
        <v>805.72310000000004</v>
      </c>
    </row>
    <row r="1058" spans="1:11" ht="15.75" x14ac:dyDescent="0.25">
      <c r="A1058" s="32">
        <v>73140</v>
      </c>
      <c r="B1058" s="14">
        <f>81.0416 * CHOOSE(CONTROL!$C$15, $E$9, 100%, $G$9) + CHOOSE(CONTROL!$C$38, 0.0256, 0)</f>
        <v>81.0672</v>
      </c>
      <c r="C1058" s="14">
        <f>76.7022 * CHOOSE(CONTROL!$C$15, $E$9, 100%, $G$9) + CHOOSE(CONTROL!$C$38, 0.0347, 0)</f>
        <v>76.736900000000006</v>
      </c>
      <c r="D1058" s="14">
        <f>76.6944 * CHOOSE(CONTROL!$C$15, $E$9, 100%, $G$9) + CHOOSE(CONTROL!$C$38, 0.0347, 0)</f>
        <v>76.729100000000003</v>
      </c>
      <c r="E1058" s="46">
        <f>80.8854 * CHOOSE(CONTROL!$C$15, $E$9, 100%, $G$9) + CHOOSE(CONTROL!$C$38, 0.0347, 0)</f>
        <v>80.920100000000005</v>
      </c>
      <c r="F1058" s="45">
        <f>80.8854 * CHOOSE(CONTROL!$C$15, $E$9, 100%, $G$9) + CHOOSE(CONTROL!$C$38, 0.0256, 0)</f>
        <v>80.911000000000001</v>
      </c>
      <c r="G1058" s="14">
        <f>76.7007 * CHOOSE(CONTROL!$C$15, $E$9, 100%, $G$9) + CHOOSE(CONTROL!$C$38, 0.0347, 0)</f>
        <v>76.735399999999998</v>
      </c>
      <c r="H1058" s="14">
        <f>76.7007 * CHOOSE(CONTROL!$C$15, $E$9, 100%, $G$9) + CHOOSE(CONTROL!$C$38, 0.0347, 0)</f>
        <v>76.735399999999998</v>
      </c>
      <c r="I1058" s="14">
        <f>76.7022 * CHOOSE(CONTROL!$C$15, $E$9, 100%, $G$9) + CHOOSE(CONTROL!$C$38, 0.0347, 0)</f>
        <v>76.736900000000006</v>
      </c>
      <c r="J1058" s="44">
        <f>848.1894</f>
        <v>848.18939999999998</v>
      </c>
    </row>
    <row r="1059" spans="1:11" ht="15.75" x14ac:dyDescent="0.25">
      <c r="A1059" s="32">
        <v>73170</v>
      </c>
      <c r="B1059" s="14">
        <f>86.2632 * CHOOSE(CONTROL!$C$15, $E$9, 100%, $G$9) + CHOOSE(CONTROL!$C$38, 0.0256, 0)</f>
        <v>86.288799999999995</v>
      </c>
      <c r="C1059" s="14">
        <f>81.6522 * CHOOSE(CONTROL!$C$15, $E$9, 100%, $G$9) + CHOOSE(CONTROL!$C$38, 0.0347, 0)</f>
        <v>81.686899999999994</v>
      </c>
      <c r="D1059" s="14">
        <f>81.6444 * CHOOSE(CONTROL!$C$15, $E$9, 100%, $G$9) + CHOOSE(CONTROL!$C$38, 0.0347, 0)</f>
        <v>81.679100000000005</v>
      </c>
      <c r="E1059" s="46">
        <f>86.1069 * CHOOSE(CONTROL!$C$15, $E$9, 100%, $G$9) + CHOOSE(CONTROL!$C$38, 0.0347, 0)</f>
        <v>86.141599999999997</v>
      </c>
      <c r="F1059" s="45">
        <f>86.1069 * CHOOSE(CONTROL!$C$15, $E$9, 100%, $G$9) + CHOOSE(CONTROL!$C$38, 0.0256, 0)</f>
        <v>86.132499999999993</v>
      </c>
      <c r="G1059" s="14">
        <f>81.6506 * CHOOSE(CONTROL!$C$15, $E$9, 100%, $G$9) + CHOOSE(CONTROL!$C$38, 0.0347, 0)</f>
        <v>81.685299999999998</v>
      </c>
      <c r="H1059" s="14">
        <f>81.6506 * CHOOSE(CONTROL!$C$15, $E$9, 100%, $G$9) + CHOOSE(CONTROL!$C$38, 0.0347, 0)</f>
        <v>81.685299999999998</v>
      </c>
      <c r="I1059" s="14">
        <f>81.6522 * CHOOSE(CONTROL!$C$15, $E$9, 100%, $G$9) + CHOOSE(CONTROL!$C$38, 0.0347, 0)</f>
        <v>81.686899999999994</v>
      </c>
      <c r="J1059" s="44">
        <f>903.258</f>
        <v>903.25800000000004</v>
      </c>
    </row>
    <row r="1060" spans="1:11" ht="15.75" x14ac:dyDescent="0.25">
      <c r="A1060" s="32">
        <v>73201</v>
      </c>
      <c r="B1060" s="14">
        <f>89.1373 * CHOOSE(CONTROL!$C$15, $E$9, 100%, $G$9) + CHOOSE(CONTROL!$C$38, 0.0278, 0)</f>
        <v>89.165099999999995</v>
      </c>
      <c r="C1060" s="14">
        <f>84.3768 * CHOOSE(CONTROL!$C$15, $E$9, 100%, $G$9) + CHOOSE(CONTROL!$C$38, 0.0369, 0)</f>
        <v>84.413700000000006</v>
      </c>
      <c r="D1060" s="14">
        <f>84.369 * CHOOSE(CONTROL!$C$15, $E$9, 100%, $G$9) + CHOOSE(CONTROL!$C$38, 0.0369, 0)</f>
        <v>84.405900000000003</v>
      </c>
      <c r="E1060" s="46">
        <f>88.981 * CHOOSE(CONTROL!$C$15, $E$9, 100%, $G$9) + CHOOSE(CONTROL!$C$38, 0.0369, 0)</f>
        <v>89.017899999999997</v>
      </c>
      <c r="F1060" s="45">
        <f>88.981 * CHOOSE(CONTROL!$C$15, $E$9, 100%, $G$9) + CHOOSE(CONTROL!$C$38, 0.0278, 0)</f>
        <v>89.008799999999994</v>
      </c>
      <c r="G1060" s="14">
        <f>84.3753 * CHOOSE(CONTROL!$C$15, $E$9, 100%, $G$9) + CHOOSE(CONTROL!$C$38, 0.0369, 0)</f>
        <v>84.412199999999999</v>
      </c>
      <c r="H1060" s="14">
        <f>84.3753 * CHOOSE(CONTROL!$C$15, $E$9, 100%, $G$9) + CHOOSE(CONTROL!$C$38, 0.0369, 0)</f>
        <v>84.412199999999999</v>
      </c>
      <c r="I1060" s="14">
        <f>84.3768 * CHOOSE(CONTROL!$C$15, $E$9, 100%, $G$9) + CHOOSE(CONTROL!$C$38, 0.0369, 0)</f>
        <v>84.413700000000006</v>
      </c>
      <c r="J1060" s="44">
        <f>933.5696</f>
        <v>933.56960000000004</v>
      </c>
    </row>
    <row r="1061" spans="1:11" ht="15.75" x14ac:dyDescent="0.25">
      <c r="A1061" s="32">
        <v>73231</v>
      </c>
      <c r="B1061" s="14">
        <f>90.4128 * CHOOSE(CONTROL!$C$15, $E$9, 100%, $G$9) + CHOOSE(CONTROL!$C$38, 0.0278, 0)</f>
        <v>90.440600000000003</v>
      </c>
      <c r="C1061" s="14">
        <f>85.586 * CHOOSE(CONTROL!$C$15, $E$9, 100%, $G$9) + CHOOSE(CONTROL!$C$38, 0.0369, 0)</f>
        <v>85.622900000000001</v>
      </c>
      <c r="D1061" s="14">
        <f>85.5782 * CHOOSE(CONTROL!$C$15, $E$9, 100%, $G$9) + CHOOSE(CONTROL!$C$38, 0.0369, 0)</f>
        <v>85.615099999999998</v>
      </c>
      <c r="E1061" s="46">
        <f>90.2565 * CHOOSE(CONTROL!$C$15, $E$9, 100%, $G$9) + CHOOSE(CONTROL!$C$38, 0.0369, 0)</f>
        <v>90.293400000000005</v>
      </c>
      <c r="F1061" s="45">
        <f>90.2565 * CHOOSE(CONTROL!$C$15, $E$9, 100%, $G$9) + CHOOSE(CONTROL!$C$38, 0.0278, 0)</f>
        <v>90.284300000000002</v>
      </c>
      <c r="G1061" s="14">
        <f>85.5844 * CHOOSE(CONTROL!$C$15, $E$9, 100%, $G$9) + CHOOSE(CONTROL!$C$38, 0.0369, 0)</f>
        <v>85.621300000000005</v>
      </c>
      <c r="H1061" s="14">
        <f>85.5844 * CHOOSE(CONTROL!$C$15, $E$9, 100%, $G$9) + CHOOSE(CONTROL!$C$38, 0.0369, 0)</f>
        <v>85.621300000000005</v>
      </c>
      <c r="I1061" s="14">
        <f>85.586 * CHOOSE(CONTROL!$C$15, $E$9, 100%, $G$9) + CHOOSE(CONTROL!$C$38, 0.0369, 0)</f>
        <v>85.622900000000001</v>
      </c>
      <c r="J1061" s="44">
        <f>947.0213</f>
        <v>947.0213</v>
      </c>
    </row>
    <row r="1062" spans="1:11" ht="15.75" x14ac:dyDescent="0.25">
      <c r="A1062" s="32">
        <v>73262</v>
      </c>
      <c r="B1062" s="14">
        <f>89.9928 * CHOOSE(CONTROL!$C$15, $E$9, 100%, $G$9) + CHOOSE(CONTROL!$C$38, 0.0278, 0)</f>
        <v>90.020600000000002</v>
      </c>
      <c r="C1062" s="14">
        <f>85.1879 * CHOOSE(CONTROL!$C$15, $E$9, 100%, $G$9) + CHOOSE(CONTROL!$C$38, 0.0369, 0)</f>
        <v>85.224800000000002</v>
      </c>
      <c r="D1062" s="14">
        <f>85.18 * CHOOSE(CONTROL!$C$15, $E$9, 100%, $G$9) + CHOOSE(CONTROL!$C$38, 0.0369, 0)</f>
        <v>85.21690000000001</v>
      </c>
      <c r="E1062" s="46">
        <f>89.8366 * CHOOSE(CONTROL!$C$15, $E$9, 100%, $G$9) + CHOOSE(CONTROL!$C$38, 0.0369, 0)</f>
        <v>89.873500000000007</v>
      </c>
      <c r="F1062" s="45">
        <f>89.8366 * CHOOSE(CONTROL!$C$15, $E$9, 100%, $G$9) + CHOOSE(CONTROL!$C$38, 0.0278, 0)</f>
        <v>89.864400000000003</v>
      </c>
      <c r="G1062" s="14">
        <f>85.1863 * CHOOSE(CONTROL!$C$15, $E$9, 100%, $G$9) + CHOOSE(CONTROL!$C$38, 0.0369, 0)</f>
        <v>85.223200000000006</v>
      </c>
      <c r="H1062" s="14">
        <f>85.1863 * CHOOSE(CONTROL!$C$15, $E$9, 100%, $G$9) + CHOOSE(CONTROL!$C$38, 0.0369, 0)</f>
        <v>85.223200000000006</v>
      </c>
      <c r="I1062" s="14">
        <f>85.1879 * CHOOSE(CONTROL!$C$15, $E$9, 100%, $G$9) + CHOOSE(CONTROL!$C$38, 0.0369, 0)</f>
        <v>85.224800000000002</v>
      </c>
      <c r="J1062" s="44">
        <f>942.5923</f>
        <v>942.59230000000002</v>
      </c>
    </row>
    <row r="1063" spans="1:11" ht="15.75" x14ac:dyDescent="0.25">
      <c r="A1063" s="32">
        <v>73293</v>
      </c>
      <c r="B1063" s="14">
        <f>87.9122 * CHOOSE(CONTROL!$C$15, $E$9, 100%, $G$9) + CHOOSE(CONTROL!$C$38, 0.0278, 0)</f>
        <v>87.94</v>
      </c>
      <c r="C1063" s="14">
        <f>83.2155 * CHOOSE(CONTROL!$C$15, $E$9, 100%, $G$9) + CHOOSE(CONTROL!$C$38, 0.0369, 0)</f>
        <v>83.252400000000009</v>
      </c>
      <c r="D1063" s="14">
        <f>83.2076 * CHOOSE(CONTROL!$C$15, $E$9, 100%, $G$9) + CHOOSE(CONTROL!$C$38, 0.0369, 0)</f>
        <v>83.244500000000002</v>
      </c>
      <c r="E1063" s="46">
        <f>87.7559 * CHOOSE(CONTROL!$C$15, $E$9, 100%, $G$9) + CHOOSE(CONTROL!$C$38, 0.0369, 0)</f>
        <v>87.7928</v>
      </c>
      <c r="F1063" s="45">
        <f>87.7559 * CHOOSE(CONTROL!$C$15, $E$9, 100%, $G$9) + CHOOSE(CONTROL!$C$38, 0.0278, 0)</f>
        <v>87.783699999999996</v>
      </c>
      <c r="G1063" s="14">
        <f>83.2139 * CHOOSE(CONTROL!$C$15, $E$9, 100%, $G$9) + CHOOSE(CONTROL!$C$38, 0.0369, 0)</f>
        <v>83.250799999999998</v>
      </c>
      <c r="H1063" s="14">
        <f>83.2139 * CHOOSE(CONTROL!$C$15, $E$9, 100%, $G$9) + CHOOSE(CONTROL!$C$38, 0.0369, 0)</f>
        <v>83.250799999999998</v>
      </c>
      <c r="I1063" s="14">
        <f>83.2155 * CHOOSE(CONTROL!$C$15, $E$9, 100%, $G$9) + CHOOSE(CONTROL!$C$38, 0.0369, 0)</f>
        <v>83.252400000000009</v>
      </c>
      <c r="J1063" s="44">
        <f>920.6492</f>
        <v>920.64919999999995</v>
      </c>
    </row>
    <row r="1064" spans="1:11" ht="15.75" x14ac:dyDescent="0.25">
      <c r="A1064" s="32">
        <v>73323</v>
      </c>
      <c r="B1064" s="14">
        <f>85.0106 * CHOOSE(CONTROL!$C$15, $E$9, 100%, $G$9) + CHOOSE(CONTROL!$C$38, 0.0278, 0)</f>
        <v>85.038399999999996</v>
      </c>
      <c r="C1064" s="14">
        <f>80.4648 * CHOOSE(CONTROL!$C$15, $E$9, 100%, $G$9) + CHOOSE(CONTROL!$C$38, 0.0369, 0)</f>
        <v>80.5017</v>
      </c>
      <c r="D1064" s="14">
        <f>80.457 * CHOOSE(CONTROL!$C$15, $E$9, 100%, $G$9) + CHOOSE(CONTROL!$C$38, 0.0369, 0)</f>
        <v>80.493899999999996</v>
      </c>
      <c r="E1064" s="46">
        <f>84.8544 * CHOOSE(CONTROL!$C$15, $E$9, 100%, $G$9) + CHOOSE(CONTROL!$C$38, 0.0369, 0)</f>
        <v>84.891300000000001</v>
      </c>
      <c r="F1064" s="45">
        <f>84.8544 * CHOOSE(CONTROL!$C$15, $E$9, 100%, $G$9) + CHOOSE(CONTROL!$C$38, 0.0278, 0)</f>
        <v>84.882199999999997</v>
      </c>
      <c r="G1064" s="14">
        <f>80.4633 * CHOOSE(CONTROL!$C$15, $E$9, 100%, $G$9) + CHOOSE(CONTROL!$C$38, 0.0369, 0)</f>
        <v>80.500200000000007</v>
      </c>
      <c r="H1064" s="14">
        <f>80.4633 * CHOOSE(CONTROL!$C$15, $E$9, 100%, $G$9) + CHOOSE(CONTROL!$C$38, 0.0369, 0)</f>
        <v>80.500200000000007</v>
      </c>
      <c r="I1064" s="14">
        <f>80.4648 * CHOOSE(CONTROL!$C$15, $E$9, 100%, $G$9) + CHOOSE(CONTROL!$C$38, 0.0369, 0)</f>
        <v>80.5017</v>
      </c>
      <c r="J1064" s="44">
        <f>890.0484</f>
        <v>890.04840000000002</v>
      </c>
    </row>
    <row r="1065" spans="1:11" ht="15.75" x14ac:dyDescent="0.25">
      <c r="A1065" s="32">
        <v>73354</v>
      </c>
      <c r="B1065" s="14">
        <f>82.0922 * CHOOSE(CONTROL!$C$15, $E$9, 100%, $G$9) + CHOOSE(CONTROL!$C$38, 0.0256, 0)</f>
        <v>82.117800000000003</v>
      </c>
      <c r="C1065" s="14">
        <f>77.6982 * CHOOSE(CONTROL!$C$15, $E$9, 100%, $G$9) + CHOOSE(CONTROL!$C$38, 0.0347, 0)</f>
        <v>77.732900000000001</v>
      </c>
      <c r="D1065" s="14">
        <f>77.6904 * CHOOSE(CONTROL!$C$15, $E$9, 100%, $G$9) + CHOOSE(CONTROL!$C$38, 0.0347, 0)</f>
        <v>77.725099999999998</v>
      </c>
      <c r="E1065" s="46">
        <f>81.936 * CHOOSE(CONTROL!$C$15, $E$9, 100%, $G$9) + CHOOSE(CONTROL!$C$38, 0.0347, 0)</f>
        <v>81.970700000000008</v>
      </c>
      <c r="F1065" s="45">
        <f>81.936 * CHOOSE(CONTROL!$C$15, $E$9, 100%, $G$9) + CHOOSE(CONTROL!$C$38, 0.0256, 0)</f>
        <v>81.961600000000004</v>
      </c>
      <c r="G1065" s="14">
        <f>77.6967 * CHOOSE(CONTROL!$C$15, $E$9, 100%, $G$9) + CHOOSE(CONTROL!$C$38, 0.0347, 0)</f>
        <v>77.731400000000008</v>
      </c>
      <c r="H1065" s="14">
        <f>77.6967 * CHOOSE(CONTROL!$C$15, $E$9, 100%, $G$9) + CHOOSE(CONTROL!$C$38, 0.0347, 0)</f>
        <v>77.731400000000008</v>
      </c>
      <c r="I1065" s="14">
        <f>77.6982 * CHOOSE(CONTROL!$C$15, $E$9, 100%, $G$9) + CHOOSE(CONTROL!$C$38, 0.0347, 0)</f>
        <v>77.732900000000001</v>
      </c>
      <c r="J1065" s="44">
        <f>859.2696</f>
        <v>859.26959999999997</v>
      </c>
    </row>
    <row r="1066" spans="1:11" ht="15.75" x14ac:dyDescent="0.25">
      <c r="A1066" s="32">
        <v>73384</v>
      </c>
      <c r="B1066" s="14">
        <f>81.5117 * CHOOSE(CONTROL!$C$15, $E$9, 100%, $G$9) + CHOOSE(CONTROL!$C$38, 0.0256, 0)</f>
        <v>81.537300000000002</v>
      </c>
      <c r="C1066" s="14">
        <f>77.1479 * CHOOSE(CONTROL!$C$15, $E$9, 100%, $G$9) + CHOOSE(CONTROL!$C$38, 0.0347, 0)</f>
        <v>77.182600000000008</v>
      </c>
      <c r="D1066" s="14">
        <f>77.1401 * CHOOSE(CONTROL!$C$15, $E$9, 100%, $G$9) + CHOOSE(CONTROL!$C$38, 0.0347, 0)</f>
        <v>77.174800000000005</v>
      </c>
      <c r="E1066" s="46">
        <f>81.3555 * CHOOSE(CONTROL!$C$15, $E$9, 100%, $G$9) + CHOOSE(CONTROL!$C$38, 0.0347, 0)</f>
        <v>81.390200000000007</v>
      </c>
      <c r="F1066" s="45">
        <f>81.3555 * CHOOSE(CONTROL!$C$15, $E$9, 100%, $G$9) + CHOOSE(CONTROL!$C$38, 0.0256, 0)</f>
        <v>81.381100000000004</v>
      </c>
      <c r="G1066" s="14">
        <f>77.1463 * CHOOSE(CONTROL!$C$15, $E$9, 100%, $G$9) + CHOOSE(CONTROL!$C$38, 0.0347, 0)</f>
        <v>77.180999999999997</v>
      </c>
      <c r="H1066" s="14">
        <f>77.1463 * CHOOSE(CONTROL!$C$15, $E$9, 100%, $G$9) + CHOOSE(CONTROL!$C$38, 0.0347, 0)</f>
        <v>77.180999999999997</v>
      </c>
      <c r="I1066" s="14">
        <f>77.1479 * CHOOSE(CONTROL!$C$15, $E$9, 100%, $G$9) + CHOOSE(CONTROL!$C$38, 0.0347, 0)</f>
        <v>77.182600000000008</v>
      </c>
      <c r="J1066" s="44">
        <f>853.1471</f>
        <v>853.14710000000002</v>
      </c>
    </row>
    <row r="1067" spans="1:11" ht="15.75" x14ac:dyDescent="0.25">
      <c r="A1067" s="32">
        <v>73415</v>
      </c>
      <c r="B1067" s="14">
        <f>79.1112 * CHOOSE(CONTROL!$C$15, $E$9, 100%, $G$9) + CHOOSE(CONTROL!$C$38, 0.0256, 0)</f>
        <v>79.136799999999994</v>
      </c>
      <c r="C1067" s="14">
        <f>74.8722 * CHOOSE(CONTROL!$C$15, $E$9, 100%, $G$9) + CHOOSE(CONTROL!$C$38, 0.0347, 0)</f>
        <v>74.906900000000007</v>
      </c>
      <c r="D1067" s="14">
        <f>74.8644 * CHOOSE(CONTROL!$C$15, $E$9, 100%, $G$9) + CHOOSE(CONTROL!$C$38, 0.0347, 0)</f>
        <v>74.899100000000004</v>
      </c>
      <c r="E1067" s="46">
        <f>78.9549 * CHOOSE(CONTROL!$C$15, $E$9, 100%, $G$9) + CHOOSE(CONTROL!$C$38, 0.0347, 0)</f>
        <v>78.989599999999996</v>
      </c>
      <c r="F1067" s="45">
        <f>78.9549 * CHOOSE(CONTROL!$C$15, $E$9, 100%, $G$9) + CHOOSE(CONTROL!$C$38, 0.0256, 0)</f>
        <v>78.980499999999992</v>
      </c>
      <c r="G1067" s="14">
        <f>74.8706 * CHOOSE(CONTROL!$C$15, $E$9, 100%, $G$9) + CHOOSE(CONTROL!$C$38, 0.0347, 0)</f>
        <v>74.905299999999997</v>
      </c>
      <c r="H1067" s="14">
        <f>74.8706 * CHOOSE(CONTROL!$C$15, $E$9, 100%, $G$9) + CHOOSE(CONTROL!$C$38, 0.0347, 0)</f>
        <v>74.905299999999997</v>
      </c>
      <c r="I1067" s="14">
        <f>74.8722 * CHOOSE(CONTROL!$C$15, $E$9, 100%, $G$9) + CHOOSE(CONTROL!$C$38, 0.0347, 0)</f>
        <v>74.906900000000007</v>
      </c>
      <c r="J1067" s="44">
        <f>827.8299</f>
        <v>827.82989999999995</v>
      </c>
    </row>
    <row r="1068" spans="1:11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</row>
    <row r="1069" spans="1:11" ht="15" x14ac:dyDescent="0.2">
      <c r="A1069" s="10">
        <v>2013</v>
      </c>
      <c r="B1069" s="14">
        <f t="shared" ref="B1069:J1069" si="0">AVERAGE(B12:B23)</f>
        <v>16.150543996859827</v>
      </c>
      <c r="C1069" s="14">
        <f t="shared" si="0"/>
        <v>15.439452360745092</v>
      </c>
      <c r="D1069" s="14">
        <f t="shared" si="0"/>
        <v>15.431645069078423</v>
      </c>
      <c r="E1069" s="14">
        <f t="shared" si="0"/>
        <v>15.431645069078423</v>
      </c>
      <c r="F1069" s="14">
        <f t="shared" si="0"/>
        <v>15.86128393845358</v>
      </c>
      <c r="G1069" s="14">
        <f t="shared" si="0"/>
        <v>15.437899235745091</v>
      </c>
      <c r="H1069" s="14">
        <f t="shared" si="0"/>
        <v>15.437899235745091</v>
      </c>
      <c r="I1069" s="14">
        <f t="shared" si="0"/>
        <v>15.439452360745092</v>
      </c>
      <c r="J1069" s="14">
        <f t="shared" si="0"/>
        <v>94.839166666666657</v>
      </c>
      <c r="K1069" s="14"/>
    </row>
    <row r="1070" spans="1:11" ht="15" x14ac:dyDescent="0.2">
      <c r="A1070" s="10">
        <v>2014</v>
      </c>
      <c r="B1070" s="14">
        <f t="shared" ref="B1070:J1070" si="1">AVERAGE(B24:B35)</f>
        <v>15.539041666666662</v>
      </c>
      <c r="C1070" s="14">
        <f t="shared" si="1"/>
        <v>14.766841666666664</v>
      </c>
      <c r="D1070" s="14">
        <f t="shared" si="1"/>
        <v>14.75904166666667</v>
      </c>
      <c r="E1070" s="14">
        <f t="shared" si="1"/>
        <v>15.391841666666664</v>
      </c>
      <c r="F1070" s="14">
        <f t="shared" si="1"/>
        <v>15.382741666666666</v>
      </c>
      <c r="G1070" s="14">
        <f t="shared" si="1"/>
        <v>14.765316666666665</v>
      </c>
      <c r="H1070" s="14">
        <f t="shared" si="1"/>
        <v>14.765316666666665</v>
      </c>
      <c r="I1070" s="14">
        <f t="shared" si="1"/>
        <v>14.766841666666664</v>
      </c>
      <c r="J1070" s="14">
        <f t="shared" si="1"/>
        <v>91.454166666666666</v>
      </c>
      <c r="K1070" s="14"/>
    </row>
    <row r="1071" spans="1:11" ht="15" x14ac:dyDescent="0.2">
      <c r="A1071" s="10">
        <v>2015</v>
      </c>
      <c r="B1071" s="14">
        <f t="shared" ref="B1071:J1071" si="2">AVERAGE(B36:B47)</f>
        <v>14.745916666666666</v>
      </c>
      <c r="C1071" s="14">
        <f t="shared" si="2"/>
        <v>14.220016666666666</v>
      </c>
      <c r="D1071" s="14">
        <f t="shared" si="2"/>
        <v>14.212216666666665</v>
      </c>
      <c r="E1071" s="14">
        <f t="shared" si="2"/>
        <v>14.59881666666667</v>
      </c>
      <c r="F1071" s="14">
        <f t="shared" si="2"/>
        <v>14.589716666666662</v>
      </c>
      <c r="G1071" s="14">
        <f t="shared" si="2"/>
        <v>14.21841666666667</v>
      </c>
      <c r="H1071" s="14">
        <f t="shared" si="2"/>
        <v>14.21841666666667</v>
      </c>
      <c r="I1071" s="14">
        <f t="shared" si="2"/>
        <v>14.220016666666666</v>
      </c>
      <c r="J1071" s="14">
        <f t="shared" si="2"/>
        <v>86.37833333333333</v>
      </c>
      <c r="K1071" s="14"/>
    </row>
    <row r="1072" spans="1:11" ht="15" x14ac:dyDescent="0.2">
      <c r="A1072" s="10">
        <v>2016</v>
      </c>
      <c r="B1072" s="14">
        <f t="shared" ref="B1072:J1072" si="3">AVERAGE(B48:B59)</f>
        <v>15.444841666666667</v>
      </c>
      <c r="C1072" s="14">
        <f t="shared" si="3"/>
        <v>14.949575000000001</v>
      </c>
      <c r="D1072" s="14">
        <f t="shared" si="3"/>
        <v>14.941766666666666</v>
      </c>
      <c r="E1072" s="14">
        <f t="shared" si="3"/>
        <v>15.297666666666666</v>
      </c>
      <c r="F1072" s="14">
        <f t="shared" si="3"/>
        <v>15.288566666666666</v>
      </c>
      <c r="G1072" s="14">
        <f t="shared" si="3"/>
        <v>14.948008333333332</v>
      </c>
      <c r="H1072" s="14">
        <f t="shared" si="3"/>
        <v>14.948008333333332</v>
      </c>
      <c r="I1072" s="14">
        <f t="shared" si="3"/>
        <v>14.949575000000001</v>
      </c>
      <c r="J1072" s="14">
        <f t="shared" si="3"/>
        <v>94.583733333333328</v>
      </c>
      <c r="K1072" s="14"/>
    </row>
    <row r="1073" spans="1:11" ht="15" x14ac:dyDescent="0.2">
      <c r="A1073" s="10">
        <v>2017</v>
      </c>
      <c r="B1073" s="14">
        <f t="shared" ref="B1073:J1073" si="4">AVERAGE(B60:B71)</f>
        <v>15.433908333333335</v>
      </c>
      <c r="C1073" s="14">
        <f t="shared" si="4"/>
        <v>14.938266666666669</v>
      </c>
      <c r="D1073" s="14">
        <f t="shared" si="4"/>
        <v>14.930466666666668</v>
      </c>
      <c r="E1073" s="14">
        <f t="shared" si="4"/>
        <v>15.286741666666666</v>
      </c>
      <c r="F1073" s="14">
        <f t="shared" si="4"/>
        <v>15.277641666666666</v>
      </c>
      <c r="G1073" s="14">
        <f t="shared" si="4"/>
        <v>14.936675000000001</v>
      </c>
      <c r="H1073" s="14">
        <f t="shared" si="4"/>
        <v>14.936675000000001</v>
      </c>
      <c r="I1073" s="14">
        <f t="shared" si="4"/>
        <v>14.938266666666669</v>
      </c>
      <c r="J1073" s="14">
        <f t="shared" si="4"/>
        <v>94.745133333333342</v>
      </c>
      <c r="K1073" s="14"/>
    </row>
    <row r="1074" spans="1:11" ht="15" x14ac:dyDescent="0.2">
      <c r="A1074" s="10">
        <v>2018</v>
      </c>
      <c r="B1074" s="14">
        <f t="shared" ref="B1074:J1074" si="5">AVERAGE(B72:B83)</f>
        <v>17.318483333333333</v>
      </c>
      <c r="C1074" s="14">
        <f t="shared" si="5"/>
        <v>16.851949999999999</v>
      </c>
      <c r="D1074" s="14">
        <f t="shared" si="5"/>
        <v>16.844149999999999</v>
      </c>
      <c r="E1074" s="14">
        <f t="shared" si="5"/>
        <v>17.171366666666668</v>
      </c>
      <c r="F1074" s="14">
        <f t="shared" si="5"/>
        <v>17.162266666666667</v>
      </c>
      <c r="G1074" s="14">
        <f t="shared" si="5"/>
        <v>16.850416666666664</v>
      </c>
      <c r="H1074" s="14">
        <f t="shared" si="5"/>
        <v>16.850416666666664</v>
      </c>
      <c r="I1074" s="14">
        <f t="shared" si="5"/>
        <v>16.851949999999999</v>
      </c>
      <c r="J1074" s="14">
        <f t="shared" si="5"/>
        <v>110.98133333333332</v>
      </c>
      <c r="K1074" s="14"/>
    </row>
    <row r="1075" spans="1:11" ht="15" x14ac:dyDescent="0.2">
      <c r="A1075" s="10">
        <v>2019</v>
      </c>
      <c r="B1075" s="14">
        <f t="shared" ref="B1075:J1075" si="6">AVERAGE(B84:B95)</f>
        <v>17.774591666666666</v>
      </c>
      <c r="C1075" s="14">
        <f t="shared" si="6"/>
        <v>17.275250000000003</v>
      </c>
      <c r="D1075" s="14">
        <f t="shared" si="6"/>
        <v>17.26745</v>
      </c>
      <c r="E1075" s="14">
        <f t="shared" si="6"/>
        <v>17.627408333333332</v>
      </c>
      <c r="F1075" s="14">
        <f t="shared" si="6"/>
        <v>17.618308333333335</v>
      </c>
      <c r="G1075" s="14">
        <f t="shared" si="6"/>
        <v>17.273691666666668</v>
      </c>
      <c r="H1075" s="14">
        <f t="shared" si="6"/>
        <v>17.273691666666668</v>
      </c>
      <c r="I1075" s="14">
        <f t="shared" si="6"/>
        <v>17.275250000000003</v>
      </c>
      <c r="J1075" s="14">
        <f t="shared" si="6"/>
        <v>113.54180833333335</v>
      </c>
      <c r="K1075" s="14"/>
    </row>
    <row r="1076" spans="1:11" ht="15" x14ac:dyDescent="0.2">
      <c r="A1076" s="10">
        <v>2020</v>
      </c>
      <c r="B1076" s="14">
        <f t="shared" ref="B1076:J1076" si="7">AVERAGE(B96:B107)</f>
        <v>18.349883333333334</v>
      </c>
      <c r="C1076" s="14">
        <f t="shared" si="7"/>
        <v>17.697241666666667</v>
      </c>
      <c r="D1076" s="14">
        <f t="shared" si="7"/>
        <v>17.689425000000004</v>
      </c>
      <c r="E1076" s="14">
        <f t="shared" si="7"/>
        <v>18.202733333333331</v>
      </c>
      <c r="F1076" s="14">
        <f t="shared" si="7"/>
        <v>18.193633333333334</v>
      </c>
      <c r="G1076" s="14">
        <f t="shared" si="7"/>
        <v>17.695691666666665</v>
      </c>
      <c r="H1076" s="14">
        <f t="shared" si="7"/>
        <v>17.695691666666665</v>
      </c>
      <c r="I1076" s="14">
        <f t="shared" si="7"/>
        <v>17.697241666666667</v>
      </c>
      <c r="J1076" s="14">
        <f t="shared" si="7"/>
        <v>116.10022500000001</v>
      </c>
      <c r="K1076" s="14"/>
    </row>
    <row r="1077" spans="1:11" ht="15" x14ac:dyDescent="0.2">
      <c r="A1077" s="10">
        <v>2021</v>
      </c>
      <c r="B1077" s="14">
        <f t="shared" ref="B1077:J1077" si="8">AVERAGE(B108:B119)</f>
        <v>19.423433333333332</v>
      </c>
      <c r="C1077" s="14">
        <f t="shared" si="8"/>
        <v>18.470008333333332</v>
      </c>
      <c r="D1077" s="14">
        <f t="shared" si="8"/>
        <v>18.462191666666666</v>
      </c>
      <c r="E1077" s="14">
        <f t="shared" si="8"/>
        <v>19.276275000000002</v>
      </c>
      <c r="F1077" s="14">
        <f t="shared" si="8"/>
        <v>19.267174999999998</v>
      </c>
      <c r="G1077" s="14">
        <f t="shared" si="8"/>
        <v>18.468425</v>
      </c>
      <c r="H1077" s="14">
        <f t="shared" si="8"/>
        <v>18.468425</v>
      </c>
      <c r="I1077" s="14">
        <f t="shared" si="8"/>
        <v>18.470008333333332</v>
      </c>
      <c r="J1077" s="14">
        <f t="shared" si="8"/>
        <v>122.03735833333333</v>
      </c>
      <c r="K1077" s="14"/>
    </row>
    <row r="1078" spans="1:11" ht="15" x14ac:dyDescent="0.2">
      <c r="A1078" s="10">
        <v>2022</v>
      </c>
      <c r="B1078" s="14">
        <f t="shared" ref="B1078:J1078" si="9">AVERAGE(B120:B131)</f>
        <v>20.263974999999999</v>
      </c>
      <c r="C1078" s="14">
        <f t="shared" si="9"/>
        <v>19.306583333333332</v>
      </c>
      <c r="D1078" s="14">
        <f t="shared" si="9"/>
        <v>19.298774999999996</v>
      </c>
      <c r="E1078" s="14">
        <f t="shared" si="9"/>
        <v>20.116800000000001</v>
      </c>
      <c r="F1078" s="14">
        <f t="shared" si="9"/>
        <v>20.107700000000001</v>
      </c>
      <c r="G1078" s="14">
        <f t="shared" si="9"/>
        <v>19.305008333333333</v>
      </c>
      <c r="H1078" s="14">
        <f t="shared" si="9"/>
        <v>19.305008333333333</v>
      </c>
      <c r="I1078" s="14">
        <f t="shared" si="9"/>
        <v>19.306583333333332</v>
      </c>
      <c r="J1078" s="14">
        <f t="shared" si="9"/>
        <v>128.27124999999998</v>
      </c>
      <c r="K1078" s="14"/>
    </row>
    <row r="1079" spans="1:11" ht="15" x14ac:dyDescent="0.2">
      <c r="A1079" s="10">
        <v>2023</v>
      </c>
      <c r="B1079" s="14">
        <f t="shared" ref="B1079:J1079" si="10">AVERAGE(B132:B143)</f>
        <v>21.364608333333333</v>
      </c>
      <c r="C1079" s="14">
        <f t="shared" si="10"/>
        <v>20.240399999999998</v>
      </c>
      <c r="D1079" s="14">
        <f t="shared" si="10"/>
        <v>20.232599999999998</v>
      </c>
      <c r="E1079" s="14">
        <f t="shared" si="10"/>
        <v>21.217450000000003</v>
      </c>
      <c r="F1079" s="14">
        <f t="shared" si="10"/>
        <v>21.208349999999999</v>
      </c>
      <c r="G1079" s="14">
        <f t="shared" si="10"/>
        <v>20.238858333333333</v>
      </c>
      <c r="H1079" s="14">
        <f t="shared" si="10"/>
        <v>20.238858333333333</v>
      </c>
      <c r="I1079" s="14">
        <f t="shared" si="10"/>
        <v>20.240399999999998</v>
      </c>
      <c r="J1079" s="14">
        <f t="shared" si="10"/>
        <v>134.81665833333332</v>
      </c>
      <c r="K1079" s="14"/>
    </row>
    <row r="1080" spans="1:11" ht="15" x14ac:dyDescent="0.2">
      <c r="A1080" s="10">
        <v>2024</v>
      </c>
      <c r="B1080" s="14">
        <f t="shared" ref="B1080:J1080" si="11">AVERAGE(B144:B155)</f>
        <v>22.501850000000001</v>
      </c>
      <c r="C1080" s="14">
        <f t="shared" si="11"/>
        <v>21.209225</v>
      </c>
      <c r="D1080" s="14">
        <f t="shared" si="11"/>
        <v>21.201408333333337</v>
      </c>
      <c r="E1080" s="14">
        <f t="shared" si="11"/>
        <v>22.354708333333335</v>
      </c>
      <c r="F1080" s="14">
        <f t="shared" si="11"/>
        <v>22.345608333333331</v>
      </c>
      <c r="G1080" s="14">
        <f t="shared" si="11"/>
        <v>21.207649999999997</v>
      </c>
      <c r="H1080" s="14">
        <f t="shared" si="11"/>
        <v>21.207649999999997</v>
      </c>
      <c r="I1080" s="14">
        <f t="shared" si="11"/>
        <v>21.209225</v>
      </c>
      <c r="J1080" s="14">
        <f t="shared" si="11"/>
        <v>141.68893333333332</v>
      </c>
      <c r="K1080" s="14"/>
    </row>
    <row r="1081" spans="1:11" ht="15" x14ac:dyDescent="0.2">
      <c r="A1081" s="10">
        <v>2025</v>
      </c>
      <c r="B1081" s="14">
        <f t="shared" ref="B1081:J1081" si="12">AVERAGE(B156:B167)</f>
        <v>23.645183333333332</v>
      </c>
      <c r="C1081" s="14">
        <f t="shared" si="12"/>
        <v>22.182508333333335</v>
      </c>
      <c r="D1081" s="14">
        <f t="shared" si="12"/>
        <v>22.174674999999997</v>
      </c>
      <c r="E1081" s="14">
        <f t="shared" si="12"/>
        <v>23.498033333333336</v>
      </c>
      <c r="F1081" s="14">
        <f t="shared" si="12"/>
        <v>23.488933333333332</v>
      </c>
      <c r="G1081" s="14">
        <f t="shared" si="12"/>
        <v>22.180949999999999</v>
      </c>
      <c r="H1081" s="14">
        <f t="shared" si="12"/>
        <v>22.180949999999999</v>
      </c>
      <c r="I1081" s="14">
        <f t="shared" si="12"/>
        <v>22.182508333333335</v>
      </c>
      <c r="J1081" s="14">
        <f t="shared" si="12"/>
        <v>148.90432500000003</v>
      </c>
      <c r="K1081" s="14"/>
    </row>
    <row r="1082" spans="1:11" ht="15" x14ac:dyDescent="0.2">
      <c r="A1082" s="10">
        <v>2026</v>
      </c>
      <c r="B1082" s="14">
        <f t="shared" ref="B1082:J1082" si="13">AVERAGE(B168:B179)</f>
        <v>24.187716666666663</v>
      </c>
      <c r="C1082" s="14">
        <f t="shared" si="13"/>
        <v>22.718575000000001</v>
      </c>
      <c r="D1082" s="14">
        <f t="shared" si="13"/>
        <v>22.710774999999998</v>
      </c>
      <c r="E1082" s="14">
        <f t="shared" si="13"/>
        <v>24.040575</v>
      </c>
      <c r="F1082" s="14">
        <f t="shared" si="13"/>
        <v>24.031475</v>
      </c>
      <c r="G1082" s="14">
        <f t="shared" si="13"/>
        <v>22.717025000000003</v>
      </c>
      <c r="H1082" s="14">
        <f t="shared" si="13"/>
        <v>22.717025000000003</v>
      </c>
      <c r="I1082" s="14">
        <f t="shared" si="13"/>
        <v>22.718575000000001</v>
      </c>
      <c r="J1082" s="14">
        <f t="shared" si="13"/>
        <v>152.65531666666666</v>
      </c>
      <c r="K1082" s="14"/>
    </row>
    <row r="1083" spans="1:11" ht="15" x14ac:dyDescent="0.2">
      <c r="A1083" s="10">
        <v>2027</v>
      </c>
      <c r="B1083" s="14">
        <f t="shared" ref="B1083:J1083" si="14">AVERAGE(B180:B191)</f>
        <v>24.786991666666665</v>
      </c>
      <c r="C1083" s="14">
        <f t="shared" si="14"/>
        <v>23.311391666666665</v>
      </c>
      <c r="D1083" s="14">
        <f t="shared" si="14"/>
        <v>23.303591666666666</v>
      </c>
      <c r="E1083" s="14">
        <f t="shared" si="14"/>
        <v>24.639849999999999</v>
      </c>
      <c r="F1083" s="14">
        <f t="shared" si="14"/>
        <v>24.630750000000003</v>
      </c>
      <c r="G1083" s="14">
        <f t="shared" si="14"/>
        <v>23.309816666666666</v>
      </c>
      <c r="H1083" s="14">
        <f t="shared" si="14"/>
        <v>23.309816666666666</v>
      </c>
      <c r="I1083" s="14">
        <f t="shared" si="14"/>
        <v>23.311391666666665</v>
      </c>
      <c r="J1083" s="14">
        <f t="shared" si="14"/>
        <v>156.50068333333334</v>
      </c>
      <c r="K1083" s="14"/>
    </row>
    <row r="1084" spans="1:11" ht="15" x14ac:dyDescent="0.2">
      <c r="A1084" s="10">
        <v>2028</v>
      </c>
      <c r="B1084" s="14">
        <f t="shared" ref="B1084:J1084" si="15">AVERAGE(B192:B203)</f>
        <v>25.335583333333336</v>
      </c>
      <c r="C1084" s="14">
        <f t="shared" si="15"/>
        <v>23.853449999999999</v>
      </c>
      <c r="D1084" s="14">
        <f t="shared" si="15"/>
        <v>23.845649999999996</v>
      </c>
      <c r="E1084" s="14">
        <f t="shared" si="15"/>
        <v>25.188424999999999</v>
      </c>
      <c r="F1084" s="14">
        <f t="shared" si="15"/>
        <v>25.179325000000002</v>
      </c>
      <c r="G1084" s="14">
        <f t="shared" si="15"/>
        <v>23.851875000000003</v>
      </c>
      <c r="H1084" s="14">
        <f t="shared" si="15"/>
        <v>23.851875000000003</v>
      </c>
      <c r="I1084" s="14">
        <f t="shared" si="15"/>
        <v>23.853449999999999</v>
      </c>
      <c r="J1084" s="14">
        <f t="shared" si="15"/>
        <v>160.44282500000003</v>
      </c>
      <c r="K1084" s="14"/>
    </row>
    <row r="1085" spans="1:11" ht="15" x14ac:dyDescent="0.2">
      <c r="A1085" s="10">
        <v>2029</v>
      </c>
      <c r="B1085" s="14">
        <f t="shared" ref="B1085:J1085" si="16">AVERAGE(B204:B215)</f>
        <v>25.967066666666668</v>
      </c>
      <c r="C1085" s="14">
        <f t="shared" si="16"/>
        <v>24.478399999999997</v>
      </c>
      <c r="D1085" s="14">
        <f t="shared" si="16"/>
        <v>24.470591666666664</v>
      </c>
      <c r="E1085" s="14">
        <f t="shared" si="16"/>
        <v>25.819925000000001</v>
      </c>
      <c r="F1085" s="14">
        <f t="shared" si="16"/>
        <v>25.810825000000005</v>
      </c>
      <c r="G1085" s="14">
        <f t="shared" si="16"/>
        <v>24.476841666666662</v>
      </c>
      <c r="H1085" s="14">
        <f t="shared" si="16"/>
        <v>24.476841666666662</v>
      </c>
      <c r="I1085" s="14">
        <f t="shared" si="16"/>
        <v>24.478399999999997</v>
      </c>
      <c r="J1085" s="14">
        <f t="shared" si="16"/>
        <v>164.48420000000002</v>
      </c>
      <c r="K1085" s="14"/>
    </row>
    <row r="1086" spans="1:11" ht="15" x14ac:dyDescent="0.2">
      <c r="A1086" s="10">
        <v>2030</v>
      </c>
      <c r="B1086" s="14">
        <f t="shared" ref="B1086:J1086" si="17">AVERAGE(B216:B227)</f>
        <v>26.491425000000003</v>
      </c>
      <c r="C1086" s="14">
        <f t="shared" si="17"/>
        <v>24.999675</v>
      </c>
      <c r="D1086" s="14">
        <f t="shared" si="17"/>
        <v>24.991866666666667</v>
      </c>
      <c r="E1086" s="14">
        <f t="shared" si="17"/>
        <v>26.344291666666674</v>
      </c>
      <c r="F1086" s="14">
        <f t="shared" si="17"/>
        <v>26.335191666666663</v>
      </c>
      <c r="G1086" s="14">
        <f t="shared" si="17"/>
        <v>24.998116666666665</v>
      </c>
      <c r="H1086" s="14">
        <f t="shared" si="17"/>
        <v>24.998116666666665</v>
      </c>
      <c r="I1086" s="14">
        <f t="shared" si="17"/>
        <v>24.999675</v>
      </c>
      <c r="J1086" s="14">
        <f t="shared" si="17"/>
        <v>168.20285833333332</v>
      </c>
      <c r="K1086" s="14"/>
    </row>
    <row r="1087" spans="1:11" ht="15" x14ac:dyDescent="0.2">
      <c r="A1087" s="10">
        <v>2031</v>
      </c>
      <c r="B1087" s="14">
        <f t="shared" ref="B1087:J1087" si="18">AVERAGE(B228:B239)</f>
        <v>27.023991666666671</v>
      </c>
      <c r="C1087" s="14">
        <f t="shared" si="18"/>
        <v>25.504724999999997</v>
      </c>
      <c r="D1087" s="14">
        <f t="shared" si="18"/>
        <v>25.496925000000001</v>
      </c>
      <c r="E1087" s="14">
        <f t="shared" si="18"/>
        <v>26.876841666666667</v>
      </c>
      <c r="F1087" s="14">
        <f t="shared" si="18"/>
        <v>26.867741666666664</v>
      </c>
      <c r="G1087" s="14">
        <f t="shared" si="18"/>
        <v>25.503158333333332</v>
      </c>
      <c r="H1087" s="14">
        <f t="shared" si="18"/>
        <v>25.503158333333332</v>
      </c>
      <c r="I1087" s="14">
        <f t="shared" si="18"/>
        <v>25.504724999999997</v>
      </c>
      <c r="J1087" s="14">
        <f t="shared" si="18"/>
        <v>172.81079166666663</v>
      </c>
      <c r="K1087" s="14"/>
    </row>
    <row r="1088" spans="1:11" ht="15" x14ac:dyDescent="0.2">
      <c r="A1088" s="10">
        <v>2032</v>
      </c>
      <c r="B1088" s="14">
        <f t="shared" ref="B1088:J1088" si="19">AVERAGE(B240:B251)</f>
        <v>27.467183333333335</v>
      </c>
      <c r="C1088" s="14">
        <f t="shared" si="19"/>
        <v>25.924858333333333</v>
      </c>
      <c r="D1088" s="14">
        <f t="shared" si="19"/>
        <v>25.917041666666666</v>
      </c>
      <c r="E1088" s="14">
        <f t="shared" si="19"/>
        <v>27.320025000000001</v>
      </c>
      <c r="F1088" s="14">
        <f t="shared" si="19"/>
        <v>27.310925000000008</v>
      </c>
      <c r="G1088" s="14">
        <f t="shared" si="19"/>
        <v>25.923291666666671</v>
      </c>
      <c r="H1088" s="14">
        <f t="shared" si="19"/>
        <v>25.923291666666671</v>
      </c>
      <c r="I1088" s="14">
        <f t="shared" si="19"/>
        <v>25.924858333333333</v>
      </c>
      <c r="J1088" s="14">
        <f t="shared" si="19"/>
        <v>176.93085833333336</v>
      </c>
      <c r="K1088" s="14"/>
    </row>
    <row r="1089" spans="1:11" ht="15" x14ac:dyDescent="0.2">
      <c r="A1089" s="10">
        <v>2033</v>
      </c>
      <c r="B1089" s="14">
        <f t="shared" ref="B1089:J1089" si="20">AVERAGE(B252:B263)</f>
        <v>27.917816666666667</v>
      </c>
      <c r="C1089" s="14">
        <f t="shared" si="20"/>
        <v>26.352041666666668</v>
      </c>
      <c r="D1089" s="14">
        <f t="shared" si="20"/>
        <v>26.344225000000005</v>
      </c>
      <c r="E1089" s="14">
        <f t="shared" si="20"/>
        <v>27.770658333333333</v>
      </c>
      <c r="F1089" s="14">
        <f t="shared" si="20"/>
        <v>27.76155833333333</v>
      </c>
      <c r="G1089" s="14">
        <f t="shared" si="20"/>
        <v>26.350483333333333</v>
      </c>
      <c r="H1089" s="14">
        <f t="shared" si="20"/>
        <v>26.350483333333333</v>
      </c>
      <c r="I1089" s="14">
        <f t="shared" si="20"/>
        <v>26.352041666666668</v>
      </c>
      <c r="J1089" s="14">
        <f t="shared" si="20"/>
        <v>181.14915833333336</v>
      </c>
      <c r="K1089" s="14"/>
    </row>
    <row r="1090" spans="1:11" ht="15" x14ac:dyDescent="0.2">
      <c r="A1090" s="10">
        <v>2034</v>
      </c>
      <c r="B1090" s="14">
        <f t="shared" ref="B1090:J1090" si="21">AVERAGE(B264:B275)</f>
        <v>28.376016666666668</v>
      </c>
      <c r="C1090" s="14">
        <f t="shared" si="21"/>
        <v>26.786424999999998</v>
      </c>
      <c r="D1090" s="14">
        <f t="shared" si="21"/>
        <v>26.778591666666671</v>
      </c>
      <c r="E1090" s="14">
        <f t="shared" si="21"/>
        <v>28.228850000000005</v>
      </c>
      <c r="F1090" s="14">
        <f t="shared" si="21"/>
        <v>28.219750000000001</v>
      </c>
      <c r="G1090" s="14">
        <f t="shared" si="21"/>
        <v>26.784841666666665</v>
      </c>
      <c r="H1090" s="14">
        <f t="shared" si="21"/>
        <v>26.784841666666665</v>
      </c>
      <c r="I1090" s="14">
        <f t="shared" si="21"/>
        <v>26.786424999999998</v>
      </c>
      <c r="J1090" s="14">
        <f t="shared" si="21"/>
        <v>185.4680166666667</v>
      </c>
      <c r="K1090" s="14"/>
    </row>
    <row r="1091" spans="1:11" ht="15" x14ac:dyDescent="0.2">
      <c r="A1091" s="10">
        <v>2035</v>
      </c>
      <c r="B1091" s="14">
        <f t="shared" ref="B1091:J1091" si="22">AVERAGE(B276:B287)</f>
        <v>28.841891666666669</v>
      </c>
      <c r="C1091" s="14">
        <f t="shared" si="22"/>
        <v>27.228083333333331</v>
      </c>
      <c r="D1091" s="14">
        <f t="shared" si="22"/>
        <v>27.220258333333337</v>
      </c>
      <c r="E1091" s="14">
        <f t="shared" si="22"/>
        <v>28.694741666666662</v>
      </c>
      <c r="F1091" s="14">
        <f t="shared" si="22"/>
        <v>28.685641666666669</v>
      </c>
      <c r="G1091" s="14">
        <f t="shared" si="22"/>
        <v>27.226524999999999</v>
      </c>
      <c r="H1091" s="14">
        <f t="shared" si="22"/>
        <v>27.226524999999999</v>
      </c>
      <c r="I1091" s="14">
        <f t="shared" si="22"/>
        <v>27.228083333333331</v>
      </c>
      <c r="J1091" s="14">
        <f t="shared" si="22"/>
        <v>189.88985833333334</v>
      </c>
      <c r="K1091" s="14"/>
    </row>
    <row r="1092" spans="1:11" ht="15" x14ac:dyDescent="0.2">
      <c r="A1092" s="10">
        <v>2036</v>
      </c>
      <c r="B1092" s="14">
        <f t="shared" ref="B1092:J1092" si="23">AVERAGE(B288:B299)</f>
        <v>29.315624999999997</v>
      </c>
      <c r="C1092" s="14">
        <f t="shared" si="23"/>
        <v>27.677158333333338</v>
      </c>
      <c r="D1092" s="14">
        <f t="shared" si="23"/>
        <v>27.669341666666664</v>
      </c>
      <c r="E1092" s="14">
        <f t="shared" si="23"/>
        <v>29.168483333333338</v>
      </c>
      <c r="F1092" s="14">
        <f t="shared" si="23"/>
        <v>29.159383333333334</v>
      </c>
      <c r="G1092" s="14">
        <f t="shared" si="23"/>
        <v>27.675591666666673</v>
      </c>
      <c r="H1092" s="14">
        <f t="shared" si="23"/>
        <v>27.675591666666673</v>
      </c>
      <c r="I1092" s="14">
        <f t="shared" si="23"/>
        <v>27.677158333333338</v>
      </c>
      <c r="J1092" s="14">
        <f t="shared" si="23"/>
        <v>194.41710000000003</v>
      </c>
      <c r="K1092" s="14"/>
    </row>
    <row r="1093" spans="1:11" ht="15" x14ac:dyDescent="0.2">
      <c r="A1093" s="10">
        <v>2037</v>
      </c>
      <c r="B1093" s="14">
        <f t="shared" ref="B1093:J1093" si="24">AVERAGE(B300:B311)</f>
        <v>29.797316666666664</v>
      </c>
      <c r="C1093" s="14">
        <f t="shared" si="24"/>
        <v>28.133783333333337</v>
      </c>
      <c r="D1093" s="14">
        <f t="shared" si="24"/>
        <v>28.125983333333334</v>
      </c>
      <c r="E1093" s="14">
        <f t="shared" si="24"/>
        <v>29.650141666666666</v>
      </c>
      <c r="F1093" s="14">
        <f t="shared" si="24"/>
        <v>29.641041666666666</v>
      </c>
      <c r="G1093" s="14">
        <f t="shared" si="24"/>
        <v>28.132225000000002</v>
      </c>
      <c r="H1093" s="14">
        <f t="shared" si="24"/>
        <v>28.132225000000002</v>
      </c>
      <c r="I1093" s="14">
        <f t="shared" si="24"/>
        <v>28.133783333333337</v>
      </c>
      <c r="J1093" s="14">
        <f t="shared" si="24"/>
        <v>199.05229999999997</v>
      </c>
      <c r="K1093" s="14"/>
    </row>
    <row r="1094" spans="1:11" ht="15" x14ac:dyDescent="0.2">
      <c r="A1094" s="10">
        <f t="shared" ref="A1094:A1125" si="25">A1093+1</f>
        <v>2038</v>
      </c>
      <c r="B1094" s="14">
        <f t="shared" ref="B1094:J1094" si="26">AVERAGE(B312:B323)</f>
        <v>30.287083333333332</v>
      </c>
      <c r="C1094" s="14">
        <f t="shared" si="26"/>
        <v>28.598083333333332</v>
      </c>
      <c r="D1094" s="14">
        <f t="shared" si="26"/>
        <v>28.590283333333328</v>
      </c>
      <c r="E1094" s="14">
        <f t="shared" si="26"/>
        <v>30.139925000000002</v>
      </c>
      <c r="F1094" s="14">
        <f t="shared" si="26"/>
        <v>30.130825000000002</v>
      </c>
      <c r="G1094" s="14">
        <f t="shared" si="26"/>
        <v>28.596525</v>
      </c>
      <c r="H1094" s="14">
        <f t="shared" si="26"/>
        <v>28.596525</v>
      </c>
      <c r="I1094" s="14">
        <f t="shared" si="26"/>
        <v>28.598083333333332</v>
      </c>
      <c r="J1094" s="14">
        <f t="shared" si="26"/>
        <v>203.79801666666665</v>
      </c>
    </row>
    <row r="1095" spans="1:11" ht="15" x14ac:dyDescent="0.2">
      <c r="A1095" s="10">
        <f t="shared" si="25"/>
        <v>2039</v>
      </c>
      <c r="B1095" s="14">
        <f t="shared" ref="B1095:J1095" si="27">AVERAGE(B324:B335)</f>
        <v>30.785083333333336</v>
      </c>
      <c r="C1095" s="14">
        <f t="shared" si="27"/>
        <v>29.070183333333336</v>
      </c>
      <c r="D1095" s="14">
        <f t="shared" si="27"/>
        <v>29.062375000000003</v>
      </c>
      <c r="E1095" s="14">
        <f t="shared" si="27"/>
        <v>30.637925000000006</v>
      </c>
      <c r="F1095" s="14">
        <f t="shared" si="27"/>
        <v>30.628824999999992</v>
      </c>
      <c r="G1095" s="14">
        <f t="shared" si="27"/>
        <v>29.068625000000008</v>
      </c>
      <c r="H1095" s="14">
        <f t="shared" si="27"/>
        <v>29.068625000000008</v>
      </c>
      <c r="I1095" s="14">
        <f t="shared" si="27"/>
        <v>29.070183333333336</v>
      </c>
      <c r="J1095" s="14">
        <f t="shared" si="27"/>
        <v>208.65685833333336</v>
      </c>
    </row>
    <row r="1096" spans="1:11" ht="15" x14ac:dyDescent="0.2">
      <c r="A1096" s="10">
        <f t="shared" si="25"/>
        <v>2040</v>
      </c>
      <c r="B1096" s="14">
        <f t="shared" ref="B1096:J1096" si="28">AVERAGE(B336:B347)</f>
        <v>31.29144166666666</v>
      </c>
      <c r="C1096" s="14">
        <f t="shared" si="28"/>
        <v>29.550224999999998</v>
      </c>
      <c r="D1096" s="14">
        <f t="shared" si="28"/>
        <v>29.542391666666663</v>
      </c>
      <c r="E1096" s="14">
        <f t="shared" si="28"/>
        <v>31.144291666666664</v>
      </c>
      <c r="F1096" s="14">
        <f t="shared" si="28"/>
        <v>31.135191666666671</v>
      </c>
      <c r="G1096" s="14">
        <f t="shared" si="28"/>
        <v>29.548641666666668</v>
      </c>
      <c r="H1096" s="14">
        <f t="shared" si="28"/>
        <v>29.548641666666668</v>
      </c>
      <c r="I1096" s="14">
        <f t="shared" si="28"/>
        <v>29.550224999999998</v>
      </c>
      <c r="J1096" s="14">
        <f t="shared" si="28"/>
        <v>213.63155833333337</v>
      </c>
    </row>
    <row r="1097" spans="1:11" ht="15" x14ac:dyDescent="0.2">
      <c r="A1097" s="10">
        <f t="shared" si="25"/>
        <v>2041</v>
      </c>
      <c r="B1097" s="14">
        <f t="shared" ref="B1097:J1097" si="29">AVERAGE(B348:B359)</f>
        <v>31.806325000000001</v>
      </c>
      <c r="C1097" s="14">
        <f t="shared" si="29"/>
        <v>30.03831666666667</v>
      </c>
      <c r="D1097" s="14">
        <f t="shared" si="29"/>
        <v>30.030491666666663</v>
      </c>
      <c r="E1097" s="14">
        <f t="shared" si="29"/>
        <v>31.659183333333335</v>
      </c>
      <c r="F1097" s="14">
        <f t="shared" si="29"/>
        <v>31.650083333333331</v>
      </c>
      <c r="G1097" s="14">
        <f t="shared" si="29"/>
        <v>30.036741666666668</v>
      </c>
      <c r="H1097" s="14">
        <f t="shared" si="29"/>
        <v>30.036741666666668</v>
      </c>
      <c r="I1097" s="14">
        <f t="shared" si="29"/>
        <v>30.03831666666667</v>
      </c>
      <c r="J1097" s="14">
        <f t="shared" si="29"/>
        <v>218.72484166666666</v>
      </c>
    </row>
    <row r="1098" spans="1:11" ht="15" x14ac:dyDescent="0.2">
      <c r="A1098" s="10">
        <f t="shared" si="25"/>
        <v>2042</v>
      </c>
      <c r="B1098" s="14">
        <f t="shared" ref="B1098:J1098" si="30">AVERAGE(B360:B371)</f>
        <v>32.329841666666667</v>
      </c>
      <c r="C1098" s="14">
        <f t="shared" si="30"/>
        <v>30.534591666666667</v>
      </c>
      <c r="D1098" s="14">
        <f t="shared" si="30"/>
        <v>30.526783333333331</v>
      </c>
      <c r="E1098" s="14">
        <f t="shared" si="30"/>
        <v>32.182691666666663</v>
      </c>
      <c r="F1098" s="14">
        <f t="shared" si="30"/>
        <v>32.17359166666666</v>
      </c>
      <c r="G1098" s="14">
        <f t="shared" si="30"/>
        <v>30.533041666666662</v>
      </c>
      <c r="H1098" s="14">
        <f t="shared" si="30"/>
        <v>30.533041666666662</v>
      </c>
      <c r="I1098" s="14">
        <f t="shared" si="30"/>
        <v>30.534591666666667</v>
      </c>
      <c r="J1098" s="14">
        <f t="shared" si="30"/>
        <v>223.93956666666668</v>
      </c>
    </row>
    <row r="1099" spans="1:11" ht="15" x14ac:dyDescent="0.2">
      <c r="A1099" s="10">
        <f t="shared" si="25"/>
        <v>2043</v>
      </c>
      <c r="B1099" s="14">
        <f t="shared" ref="B1099:J1099" si="31">AVERAGE(B372:B383)</f>
        <v>32.862166666666667</v>
      </c>
      <c r="C1099" s="14">
        <f t="shared" si="31"/>
        <v>31.039225000000002</v>
      </c>
      <c r="D1099" s="14">
        <f t="shared" si="31"/>
        <v>31.031424999999999</v>
      </c>
      <c r="E1099" s="14">
        <f t="shared" si="31"/>
        <v>32.715024999999997</v>
      </c>
      <c r="F1099" s="14">
        <f t="shared" si="31"/>
        <v>32.705925000000001</v>
      </c>
      <c r="G1099" s="14">
        <f t="shared" si="31"/>
        <v>31.037675000000004</v>
      </c>
      <c r="H1099" s="14">
        <f t="shared" si="31"/>
        <v>31.037675000000004</v>
      </c>
      <c r="I1099" s="14">
        <f t="shared" si="31"/>
        <v>31.039225000000002</v>
      </c>
      <c r="J1099" s="14">
        <f t="shared" si="31"/>
        <v>229.27863333333332</v>
      </c>
    </row>
    <row r="1100" spans="1:11" ht="15" x14ac:dyDescent="0.2">
      <c r="A1100" s="10">
        <f t="shared" si="25"/>
        <v>2044</v>
      </c>
      <c r="B1100" s="14">
        <f t="shared" ref="B1100:J1100" si="32">AVERAGE(B384:B395)</f>
        <v>33.403424999999991</v>
      </c>
      <c r="C1100" s="14">
        <f t="shared" si="32"/>
        <v>31.552341666666667</v>
      </c>
      <c r="D1100" s="14">
        <f t="shared" si="32"/>
        <v>31.544525000000004</v>
      </c>
      <c r="E1100" s="14">
        <f t="shared" si="32"/>
        <v>33.256283333333336</v>
      </c>
      <c r="F1100" s="14">
        <f t="shared" si="32"/>
        <v>33.247183333333332</v>
      </c>
      <c r="G1100" s="14">
        <f t="shared" si="32"/>
        <v>31.550783333333332</v>
      </c>
      <c r="H1100" s="14">
        <f t="shared" si="32"/>
        <v>31.550783333333332</v>
      </c>
      <c r="I1100" s="14">
        <f t="shared" si="32"/>
        <v>31.552341666666667</v>
      </c>
      <c r="J1100" s="14">
        <f t="shared" si="32"/>
        <v>234.74498333333335</v>
      </c>
    </row>
    <row r="1101" spans="1:11" ht="15" x14ac:dyDescent="0.2">
      <c r="A1101" s="10">
        <f t="shared" si="25"/>
        <v>2045</v>
      </c>
      <c r="B1101" s="14">
        <f t="shared" ref="B1101:J1101" si="33">AVERAGE(B396:B407)</f>
        <v>33.953783333333327</v>
      </c>
      <c r="C1101" s="14">
        <f t="shared" si="33"/>
        <v>32.074083333333327</v>
      </c>
      <c r="D1101" s="14">
        <f t="shared" si="33"/>
        <v>32.06625833333333</v>
      </c>
      <c r="E1101" s="14">
        <f t="shared" si="33"/>
        <v>33.806625000000004</v>
      </c>
      <c r="F1101" s="14">
        <f t="shared" si="33"/>
        <v>33.797524999999993</v>
      </c>
      <c r="G1101" s="14">
        <f t="shared" si="33"/>
        <v>32.072516666666665</v>
      </c>
      <c r="H1101" s="14">
        <f t="shared" si="33"/>
        <v>32.072516666666665</v>
      </c>
      <c r="I1101" s="14">
        <f t="shared" si="33"/>
        <v>32.074083333333327</v>
      </c>
      <c r="J1101" s="14">
        <f t="shared" si="33"/>
        <v>240.34165000000004</v>
      </c>
    </row>
    <row r="1102" spans="1:11" ht="15" x14ac:dyDescent="0.2">
      <c r="A1102" s="10">
        <f t="shared" si="25"/>
        <v>2046</v>
      </c>
      <c r="B1102" s="14">
        <f t="shared" ref="B1102:J1102" si="34">AVERAGE(B408:B419)</f>
        <v>34.51338333333333</v>
      </c>
      <c r="C1102" s="14">
        <f t="shared" si="34"/>
        <v>32.60456666666667</v>
      </c>
      <c r="D1102" s="14">
        <f t="shared" si="34"/>
        <v>32.596741666666667</v>
      </c>
      <c r="E1102" s="14">
        <f t="shared" si="34"/>
        <v>34.366225</v>
      </c>
      <c r="F1102" s="14">
        <f t="shared" si="34"/>
        <v>34.357125000000003</v>
      </c>
      <c r="G1102" s="14">
        <f t="shared" si="34"/>
        <v>32.603008333333342</v>
      </c>
      <c r="H1102" s="14">
        <f t="shared" si="34"/>
        <v>32.603008333333342</v>
      </c>
      <c r="I1102" s="14">
        <f t="shared" si="34"/>
        <v>32.60456666666667</v>
      </c>
      <c r="J1102" s="14">
        <f t="shared" si="34"/>
        <v>246.07177499999997</v>
      </c>
    </row>
    <row r="1103" spans="1:11" ht="15" x14ac:dyDescent="0.2">
      <c r="A1103" s="10">
        <f t="shared" si="25"/>
        <v>2047</v>
      </c>
      <c r="B1103" s="14">
        <f t="shared" ref="B1103:J1103" si="35">AVERAGE(B420:B431)</f>
        <v>35.082383333333333</v>
      </c>
      <c r="C1103" s="14">
        <f t="shared" si="35"/>
        <v>33.143983333333331</v>
      </c>
      <c r="D1103" s="14">
        <f t="shared" si="35"/>
        <v>33.136158333333334</v>
      </c>
      <c r="E1103" s="14">
        <f t="shared" si="35"/>
        <v>34.93522500000001</v>
      </c>
      <c r="F1103" s="14">
        <f t="shared" si="35"/>
        <v>34.926124999999999</v>
      </c>
      <c r="G1103" s="14">
        <f t="shared" si="35"/>
        <v>33.142416666666669</v>
      </c>
      <c r="H1103" s="14">
        <f t="shared" si="35"/>
        <v>33.142416666666669</v>
      </c>
      <c r="I1103" s="14">
        <f t="shared" si="35"/>
        <v>33.143983333333331</v>
      </c>
      <c r="J1103" s="14">
        <f t="shared" si="35"/>
        <v>251.93848333333335</v>
      </c>
    </row>
    <row r="1104" spans="1:11" ht="15" x14ac:dyDescent="0.2">
      <c r="A1104" s="10">
        <f t="shared" si="25"/>
        <v>2048</v>
      </c>
      <c r="B1104" s="14">
        <f t="shared" ref="B1104:J1104" si="36">AVERAGE(B432:B443)</f>
        <v>35.660941666666666</v>
      </c>
      <c r="C1104" s="14">
        <f t="shared" si="36"/>
        <v>33.692441666666667</v>
      </c>
      <c r="D1104" s="14">
        <f t="shared" si="36"/>
        <v>33.684625000000004</v>
      </c>
      <c r="E1104" s="14">
        <f t="shared" si="36"/>
        <v>35.51379166666667</v>
      </c>
      <c r="F1104" s="14">
        <f t="shared" si="36"/>
        <v>35.504691666666659</v>
      </c>
      <c r="G1104" s="14">
        <f t="shared" si="36"/>
        <v>33.690883333333339</v>
      </c>
      <c r="H1104" s="14">
        <f t="shared" si="36"/>
        <v>33.690883333333339</v>
      </c>
      <c r="I1104" s="14">
        <f t="shared" si="36"/>
        <v>33.692441666666667</v>
      </c>
      <c r="J1104" s="14">
        <f t="shared" si="36"/>
        <v>257.94508333333334</v>
      </c>
    </row>
    <row r="1105" spans="1:10" ht="15" x14ac:dyDescent="0.2">
      <c r="A1105" s="10">
        <f t="shared" si="25"/>
        <v>2049</v>
      </c>
      <c r="B1105" s="14">
        <f t="shared" ref="B1105:J1105" si="37">AVERAGE(B444:B455)</f>
        <v>36.249225000000003</v>
      </c>
      <c r="C1105" s="14">
        <f t="shared" si="37"/>
        <v>34.250125000000004</v>
      </c>
      <c r="D1105" s="14">
        <f t="shared" si="37"/>
        <v>34.242316666666675</v>
      </c>
      <c r="E1105" s="14">
        <f t="shared" si="37"/>
        <v>36.102083333333347</v>
      </c>
      <c r="F1105" s="14">
        <f t="shared" si="37"/>
        <v>36.092983333333329</v>
      </c>
      <c r="G1105" s="14">
        <f t="shared" si="37"/>
        <v>34.248558333333342</v>
      </c>
      <c r="H1105" s="14">
        <f t="shared" si="37"/>
        <v>34.248558333333342</v>
      </c>
      <c r="I1105" s="14">
        <f t="shared" si="37"/>
        <v>34.250125000000004</v>
      </c>
      <c r="J1105" s="14">
        <f t="shared" si="37"/>
        <v>264.09485833333332</v>
      </c>
    </row>
    <row r="1106" spans="1:10" ht="15" x14ac:dyDescent="0.2">
      <c r="A1106" s="10">
        <f t="shared" si="25"/>
        <v>2050</v>
      </c>
      <c r="B1106" s="14">
        <f t="shared" ref="B1106:J1106" si="38">AVERAGE(B456:B467)</f>
        <v>36.847383333333333</v>
      </c>
      <c r="C1106" s="14">
        <f t="shared" si="38"/>
        <v>34.817183333333325</v>
      </c>
      <c r="D1106" s="14">
        <f t="shared" si="38"/>
        <v>34.809358333333336</v>
      </c>
      <c r="E1106" s="14">
        <f t="shared" si="38"/>
        <v>36.700241666666663</v>
      </c>
      <c r="F1106" s="14">
        <f t="shared" si="38"/>
        <v>36.69114166666666</v>
      </c>
      <c r="G1106" s="14">
        <f t="shared" si="38"/>
        <v>34.815624999999997</v>
      </c>
      <c r="H1106" s="14">
        <f t="shared" si="38"/>
        <v>34.815624999999997</v>
      </c>
      <c r="I1106" s="14">
        <f t="shared" si="38"/>
        <v>34.817183333333325</v>
      </c>
      <c r="J1106" s="14">
        <f t="shared" si="38"/>
        <v>270.39129166666669</v>
      </c>
    </row>
    <row r="1107" spans="1:10" ht="15" x14ac:dyDescent="0.2">
      <c r="A1107" s="10">
        <f t="shared" si="25"/>
        <v>2051</v>
      </c>
      <c r="B1107" s="14">
        <f t="shared" ref="B1107:J1107" si="39">AVERAGE(B468:B479)</f>
        <v>37.455616666666664</v>
      </c>
      <c r="C1107" s="14">
        <f t="shared" si="39"/>
        <v>35.393741666666671</v>
      </c>
      <c r="D1107" s="14">
        <f t="shared" si="39"/>
        <v>35.385941666666668</v>
      </c>
      <c r="E1107" s="14">
        <f t="shared" si="39"/>
        <v>37.308441666666674</v>
      </c>
      <c r="F1107" s="14">
        <f t="shared" si="39"/>
        <v>37.299341666666663</v>
      </c>
      <c r="G1107" s="14">
        <f t="shared" si="39"/>
        <v>35.392183333333342</v>
      </c>
      <c r="H1107" s="14">
        <f t="shared" si="39"/>
        <v>35.392183333333342</v>
      </c>
      <c r="I1107" s="14">
        <f t="shared" si="39"/>
        <v>35.393741666666671</v>
      </c>
      <c r="J1107" s="14">
        <f t="shared" si="39"/>
        <v>276.83782500000007</v>
      </c>
    </row>
    <row r="1108" spans="1:10" ht="15" x14ac:dyDescent="0.2">
      <c r="A1108" s="10">
        <f t="shared" si="25"/>
        <v>2052</v>
      </c>
      <c r="B1108" s="14">
        <f t="shared" ref="B1108:J1108" si="40">AVERAGE(B480:B491)</f>
        <v>38.074024999999992</v>
      </c>
      <c r="C1108" s="14">
        <f t="shared" si="40"/>
        <v>35.980024999999998</v>
      </c>
      <c r="D1108" s="14">
        <f t="shared" si="40"/>
        <v>35.972216666666661</v>
      </c>
      <c r="E1108" s="14">
        <f t="shared" si="40"/>
        <v>37.926883333333343</v>
      </c>
      <c r="F1108" s="14">
        <f t="shared" si="40"/>
        <v>37.91778333333334</v>
      </c>
      <c r="G1108" s="14">
        <f t="shared" si="40"/>
        <v>35.978441666666669</v>
      </c>
      <c r="H1108" s="14">
        <f t="shared" si="40"/>
        <v>35.978441666666669</v>
      </c>
      <c r="I1108" s="14">
        <f t="shared" si="40"/>
        <v>35.980024999999998</v>
      </c>
      <c r="J1108" s="14">
        <f t="shared" si="40"/>
        <v>283.43804999999998</v>
      </c>
    </row>
    <row r="1109" spans="1:10" ht="15" x14ac:dyDescent="0.2">
      <c r="A1109" s="10">
        <f t="shared" si="25"/>
        <v>2053</v>
      </c>
      <c r="B1109" s="14">
        <f t="shared" ref="B1109:J1109" si="41">AVERAGE(B492:B503)</f>
        <v>38.702849999999998</v>
      </c>
      <c r="C1109" s="14">
        <f t="shared" si="41"/>
        <v>36.576125000000005</v>
      </c>
      <c r="D1109" s="14">
        <f t="shared" si="41"/>
        <v>36.568325000000002</v>
      </c>
      <c r="E1109" s="14">
        <f t="shared" si="41"/>
        <v>38.555716666666676</v>
      </c>
      <c r="F1109" s="14">
        <f t="shared" si="41"/>
        <v>38.546616666666658</v>
      </c>
      <c r="G1109" s="14">
        <f t="shared" si="41"/>
        <v>36.574566666666669</v>
      </c>
      <c r="H1109" s="14">
        <f t="shared" si="41"/>
        <v>36.574566666666669</v>
      </c>
      <c r="I1109" s="14">
        <f t="shared" si="41"/>
        <v>36.576125000000005</v>
      </c>
      <c r="J1109" s="14">
        <f t="shared" si="41"/>
        <v>290.19566666666668</v>
      </c>
    </row>
    <row r="1110" spans="1:10" ht="15" x14ac:dyDescent="0.2">
      <c r="A1110" s="10">
        <f t="shared" si="25"/>
        <v>2054</v>
      </c>
      <c r="B1110" s="14">
        <f t="shared" ref="B1110:J1110" si="42">AVERAGE(B504:B515)</f>
        <v>39.342241666666666</v>
      </c>
      <c r="C1110" s="14">
        <f t="shared" si="42"/>
        <v>37.182258333333337</v>
      </c>
      <c r="D1110" s="14">
        <f t="shared" si="42"/>
        <v>37.174441666666667</v>
      </c>
      <c r="E1110" s="14">
        <f t="shared" si="42"/>
        <v>39.195083333333336</v>
      </c>
      <c r="F1110" s="14">
        <f t="shared" si="42"/>
        <v>39.185983333333333</v>
      </c>
      <c r="G1110" s="14">
        <f t="shared" si="42"/>
        <v>37.180691666666668</v>
      </c>
      <c r="H1110" s="14">
        <f t="shared" si="42"/>
        <v>37.180691666666668</v>
      </c>
      <c r="I1110" s="14">
        <f t="shared" si="42"/>
        <v>37.182258333333337</v>
      </c>
      <c r="J1110" s="14">
        <f t="shared" si="42"/>
        <v>297.11435</v>
      </c>
    </row>
    <row r="1111" spans="1:10" ht="15" x14ac:dyDescent="0.2">
      <c r="A1111" s="10">
        <f t="shared" si="25"/>
        <v>2055</v>
      </c>
      <c r="B1111" s="14">
        <f t="shared" ref="B1111:J1111" si="43">AVERAGE(B516:B527)</f>
        <v>39.992366666666669</v>
      </c>
      <c r="C1111" s="14">
        <f t="shared" si="43"/>
        <v>37.798566666666666</v>
      </c>
      <c r="D1111" s="14">
        <f t="shared" si="43"/>
        <v>37.790758333333329</v>
      </c>
      <c r="E1111" s="14">
        <f t="shared" si="43"/>
        <v>39.845224999999992</v>
      </c>
      <c r="F1111" s="14">
        <f t="shared" si="43"/>
        <v>39.836124999999996</v>
      </c>
      <c r="G1111" s="14">
        <f t="shared" si="43"/>
        <v>37.797016666666671</v>
      </c>
      <c r="H1111" s="14">
        <f t="shared" si="43"/>
        <v>37.797016666666671</v>
      </c>
      <c r="I1111" s="14">
        <f t="shared" si="43"/>
        <v>37.798566666666666</v>
      </c>
      <c r="J1111" s="14">
        <f t="shared" si="43"/>
        <v>304.19800833333335</v>
      </c>
    </row>
    <row r="1112" spans="1:10" ht="15" x14ac:dyDescent="0.2">
      <c r="A1112" s="10">
        <f t="shared" si="25"/>
        <v>2056</v>
      </c>
      <c r="B1112" s="14">
        <f t="shared" ref="B1112:J1112" si="44">AVERAGE(B528:B539)</f>
        <v>40.653424999999991</v>
      </c>
      <c r="C1112" s="14">
        <f t="shared" si="44"/>
        <v>38.425224999999998</v>
      </c>
      <c r="D1112" s="14">
        <f t="shared" si="44"/>
        <v>38.417425000000001</v>
      </c>
      <c r="E1112" s="14">
        <f t="shared" si="44"/>
        <v>40.506258333333342</v>
      </c>
      <c r="F1112" s="14">
        <f t="shared" si="44"/>
        <v>40.497158333333331</v>
      </c>
      <c r="G1112" s="14">
        <f t="shared" si="44"/>
        <v>38.423683333333337</v>
      </c>
      <c r="H1112" s="14">
        <f t="shared" si="44"/>
        <v>38.423683333333337</v>
      </c>
      <c r="I1112" s="14">
        <f t="shared" si="44"/>
        <v>38.425224999999998</v>
      </c>
      <c r="J1112" s="14">
        <f t="shared" si="44"/>
        <v>311.45053333333334</v>
      </c>
    </row>
    <row r="1113" spans="1:10" ht="15" x14ac:dyDescent="0.2">
      <c r="A1113" s="10">
        <f t="shared" si="25"/>
        <v>2057</v>
      </c>
      <c r="B1113" s="14">
        <f t="shared" ref="B1113:J1113" si="45">AVERAGE(B540:B551)</f>
        <v>41.32556666666666</v>
      </c>
      <c r="C1113" s="14">
        <f t="shared" si="45"/>
        <v>39.062425000000005</v>
      </c>
      <c r="D1113" s="14">
        <f t="shared" si="45"/>
        <v>39.054625000000001</v>
      </c>
      <c r="E1113" s="14">
        <f t="shared" si="45"/>
        <v>41.178424999999997</v>
      </c>
      <c r="F1113" s="14">
        <f t="shared" si="45"/>
        <v>41.169325000000001</v>
      </c>
      <c r="G1113" s="14">
        <f t="shared" si="45"/>
        <v>39.060858333333336</v>
      </c>
      <c r="H1113" s="14">
        <f t="shared" si="45"/>
        <v>39.060858333333336</v>
      </c>
      <c r="I1113" s="14">
        <f t="shared" si="45"/>
        <v>39.062425000000005</v>
      </c>
      <c r="J1113" s="14">
        <f t="shared" si="45"/>
        <v>318.87598333333341</v>
      </c>
    </row>
    <row r="1114" spans="1:10" ht="15" x14ac:dyDescent="0.2">
      <c r="A1114" s="10">
        <f t="shared" si="25"/>
        <v>2058</v>
      </c>
      <c r="B1114" s="14">
        <f t="shared" ref="B1114:J1114" si="46">AVERAGE(B552:B563)</f>
        <v>42.00901666666666</v>
      </c>
      <c r="C1114" s="14">
        <f t="shared" si="46"/>
        <v>39.710324999999997</v>
      </c>
      <c r="D1114" s="14">
        <f t="shared" si="46"/>
        <v>39.702516666666661</v>
      </c>
      <c r="E1114" s="14">
        <f t="shared" si="46"/>
        <v>41.861858333333338</v>
      </c>
      <c r="F1114" s="14">
        <f t="shared" si="46"/>
        <v>41.852758333333334</v>
      </c>
      <c r="G1114" s="14">
        <f t="shared" si="46"/>
        <v>39.708758333333336</v>
      </c>
      <c r="H1114" s="14">
        <f t="shared" si="46"/>
        <v>39.708758333333336</v>
      </c>
      <c r="I1114" s="14">
        <f t="shared" si="46"/>
        <v>39.710324999999997</v>
      </c>
      <c r="J1114" s="14">
        <f t="shared" si="46"/>
        <v>326.47845000000001</v>
      </c>
    </row>
    <row r="1115" spans="1:10" ht="15" x14ac:dyDescent="0.2">
      <c r="A1115" s="10">
        <f t="shared" si="25"/>
        <v>2059</v>
      </c>
      <c r="B1115" s="14">
        <f t="shared" ref="B1115:J1115" si="47">AVERAGE(B564:B575)</f>
        <v>42.703933333333332</v>
      </c>
      <c r="C1115" s="14">
        <f t="shared" si="47"/>
        <v>40.369116666666677</v>
      </c>
      <c r="D1115" s="14">
        <f t="shared" si="47"/>
        <v>40.361291666666666</v>
      </c>
      <c r="E1115" s="14">
        <f t="shared" si="47"/>
        <v>42.556783333333335</v>
      </c>
      <c r="F1115" s="14">
        <f t="shared" si="47"/>
        <v>42.547683333333332</v>
      </c>
      <c r="G1115" s="14">
        <f t="shared" si="47"/>
        <v>40.367541666666675</v>
      </c>
      <c r="H1115" s="14">
        <f t="shared" si="47"/>
        <v>40.367541666666675</v>
      </c>
      <c r="I1115" s="14">
        <f t="shared" si="47"/>
        <v>40.369116666666677</v>
      </c>
      <c r="J1115" s="14">
        <f t="shared" si="47"/>
        <v>334.26219166666664</v>
      </c>
    </row>
    <row r="1116" spans="1:10" ht="15" x14ac:dyDescent="0.2">
      <c r="A1116" s="10">
        <f t="shared" si="25"/>
        <v>2060</v>
      </c>
      <c r="B1116" s="14">
        <f t="shared" ref="B1116:J1116" si="48">AVERAGE(B576:B587)</f>
        <v>43.41054166666666</v>
      </c>
      <c r="C1116" s="14">
        <f t="shared" si="48"/>
        <v>41.038941666666659</v>
      </c>
      <c r="D1116" s="14">
        <f t="shared" si="48"/>
        <v>41.03114166666667</v>
      </c>
      <c r="E1116" s="14">
        <f t="shared" si="48"/>
        <v>43.263383333333337</v>
      </c>
      <c r="F1116" s="14">
        <f t="shared" si="48"/>
        <v>43.254283333333326</v>
      </c>
      <c r="G1116" s="14">
        <f t="shared" si="48"/>
        <v>41.037383333333331</v>
      </c>
      <c r="H1116" s="14">
        <f t="shared" si="48"/>
        <v>41.037383333333331</v>
      </c>
      <c r="I1116" s="14">
        <f t="shared" si="48"/>
        <v>41.038941666666659</v>
      </c>
      <c r="J1116" s="14">
        <f t="shared" si="48"/>
        <v>342.23151666666666</v>
      </c>
    </row>
    <row r="1117" spans="1:10" ht="15" x14ac:dyDescent="0.2">
      <c r="A1117" s="10">
        <f t="shared" si="25"/>
        <v>2061</v>
      </c>
      <c r="B1117" s="14">
        <f t="shared" ref="B1117:J1117" si="49">AVERAGE(B588:B599)</f>
        <v>44.129016666666672</v>
      </c>
      <c r="C1117" s="14">
        <f t="shared" si="49"/>
        <v>41.720050000000008</v>
      </c>
      <c r="D1117" s="14">
        <f t="shared" si="49"/>
        <v>41.712241666666671</v>
      </c>
      <c r="E1117" s="14">
        <f t="shared" si="49"/>
        <v>43.981858333333342</v>
      </c>
      <c r="F1117" s="14">
        <f t="shared" si="49"/>
        <v>43.972758333333331</v>
      </c>
      <c r="G1117" s="14">
        <f t="shared" si="49"/>
        <v>41.718491666666672</v>
      </c>
      <c r="H1117" s="14">
        <f t="shared" si="49"/>
        <v>41.718491666666672</v>
      </c>
      <c r="I1117" s="14">
        <f t="shared" si="49"/>
        <v>41.720050000000008</v>
      </c>
      <c r="J1117" s="14">
        <f t="shared" si="49"/>
        <v>350.39080833333338</v>
      </c>
    </row>
    <row r="1118" spans="1:10" ht="15" x14ac:dyDescent="0.2">
      <c r="A1118" s="10">
        <f t="shared" si="25"/>
        <v>2062</v>
      </c>
      <c r="B1118" s="14">
        <f t="shared" ref="B1118:J1127" ca="1" si="50">AVERAGE(OFFSET(B$600,($A1118-$A$1118)*12,0,12,1))</f>
        <v>44.859549999999992</v>
      </c>
      <c r="C1118" s="14">
        <f t="shared" ca="1" si="50"/>
        <v>42.412600000000005</v>
      </c>
      <c r="D1118" s="14">
        <f t="shared" ca="1" si="50"/>
        <v>42.404799999999994</v>
      </c>
      <c r="E1118" s="14">
        <f t="shared" ca="1" si="50"/>
        <v>44.712400000000002</v>
      </c>
      <c r="F1118" s="14">
        <f t="shared" ca="1" si="50"/>
        <v>44.703300000000006</v>
      </c>
      <c r="G1118" s="14">
        <f t="shared" ca="1" si="50"/>
        <v>42.411033333333336</v>
      </c>
      <c r="H1118" s="14">
        <f t="shared" ca="1" si="50"/>
        <v>42.411033333333336</v>
      </c>
      <c r="I1118" s="14">
        <f t="shared" ca="1" si="50"/>
        <v>42.412600000000005</v>
      </c>
      <c r="J1118" s="14">
        <f t="shared" ca="1" si="50"/>
        <v>358.74466666666666</v>
      </c>
    </row>
    <row r="1119" spans="1:10" ht="15" x14ac:dyDescent="0.2">
      <c r="A1119" s="10">
        <f t="shared" si="25"/>
        <v>2063</v>
      </c>
      <c r="B1119" s="14">
        <f t="shared" ca="1" si="50"/>
        <v>45.602366666666661</v>
      </c>
      <c r="C1119" s="14">
        <f t="shared" ca="1" si="50"/>
        <v>43.11676666666667</v>
      </c>
      <c r="D1119" s="14">
        <f t="shared" ca="1" si="50"/>
        <v>43.108958333333334</v>
      </c>
      <c r="E1119" s="14">
        <f t="shared" ca="1" si="50"/>
        <v>45.455225000000006</v>
      </c>
      <c r="F1119" s="14">
        <f t="shared" ca="1" si="50"/>
        <v>45.446124999999995</v>
      </c>
      <c r="G1119" s="14">
        <f t="shared" ca="1" si="50"/>
        <v>43.115225000000002</v>
      </c>
      <c r="H1119" s="14">
        <f t="shared" ca="1" si="50"/>
        <v>43.115225000000002</v>
      </c>
      <c r="I1119" s="14">
        <f t="shared" ca="1" si="50"/>
        <v>43.11676666666667</v>
      </c>
      <c r="J1119" s="14">
        <f t="shared" ca="1" si="50"/>
        <v>367.29767499999997</v>
      </c>
    </row>
    <row r="1120" spans="1:10" ht="15" x14ac:dyDescent="0.2">
      <c r="A1120" s="10">
        <f t="shared" si="25"/>
        <v>2064</v>
      </c>
      <c r="B1120" s="14">
        <f t="shared" ca="1" si="50"/>
        <v>46.357675</v>
      </c>
      <c r="C1120" s="14">
        <f t="shared" ca="1" si="50"/>
        <v>43.832774999999998</v>
      </c>
      <c r="D1120" s="14">
        <f t="shared" ca="1" si="50"/>
        <v>43.824966666666661</v>
      </c>
      <c r="E1120" s="14">
        <f t="shared" ca="1" si="50"/>
        <v>46.210500000000003</v>
      </c>
      <c r="F1120" s="14">
        <f t="shared" ca="1" si="50"/>
        <v>46.201400000000007</v>
      </c>
      <c r="G1120" s="14">
        <f t="shared" ca="1" si="50"/>
        <v>43.83123333333333</v>
      </c>
      <c r="H1120" s="14">
        <f t="shared" ca="1" si="50"/>
        <v>43.83123333333333</v>
      </c>
      <c r="I1120" s="14">
        <f t="shared" ca="1" si="50"/>
        <v>43.832774999999998</v>
      </c>
      <c r="J1120" s="14">
        <f t="shared" ca="1" si="50"/>
        <v>376.05461666666662</v>
      </c>
    </row>
    <row r="1121" spans="1:10" ht="15" x14ac:dyDescent="0.2">
      <c r="A1121" s="10">
        <f t="shared" si="25"/>
        <v>2065</v>
      </c>
      <c r="B1121" s="14">
        <f t="shared" ca="1" si="50"/>
        <v>47.125641666666667</v>
      </c>
      <c r="C1121" s="14">
        <f t="shared" ca="1" si="50"/>
        <v>44.560816666666661</v>
      </c>
      <c r="D1121" s="14">
        <f t="shared" ca="1" si="50"/>
        <v>44.553000000000004</v>
      </c>
      <c r="E1121" s="14">
        <f t="shared" ca="1" si="50"/>
        <v>46.978500000000004</v>
      </c>
      <c r="F1121" s="14">
        <f t="shared" ca="1" si="50"/>
        <v>46.9694</v>
      </c>
      <c r="G1121" s="14">
        <f t="shared" ca="1" si="50"/>
        <v>44.559266666666673</v>
      </c>
      <c r="H1121" s="14">
        <f t="shared" ca="1" si="50"/>
        <v>44.559266666666673</v>
      </c>
      <c r="I1121" s="14">
        <f t="shared" ca="1" si="50"/>
        <v>44.560816666666661</v>
      </c>
      <c r="J1121" s="14">
        <f t="shared" ca="1" si="50"/>
        <v>385.02033333333333</v>
      </c>
    </row>
    <row r="1122" spans="1:10" ht="15" x14ac:dyDescent="0.2">
      <c r="A1122" s="10">
        <f t="shared" si="25"/>
        <v>2066</v>
      </c>
      <c r="B1122" s="14">
        <f t="shared" ca="1" si="50"/>
        <v>47.906533333333329</v>
      </c>
      <c r="C1122" s="14">
        <f t="shared" ca="1" si="50"/>
        <v>45.301083333333338</v>
      </c>
      <c r="D1122" s="14">
        <f t="shared" ca="1" si="50"/>
        <v>45.293283333333335</v>
      </c>
      <c r="E1122" s="14">
        <f t="shared" ca="1" si="50"/>
        <v>47.759374999999999</v>
      </c>
      <c r="F1122" s="14">
        <f t="shared" ca="1" si="50"/>
        <v>47.750274999999995</v>
      </c>
      <c r="G1122" s="14">
        <f t="shared" ca="1" si="50"/>
        <v>45.29954166666667</v>
      </c>
      <c r="H1122" s="14">
        <f t="shared" ca="1" si="50"/>
        <v>45.29954166666667</v>
      </c>
      <c r="I1122" s="14">
        <f t="shared" ca="1" si="50"/>
        <v>45.301083333333338</v>
      </c>
      <c r="J1122" s="14">
        <f t="shared" ca="1" si="50"/>
        <v>394.19976666666668</v>
      </c>
    </row>
    <row r="1123" spans="1:10" ht="15" x14ac:dyDescent="0.2">
      <c r="A1123" s="10">
        <f t="shared" si="25"/>
        <v>2067</v>
      </c>
      <c r="B1123" s="14">
        <f t="shared" ca="1" si="50"/>
        <v>48.700533333333333</v>
      </c>
      <c r="C1123" s="14">
        <f t="shared" ca="1" si="50"/>
        <v>46.053800000000003</v>
      </c>
      <c r="D1123" s="14">
        <f t="shared" ca="1" si="50"/>
        <v>46.045974999999999</v>
      </c>
      <c r="E1123" s="14">
        <f t="shared" ca="1" si="50"/>
        <v>48.553383333333336</v>
      </c>
      <c r="F1123" s="14">
        <f t="shared" ca="1" si="50"/>
        <v>48.54428333333334</v>
      </c>
      <c r="G1123" s="14">
        <f t="shared" ca="1" si="50"/>
        <v>46.052241666666674</v>
      </c>
      <c r="H1123" s="14">
        <f t="shared" ca="1" si="50"/>
        <v>46.052241666666674</v>
      </c>
      <c r="I1123" s="14">
        <f t="shared" ca="1" si="50"/>
        <v>46.053800000000003</v>
      </c>
      <c r="J1123" s="14">
        <f t="shared" ca="1" si="50"/>
        <v>403.59809166666656</v>
      </c>
    </row>
    <row r="1124" spans="1:10" ht="15" x14ac:dyDescent="0.2">
      <c r="A1124" s="10">
        <f t="shared" si="25"/>
        <v>2068</v>
      </c>
      <c r="B1124" s="14">
        <f t="shared" ca="1" si="50"/>
        <v>49.507875000000006</v>
      </c>
      <c r="C1124" s="14">
        <f t="shared" ca="1" si="50"/>
        <v>46.819166666666661</v>
      </c>
      <c r="D1124" s="14">
        <f t="shared" ca="1" si="50"/>
        <v>46.811325000000004</v>
      </c>
      <c r="E1124" s="14">
        <f t="shared" ca="1" si="50"/>
        <v>49.360733333333336</v>
      </c>
      <c r="F1124" s="14">
        <f t="shared" ca="1" si="50"/>
        <v>49.351633333333332</v>
      </c>
      <c r="G1124" s="14">
        <f t="shared" ca="1" si="50"/>
        <v>46.817591666666665</v>
      </c>
      <c r="H1124" s="14">
        <f t="shared" ca="1" si="50"/>
        <v>46.817591666666665</v>
      </c>
      <c r="I1124" s="14">
        <f t="shared" ca="1" si="50"/>
        <v>46.819166666666661</v>
      </c>
      <c r="J1124" s="14">
        <f t="shared" ca="1" si="50"/>
        <v>413.22047500000002</v>
      </c>
    </row>
    <row r="1125" spans="1:10" ht="15" x14ac:dyDescent="0.2">
      <c r="A1125" s="10">
        <f t="shared" si="25"/>
        <v>2069</v>
      </c>
      <c r="B1125" s="14">
        <f t="shared" ca="1" si="50"/>
        <v>50.328783333333327</v>
      </c>
      <c r="C1125" s="14">
        <f t="shared" ca="1" si="50"/>
        <v>47.597375</v>
      </c>
      <c r="D1125" s="14">
        <f t="shared" ca="1" si="50"/>
        <v>47.589550000000003</v>
      </c>
      <c r="E1125" s="14">
        <f t="shared" ca="1" si="50"/>
        <v>50.18163333333333</v>
      </c>
      <c r="F1125" s="14">
        <f t="shared" ca="1" si="50"/>
        <v>50.172533333333327</v>
      </c>
      <c r="G1125" s="14">
        <f t="shared" ca="1" si="50"/>
        <v>47.595783333333337</v>
      </c>
      <c r="H1125" s="14">
        <f t="shared" ca="1" si="50"/>
        <v>47.595783333333337</v>
      </c>
      <c r="I1125" s="14">
        <f t="shared" ca="1" si="50"/>
        <v>47.597375</v>
      </c>
      <c r="J1125" s="14">
        <f t="shared" ca="1" si="50"/>
        <v>423.07226666666656</v>
      </c>
    </row>
    <row r="1126" spans="1:10" ht="15" x14ac:dyDescent="0.2">
      <c r="A1126" s="10">
        <f t="shared" ref="A1126:A1156" si="51">A1125+1</f>
        <v>2070</v>
      </c>
      <c r="B1126" s="14">
        <f t="shared" ca="1" si="50"/>
        <v>51.163474999999998</v>
      </c>
      <c r="C1126" s="14">
        <f t="shared" ca="1" si="50"/>
        <v>48.388641666666672</v>
      </c>
      <c r="D1126" s="14">
        <f t="shared" ca="1" si="50"/>
        <v>48.380833333333328</v>
      </c>
      <c r="E1126" s="14">
        <f t="shared" ca="1" si="50"/>
        <v>51.016324999999995</v>
      </c>
      <c r="F1126" s="14">
        <f t="shared" ca="1" si="50"/>
        <v>51.007224999999998</v>
      </c>
      <c r="G1126" s="14">
        <f t="shared" ca="1" si="50"/>
        <v>48.387058333333336</v>
      </c>
      <c r="H1126" s="14">
        <f t="shared" ca="1" si="50"/>
        <v>48.387058333333336</v>
      </c>
      <c r="I1126" s="14">
        <f t="shared" ca="1" si="50"/>
        <v>48.388641666666672</v>
      </c>
      <c r="J1126" s="14">
        <f t="shared" ca="1" si="50"/>
        <v>433.15896666666669</v>
      </c>
    </row>
    <row r="1127" spans="1:10" ht="15" x14ac:dyDescent="0.2">
      <c r="A1127" s="10">
        <f t="shared" si="51"/>
        <v>2071</v>
      </c>
      <c r="B1127" s="14">
        <f t="shared" ca="1" si="50"/>
        <v>52.0122</v>
      </c>
      <c r="C1127" s="14">
        <f t="shared" ca="1" si="50"/>
        <v>49.193216666666672</v>
      </c>
      <c r="D1127" s="14">
        <f t="shared" ca="1" si="50"/>
        <v>49.185399999999994</v>
      </c>
      <c r="E1127" s="14">
        <f t="shared" ca="1" si="50"/>
        <v>51.865049999999997</v>
      </c>
      <c r="F1127" s="14">
        <f t="shared" ca="1" si="50"/>
        <v>51.85595</v>
      </c>
      <c r="G1127" s="14">
        <f t="shared" ca="1" si="50"/>
        <v>49.19165000000001</v>
      </c>
      <c r="H1127" s="14">
        <f t="shared" ca="1" si="50"/>
        <v>49.19165000000001</v>
      </c>
      <c r="I1127" s="14">
        <f t="shared" ca="1" si="50"/>
        <v>49.193216666666672</v>
      </c>
      <c r="J1127" s="14">
        <f t="shared" ca="1" si="50"/>
        <v>443.48610000000002</v>
      </c>
    </row>
    <row r="1128" spans="1:10" ht="15" x14ac:dyDescent="0.2">
      <c r="A1128" s="10">
        <f t="shared" si="51"/>
        <v>2072</v>
      </c>
      <c r="B1128" s="14">
        <f t="shared" ref="B1128:J1137" ca="1" si="52">AVERAGE(OFFSET(B$600,($A1128-$A$1118)*12,0,12,1))</f>
        <v>52.875174999999992</v>
      </c>
      <c r="C1128" s="14">
        <f t="shared" ca="1" si="52"/>
        <v>50.011316666666666</v>
      </c>
      <c r="D1128" s="14">
        <f t="shared" ca="1" si="52"/>
        <v>50.003508333333343</v>
      </c>
      <c r="E1128" s="14">
        <f t="shared" ca="1" si="52"/>
        <v>52.728033333333336</v>
      </c>
      <c r="F1128" s="14">
        <f t="shared" ca="1" si="52"/>
        <v>52.718933333333347</v>
      </c>
      <c r="G1128" s="14">
        <f t="shared" ca="1" si="52"/>
        <v>50.009724999999996</v>
      </c>
      <c r="H1128" s="14">
        <f t="shared" ca="1" si="52"/>
        <v>50.009724999999996</v>
      </c>
      <c r="I1128" s="14">
        <f t="shared" ca="1" si="52"/>
        <v>50.011316666666666</v>
      </c>
      <c r="J1128" s="14">
        <f t="shared" ca="1" si="52"/>
        <v>454.05947500000002</v>
      </c>
    </row>
    <row r="1129" spans="1:10" ht="15" x14ac:dyDescent="0.2">
      <c r="A1129" s="10">
        <f t="shared" si="51"/>
        <v>2073</v>
      </c>
      <c r="B1129" s="14">
        <f t="shared" ca="1" si="52"/>
        <v>53.752658333333329</v>
      </c>
      <c r="C1129" s="14">
        <f t="shared" ca="1" si="52"/>
        <v>50.843124999999993</v>
      </c>
      <c r="D1129" s="14">
        <f t="shared" ca="1" si="52"/>
        <v>50.835325000000005</v>
      </c>
      <c r="E1129" s="14">
        <f t="shared" ca="1" si="52"/>
        <v>53.605508333333326</v>
      </c>
      <c r="F1129" s="14">
        <f t="shared" ca="1" si="52"/>
        <v>53.596408333333329</v>
      </c>
      <c r="G1129" s="14">
        <f t="shared" ca="1" si="52"/>
        <v>50.841591666666666</v>
      </c>
      <c r="H1129" s="14">
        <f t="shared" ca="1" si="52"/>
        <v>50.841591666666666</v>
      </c>
      <c r="I1129" s="14">
        <f t="shared" ca="1" si="52"/>
        <v>50.843124999999993</v>
      </c>
      <c r="J1129" s="14">
        <f t="shared" ca="1" si="52"/>
        <v>464.88494166666669</v>
      </c>
    </row>
    <row r="1130" spans="1:10" ht="15" x14ac:dyDescent="0.2">
      <c r="A1130" s="10">
        <f t="shared" si="51"/>
        <v>2074</v>
      </c>
      <c r="B1130" s="14">
        <f t="shared" ca="1" si="52"/>
        <v>54.644858333333339</v>
      </c>
      <c r="C1130" s="14">
        <f t="shared" ca="1" si="52"/>
        <v>51.688958333333339</v>
      </c>
      <c r="D1130" s="14">
        <f t="shared" ca="1" si="52"/>
        <v>51.681141666666669</v>
      </c>
      <c r="E1130" s="14">
        <f t="shared" ca="1" si="52"/>
        <v>54.497733333333336</v>
      </c>
      <c r="F1130" s="14">
        <f t="shared" ca="1" si="52"/>
        <v>54.488633333333333</v>
      </c>
      <c r="G1130" s="14">
        <f t="shared" ca="1" si="52"/>
        <v>51.687391666666663</v>
      </c>
      <c r="H1130" s="14">
        <f t="shared" ca="1" si="52"/>
        <v>51.687391666666663</v>
      </c>
      <c r="I1130" s="14">
        <f t="shared" ca="1" si="52"/>
        <v>51.688958333333339</v>
      </c>
      <c r="J1130" s="14">
        <f t="shared" ca="1" si="52"/>
        <v>475.96848333333332</v>
      </c>
    </row>
    <row r="1131" spans="1:10" ht="15" x14ac:dyDescent="0.2">
      <c r="A1131" s="10">
        <f t="shared" si="51"/>
        <v>2075</v>
      </c>
      <c r="B1131" s="14">
        <f t="shared" ca="1" si="52"/>
        <v>55.552083333333336</v>
      </c>
      <c r="C1131" s="14">
        <f t="shared" ca="1" si="52"/>
        <v>52.548974999999992</v>
      </c>
      <c r="D1131" s="14">
        <f t="shared" ca="1" si="52"/>
        <v>52.541166666666669</v>
      </c>
      <c r="E1131" s="14">
        <f t="shared" ca="1" si="52"/>
        <v>55.404916666666672</v>
      </c>
      <c r="F1131" s="14">
        <f t="shared" ca="1" si="52"/>
        <v>55.395816666666668</v>
      </c>
      <c r="G1131" s="14">
        <f t="shared" ca="1" si="52"/>
        <v>52.547391666666677</v>
      </c>
      <c r="H1131" s="14">
        <f t="shared" ca="1" si="52"/>
        <v>52.547391666666677</v>
      </c>
      <c r="I1131" s="14">
        <f t="shared" ca="1" si="52"/>
        <v>52.548974999999992</v>
      </c>
      <c r="J1131" s="14">
        <f t="shared" ca="1" si="52"/>
        <v>487.31627499999996</v>
      </c>
    </row>
    <row r="1132" spans="1:10" ht="15" x14ac:dyDescent="0.2">
      <c r="A1132" s="10">
        <f t="shared" si="51"/>
        <v>2076</v>
      </c>
      <c r="B1132" s="14">
        <f t="shared" ca="1" si="52"/>
        <v>56.474516666666659</v>
      </c>
      <c r="C1132" s="14">
        <f t="shared" ca="1" si="52"/>
        <v>53.423441666666662</v>
      </c>
      <c r="D1132" s="14">
        <f t="shared" ca="1" si="52"/>
        <v>53.415633333333346</v>
      </c>
      <c r="E1132" s="14">
        <f t="shared" ca="1" si="52"/>
        <v>56.32738333333333</v>
      </c>
      <c r="F1132" s="14">
        <f t="shared" ca="1" si="52"/>
        <v>56.318283333333333</v>
      </c>
      <c r="G1132" s="14">
        <f t="shared" ca="1" si="52"/>
        <v>53.421883333333334</v>
      </c>
      <c r="H1132" s="14">
        <f t="shared" ca="1" si="52"/>
        <v>53.421883333333334</v>
      </c>
      <c r="I1132" s="14">
        <f t="shared" ca="1" si="52"/>
        <v>53.423441666666662</v>
      </c>
      <c r="J1132" s="14">
        <f t="shared" ca="1" si="52"/>
        <v>498.93463333333347</v>
      </c>
    </row>
    <row r="1133" spans="1:10" ht="15" x14ac:dyDescent="0.2">
      <c r="A1133" s="10">
        <f t="shared" si="51"/>
        <v>2077</v>
      </c>
      <c r="B1133" s="14">
        <f t="shared" ca="1" si="52"/>
        <v>57.412475000000001</v>
      </c>
      <c r="C1133" s="14">
        <f t="shared" ca="1" si="52"/>
        <v>54.31260000000001</v>
      </c>
      <c r="D1133" s="14">
        <f t="shared" ca="1" si="52"/>
        <v>54.30478333333334</v>
      </c>
      <c r="E1133" s="14">
        <f t="shared" ca="1" si="52"/>
        <v>57.265308333333337</v>
      </c>
      <c r="F1133" s="14">
        <f t="shared" ca="1" si="52"/>
        <v>57.25620833333334</v>
      </c>
      <c r="G1133" s="14">
        <f t="shared" ca="1" si="52"/>
        <v>54.311041666666675</v>
      </c>
      <c r="H1133" s="14">
        <f t="shared" ca="1" si="52"/>
        <v>54.311041666666675</v>
      </c>
      <c r="I1133" s="14">
        <f t="shared" ca="1" si="52"/>
        <v>54.31260000000001</v>
      </c>
      <c r="J1133" s="14">
        <f t="shared" ca="1" si="52"/>
        <v>510.82999166666673</v>
      </c>
    </row>
    <row r="1134" spans="1:10" ht="15" x14ac:dyDescent="0.2">
      <c r="A1134" s="10">
        <f t="shared" si="51"/>
        <v>2078</v>
      </c>
      <c r="B1134" s="14">
        <f t="shared" ca="1" si="52"/>
        <v>58.366150000000005</v>
      </c>
      <c r="C1134" s="14">
        <f t="shared" ca="1" si="52"/>
        <v>55.216691666666669</v>
      </c>
      <c r="D1134" s="14">
        <f t="shared" ca="1" si="52"/>
        <v>55.20888333333334</v>
      </c>
      <c r="E1134" s="14">
        <f t="shared" ca="1" si="52"/>
        <v>58.219025000000009</v>
      </c>
      <c r="F1134" s="14">
        <f t="shared" ca="1" si="52"/>
        <v>58.209924999999998</v>
      </c>
      <c r="G1134" s="14">
        <f t="shared" ca="1" si="52"/>
        <v>55.215125</v>
      </c>
      <c r="H1134" s="14">
        <f t="shared" ca="1" si="52"/>
        <v>55.215125</v>
      </c>
      <c r="I1134" s="14">
        <f t="shared" ca="1" si="52"/>
        <v>55.216691666666669</v>
      </c>
      <c r="J1134" s="14">
        <f t="shared" ca="1" si="52"/>
        <v>523.00893333333329</v>
      </c>
    </row>
    <row r="1135" spans="1:10" ht="15" x14ac:dyDescent="0.2">
      <c r="A1135" s="10">
        <f t="shared" si="51"/>
        <v>2079</v>
      </c>
      <c r="B1135" s="14">
        <f t="shared" ca="1" si="52"/>
        <v>59.335883333333328</v>
      </c>
      <c r="C1135" s="14">
        <f t="shared" ca="1" si="52"/>
        <v>56.135983333333336</v>
      </c>
      <c r="D1135" s="14">
        <f t="shared" ca="1" si="52"/>
        <v>56.128174999999999</v>
      </c>
      <c r="E1135" s="14">
        <f t="shared" ca="1" si="52"/>
        <v>59.188733333333339</v>
      </c>
      <c r="F1135" s="14">
        <f t="shared" ca="1" si="52"/>
        <v>59.179633333333335</v>
      </c>
      <c r="G1135" s="14">
        <f t="shared" ca="1" si="52"/>
        <v>56.134399999999999</v>
      </c>
      <c r="H1135" s="14">
        <f t="shared" ca="1" si="52"/>
        <v>56.134399999999999</v>
      </c>
      <c r="I1135" s="14">
        <f t="shared" ca="1" si="52"/>
        <v>56.135983333333336</v>
      </c>
      <c r="J1135" s="14">
        <f t="shared" ca="1" si="52"/>
        <v>535.47826666666663</v>
      </c>
    </row>
    <row r="1136" spans="1:10" ht="15" x14ac:dyDescent="0.2">
      <c r="A1136" s="10">
        <f t="shared" si="51"/>
        <v>2080</v>
      </c>
      <c r="B1136" s="14">
        <f t="shared" ca="1" si="52"/>
        <v>60.32191666666666</v>
      </c>
      <c r="C1136" s="14">
        <f t="shared" ca="1" si="52"/>
        <v>57.070708333333336</v>
      </c>
      <c r="D1136" s="14">
        <f t="shared" ca="1" si="52"/>
        <v>57.062891666666665</v>
      </c>
      <c r="E1136" s="14">
        <f t="shared" ca="1" si="52"/>
        <v>60.17475833333333</v>
      </c>
      <c r="F1136" s="14">
        <f t="shared" ca="1" si="52"/>
        <v>60.165658333333333</v>
      </c>
      <c r="G1136" s="14">
        <f t="shared" ca="1" si="52"/>
        <v>57.06915</v>
      </c>
      <c r="H1136" s="14">
        <f t="shared" ca="1" si="52"/>
        <v>57.06915</v>
      </c>
      <c r="I1136" s="14">
        <f t="shared" ca="1" si="52"/>
        <v>57.070708333333336</v>
      </c>
      <c r="J1136" s="14">
        <f t="shared" ca="1" si="52"/>
        <v>548.24488333333341</v>
      </c>
    </row>
    <row r="1137" spans="1:10" ht="15" x14ac:dyDescent="0.2">
      <c r="A1137" s="10">
        <f t="shared" si="51"/>
        <v>2081</v>
      </c>
      <c r="B1137" s="14">
        <f t="shared" ca="1" si="52"/>
        <v>61.324483333333326</v>
      </c>
      <c r="C1137" s="14">
        <f t="shared" ca="1" si="52"/>
        <v>58.021133333333346</v>
      </c>
      <c r="D1137" s="14">
        <f t="shared" ca="1" si="52"/>
        <v>58.013325000000002</v>
      </c>
      <c r="E1137" s="14">
        <f t="shared" ca="1" si="52"/>
        <v>61.177341666666678</v>
      </c>
      <c r="F1137" s="14">
        <f t="shared" ca="1" si="52"/>
        <v>61.168241666666653</v>
      </c>
      <c r="G1137" s="14">
        <f t="shared" ca="1" si="52"/>
        <v>58.019575000000003</v>
      </c>
      <c r="H1137" s="14">
        <f t="shared" ca="1" si="52"/>
        <v>58.019575000000003</v>
      </c>
      <c r="I1137" s="14">
        <f t="shared" ca="1" si="52"/>
        <v>58.021133333333346</v>
      </c>
      <c r="J1137" s="14">
        <f t="shared" ca="1" si="52"/>
        <v>561.31584166666676</v>
      </c>
    </row>
    <row r="1138" spans="1:10" ht="15" x14ac:dyDescent="0.2">
      <c r="A1138" s="10">
        <f t="shared" si="51"/>
        <v>2082</v>
      </c>
      <c r="B1138" s="14">
        <f t="shared" ref="B1138:J1147" ca="1" si="53">AVERAGE(OFFSET(B$600,($A1138-$A$1118)*12,0,12,1))</f>
        <v>62.343899999999998</v>
      </c>
      <c r="C1138" s="14">
        <f t="shared" ca="1" si="53"/>
        <v>58.987541666666665</v>
      </c>
      <c r="D1138" s="14">
        <f t="shared" ca="1" si="53"/>
        <v>58.979733333333343</v>
      </c>
      <c r="E1138" s="14">
        <f t="shared" ca="1" si="53"/>
        <v>62.196758333333328</v>
      </c>
      <c r="F1138" s="14">
        <f t="shared" ca="1" si="53"/>
        <v>62.187658333333331</v>
      </c>
      <c r="G1138" s="14">
        <f t="shared" ca="1" si="53"/>
        <v>58.985966666666677</v>
      </c>
      <c r="H1138" s="14">
        <f t="shared" ca="1" si="53"/>
        <v>58.985966666666677</v>
      </c>
      <c r="I1138" s="14">
        <f t="shared" ca="1" si="53"/>
        <v>58.987541666666665</v>
      </c>
      <c r="J1138" s="14">
        <f t="shared" ca="1" si="53"/>
        <v>574.69846666666672</v>
      </c>
    </row>
    <row r="1139" spans="1:10" ht="15" x14ac:dyDescent="0.2">
      <c r="A1139" s="10">
        <f t="shared" si="51"/>
        <v>2083</v>
      </c>
      <c r="B1139" s="14">
        <f t="shared" ca="1" si="53"/>
        <v>63.380441666666663</v>
      </c>
      <c r="C1139" s="14">
        <f t="shared" ca="1" si="53"/>
        <v>59.970183333333331</v>
      </c>
      <c r="D1139" s="14">
        <f t="shared" ca="1" si="53"/>
        <v>59.962366666666668</v>
      </c>
      <c r="E1139" s="14">
        <f t="shared" ca="1" si="53"/>
        <v>63.233316666666667</v>
      </c>
      <c r="F1139" s="14">
        <f t="shared" ca="1" si="53"/>
        <v>63.224216666666656</v>
      </c>
      <c r="G1139" s="14">
        <f t="shared" ca="1" si="53"/>
        <v>59.968591666666669</v>
      </c>
      <c r="H1139" s="14">
        <f t="shared" ca="1" si="53"/>
        <v>59.968591666666669</v>
      </c>
      <c r="I1139" s="14">
        <f t="shared" ca="1" si="53"/>
        <v>59.970183333333331</v>
      </c>
      <c r="J1139" s="14">
        <f t="shared" ca="1" si="53"/>
        <v>588.40014166666674</v>
      </c>
    </row>
    <row r="1140" spans="1:10" ht="15" x14ac:dyDescent="0.2">
      <c r="A1140" s="10">
        <f t="shared" si="51"/>
        <v>2084</v>
      </c>
      <c r="B1140" s="14">
        <f t="shared" ca="1" si="53"/>
        <v>64.434416666666664</v>
      </c>
      <c r="C1140" s="14">
        <f t="shared" ca="1" si="53"/>
        <v>60.969316666666657</v>
      </c>
      <c r="D1140" s="14">
        <f t="shared" ca="1" si="53"/>
        <v>60.961500000000001</v>
      </c>
      <c r="E1140" s="14">
        <f t="shared" ca="1" si="53"/>
        <v>64.287266666666667</v>
      </c>
      <c r="F1140" s="14">
        <f t="shared" ca="1" si="53"/>
        <v>64.278166666666678</v>
      </c>
      <c r="G1140" s="14">
        <f t="shared" ca="1" si="53"/>
        <v>60.967758333333336</v>
      </c>
      <c r="H1140" s="14">
        <f t="shared" ca="1" si="53"/>
        <v>60.967758333333336</v>
      </c>
      <c r="I1140" s="14">
        <f t="shared" ca="1" si="53"/>
        <v>60.969316666666657</v>
      </c>
      <c r="J1140" s="14">
        <f t="shared" ca="1" si="53"/>
        <v>602.42847499999993</v>
      </c>
    </row>
    <row r="1141" spans="1:10" ht="15" x14ac:dyDescent="0.2">
      <c r="A1141" s="10">
        <f t="shared" si="51"/>
        <v>2085</v>
      </c>
      <c r="B1141" s="14">
        <f t="shared" ca="1" si="53"/>
        <v>65.506091666666677</v>
      </c>
      <c r="C1141" s="14">
        <f t="shared" ca="1" si="53"/>
        <v>61.985233333333348</v>
      </c>
      <c r="D1141" s="14">
        <f t="shared" ca="1" si="53"/>
        <v>61.977433333333344</v>
      </c>
      <c r="E1141" s="14">
        <f t="shared" ca="1" si="53"/>
        <v>65.358925000000013</v>
      </c>
      <c r="F1141" s="14">
        <f t="shared" ca="1" si="53"/>
        <v>65.349824999999996</v>
      </c>
      <c r="G1141" s="14">
        <f t="shared" ca="1" si="53"/>
        <v>61.983666666666672</v>
      </c>
      <c r="H1141" s="14">
        <f t="shared" ca="1" si="53"/>
        <v>61.983666666666672</v>
      </c>
      <c r="I1141" s="14">
        <f t="shared" ca="1" si="53"/>
        <v>61.985233333333348</v>
      </c>
      <c r="J1141" s="14">
        <f t="shared" ca="1" si="53"/>
        <v>616.79127499999993</v>
      </c>
    </row>
    <row r="1142" spans="1:10" ht="15" x14ac:dyDescent="0.2">
      <c r="A1142" s="10">
        <f t="shared" si="51"/>
        <v>2086</v>
      </c>
      <c r="B1142" s="14">
        <f t="shared" ca="1" si="53"/>
        <v>66.59575000000001</v>
      </c>
      <c r="C1142" s="14">
        <f t="shared" ca="1" si="53"/>
        <v>63.018241666666661</v>
      </c>
      <c r="D1142" s="14">
        <f t="shared" ca="1" si="53"/>
        <v>63.010433333333332</v>
      </c>
      <c r="E1142" s="14">
        <f t="shared" ca="1" si="53"/>
        <v>66.44860833333334</v>
      </c>
      <c r="F1142" s="14">
        <f t="shared" ca="1" si="53"/>
        <v>66.439508333333336</v>
      </c>
      <c r="G1142" s="14">
        <f t="shared" ca="1" si="53"/>
        <v>63.016666666666673</v>
      </c>
      <c r="H1142" s="14">
        <f t="shared" ca="1" si="53"/>
        <v>63.016666666666673</v>
      </c>
      <c r="I1142" s="14">
        <f t="shared" ca="1" si="53"/>
        <v>63.018241666666661</v>
      </c>
      <c r="J1142" s="14">
        <f t="shared" ca="1" si="53"/>
        <v>631.49649999999986</v>
      </c>
    </row>
    <row r="1143" spans="1:10" ht="15" x14ac:dyDescent="0.2">
      <c r="A1143" s="10">
        <f t="shared" si="51"/>
        <v>2087</v>
      </c>
      <c r="B1143" s="14">
        <f t="shared" ca="1" si="53"/>
        <v>67.703733333333332</v>
      </c>
      <c r="C1143" s="14">
        <f t="shared" ca="1" si="53"/>
        <v>64.068583333333336</v>
      </c>
      <c r="D1143" s="14">
        <f t="shared" ca="1" si="53"/>
        <v>64.060758333333339</v>
      </c>
      <c r="E1143" s="14">
        <f t="shared" ca="1" si="53"/>
        <v>67.556575000000009</v>
      </c>
      <c r="F1143" s="14">
        <f t="shared" ca="1" si="53"/>
        <v>67.547475000000006</v>
      </c>
      <c r="G1143" s="14">
        <f t="shared" ca="1" si="53"/>
        <v>64.067016666666674</v>
      </c>
      <c r="H1143" s="14">
        <f t="shared" ca="1" si="53"/>
        <v>64.067016666666674</v>
      </c>
      <c r="I1143" s="14">
        <f t="shared" ca="1" si="53"/>
        <v>64.068583333333336</v>
      </c>
      <c r="J1143" s="14">
        <f t="shared" ca="1" si="53"/>
        <v>646.552325</v>
      </c>
    </row>
    <row r="1144" spans="1:10" ht="15" x14ac:dyDescent="0.2">
      <c r="A1144" s="10">
        <f t="shared" si="51"/>
        <v>2088</v>
      </c>
      <c r="B1144" s="14">
        <f t="shared" ca="1" si="53"/>
        <v>68.830325000000002</v>
      </c>
      <c r="C1144" s="14">
        <f t="shared" ca="1" si="53"/>
        <v>65.136591666666661</v>
      </c>
      <c r="D1144" s="14">
        <f t="shared" ca="1" si="53"/>
        <v>65.128775000000005</v>
      </c>
      <c r="E1144" s="14">
        <f t="shared" ca="1" si="53"/>
        <v>68.683166666666679</v>
      </c>
      <c r="F1144" s="14">
        <f t="shared" ca="1" si="53"/>
        <v>68.674066666666661</v>
      </c>
      <c r="G1144" s="14">
        <f t="shared" ca="1" si="53"/>
        <v>65.135008333333346</v>
      </c>
      <c r="H1144" s="14">
        <f t="shared" ca="1" si="53"/>
        <v>65.135008333333346</v>
      </c>
      <c r="I1144" s="14">
        <f t="shared" ca="1" si="53"/>
        <v>65.136591666666661</v>
      </c>
      <c r="J1144" s="14">
        <f t="shared" ca="1" si="53"/>
        <v>661.96710000000007</v>
      </c>
    </row>
    <row r="1145" spans="1:10" ht="15" x14ac:dyDescent="0.2">
      <c r="A1145" s="10">
        <f t="shared" si="51"/>
        <v>2089</v>
      </c>
      <c r="B1145" s="14">
        <f t="shared" ca="1" si="53"/>
        <v>69.975841666666653</v>
      </c>
      <c r="C1145" s="14">
        <f t="shared" ca="1" si="53"/>
        <v>66.222499999999997</v>
      </c>
      <c r="D1145" s="14">
        <f t="shared" ca="1" si="53"/>
        <v>66.214700000000008</v>
      </c>
      <c r="E1145" s="14">
        <f t="shared" ca="1" si="53"/>
        <v>69.828691666666671</v>
      </c>
      <c r="F1145" s="14">
        <f t="shared" ca="1" si="53"/>
        <v>69.819591666666653</v>
      </c>
      <c r="G1145" s="14">
        <f t="shared" ca="1" si="53"/>
        <v>66.220966666666669</v>
      </c>
      <c r="H1145" s="14">
        <f t="shared" ca="1" si="53"/>
        <v>66.220966666666669</v>
      </c>
      <c r="I1145" s="14">
        <f t="shared" ca="1" si="53"/>
        <v>66.222499999999997</v>
      </c>
      <c r="J1145" s="14">
        <f t="shared" ca="1" si="53"/>
        <v>677.74938333333341</v>
      </c>
    </row>
    <row r="1146" spans="1:10" ht="15" x14ac:dyDescent="0.2">
      <c r="A1146" s="10">
        <f t="shared" si="51"/>
        <v>2090</v>
      </c>
      <c r="B1146" s="14">
        <f t="shared" ca="1" si="53"/>
        <v>71.140600000000006</v>
      </c>
      <c r="C1146" s="14">
        <f t="shared" ca="1" si="53"/>
        <v>67.326700000000002</v>
      </c>
      <c r="D1146" s="14">
        <f t="shared" ca="1" si="53"/>
        <v>67.318883333333318</v>
      </c>
      <c r="E1146" s="14">
        <f t="shared" ca="1" si="53"/>
        <v>70.993458333333351</v>
      </c>
      <c r="F1146" s="14">
        <f t="shared" ca="1" si="53"/>
        <v>70.984358333333333</v>
      </c>
      <c r="G1146" s="14">
        <f t="shared" ca="1" si="53"/>
        <v>67.325125</v>
      </c>
      <c r="H1146" s="14">
        <f t="shared" ca="1" si="53"/>
        <v>67.325125</v>
      </c>
      <c r="I1146" s="14">
        <f t="shared" ca="1" si="53"/>
        <v>67.326700000000002</v>
      </c>
      <c r="J1146" s="14">
        <f t="shared" ca="1" si="53"/>
        <v>693.90795833333334</v>
      </c>
    </row>
    <row r="1147" spans="1:10" ht="15" x14ac:dyDescent="0.2">
      <c r="A1147" s="10">
        <f t="shared" si="51"/>
        <v>2091</v>
      </c>
      <c r="B1147" s="14">
        <f t="shared" ca="1" si="53"/>
        <v>72.324941666666675</v>
      </c>
      <c r="C1147" s="14">
        <f t="shared" ca="1" si="53"/>
        <v>68.449425000000005</v>
      </c>
      <c r="D1147" s="14">
        <f t="shared" ca="1" si="53"/>
        <v>68.441608333333349</v>
      </c>
      <c r="E1147" s="14">
        <f t="shared" ca="1" si="53"/>
        <v>72.177783333333352</v>
      </c>
      <c r="F1147" s="14">
        <f t="shared" ca="1" si="53"/>
        <v>72.168683333333334</v>
      </c>
      <c r="G1147" s="14">
        <f t="shared" ca="1" si="53"/>
        <v>68.44786666666667</v>
      </c>
      <c r="H1147" s="14">
        <f t="shared" ca="1" si="53"/>
        <v>68.44786666666667</v>
      </c>
      <c r="I1147" s="14">
        <f t="shared" ca="1" si="53"/>
        <v>68.449425000000005</v>
      </c>
      <c r="J1147" s="14">
        <f t="shared" ca="1" si="53"/>
        <v>710.45175833333349</v>
      </c>
    </row>
    <row r="1148" spans="1:10" ht="15" x14ac:dyDescent="0.2">
      <c r="A1148" s="10">
        <f t="shared" si="51"/>
        <v>2092</v>
      </c>
      <c r="B1148" s="14">
        <f t="shared" ref="B1148:J1156" ca="1" si="54">AVERAGE(OFFSET(B$600,($A1148-$A$1118)*12,0,12,1))</f>
        <v>73.529166666666654</v>
      </c>
      <c r="C1148" s="14">
        <f t="shared" ca="1" si="54"/>
        <v>69.591008333333335</v>
      </c>
      <c r="D1148" s="14">
        <f t="shared" ca="1" si="54"/>
        <v>69.583191666666664</v>
      </c>
      <c r="E1148" s="14">
        <f t="shared" ca="1" si="54"/>
        <v>73.381999999999991</v>
      </c>
      <c r="F1148" s="14">
        <f t="shared" ca="1" si="54"/>
        <v>73.372899999999973</v>
      </c>
      <c r="G1148" s="14">
        <f t="shared" ca="1" si="54"/>
        <v>69.58945833333334</v>
      </c>
      <c r="H1148" s="14">
        <f t="shared" ca="1" si="54"/>
        <v>69.58945833333334</v>
      </c>
      <c r="I1148" s="14">
        <f t="shared" ca="1" si="54"/>
        <v>69.591008333333335</v>
      </c>
      <c r="J1148" s="14">
        <f t="shared" ca="1" si="54"/>
        <v>727.38999166666656</v>
      </c>
    </row>
    <row r="1149" spans="1:10" ht="15" x14ac:dyDescent="0.2">
      <c r="A1149" s="10">
        <f t="shared" si="51"/>
        <v>2093</v>
      </c>
      <c r="B1149" s="14">
        <f t="shared" ca="1" si="54"/>
        <v>74.753616666666659</v>
      </c>
      <c r="C1149" s="14">
        <f t="shared" ca="1" si="54"/>
        <v>70.751783333333336</v>
      </c>
      <c r="D1149" s="14">
        <f t="shared" ca="1" si="54"/>
        <v>70.743975000000006</v>
      </c>
      <c r="E1149" s="14">
        <f t="shared" ca="1" si="54"/>
        <v>74.60648333333333</v>
      </c>
      <c r="F1149" s="14">
        <f t="shared" ca="1" si="54"/>
        <v>74.59738333333334</v>
      </c>
      <c r="G1149" s="14">
        <f t="shared" ca="1" si="54"/>
        <v>70.750216666666674</v>
      </c>
      <c r="H1149" s="14">
        <f t="shared" ca="1" si="54"/>
        <v>70.750216666666674</v>
      </c>
      <c r="I1149" s="14">
        <f t="shared" ca="1" si="54"/>
        <v>70.751783333333336</v>
      </c>
      <c r="J1149" s="14">
        <f t="shared" ca="1" si="54"/>
        <v>744.73209166666663</v>
      </c>
    </row>
    <row r="1150" spans="1:10" ht="15" x14ac:dyDescent="0.2">
      <c r="A1150" s="10">
        <f t="shared" si="51"/>
        <v>2094</v>
      </c>
      <c r="B1150" s="14">
        <f t="shared" ca="1" si="54"/>
        <v>75.998641666666671</v>
      </c>
      <c r="C1150" s="14">
        <f t="shared" ca="1" si="54"/>
        <v>71.932041666666677</v>
      </c>
      <c r="D1150" s="14">
        <f t="shared" ca="1" si="54"/>
        <v>71.924233333333333</v>
      </c>
      <c r="E1150" s="14">
        <f t="shared" ca="1" si="54"/>
        <v>75.851500000000001</v>
      </c>
      <c r="F1150" s="14">
        <f t="shared" ca="1" si="54"/>
        <v>75.842399999999998</v>
      </c>
      <c r="G1150" s="14">
        <f t="shared" ca="1" si="54"/>
        <v>71.930499999999995</v>
      </c>
      <c r="H1150" s="14">
        <f t="shared" ca="1" si="54"/>
        <v>71.930499999999995</v>
      </c>
      <c r="I1150" s="14">
        <f t="shared" ca="1" si="54"/>
        <v>71.932041666666677</v>
      </c>
      <c r="J1150" s="14">
        <f t="shared" ca="1" si="54"/>
        <v>762.48759166666662</v>
      </c>
    </row>
    <row r="1151" spans="1:10" ht="15" x14ac:dyDescent="0.2">
      <c r="A1151" s="10">
        <f t="shared" si="51"/>
        <v>2095</v>
      </c>
      <c r="B1151" s="14">
        <f t="shared" ca="1" si="54"/>
        <v>77.264591666666661</v>
      </c>
      <c r="C1151" s="14">
        <f t="shared" ca="1" si="54"/>
        <v>73.132158333333351</v>
      </c>
      <c r="D1151" s="14">
        <f t="shared" ca="1" si="54"/>
        <v>73.124341666666666</v>
      </c>
      <c r="E1151" s="14">
        <f t="shared" ca="1" si="54"/>
        <v>77.117433333333352</v>
      </c>
      <c r="F1151" s="14">
        <f t="shared" ca="1" si="54"/>
        <v>77.108333333333334</v>
      </c>
      <c r="G1151" s="14">
        <f t="shared" ca="1" si="54"/>
        <v>73.130591666666675</v>
      </c>
      <c r="H1151" s="14">
        <f t="shared" ca="1" si="54"/>
        <v>73.130591666666675</v>
      </c>
      <c r="I1151" s="14">
        <f t="shared" ca="1" si="54"/>
        <v>73.132158333333351</v>
      </c>
      <c r="J1151" s="14">
        <f t="shared" ca="1" si="54"/>
        <v>780.66643333333332</v>
      </c>
    </row>
    <row r="1152" spans="1:10" ht="15" x14ac:dyDescent="0.2">
      <c r="A1152" s="10">
        <f t="shared" si="51"/>
        <v>2096</v>
      </c>
      <c r="B1152" s="14">
        <f t="shared" ca="1" si="54"/>
        <v>78.5518</v>
      </c>
      <c r="C1152" s="14">
        <f t="shared" ca="1" si="54"/>
        <v>74.352424999999997</v>
      </c>
      <c r="D1152" s="14">
        <f t="shared" ca="1" si="54"/>
        <v>74.344616666666667</v>
      </c>
      <c r="E1152" s="14">
        <f t="shared" ca="1" si="54"/>
        <v>78.404650000000004</v>
      </c>
      <c r="F1152" s="14">
        <f t="shared" ca="1" si="54"/>
        <v>78.39555</v>
      </c>
      <c r="G1152" s="14">
        <f t="shared" ca="1" si="54"/>
        <v>74.350850000000008</v>
      </c>
      <c r="H1152" s="14">
        <f t="shared" ca="1" si="54"/>
        <v>74.350850000000008</v>
      </c>
      <c r="I1152" s="14">
        <f t="shared" ca="1" si="54"/>
        <v>74.352424999999997</v>
      </c>
      <c r="J1152" s="14">
        <f t="shared" ca="1" si="54"/>
        <v>799.27870833333327</v>
      </c>
    </row>
    <row r="1153" spans="1:10" ht="15" x14ac:dyDescent="0.2">
      <c r="A1153" s="10">
        <f t="shared" si="51"/>
        <v>2097</v>
      </c>
      <c r="B1153" s="14">
        <f t="shared" ca="1" si="54"/>
        <v>79.860641666666652</v>
      </c>
      <c r="C1153" s="14">
        <f t="shared" ca="1" si="54"/>
        <v>75.593158333333335</v>
      </c>
      <c r="D1153" s="14">
        <f t="shared" ca="1" si="54"/>
        <v>75.585350000000005</v>
      </c>
      <c r="E1153" s="14">
        <f t="shared" ca="1" si="54"/>
        <v>79.713491666666684</v>
      </c>
      <c r="F1153" s="14">
        <f t="shared" ca="1" si="54"/>
        <v>79.704391666666666</v>
      </c>
      <c r="G1153" s="14">
        <f t="shared" ca="1" si="54"/>
        <v>75.591616666666667</v>
      </c>
      <c r="H1153" s="14">
        <f t="shared" ca="1" si="54"/>
        <v>75.591616666666667</v>
      </c>
      <c r="I1153" s="14">
        <f t="shared" ca="1" si="54"/>
        <v>75.593158333333335</v>
      </c>
      <c r="J1153" s="14">
        <f t="shared" ca="1" si="54"/>
        <v>818.33470833333331</v>
      </c>
    </row>
    <row r="1154" spans="1:10" ht="15" x14ac:dyDescent="0.2">
      <c r="A1154" s="10">
        <f t="shared" si="51"/>
        <v>2098</v>
      </c>
      <c r="B1154" s="14">
        <f t="shared" ca="1" si="54"/>
        <v>81.19146666666667</v>
      </c>
      <c r="C1154" s="14">
        <f t="shared" ca="1" si="54"/>
        <v>76.854766666666663</v>
      </c>
      <c r="D1154" s="14">
        <f t="shared" ca="1" si="54"/>
        <v>76.846958333333347</v>
      </c>
      <c r="E1154" s="14">
        <f t="shared" ca="1" si="54"/>
        <v>81.04431666666666</v>
      </c>
      <c r="F1154" s="14">
        <f t="shared" ca="1" si="54"/>
        <v>81.03521666666667</v>
      </c>
      <c r="G1154" s="14">
        <f t="shared" ca="1" si="54"/>
        <v>76.853216666666682</v>
      </c>
      <c r="H1154" s="14">
        <f t="shared" ca="1" si="54"/>
        <v>76.853216666666682</v>
      </c>
      <c r="I1154" s="14">
        <f t="shared" ca="1" si="54"/>
        <v>76.854766666666663</v>
      </c>
      <c r="J1154" s="14">
        <f t="shared" ca="1" si="54"/>
        <v>837.84504166666648</v>
      </c>
    </row>
    <row r="1155" spans="1:10" ht="15" x14ac:dyDescent="0.2">
      <c r="A1155" s="10">
        <f t="shared" si="51"/>
        <v>2099</v>
      </c>
      <c r="B1155" s="14">
        <f t="shared" ca="1" si="54"/>
        <v>82.54464999999999</v>
      </c>
      <c r="C1155" s="14">
        <f t="shared" ca="1" si="54"/>
        <v>78.137591666666665</v>
      </c>
      <c r="D1155" s="14">
        <f t="shared" ca="1" si="54"/>
        <v>78.129766666666669</v>
      </c>
      <c r="E1155" s="14">
        <f t="shared" ca="1" si="54"/>
        <v>82.397491666666667</v>
      </c>
      <c r="F1155" s="14">
        <f t="shared" ca="1" si="54"/>
        <v>82.388391666666664</v>
      </c>
      <c r="G1155" s="14">
        <f t="shared" ca="1" si="54"/>
        <v>78.136008333333336</v>
      </c>
      <c r="H1155" s="14">
        <f t="shared" ca="1" si="54"/>
        <v>78.136008333333336</v>
      </c>
      <c r="I1155" s="14">
        <f t="shared" ca="1" si="54"/>
        <v>78.137591666666665</v>
      </c>
      <c r="J1155" s="14">
        <f t="shared" ca="1" si="54"/>
        <v>857.82050833333324</v>
      </c>
    </row>
    <row r="1156" spans="1:10" ht="15" x14ac:dyDescent="0.2">
      <c r="A1156" s="10">
        <f t="shared" si="51"/>
        <v>2100</v>
      </c>
      <c r="B1156" s="14">
        <f t="shared" ca="1" si="54"/>
        <v>83.920566666666659</v>
      </c>
      <c r="C1156" s="14">
        <f t="shared" ca="1" si="54"/>
        <v>79.441933333333324</v>
      </c>
      <c r="D1156" s="14">
        <f t="shared" ca="1" si="54"/>
        <v>79.434108333333327</v>
      </c>
      <c r="E1156" s="14">
        <f t="shared" ca="1" si="54"/>
        <v>83.773416666666662</v>
      </c>
      <c r="F1156" s="14">
        <f t="shared" ca="1" si="54"/>
        <v>83.764316666666659</v>
      </c>
      <c r="G1156" s="14">
        <f t="shared" ca="1" si="54"/>
        <v>79.440366666666662</v>
      </c>
      <c r="H1156" s="14">
        <f t="shared" ca="1" si="54"/>
        <v>79.440366666666662</v>
      </c>
      <c r="I1156" s="14">
        <f t="shared" ca="1" si="54"/>
        <v>79.441933333333324</v>
      </c>
      <c r="J1156" s="14">
        <f t="shared" ca="1" si="54"/>
        <v>878.27224166666667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scale="7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0" zoomScaleNormal="70" workbookViewId="0">
      <pane xSplit="1" ySplit="12" topLeftCell="B13" activePane="bottomRight" state="frozen"/>
      <selection activeCell="A7" sqref="A7:B7"/>
      <selection pane="topRight" activeCell="A7" sqref="A7:B7"/>
      <selection pane="bottomLeft" activeCell="A7" sqref="A7:B7"/>
      <selection pane="bottomRight" activeCell="B13" sqref="B13"/>
    </sheetView>
  </sheetViews>
  <sheetFormatPr defaultColWidth="7.109375" defaultRowHeight="12.75" x14ac:dyDescent="0.2"/>
  <cols>
    <col min="1" max="1" width="18.21875" style="31" customWidth="1"/>
    <col min="2" max="10" width="13" style="31" customWidth="1"/>
    <col min="11" max="11" width="18.6640625" style="31" customWidth="1"/>
    <col min="12" max="12" width="13" style="31" customWidth="1"/>
    <col min="13" max="16" width="20.6640625" style="31" customWidth="1"/>
    <col min="17" max="17" width="15.5546875" style="31" customWidth="1"/>
    <col min="18" max="18" width="16.21875" style="31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1" t="s">
        <v>91</v>
      </c>
    </row>
    <row r="2" spans="1:29" ht="15.75" x14ac:dyDescent="0.25">
      <c r="A2" s="101" t="s">
        <v>92</v>
      </c>
    </row>
    <row r="3" spans="1:29" ht="15.75" x14ac:dyDescent="0.25">
      <c r="A3" s="101" t="s">
        <v>93</v>
      </c>
    </row>
    <row r="4" spans="1:29" ht="15.75" x14ac:dyDescent="0.25">
      <c r="A4" s="101" t="s">
        <v>94</v>
      </c>
    </row>
    <row r="5" spans="1:29" ht="15.75" x14ac:dyDescent="0.25">
      <c r="A5" s="101" t="s">
        <v>96</v>
      </c>
    </row>
    <row r="6" spans="1:29" ht="15.75" x14ac:dyDescent="0.25">
      <c r="A6" s="101" t="s">
        <v>100</v>
      </c>
    </row>
    <row r="8" spans="1:29" ht="15.75" x14ac:dyDescent="0.25">
      <c r="A8" s="43" t="s">
        <v>27</v>
      </c>
      <c r="M8" s="76"/>
      <c r="N8" s="76"/>
      <c r="O8" s="72"/>
      <c r="P8" s="72"/>
      <c r="T8" s="110" t="s">
        <v>79</v>
      </c>
      <c r="U8" s="110"/>
      <c r="V8" s="110"/>
      <c r="W8" s="110"/>
      <c r="X8" s="110"/>
      <c r="Y8" s="110"/>
    </row>
    <row r="9" spans="1:29" ht="16.5" thickBot="1" x14ac:dyDescent="0.3">
      <c r="A9" s="43"/>
      <c r="B9" s="41" t="s">
        <v>25</v>
      </c>
      <c r="C9" s="75">
        <f>1-0.216</f>
        <v>0.78400000000000003</v>
      </c>
      <c r="D9" s="41"/>
      <c r="E9" s="75">
        <f>1+0.216</f>
        <v>1.216</v>
      </c>
      <c r="F9" s="75"/>
      <c r="G9" s="75"/>
      <c r="H9" s="1"/>
      <c r="I9" s="1"/>
      <c r="J9" s="1"/>
      <c r="K9" s="1"/>
      <c r="L9" s="1"/>
      <c r="M9" s="1"/>
      <c r="N9" s="1"/>
      <c r="O9" s="1"/>
      <c r="P9" s="1"/>
      <c r="T9" s="110" t="s">
        <v>78</v>
      </c>
      <c r="U9" s="110"/>
      <c r="V9" s="110"/>
      <c r="W9" s="110"/>
      <c r="X9" s="110"/>
      <c r="Y9" s="110"/>
      <c r="Z9" s="106"/>
      <c r="AA9" s="106"/>
      <c r="AB9" s="1"/>
    </row>
    <row r="10" spans="1:29" ht="21.75" thickTop="1" thickBot="1" x14ac:dyDescent="0.35">
      <c r="B10" s="74"/>
      <c r="C10" s="73"/>
      <c r="D10" s="74"/>
      <c r="E10" s="73"/>
      <c r="F10" s="73"/>
      <c r="G10" s="73"/>
      <c r="H10" s="1"/>
      <c r="I10" s="1"/>
      <c r="J10" s="1"/>
      <c r="K10" s="1"/>
      <c r="L10" s="1"/>
      <c r="M10" s="1"/>
      <c r="N10" s="1"/>
      <c r="O10" s="1"/>
      <c r="P10" s="1"/>
      <c r="T10" s="111" t="s">
        <v>77</v>
      </c>
      <c r="U10" s="112"/>
      <c r="V10" s="112"/>
      <c r="W10" s="112"/>
      <c r="X10" s="112"/>
      <c r="Y10" s="113"/>
      <c r="Z10" s="72"/>
      <c r="AA10" s="72"/>
      <c r="AB10" s="1"/>
    </row>
    <row r="11" spans="1:29" s="36" customFormat="1" ht="112.5" customHeight="1" thickTop="1" x14ac:dyDescent="0.25">
      <c r="B11" s="67" t="s">
        <v>76</v>
      </c>
      <c r="C11" s="71" t="s">
        <v>75</v>
      </c>
      <c r="D11" s="67" t="s">
        <v>74</v>
      </c>
      <c r="E11" s="67" t="s">
        <v>73</v>
      </c>
      <c r="F11" s="71" t="s">
        <v>72</v>
      </c>
      <c r="G11" s="71" t="s">
        <v>71</v>
      </c>
      <c r="H11" s="71" t="s">
        <v>70</v>
      </c>
      <c r="I11" s="71" t="s">
        <v>69</v>
      </c>
      <c r="J11" s="71" t="s">
        <v>68</v>
      </c>
      <c r="K11" s="68" t="s">
        <v>67</v>
      </c>
      <c r="L11" s="37" t="s">
        <v>66</v>
      </c>
      <c r="M11" s="70" t="s">
        <v>65</v>
      </c>
      <c r="N11" s="70" t="s">
        <v>64</v>
      </c>
      <c r="O11" s="70" t="s">
        <v>63</v>
      </c>
      <c r="P11" s="70" t="s">
        <v>62</v>
      </c>
      <c r="Q11" s="37" t="s">
        <v>61</v>
      </c>
      <c r="R11" s="39" t="s">
        <v>60</v>
      </c>
      <c r="S11" s="37" t="s">
        <v>59</v>
      </c>
      <c r="T11" s="66" t="s">
        <v>58</v>
      </c>
      <c r="U11" s="66" t="s">
        <v>57</v>
      </c>
      <c r="V11" s="66" t="s">
        <v>56</v>
      </c>
      <c r="W11" s="66" t="s">
        <v>55</v>
      </c>
      <c r="X11" s="66" t="s">
        <v>54</v>
      </c>
      <c r="Y11" s="66" t="s">
        <v>53</v>
      </c>
      <c r="Z11" s="39" t="s">
        <v>52</v>
      </c>
      <c r="AA11" s="39" t="s">
        <v>51</v>
      </c>
      <c r="AB11" s="67" t="s">
        <v>50</v>
      </c>
      <c r="AC11" s="69" t="s">
        <v>49</v>
      </c>
    </row>
    <row r="12" spans="1:29" s="36" customFormat="1" ht="15.75" x14ac:dyDescent="0.25">
      <c r="A12" s="38" t="s">
        <v>15</v>
      </c>
      <c r="B12" s="37" t="s">
        <v>14</v>
      </c>
      <c r="C12" s="37" t="s">
        <v>14</v>
      </c>
      <c r="D12" s="37" t="s">
        <v>14</v>
      </c>
      <c r="E12" s="37" t="s">
        <v>14</v>
      </c>
      <c r="F12" s="37" t="s">
        <v>14</v>
      </c>
      <c r="G12" s="37" t="s">
        <v>14</v>
      </c>
      <c r="H12" s="37" t="s">
        <v>14</v>
      </c>
      <c r="I12" s="37" t="s">
        <v>14</v>
      </c>
      <c r="J12" s="37" t="s">
        <v>14</v>
      </c>
      <c r="K12" s="68" t="s">
        <v>14</v>
      </c>
      <c r="L12" s="37" t="s">
        <v>14</v>
      </c>
      <c r="M12" s="37" t="s">
        <v>14</v>
      </c>
      <c r="N12" s="37" t="s">
        <v>14</v>
      </c>
      <c r="O12" s="37" t="s">
        <v>14</v>
      </c>
      <c r="P12" s="37" t="s">
        <v>14</v>
      </c>
      <c r="Q12" s="37" t="s">
        <v>14</v>
      </c>
      <c r="R12" s="37" t="s">
        <v>14</v>
      </c>
      <c r="S12" s="37" t="s">
        <v>14</v>
      </c>
      <c r="T12" s="66" t="s">
        <v>48</v>
      </c>
      <c r="U12" s="66" t="s">
        <v>48</v>
      </c>
      <c r="V12" s="66" t="s">
        <v>48</v>
      </c>
      <c r="W12" s="66" t="s">
        <v>48</v>
      </c>
      <c r="X12" s="66" t="s">
        <v>48</v>
      </c>
      <c r="Y12" s="66" t="s">
        <v>48</v>
      </c>
      <c r="Z12" s="37" t="s">
        <v>14</v>
      </c>
      <c r="AA12" s="37" t="s">
        <v>48</v>
      </c>
      <c r="AB12" s="67" t="s">
        <v>14</v>
      </c>
      <c r="AC12" s="66" t="s">
        <v>14</v>
      </c>
    </row>
    <row r="13" spans="1:29" ht="15.75" x14ac:dyDescent="0.25">
      <c r="A13" s="13">
        <v>41275</v>
      </c>
      <c r="B13" s="63">
        <v>3.4693411405589898</v>
      </c>
      <c r="C13" s="63">
        <v>3.47442538832698</v>
      </c>
      <c r="D13" s="63">
        <v>3.5918799851734899</v>
      </c>
      <c r="E13" s="63">
        <v>3.62563976038513</v>
      </c>
      <c r="F13" s="63">
        <v>3.4827097294503502</v>
      </c>
      <c r="G13" s="63">
        <v>3.4975364689593298</v>
      </c>
      <c r="H13" s="63">
        <v>3.6145177663942398</v>
      </c>
      <c r="I13" s="63">
        <v>3.5091919375943799</v>
      </c>
      <c r="J13" s="63">
        <v>3.4753097294503501</v>
      </c>
      <c r="K13" s="65"/>
      <c r="L13" s="63">
        <v>4.2015177663942396</v>
      </c>
      <c r="M13" s="63">
        <v>3.4510577257516601</v>
      </c>
      <c r="N13" s="63">
        <v>3.46575112309643</v>
      </c>
      <c r="O13" s="63">
        <v>3.5890138150970801</v>
      </c>
      <c r="P13" s="63">
        <v>3.4845926581983502</v>
      </c>
      <c r="Q13" s="63">
        <v>4.1837138150970796</v>
      </c>
      <c r="R13" s="63">
        <v>4.7811730996348203</v>
      </c>
      <c r="S13" s="63">
        <v>3.3547069680724899</v>
      </c>
      <c r="T13" s="64">
        <v>29.034112</v>
      </c>
      <c r="U13" s="64">
        <v>12.063650000000001</v>
      </c>
      <c r="V13" s="64">
        <v>4.9444999999999997</v>
      </c>
      <c r="W13" s="64">
        <v>0.56798199999999999</v>
      </c>
      <c r="X13" s="64">
        <v>0</v>
      </c>
      <c r="Y13" s="64">
        <v>0.39</v>
      </c>
      <c r="Z13" s="63">
        <v>3.49160559679886</v>
      </c>
      <c r="AA13" s="62">
        <v>0.78900000000000003</v>
      </c>
      <c r="AB13" s="61">
        <v>3.5128713827202498</v>
      </c>
      <c r="AC13" s="60">
        <v>3.5263496753376899</v>
      </c>
    </row>
    <row r="14" spans="1:29" ht="15.75" x14ac:dyDescent="0.25">
      <c r="A14" s="13">
        <v>41306</v>
      </c>
      <c r="B14" s="14">
        <v>3.3373871192168498</v>
      </c>
      <c r="C14" s="14">
        <v>3.34247136698484</v>
      </c>
      <c r="D14" s="14">
        <v>3.4274416903447098</v>
      </c>
      <c r="E14" s="14">
        <v>3.4612014655563499</v>
      </c>
      <c r="F14" s="14">
        <v>3.32921003516193</v>
      </c>
      <c r="G14" s="14">
        <v>3.3428860878936399</v>
      </c>
      <c r="H14" s="14">
        <v>3.4500794715654499</v>
      </c>
      <c r="I14" s="14">
        <v>3.3623461586604102</v>
      </c>
      <c r="J14" s="14">
        <v>3.32181003516193</v>
      </c>
      <c r="K14" s="53"/>
      <c r="L14" s="14">
        <v>4.0370794715654501</v>
      </c>
      <c r="M14" s="14">
        <v>3.2989385090408998</v>
      </c>
      <c r="N14" s="14">
        <v>3.3124915681456</v>
      </c>
      <c r="O14" s="14">
        <v>3.42605437258766</v>
      </c>
      <c r="P14" s="14">
        <v>3.3390715772188799</v>
      </c>
      <c r="Q14" s="14">
        <v>4.0207543725876604</v>
      </c>
      <c r="R14" s="14">
        <v>4.6178062585191304</v>
      </c>
      <c r="S14" s="14">
        <v>3.2267511535770201</v>
      </c>
      <c r="T14" s="57">
        <v>26.280478500000001</v>
      </c>
      <c r="U14" s="57">
        <v>10.8962</v>
      </c>
      <c r="V14" s="57">
        <v>4.4660000000000002</v>
      </c>
      <c r="W14" s="57">
        <v>0.51301600000000003</v>
      </c>
      <c r="X14" s="57">
        <v>0</v>
      </c>
      <c r="Y14" s="57">
        <v>0.39</v>
      </c>
      <c r="Z14" s="14">
        <v>3.3376078337533501</v>
      </c>
      <c r="AA14" s="56">
        <v>0.78900000000000003</v>
      </c>
      <c r="AB14" s="50">
        <v>3.3650754313211002</v>
      </c>
      <c r="AC14" s="45">
        <v>3.36964273692133</v>
      </c>
    </row>
    <row r="15" spans="1:29" ht="15.75" x14ac:dyDescent="0.25">
      <c r="A15" s="13">
        <v>41334</v>
      </c>
      <c r="B15" s="14">
        <v>3.5446221553058099</v>
      </c>
      <c r="C15" s="14">
        <v>3.5497064030738099</v>
      </c>
      <c r="D15" s="14">
        <v>3.6259111288261701</v>
      </c>
      <c r="E15" s="14">
        <v>3.6596709040378101</v>
      </c>
      <c r="F15" s="14">
        <v>3.5438843996438298</v>
      </c>
      <c r="G15" s="14">
        <v>3.5577092992119201</v>
      </c>
      <c r="H15" s="14">
        <v>3.6485489100469102</v>
      </c>
      <c r="I15" s="14">
        <v>3.55729372718785</v>
      </c>
      <c r="J15" s="14">
        <v>3.5364843996438302</v>
      </c>
      <c r="K15" s="53"/>
      <c r="L15" s="14">
        <v>4.2355489100469104</v>
      </c>
      <c r="M15" s="14">
        <v>3.5116822302857602</v>
      </c>
      <c r="N15" s="14">
        <v>3.5253827975940699</v>
      </c>
      <c r="O15" s="14">
        <v>3.6227389045196601</v>
      </c>
      <c r="P15" s="14">
        <v>3.5322605208328999</v>
      </c>
      <c r="Q15" s="14">
        <v>4.2174389045196596</v>
      </c>
      <c r="R15" s="14">
        <v>4.8149825017809604</v>
      </c>
      <c r="S15" s="14">
        <v>3.4277069680724899</v>
      </c>
      <c r="T15" s="57">
        <v>29.128712</v>
      </c>
      <c r="U15" s="57">
        <v>12.063650000000001</v>
      </c>
      <c r="V15" s="57">
        <v>4.9444999999999997</v>
      </c>
      <c r="W15" s="57">
        <v>0.71033400000000002</v>
      </c>
      <c r="X15" s="57">
        <v>0</v>
      </c>
      <c r="Y15" s="57">
        <v>0.39</v>
      </c>
      <c r="Z15" s="14">
        <v>3.51872944531473</v>
      </c>
      <c r="AA15" s="56">
        <v>0.78900000000000003</v>
      </c>
      <c r="AB15" s="50">
        <v>3.5712349617297399</v>
      </c>
      <c r="AC15" s="45">
        <v>3.5713699258364802</v>
      </c>
    </row>
    <row r="16" spans="1:29" ht="15.75" x14ac:dyDescent="0.25">
      <c r="A16" s="13">
        <v>41365</v>
      </c>
      <c r="B16" s="14">
        <v>4.1484240687378904</v>
      </c>
      <c r="C16" s="14">
        <v>4.1529056348026501</v>
      </c>
      <c r="D16" s="14">
        <v>4.3764270426620504</v>
      </c>
      <c r="E16" s="14">
        <v>4.4085325011284802</v>
      </c>
      <c r="F16" s="14">
        <v>4.15877359890011</v>
      </c>
      <c r="G16" s="14">
        <v>4.1735123563116101</v>
      </c>
      <c r="H16" s="14">
        <v>4.3983177600115999</v>
      </c>
      <c r="I16" s="14">
        <v>4.1790239832917297</v>
      </c>
      <c r="J16" s="14">
        <v>4.1517735989001103</v>
      </c>
      <c r="K16" s="53"/>
      <c r="L16" s="14">
        <v>4.9853177600115997</v>
      </c>
      <c r="M16" s="14">
        <v>4.0847896384088997</v>
      </c>
      <c r="N16" s="14">
        <v>4.09926329400085</v>
      </c>
      <c r="O16" s="14">
        <v>4.3268992801176704</v>
      </c>
      <c r="P16" s="14">
        <v>4.1113948289032702</v>
      </c>
      <c r="Q16" s="14">
        <v>4.92159928011767</v>
      </c>
      <c r="R16" s="14">
        <v>5.5209032783179701</v>
      </c>
      <c r="S16" s="14">
        <v>3.9769278955951401</v>
      </c>
      <c r="T16" s="57">
        <v>29.897007500000001</v>
      </c>
      <c r="U16" s="57">
        <v>11.6745</v>
      </c>
      <c r="V16" s="57">
        <v>4.7850000000000001</v>
      </c>
      <c r="W16" s="57">
        <v>0.68742000000000003</v>
      </c>
      <c r="X16" s="57">
        <v>0.77903628000000003</v>
      </c>
      <c r="Y16" s="57">
        <v>0.4</v>
      </c>
      <c r="Z16" s="14">
        <v>4.09674472425296</v>
      </c>
      <c r="AA16" s="56">
        <v>0.78900000000000003</v>
      </c>
      <c r="AB16" s="50">
        <v>4.2271001079906796</v>
      </c>
      <c r="AC16" s="45">
        <v>4.1729811830449197</v>
      </c>
    </row>
    <row r="17" spans="1:29" ht="15.75" x14ac:dyDescent="0.25">
      <c r="A17" s="13">
        <v>41395</v>
      </c>
      <c r="B17" s="14">
        <v>4.3329812441523696</v>
      </c>
      <c r="C17" s="14">
        <v>4.3410072762624203</v>
      </c>
      <c r="D17" s="14">
        <v>4.5615906242399502</v>
      </c>
      <c r="E17" s="14">
        <v>4.5930548614354496</v>
      </c>
      <c r="F17" s="14">
        <v>4.3524466929221504</v>
      </c>
      <c r="G17" s="14">
        <v>4.3691468189663398</v>
      </c>
      <c r="H17" s="14">
        <v>4.5816875175305896</v>
      </c>
      <c r="I17" s="14">
        <v>4.36869293934142</v>
      </c>
      <c r="J17" s="14">
        <v>4.3454466929221498</v>
      </c>
      <c r="K17" s="53"/>
      <c r="L17" s="14">
        <v>5.1686875175305902</v>
      </c>
      <c r="M17" s="14">
        <v>4.2749791898098</v>
      </c>
      <c r="N17" s="14">
        <v>4.2913789354570904</v>
      </c>
      <c r="O17" s="14">
        <v>4.5069708181861499</v>
      </c>
      <c r="P17" s="14">
        <v>4.2976358181395602</v>
      </c>
      <c r="Q17" s="14">
        <v>5.1016708181861503</v>
      </c>
      <c r="R17" s="14">
        <v>5.7014249952316103</v>
      </c>
      <c r="S17" s="14">
        <v>4.1529278955951403</v>
      </c>
      <c r="T17" s="58">
        <v>31.3819585</v>
      </c>
      <c r="U17" s="57">
        <v>12.063650000000001</v>
      </c>
      <c r="V17" s="57">
        <v>4.9444999999999997</v>
      </c>
      <c r="W17" s="57">
        <v>0.71033400000000002</v>
      </c>
      <c r="X17" s="57">
        <v>0.80500415599999997</v>
      </c>
      <c r="Y17" s="57">
        <v>0.4</v>
      </c>
      <c r="Z17" s="14">
        <v>4.2804704151434398</v>
      </c>
      <c r="AA17" s="56">
        <v>0.78900000000000003</v>
      </c>
      <c r="AB17" s="50">
        <v>4.4132889274089298</v>
      </c>
      <c r="AC17" s="45">
        <v>4.3595139595638903</v>
      </c>
    </row>
    <row r="18" spans="1:29" ht="15.75" x14ac:dyDescent="0.25">
      <c r="A18" s="13">
        <v>41426</v>
      </c>
      <c r="B18" s="14">
        <v>4.32881848007702</v>
      </c>
      <c r="C18" s="14">
        <v>4.3368445121870796</v>
      </c>
      <c r="D18" s="14">
        <v>4.4403501205455003</v>
      </c>
      <c r="E18" s="14">
        <v>4.4718143577409899</v>
      </c>
      <c r="F18" s="14">
        <v>4.3429599926592797</v>
      </c>
      <c r="G18" s="14">
        <v>4.35962830355016</v>
      </c>
      <c r="H18" s="14">
        <v>4.4604470138361396</v>
      </c>
      <c r="I18" s="14">
        <v>4.3634731878015902</v>
      </c>
      <c r="J18" s="14">
        <v>4.33595999265928</v>
      </c>
      <c r="K18" s="53"/>
      <c r="L18" s="14">
        <v>5.0474470138361403</v>
      </c>
      <c r="M18" s="14">
        <v>4.2548110264488299</v>
      </c>
      <c r="N18" s="14">
        <v>4.2711378153734403</v>
      </c>
      <c r="O18" s="14">
        <v>4.3767473961214503</v>
      </c>
      <c r="P18" s="14">
        <v>4.2815661713651796</v>
      </c>
      <c r="Q18" s="14">
        <v>4.9714473961214498</v>
      </c>
      <c r="R18" s="14">
        <v>5.57087601461176</v>
      </c>
      <c r="S18" s="14">
        <v>4.1489278955951399</v>
      </c>
      <c r="T18" s="58">
        <v>30.856738499999999</v>
      </c>
      <c r="U18" s="57">
        <v>11.6745</v>
      </c>
      <c r="V18" s="57">
        <v>4.7850000000000001</v>
      </c>
      <c r="W18" s="57">
        <v>0.68742000000000003</v>
      </c>
      <c r="X18" s="57">
        <v>0.77903628000000003</v>
      </c>
      <c r="Y18" s="57">
        <v>0.4</v>
      </c>
      <c r="Z18" s="14">
        <v>4.2635819811618703</v>
      </c>
      <c r="AA18" s="56">
        <v>0.78900000000000003</v>
      </c>
      <c r="AB18" s="50">
        <v>4.3736763494942696</v>
      </c>
      <c r="AC18" s="45">
        <v>4.30270998477351</v>
      </c>
    </row>
    <row r="19" spans="1:29" ht="15.75" x14ac:dyDescent="0.25">
      <c r="A19" s="13">
        <v>41456</v>
      </c>
      <c r="B19" s="14">
        <v>3.86987374077012</v>
      </c>
      <c r="C19" s="14">
        <v>3.8778997728801801</v>
      </c>
      <c r="D19" s="14">
        <v>4.0828727555751598</v>
      </c>
      <c r="E19" s="14">
        <v>4.1143369927706503</v>
      </c>
      <c r="F19" s="14">
        <v>3.8837475175894101</v>
      </c>
      <c r="G19" s="14">
        <v>3.9003451281395698</v>
      </c>
      <c r="H19" s="14">
        <v>4.1029696488658001</v>
      </c>
      <c r="I19" s="14">
        <v>3.9057009777587899</v>
      </c>
      <c r="J19" s="14">
        <v>3.8767475175894099</v>
      </c>
      <c r="K19" s="53"/>
      <c r="L19" s="14">
        <v>4.6899696488657998</v>
      </c>
      <c r="M19" s="14">
        <v>3.8050074919996599</v>
      </c>
      <c r="N19" s="14">
        <v>3.8212650291838099</v>
      </c>
      <c r="O19" s="14">
        <v>4.0265944909226699</v>
      </c>
      <c r="P19" s="14">
        <v>3.83320216318522</v>
      </c>
      <c r="Q19" s="14">
        <v>4.6212944909226703</v>
      </c>
      <c r="R19" s="14">
        <v>5.2198477271499799</v>
      </c>
      <c r="S19" s="14">
        <v>3.70792789559514</v>
      </c>
      <c r="T19" s="58">
        <v>31.8711175</v>
      </c>
      <c r="U19" s="57">
        <v>12.063650000000001</v>
      </c>
      <c r="V19" s="57">
        <v>4.9444999999999997</v>
      </c>
      <c r="W19" s="57">
        <v>0.71033400000000002</v>
      </c>
      <c r="X19" s="57">
        <v>0.80500415599999997</v>
      </c>
      <c r="Y19" s="57">
        <v>0.4</v>
      </c>
      <c r="Z19" s="14">
        <v>3.82345915618746</v>
      </c>
      <c r="AA19" s="56">
        <v>0.78900000000000003</v>
      </c>
      <c r="AB19" s="50">
        <v>3.9441061076992199</v>
      </c>
      <c r="AC19" s="45">
        <v>3.8867964363558598</v>
      </c>
    </row>
    <row r="20" spans="1:29" ht="15.75" x14ac:dyDescent="0.25">
      <c r="A20" s="13">
        <v>41487</v>
      </c>
      <c r="B20" s="14">
        <f>CHOOSE(CONTROL!$C$42, 3.735, 3.735) * CHOOSE(CONTROL!$C$21, $C$9, 100%, $E$9)</f>
        <v>3.7349999999999999</v>
      </c>
      <c r="C20" s="14">
        <f>CHOOSE(CONTROL!$C$42, 3.743, 3.743) * CHOOSE(CONTROL!$C$21, $C$9, 100%, $E$9)</f>
        <v>3.7429999999999999</v>
      </c>
      <c r="D20" s="14">
        <f>CHOOSE(CONTROL!$C$42, 3.987, 3.987) * CHOOSE(CONTROL!$C$21, $C$9, 100%, $E$9)</f>
        <v>3.9870000000000001</v>
      </c>
      <c r="E20" s="14">
        <f>CHOOSE(CONTROL!$C$42, 4.0185, 4.0185) * CHOOSE(CONTROL!$C$21, $C$9, 100%, $E$9)</f>
        <v>4.0185000000000004</v>
      </c>
      <c r="F20" s="14">
        <f>CHOOSE(CONTROL!$C$42, 3.7222, 3.7222)*CHOOSE(CONTROL!$C$21, $C$9, 100%, $E$9)</f>
        <v>3.7222</v>
      </c>
      <c r="G20" s="14">
        <f>CHOOSE(CONTROL!$C$42, 3.7377, 3.7377)*CHOOSE(CONTROL!$C$21, $C$9, 100%, $E$9)</f>
        <v>3.7376999999999998</v>
      </c>
      <c r="H20" s="14">
        <f>CHOOSE(CONTROL!$C$42, 4.0071, 4.0071) * CHOOSE(CONTROL!$C$21, $C$9, 100%, $E$9)</f>
        <v>4.0071000000000003</v>
      </c>
      <c r="I20" s="14">
        <f>CHOOSE(CONTROL!$C$42, 3.748, 3.748)* CHOOSE(CONTROL!$C$21, $C$9, 100%, $E$9)</f>
        <v>3.7480000000000002</v>
      </c>
      <c r="J20" s="14">
        <f>CHOOSE(CONTROL!$C$42, 3.7152, 3.7152)* CHOOSE(CONTROL!$C$21, $C$9, 100%, $E$9)</f>
        <v>3.7151999999999998</v>
      </c>
      <c r="K20" s="53"/>
      <c r="L20" s="14">
        <f>CHOOSE(CONTROL!$C$42, 4.5941, 4.5941) * CHOOSE(CONTROL!$C$21, $C$9, 100%, $E$9)</f>
        <v>4.5941000000000001</v>
      </c>
      <c r="M20" s="14">
        <f>CHOOSE(CONTROL!$C$42, 3.6468, 3.6468) * CHOOSE(CONTROL!$C$21, $C$9, 100%, $E$9)</f>
        <v>3.6467999999999998</v>
      </c>
      <c r="N20" s="14">
        <f>CHOOSE(CONTROL!$C$42, 3.662, 3.662) * CHOOSE(CONTROL!$C$21, $C$9, 100%, $E$9)</f>
        <v>3.6619999999999999</v>
      </c>
      <c r="O20" s="14">
        <f>CHOOSE(CONTROL!$C$42, 3.9327, 3.9327) * CHOOSE(CONTROL!$C$21, $C$9, 100%, $E$9)</f>
        <v>3.9327000000000001</v>
      </c>
      <c r="P20" s="14">
        <f>CHOOSE(CONTROL!$C$42, 3.6787, 3.6787) * CHOOSE(CONTROL!$C$21, $C$9, 100%, $E$9)</f>
        <v>3.6787000000000001</v>
      </c>
      <c r="Q20" s="14">
        <f>CHOOSE(CONTROL!$C$42, 4.5274, 4.5274) * CHOOSE(CONTROL!$C$21, $C$9, 100%, $E$9)</f>
        <v>4.5274000000000001</v>
      </c>
      <c r="R20" s="14">
        <f>CHOOSE(CONTROL!$C$42, 5.1257, 5.1257) * CHOOSE(CONTROL!$C$21, $C$9, 100%, $E$9)</f>
        <v>5.1257000000000001</v>
      </c>
      <c r="S20" s="14">
        <f>CHOOSE(CONTROL!$C$42, 3.5783, 3.5783) * CHOOSE(CONTROL!$C$21, $C$9, 100%, $E$9)</f>
        <v>3.5783</v>
      </c>
      <c r="T20" s="58">
        <f>((((430000*CHOOSE(CONTROL!$C$42, 0.4694, 0.4694)+(874000-430000)*CHOOSE(CONTROL!$C$42, 0.7185, 0.7185)+400000*CHOOSE(CONTROL!$C$42, 1.14, 1.14)+30000*0.98)*CHOOSE(CONTROL!$C$42, 31, 31))/1000000))+CHOOSE(CONTROL!$C$42, 0.1911, 0.1911)+CHOOSE(CONTROL!$C$42, 0.5131, 0.5131)</f>
        <v>31.898136000000001</v>
      </c>
      <c r="U20" s="57">
        <f>(1000*CHOOSE(CONTROL!$C$42, 695, 695)*CHOOSE(CONTROL!$C$42, 0.5599, 0.5599)*CHOOSE(CONTROL!$C$42, 31, 31))/1000000</f>
        <v>12.063045499999998</v>
      </c>
      <c r="V20" s="57">
        <f>(1000*CHOOSE(CONTROL!$C$42, 580, 580)*CHOOSE(CONTROL!$C$42, 0.275, 0.275)*CHOOSE(CONTROL!$C$42, 31, 31))/1000000</f>
        <v>4.9444999999999997</v>
      </c>
      <c r="W20" s="57">
        <f>(1000*CHOOSE(CONTROL!$C$42, 0.1146, 0.1146)*CHOOSE(CONTROL!$C$42, 200, 200)*CHOOSE(CONTROL!$C$42, 31, 31))/1000000</f>
        <v>0.71052000000000004</v>
      </c>
      <c r="X20" s="57">
        <f>31*0.1790888*145000/1000000</f>
        <v>0.80500415599999997</v>
      </c>
      <c r="Y20" s="57">
        <f t="shared" ref="Y20:Y27" si="0">(0.16*2500000)/1000000</f>
        <v>0.4</v>
      </c>
      <c r="Z20" s="14">
        <f>CHOOSE(CONTROL!$C$42, 3.6831, 3.6831) * CHOOSE(CONTROL!$C$21, $C$9, 100%, $E$9)</f>
        <v>3.6831</v>
      </c>
      <c r="AA20" s="56">
        <f>(131500*31*(6/31))/1000000</f>
        <v>0.78900000000000003</v>
      </c>
      <c r="AB20" s="50">
        <f>(B20*194.205+C20*267.466+D20*133.845+E20*213.484+F20*40+G20*25+H20*30+I20*100+J20*300)/(194.205+267.466+133.845+213.484+30+40+25+100+300)</f>
        <v>3.8112805843558282</v>
      </c>
      <c r="AC20" s="45">
        <f>(M20*240+N20*120+O20*235+P20*100)/(240+120+235+100)</f>
        <v>3.7506856115107912</v>
      </c>
    </row>
    <row r="21" spans="1:29" ht="15.75" x14ac:dyDescent="0.25">
      <c r="A21" s="13">
        <v>41518</v>
      </c>
      <c r="B21" s="14">
        <f>CHOOSE(CONTROL!$C$42, 3.7304, 3.7304) * CHOOSE(CONTROL!$C$21, $C$9, 100%, $E$9)</f>
        <v>3.7303999999999999</v>
      </c>
      <c r="C21" s="14">
        <f>CHOOSE(CONTROL!$C$42, 3.7384, 3.7384) * CHOOSE(CONTROL!$C$21, $C$9, 100%, $E$9)</f>
        <v>3.7383999999999999</v>
      </c>
      <c r="D21" s="14">
        <f>CHOOSE(CONTROL!$C$42, 3.8835, 3.8835) * CHOOSE(CONTROL!$C$21, $C$9, 100%, $E$9)</f>
        <v>3.8835000000000002</v>
      </c>
      <c r="E21" s="14">
        <f>CHOOSE(CONTROL!$C$42, 3.915, 3.915) * CHOOSE(CONTROL!$C$21, $C$9, 100%, $E$9)</f>
        <v>3.915</v>
      </c>
      <c r="F21" s="14">
        <f>CHOOSE(CONTROL!$C$42, 3.7134, 3.7134)*CHOOSE(CONTROL!$C$21, $C$9, 100%, $E$9)</f>
        <v>3.7134</v>
      </c>
      <c r="G21" s="14">
        <f>CHOOSE(CONTROL!$C$42, 3.7288, 3.7288)*CHOOSE(CONTROL!$C$21, $C$9, 100%, $E$9)</f>
        <v>3.7288000000000001</v>
      </c>
      <c r="H21" s="14">
        <f>CHOOSE(CONTROL!$C$42, 3.9036, 3.9036) * CHOOSE(CONTROL!$C$21, $C$9, 100%, $E$9)</f>
        <v>3.9036</v>
      </c>
      <c r="I21" s="14">
        <f>CHOOSE(CONTROL!$C$42, 3.7347, 3.7347)* CHOOSE(CONTROL!$C$21, $C$9, 100%, $E$9)</f>
        <v>3.7347000000000001</v>
      </c>
      <c r="J21" s="14">
        <f>CHOOSE(CONTROL!$C$42, 3.7064, 3.7064)* CHOOSE(CONTROL!$C$21, $C$9, 100%, $E$9)</f>
        <v>3.7063999999999999</v>
      </c>
      <c r="K21" s="53"/>
      <c r="L21" s="14">
        <f>CHOOSE(CONTROL!$C$42, 4.4906, 4.4906) * CHOOSE(CONTROL!$C$21, $C$9, 100%, $E$9)</f>
        <v>4.4905999999999997</v>
      </c>
      <c r="M21" s="14">
        <f>CHOOSE(CONTROL!$C$42, 3.6381, 3.6381) * CHOOSE(CONTROL!$C$21, $C$9, 100%, $E$9)</f>
        <v>3.6381000000000001</v>
      </c>
      <c r="N21" s="14">
        <f>CHOOSE(CONTROL!$C$42, 3.6532, 3.6532) * CHOOSE(CONTROL!$C$21, $C$9, 100%, $E$9)</f>
        <v>3.6532</v>
      </c>
      <c r="O21" s="14">
        <f>CHOOSE(CONTROL!$C$42, 3.8313, 3.8313) * CHOOSE(CONTROL!$C$21, $C$9, 100%, $E$9)</f>
        <v>3.8313000000000001</v>
      </c>
      <c r="P21" s="14">
        <f>CHOOSE(CONTROL!$C$42, 3.6657, 3.6657) * CHOOSE(CONTROL!$C$21, $C$9, 100%, $E$9)</f>
        <v>3.6657000000000002</v>
      </c>
      <c r="Q21" s="14">
        <f>CHOOSE(CONTROL!$C$42, 4.426, 4.426) * CHOOSE(CONTROL!$C$21, $C$9, 100%, $E$9)</f>
        <v>4.4260000000000002</v>
      </c>
      <c r="R21" s="14">
        <f>CHOOSE(CONTROL!$C$42, 5.0241, 5.0241) * CHOOSE(CONTROL!$C$21, $C$9, 100%, $E$9)</f>
        <v>5.0240999999999998</v>
      </c>
      <c r="S21" s="14">
        <f>CHOOSE(CONTROL!$C$42, 3.5739, 3.5739) * CHOOSE(CONTROL!$C$21, $C$9, 100%, $E$9)</f>
        <v>3.5739000000000001</v>
      </c>
      <c r="T21" s="58">
        <f>((((430000*CHOOSE(CONTROL!$C$42, 0.4694, 0.4694)+(874000-430000)*CHOOSE(CONTROL!$C$42, 0.7185, 0.7185)+400000*CHOOSE(CONTROL!$C$42, 1.14, 1.14)+30000*0.98)*CHOOSE(CONTROL!$C$42, 30, 30))/1000000))+CHOOSE(CONTROL!$C$42, 0.1717, 0.1717)+CHOOSE(CONTROL!$C$42, 0.4923, 0.4923)</f>
        <v>30.851680000000002</v>
      </c>
      <c r="U21" s="57">
        <f>(1000*CHOOSE(CONTROL!$C$42, 695, 695)*CHOOSE(CONTROL!$C$42, 0.5599, 0.5599)*CHOOSE(CONTROL!$C$42, 30, 30))/1000000</f>
        <v>11.673914999999997</v>
      </c>
      <c r="V21" s="57">
        <f>(1000*CHOOSE(CONTROL!$C$42, 580, 580)*CHOOSE(CONTROL!$C$42, 0.275, 0.275)*CHOOSE(CONTROL!$C$42, 30, 30))/1000000</f>
        <v>4.7850000000000001</v>
      </c>
      <c r="W21" s="57">
        <f>(1000*CHOOSE(CONTROL!$C$42, 0.1146, 0.1146)*CHOOSE(CONTROL!$C$42, 200, 200)*CHOOSE(CONTROL!$C$42, 30, 30))/1000000</f>
        <v>0.68759999999999999</v>
      </c>
      <c r="X21" s="57">
        <f>30*0.1790888*145000/1000000</f>
        <v>0.77903627999999991</v>
      </c>
      <c r="Y21" s="57">
        <f t="shared" si="0"/>
        <v>0.4</v>
      </c>
      <c r="Z21" s="14">
        <f>CHOOSE(CONTROL!$C$42, 3.6655, 3.6655) * CHOOSE(CONTROL!$C$21, $C$9, 100%, $E$9)</f>
        <v>3.6655000000000002</v>
      </c>
      <c r="AA21" s="56">
        <f>(131500*30*(6/30))/1000000</f>
        <v>0.78900000000000003</v>
      </c>
      <c r="AB21" s="50">
        <f>(B21*194.205+C21*267.466+D21*133.845+E21*213.484+F21*40+G21*25+H21*30+I21*100+J21*300)/(194.205+267.466+133.845+213.484+30+40+25+100+300)</f>
        <v>3.7762179017638036</v>
      </c>
      <c r="AC21" s="45">
        <f>(M21*240+N21*120+O21*235+P21*100)/(240+120+235+100)</f>
        <v>3.7100050359712231</v>
      </c>
    </row>
    <row r="22" spans="1:29" ht="15.75" x14ac:dyDescent="0.25">
      <c r="A22" s="13">
        <v>41548</v>
      </c>
      <c r="B22" s="14">
        <f>CHOOSE(CONTROL!$C$42, 3.7432, 3.7432) * CHOOSE(CONTROL!$C$21, $C$9, 100%, $E$9)</f>
        <v>3.7431999999999999</v>
      </c>
      <c r="C22" s="14">
        <f>CHOOSE(CONTROL!$C$42, 3.7485, 3.7485) * CHOOSE(CONTROL!$C$21, $C$9, 100%, $E$9)</f>
        <v>3.7484999999999999</v>
      </c>
      <c r="D22" s="14">
        <f>CHOOSE(CONTROL!$C$42, 3.8882, 3.8882) * CHOOSE(CONTROL!$C$21, $C$9, 100%, $E$9)</f>
        <v>3.8881999999999999</v>
      </c>
      <c r="E22" s="14">
        <f>CHOOSE(CONTROL!$C$42, 3.9173, 3.9173) * CHOOSE(CONTROL!$C$21, $C$9, 100%, $E$9)</f>
        <v>3.9173</v>
      </c>
      <c r="F22" s="14">
        <f>CHOOSE(CONTROL!$C$42, 3.7281, 3.7281)*CHOOSE(CONTROL!$C$21, $C$9, 100%, $E$9)</f>
        <v>3.7281</v>
      </c>
      <c r="G22" s="14">
        <f>CHOOSE(CONTROL!$C$42, 3.7432, 3.7432)*CHOOSE(CONTROL!$C$21, $C$9, 100%, $E$9)</f>
        <v>3.7431999999999999</v>
      </c>
      <c r="H22" s="14">
        <f>CHOOSE(CONTROL!$C$42, 3.9078, 3.9078) * CHOOSE(CONTROL!$C$21, $C$9, 100%, $E$9)</f>
        <v>3.9077999999999999</v>
      </c>
      <c r="I22" s="14">
        <f>CHOOSE(CONTROL!$C$42, 3.7493, 3.7493)* CHOOSE(CONTROL!$C$21, $C$9, 100%, $E$9)</f>
        <v>3.7492999999999999</v>
      </c>
      <c r="J22" s="14">
        <f>CHOOSE(CONTROL!$C$42, 3.7211, 3.7211)* CHOOSE(CONTROL!$C$21, $C$9, 100%, $E$9)</f>
        <v>3.7210999999999999</v>
      </c>
      <c r="K22" s="53"/>
      <c r="L22" s="14">
        <f>CHOOSE(CONTROL!$C$42, 4.4948, 4.4948) * CHOOSE(CONTROL!$C$21, $C$9, 100%, $E$9)</f>
        <v>4.4947999999999997</v>
      </c>
      <c r="M22" s="14">
        <f>CHOOSE(CONTROL!$C$42, 3.6526, 3.6526) * CHOOSE(CONTROL!$C$21, $C$9, 100%, $E$9)</f>
        <v>3.6526000000000001</v>
      </c>
      <c r="N22" s="14">
        <f>CHOOSE(CONTROL!$C$42, 3.6673, 3.6673) * CHOOSE(CONTROL!$C$21, $C$9, 100%, $E$9)</f>
        <v>3.6673</v>
      </c>
      <c r="O22" s="14">
        <f>CHOOSE(CONTROL!$C$42, 3.8354, 3.8354) * CHOOSE(CONTROL!$C$21, $C$9, 100%, $E$9)</f>
        <v>3.8353999999999999</v>
      </c>
      <c r="P22" s="14">
        <f>CHOOSE(CONTROL!$C$42, 3.68, 3.68) * CHOOSE(CONTROL!$C$21, $C$9, 100%, $E$9)</f>
        <v>3.68</v>
      </c>
      <c r="Q22" s="14">
        <f>CHOOSE(CONTROL!$C$42, 4.4301, 4.4301) * CHOOSE(CONTROL!$C$21, $C$9, 100%, $E$9)</f>
        <v>4.4301000000000004</v>
      </c>
      <c r="R22" s="14">
        <f>CHOOSE(CONTROL!$C$42, 5.0282, 5.0282) * CHOOSE(CONTROL!$C$21, $C$9, 100%, $E$9)</f>
        <v>5.0282</v>
      </c>
      <c r="S22" s="14">
        <f>CHOOSE(CONTROL!$C$42, 3.5879, 3.5879) * CHOOSE(CONTROL!$C$21, $C$9, 100%, $E$9)</f>
        <v>3.5878999999999999</v>
      </c>
      <c r="T22" s="57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2" s="57">
        <f>(1000*CHOOSE(CONTROL!$C$42, 695, 695)*CHOOSE(CONTROL!$C$42, 0.5599, 0.5599)*CHOOSE(CONTROL!$C$42, 31, 31))/1000000</f>
        <v>12.063045499999998</v>
      </c>
      <c r="V22" s="57">
        <f>(1000*CHOOSE(CONTROL!$C$42, 580, 580)*CHOOSE(CONTROL!$C$42, 0.275, 0.275)*CHOOSE(CONTROL!$C$42, 31, 31))/1000000</f>
        <v>4.9444999999999997</v>
      </c>
      <c r="W22" s="57">
        <f>(1000*CHOOSE(CONTROL!$C$42, 0.1146, 0.1146)*CHOOSE(CONTROL!$C$42, 200, 200)*CHOOSE(CONTROL!$C$42, 31, 31))/1000000</f>
        <v>0.71052000000000004</v>
      </c>
      <c r="X22" s="57">
        <f>31*0.1790888*145000/1000000</f>
        <v>0.80500415599999997</v>
      </c>
      <c r="Y22" s="57">
        <f t="shared" si="0"/>
        <v>0.4</v>
      </c>
      <c r="Z22" s="14">
        <f>CHOOSE(CONTROL!$C$42, 3.6799, 3.6799) * CHOOSE(CONTROL!$C$21, $C$9, 100%, $E$9)</f>
        <v>3.6798999999999999</v>
      </c>
      <c r="AA22" s="56">
        <f>(131500*31*(6/31))/1000000</f>
        <v>0.78900000000000003</v>
      </c>
      <c r="AB22" s="50">
        <f>(B22*131.881+C22*277.167+D22*79.08+E22*285.872+F22*40+G22*25+H22*0+I22*100+J22*300)/(131.881+277.167+79.08+285.872+0+40+25+100+300)</f>
        <v>3.7884638420500405</v>
      </c>
      <c r="AC22" s="45">
        <f>(M22*240+N22*120+O22*235+P22*100)/(240+120+235+100)</f>
        <v>3.7208906474820149</v>
      </c>
    </row>
    <row r="23" spans="1:29" ht="15.75" x14ac:dyDescent="0.25">
      <c r="A23" s="13">
        <v>41579</v>
      </c>
      <c r="B23" s="14">
        <f>CHOOSE(CONTROL!$C$42, 3.8198, 3.8198) * CHOOSE(CONTROL!$C$21, $C$9, 100%, $E$9)</f>
        <v>3.8197999999999999</v>
      </c>
      <c r="C23" s="14">
        <f>CHOOSE(CONTROL!$C$42, 3.8248, 3.8248) * CHOOSE(CONTROL!$C$21, $C$9, 100%, $E$9)</f>
        <v>3.8248000000000002</v>
      </c>
      <c r="D23" s="14">
        <f>CHOOSE(CONTROL!$C$42, 3.9017, 3.9017) * CHOOSE(CONTROL!$C$21, $C$9, 100%, $E$9)</f>
        <v>3.9016999999999999</v>
      </c>
      <c r="E23" s="14">
        <f>CHOOSE(CONTROL!$C$42, 3.9358, 3.9358) * CHOOSE(CONTROL!$C$21, $C$9, 100%, $E$9)</f>
        <v>3.9358</v>
      </c>
      <c r="F23" s="14">
        <f>CHOOSE(CONTROL!$C$42, 3.8167, 3.8167)*CHOOSE(CONTROL!$C$21, $C$9, 100%, $E$9)</f>
        <v>3.8167</v>
      </c>
      <c r="G23" s="14">
        <f>CHOOSE(CONTROL!$C$42, 3.832, 3.832)*CHOOSE(CONTROL!$C$21, $C$9, 100%, $E$9)</f>
        <v>3.8319999999999999</v>
      </c>
      <c r="H23" s="14">
        <f>CHOOSE(CONTROL!$C$42, 3.925, 3.925) * CHOOSE(CONTROL!$C$21, $C$9, 100%, $E$9)</f>
        <v>3.9249999999999998</v>
      </c>
      <c r="I23" s="14">
        <f>CHOOSE(CONTROL!$C$42, 3.8498, 3.8498)* CHOOSE(CONTROL!$C$21, $C$9, 100%, $E$9)</f>
        <v>3.8498000000000001</v>
      </c>
      <c r="J23" s="14">
        <f>CHOOSE(CONTROL!$C$42, 3.8097, 3.8097)* CHOOSE(CONTROL!$C$21, $C$9, 100%, $E$9)</f>
        <v>3.8096999999999999</v>
      </c>
      <c r="K23" s="53"/>
      <c r="L23" s="14">
        <f>CHOOSE(CONTROL!$C$42, 4.512, 4.512) * CHOOSE(CONTROL!$C$21, $C$9, 100%, $E$9)</f>
        <v>4.5119999999999996</v>
      </c>
      <c r="M23" s="14">
        <f>CHOOSE(CONTROL!$C$42, 3.7393, 3.7393) * CHOOSE(CONTROL!$C$21, $C$9, 100%, $E$9)</f>
        <v>3.7393000000000001</v>
      </c>
      <c r="N23" s="14">
        <f>CHOOSE(CONTROL!$C$42, 3.7543, 3.7543) * CHOOSE(CONTROL!$C$21, $C$9, 100%, $E$9)</f>
        <v>3.7543000000000002</v>
      </c>
      <c r="O23" s="14">
        <f>CHOOSE(CONTROL!$C$42, 3.8522, 3.8522) * CHOOSE(CONTROL!$C$21, $C$9, 100%, $E$9)</f>
        <v>3.8521999999999998</v>
      </c>
      <c r="P23" s="14">
        <f>CHOOSE(CONTROL!$C$42, 3.7785, 3.7785) * CHOOSE(CONTROL!$C$21, $C$9, 100%, $E$9)</f>
        <v>3.7785000000000002</v>
      </c>
      <c r="Q23" s="14">
        <f>CHOOSE(CONTROL!$C$42, 4.4469, 4.4469) * CHOOSE(CONTROL!$C$21, $C$9, 100%, $E$9)</f>
        <v>4.4469000000000003</v>
      </c>
      <c r="R23" s="14">
        <f>CHOOSE(CONTROL!$C$42, 5.0451, 5.0451) * CHOOSE(CONTROL!$C$21, $C$9, 100%, $E$9)</f>
        <v>5.0450999999999997</v>
      </c>
      <c r="S23" s="14">
        <f>CHOOSE(CONTROL!$C$42, 3.6619, 3.6619) * CHOOSE(CONTROL!$C$21, $C$9, 100%, $E$9)</f>
        <v>3.6619000000000002</v>
      </c>
      <c r="T23" s="57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" s="57">
        <f>(1000*CHOOSE(CONTROL!$C$42, 695, 695)*CHOOSE(CONTROL!$C$42, 0.5599, 0.5599)*CHOOSE(CONTROL!$C$42, 30, 30))/1000000</f>
        <v>11.673914999999997</v>
      </c>
      <c r="V23" s="57">
        <f>(1000*CHOOSE(CONTROL!$C$42, 580, 580)*CHOOSE(CONTROL!$C$42, 0.275, 0.275)*CHOOSE(CONTROL!$C$42, 30, 30))/1000000</f>
        <v>4.7850000000000001</v>
      </c>
      <c r="W23" s="57">
        <f>(1000*CHOOSE(CONTROL!$C$42, 0.1146, 0.1146)*CHOOSE(CONTROL!$C$42, 200, 200)*CHOOSE(CONTROL!$C$42, 30, 30))/1000000</f>
        <v>0.68759999999999999</v>
      </c>
      <c r="X23" s="57">
        <v>0</v>
      </c>
      <c r="Y23" s="57">
        <f t="shared" si="0"/>
        <v>0.4</v>
      </c>
      <c r="Z23" s="14">
        <f>CHOOSE(CONTROL!$C$42, 3.7727, 3.7727) * CHOOSE(CONTROL!$C$21, $C$9, 100%, $E$9)</f>
        <v>3.7726999999999999</v>
      </c>
      <c r="AA23" s="56">
        <f>(131500*30*(6/30))/1000000</f>
        <v>0.78900000000000003</v>
      </c>
      <c r="AB23" s="50">
        <f>(B23*122.58+C23*297.941+D23*89.177+E23*200.302+F23*40+G23*0+H23*0+I23*100+J23*300)/(122.58+297.941+89.177+200.302+0+40+0+100+300)</f>
        <v>3.847516811565217</v>
      </c>
      <c r="AC23" s="45">
        <f>(M23*240+N23*0+O23*355+P23*100)/(240+0+355+100)</f>
        <v>3.8026086330935245</v>
      </c>
    </row>
    <row r="24" spans="1:29" ht="15.75" x14ac:dyDescent="0.25">
      <c r="A24" s="13">
        <v>41609</v>
      </c>
      <c r="B24" s="14">
        <f>CHOOSE(CONTROL!$C$42, 3.9925, 3.9925) * CHOOSE(CONTROL!$C$21, $C$9, 100%, $E$9)</f>
        <v>3.9925000000000002</v>
      </c>
      <c r="C24" s="14">
        <f>CHOOSE(CONTROL!$C$42, 3.9976, 3.9976) * CHOOSE(CONTROL!$C$21, $C$9, 100%, $E$9)</f>
        <v>3.9975999999999998</v>
      </c>
      <c r="D24" s="14">
        <f>CHOOSE(CONTROL!$C$42, 4.0744, 4.0744) * CHOOSE(CONTROL!$C$21, $C$9, 100%, $E$9)</f>
        <v>4.0743999999999998</v>
      </c>
      <c r="E24" s="14">
        <f>CHOOSE(CONTROL!$C$42, 4.1085, 4.1085) * CHOOSE(CONTROL!$C$21, $C$9, 100%, $E$9)</f>
        <v>4.1085000000000003</v>
      </c>
      <c r="F24" s="14">
        <f>CHOOSE(CONTROL!$C$42, 3.9916, 3.9916)*CHOOSE(CONTROL!$C$21, $C$9, 100%, $E$9)</f>
        <v>3.9916</v>
      </c>
      <c r="G24" s="14">
        <f>CHOOSE(CONTROL!$C$42, 4.0076, 4.0076)*CHOOSE(CONTROL!$C$21, $C$9, 100%, $E$9)</f>
        <v>4.0076000000000001</v>
      </c>
      <c r="H24" s="14">
        <f>CHOOSE(CONTROL!$C$42, 4.0977, 4.0977) * CHOOSE(CONTROL!$C$21, $C$9, 100%, $E$9)</f>
        <v>4.0976999999999997</v>
      </c>
      <c r="I24" s="14">
        <f>CHOOSE(CONTROL!$C$42, 4.0231, 4.0231)* CHOOSE(CONTROL!$C$21, $C$9, 100%, $E$9)</f>
        <v>4.0231000000000003</v>
      </c>
      <c r="J24" s="14">
        <f>CHOOSE(CONTROL!$C$42, 3.9846, 3.9846)* CHOOSE(CONTROL!$C$21, $C$9, 100%, $E$9)</f>
        <v>3.9845999999999999</v>
      </c>
      <c r="K24" s="53"/>
      <c r="L24" s="14">
        <f>CHOOSE(CONTROL!$C$42, 4.6847, 4.6847) * CHOOSE(CONTROL!$C$21, $C$9, 100%, $E$9)</f>
        <v>4.6847000000000003</v>
      </c>
      <c r="M24" s="14">
        <f>CHOOSE(CONTROL!$C$42, 3.9107, 3.9107) * CHOOSE(CONTROL!$C$21, $C$9, 100%, $E$9)</f>
        <v>3.9106999999999998</v>
      </c>
      <c r="N24" s="14">
        <f>CHOOSE(CONTROL!$C$42, 3.9263, 3.9263) * CHOOSE(CONTROL!$C$21, $C$9, 100%, $E$9)</f>
        <v>3.9262999999999999</v>
      </c>
      <c r="O24" s="14">
        <f>CHOOSE(CONTROL!$C$42, 4.0215, 4.0215) * CHOOSE(CONTROL!$C$21, $C$9, 100%, $E$9)</f>
        <v>4.0214999999999996</v>
      </c>
      <c r="P24" s="14">
        <f>CHOOSE(CONTROL!$C$42, 3.9482, 3.9482) * CHOOSE(CONTROL!$C$21, $C$9, 100%, $E$9)</f>
        <v>3.9481999999999999</v>
      </c>
      <c r="Q24" s="14">
        <f>CHOOSE(CONTROL!$C$42, 4.6162, 4.6162) * CHOOSE(CONTROL!$C$21, $C$9, 100%, $E$9)</f>
        <v>4.6162000000000001</v>
      </c>
      <c r="R24" s="14">
        <f>CHOOSE(CONTROL!$C$42, 5.2147, 5.2147) * CHOOSE(CONTROL!$C$21, $C$9, 100%, $E$9)</f>
        <v>5.2146999999999997</v>
      </c>
      <c r="S24" s="14">
        <f>CHOOSE(CONTROL!$C$42, 3.8279, 3.8279) * CHOOSE(CONTROL!$C$21, $C$9, 100%, $E$9)</f>
        <v>3.8279000000000001</v>
      </c>
      <c r="T24" s="57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7">
        <f>(1000*CHOOSE(CONTROL!$C$42, 695, 695)*CHOOSE(CONTROL!$C$42, 0.5599, 0.5599)*CHOOSE(CONTROL!$C$42, 31, 31))/1000000</f>
        <v>12.063045499999998</v>
      </c>
      <c r="V24" s="57">
        <f>(1000*CHOOSE(CONTROL!$C$42, 580, 580)*CHOOSE(CONTROL!$C$42, 0.275, 0.275)*CHOOSE(CONTROL!$C$42, 31, 31))/1000000</f>
        <v>4.9444999999999997</v>
      </c>
      <c r="W24" s="57">
        <f>(1000*CHOOSE(CONTROL!$C$42, 0.1146, 0.1146)*CHOOSE(CONTROL!$C$42, 200, 200)*CHOOSE(CONTROL!$C$42, 31, 31))/1000000</f>
        <v>0.71052000000000004</v>
      </c>
      <c r="X24" s="57">
        <v>0</v>
      </c>
      <c r="Y24" s="57">
        <f t="shared" si="0"/>
        <v>0.4</v>
      </c>
      <c r="Z24" s="14">
        <f>CHOOSE(CONTROL!$C$42, 3.9427, 3.9427) * CHOOSE(CONTROL!$C$21, $C$9, 100%, $E$9)</f>
        <v>3.9426999999999999</v>
      </c>
      <c r="AA24" s="56">
        <f>(131500*31*(6/31))/1000000</f>
        <v>0.78900000000000003</v>
      </c>
      <c r="AB24" s="50">
        <f>(B24*122.58+C24*297.941+D24*89.177+E24*200.302+F24*40+G24*0+H24*0+I24*100+J24*300)/(122.58+297.941+89.177+200.302+0+40+0+100+300)</f>
        <v>4.0209453281739123</v>
      </c>
      <c r="AC24" s="45">
        <f>(M24*240+N24*0+O24*355+P24*100)/(240+0+355+100)</f>
        <v>3.9726913669064747</v>
      </c>
    </row>
    <row r="25" spans="1:29" ht="15" x14ac:dyDescent="0.2">
      <c r="A25" s="13">
        <v>41640</v>
      </c>
      <c r="B25" s="14">
        <f>CHOOSE(CONTROL!$C$42, 4.0789, 4.0789) * CHOOSE(CONTROL!$C$21, $C$9, 100%, $E$9)</f>
        <v>4.0789</v>
      </c>
      <c r="C25" s="14">
        <f>CHOOSE(CONTROL!$C$42, 4.084, 4.084) * CHOOSE(CONTROL!$C$21, $C$9, 100%, $E$9)</f>
        <v>4.0839999999999996</v>
      </c>
      <c r="D25" s="14">
        <f>CHOOSE(CONTROL!$C$42, 4.1608, 4.1608) * CHOOSE(CONTROL!$C$21, $C$9, 100%, $E$9)</f>
        <v>4.1608000000000001</v>
      </c>
      <c r="E25" s="14">
        <f>CHOOSE(CONTROL!$C$42, 4.1949, 4.1949) * CHOOSE(CONTROL!$C$21, $C$9, 100%, $E$9)</f>
        <v>4.1948999999999996</v>
      </c>
      <c r="F25" s="14">
        <f>CHOOSE(CONTROL!$C$42, 4.0791, 4.0791)*CHOOSE(CONTROL!$C$21, $C$9, 100%, $E$9)</f>
        <v>4.0791000000000004</v>
      </c>
      <c r="G25" s="14">
        <f>CHOOSE(CONTROL!$C$42, 4.0953, 4.0953)*CHOOSE(CONTROL!$C$21, $C$9, 100%, $E$9)</f>
        <v>4.0952999999999999</v>
      </c>
      <c r="H25" s="14">
        <f>CHOOSE(CONTROL!$C$42, 4.1841, 4.1841) * CHOOSE(CONTROL!$C$21, $C$9, 100%, $E$9)</f>
        <v>4.1840999999999999</v>
      </c>
      <c r="I25" s="14">
        <f>CHOOSE(CONTROL!$C$42, 4.1097, 4.1097)* CHOOSE(CONTROL!$C$21, $C$9, 100%, $E$9)</f>
        <v>4.1097000000000001</v>
      </c>
      <c r="J25" s="14">
        <f>CHOOSE(CONTROL!$C$42, 4.0721, 4.0721)* CHOOSE(CONTROL!$C$21, $C$9, 100%, $E$9)</f>
        <v>4.0720999999999998</v>
      </c>
      <c r="K25" s="59"/>
      <c r="L25" s="14">
        <f>CHOOSE(CONTROL!$C$42, 4.7711, 4.7711) * CHOOSE(CONTROL!$C$21, $C$9, 100%, $E$9)</f>
        <v>4.7710999999999997</v>
      </c>
      <c r="M25" s="14">
        <f>CHOOSE(CONTROL!$C$42, 3.9964, 3.9964) * CHOOSE(CONTROL!$C$21, $C$9, 100%, $E$9)</f>
        <v>3.9964</v>
      </c>
      <c r="N25" s="14">
        <f>CHOOSE(CONTROL!$C$42, 4.0123, 4.0123) * CHOOSE(CONTROL!$C$21, $C$9, 100%, $E$9)</f>
        <v>4.0122999999999998</v>
      </c>
      <c r="O25" s="14">
        <f>CHOOSE(CONTROL!$C$42, 4.1061, 4.1061) * CHOOSE(CONTROL!$C$21, $C$9, 100%, $E$9)</f>
        <v>4.1060999999999996</v>
      </c>
      <c r="P25" s="14">
        <f>CHOOSE(CONTROL!$C$42, 4.0331, 4.0331) * CHOOSE(CONTROL!$C$21, $C$9, 100%, $E$9)</f>
        <v>4.0331000000000001</v>
      </c>
      <c r="Q25" s="14">
        <f>CHOOSE(CONTROL!$C$42, 4.7008, 4.7008) * CHOOSE(CONTROL!$C$21, $C$9, 100%, $E$9)</f>
        <v>4.7008000000000001</v>
      </c>
      <c r="R25" s="14">
        <f>CHOOSE(CONTROL!$C$42, 5.2995, 5.2995) * CHOOSE(CONTROL!$C$21, $C$9, 100%, $E$9)</f>
        <v>5.2995000000000001</v>
      </c>
      <c r="S25" s="14">
        <f>CHOOSE(CONTROL!$C$42, 3.9109, 3.9109) * CHOOSE(CONTROL!$C$21, $C$9, 100%, $E$9)</f>
        <v>3.9108999999999998</v>
      </c>
      <c r="T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7">
        <f>(1000*CHOOSE(CONTROL!$C$42, 695, 695)*CHOOSE(CONTROL!$C$42, 0.5599, 0.5599)*CHOOSE(CONTROL!$C$42, 31, 31))/1000000</f>
        <v>12.063045499999998</v>
      </c>
      <c r="V25" s="57">
        <f>(1000*CHOOSE(CONTROL!$C$42, 580, 580)*CHOOSE(CONTROL!$C$42, 0.275, 0.275)*CHOOSE(CONTROL!$C$42, 31, 31))/1000000</f>
        <v>4.9444999999999997</v>
      </c>
      <c r="W25" s="57">
        <f>(1000*CHOOSE(CONTROL!$C$42, 0.1146, 0.1146)*CHOOSE(CONTROL!$C$42, 200, 200)*CHOOSE(CONTROL!$C$42, 31, 31))/1000000</f>
        <v>0.71052000000000004</v>
      </c>
      <c r="X25" s="57">
        <v>0</v>
      </c>
      <c r="Y25" s="57">
        <f t="shared" si="0"/>
        <v>0.4</v>
      </c>
      <c r="Z25" s="14">
        <f>CHOOSE(CONTROL!$C$42, 4.0276, 4.0276) * CHOOSE(CONTROL!$C$21, $C$9, 100%, $E$9)</f>
        <v>4.0275999999999996</v>
      </c>
      <c r="AA25" s="56">
        <f>(131500*31*(6/31))/1000000</f>
        <v>0.78900000000000003</v>
      </c>
      <c r="AB25" s="50">
        <f>(B25*122.58+C25*297.941+D25*89.177+E25*200.302+F25*40+G25*0+H25*0+I25*100+J25*300)/(122.58+297.941+89.177+200.302+0+40+0+100+300)</f>
        <v>4.1076879368695653</v>
      </c>
      <c r="AC25" s="45">
        <f>(M25*240+N25*0+O25*355+P25*100)/(240+0+355+100)</f>
        <v>4.0577143884892077</v>
      </c>
    </row>
    <row r="26" spans="1:29" ht="15" x14ac:dyDescent="0.2">
      <c r="A26" s="13">
        <v>41671</v>
      </c>
      <c r="B26" s="14">
        <f>CHOOSE(CONTROL!$C$42, 4.0831, 4.0831) * CHOOSE(CONTROL!$C$21, $C$9, 100%, $E$9)</f>
        <v>4.0831</v>
      </c>
      <c r="C26" s="14">
        <f>CHOOSE(CONTROL!$C$42, 4.0881, 4.0881) * CHOOSE(CONTROL!$C$21, $C$9, 100%, $E$9)</f>
        <v>4.0880999999999998</v>
      </c>
      <c r="D26" s="14">
        <f>CHOOSE(CONTROL!$C$42, 4.165, 4.165) * CHOOSE(CONTROL!$C$21, $C$9, 100%, $E$9)</f>
        <v>4.165</v>
      </c>
      <c r="E26" s="14">
        <f>CHOOSE(CONTROL!$C$42, 4.1991, 4.1991) * CHOOSE(CONTROL!$C$21, $C$9, 100%, $E$9)</f>
        <v>4.1990999999999996</v>
      </c>
      <c r="F26" s="14">
        <f>CHOOSE(CONTROL!$C$42, 4.0833, 4.0833)*CHOOSE(CONTROL!$C$21, $C$9, 100%, $E$9)</f>
        <v>4.0833000000000004</v>
      </c>
      <c r="G26" s="14">
        <f>CHOOSE(CONTROL!$C$42, 4.0996, 4.0996)*CHOOSE(CONTROL!$C$21, $C$9, 100%, $E$9)</f>
        <v>4.0995999999999997</v>
      </c>
      <c r="H26" s="14">
        <f>CHOOSE(CONTROL!$C$42, 4.1883, 4.1883) * CHOOSE(CONTROL!$C$21, $C$9, 100%, $E$9)</f>
        <v>4.1882999999999999</v>
      </c>
      <c r="I26" s="14">
        <f>CHOOSE(CONTROL!$C$42, 4.1139, 4.1139)* CHOOSE(CONTROL!$C$21, $C$9, 100%, $E$9)</f>
        <v>4.1139000000000001</v>
      </c>
      <c r="J26" s="14">
        <f>CHOOSE(CONTROL!$C$42, 4.0763, 4.0763)* CHOOSE(CONTROL!$C$21, $C$9, 100%, $E$9)</f>
        <v>4.0762999999999998</v>
      </c>
      <c r="K26" s="59"/>
      <c r="L26" s="14">
        <f>CHOOSE(CONTROL!$C$42, 4.7753, 4.7753) * CHOOSE(CONTROL!$C$21, $C$9, 100%, $E$9)</f>
        <v>4.7752999999999997</v>
      </c>
      <c r="M26" s="14">
        <f>CHOOSE(CONTROL!$C$42, 4.0005, 4.0005) * CHOOSE(CONTROL!$C$21, $C$9, 100%, $E$9)</f>
        <v>4.0004999999999997</v>
      </c>
      <c r="N26" s="14">
        <f>CHOOSE(CONTROL!$C$42, 4.0164, 4.0164) * CHOOSE(CONTROL!$C$21, $C$9, 100%, $E$9)</f>
        <v>4.0164</v>
      </c>
      <c r="O26" s="14">
        <f>CHOOSE(CONTROL!$C$42, 4.1101, 4.1101) * CHOOSE(CONTROL!$C$21, $C$9, 100%, $E$9)</f>
        <v>4.1101000000000001</v>
      </c>
      <c r="P26" s="14">
        <f>CHOOSE(CONTROL!$C$42, 4.0371, 4.0371) * CHOOSE(CONTROL!$C$21, $C$9, 100%, $E$9)</f>
        <v>4.0370999999999997</v>
      </c>
      <c r="Q26" s="14">
        <f>CHOOSE(CONTROL!$C$42, 4.7048, 4.7048) * CHOOSE(CONTROL!$C$21, $C$9, 100%, $E$9)</f>
        <v>4.7047999999999996</v>
      </c>
      <c r="R26" s="14">
        <f>CHOOSE(CONTROL!$C$42, 5.3036, 5.3036) * CHOOSE(CONTROL!$C$21, $C$9, 100%, $E$9)</f>
        <v>5.3036000000000003</v>
      </c>
      <c r="S26" s="14">
        <f>CHOOSE(CONTROL!$C$42, 3.9149, 3.9149) * CHOOSE(CONTROL!$C$21, $C$9, 100%, $E$9)</f>
        <v>3.9148999999999998</v>
      </c>
      <c r="T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7">
        <f>(1000*CHOOSE(CONTROL!$C$42, 695, 695)*CHOOSE(CONTROL!$C$42, 0.5599, 0.5599)*CHOOSE(CONTROL!$C$42, 28, 28))/1000000</f>
        <v>10.895653999999999</v>
      </c>
      <c r="V26" s="57">
        <f>(1000*CHOOSE(CONTROL!$C$42, 580, 580)*CHOOSE(CONTROL!$C$42, 0.275, 0.275)*CHOOSE(CONTROL!$C$42, 28, 28))/1000000</f>
        <v>4.4660000000000002</v>
      </c>
      <c r="W26" s="57">
        <f>(1000*CHOOSE(CONTROL!$C$42, 0.1146, 0.1146)*CHOOSE(CONTROL!$C$42, 200, 200)*CHOOSE(CONTROL!$C$42, 28, 28))/1000000</f>
        <v>0.64176</v>
      </c>
      <c r="X26" s="57">
        <v>0</v>
      </c>
      <c r="Y26" s="57">
        <f t="shared" si="0"/>
        <v>0.4</v>
      </c>
      <c r="Z26" s="14">
        <f>CHOOSE(CONTROL!$C$42, 4.0317, 4.0317) * CHOOSE(CONTROL!$C$21, $C$9, 100%, $E$9)</f>
        <v>4.0316999999999998</v>
      </c>
      <c r="AA26" s="56">
        <f>(131500*28*(6/28))/1000000</f>
        <v>0.78900000000000003</v>
      </c>
      <c r="AB26" s="50">
        <f>(B26*122.58+C26*297.941+D26*89.177+E26*200.302+F26*40+G26*0+H26*0+I26*100+J26*300)/(122.58+297.941+89.177+200.302+0+40+0+100+300)</f>
        <v>4.111862028956522</v>
      </c>
      <c r="AC26" s="45">
        <f>(M26*240+N26*0+O26*355+P26*100)/(240+0+355+100)</f>
        <v>4.0617489208633097</v>
      </c>
    </row>
    <row r="27" spans="1:29" ht="15" x14ac:dyDescent="0.2">
      <c r="A27" s="13">
        <v>41699</v>
      </c>
      <c r="B27" s="14">
        <f>CHOOSE(CONTROL!$C$42, 4.0466, 4.0466) * CHOOSE(CONTROL!$C$21, $C$9, 100%, $E$9)</f>
        <v>4.0465999999999998</v>
      </c>
      <c r="C27" s="14">
        <f>CHOOSE(CONTROL!$C$42, 4.0517, 4.0517) * CHOOSE(CONTROL!$C$21, $C$9, 100%, $E$9)</f>
        <v>4.0517000000000003</v>
      </c>
      <c r="D27" s="14">
        <f>CHOOSE(CONTROL!$C$42, 4.1285, 4.1285) * CHOOSE(CONTROL!$C$21, $C$9, 100%, $E$9)</f>
        <v>4.1284999999999998</v>
      </c>
      <c r="E27" s="14">
        <f>CHOOSE(CONTROL!$C$42, 4.1626, 4.1626) * CHOOSE(CONTROL!$C$21, $C$9, 100%, $E$9)</f>
        <v>4.1626000000000003</v>
      </c>
      <c r="F27" s="14">
        <f>CHOOSE(CONTROL!$C$42, 4.0464, 4.0464)*CHOOSE(CONTROL!$C$21, $C$9, 100%, $E$9)</f>
        <v>4.0464000000000002</v>
      </c>
      <c r="G27" s="14">
        <f>CHOOSE(CONTROL!$C$42, 4.0626, 4.0626)*CHOOSE(CONTROL!$C$21, $C$9, 100%, $E$9)</f>
        <v>4.0625999999999998</v>
      </c>
      <c r="H27" s="14">
        <f>CHOOSE(CONTROL!$C$42, 4.1518, 4.1518) * CHOOSE(CONTROL!$C$21, $C$9, 100%, $E$9)</f>
        <v>4.1517999999999997</v>
      </c>
      <c r="I27" s="14">
        <f>CHOOSE(CONTROL!$C$42, 4.0774, 4.0774)* CHOOSE(CONTROL!$C$21, $C$9, 100%, $E$9)</f>
        <v>4.0773999999999999</v>
      </c>
      <c r="J27" s="14">
        <f>CHOOSE(CONTROL!$C$42, 4.0394, 4.0394)* CHOOSE(CONTROL!$C$21, $C$9, 100%, $E$9)</f>
        <v>4.0393999999999997</v>
      </c>
      <c r="K27" s="59"/>
      <c r="L27" s="14">
        <f>CHOOSE(CONTROL!$C$42, 4.7388, 4.7388) * CHOOSE(CONTROL!$C$21, $C$9, 100%, $E$9)</f>
        <v>4.7388000000000003</v>
      </c>
      <c r="M27" s="14">
        <f>CHOOSE(CONTROL!$C$42, 3.9644, 3.9644) * CHOOSE(CONTROL!$C$21, $C$9, 100%, $E$9)</f>
        <v>3.9643999999999999</v>
      </c>
      <c r="N27" s="14">
        <f>CHOOSE(CONTROL!$C$42, 3.9801, 3.9801) * CHOOSE(CONTROL!$C$21, $C$9, 100%, $E$9)</f>
        <v>3.9801000000000002</v>
      </c>
      <c r="O27" s="14">
        <f>CHOOSE(CONTROL!$C$42, 4.0745, 4.0745) * CHOOSE(CONTROL!$C$21, $C$9, 100%, $E$9)</f>
        <v>4.0744999999999996</v>
      </c>
      <c r="P27" s="14">
        <f>CHOOSE(CONTROL!$C$42, 4.0014, 4.0014) * CHOOSE(CONTROL!$C$21, $C$9, 100%, $E$9)</f>
        <v>4.0014000000000003</v>
      </c>
      <c r="Q27" s="14">
        <f>CHOOSE(CONTROL!$C$42, 4.6692, 4.6692) * CHOOSE(CONTROL!$C$21, $C$9, 100%, $E$9)</f>
        <v>4.6692</v>
      </c>
      <c r="R27" s="14">
        <f>CHOOSE(CONTROL!$C$42, 5.2678, 5.2678) * CHOOSE(CONTROL!$C$21, $C$9, 100%, $E$9)</f>
        <v>5.2678000000000003</v>
      </c>
      <c r="S27" s="14">
        <f>CHOOSE(CONTROL!$C$42, 3.8799, 3.8799) * CHOOSE(CONTROL!$C$21, $C$9, 100%, $E$9)</f>
        <v>3.8799000000000001</v>
      </c>
      <c r="T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7">
        <f>(1000*CHOOSE(CONTROL!$C$42, 695, 695)*CHOOSE(CONTROL!$C$42, 0.5599, 0.5599)*CHOOSE(CONTROL!$C$42, 31, 31))/1000000</f>
        <v>12.063045499999998</v>
      </c>
      <c r="V27" s="57">
        <f>(1000*CHOOSE(CONTROL!$C$42, 580, 580)*CHOOSE(CONTROL!$C$42, 0.275, 0.275)*CHOOSE(CONTROL!$C$42, 31, 31))/1000000</f>
        <v>4.9444999999999997</v>
      </c>
      <c r="W27" s="57">
        <f>(1000*CHOOSE(CONTROL!$C$42, 0.1146, 0.1146)*CHOOSE(CONTROL!$C$42, 200, 200)*CHOOSE(CONTROL!$C$42, 31, 31))/1000000</f>
        <v>0.71052000000000004</v>
      </c>
      <c r="X27" s="57">
        <v>0</v>
      </c>
      <c r="Y27" s="57">
        <f t="shared" si="0"/>
        <v>0.4</v>
      </c>
      <c r="Z27" s="14">
        <f>CHOOSE(CONTROL!$C$42, 3.9959, 3.9959) * CHOOSE(CONTROL!$C$21, $C$9, 100%, $E$9)</f>
        <v>3.9958999999999998</v>
      </c>
      <c r="AA27" s="56">
        <f>(131500*31*(6/31))/1000000</f>
        <v>0.78900000000000003</v>
      </c>
      <c r="AB27" s="50">
        <f>(B27*122.58+C27*297.941+D27*89.177+E27*200.302+F27*40+G27*0+H27*0+I27*100+J27*300)/(122.58+297.941+89.177+200.302+0+40+0+100+300)</f>
        <v>4.0752696759999996</v>
      </c>
      <c r="AC27" s="45">
        <f>(M27*240+N27*0+O27*355+P27*100)/(240+0+355+100)</f>
        <v>4.0259618705035969</v>
      </c>
    </row>
    <row r="28" spans="1:29" ht="15" x14ac:dyDescent="0.2">
      <c r="A28" s="13">
        <v>41730</v>
      </c>
      <c r="B28" s="14">
        <f>CHOOSE(CONTROL!$C$42, 3.9646, 3.9646) * CHOOSE(CONTROL!$C$21, $C$9, 100%, $E$9)</f>
        <v>3.9645999999999999</v>
      </c>
      <c r="C28" s="14">
        <f>CHOOSE(CONTROL!$C$42, 3.9691, 3.9691) * CHOOSE(CONTROL!$C$21, $C$9, 100%, $E$9)</f>
        <v>3.9691000000000001</v>
      </c>
      <c r="D28" s="14">
        <f>CHOOSE(CONTROL!$C$42, 4.2059, 4.2059) * CHOOSE(CONTROL!$C$21, $C$9, 100%, $E$9)</f>
        <v>4.2058999999999997</v>
      </c>
      <c r="E28" s="14">
        <f>CHOOSE(CONTROL!$C$42, 4.238, 4.238) * CHOOSE(CONTROL!$C$21, $C$9, 100%, $E$9)</f>
        <v>4.2380000000000004</v>
      </c>
      <c r="F28" s="14">
        <f>CHOOSE(CONTROL!$C$42, 3.9626, 3.9626)*CHOOSE(CONTROL!$C$21, $C$9, 100%, $E$9)</f>
        <v>3.9626000000000001</v>
      </c>
      <c r="G28" s="14">
        <f>CHOOSE(CONTROL!$C$42, 3.9784, 3.9784)*CHOOSE(CONTROL!$C$21, $C$9, 100%, $E$9)</f>
        <v>3.9784000000000002</v>
      </c>
      <c r="H28" s="14">
        <f>CHOOSE(CONTROL!$C$42, 4.2277, 4.2277) * CHOOSE(CONTROL!$C$21, $C$9, 100%, $E$9)</f>
        <v>4.2276999999999996</v>
      </c>
      <c r="I28" s="14">
        <f>CHOOSE(CONTROL!$C$42, 3.9943, 3.9943)* CHOOSE(CONTROL!$C$21, $C$9, 100%, $E$9)</f>
        <v>3.9943</v>
      </c>
      <c r="J28" s="14">
        <f>CHOOSE(CONTROL!$C$42, 3.9556, 3.9556)* CHOOSE(CONTROL!$C$21, $C$9, 100%, $E$9)</f>
        <v>3.9556</v>
      </c>
      <c r="K28" s="59"/>
      <c r="L28" s="14">
        <f>CHOOSE(CONTROL!$C$42, 4.8147, 4.8147) * CHOOSE(CONTROL!$C$21, $C$9, 100%, $E$9)</f>
        <v>4.8147000000000002</v>
      </c>
      <c r="M28" s="14">
        <f>CHOOSE(CONTROL!$C$42, 3.8822, 3.8822) * CHOOSE(CONTROL!$C$21, $C$9, 100%, $E$9)</f>
        <v>3.8822000000000001</v>
      </c>
      <c r="N28" s="14">
        <f>CHOOSE(CONTROL!$C$42, 3.8977, 3.8977) * CHOOSE(CONTROL!$C$21, $C$9, 100%, $E$9)</f>
        <v>3.8976999999999999</v>
      </c>
      <c r="O28" s="14">
        <f>CHOOSE(CONTROL!$C$42, 4.1488, 4.1488) * CHOOSE(CONTROL!$C$21, $C$9, 100%, $E$9)</f>
        <v>4.1487999999999996</v>
      </c>
      <c r="P28" s="14">
        <f>CHOOSE(CONTROL!$C$42, 3.92, 3.92) * CHOOSE(CONTROL!$C$21, $C$9, 100%, $E$9)</f>
        <v>3.92</v>
      </c>
      <c r="Q28" s="14">
        <f>CHOOSE(CONTROL!$C$42, 4.7435, 4.7435) * CHOOSE(CONTROL!$C$21, $C$9, 100%, $E$9)</f>
        <v>4.7435</v>
      </c>
      <c r="R28" s="14">
        <f>CHOOSE(CONTROL!$C$42, 5.3424, 5.3424) * CHOOSE(CONTROL!$C$21, $C$9, 100%, $E$9)</f>
        <v>5.3423999999999996</v>
      </c>
      <c r="S28" s="14">
        <f>CHOOSE(CONTROL!$C$42, 3.8003, 3.8003) * CHOOSE(CONTROL!$C$21, $C$9, 100%, $E$9)</f>
        <v>3.8003</v>
      </c>
      <c r="T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7">
        <f>(1000*CHOOSE(CONTROL!$C$42, 695, 695)*CHOOSE(CONTROL!$C$42, 0.5599, 0.5599)*CHOOSE(CONTROL!$C$42, 30, 30))/1000000</f>
        <v>11.673914999999997</v>
      </c>
      <c r="V28" s="57">
        <f>(1000*CHOOSE(CONTROL!$C$42, 580, 580)*CHOOSE(CONTROL!$C$42, 0.275, 0.275)*CHOOSE(CONTROL!$C$42, 30, 30))/1000000</f>
        <v>4.7850000000000001</v>
      </c>
      <c r="W28" s="57">
        <f>(1000*CHOOSE(CONTROL!$C$42, 0.1146, 0.1146)*CHOOSE(CONTROL!$C$42, 200, 200)*CHOOSE(CONTROL!$C$42, 30, 30))/1000000</f>
        <v>0.68759999999999999</v>
      </c>
      <c r="X28" s="57">
        <f>30*0.1790888*145000/1000000</f>
        <v>0.77903627999999991</v>
      </c>
      <c r="Y28" s="57"/>
      <c r="Z28" s="14">
        <f>CHOOSE(CONTROL!$C$42, 3.9088, 3.9088) * CHOOSE(CONTROL!$C$21, $C$9, 100%, $E$9)</f>
        <v>3.9087999999999998</v>
      </c>
      <c r="AA28" s="56">
        <f>(131500*30*(6/30))/1000000</f>
        <v>0.78900000000000003</v>
      </c>
      <c r="AB28" s="50">
        <f>(B28*141.293+C28*267.993+D28*115.016+E28*249.698+F28*40+G28*25+H28*0+I28*100+J28*300)/(141.293+267.993+115.016+249.698+0+40+25+100+300)</f>
        <v>4.0435037631154156</v>
      </c>
      <c r="AC28" s="45">
        <f t="shared" ref="AC28:AC34" si="1">(M28*240+N28*120+O28*235+P28*100)/(240+120+235+100)</f>
        <v>3.9804604316546763</v>
      </c>
    </row>
    <row r="29" spans="1:29" ht="15" x14ac:dyDescent="0.2">
      <c r="A29" s="13">
        <v>41760</v>
      </c>
      <c r="B29" s="14">
        <f>CHOOSE(CONTROL!$C$42, 3.9837, 3.9837) * CHOOSE(CONTROL!$C$21, $C$9, 100%, $E$9)</f>
        <v>3.9836999999999998</v>
      </c>
      <c r="C29" s="14">
        <f>CHOOSE(CONTROL!$C$42, 3.9917, 3.9917) * CHOOSE(CONTROL!$C$21, $C$9, 100%, $E$9)</f>
        <v>3.9916999999999998</v>
      </c>
      <c r="D29" s="14">
        <f>CHOOSE(CONTROL!$C$42, 4.2253, 4.2253) * CHOOSE(CONTROL!$C$21, $C$9, 100%, $E$9)</f>
        <v>4.2252999999999998</v>
      </c>
      <c r="E29" s="14">
        <f>CHOOSE(CONTROL!$C$42, 4.2568, 4.2568) * CHOOSE(CONTROL!$C$21, $C$9, 100%, $E$9)</f>
        <v>4.2568000000000001</v>
      </c>
      <c r="F29" s="14">
        <f>CHOOSE(CONTROL!$C$42, 3.9805, 3.9805)*CHOOSE(CONTROL!$C$21, $C$9, 100%, $E$9)</f>
        <v>3.9805000000000001</v>
      </c>
      <c r="G29" s="14">
        <f>CHOOSE(CONTROL!$C$42, 3.9968, 3.9968)*CHOOSE(CONTROL!$C$21, $C$9, 100%, $E$9)</f>
        <v>3.9967999999999999</v>
      </c>
      <c r="H29" s="14">
        <f>CHOOSE(CONTROL!$C$42, 4.2454, 4.2454) * CHOOSE(CONTROL!$C$21, $C$9, 100%, $E$9)</f>
        <v>4.2454000000000001</v>
      </c>
      <c r="I29" s="14">
        <f>CHOOSE(CONTROL!$C$42, 4.0121, 4.0121)* CHOOSE(CONTROL!$C$21, $C$9, 100%, $E$9)</f>
        <v>4.0121000000000002</v>
      </c>
      <c r="J29" s="14">
        <f>CHOOSE(CONTROL!$C$42, 3.9735, 3.9735)* CHOOSE(CONTROL!$C$21, $C$9, 100%, $E$9)</f>
        <v>3.9735</v>
      </c>
      <c r="K29" s="59"/>
      <c r="L29" s="14">
        <f>CHOOSE(CONTROL!$C$42, 4.8324, 4.8324) * CHOOSE(CONTROL!$C$21, $C$9, 100%, $E$9)</f>
        <v>4.8323999999999998</v>
      </c>
      <c r="M29" s="14">
        <f>CHOOSE(CONTROL!$C$42, 3.8998, 3.8998) * CHOOSE(CONTROL!$C$21, $C$9, 100%, $E$9)</f>
        <v>3.8997999999999999</v>
      </c>
      <c r="N29" s="14">
        <f>CHOOSE(CONTROL!$C$42, 3.9158, 3.9158) * CHOOSE(CONTROL!$C$21, $C$9, 100%, $E$9)</f>
        <v>3.9157999999999999</v>
      </c>
      <c r="O29" s="14">
        <f>CHOOSE(CONTROL!$C$42, 4.1661, 4.1661) * CHOOSE(CONTROL!$C$21, $C$9, 100%, $E$9)</f>
        <v>4.1661000000000001</v>
      </c>
      <c r="P29" s="14">
        <f>CHOOSE(CONTROL!$C$42, 3.9374, 3.9374) * CHOOSE(CONTROL!$C$21, $C$9, 100%, $E$9)</f>
        <v>3.9373999999999998</v>
      </c>
      <c r="Q29" s="14">
        <f>CHOOSE(CONTROL!$C$42, 4.7608, 4.7608) * CHOOSE(CONTROL!$C$21, $C$9, 100%, $E$9)</f>
        <v>4.7607999999999997</v>
      </c>
      <c r="R29" s="14">
        <f>CHOOSE(CONTROL!$C$42, 5.3597, 5.3597) * CHOOSE(CONTROL!$C$21, $C$9, 100%, $E$9)</f>
        <v>5.3597000000000001</v>
      </c>
      <c r="S29" s="14">
        <f>CHOOSE(CONTROL!$C$42, 3.8173, 3.8173) * CHOOSE(CONTROL!$C$21, $C$9, 100%, $E$9)</f>
        <v>3.8172999999999999</v>
      </c>
      <c r="T29" s="58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7">
        <f>(1000*CHOOSE(CONTROL!$C$42, 695, 695)*CHOOSE(CONTROL!$C$42, 0.5599, 0.5599)*CHOOSE(CONTROL!$C$42, 31, 31))/1000000</f>
        <v>12.063045499999998</v>
      </c>
      <c r="V29" s="57">
        <f>(1000*CHOOSE(CONTROL!$C$42, 580, 580)*CHOOSE(CONTROL!$C$42, 0.275, 0.275)*CHOOSE(CONTROL!$C$42, 31, 31))/1000000</f>
        <v>4.9444999999999997</v>
      </c>
      <c r="W29" s="57">
        <f>(1000*CHOOSE(CONTROL!$C$42, 0.1146, 0.1146)*CHOOSE(CONTROL!$C$42, 200, 200)*CHOOSE(CONTROL!$C$42, 31, 31))/1000000</f>
        <v>0.71052000000000004</v>
      </c>
      <c r="X29" s="57">
        <f>31*0.1790888*145000/1000000</f>
        <v>0.80500415599999997</v>
      </c>
      <c r="Y29" s="57"/>
      <c r="Z29" s="14">
        <f>CHOOSE(CONTROL!$C$42, 3.9262, 3.9262) * CHOOSE(CONTROL!$C$21, $C$9, 100%, $E$9)</f>
        <v>3.9262000000000001</v>
      </c>
      <c r="AA29" s="56">
        <f>(131500*31*(6/31))/1000000</f>
        <v>0.78900000000000003</v>
      </c>
      <c r="AB29" s="50">
        <f>(B29*194.205+C29*267.466+D29*133.845+E29*213.484+F29*40+G29*25+H29*50+I29*100+J29*300)/(194.205+267.466+133.845+213.484+50+40+25+100+300)</f>
        <v>4.0636423416918435</v>
      </c>
      <c r="AC29" s="45">
        <f t="shared" si="1"/>
        <v>3.9980165467625897</v>
      </c>
    </row>
    <row r="30" spans="1:29" ht="15" x14ac:dyDescent="0.2">
      <c r="A30" s="13">
        <v>41791</v>
      </c>
      <c r="B30" s="14">
        <f>CHOOSE(CONTROL!$C$42, 4.0212, 4.0212) * CHOOSE(CONTROL!$C$21, $C$9, 100%, $E$9)</f>
        <v>4.0212000000000003</v>
      </c>
      <c r="C30" s="14">
        <f>CHOOSE(CONTROL!$C$42, 4.0292, 4.0292) * CHOOSE(CONTROL!$C$21, $C$9, 100%, $E$9)</f>
        <v>4.0292000000000003</v>
      </c>
      <c r="D30" s="14">
        <f>CHOOSE(CONTROL!$C$42, 4.2628, 4.2628) * CHOOSE(CONTROL!$C$21, $C$9, 100%, $E$9)</f>
        <v>4.2628000000000004</v>
      </c>
      <c r="E30" s="14">
        <f>CHOOSE(CONTROL!$C$42, 4.2943, 4.2943) * CHOOSE(CONTROL!$C$21, $C$9, 100%, $E$9)</f>
        <v>4.2942999999999998</v>
      </c>
      <c r="F30" s="14">
        <f>CHOOSE(CONTROL!$C$42, 4.0184, 4.0184)*CHOOSE(CONTROL!$C$21, $C$9, 100%, $E$9)</f>
        <v>4.0183999999999997</v>
      </c>
      <c r="G30" s="14">
        <f>CHOOSE(CONTROL!$C$42, 4.0349, 4.0349)*CHOOSE(CONTROL!$C$21, $C$9, 100%, $E$9)</f>
        <v>4.0349000000000004</v>
      </c>
      <c r="H30" s="14">
        <f>CHOOSE(CONTROL!$C$42, 4.2829, 4.2829) * CHOOSE(CONTROL!$C$21, $C$9, 100%, $E$9)</f>
        <v>4.2828999999999997</v>
      </c>
      <c r="I30" s="14">
        <f>CHOOSE(CONTROL!$C$42, 4.0497, 4.0497)* CHOOSE(CONTROL!$C$21, $C$9, 100%, $E$9)</f>
        <v>4.0496999999999996</v>
      </c>
      <c r="J30" s="14">
        <f>CHOOSE(CONTROL!$C$42, 4.0114, 4.0114)* CHOOSE(CONTROL!$C$21, $C$9, 100%, $E$9)</f>
        <v>4.0114000000000001</v>
      </c>
      <c r="K30" s="59"/>
      <c r="L30" s="14">
        <f>CHOOSE(CONTROL!$C$42, 4.8699, 4.8699) * CHOOSE(CONTROL!$C$21, $C$9, 100%, $E$9)</f>
        <v>4.8699000000000003</v>
      </c>
      <c r="M30" s="14">
        <f>CHOOSE(CONTROL!$C$42, 3.9369, 3.9369) * CHOOSE(CONTROL!$C$21, $C$9, 100%, $E$9)</f>
        <v>3.9369000000000001</v>
      </c>
      <c r="N30" s="14">
        <f>CHOOSE(CONTROL!$C$42, 3.9531, 3.9531) * CHOOSE(CONTROL!$C$21, $C$9, 100%, $E$9)</f>
        <v>3.9531000000000001</v>
      </c>
      <c r="O30" s="14">
        <f>CHOOSE(CONTROL!$C$42, 4.2028, 4.2028) * CHOOSE(CONTROL!$C$21, $C$9, 100%, $E$9)</f>
        <v>4.2027999999999999</v>
      </c>
      <c r="P30" s="14">
        <f>CHOOSE(CONTROL!$C$42, 3.9742, 3.9742) * CHOOSE(CONTROL!$C$21, $C$9, 100%, $E$9)</f>
        <v>3.9742000000000002</v>
      </c>
      <c r="Q30" s="14">
        <f>CHOOSE(CONTROL!$C$42, 4.7975, 4.7975) * CHOOSE(CONTROL!$C$21, $C$9, 100%, $E$9)</f>
        <v>4.7975000000000003</v>
      </c>
      <c r="R30" s="14">
        <f>CHOOSE(CONTROL!$C$42, 5.3965, 5.3965) * CHOOSE(CONTROL!$C$21, $C$9, 100%, $E$9)</f>
        <v>5.3964999999999996</v>
      </c>
      <c r="S30" s="14">
        <f>CHOOSE(CONTROL!$C$42, 3.8533, 3.8533) * CHOOSE(CONTROL!$C$21, $C$9, 100%, $E$9)</f>
        <v>3.8532999999999999</v>
      </c>
      <c r="T30" s="58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7">
        <f>(1000*CHOOSE(CONTROL!$C$42, 695, 695)*CHOOSE(CONTROL!$C$42, 0.5599, 0.5599)*CHOOSE(CONTROL!$C$42, 30, 30))/1000000</f>
        <v>11.673914999999997</v>
      </c>
      <c r="V30" s="57">
        <f>(1000*CHOOSE(CONTROL!$C$42, 580, 580)*CHOOSE(CONTROL!$C$42, 0.275, 0.275)*CHOOSE(CONTROL!$C$42, 30, 30))/1000000</f>
        <v>4.7850000000000001</v>
      </c>
      <c r="W30" s="57">
        <f>(1000*CHOOSE(CONTROL!$C$42, 0.1146, 0.1146)*CHOOSE(CONTROL!$C$42, 200, 200)*CHOOSE(CONTROL!$C$42, 30, 30))/1000000</f>
        <v>0.68759999999999999</v>
      </c>
      <c r="X30" s="57">
        <f>30*0.1790888*145000/1000000</f>
        <v>0.77903627999999991</v>
      </c>
      <c r="Y30" s="57"/>
      <c r="Z30" s="14">
        <f>CHOOSE(CONTROL!$C$42, 3.9631, 3.9631) * CHOOSE(CONTROL!$C$21, $C$9, 100%, $E$9)</f>
        <v>3.9630999999999998</v>
      </c>
      <c r="AA30" s="56">
        <f>(131500*30*(6/30))/1000000</f>
        <v>0.78900000000000003</v>
      </c>
      <c r="AB30" s="50">
        <f>(B30*194.205+C30*267.466+D30*133.845+E30*213.484+F30*40+G30*25+H30*50+I30*100+J30*300)/(194.205+267.466+133.845+213.484+50+40+25+100+300)</f>
        <v>4.1012639429003031</v>
      </c>
      <c r="AC30" s="45">
        <f t="shared" si="1"/>
        <v>4.034972661870504</v>
      </c>
    </row>
    <row r="31" spans="1:29" ht="15" x14ac:dyDescent="0.2">
      <c r="A31" s="13">
        <v>41821</v>
      </c>
      <c r="B31" s="14">
        <f>CHOOSE(CONTROL!$C$42, 4.0618, 4.0618) * CHOOSE(CONTROL!$C$21, $C$9, 100%, $E$9)</f>
        <v>4.0617999999999999</v>
      </c>
      <c r="C31" s="14">
        <f>CHOOSE(CONTROL!$C$42, 4.0698, 4.0698) * CHOOSE(CONTROL!$C$21, $C$9, 100%, $E$9)</f>
        <v>4.0697999999999999</v>
      </c>
      <c r="D31" s="14">
        <f>CHOOSE(CONTROL!$C$42, 4.3034, 4.3034) * CHOOSE(CONTROL!$C$21, $C$9, 100%, $E$9)</f>
        <v>4.3033999999999999</v>
      </c>
      <c r="E31" s="14">
        <f>CHOOSE(CONTROL!$C$42, 4.3349, 4.3349) * CHOOSE(CONTROL!$C$21, $C$9, 100%, $E$9)</f>
        <v>4.3349000000000002</v>
      </c>
      <c r="F31" s="14">
        <f>CHOOSE(CONTROL!$C$42, 4.0596, 4.0596)*CHOOSE(CONTROL!$C$21, $C$9, 100%, $E$9)</f>
        <v>4.0595999999999997</v>
      </c>
      <c r="G31" s="14">
        <f>CHOOSE(CONTROL!$C$42, 4.0762, 4.0762)*CHOOSE(CONTROL!$C$21, $C$9, 100%, $E$9)</f>
        <v>4.0762</v>
      </c>
      <c r="H31" s="14">
        <f>CHOOSE(CONTROL!$C$42, 4.3235, 4.3235) * CHOOSE(CONTROL!$C$21, $C$9, 100%, $E$9)</f>
        <v>4.3235000000000001</v>
      </c>
      <c r="I31" s="14">
        <f>CHOOSE(CONTROL!$C$42, 4.0904, 4.0904)* CHOOSE(CONTROL!$C$21, $C$9, 100%, $E$9)</f>
        <v>4.0903999999999998</v>
      </c>
      <c r="J31" s="14">
        <f>CHOOSE(CONTROL!$C$42, 4.0526, 4.0526)* CHOOSE(CONTROL!$C$21, $C$9, 100%, $E$9)</f>
        <v>4.0526</v>
      </c>
      <c r="K31" s="59"/>
      <c r="L31" s="14">
        <f>CHOOSE(CONTROL!$C$42, 4.9105, 4.9105) * CHOOSE(CONTROL!$C$21, $C$9, 100%, $E$9)</f>
        <v>4.9104999999999999</v>
      </c>
      <c r="M31" s="14">
        <f>CHOOSE(CONTROL!$C$42, 3.9772, 3.9772) * CHOOSE(CONTROL!$C$21, $C$9, 100%, $E$9)</f>
        <v>3.9771999999999998</v>
      </c>
      <c r="N31" s="14">
        <f>CHOOSE(CONTROL!$C$42, 3.9935, 3.9935) * CHOOSE(CONTROL!$C$21, $C$9, 100%, $E$9)</f>
        <v>3.9935</v>
      </c>
      <c r="O31" s="14">
        <f>CHOOSE(CONTROL!$C$42, 4.2426, 4.2426) * CHOOSE(CONTROL!$C$21, $C$9, 100%, $E$9)</f>
        <v>4.2426000000000004</v>
      </c>
      <c r="P31" s="14">
        <f>CHOOSE(CONTROL!$C$42, 4.0141, 4.0141) * CHOOSE(CONTROL!$C$21, $C$9, 100%, $E$9)</f>
        <v>4.0141</v>
      </c>
      <c r="Q31" s="14">
        <f>CHOOSE(CONTROL!$C$42, 4.8373, 4.8373) * CHOOSE(CONTROL!$C$21, $C$9, 100%, $E$9)</f>
        <v>4.8372999999999999</v>
      </c>
      <c r="R31" s="14">
        <f>CHOOSE(CONTROL!$C$42, 5.4364, 5.4364) * CHOOSE(CONTROL!$C$21, $C$9, 100%, $E$9)</f>
        <v>5.4363999999999999</v>
      </c>
      <c r="S31" s="14">
        <f>CHOOSE(CONTROL!$C$42, 3.8923, 3.8923) * CHOOSE(CONTROL!$C$21, $C$9, 100%, $E$9)</f>
        <v>3.8923000000000001</v>
      </c>
      <c r="T31" s="58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7">
        <f>(1000*CHOOSE(CONTROL!$C$42, 695, 695)*CHOOSE(CONTROL!$C$42, 0.5599, 0.5599)*CHOOSE(CONTROL!$C$42, 31, 31))/1000000</f>
        <v>12.063045499999998</v>
      </c>
      <c r="V31" s="57">
        <f>(1000*CHOOSE(CONTROL!$C$42, 580, 580)*CHOOSE(CONTROL!$C$42, 0.275, 0.275)*CHOOSE(CONTROL!$C$42, 31, 31))/1000000</f>
        <v>4.9444999999999997</v>
      </c>
      <c r="W31" s="57">
        <f>(1000*CHOOSE(CONTROL!$C$42, 0.1146, 0.1146)*CHOOSE(CONTROL!$C$42, 200, 200)*CHOOSE(CONTROL!$C$42, 31, 31))/1000000</f>
        <v>0.71052000000000004</v>
      </c>
      <c r="X31" s="57">
        <f>31*0.1790888*145000/1000000</f>
        <v>0.80500415599999997</v>
      </c>
      <c r="Y31" s="57"/>
      <c r="Z31" s="14">
        <f>CHOOSE(CONTROL!$C$42, 4.003, 4.003) * CHOOSE(CONTROL!$C$21, $C$9, 100%, $E$9)</f>
        <v>4.0030000000000001</v>
      </c>
      <c r="AA31" s="56">
        <f>(131500*31*(6/31))/1000000</f>
        <v>0.78900000000000003</v>
      </c>
      <c r="AB31" s="50">
        <f>(B31*194.205+C31*267.466+D31*133.845+E31*213.484+F31*40+G31*25+H31*50+I31*100+J31*300)/(194.205+267.466+133.845+213.484+50+40+25+100+300)</f>
        <v>4.1420387918429</v>
      </c>
      <c r="AC31" s="45">
        <f t="shared" si="1"/>
        <v>4.0750633093525179</v>
      </c>
    </row>
    <row r="32" spans="1:29" ht="15" x14ac:dyDescent="0.2">
      <c r="A32" s="13">
        <v>41852</v>
      </c>
      <c r="B32" s="14">
        <f>CHOOSE(CONTROL!$C$42, 4.0774, 4.0774) * CHOOSE(CONTROL!$C$21, $C$9, 100%, $E$9)</f>
        <v>4.0773999999999999</v>
      </c>
      <c r="C32" s="14">
        <f>CHOOSE(CONTROL!$C$42, 4.0854, 4.0854) * CHOOSE(CONTROL!$C$21, $C$9, 100%, $E$9)</f>
        <v>4.0853999999999999</v>
      </c>
      <c r="D32" s="14">
        <f>CHOOSE(CONTROL!$C$42, 4.319, 4.319) * CHOOSE(CONTROL!$C$21, $C$9, 100%, $E$9)</f>
        <v>4.319</v>
      </c>
      <c r="E32" s="14">
        <f>CHOOSE(CONTROL!$C$42, 4.3505, 4.3505) * CHOOSE(CONTROL!$C$21, $C$9, 100%, $E$9)</f>
        <v>4.3505000000000003</v>
      </c>
      <c r="F32" s="14">
        <f>CHOOSE(CONTROL!$C$42, 4.0754, 4.0754)*CHOOSE(CONTROL!$C$21, $C$9, 100%, $E$9)</f>
        <v>4.0754000000000001</v>
      </c>
      <c r="G32" s="14">
        <f>CHOOSE(CONTROL!$C$42, 4.092, 4.092)*CHOOSE(CONTROL!$C$21, $C$9, 100%, $E$9)</f>
        <v>4.0919999999999996</v>
      </c>
      <c r="H32" s="14">
        <f>CHOOSE(CONTROL!$C$42, 4.3391, 4.3391) * CHOOSE(CONTROL!$C$21, $C$9, 100%, $E$9)</f>
        <v>4.3391000000000002</v>
      </c>
      <c r="I32" s="14">
        <f>CHOOSE(CONTROL!$C$42, 4.106, 4.106)* CHOOSE(CONTROL!$C$21, $C$9, 100%, $E$9)</f>
        <v>4.1059999999999999</v>
      </c>
      <c r="J32" s="14">
        <f>CHOOSE(CONTROL!$C$42, 4.0684, 4.0684)* CHOOSE(CONTROL!$C$21, $C$9, 100%, $E$9)</f>
        <v>4.0683999999999996</v>
      </c>
      <c r="K32" s="59"/>
      <c r="L32" s="14">
        <f>CHOOSE(CONTROL!$C$42, 4.9261, 4.9261) * CHOOSE(CONTROL!$C$21, $C$9, 100%, $E$9)</f>
        <v>4.9260999999999999</v>
      </c>
      <c r="M32" s="14">
        <f>CHOOSE(CONTROL!$C$42, 3.9927, 3.9927) * CHOOSE(CONTROL!$C$21, $C$9, 100%, $E$9)</f>
        <v>3.9927000000000001</v>
      </c>
      <c r="N32" s="14">
        <f>CHOOSE(CONTROL!$C$42, 4.009, 4.009) * CHOOSE(CONTROL!$C$21, $C$9, 100%, $E$9)</f>
        <v>4.0090000000000003</v>
      </c>
      <c r="O32" s="14">
        <f>CHOOSE(CONTROL!$C$42, 4.2579, 4.2579) * CHOOSE(CONTROL!$C$21, $C$9, 100%, $E$9)</f>
        <v>4.2579000000000002</v>
      </c>
      <c r="P32" s="14">
        <f>CHOOSE(CONTROL!$C$42, 4.0294, 4.0294) * CHOOSE(CONTROL!$C$21, $C$9, 100%, $E$9)</f>
        <v>4.0293999999999999</v>
      </c>
      <c r="Q32" s="14">
        <f>CHOOSE(CONTROL!$C$42, 4.8526, 4.8526) * CHOOSE(CONTROL!$C$21, $C$9, 100%, $E$9)</f>
        <v>4.8525999999999998</v>
      </c>
      <c r="R32" s="14">
        <f>CHOOSE(CONTROL!$C$42, 5.4517, 5.4517) * CHOOSE(CONTROL!$C$21, $C$9, 100%, $E$9)</f>
        <v>5.4516999999999998</v>
      </c>
      <c r="S32" s="14">
        <f>CHOOSE(CONTROL!$C$42, 3.9073, 3.9073) * CHOOSE(CONTROL!$C$21, $C$9, 100%, $E$9)</f>
        <v>3.9073000000000002</v>
      </c>
      <c r="T32" s="58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7">
        <f>(1000*CHOOSE(CONTROL!$C$42, 695, 695)*CHOOSE(CONTROL!$C$42, 0.5599, 0.5599)*CHOOSE(CONTROL!$C$42, 31, 31))/1000000</f>
        <v>12.063045499999998</v>
      </c>
      <c r="V32" s="57">
        <f>(1000*CHOOSE(CONTROL!$C$42, 580, 580)*CHOOSE(CONTROL!$C$42, 0.275, 0.275)*CHOOSE(CONTROL!$C$42, 31, 31))/1000000</f>
        <v>4.9444999999999997</v>
      </c>
      <c r="W32" s="57">
        <f>(1000*CHOOSE(CONTROL!$C$42, 0.1146, 0.1146)*CHOOSE(CONTROL!$C$42, 200, 200)*CHOOSE(CONTROL!$C$42, 31, 31))/1000000</f>
        <v>0.71052000000000004</v>
      </c>
      <c r="X32" s="57">
        <f>31*0.1790888*145000/1000000</f>
        <v>0.80500415599999997</v>
      </c>
      <c r="Y32" s="57"/>
      <c r="Z32" s="14">
        <f>CHOOSE(CONTROL!$C$42, 4.0183, 4.0183) * CHOOSE(CONTROL!$C$21, $C$9, 100%, $E$9)</f>
        <v>4.0183</v>
      </c>
      <c r="AA32" s="56">
        <f>(131500*31*(6/31))/1000000</f>
        <v>0.78900000000000003</v>
      </c>
      <c r="AB32" s="50">
        <f>(B32*194.205+C32*267.466+D32*133.845+E32*213.484+F32*40+G32*25+H32*50+I32*100+J32*300)/(194.205+267.466+133.845+213.484+50+40+25+100+300)</f>
        <v>4.1576939277945621</v>
      </c>
      <c r="AC32" s="45">
        <f t="shared" si="1"/>
        <v>4.0904669064748207</v>
      </c>
    </row>
    <row r="33" spans="1:29" ht="15" x14ac:dyDescent="0.2">
      <c r="A33" s="13">
        <v>41883</v>
      </c>
      <c r="B33" s="14">
        <f>CHOOSE(CONTROL!$C$42, 4.079, 4.079) * CHOOSE(CONTROL!$C$21, $C$9, 100%, $E$9)</f>
        <v>4.0789999999999997</v>
      </c>
      <c r="C33" s="14">
        <f>CHOOSE(CONTROL!$C$42, 4.087, 4.087) * CHOOSE(CONTROL!$C$21, $C$9, 100%, $E$9)</f>
        <v>4.0869999999999997</v>
      </c>
      <c r="D33" s="14">
        <f>CHOOSE(CONTROL!$C$42, 4.3206, 4.3206) * CHOOSE(CONTROL!$C$21, $C$9, 100%, $E$9)</f>
        <v>4.3205999999999998</v>
      </c>
      <c r="E33" s="14">
        <f>CHOOSE(CONTROL!$C$42, 4.3521, 4.3521) * CHOOSE(CONTROL!$C$21, $C$9, 100%, $E$9)</f>
        <v>4.3521000000000001</v>
      </c>
      <c r="F33" s="14">
        <f>CHOOSE(CONTROL!$C$42, 4.077, 4.077)*CHOOSE(CONTROL!$C$21, $C$9, 100%, $E$9)</f>
        <v>4.077</v>
      </c>
      <c r="G33" s="14">
        <f>CHOOSE(CONTROL!$C$42, 4.0937, 4.0937)*CHOOSE(CONTROL!$C$21, $C$9, 100%, $E$9)</f>
        <v>4.0937000000000001</v>
      </c>
      <c r="H33" s="14">
        <f>CHOOSE(CONTROL!$C$42, 4.3407, 4.3407) * CHOOSE(CONTROL!$C$21, $C$9, 100%, $E$9)</f>
        <v>4.3407</v>
      </c>
      <c r="I33" s="14">
        <f>CHOOSE(CONTROL!$C$42, 4.1077, 4.1077)* CHOOSE(CONTROL!$C$21, $C$9, 100%, $E$9)</f>
        <v>4.1077000000000004</v>
      </c>
      <c r="J33" s="14">
        <f>CHOOSE(CONTROL!$C$42, 4.07, 4.07)* CHOOSE(CONTROL!$C$21, $C$9, 100%, $E$9)</f>
        <v>4.07</v>
      </c>
      <c r="K33" s="59"/>
      <c r="L33" s="14">
        <f>CHOOSE(CONTROL!$C$42, 4.9277, 4.9277) * CHOOSE(CONTROL!$C$21, $C$9, 100%, $E$9)</f>
        <v>4.9276999999999997</v>
      </c>
      <c r="M33" s="14">
        <f>CHOOSE(CONTROL!$C$42, 3.9943, 3.9943) * CHOOSE(CONTROL!$C$21, $C$9, 100%, $E$9)</f>
        <v>3.9943</v>
      </c>
      <c r="N33" s="14">
        <f>CHOOSE(CONTROL!$C$42, 4.0106, 4.0106) * CHOOSE(CONTROL!$C$21, $C$9, 100%, $E$9)</f>
        <v>4.0106000000000002</v>
      </c>
      <c r="O33" s="14">
        <f>CHOOSE(CONTROL!$C$42, 4.2595, 4.2595) * CHOOSE(CONTROL!$C$21, $C$9, 100%, $E$9)</f>
        <v>4.2595000000000001</v>
      </c>
      <c r="P33" s="14">
        <f>CHOOSE(CONTROL!$C$42, 4.031, 4.031) * CHOOSE(CONTROL!$C$21, $C$9, 100%, $E$9)</f>
        <v>4.0309999999999997</v>
      </c>
      <c r="Q33" s="14">
        <f>CHOOSE(CONTROL!$C$42, 4.8542, 4.8542) * CHOOSE(CONTROL!$C$21, $C$9, 100%, $E$9)</f>
        <v>4.8541999999999996</v>
      </c>
      <c r="R33" s="14">
        <f>CHOOSE(CONTROL!$C$42, 5.4533, 5.4533) * CHOOSE(CONTROL!$C$21, $C$9, 100%, $E$9)</f>
        <v>5.4532999999999996</v>
      </c>
      <c r="S33" s="14">
        <f>CHOOSE(CONTROL!$C$42, 3.9089, 3.9089) * CHOOSE(CONTROL!$C$21, $C$9, 100%, $E$9)</f>
        <v>3.9089</v>
      </c>
      <c r="T33" s="58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7">
        <f>(1000*CHOOSE(CONTROL!$C$42, 695, 695)*CHOOSE(CONTROL!$C$42, 0.5599, 0.5599)*CHOOSE(CONTROL!$C$42, 30, 30))/1000000</f>
        <v>11.673914999999997</v>
      </c>
      <c r="V33" s="57">
        <f>(1000*CHOOSE(CONTROL!$C$42, 580, 580)*CHOOSE(CONTROL!$C$42, 0.275, 0.275)*CHOOSE(CONTROL!$C$42, 30, 30))/1000000</f>
        <v>4.7850000000000001</v>
      </c>
      <c r="W33" s="57">
        <f>(1000*CHOOSE(CONTROL!$C$42, 0.1146, 0.1146)*CHOOSE(CONTROL!$C$42, 200, 200)*CHOOSE(CONTROL!$C$42, 30, 30))/1000000</f>
        <v>0.68759999999999999</v>
      </c>
      <c r="X33" s="57">
        <f>30*0.1790888*145000/1000000</f>
        <v>0.77903627999999991</v>
      </c>
      <c r="Y33" s="57"/>
      <c r="Z33" s="14">
        <f>CHOOSE(CONTROL!$C$42, 4.0199, 4.0199) * CHOOSE(CONTROL!$C$21, $C$9, 100%, $E$9)</f>
        <v>4.0198999999999998</v>
      </c>
      <c r="AA33" s="56">
        <f>(131500*30*(6/30))/1000000</f>
        <v>0.78900000000000003</v>
      </c>
      <c r="AB33" s="50">
        <f>(B33*194.205+C33*267.466+D33*133.845+E33*213.484+F33*40+G33*25+H33*50+I33*100+J33*300)/(194.205+267.466+133.845+213.484+50+40+25+100+300)</f>
        <v>4.1593033688821759</v>
      </c>
      <c r="AC33" s="45">
        <f t="shared" si="1"/>
        <v>4.0920669064748205</v>
      </c>
    </row>
    <row r="34" spans="1:29" ht="15" x14ac:dyDescent="0.2">
      <c r="A34" s="13">
        <v>41913</v>
      </c>
      <c r="B34" s="14">
        <f>CHOOSE(CONTROL!$C$42, 4.097, 4.097) * CHOOSE(CONTROL!$C$21, $C$9, 100%, $E$9)</f>
        <v>4.0970000000000004</v>
      </c>
      <c r="C34" s="14">
        <f>CHOOSE(CONTROL!$C$42, 4.1023, 4.1023) * CHOOSE(CONTROL!$C$21, $C$9, 100%, $E$9)</f>
        <v>4.1022999999999996</v>
      </c>
      <c r="D34" s="14">
        <f>CHOOSE(CONTROL!$C$42, 4.3409, 4.3409) * CHOOSE(CONTROL!$C$21, $C$9, 100%, $E$9)</f>
        <v>4.3409000000000004</v>
      </c>
      <c r="E34" s="14">
        <f>CHOOSE(CONTROL!$C$42, 4.37, 4.37) * CHOOSE(CONTROL!$C$21, $C$9, 100%, $E$9)</f>
        <v>4.37</v>
      </c>
      <c r="F34" s="14">
        <f>CHOOSE(CONTROL!$C$42, 4.097, 4.097)*CHOOSE(CONTROL!$C$21, $C$9, 100%, $E$9)</f>
        <v>4.0970000000000004</v>
      </c>
      <c r="G34" s="14">
        <f>CHOOSE(CONTROL!$C$42, 4.1133, 4.1133)*CHOOSE(CONTROL!$C$21, $C$9, 100%, $E$9)</f>
        <v>4.1132999999999997</v>
      </c>
      <c r="H34" s="14">
        <f>CHOOSE(CONTROL!$C$42, 4.3605, 4.3605) * CHOOSE(CONTROL!$C$21, $C$9, 100%, $E$9)</f>
        <v>4.3605</v>
      </c>
      <c r="I34" s="14">
        <f>CHOOSE(CONTROL!$C$42, 4.1275, 4.1275)* CHOOSE(CONTROL!$C$21, $C$9, 100%, $E$9)</f>
        <v>4.1275000000000004</v>
      </c>
      <c r="J34" s="14">
        <f>CHOOSE(CONTROL!$C$42, 4.09, 4.09)* CHOOSE(CONTROL!$C$21, $C$9, 100%, $E$9)</f>
        <v>4.09</v>
      </c>
      <c r="K34" s="59"/>
      <c r="L34" s="14">
        <f>CHOOSE(CONTROL!$C$42, 4.9475, 4.9475) * CHOOSE(CONTROL!$C$21, $C$9, 100%, $E$9)</f>
        <v>4.9474999999999998</v>
      </c>
      <c r="M34" s="14">
        <f>CHOOSE(CONTROL!$C$42, 4.0139, 4.0139) * CHOOSE(CONTROL!$C$21, $C$9, 100%, $E$9)</f>
        <v>4.0138999999999996</v>
      </c>
      <c r="N34" s="14">
        <f>CHOOSE(CONTROL!$C$42, 4.0299, 4.0299) * CHOOSE(CONTROL!$C$21, $C$9, 100%, $E$9)</f>
        <v>4.0298999999999996</v>
      </c>
      <c r="O34" s="14">
        <f>CHOOSE(CONTROL!$C$42, 4.2788, 4.2788) * CHOOSE(CONTROL!$C$21, $C$9, 100%, $E$9)</f>
        <v>4.2788000000000004</v>
      </c>
      <c r="P34" s="14">
        <f>CHOOSE(CONTROL!$C$42, 4.0504, 4.0504) * CHOOSE(CONTROL!$C$21, $C$9, 100%, $E$9)</f>
        <v>4.0503999999999998</v>
      </c>
      <c r="Q34" s="14">
        <f>CHOOSE(CONTROL!$C$42, 4.8735, 4.8735) * CHOOSE(CONTROL!$C$21, $C$9, 100%, $E$9)</f>
        <v>4.8734999999999999</v>
      </c>
      <c r="R34" s="14">
        <f>CHOOSE(CONTROL!$C$42, 5.4727, 5.4727) * CHOOSE(CONTROL!$C$21, $C$9, 100%, $E$9)</f>
        <v>5.4726999999999997</v>
      </c>
      <c r="S34" s="14">
        <f>CHOOSE(CONTROL!$C$42, 3.9279, 3.9279) * CHOOSE(CONTROL!$C$21, $C$9, 100%, $E$9)</f>
        <v>3.9279000000000002</v>
      </c>
      <c r="T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7">
        <f>(1000*CHOOSE(CONTROL!$C$42, 695, 695)*CHOOSE(CONTROL!$C$42, 0.5599, 0.5599)*CHOOSE(CONTROL!$C$42, 31, 31))/1000000</f>
        <v>12.063045499999998</v>
      </c>
      <c r="V34" s="57">
        <f>(1000*CHOOSE(CONTROL!$C$42, 580, 580)*CHOOSE(CONTROL!$C$42, 0.275, 0.275)*CHOOSE(CONTROL!$C$42, 31, 31))/1000000</f>
        <v>4.9444999999999997</v>
      </c>
      <c r="W34" s="57">
        <f>(1000*CHOOSE(CONTROL!$C$42, 0.1146, 0.1146)*CHOOSE(CONTROL!$C$42, 200, 200)*CHOOSE(CONTROL!$C$42, 31, 31))/1000000</f>
        <v>0.71052000000000004</v>
      </c>
      <c r="X34" s="57">
        <f>31*0.1790888*145000/1000000</f>
        <v>0.80500415599999997</v>
      </c>
      <c r="Y34" s="57"/>
      <c r="Z34" s="14">
        <f>CHOOSE(CONTROL!$C$42, 4.0394, 4.0394) * CHOOSE(CONTROL!$C$21, $C$9, 100%, $E$9)</f>
        <v>4.0393999999999997</v>
      </c>
      <c r="AA34" s="56">
        <f>(131500*31*(6/31))/1000000</f>
        <v>0.78900000000000003</v>
      </c>
      <c r="AB34" s="50">
        <f>(B34*131.881+C34*277.167+D34*79.08+E34*285.872+F34*40+G34*25+H34*0+I34*100+J34*300)/(131.881+277.167+79.08+285.872+0+40+25+100+300)</f>
        <v>4.1778370888619856</v>
      </c>
      <c r="AC34" s="45">
        <f t="shared" si="1"/>
        <v>4.1114848920863309</v>
      </c>
    </row>
    <row r="35" spans="1:29" ht="15" x14ac:dyDescent="0.2">
      <c r="A35" s="13">
        <v>41944</v>
      </c>
      <c r="B35" s="14">
        <f>CHOOSE(CONTROL!$C$42, 4.1799, 4.1799) * CHOOSE(CONTROL!$C$21, $C$9, 100%, $E$9)</f>
        <v>4.1798999999999999</v>
      </c>
      <c r="C35" s="14">
        <f>CHOOSE(CONTROL!$C$42, 4.1849, 4.1849) * CHOOSE(CONTROL!$C$21, $C$9, 100%, $E$9)</f>
        <v>4.1848999999999998</v>
      </c>
      <c r="D35" s="14">
        <f>CHOOSE(CONTROL!$C$42, 4.2591, 4.2591) * CHOOSE(CONTROL!$C$21, $C$9, 100%, $E$9)</f>
        <v>4.2591000000000001</v>
      </c>
      <c r="E35" s="14">
        <f>CHOOSE(CONTROL!$C$42, 4.2932, 4.2932) * CHOOSE(CONTROL!$C$21, $C$9, 100%, $E$9)</f>
        <v>4.2931999999999997</v>
      </c>
      <c r="F35" s="14">
        <f>CHOOSE(CONTROL!$C$42, 4.1919, 4.1919)*CHOOSE(CONTROL!$C$21, $C$9, 100%, $E$9)</f>
        <v>4.1919000000000004</v>
      </c>
      <c r="G35" s="14">
        <f>CHOOSE(CONTROL!$C$42, 4.2085, 4.2085)*CHOOSE(CONTROL!$C$21, $C$9, 100%, $E$9)</f>
        <v>4.2084999999999999</v>
      </c>
      <c r="H35" s="14">
        <f>CHOOSE(CONTROL!$C$42, 4.2824, 4.2824) * CHOOSE(CONTROL!$C$21, $C$9, 100%, $E$9)</f>
        <v>4.2824</v>
      </c>
      <c r="I35" s="14">
        <f>CHOOSE(CONTROL!$C$42, 4.2173, 4.2173)* CHOOSE(CONTROL!$C$21, $C$9, 100%, $E$9)</f>
        <v>4.2172999999999998</v>
      </c>
      <c r="J35" s="14">
        <f>CHOOSE(CONTROL!$C$42, 4.1849, 4.1849)* CHOOSE(CONTROL!$C$21, $C$9, 100%, $E$9)</f>
        <v>4.1848999999999998</v>
      </c>
      <c r="K35" s="59"/>
      <c r="L35" s="14">
        <f>CHOOSE(CONTROL!$C$42, 4.8694, 4.8694) * CHOOSE(CONTROL!$C$21, $C$9, 100%, $E$9)</f>
        <v>4.8693999999999997</v>
      </c>
      <c r="M35" s="14">
        <f>CHOOSE(CONTROL!$C$42, 4.1069, 4.1069) * CHOOSE(CONTROL!$C$21, $C$9, 100%, $E$9)</f>
        <v>4.1069000000000004</v>
      </c>
      <c r="N35" s="14">
        <f>CHOOSE(CONTROL!$C$42, 4.1231, 4.1231) * CHOOSE(CONTROL!$C$21, $C$9, 100%, $E$9)</f>
        <v>4.1231</v>
      </c>
      <c r="O35" s="14">
        <f>CHOOSE(CONTROL!$C$42, 4.2024, 4.2024) * CHOOSE(CONTROL!$C$21, $C$9, 100%, $E$9)</f>
        <v>4.2023999999999999</v>
      </c>
      <c r="P35" s="14">
        <f>CHOOSE(CONTROL!$C$42, 4.1384, 4.1384) * CHOOSE(CONTROL!$C$21, $C$9, 100%, $E$9)</f>
        <v>4.1383999999999999</v>
      </c>
      <c r="Q35" s="14">
        <f>CHOOSE(CONTROL!$C$42, 4.7971, 4.7971) * CHOOSE(CONTROL!$C$21, $C$9, 100%, $E$9)</f>
        <v>4.7971000000000004</v>
      </c>
      <c r="R35" s="14">
        <f>CHOOSE(CONTROL!$C$42, 5.3961, 5.3961) * CHOOSE(CONTROL!$C$21, $C$9, 100%, $E$9)</f>
        <v>5.3960999999999997</v>
      </c>
      <c r="S35" s="14">
        <f>CHOOSE(CONTROL!$C$42, 4.0079, 4.0079) * CHOOSE(CONTROL!$C$21, $C$9, 100%, $E$9)</f>
        <v>4.0079000000000002</v>
      </c>
      <c r="T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7">
        <f>(1000*CHOOSE(CONTROL!$C$42, 695, 695)*CHOOSE(CONTROL!$C$42, 0.5599, 0.5599)*CHOOSE(CONTROL!$C$42, 30, 30))/1000000</f>
        <v>11.673914999999997</v>
      </c>
      <c r="V35" s="57">
        <f>(1000*CHOOSE(CONTROL!$C$42, 580, 580)*CHOOSE(CONTROL!$C$42, 0.275, 0.275)*CHOOSE(CONTROL!$C$42, 30, 30))/1000000</f>
        <v>4.7850000000000001</v>
      </c>
      <c r="W35" s="57">
        <f>(1000*CHOOSE(CONTROL!$C$42, 0.1146, 0.1146)*CHOOSE(CONTROL!$C$42, 200, 200)*CHOOSE(CONTROL!$C$42, 30, 30))/1000000</f>
        <v>0.68759999999999999</v>
      </c>
      <c r="X35" s="57">
        <v>0</v>
      </c>
      <c r="Y35" s="57"/>
      <c r="Z35" s="14">
        <f>CHOOSE(CONTROL!$C$42, 4.1269, 4.1269) * CHOOSE(CONTROL!$C$21, $C$9, 100%, $E$9)</f>
        <v>4.1269</v>
      </c>
      <c r="AA35" s="56">
        <f>(131500*30*(6/30))/1000000</f>
        <v>0.78900000000000003</v>
      </c>
      <c r="AB35" s="50">
        <f>(B35*122.58+C35*297.941+D35*89.177+E35*200.302+F35*40+G35*0+H35*0+I35*100+J35*300)/(122.58+297.941+89.177+200.302+0+40+0+100+300)</f>
        <v>4.2120449913043467</v>
      </c>
      <c r="AC35" s="45">
        <f>(M35*240+N35*0+O35*355+P35*100)/(240+0+355+100)</f>
        <v>4.1602129496402878</v>
      </c>
    </row>
    <row r="36" spans="1:29" ht="15" x14ac:dyDescent="0.2">
      <c r="A36" s="13">
        <v>41974</v>
      </c>
      <c r="B36" s="14">
        <f>CHOOSE(CONTROL!$C$42, 4.3495, 4.3495) * CHOOSE(CONTROL!$C$21, $C$9, 100%, $E$9)</f>
        <v>4.3494999999999999</v>
      </c>
      <c r="C36" s="14">
        <f>CHOOSE(CONTROL!$C$42, 4.3546, 4.3546) * CHOOSE(CONTROL!$C$21, $C$9, 100%, $E$9)</f>
        <v>4.3545999999999996</v>
      </c>
      <c r="D36" s="14">
        <f>CHOOSE(CONTROL!$C$42, 4.4288, 4.4288) * CHOOSE(CONTROL!$C$21, $C$9, 100%, $E$9)</f>
        <v>4.4287999999999998</v>
      </c>
      <c r="E36" s="14">
        <f>CHOOSE(CONTROL!$C$42, 4.4629, 4.4629) * CHOOSE(CONTROL!$C$21, $C$9, 100%, $E$9)</f>
        <v>4.4629000000000003</v>
      </c>
      <c r="F36" s="14">
        <f>CHOOSE(CONTROL!$C$42, 4.3637, 4.3637)*CHOOSE(CONTROL!$C$21, $C$9, 100%, $E$9)</f>
        <v>4.3636999999999997</v>
      </c>
      <c r="G36" s="14">
        <f>CHOOSE(CONTROL!$C$42, 4.3809, 4.3809)*CHOOSE(CONTROL!$C$21, $C$9, 100%, $E$9)</f>
        <v>4.3808999999999996</v>
      </c>
      <c r="H36" s="14">
        <f>CHOOSE(CONTROL!$C$42, 4.4521, 4.4521) * CHOOSE(CONTROL!$C$21, $C$9, 100%, $E$9)</f>
        <v>4.4520999999999997</v>
      </c>
      <c r="I36" s="14">
        <f>CHOOSE(CONTROL!$C$42, 4.3874, 4.3874)* CHOOSE(CONTROL!$C$21, $C$9, 100%, $E$9)</f>
        <v>4.3874000000000004</v>
      </c>
      <c r="J36" s="14">
        <f>CHOOSE(CONTROL!$C$42, 4.3567, 4.3567)* CHOOSE(CONTROL!$C$21, $C$9, 100%, $E$9)</f>
        <v>4.3567</v>
      </c>
      <c r="K36" s="59"/>
      <c r="L36" s="14">
        <f>CHOOSE(CONTROL!$C$42, 5.0391, 5.0391) * CHOOSE(CONTROL!$C$21, $C$9, 100%, $E$9)</f>
        <v>5.0391000000000004</v>
      </c>
      <c r="M36" s="14">
        <f>CHOOSE(CONTROL!$C$42, 4.2751, 4.2751) * CHOOSE(CONTROL!$C$21, $C$9, 100%, $E$9)</f>
        <v>4.2751000000000001</v>
      </c>
      <c r="N36" s="14">
        <f>CHOOSE(CONTROL!$C$42, 4.292, 4.292) * CHOOSE(CONTROL!$C$21, $C$9, 100%, $E$9)</f>
        <v>4.2919999999999998</v>
      </c>
      <c r="O36" s="14">
        <f>CHOOSE(CONTROL!$C$42, 4.3685, 4.3685) * CHOOSE(CONTROL!$C$21, $C$9, 100%, $E$9)</f>
        <v>4.3685</v>
      </c>
      <c r="P36" s="14">
        <f>CHOOSE(CONTROL!$C$42, 4.305, 4.305) * CHOOSE(CONTROL!$C$21, $C$9, 100%, $E$9)</f>
        <v>4.3049999999999997</v>
      </c>
      <c r="Q36" s="14">
        <f>CHOOSE(CONTROL!$C$42, 4.9632, 4.9632) * CHOOSE(CONTROL!$C$21, $C$9, 100%, $E$9)</f>
        <v>4.9631999999999996</v>
      </c>
      <c r="R36" s="14">
        <f>CHOOSE(CONTROL!$C$42, 5.5627, 5.5627) * CHOOSE(CONTROL!$C$21, $C$9, 100%, $E$9)</f>
        <v>5.5627000000000004</v>
      </c>
      <c r="S36" s="14">
        <f>CHOOSE(CONTROL!$C$42, 4.1709, 4.1709) * CHOOSE(CONTROL!$C$21, $C$9, 100%, $E$9)</f>
        <v>4.1708999999999996</v>
      </c>
      <c r="T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7">
        <f>(1000*CHOOSE(CONTROL!$C$42, 695, 695)*CHOOSE(CONTROL!$C$42, 0.5599, 0.5599)*CHOOSE(CONTROL!$C$42, 31, 31))/1000000</f>
        <v>12.063045499999998</v>
      </c>
      <c r="V36" s="57">
        <f>(1000*CHOOSE(CONTROL!$C$42, 580, 580)*CHOOSE(CONTROL!$C$42, 0.275, 0.275)*CHOOSE(CONTROL!$C$42, 31, 31))/1000000</f>
        <v>4.9444999999999997</v>
      </c>
      <c r="W36" s="57">
        <f>(1000*CHOOSE(CONTROL!$C$42, 0.1146, 0.1146)*CHOOSE(CONTROL!$C$42, 200, 200)*CHOOSE(CONTROL!$C$42, 31, 31))/1000000</f>
        <v>0.71052000000000004</v>
      </c>
      <c r="X36" s="57">
        <v>0</v>
      </c>
      <c r="Y36" s="57"/>
      <c r="Z36" s="14">
        <f>CHOOSE(CONTROL!$C$42, 4.2937, 4.2937) * CHOOSE(CONTROL!$C$21, $C$9, 100%, $E$9)</f>
        <v>4.2937000000000003</v>
      </c>
      <c r="AA36" s="56">
        <f>(131500*31*(6/31))/1000000</f>
        <v>0.78900000000000003</v>
      </c>
      <c r="AB36" s="50">
        <f>(B36*122.58+C36*297.941+D36*89.177+E36*200.302+F36*40+G36*0+H36*0+I36*100+J36*300)/(122.58+297.941+89.177+200.302+0+40+0+100+300)</f>
        <v>4.3823899843478262</v>
      </c>
      <c r="AC36" s="45">
        <f>(M36*240+N36*0+O36*355+P36*100)/(240+0+355+100)</f>
        <v>4.3271100719424469</v>
      </c>
    </row>
    <row r="37" spans="1:29" ht="15.75" x14ac:dyDescent="0.25">
      <c r="A37" s="13">
        <v>42005</v>
      </c>
      <c r="B37" s="14">
        <f>CHOOSE(CONTROL!$C$42, 4.4348, 4.4348) * CHOOSE(CONTROL!$C$21, $C$9, 100%, $E$9)</f>
        <v>4.4348000000000001</v>
      </c>
      <c r="C37" s="14">
        <f>CHOOSE(CONTROL!$C$42, 4.4399, 4.4399) * CHOOSE(CONTROL!$C$21, $C$9, 100%, $E$9)</f>
        <v>4.4398999999999997</v>
      </c>
      <c r="D37" s="14">
        <f>CHOOSE(CONTROL!$C$42, 4.5167, 4.5167) * CHOOSE(CONTROL!$C$21, $C$9, 100%, $E$9)</f>
        <v>4.5167000000000002</v>
      </c>
      <c r="E37" s="14">
        <f>CHOOSE(CONTROL!$C$42, 4.5508, 4.5508) * CHOOSE(CONTROL!$C$21, $C$9, 100%, $E$9)</f>
        <v>4.5507999999999997</v>
      </c>
      <c r="F37" s="14">
        <f>CHOOSE(CONTROL!$C$42, 4.435, 4.435)*CHOOSE(CONTROL!$C$21, $C$9, 100%, $E$9)</f>
        <v>4.4349999999999996</v>
      </c>
      <c r="G37" s="14">
        <f>CHOOSE(CONTROL!$C$42, 4.4513, 4.4513)*CHOOSE(CONTROL!$C$21, $C$9, 100%, $E$9)</f>
        <v>4.4512999999999998</v>
      </c>
      <c r="H37" s="14">
        <f>CHOOSE(CONTROL!$C$42, 4.54, 4.54) * CHOOSE(CONTROL!$C$21, $C$9, 100%, $E$9)</f>
        <v>4.54</v>
      </c>
      <c r="I37" s="14">
        <f>CHOOSE(CONTROL!$C$42, 4.4668, 4.4668)* CHOOSE(CONTROL!$C$21, $C$9, 100%, $E$9)</f>
        <v>4.4668000000000001</v>
      </c>
      <c r="J37" s="14">
        <f>CHOOSE(CONTROL!$C$42, 4.428, 4.428)* CHOOSE(CONTROL!$C$21, $C$9, 100%, $E$9)</f>
        <v>4.4279999999999999</v>
      </c>
      <c r="K37" s="53"/>
      <c r="L37" s="14">
        <f>CHOOSE(CONTROL!$C$42, 5.127, 5.127) * CHOOSE(CONTROL!$C$21, $C$9, 100%, $E$9)</f>
        <v>5.1269999999999998</v>
      </c>
      <c r="M37" s="14">
        <f>CHOOSE(CONTROL!$C$42, 4.345, 4.345) * CHOOSE(CONTROL!$C$21, $C$9, 100%, $E$9)</f>
        <v>4.3449999999999998</v>
      </c>
      <c r="N37" s="14">
        <f>CHOOSE(CONTROL!$C$42, 4.3609, 4.3609) * CHOOSE(CONTROL!$C$21, $C$9, 100%, $E$9)</f>
        <v>4.3609</v>
      </c>
      <c r="O37" s="14">
        <f>CHOOSE(CONTROL!$C$42, 4.4547, 4.4547) * CHOOSE(CONTROL!$C$21, $C$9, 100%, $E$9)</f>
        <v>4.4546999999999999</v>
      </c>
      <c r="P37" s="14">
        <f>CHOOSE(CONTROL!$C$42, 4.3827, 4.3827) * CHOOSE(CONTROL!$C$21, $C$9, 100%, $E$9)</f>
        <v>4.3826999999999998</v>
      </c>
      <c r="Q37" s="14">
        <f>CHOOSE(CONTROL!$C$42, 5.0494, 5.0494) * CHOOSE(CONTROL!$C$21, $C$9, 100%, $E$9)</f>
        <v>5.0494000000000003</v>
      </c>
      <c r="R37" s="14">
        <f>CHOOSE(CONTROL!$C$42, 5.649, 5.649) * CHOOSE(CONTROL!$C$21, $C$9, 100%, $E$9)</f>
        <v>5.649</v>
      </c>
      <c r="S37" s="14">
        <f>CHOOSE(CONTROL!$C$42, 4.2529, 4.2529) * CHOOSE(CONTROL!$C$21, $C$9, 100%, $E$9)</f>
        <v>4.2529000000000003</v>
      </c>
      <c r="T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7">
        <f>(1000*CHOOSE(CONTROL!$C$42, 695, 695)*CHOOSE(CONTROL!$C$42, 0.5599, 0.5599)*CHOOSE(CONTROL!$C$42, 31, 31))/1000000</f>
        <v>12.063045499999998</v>
      </c>
      <c r="V37" s="57">
        <f>(1000*CHOOSE(CONTROL!$C$42, 580, 580)*CHOOSE(CONTROL!$C$42, 0.275, 0.275)*CHOOSE(CONTROL!$C$42, 31, 31))/1000000</f>
        <v>4.9444999999999997</v>
      </c>
      <c r="W37" s="57">
        <f>(1000*CHOOSE(CONTROL!$C$42, 0.1146, 0.1146)*CHOOSE(CONTROL!$C$42, 200, 200)*CHOOSE(CONTROL!$C$42, 31, 31))/1000000</f>
        <v>0.71052000000000004</v>
      </c>
      <c r="X37" s="57">
        <v>0</v>
      </c>
      <c r="Y37" s="57"/>
      <c r="Z37" s="14">
        <f>CHOOSE(CONTROL!$C$42, 4.3777, 4.3777) * CHOOSE(CONTROL!$C$21, $C$9, 100%, $E$9)</f>
        <v>4.3776999999999999</v>
      </c>
      <c r="AA37" s="56">
        <f>(131500*31*(6/31))/1000000</f>
        <v>0.78900000000000003</v>
      </c>
      <c r="AB37" s="50">
        <f>(B37*122.58+C37*297.941+D37*89.177+E37*200.302+F37*40+G37*0+H37*0+I37*100+J37*300)/(122.58+297.941+89.177+200.302+0+40+0+100+300)</f>
        <v>4.4636922846956519</v>
      </c>
      <c r="AC37" s="45">
        <f>(M37*240+N37*0+O37*355+P37*100)/(240+0+355+100)</f>
        <v>4.4064582733812951</v>
      </c>
    </row>
    <row r="38" spans="1:29" ht="15.75" x14ac:dyDescent="0.25">
      <c r="A38" s="13">
        <v>42036</v>
      </c>
      <c r="B38" s="14">
        <f>CHOOSE(CONTROL!$C$42, 4.4213, 4.4213) * CHOOSE(CONTROL!$C$21, $C$9, 100%, $E$9)</f>
        <v>4.4212999999999996</v>
      </c>
      <c r="C38" s="14">
        <f>CHOOSE(CONTROL!$C$42, 4.4264, 4.4264) * CHOOSE(CONTROL!$C$21, $C$9, 100%, $E$9)</f>
        <v>4.4264000000000001</v>
      </c>
      <c r="D38" s="14">
        <f>CHOOSE(CONTROL!$C$42, 4.5032, 4.5032) * CHOOSE(CONTROL!$C$21, $C$9, 100%, $E$9)</f>
        <v>4.5031999999999996</v>
      </c>
      <c r="E38" s="14">
        <f>CHOOSE(CONTROL!$C$42, 4.5373, 4.5373) * CHOOSE(CONTROL!$C$21, $C$9, 100%, $E$9)</f>
        <v>4.5373000000000001</v>
      </c>
      <c r="F38" s="14">
        <f>CHOOSE(CONTROL!$C$42, 4.4216, 4.4216)*CHOOSE(CONTROL!$C$21, $C$9, 100%, $E$9)</f>
        <v>4.4215999999999998</v>
      </c>
      <c r="G38" s="14">
        <f>CHOOSE(CONTROL!$C$42, 4.4378, 4.4378)*CHOOSE(CONTROL!$C$21, $C$9, 100%, $E$9)</f>
        <v>4.4378000000000002</v>
      </c>
      <c r="H38" s="14">
        <f>CHOOSE(CONTROL!$C$42, 4.5265, 4.5265) * CHOOSE(CONTROL!$C$21, $C$9, 100%, $E$9)</f>
        <v>4.5265000000000004</v>
      </c>
      <c r="I38" s="14">
        <f>CHOOSE(CONTROL!$C$42, 4.4532, 4.4532)* CHOOSE(CONTROL!$C$21, $C$9, 100%, $E$9)</f>
        <v>4.4531999999999998</v>
      </c>
      <c r="J38" s="14">
        <f>CHOOSE(CONTROL!$C$42, 4.4146, 4.4146)* CHOOSE(CONTROL!$C$21, $C$9, 100%, $E$9)</f>
        <v>4.4146000000000001</v>
      </c>
      <c r="K38" s="53"/>
      <c r="L38" s="14">
        <f>CHOOSE(CONTROL!$C$42, 5.1135, 5.1135) * CHOOSE(CONTROL!$C$21, $C$9, 100%, $E$9)</f>
        <v>5.1135000000000002</v>
      </c>
      <c r="M38" s="14">
        <f>CHOOSE(CONTROL!$C$42, 4.3318, 4.3318) * CHOOSE(CONTROL!$C$21, $C$9, 100%, $E$9)</f>
        <v>4.3318000000000003</v>
      </c>
      <c r="N38" s="14">
        <f>CHOOSE(CONTROL!$C$42, 4.3477, 4.3477) * CHOOSE(CONTROL!$C$21, $C$9, 100%, $E$9)</f>
        <v>4.3476999999999997</v>
      </c>
      <c r="O38" s="14">
        <f>CHOOSE(CONTROL!$C$42, 4.4414, 4.4414) * CHOOSE(CONTROL!$C$21, $C$9, 100%, $E$9)</f>
        <v>4.4413999999999998</v>
      </c>
      <c r="P38" s="14">
        <f>CHOOSE(CONTROL!$C$42, 4.3695, 4.3695) * CHOOSE(CONTROL!$C$21, $C$9, 100%, $E$9)</f>
        <v>4.3695000000000004</v>
      </c>
      <c r="Q38" s="14">
        <f>CHOOSE(CONTROL!$C$42, 5.0361, 5.0361) * CHOOSE(CONTROL!$C$21, $C$9, 100%, $E$9)</f>
        <v>5.0361000000000002</v>
      </c>
      <c r="R38" s="14">
        <f>CHOOSE(CONTROL!$C$42, 5.6357, 5.6357) * CHOOSE(CONTROL!$C$21, $C$9, 100%, $E$9)</f>
        <v>5.6356999999999999</v>
      </c>
      <c r="S38" s="14">
        <f>CHOOSE(CONTROL!$C$42, 4.2399, 4.2399) * CHOOSE(CONTROL!$C$21, $C$9, 100%, $E$9)</f>
        <v>4.2398999999999996</v>
      </c>
      <c r="T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7">
        <f>(1000*CHOOSE(CONTROL!$C$42, 695, 695)*CHOOSE(CONTROL!$C$42, 0.5599, 0.5599)*CHOOSE(CONTROL!$C$42, 28, 28))/1000000</f>
        <v>10.895653999999999</v>
      </c>
      <c r="V38" s="57">
        <f>(1000*CHOOSE(CONTROL!$C$42, 580, 580)*CHOOSE(CONTROL!$C$42, 0.275, 0.275)*CHOOSE(CONTROL!$C$42, 28, 28))/1000000</f>
        <v>4.4660000000000002</v>
      </c>
      <c r="W38" s="57">
        <f>(1000*CHOOSE(CONTROL!$C$42, 0.1146, 0.1146)*CHOOSE(CONTROL!$C$42, 200, 200)*CHOOSE(CONTROL!$C$42, 28, 28))/1000000</f>
        <v>0.64176</v>
      </c>
      <c r="X38" s="57">
        <v>0</v>
      </c>
      <c r="Y38" s="57"/>
      <c r="Z38" s="14">
        <f>CHOOSE(CONTROL!$C$42, 4.3644, 4.3644) * CHOOSE(CONTROL!$C$21, $C$9, 100%, $E$9)</f>
        <v>4.3643999999999998</v>
      </c>
      <c r="AA38" s="56">
        <f>(131500*28*(6/28))/1000000</f>
        <v>0.78900000000000003</v>
      </c>
      <c r="AB38" s="50">
        <f>(B38*122.58+C38*297.941+D38*89.177+E38*200.302+F38*40+G38*0+H38*0+I38*100+J38*300)/(122.58+297.941+89.177+200.302+0+40+0+100+300)</f>
        <v>4.4502131542608696</v>
      </c>
      <c r="AC38" s="45">
        <f>(M38*240+N38*0+O38*355+P38*100)/(240+0+355+100)</f>
        <v>4.3932071942446038</v>
      </c>
    </row>
    <row r="39" spans="1:29" ht="15.75" x14ac:dyDescent="0.25">
      <c r="A39" s="13">
        <v>42064</v>
      </c>
      <c r="B39" s="14">
        <f>CHOOSE(CONTROL!$C$42, 4.3578, 4.3578) * CHOOSE(CONTROL!$C$21, $C$9, 100%, $E$9)</f>
        <v>4.3578000000000001</v>
      </c>
      <c r="C39" s="14">
        <f>CHOOSE(CONTROL!$C$42, 4.3629, 4.3629) * CHOOSE(CONTROL!$C$21, $C$9, 100%, $E$9)</f>
        <v>4.3628999999999998</v>
      </c>
      <c r="D39" s="14">
        <f>CHOOSE(CONTROL!$C$42, 4.4397, 4.4397) * CHOOSE(CONTROL!$C$21, $C$9, 100%, $E$9)</f>
        <v>4.4397000000000002</v>
      </c>
      <c r="E39" s="14">
        <f>CHOOSE(CONTROL!$C$42, 4.4738, 4.4738) * CHOOSE(CONTROL!$C$21, $C$9, 100%, $E$9)</f>
        <v>4.4737999999999998</v>
      </c>
      <c r="F39" s="14">
        <f>CHOOSE(CONTROL!$C$42, 4.3576, 4.3576)*CHOOSE(CONTROL!$C$21, $C$9, 100%, $E$9)</f>
        <v>4.3575999999999997</v>
      </c>
      <c r="G39" s="14">
        <f>CHOOSE(CONTROL!$C$42, 4.3737, 4.3737)*CHOOSE(CONTROL!$C$21, $C$9, 100%, $E$9)</f>
        <v>4.3737000000000004</v>
      </c>
      <c r="H39" s="14">
        <f>CHOOSE(CONTROL!$C$42, 4.463, 4.463) * CHOOSE(CONTROL!$C$21, $C$9, 100%, $E$9)</f>
        <v>4.4630000000000001</v>
      </c>
      <c r="I39" s="14">
        <f>CHOOSE(CONTROL!$C$42, 4.3895, 4.3895)* CHOOSE(CONTROL!$C$21, $C$9, 100%, $E$9)</f>
        <v>4.3895</v>
      </c>
      <c r="J39" s="14">
        <f>CHOOSE(CONTROL!$C$42, 4.3506, 4.3506)* CHOOSE(CONTROL!$C$21, $C$9, 100%, $E$9)</f>
        <v>4.3506</v>
      </c>
      <c r="K39" s="53"/>
      <c r="L39" s="14">
        <f>CHOOSE(CONTROL!$C$42, 5.05, 5.05) * CHOOSE(CONTROL!$C$21, $C$9, 100%, $E$9)</f>
        <v>5.05</v>
      </c>
      <c r="M39" s="14">
        <f>CHOOSE(CONTROL!$C$42, 4.2692, 4.2692) * CHOOSE(CONTROL!$C$21, $C$9, 100%, $E$9)</f>
        <v>4.2691999999999997</v>
      </c>
      <c r="N39" s="14">
        <f>CHOOSE(CONTROL!$C$42, 4.2849, 4.2849) * CHOOSE(CONTROL!$C$21, $C$9, 100%, $E$9)</f>
        <v>4.2849000000000004</v>
      </c>
      <c r="O39" s="14">
        <f>CHOOSE(CONTROL!$C$42, 4.3793, 4.3793) * CHOOSE(CONTROL!$C$21, $C$9, 100%, $E$9)</f>
        <v>4.3792999999999997</v>
      </c>
      <c r="P39" s="14">
        <f>CHOOSE(CONTROL!$C$42, 4.3071, 4.3071) * CHOOSE(CONTROL!$C$21, $C$9, 100%, $E$9)</f>
        <v>4.3071000000000002</v>
      </c>
      <c r="Q39" s="14">
        <f>CHOOSE(CONTROL!$C$42, 4.974, 4.974) * CHOOSE(CONTROL!$C$21, $C$9, 100%, $E$9)</f>
        <v>4.9740000000000002</v>
      </c>
      <c r="R39" s="14">
        <f>CHOOSE(CONTROL!$C$42, 5.5734, 5.5734) * CHOOSE(CONTROL!$C$21, $C$9, 100%, $E$9)</f>
        <v>5.5734000000000004</v>
      </c>
      <c r="S39" s="14">
        <f>CHOOSE(CONTROL!$C$42, 4.1789, 4.1789) * CHOOSE(CONTROL!$C$21, $C$9, 100%, $E$9)</f>
        <v>4.1788999999999996</v>
      </c>
      <c r="T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7">
        <f>(1000*CHOOSE(CONTROL!$C$42, 695, 695)*CHOOSE(CONTROL!$C$42, 0.5599, 0.5599)*CHOOSE(CONTROL!$C$42, 31, 31))/1000000</f>
        <v>12.063045499999998</v>
      </c>
      <c r="V39" s="57">
        <f>(1000*CHOOSE(CONTROL!$C$42, 580, 580)*CHOOSE(CONTROL!$C$42, 0.275, 0.275)*CHOOSE(CONTROL!$C$42, 31, 31))/1000000</f>
        <v>4.9444999999999997</v>
      </c>
      <c r="W39" s="57">
        <f>(1000*CHOOSE(CONTROL!$C$42, 0.1146, 0.1146)*CHOOSE(CONTROL!$C$42, 200, 200)*CHOOSE(CONTROL!$C$42, 31, 31))/1000000</f>
        <v>0.71052000000000004</v>
      </c>
      <c r="X39" s="57">
        <v>0</v>
      </c>
      <c r="Y39" s="57"/>
      <c r="Z39" s="14">
        <f>CHOOSE(CONTROL!$C$42, 4.3019, 4.3019) * CHOOSE(CONTROL!$C$21, $C$9, 100%, $E$9)</f>
        <v>4.3018999999999998</v>
      </c>
      <c r="AA39" s="56">
        <f>(131500*31*(6/31))/1000000</f>
        <v>0.78900000000000003</v>
      </c>
      <c r="AB39" s="50">
        <f>(B39*122.58+C39*297.941+D39*89.177+E39*200.302+F39*40+G39*0+H39*0+I39*100+J39*300)/(122.58+297.941+89.177+200.302+0+40+0+100+300)</f>
        <v>4.3865479368695643</v>
      </c>
      <c r="AC39" s="45">
        <f>(M39*240+N39*0+O39*355+P39*100)/(240+0+355+100)</f>
        <v>4.3308913669064752</v>
      </c>
    </row>
    <row r="40" spans="1:29" ht="15.75" x14ac:dyDescent="0.25">
      <c r="A40" s="13">
        <v>42095</v>
      </c>
      <c r="B40" s="14">
        <f>CHOOSE(CONTROL!$C$42, 4.1436, 4.1436) * CHOOSE(CONTROL!$C$21, $C$9, 100%, $E$9)</f>
        <v>4.1436000000000002</v>
      </c>
      <c r="C40" s="14">
        <f>CHOOSE(CONTROL!$C$42, 4.1481, 4.1481) * CHOOSE(CONTROL!$C$21, $C$9, 100%, $E$9)</f>
        <v>4.1481000000000003</v>
      </c>
      <c r="D40" s="14">
        <f>CHOOSE(CONTROL!$C$42, 4.3849, 4.3849) * CHOOSE(CONTROL!$C$21, $C$9, 100%, $E$9)</f>
        <v>4.3849</v>
      </c>
      <c r="E40" s="14">
        <f>CHOOSE(CONTROL!$C$42, 4.417, 4.417) * CHOOSE(CONTROL!$C$21, $C$9, 100%, $E$9)</f>
        <v>4.4169999999999998</v>
      </c>
      <c r="F40" s="14">
        <f>CHOOSE(CONTROL!$C$42, 4.1416, 4.1416)*CHOOSE(CONTROL!$C$21, $C$9, 100%, $E$9)</f>
        <v>4.1416000000000004</v>
      </c>
      <c r="G40" s="14">
        <f>CHOOSE(CONTROL!$C$42, 4.1574, 4.1574)*CHOOSE(CONTROL!$C$21, $C$9, 100%, $E$9)</f>
        <v>4.1574</v>
      </c>
      <c r="H40" s="14">
        <f>CHOOSE(CONTROL!$C$42, 4.4067, 4.4067) * CHOOSE(CONTROL!$C$21, $C$9, 100%, $E$9)</f>
        <v>4.4066999999999998</v>
      </c>
      <c r="I40" s="14">
        <f>CHOOSE(CONTROL!$C$42, 4.1739, 4.1739)* CHOOSE(CONTROL!$C$21, $C$9, 100%, $E$9)</f>
        <v>4.1738999999999997</v>
      </c>
      <c r="J40" s="14">
        <f>CHOOSE(CONTROL!$C$42, 4.1346, 4.1346)* CHOOSE(CONTROL!$C$21, $C$9, 100%, $E$9)</f>
        <v>4.1345999999999998</v>
      </c>
      <c r="K40" s="53"/>
      <c r="L40" s="14">
        <f>CHOOSE(CONTROL!$C$42, 4.9937, 4.9937) * CHOOSE(CONTROL!$C$21, $C$9, 100%, $E$9)</f>
        <v>4.9936999999999996</v>
      </c>
      <c r="M40" s="14">
        <f>CHOOSE(CONTROL!$C$42, 4.0576, 4.0576) * CHOOSE(CONTROL!$C$21, $C$9, 100%, $E$9)</f>
        <v>4.0575999999999999</v>
      </c>
      <c r="N40" s="14">
        <f>CHOOSE(CONTROL!$C$42, 4.0731, 4.0731) * CHOOSE(CONTROL!$C$21, $C$9, 100%, $E$9)</f>
        <v>4.0731000000000002</v>
      </c>
      <c r="O40" s="14">
        <f>CHOOSE(CONTROL!$C$42, 4.3241, 4.3241) * CHOOSE(CONTROL!$C$21, $C$9, 100%, $E$9)</f>
        <v>4.3240999999999996</v>
      </c>
      <c r="P40" s="14">
        <f>CHOOSE(CONTROL!$C$42, 4.0959, 4.0959) * CHOOSE(CONTROL!$C$21, $C$9, 100%, $E$9)</f>
        <v>4.0959000000000003</v>
      </c>
      <c r="Q40" s="14">
        <f>CHOOSE(CONTROL!$C$42, 4.9188, 4.9188) * CHOOSE(CONTROL!$C$21, $C$9, 100%, $E$9)</f>
        <v>4.9188000000000001</v>
      </c>
      <c r="R40" s="14">
        <f>CHOOSE(CONTROL!$C$42, 5.5181, 5.5181) * CHOOSE(CONTROL!$C$21, $C$9, 100%, $E$9)</f>
        <v>5.5180999999999996</v>
      </c>
      <c r="S40" s="14">
        <f>CHOOSE(CONTROL!$C$42, 3.9723, 3.9723) * CHOOSE(CONTROL!$C$21, $C$9, 100%, $E$9)</f>
        <v>3.9723000000000002</v>
      </c>
      <c r="T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7">
        <f>(1000*CHOOSE(CONTROL!$C$42, 695, 695)*CHOOSE(CONTROL!$C$42, 0.5599, 0.5599)*CHOOSE(CONTROL!$C$42, 30, 30))/1000000</f>
        <v>11.673914999999997</v>
      </c>
      <c r="V40" s="57">
        <f>(1000*CHOOSE(CONTROL!$C$42, 580, 580)*CHOOSE(CONTROL!$C$42, 0.275, 0.275)*CHOOSE(CONTROL!$C$42, 30, 30))/1000000</f>
        <v>4.7850000000000001</v>
      </c>
      <c r="W40" s="57">
        <f>(1000*CHOOSE(CONTROL!$C$42, 0.1146, 0.1146)*CHOOSE(CONTROL!$C$42, 200, 200)*CHOOSE(CONTROL!$C$42, 30, 30))/1000000</f>
        <v>0.68759999999999999</v>
      </c>
      <c r="X40" s="57">
        <f>(30*0.1790888*245000/1000000)+(30*0.2374*100000/1000000)</f>
        <v>2.0285026799999999</v>
      </c>
      <c r="Y40" s="57"/>
      <c r="Z40" s="14">
        <f>CHOOSE(CONTROL!$C$42, 4.0849, 4.0849) * CHOOSE(CONTROL!$C$21, $C$9, 100%, $E$9)</f>
        <v>4.0849000000000002</v>
      </c>
      <c r="AA40" s="56">
        <f>(131500*30*(6/30))/1000000</f>
        <v>0.78900000000000003</v>
      </c>
      <c r="AB40" s="50">
        <f>(B40*141.293+C40*267.993+D40*115.016+E40*89.698+F40*40+G40*185+H40*0+I40*100+J40*300)/(141.293+267.993+115.016+89.698+0+40+185+100+300)</f>
        <v>4.1890283797417274</v>
      </c>
      <c r="AC40" s="45">
        <f t="shared" ref="AC40:AC46" si="2">(M40*240+N40*160+O40*195+P40*100)/(240+160+195+100)</f>
        <v>4.1414525179856119</v>
      </c>
    </row>
    <row r="41" spans="1:29" ht="15.75" x14ac:dyDescent="0.25">
      <c r="A41" s="13">
        <v>42125</v>
      </c>
      <c r="B41" s="14">
        <f>CHOOSE(CONTROL!$C$42, 4.1606, 4.1606) * CHOOSE(CONTROL!$C$21, $C$9, 100%, $E$9)</f>
        <v>4.1605999999999996</v>
      </c>
      <c r="C41" s="14">
        <f>CHOOSE(CONTROL!$C$42, 4.1687, 4.1687) * CHOOSE(CONTROL!$C$21, $C$9, 100%, $E$9)</f>
        <v>4.1687000000000003</v>
      </c>
      <c r="D41" s="14">
        <f>CHOOSE(CONTROL!$C$42, 4.4023, 4.4023) * CHOOSE(CONTROL!$C$21, $C$9, 100%, $E$9)</f>
        <v>4.4023000000000003</v>
      </c>
      <c r="E41" s="14">
        <f>CHOOSE(CONTROL!$C$42, 4.4337, 4.4337) * CHOOSE(CONTROL!$C$21, $C$9, 100%, $E$9)</f>
        <v>4.4337</v>
      </c>
      <c r="F41" s="14">
        <f>CHOOSE(CONTROL!$C$42, 4.1574, 4.1574)*CHOOSE(CONTROL!$C$21, $C$9, 100%, $E$9)</f>
        <v>4.1574</v>
      </c>
      <c r="G41" s="14">
        <f>CHOOSE(CONTROL!$C$42, 4.1738, 4.1738)*CHOOSE(CONTROL!$C$21, $C$9, 100%, $E$9)</f>
        <v>4.1738</v>
      </c>
      <c r="H41" s="14">
        <f>CHOOSE(CONTROL!$C$42, 4.4224, 4.4224) * CHOOSE(CONTROL!$C$21, $C$9, 100%, $E$9)</f>
        <v>4.4223999999999997</v>
      </c>
      <c r="I41" s="14">
        <f>CHOOSE(CONTROL!$C$42, 4.1895, 4.1895)* CHOOSE(CONTROL!$C$21, $C$9, 100%, $E$9)</f>
        <v>4.1894999999999998</v>
      </c>
      <c r="J41" s="14">
        <f>CHOOSE(CONTROL!$C$42, 4.1504, 4.1504)* CHOOSE(CONTROL!$C$21, $C$9, 100%, $E$9)</f>
        <v>4.1504000000000003</v>
      </c>
      <c r="K41" s="53"/>
      <c r="L41" s="14">
        <f>CHOOSE(CONTROL!$C$42, 5.0094, 5.0094) * CHOOSE(CONTROL!$C$21, $C$9, 100%, $E$9)</f>
        <v>5.0094000000000003</v>
      </c>
      <c r="M41" s="14">
        <f>CHOOSE(CONTROL!$C$42, 4.0731, 4.0731) * CHOOSE(CONTROL!$C$21, $C$9, 100%, $E$9)</f>
        <v>4.0731000000000002</v>
      </c>
      <c r="N41" s="14">
        <f>CHOOSE(CONTROL!$C$42, 4.0891, 4.0891) * CHOOSE(CONTROL!$C$21, $C$9, 100%, $E$9)</f>
        <v>4.0891000000000002</v>
      </c>
      <c r="O41" s="14">
        <f>CHOOSE(CONTROL!$C$42, 4.3394, 4.3394) * CHOOSE(CONTROL!$C$21, $C$9, 100%, $E$9)</f>
        <v>4.3394000000000004</v>
      </c>
      <c r="P41" s="14">
        <f>CHOOSE(CONTROL!$C$42, 4.1112, 4.1112) * CHOOSE(CONTROL!$C$21, $C$9, 100%, $E$9)</f>
        <v>4.1112000000000002</v>
      </c>
      <c r="Q41" s="14">
        <f>CHOOSE(CONTROL!$C$42, 4.9341, 4.9341) * CHOOSE(CONTROL!$C$21, $C$9, 100%, $E$9)</f>
        <v>4.9340999999999999</v>
      </c>
      <c r="R41" s="14">
        <f>CHOOSE(CONTROL!$C$42, 5.5335, 5.5335) * CHOOSE(CONTROL!$C$21, $C$9, 100%, $E$9)</f>
        <v>5.5335000000000001</v>
      </c>
      <c r="S41" s="14">
        <f>CHOOSE(CONTROL!$C$42, 3.9873, 3.9873) * CHOOSE(CONTROL!$C$21, $C$9, 100%, $E$9)</f>
        <v>3.9872999999999998</v>
      </c>
      <c r="T41" s="58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7">
        <f>(1000*CHOOSE(CONTROL!$C$42, 695, 695)*CHOOSE(CONTROL!$C$42, 0.5599, 0.5599)*CHOOSE(CONTROL!$C$42, 31, 31))/1000000</f>
        <v>12.063045499999998</v>
      </c>
      <c r="V41" s="57">
        <f>(1000*CHOOSE(CONTROL!$C$42, 580, 580)*CHOOSE(CONTROL!$C$42, 0.275, 0.275)*CHOOSE(CONTROL!$C$42, 31, 31))/1000000</f>
        <v>4.9444999999999997</v>
      </c>
      <c r="W41" s="57">
        <f>(1000*CHOOSE(CONTROL!$C$42, 0.1146, 0.1146)*CHOOSE(CONTROL!$C$42, 200, 200)*CHOOSE(CONTROL!$C$42, 31, 31))/1000000</f>
        <v>0.71052000000000004</v>
      </c>
      <c r="X41" s="57">
        <f>(31*0.1790888*245000/1000000)+(31*0.2374*100000/1000000)</f>
        <v>2.0961194359999999</v>
      </c>
      <c r="Y41" s="57"/>
      <c r="Z41" s="14">
        <f>CHOOSE(CONTROL!$C$42, 4.1002, 4.1002) * CHOOSE(CONTROL!$C$21, $C$9, 100%, $E$9)</f>
        <v>4.1002000000000001</v>
      </c>
      <c r="AA41" s="56">
        <f>(131500*31*(6/31))/1000000</f>
        <v>0.78900000000000003</v>
      </c>
      <c r="AB41" s="50">
        <f>(B41*194.205+C41*267.466+D41*133.845+E41*53.484+F41*40+G41*185+H41*50+I41*100+J41*300)/(194.205+267.466+133.845+53.484+50+40+185+100+300)</f>
        <v>4.2092082262084585</v>
      </c>
      <c r="AC41" s="45">
        <f t="shared" si="2"/>
        <v>4.1569827338129501</v>
      </c>
    </row>
    <row r="42" spans="1:29" ht="15.75" x14ac:dyDescent="0.25">
      <c r="A42" s="13">
        <v>42156</v>
      </c>
      <c r="B42" s="14">
        <f>CHOOSE(CONTROL!$C$42, 4.1898, 4.1898) * CHOOSE(CONTROL!$C$21, $C$9, 100%, $E$9)</f>
        <v>4.1898</v>
      </c>
      <c r="C42" s="14">
        <f>CHOOSE(CONTROL!$C$42, 4.1978, 4.1978) * CHOOSE(CONTROL!$C$21, $C$9, 100%, $E$9)</f>
        <v>4.1978</v>
      </c>
      <c r="D42" s="14">
        <f>CHOOSE(CONTROL!$C$42, 4.4314, 4.4314) * CHOOSE(CONTROL!$C$21, $C$9, 100%, $E$9)</f>
        <v>4.4314</v>
      </c>
      <c r="E42" s="14">
        <f>CHOOSE(CONTROL!$C$42, 4.4629, 4.4629) * CHOOSE(CONTROL!$C$21, $C$9, 100%, $E$9)</f>
        <v>4.4629000000000003</v>
      </c>
      <c r="F42" s="14">
        <f>CHOOSE(CONTROL!$C$42, 4.187, 4.187)*CHOOSE(CONTROL!$C$21, $C$9, 100%, $E$9)</f>
        <v>4.1870000000000003</v>
      </c>
      <c r="G42" s="14">
        <f>CHOOSE(CONTROL!$C$42, 4.2035, 4.2035)*CHOOSE(CONTROL!$C$21, $C$9, 100%, $E$9)</f>
        <v>4.2035</v>
      </c>
      <c r="H42" s="14">
        <f>CHOOSE(CONTROL!$C$42, 4.4515, 4.4515) * CHOOSE(CONTROL!$C$21, $C$9, 100%, $E$9)</f>
        <v>4.4515000000000002</v>
      </c>
      <c r="I42" s="14">
        <f>CHOOSE(CONTROL!$C$42, 4.2188, 4.2188)* CHOOSE(CONTROL!$C$21, $C$9, 100%, $E$9)</f>
        <v>4.2187999999999999</v>
      </c>
      <c r="J42" s="14">
        <f>CHOOSE(CONTROL!$C$42, 4.18, 4.18)* CHOOSE(CONTROL!$C$21, $C$9, 100%, $E$9)</f>
        <v>4.18</v>
      </c>
      <c r="K42" s="53"/>
      <c r="L42" s="14">
        <f>CHOOSE(CONTROL!$C$42, 5.0385, 5.0385) * CHOOSE(CONTROL!$C$21, $C$9, 100%, $E$9)</f>
        <v>5.0385</v>
      </c>
      <c r="M42" s="14">
        <f>CHOOSE(CONTROL!$C$42, 4.1021, 4.1021) * CHOOSE(CONTROL!$C$21, $C$9, 100%, $E$9)</f>
        <v>4.1021000000000001</v>
      </c>
      <c r="N42" s="14">
        <f>CHOOSE(CONTROL!$C$42, 4.1182, 4.1182) * CHOOSE(CONTROL!$C$21, $C$9, 100%, $E$9)</f>
        <v>4.1181999999999999</v>
      </c>
      <c r="O42" s="14">
        <f>CHOOSE(CONTROL!$C$42, 4.368, 4.368) * CHOOSE(CONTROL!$C$21, $C$9, 100%, $E$9)</f>
        <v>4.3680000000000003</v>
      </c>
      <c r="P42" s="14">
        <f>CHOOSE(CONTROL!$C$42, 4.1398, 4.1398) * CHOOSE(CONTROL!$C$21, $C$9, 100%, $E$9)</f>
        <v>4.1398000000000001</v>
      </c>
      <c r="Q42" s="14">
        <f>CHOOSE(CONTROL!$C$42, 4.9627, 4.9627) * CHOOSE(CONTROL!$C$21, $C$9, 100%, $E$9)</f>
        <v>4.9626999999999999</v>
      </c>
      <c r="R42" s="14">
        <f>CHOOSE(CONTROL!$C$42, 5.5621, 5.5621) * CHOOSE(CONTROL!$C$21, $C$9, 100%, $E$9)</f>
        <v>5.5621</v>
      </c>
      <c r="S42" s="14">
        <f>CHOOSE(CONTROL!$C$42, 4.0153, 4.0153) * CHOOSE(CONTROL!$C$21, $C$9, 100%, $E$9)</f>
        <v>4.0152999999999999</v>
      </c>
      <c r="T42" s="58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7">
        <f>(1000*CHOOSE(CONTROL!$C$42, 695, 695)*CHOOSE(CONTROL!$C$42, 0.5599, 0.5599)*CHOOSE(CONTROL!$C$42, 30, 30))/1000000</f>
        <v>11.673914999999997</v>
      </c>
      <c r="V42" s="57">
        <f>(1000*CHOOSE(CONTROL!$C$42, 580, 580)*CHOOSE(CONTROL!$C$42, 0.275, 0.275)*CHOOSE(CONTROL!$C$42, 30, 30))/1000000</f>
        <v>4.7850000000000001</v>
      </c>
      <c r="W42" s="57">
        <f>(1000*CHOOSE(CONTROL!$C$42, 0.1146, 0.1146)*CHOOSE(CONTROL!$C$42, 200, 200)*CHOOSE(CONTROL!$C$42, 30, 30))/1000000</f>
        <v>0.68759999999999999</v>
      </c>
      <c r="X42" s="57">
        <f>(30*0.1790888*245000/1000000)+(30*0.2374*100000/1000000)</f>
        <v>2.0285026799999999</v>
      </c>
      <c r="Y42" s="57"/>
      <c r="Z42" s="14">
        <f>CHOOSE(CONTROL!$C$42, 4.1289, 4.1289) * CHOOSE(CONTROL!$C$21, $C$9, 100%, $E$9)</f>
        <v>4.1288999999999998</v>
      </c>
      <c r="AA42" s="56">
        <f>(131500*30*(6/30))/1000000</f>
        <v>0.78900000000000003</v>
      </c>
      <c r="AB42" s="50">
        <f>(B42*194.205+C42*267.466+D42*133.845+E42*53.484+F42*40+G42*185+H42*50+I42*100+J42*300)/(194.205+267.466+133.845+53.484+50+40+185+100+300)</f>
        <v>4.2385542752265861</v>
      </c>
      <c r="AC42" s="45">
        <f t="shared" si="2"/>
        <v>4.185835971223022</v>
      </c>
    </row>
    <row r="43" spans="1:29" ht="15.75" x14ac:dyDescent="0.25">
      <c r="A43" s="13">
        <v>42186</v>
      </c>
      <c r="B43" s="14">
        <f>CHOOSE(CONTROL!$C$42, 4.2252, 4.2252) * CHOOSE(CONTROL!$C$21, $C$9, 100%, $E$9)</f>
        <v>4.2252000000000001</v>
      </c>
      <c r="C43" s="14">
        <f>CHOOSE(CONTROL!$C$42, 4.2332, 4.2332) * CHOOSE(CONTROL!$C$21, $C$9, 100%, $E$9)</f>
        <v>4.2332000000000001</v>
      </c>
      <c r="D43" s="14">
        <f>CHOOSE(CONTROL!$C$42, 4.4668, 4.4668) * CHOOSE(CONTROL!$C$21, $C$9, 100%, $E$9)</f>
        <v>4.4668000000000001</v>
      </c>
      <c r="E43" s="14">
        <f>CHOOSE(CONTROL!$C$42, 4.4982, 4.4982) * CHOOSE(CONTROL!$C$21, $C$9, 100%, $E$9)</f>
        <v>4.4981999999999998</v>
      </c>
      <c r="F43" s="14">
        <f>CHOOSE(CONTROL!$C$42, 4.2229, 4.2229)*CHOOSE(CONTROL!$C$21, $C$9, 100%, $E$9)</f>
        <v>4.2229000000000001</v>
      </c>
      <c r="G43" s="14">
        <f>CHOOSE(CONTROL!$C$42, 4.2395, 4.2395)*CHOOSE(CONTROL!$C$21, $C$9, 100%, $E$9)</f>
        <v>4.2394999999999996</v>
      </c>
      <c r="H43" s="14">
        <f>CHOOSE(CONTROL!$C$42, 4.4869, 4.4869) * CHOOSE(CONTROL!$C$21, $C$9, 100%, $E$9)</f>
        <v>4.4869000000000003</v>
      </c>
      <c r="I43" s="14">
        <f>CHOOSE(CONTROL!$C$42, 4.2543, 4.2543)* CHOOSE(CONTROL!$C$21, $C$9, 100%, $E$9)</f>
        <v>4.2542999999999997</v>
      </c>
      <c r="J43" s="14">
        <f>CHOOSE(CONTROL!$C$42, 4.2159, 4.2159)* CHOOSE(CONTROL!$C$21, $C$9, 100%, $E$9)</f>
        <v>4.2159000000000004</v>
      </c>
      <c r="K43" s="53"/>
      <c r="L43" s="14">
        <f>CHOOSE(CONTROL!$C$42, 5.0739, 5.0739) * CHOOSE(CONTROL!$C$21, $C$9, 100%, $E$9)</f>
        <v>5.0739000000000001</v>
      </c>
      <c r="M43" s="14">
        <f>CHOOSE(CONTROL!$C$42, 4.1373, 4.1373) * CHOOSE(CONTROL!$C$21, $C$9, 100%, $E$9)</f>
        <v>4.1372999999999998</v>
      </c>
      <c r="N43" s="14">
        <f>CHOOSE(CONTROL!$C$42, 4.1535, 4.1535) * CHOOSE(CONTROL!$C$21, $C$9, 100%, $E$9)</f>
        <v>4.1535000000000002</v>
      </c>
      <c r="O43" s="14">
        <f>CHOOSE(CONTROL!$C$42, 4.4026, 4.4026) * CHOOSE(CONTROL!$C$21, $C$9, 100%, $E$9)</f>
        <v>4.4025999999999996</v>
      </c>
      <c r="P43" s="14">
        <f>CHOOSE(CONTROL!$C$42, 4.1746, 4.1746) * CHOOSE(CONTROL!$C$21, $C$9, 100%, $E$9)</f>
        <v>4.1745999999999999</v>
      </c>
      <c r="Q43" s="14">
        <f>CHOOSE(CONTROL!$C$42, 4.9973, 4.9973) * CHOOSE(CONTROL!$C$21, $C$9, 100%, $E$9)</f>
        <v>4.9973000000000001</v>
      </c>
      <c r="R43" s="14">
        <f>CHOOSE(CONTROL!$C$42, 5.5968, 5.5968) * CHOOSE(CONTROL!$C$21, $C$9, 100%, $E$9)</f>
        <v>5.5968</v>
      </c>
      <c r="S43" s="14">
        <f>CHOOSE(CONTROL!$C$42, 4.0493, 4.0493) * CHOOSE(CONTROL!$C$21, $C$9, 100%, $E$9)</f>
        <v>4.0492999999999997</v>
      </c>
      <c r="T43" s="58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7">
        <f>(1000*CHOOSE(CONTROL!$C$42, 695, 695)*CHOOSE(CONTROL!$C$42, 0.5599, 0.5599)*CHOOSE(CONTROL!$C$42, 31, 31))/1000000</f>
        <v>12.063045499999998</v>
      </c>
      <c r="V43" s="57">
        <f>(1000*CHOOSE(CONTROL!$C$42, 580, 580)*CHOOSE(CONTROL!$C$42, 0.275, 0.275)*CHOOSE(CONTROL!$C$42, 31, 31))/1000000</f>
        <v>4.9444999999999997</v>
      </c>
      <c r="W43" s="57">
        <f>(1000*CHOOSE(CONTROL!$C$42, 0.1146, 0.1146)*CHOOSE(CONTROL!$C$42, 200, 200)*CHOOSE(CONTROL!$C$42, 31, 31))/1000000</f>
        <v>0.71052000000000004</v>
      </c>
      <c r="X43" s="57">
        <f>(31*0.1790888*245000/1000000)+(31*0.2374*100000/1000000)</f>
        <v>2.0961194359999999</v>
      </c>
      <c r="Y43" s="57"/>
      <c r="Z43" s="14">
        <f>CHOOSE(CONTROL!$C$42, 4.1637, 4.1637) * CHOOSE(CONTROL!$C$21, $C$9, 100%, $E$9)</f>
        <v>4.1637000000000004</v>
      </c>
      <c r="AA43" s="56">
        <f>(131500*31*(6/31))/1000000</f>
        <v>0.78900000000000003</v>
      </c>
      <c r="AB43" s="50">
        <f>(B43*194.205+C43*267.466+D43*133.845+E43*53.484+F43*40+G43*185+H43*50+I43*100+J43*300)/(194.205+267.466+133.845+53.484+50+40+185+100+300)</f>
        <v>4.2741700241691847</v>
      </c>
      <c r="AC43" s="45">
        <f t="shared" si="2"/>
        <v>4.2208330935251803</v>
      </c>
    </row>
    <row r="44" spans="1:29" ht="15.75" x14ac:dyDescent="0.25">
      <c r="A44" s="13">
        <v>42217</v>
      </c>
      <c r="B44" s="14">
        <f>CHOOSE(CONTROL!$C$42, 4.246, 4.246) * CHOOSE(CONTROL!$C$21, $C$9, 100%, $E$9)</f>
        <v>4.2460000000000004</v>
      </c>
      <c r="C44" s="14">
        <f>CHOOSE(CONTROL!$C$42, 4.254, 4.254) * CHOOSE(CONTROL!$C$21, $C$9, 100%, $E$9)</f>
        <v>4.2539999999999996</v>
      </c>
      <c r="D44" s="14">
        <f>CHOOSE(CONTROL!$C$42, 4.4876, 4.4876) * CHOOSE(CONTROL!$C$21, $C$9, 100%, $E$9)</f>
        <v>4.4875999999999996</v>
      </c>
      <c r="E44" s="14">
        <f>CHOOSE(CONTROL!$C$42, 4.5191, 4.5191) * CHOOSE(CONTROL!$C$21, $C$9, 100%, $E$9)</f>
        <v>4.5190999999999999</v>
      </c>
      <c r="F44" s="14">
        <f>CHOOSE(CONTROL!$C$42, 4.244, 4.244)*CHOOSE(CONTROL!$C$21, $C$9, 100%, $E$9)</f>
        <v>4.2439999999999998</v>
      </c>
      <c r="G44" s="14">
        <f>CHOOSE(CONTROL!$C$42, 4.2606, 4.2606)*CHOOSE(CONTROL!$C$21, $C$9, 100%, $E$9)</f>
        <v>4.2606000000000002</v>
      </c>
      <c r="H44" s="14">
        <f>CHOOSE(CONTROL!$C$42, 4.5077, 4.5077) * CHOOSE(CONTROL!$C$21, $C$9, 100%, $E$9)</f>
        <v>4.5076999999999998</v>
      </c>
      <c r="I44" s="14">
        <f>CHOOSE(CONTROL!$C$42, 4.2752, 4.2752)* CHOOSE(CONTROL!$C$21, $C$9, 100%, $E$9)</f>
        <v>4.2751999999999999</v>
      </c>
      <c r="J44" s="14">
        <f>CHOOSE(CONTROL!$C$42, 4.237, 4.237)* CHOOSE(CONTROL!$C$21, $C$9, 100%, $E$9)</f>
        <v>4.2370000000000001</v>
      </c>
      <c r="K44" s="53"/>
      <c r="L44" s="14">
        <f>CHOOSE(CONTROL!$C$42, 5.0947, 5.0947) * CHOOSE(CONTROL!$C$21, $C$9, 100%, $E$9)</f>
        <v>5.0946999999999996</v>
      </c>
      <c r="M44" s="14">
        <f>CHOOSE(CONTROL!$C$42, 4.1578, 4.1578) * CHOOSE(CONTROL!$C$21, $C$9, 100%, $E$9)</f>
        <v>4.1577999999999999</v>
      </c>
      <c r="N44" s="14">
        <f>CHOOSE(CONTROL!$C$42, 4.1742, 4.1742) * CHOOSE(CONTROL!$C$21, $C$9, 100%, $E$9)</f>
        <v>4.1741999999999999</v>
      </c>
      <c r="O44" s="14">
        <f>CHOOSE(CONTROL!$C$42, 4.423, 4.423) * CHOOSE(CONTROL!$C$21, $C$9, 100%, $E$9)</f>
        <v>4.423</v>
      </c>
      <c r="P44" s="14">
        <f>CHOOSE(CONTROL!$C$42, 4.1951, 4.1951) * CHOOSE(CONTROL!$C$21, $C$9, 100%, $E$9)</f>
        <v>4.1951000000000001</v>
      </c>
      <c r="Q44" s="14">
        <f>CHOOSE(CONTROL!$C$42, 5.0177, 5.0177) * CHOOSE(CONTROL!$C$21, $C$9, 100%, $E$9)</f>
        <v>5.0176999999999996</v>
      </c>
      <c r="R44" s="14">
        <f>CHOOSE(CONTROL!$C$42, 5.6173, 5.6173) * CHOOSE(CONTROL!$C$21, $C$9, 100%, $E$9)</f>
        <v>5.6173000000000002</v>
      </c>
      <c r="S44" s="14">
        <f>CHOOSE(CONTROL!$C$42, 4.0693, 4.0693) * CHOOSE(CONTROL!$C$21, $C$9, 100%, $E$9)</f>
        <v>4.0693000000000001</v>
      </c>
      <c r="T44" s="58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7">
        <f>(1000*CHOOSE(CONTROL!$C$42, 695, 695)*CHOOSE(CONTROL!$C$42, 0.5599, 0.5599)*CHOOSE(CONTROL!$C$42, 31, 31))/1000000</f>
        <v>12.063045499999998</v>
      </c>
      <c r="V44" s="57">
        <f>(1000*CHOOSE(CONTROL!$C$42, 580, 580)*CHOOSE(CONTROL!$C$42, 0.275, 0.275)*CHOOSE(CONTROL!$C$42, 31, 31))/1000000</f>
        <v>4.9444999999999997</v>
      </c>
      <c r="W44" s="57">
        <f>(1000*CHOOSE(CONTROL!$C$42, 0.1146, 0.1146)*CHOOSE(CONTROL!$C$42, 200, 200)*CHOOSE(CONTROL!$C$42, 31, 31))/1000000</f>
        <v>0.71052000000000004</v>
      </c>
      <c r="X44" s="57">
        <f>(31*0.1790888*245000/1000000)+(31*0.2374*100000/1000000)</f>
        <v>2.0961194359999999</v>
      </c>
      <c r="Y44" s="57"/>
      <c r="Z44" s="14">
        <f>CHOOSE(CONTROL!$C$42, 4.1842, 4.1842) * CHOOSE(CONTROL!$C$21, $C$9, 100%, $E$9)</f>
        <v>4.1841999999999997</v>
      </c>
      <c r="AA44" s="56">
        <f>(131500*31*(6/31))/1000000</f>
        <v>0.78900000000000003</v>
      </c>
      <c r="AB44" s="50">
        <f>(B44*194.205+C44*267.466+D44*133.845+E44*53.484+F44*40+G44*185+H44*50+I44*100+J44*300)/(194.205+267.466+133.845+53.484+50+40+185+100+300)</f>
        <v>4.2951005743202417</v>
      </c>
      <c r="AC44" s="45">
        <f t="shared" si="2"/>
        <v>4.24135107913669</v>
      </c>
    </row>
    <row r="45" spans="1:29" ht="15.75" x14ac:dyDescent="0.25">
      <c r="A45" s="13">
        <v>42248</v>
      </c>
      <c r="B45" s="14">
        <f>CHOOSE(CONTROL!$C$42, 4.2445, 4.2445) * CHOOSE(CONTROL!$C$21, $C$9, 100%, $E$9)</f>
        <v>4.2445000000000004</v>
      </c>
      <c r="C45" s="14">
        <f>CHOOSE(CONTROL!$C$42, 4.2525, 4.2525) * CHOOSE(CONTROL!$C$21, $C$9, 100%, $E$9)</f>
        <v>4.2525000000000004</v>
      </c>
      <c r="D45" s="14">
        <f>CHOOSE(CONTROL!$C$42, 4.4861, 4.4861) * CHOOSE(CONTROL!$C$21, $C$9, 100%, $E$9)</f>
        <v>4.4861000000000004</v>
      </c>
      <c r="E45" s="14">
        <f>CHOOSE(CONTROL!$C$42, 4.5176, 4.5176) * CHOOSE(CONTROL!$C$21, $C$9, 100%, $E$9)</f>
        <v>4.5175999999999998</v>
      </c>
      <c r="F45" s="14">
        <f>CHOOSE(CONTROL!$C$42, 4.2425, 4.2425)*CHOOSE(CONTROL!$C$21, $C$9, 100%, $E$9)</f>
        <v>4.2424999999999997</v>
      </c>
      <c r="G45" s="14">
        <f>CHOOSE(CONTROL!$C$42, 4.2592, 4.2592)*CHOOSE(CONTROL!$C$21, $C$9, 100%, $E$9)</f>
        <v>4.2591999999999999</v>
      </c>
      <c r="H45" s="14">
        <f>CHOOSE(CONTROL!$C$42, 4.5062, 4.5062) * CHOOSE(CONTROL!$C$21, $C$9, 100%, $E$9)</f>
        <v>4.5061999999999998</v>
      </c>
      <c r="I45" s="14">
        <f>CHOOSE(CONTROL!$C$42, 4.2736, 4.2736)* CHOOSE(CONTROL!$C$21, $C$9, 100%, $E$9)</f>
        <v>4.2736000000000001</v>
      </c>
      <c r="J45" s="14">
        <f>CHOOSE(CONTROL!$C$42, 4.2355, 4.2355)* CHOOSE(CONTROL!$C$21, $C$9, 100%, $E$9)</f>
        <v>4.2355</v>
      </c>
      <c r="K45" s="53"/>
      <c r="L45" s="14">
        <f>CHOOSE(CONTROL!$C$42, 5.0932, 5.0932) * CHOOSE(CONTROL!$C$21, $C$9, 100%, $E$9)</f>
        <v>5.0932000000000004</v>
      </c>
      <c r="M45" s="14">
        <f>CHOOSE(CONTROL!$C$42, 4.1564, 4.1564) * CHOOSE(CONTROL!$C$21, $C$9, 100%, $E$9)</f>
        <v>4.1563999999999997</v>
      </c>
      <c r="N45" s="14">
        <f>CHOOSE(CONTROL!$C$42, 4.1727, 4.1727) * CHOOSE(CONTROL!$C$21, $C$9, 100%, $E$9)</f>
        <v>4.1726999999999999</v>
      </c>
      <c r="O45" s="14">
        <f>CHOOSE(CONTROL!$C$42, 4.4216, 4.4216) * CHOOSE(CONTROL!$C$21, $C$9, 100%, $E$9)</f>
        <v>4.4215999999999998</v>
      </c>
      <c r="P45" s="14">
        <f>CHOOSE(CONTROL!$C$42, 4.1936, 4.1936) * CHOOSE(CONTROL!$C$21, $C$9, 100%, $E$9)</f>
        <v>4.1936</v>
      </c>
      <c r="Q45" s="14">
        <f>CHOOSE(CONTROL!$C$42, 5.0163, 5.0163) * CHOOSE(CONTROL!$C$21, $C$9, 100%, $E$9)</f>
        <v>5.0163000000000002</v>
      </c>
      <c r="R45" s="14">
        <f>CHOOSE(CONTROL!$C$42, 5.6158, 5.6158) * CHOOSE(CONTROL!$C$21, $C$9, 100%, $E$9)</f>
        <v>5.6158000000000001</v>
      </c>
      <c r="S45" s="14">
        <f>CHOOSE(CONTROL!$C$42, 4.0679, 4.0679) * CHOOSE(CONTROL!$C$21, $C$9, 100%, $E$9)</f>
        <v>4.0678999999999998</v>
      </c>
      <c r="T45" s="58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7">
        <f>(1000*CHOOSE(CONTROL!$C$42, 695, 695)*CHOOSE(CONTROL!$C$42, 0.5599, 0.5599)*CHOOSE(CONTROL!$C$42, 30, 30))/1000000</f>
        <v>11.673914999999997</v>
      </c>
      <c r="V45" s="57">
        <f>(1000*CHOOSE(CONTROL!$C$42, 580, 580)*CHOOSE(CONTROL!$C$42, 0.275, 0.275)*CHOOSE(CONTROL!$C$42, 30, 30))/1000000</f>
        <v>4.7850000000000001</v>
      </c>
      <c r="W45" s="57">
        <f>(1000*CHOOSE(CONTROL!$C$42, 0.1146, 0.1146)*CHOOSE(CONTROL!$C$42, 200, 200)*CHOOSE(CONTROL!$C$42, 30, 30))/1000000</f>
        <v>0.68759999999999999</v>
      </c>
      <c r="X45" s="57">
        <f>(30*0.1790888*245000/1000000)+(30*0.2374*100000/1000000)</f>
        <v>2.0285026799999999</v>
      </c>
      <c r="Y45" s="57"/>
      <c r="Z45" s="14">
        <f>CHOOSE(CONTROL!$C$42, 4.1827, 4.1827) * CHOOSE(CONTROL!$C$21, $C$9, 100%, $E$9)</f>
        <v>4.1826999999999996</v>
      </c>
      <c r="AA45" s="56">
        <f>(131500*30*(6/30))/1000000</f>
        <v>0.78900000000000003</v>
      </c>
      <c r="AB45" s="50">
        <f>(B45*194.205+C45*267.466+D45*133.845+E45*53.484+F45*40+G45*185+H45*50+I45*100+J45*300)/(194.205+267.466+133.845+53.484+50+40+185+100+300)</f>
        <v>4.2936069942598181</v>
      </c>
      <c r="AC45" s="45">
        <f t="shared" si="2"/>
        <v>4.239913669064749</v>
      </c>
    </row>
    <row r="46" spans="1:29" ht="15.75" x14ac:dyDescent="0.25">
      <c r="A46" s="13">
        <v>42278</v>
      </c>
      <c r="B46" s="14">
        <f>CHOOSE(CONTROL!$C$42, 4.2677, 4.2677) * CHOOSE(CONTROL!$C$21, $C$9, 100%, $E$9)</f>
        <v>4.2676999999999996</v>
      </c>
      <c r="C46" s="14">
        <f>CHOOSE(CONTROL!$C$42, 4.273, 4.273) * CHOOSE(CONTROL!$C$21, $C$9, 100%, $E$9)</f>
        <v>4.2729999999999997</v>
      </c>
      <c r="D46" s="14">
        <f>CHOOSE(CONTROL!$C$42, 4.5116, 4.5116) * CHOOSE(CONTROL!$C$21, $C$9, 100%, $E$9)</f>
        <v>4.5115999999999996</v>
      </c>
      <c r="E46" s="14">
        <f>CHOOSE(CONTROL!$C$42, 4.5407, 4.5407) * CHOOSE(CONTROL!$C$21, $C$9, 100%, $E$9)</f>
        <v>4.5407000000000002</v>
      </c>
      <c r="F46" s="14">
        <f>CHOOSE(CONTROL!$C$42, 4.2677, 4.2677)*CHOOSE(CONTROL!$C$21, $C$9, 100%, $E$9)</f>
        <v>4.2676999999999996</v>
      </c>
      <c r="G46" s="14">
        <f>CHOOSE(CONTROL!$C$42, 4.284, 4.284)*CHOOSE(CONTROL!$C$21, $C$9, 100%, $E$9)</f>
        <v>4.2839999999999998</v>
      </c>
      <c r="H46" s="14">
        <f>CHOOSE(CONTROL!$C$42, 4.5312, 4.5312) * CHOOSE(CONTROL!$C$21, $C$9, 100%, $E$9)</f>
        <v>4.5312000000000001</v>
      </c>
      <c r="I46" s="14">
        <f>CHOOSE(CONTROL!$C$42, 4.2987, 4.2987)* CHOOSE(CONTROL!$C$21, $C$9, 100%, $E$9)</f>
        <v>4.2987000000000002</v>
      </c>
      <c r="J46" s="14">
        <f>CHOOSE(CONTROL!$C$42, 4.2607, 4.2607)* CHOOSE(CONTROL!$C$21, $C$9, 100%, $E$9)</f>
        <v>4.2606999999999999</v>
      </c>
      <c r="K46" s="53"/>
      <c r="L46" s="14">
        <f>CHOOSE(CONTROL!$C$42, 5.1182, 5.1182) * CHOOSE(CONTROL!$C$21, $C$9, 100%, $E$9)</f>
        <v>5.1181999999999999</v>
      </c>
      <c r="M46" s="14">
        <f>CHOOSE(CONTROL!$C$42, 4.1811, 4.1811) * CHOOSE(CONTROL!$C$21, $C$9, 100%, $E$9)</f>
        <v>4.1810999999999998</v>
      </c>
      <c r="N46" s="14">
        <f>CHOOSE(CONTROL!$C$42, 4.197, 4.197) * CHOOSE(CONTROL!$C$21, $C$9, 100%, $E$9)</f>
        <v>4.1970000000000001</v>
      </c>
      <c r="O46" s="14">
        <f>CHOOSE(CONTROL!$C$42, 4.446, 4.446) * CHOOSE(CONTROL!$C$21, $C$9, 100%, $E$9)</f>
        <v>4.4459999999999997</v>
      </c>
      <c r="P46" s="14">
        <f>CHOOSE(CONTROL!$C$42, 4.2181, 4.2181) * CHOOSE(CONTROL!$C$21, $C$9, 100%, $E$9)</f>
        <v>4.2180999999999997</v>
      </c>
      <c r="Q46" s="14">
        <f>CHOOSE(CONTROL!$C$42, 5.0407, 5.0407) * CHOOSE(CONTROL!$C$21, $C$9, 100%, $E$9)</f>
        <v>5.0407000000000002</v>
      </c>
      <c r="R46" s="14">
        <f>CHOOSE(CONTROL!$C$42, 5.6403, 5.6403) * CHOOSE(CONTROL!$C$21, $C$9, 100%, $E$9)</f>
        <v>5.6402999999999999</v>
      </c>
      <c r="S46" s="14">
        <f>CHOOSE(CONTROL!$C$42, 4.0919, 4.0919) * CHOOSE(CONTROL!$C$21, $C$9, 100%, $E$9)</f>
        <v>4.0918999999999999</v>
      </c>
      <c r="T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7">
        <f>(1000*CHOOSE(CONTROL!$C$42, 695, 695)*CHOOSE(CONTROL!$C$42, 0.5599, 0.5599)*CHOOSE(CONTROL!$C$42, 31, 31))/1000000</f>
        <v>12.063045499999998</v>
      </c>
      <c r="V46" s="57">
        <f>(1000*CHOOSE(CONTROL!$C$42, 580, 580)*CHOOSE(CONTROL!$C$42, 0.275, 0.275)*CHOOSE(CONTROL!$C$42, 31, 31))/1000000</f>
        <v>4.9444999999999997</v>
      </c>
      <c r="W46" s="57">
        <f>(1000*CHOOSE(CONTROL!$C$42, 0.1146, 0.1146)*CHOOSE(CONTROL!$C$42, 200, 200)*CHOOSE(CONTROL!$C$42, 31, 31))/1000000</f>
        <v>0.71052000000000004</v>
      </c>
      <c r="X46" s="57">
        <f>(31*0.1790888*245000/1000000)+(31*0.2374*100000/1000000)</f>
        <v>2.0961194359999999</v>
      </c>
      <c r="Y46" s="57"/>
      <c r="Z46" s="14">
        <f>CHOOSE(CONTROL!$C$42, 4.2072, 4.2072) * CHOOSE(CONTROL!$C$21, $C$9, 100%, $E$9)</f>
        <v>4.2072000000000003</v>
      </c>
      <c r="AA46" s="56">
        <f>(131500*31*(6/31))/1000000</f>
        <v>0.78900000000000003</v>
      </c>
      <c r="AB46" s="50">
        <f>(B46*131.881+C46*277.167+D46*79.08+E46*125.872+F46*40+G46*185+H46*0+I46*100+J46*300)/(131.881+277.167+79.08+125.872+0+40+185+100+300)</f>
        <v>4.3154281300242134</v>
      </c>
      <c r="AC46" s="45">
        <f t="shared" si="2"/>
        <v>4.2644086330935247</v>
      </c>
    </row>
    <row r="47" spans="1:29" ht="15.75" x14ac:dyDescent="0.25">
      <c r="A47" s="13">
        <v>42309</v>
      </c>
      <c r="B47" s="14">
        <f>CHOOSE(CONTROL!$C$42, 4.3537, 4.3537) * CHOOSE(CONTROL!$C$21, $C$9, 100%, $E$9)</f>
        <v>4.3536999999999999</v>
      </c>
      <c r="C47" s="14">
        <f>CHOOSE(CONTROL!$C$42, 4.3587, 4.3587) * CHOOSE(CONTROL!$C$21, $C$9, 100%, $E$9)</f>
        <v>4.3586999999999998</v>
      </c>
      <c r="D47" s="14">
        <f>CHOOSE(CONTROL!$C$42, 4.4329, 4.4329) * CHOOSE(CONTROL!$C$21, $C$9, 100%, $E$9)</f>
        <v>4.4329000000000001</v>
      </c>
      <c r="E47" s="14">
        <f>CHOOSE(CONTROL!$C$42, 4.467, 4.467) * CHOOSE(CONTROL!$C$21, $C$9, 100%, $E$9)</f>
        <v>4.4669999999999996</v>
      </c>
      <c r="F47" s="14">
        <f>CHOOSE(CONTROL!$C$42, 4.3657, 4.3657)*CHOOSE(CONTROL!$C$21, $C$9, 100%, $E$9)</f>
        <v>4.3657000000000004</v>
      </c>
      <c r="G47" s="14">
        <f>CHOOSE(CONTROL!$C$42, 4.3823, 4.3823)*CHOOSE(CONTROL!$C$21, $C$9, 100%, $E$9)</f>
        <v>4.3822999999999999</v>
      </c>
      <c r="H47" s="14">
        <f>CHOOSE(CONTROL!$C$42, 4.4562, 4.4562) * CHOOSE(CONTROL!$C$21, $C$9, 100%, $E$9)</f>
        <v>4.4561999999999999</v>
      </c>
      <c r="I47" s="14">
        <f>CHOOSE(CONTROL!$C$42, 4.3916, 4.3916)* CHOOSE(CONTROL!$C$21, $C$9, 100%, $E$9)</f>
        <v>4.3916000000000004</v>
      </c>
      <c r="J47" s="14">
        <f>CHOOSE(CONTROL!$C$42, 4.3587, 4.3587)* CHOOSE(CONTROL!$C$21, $C$9, 100%, $E$9)</f>
        <v>4.3586999999999998</v>
      </c>
      <c r="K47" s="53"/>
      <c r="L47" s="14">
        <f>CHOOSE(CONTROL!$C$42, 5.0432, 5.0432) * CHOOSE(CONTROL!$C$21, $C$9, 100%, $E$9)</f>
        <v>5.0431999999999997</v>
      </c>
      <c r="M47" s="14">
        <f>CHOOSE(CONTROL!$C$42, 4.2771, 4.2771) * CHOOSE(CONTROL!$C$21, $C$9, 100%, $E$9)</f>
        <v>4.2770999999999999</v>
      </c>
      <c r="N47" s="14">
        <f>CHOOSE(CONTROL!$C$42, 4.2933, 4.2933) * CHOOSE(CONTROL!$C$21, $C$9, 100%, $E$9)</f>
        <v>4.2933000000000003</v>
      </c>
      <c r="O47" s="14">
        <f>CHOOSE(CONTROL!$C$42, 4.3726, 4.3726) * CHOOSE(CONTROL!$C$21, $C$9, 100%, $E$9)</f>
        <v>4.3726000000000003</v>
      </c>
      <c r="P47" s="14">
        <f>CHOOSE(CONTROL!$C$42, 4.3091, 4.3091) * CHOOSE(CONTROL!$C$21, $C$9, 100%, $E$9)</f>
        <v>4.3090999999999999</v>
      </c>
      <c r="Q47" s="14">
        <f>CHOOSE(CONTROL!$C$42, 4.9673, 4.9673) * CHOOSE(CONTROL!$C$21, $C$9, 100%, $E$9)</f>
        <v>4.9672999999999998</v>
      </c>
      <c r="R47" s="14">
        <f>CHOOSE(CONTROL!$C$42, 5.5667, 5.5667) * CHOOSE(CONTROL!$C$21, $C$9, 100%, $E$9)</f>
        <v>5.5667</v>
      </c>
      <c r="S47" s="14">
        <f>CHOOSE(CONTROL!$C$42, 4.1749, 4.1749) * CHOOSE(CONTROL!$C$21, $C$9, 100%, $E$9)</f>
        <v>4.1749000000000001</v>
      </c>
      <c r="T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7">
        <f>(1000*CHOOSE(CONTROL!$C$42, 695, 695)*CHOOSE(CONTROL!$C$42, 0.5599, 0.5599)*CHOOSE(CONTROL!$C$42, 30, 30))/1000000</f>
        <v>11.673914999999997</v>
      </c>
      <c r="V47" s="57">
        <f>(1000*CHOOSE(CONTROL!$C$42, 580, 580)*CHOOSE(CONTROL!$C$42, 0.275, 0.275)*CHOOSE(CONTROL!$C$42, 30, 30))/1000000</f>
        <v>4.7850000000000001</v>
      </c>
      <c r="W47" s="57">
        <f>(1000*CHOOSE(CONTROL!$C$42, 0.1146, 0.1146)*CHOOSE(CONTROL!$C$42, 200, 200)*CHOOSE(CONTROL!$C$42, 30, 30))/1000000</f>
        <v>0.68759999999999999</v>
      </c>
      <c r="X47" s="57">
        <f>(30*0.1790888*100000/1000000)+(30*0.2374*100000/1000000)</f>
        <v>1.2494664</v>
      </c>
      <c r="Y47" s="57"/>
      <c r="Z47" s="14">
        <f>CHOOSE(CONTROL!$C$42, 4.2978, 4.2978) * CHOOSE(CONTROL!$C$21, $C$9, 100%, $E$9)</f>
        <v>4.2977999999999996</v>
      </c>
      <c r="AA47" s="56">
        <f>(131500*30*(6/30))/1000000</f>
        <v>0.78900000000000003</v>
      </c>
      <c r="AB47" s="50">
        <f>(B47*122.58+C47*297.941+D47*89.177+E47*40.302+F47*40+G47*160+H47*0+I47*100+J47*300)/(122.58+297.941+89.177+40.302+0+40+160+100+300)</f>
        <v>4.3741041217391308</v>
      </c>
      <c r="AC47" s="45">
        <f>(M47*240+N47*40+O47*315+P47*100)/(240+40+315+100)</f>
        <v>4.325920863309352</v>
      </c>
    </row>
    <row r="48" spans="1:29" ht="15.75" x14ac:dyDescent="0.25">
      <c r="A48" s="13">
        <v>42339</v>
      </c>
      <c r="B48" s="14">
        <f>CHOOSE(CONTROL!$C$42, 4.541, 4.541) * CHOOSE(CONTROL!$C$21, $C$9, 100%, $E$9)</f>
        <v>4.5410000000000004</v>
      </c>
      <c r="C48" s="14">
        <f>CHOOSE(CONTROL!$C$42, 4.546, 4.546) * CHOOSE(CONTROL!$C$21, $C$9, 100%, $E$9)</f>
        <v>4.5460000000000003</v>
      </c>
      <c r="D48" s="14">
        <f>CHOOSE(CONTROL!$C$42, 4.6203, 4.6203) * CHOOSE(CONTROL!$C$21, $C$9, 100%, $E$9)</f>
        <v>4.6203000000000003</v>
      </c>
      <c r="E48" s="14">
        <f>CHOOSE(CONTROL!$C$42, 4.6544, 4.6544) * CHOOSE(CONTROL!$C$21, $C$9, 100%, $E$9)</f>
        <v>4.6543999999999999</v>
      </c>
      <c r="F48" s="14">
        <f>CHOOSE(CONTROL!$C$42, 4.5552, 4.5552)*CHOOSE(CONTROL!$C$21, $C$9, 100%, $E$9)</f>
        <v>4.5552000000000001</v>
      </c>
      <c r="G48" s="14">
        <f>CHOOSE(CONTROL!$C$42, 4.5724, 4.5724)*CHOOSE(CONTROL!$C$21, $C$9, 100%, $E$9)</f>
        <v>4.5724</v>
      </c>
      <c r="H48" s="14">
        <f>CHOOSE(CONTROL!$C$42, 4.6436, 4.6436) * CHOOSE(CONTROL!$C$21, $C$9, 100%, $E$9)</f>
        <v>4.6436000000000002</v>
      </c>
      <c r="I48" s="14">
        <f>CHOOSE(CONTROL!$C$42, 4.5795, 4.5795)* CHOOSE(CONTROL!$C$21, $C$9, 100%, $E$9)</f>
        <v>4.5795000000000003</v>
      </c>
      <c r="J48" s="14">
        <f>CHOOSE(CONTROL!$C$42, 4.5482, 4.5482)* CHOOSE(CONTROL!$C$21, $C$9, 100%, $E$9)</f>
        <v>4.5481999999999996</v>
      </c>
      <c r="K48" s="53"/>
      <c r="L48" s="14">
        <f>CHOOSE(CONTROL!$C$42, 5.2306, 5.2306) * CHOOSE(CONTROL!$C$21, $C$9, 100%, $E$9)</f>
        <v>5.2305999999999999</v>
      </c>
      <c r="M48" s="14">
        <f>CHOOSE(CONTROL!$C$42, 4.4627, 4.4627) * CHOOSE(CONTROL!$C$21, $C$9, 100%, $E$9)</f>
        <v>4.4626999999999999</v>
      </c>
      <c r="N48" s="14">
        <f>CHOOSE(CONTROL!$C$42, 4.4795, 4.4795) * CHOOSE(CONTROL!$C$21, $C$9, 100%, $E$9)</f>
        <v>4.4794999999999998</v>
      </c>
      <c r="O48" s="14">
        <f>CHOOSE(CONTROL!$C$42, 4.5561, 4.5561) * CHOOSE(CONTROL!$C$21, $C$9, 100%, $E$9)</f>
        <v>4.5560999999999998</v>
      </c>
      <c r="P48" s="14">
        <f>CHOOSE(CONTROL!$C$42, 4.4932, 4.4932) * CHOOSE(CONTROL!$C$21, $C$9, 100%, $E$9)</f>
        <v>4.4931999999999999</v>
      </c>
      <c r="Q48" s="14">
        <f>CHOOSE(CONTROL!$C$42, 5.1508, 5.1508) * CHOOSE(CONTROL!$C$21, $C$9, 100%, $E$9)</f>
        <v>5.1508000000000003</v>
      </c>
      <c r="R48" s="14">
        <f>CHOOSE(CONTROL!$C$42, 5.7507, 5.7507) * CHOOSE(CONTROL!$C$21, $C$9, 100%, $E$9)</f>
        <v>5.7507000000000001</v>
      </c>
      <c r="S48" s="14">
        <f>CHOOSE(CONTROL!$C$42, 4.3549, 4.3549) * CHOOSE(CONTROL!$C$21, $C$9, 100%, $E$9)</f>
        <v>4.3548999999999998</v>
      </c>
      <c r="T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7">
        <f>(1000*CHOOSE(CONTROL!$C$42, 695, 695)*CHOOSE(CONTROL!$C$42, 0.5599, 0.5599)*CHOOSE(CONTROL!$C$42, 31, 31))/1000000</f>
        <v>12.063045499999998</v>
      </c>
      <c r="V48" s="57">
        <f>(1000*CHOOSE(CONTROL!$C$42, 580, 580)*CHOOSE(CONTROL!$C$42, 0.275, 0.275)*CHOOSE(CONTROL!$C$42, 31, 31))/1000000</f>
        <v>4.9444999999999997</v>
      </c>
      <c r="W48" s="57">
        <f>(1000*CHOOSE(CONTROL!$C$42, 0.1146, 0.1146)*CHOOSE(CONTROL!$C$42, 200, 200)*CHOOSE(CONTROL!$C$42, 31, 31))/1000000</f>
        <v>0.71052000000000004</v>
      </c>
      <c r="X48" s="57">
        <f>(31*0.1790888*100000/1000000)+(31*0.2374*100000/1000000)</f>
        <v>1.2911152800000001</v>
      </c>
      <c r="Y48" s="57"/>
      <c r="Z48" s="14">
        <f>CHOOSE(CONTROL!$C$42, 4.4821, 4.4821) * CHOOSE(CONTROL!$C$21, $C$9, 100%, $E$9)</f>
        <v>4.4821</v>
      </c>
      <c r="AA48" s="56">
        <f>(131500*31*(6/31))/1000000</f>
        <v>0.78900000000000003</v>
      </c>
      <c r="AB48" s="50">
        <f>(B48*122.58+C48*297.941+D48*89.177+E48*40.302+F48*40+G48*160+H48*0+I48*100+J48*300)/(122.58+297.941+89.177+40.302+0+40+160+100+300)</f>
        <v>4.5625075546956522</v>
      </c>
      <c r="AC48" s="45">
        <f>(M48*240+N48*40+O48*315+P48*100)/(240+40+315+100)</f>
        <v>4.510387769784173</v>
      </c>
    </row>
    <row r="49" spans="1:29" ht="15.75" x14ac:dyDescent="0.25">
      <c r="A49" s="13">
        <v>42370</v>
      </c>
      <c r="B49" s="14">
        <f>CHOOSE(CONTROL!$C$42, 4.7262, 4.7262) * CHOOSE(CONTROL!$C$21, $C$9, 100%, $E$9)</f>
        <v>4.7262000000000004</v>
      </c>
      <c r="C49" s="14">
        <f>CHOOSE(CONTROL!$C$42, 4.7313, 4.7313) * CHOOSE(CONTROL!$C$21, $C$9, 100%, $E$9)</f>
        <v>4.7313000000000001</v>
      </c>
      <c r="D49" s="14">
        <f>CHOOSE(CONTROL!$C$42, 4.8081, 4.8081) * CHOOSE(CONTROL!$C$21, $C$9, 100%, $E$9)</f>
        <v>4.8080999999999996</v>
      </c>
      <c r="E49" s="14">
        <f>CHOOSE(CONTROL!$C$42, 4.8422, 4.8422) * CHOOSE(CONTROL!$C$21, $C$9, 100%, $E$9)</f>
        <v>4.8422000000000001</v>
      </c>
      <c r="F49" s="14">
        <f>CHOOSE(CONTROL!$C$42, 4.7265, 4.7265)*CHOOSE(CONTROL!$C$21, $C$9, 100%, $E$9)</f>
        <v>4.7264999999999997</v>
      </c>
      <c r="G49" s="14">
        <f>CHOOSE(CONTROL!$C$42, 4.7427, 4.7427)*CHOOSE(CONTROL!$C$21, $C$9, 100%, $E$9)</f>
        <v>4.7427000000000001</v>
      </c>
      <c r="H49" s="14">
        <f>CHOOSE(CONTROL!$C$42, 4.8314, 4.8314) * CHOOSE(CONTROL!$C$21, $C$9, 100%, $E$9)</f>
        <v>4.8314000000000004</v>
      </c>
      <c r="I49" s="14">
        <f>CHOOSE(CONTROL!$C$42, 4.7591, 4.7591)* CHOOSE(CONTROL!$C$21, $C$9, 100%, $E$9)</f>
        <v>4.7591000000000001</v>
      </c>
      <c r="J49" s="14">
        <f>CHOOSE(CONTROL!$C$42, 4.7195, 4.7195)* CHOOSE(CONTROL!$C$21, $C$9, 100%, $E$9)</f>
        <v>4.7195</v>
      </c>
      <c r="K49" s="53"/>
      <c r="L49" s="14">
        <f>CHOOSE(CONTROL!$C$42, 5.4184, 5.4184) * CHOOSE(CONTROL!$C$21, $C$9, 100%, $E$9)</f>
        <v>5.4184000000000001</v>
      </c>
      <c r="M49" s="14">
        <f>CHOOSE(CONTROL!$C$42, 4.6304, 4.6304) * CHOOSE(CONTROL!$C$21, $C$9, 100%, $E$9)</f>
        <v>4.6303999999999998</v>
      </c>
      <c r="N49" s="14">
        <f>CHOOSE(CONTROL!$C$42, 4.6463, 4.6463) * CHOOSE(CONTROL!$C$21, $C$9, 100%, $E$9)</f>
        <v>4.6463000000000001</v>
      </c>
      <c r="O49" s="14">
        <f>CHOOSE(CONTROL!$C$42, 4.7401, 4.7401) * CHOOSE(CONTROL!$C$21, $C$9, 100%, $E$9)</f>
        <v>4.7401</v>
      </c>
      <c r="P49" s="14">
        <f>CHOOSE(CONTROL!$C$42, 4.6691, 4.6691) * CHOOSE(CONTROL!$C$21, $C$9, 100%, $E$9)</f>
        <v>4.6691000000000003</v>
      </c>
      <c r="Q49" s="14">
        <f>CHOOSE(CONTROL!$C$42, 5.3348, 5.3348) * CHOOSE(CONTROL!$C$21, $C$9, 100%, $E$9)</f>
        <v>5.3348000000000004</v>
      </c>
      <c r="R49" s="14">
        <f>CHOOSE(CONTROL!$C$42, 5.9352, 5.9352) * CHOOSE(CONTROL!$C$21, $C$9, 100%, $E$9)</f>
        <v>5.9352</v>
      </c>
      <c r="S49" s="14">
        <f>CHOOSE(CONTROL!$C$42, 4.5329, 4.5329) * CHOOSE(CONTROL!$C$21, $C$9, 100%, $E$9)</f>
        <v>4.5328999999999997</v>
      </c>
      <c r="T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7">
        <f>(1000*CHOOSE(CONTROL!$C$42, 695, 695)*CHOOSE(CONTROL!$C$42, 0.5599, 0.5599)*CHOOSE(CONTROL!$C$42, 31, 31))/1000000</f>
        <v>12.063045499999998</v>
      </c>
      <c r="V49" s="57">
        <f>(1000*CHOOSE(CONTROL!$C$42, 580, 580)*CHOOSE(CONTROL!$C$42, 0.275, 0.275)*CHOOSE(CONTROL!$C$42, 31, 31))/1000000</f>
        <v>4.9444999999999997</v>
      </c>
      <c r="W49" s="57">
        <f>(1000*CHOOSE(CONTROL!$C$42, 0.1146, 0.1146)*CHOOSE(CONTROL!$C$42, 200, 200)*CHOOSE(CONTROL!$C$42, 31, 31))/1000000</f>
        <v>0.71052000000000004</v>
      </c>
      <c r="X49" s="57">
        <f>(31*0.1790888*100000/1000000)+(31*0.2374*100000/1000000)</f>
        <v>1.2911152800000001</v>
      </c>
      <c r="Y49" s="57"/>
      <c r="Z49" s="14"/>
      <c r="AA49" s="56"/>
      <c r="AB49" s="50">
        <f>(B49*122.58+C49*297.941+D49*89.177+E49*40.302+F49*40+G49*160+H49*0+I49*100+J49*300)/(122.58+297.941+89.177+40.302+0+40+160+100+300)</f>
        <v>4.7413566325217396</v>
      </c>
      <c r="AC49" s="45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4.6866035971223017</v>
      </c>
    </row>
    <row r="50" spans="1:29" ht="15.75" x14ac:dyDescent="0.25">
      <c r="A50" s="13">
        <v>42401</v>
      </c>
      <c r="B50" s="14">
        <f>CHOOSE(CONTROL!$C$42, 4.8201, 4.8201) * CHOOSE(CONTROL!$C$21, $C$9, 100%, $E$9)</f>
        <v>4.8201000000000001</v>
      </c>
      <c r="C50" s="14">
        <f>CHOOSE(CONTROL!$C$42, 4.8252, 4.8252) * CHOOSE(CONTROL!$C$21, $C$9, 100%, $E$9)</f>
        <v>4.8251999999999997</v>
      </c>
      <c r="D50" s="14">
        <f>CHOOSE(CONTROL!$C$42, 4.902, 4.902) * CHOOSE(CONTROL!$C$21, $C$9, 100%, $E$9)</f>
        <v>4.9020000000000001</v>
      </c>
      <c r="E50" s="14">
        <f>CHOOSE(CONTROL!$C$42, 4.9361, 4.9361) * CHOOSE(CONTROL!$C$21, $C$9, 100%, $E$9)</f>
        <v>4.9360999999999997</v>
      </c>
      <c r="F50" s="14">
        <f>CHOOSE(CONTROL!$C$42, 4.8204, 4.8204)*CHOOSE(CONTROL!$C$21, $C$9, 100%, $E$9)</f>
        <v>4.8204000000000002</v>
      </c>
      <c r="G50" s="14">
        <f>CHOOSE(CONTROL!$C$42, 4.8366, 4.8366)*CHOOSE(CONTROL!$C$21, $C$9, 100%, $E$9)</f>
        <v>4.8365999999999998</v>
      </c>
      <c r="H50" s="14">
        <f>CHOOSE(CONTROL!$C$42, 4.9253, 4.9253) * CHOOSE(CONTROL!$C$21, $C$9, 100%, $E$9)</f>
        <v>4.9253</v>
      </c>
      <c r="I50" s="14">
        <f>CHOOSE(CONTROL!$C$42, 4.8532, 4.8532)* CHOOSE(CONTROL!$C$21, $C$9, 100%, $E$9)</f>
        <v>4.8532000000000002</v>
      </c>
      <c r="J50" s="14">
        <f>CHOOSE(CONTROL!$C$42, 4.8134, 4.8134)* CHOOSE(CONTROL!$C$21, $C$9, 100%, $E$9)</f>
        <v>4.8133999999999997</v>
      </c>
      <c r="K50" s="53"/>
      <c r="L50" s="14">
        <f>CHOOSE(CONTROL!$C$42, 5.5123, 5.5123) * CHOOSE(CONTROL!$C$21, $C$9, 100%, $E$9)</f>
        <v>5.5122999999999998</v>
      </c>
      <c r="M50" s="14">
        <f>CHOOSE(CONTROL!$C$42, 4.7224, 4.7224) * CHOOSE(CONTROL!$C$21, $C$9, 100%, $E$9)</f>
        <v>4.7224000000000004</v>
      </c>
      <c r="N50" s="14">
        <f>CHOOSE(CONTROL!$C$42, 4.7383, 4.7383) * CHOOSE(CONTROL!$C$21, $C$9, 100%, $E$9)</f>
        <v>4.7382999999999997</v>
      </c>
      <c r="O50" s="14">
        <f>CHOOSE(CONTROL!$C$42, 4.8321, 4.8321) * CHOOSE(CONTROL!$C$21, $C$9, 100%, $E$9)</f>
        <v>4.8320999999999996</v>
      </c>
      <c r="P50" s="14">
        <f>CHOOSE(CONTROL!$C$42, 4.7613, 4.7613) * CHOOSE(CONTROL!$C$21, $C$9, 100%, $E$9)</f>
        <v>4.7613000000000003</v>
      </c>
      <c r="Q50" s="14">
        <f>CHOOSE(CONTROL!$C$42, 5.4268, 5.4268) * CHOOSE(CONTROL!$C$21, $C$9, 100%, $E$9)</f>
        <v>5.4268000000000001</v>
      </c>
      <c r="R50" s="14">
        <f>CHOOSE(CONTROL!$C$42, 6.0273, 6.0273) * CHOOSE(CONTROL!$C$21, $C$9, 100%, $E$9)</f>
        <v>6.0273000000000003</v>
      </c>
      <c r="S50" s="14">
        <f>CHOOSE(CONTROL!$C$42, 4.6231, 4.6231) * CHOOSE(CONTROL!$C$21, $C$9, 100%, $E$9)</f>
        <v>4.6231</v>
      </c>
      <c r="T5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7">
        <f>(1000*CHOOSE(CONTROL!$C$42, 695, 695)*CHOOSE(CONTROL!$C$42, 0.5599, 0.5599)*CHOOSE(CONTROL!$C$42, 29, 29))/1000000</f>
        <v>11.284784499999999</v>
      </c>
      <c r="V50" s="57">
        <f>(1000*CHOOSE(CONTROL!$C$42, 580, 580)*CHOOSE(CONTROL!$C$42, 0.275, 0.275)*CHOOSE(CONTROL!$C$42, 29, 29))/1000000</f>
        <v>4.6254999999999997</v>
      </c>
      <c r="W50" s="57">
        <f>(1000*CHOOSE(CONTROL!$C$42, 0.1146, 0.1146)*CHOOSE(CONTROL!$C$42, 200, 200)*CHOOSE(CONTROL!$C$42, 29, 29))/1000000</f>
        <v>0.66468000000000005</v>
      </c>
      <c r="X50" s="57">
        <f>(29*0.1790888*100000/1000000)+(29*0.2374*100000/1000000)</f>
        <v>1.2078175199999999</v>
      </c>
      <c r="Y50" s="57"/>
      <c r="Z50" s="14"/>
      <c r="AA50" s="56"/>
      <c r="AB50" s="50">
        <f>(B50*122.58+C50*297.941+D50*89.177+E50*40.302+F50*40+G50*160+H50*0+I50*100+J50*300)/(122.58+297.941+89.177+40.302+0+40+160+100+300)</f>
        <v>4.8352740238260861</v>
      </c>
      <c r="AC50" s="45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4.7786323741007202</v>
      </c>
    </row>
    <row r="51" spans="1:29" ht="15.75" x14ac:dyDescent="0.25">
      <c r="A51" s="13">
        <v>42430</v>
      </c>
      <c r="B51" s="14">
        <f>CHOOSE(CONTROL!$C$42, 4.6932, 4.6932) * CHOOSE(CONTROL!$C$21, $C$9, 100%, $E$9)</f>
        <v>4.6932</v>
      </c>
      <c r="C51" s="14">
        <f>CHOOSE(CONTROL!$C$42, 4.6982, 4.6982) * CHOOSE(CONTROL!$C$21, $C$9, 100%, $E$9)</f>
        <v>4.6981999999999999</v>
      </c>
      <c r="D51" s="14">
        <f>CHOOSE(CONTROL!$C$42, 4.775, 4.775) * CHOOSE(CONTROL!$C$21, $C$9, 100%, $E$9)</f>
        <v>4.7750000000000004</v>
      </c>
      <c r="E51" s="14">
        <f>CHOOSE(CONTROL!$C$42, 4.8091, 4.8091) * CHOOSE(CONTROL!$C$21, $C$9, 100%, $E$9)</f>
        <v>4.8090999999999999</v>
      </c>
      <c r="F51" s="14">
        <f>CHOOSE(CONTROL!$C$42, 4.6929, 4.6929)*CHOOSE(CONTROL!$C$21, $C$9, 100%, $E$9)</f>
        <v>4.6928999999999998</v>
      </c>
      <c r="G51" s="14">
        <f>CHOOSE(CONTROL!$C$42, 4.7091, 4.7091)*CHOOSE(CONTROL!$C$21, $C$9, 100%, $E$9)</f>
        <v>4.7091000000000003</v>
      </c>
      <c r="H51" s="14">
        <f>CHOOSE(CONTROL!$C$42, 4.7983, 4.7983) * CHOOSE(CONTROL!$C$21, $C$9, 100%, $E$9)</f>
        <v>4.7983000000000002</v>
      </c>
      <c r="I51" s="14">
        <f>CHOOSE(CONTROL!$C$42, 4.7259, 4.7259)* CHOOSE(CONTROL!$C$21, $C$9, 100%, $E$9)</f>
        <v>4.7259000000000002</v>
      </c>
      <c r="J51" s="14">
        <f>CHOOSE(CONTROL!$C$42, 4.6859, 4.6859)* CHOOSE(CONTROL!$C$21, $C$9, 100%, $E$9)</f>
        <v>4.6859000000000002</v>
      </c>
      <c r="K51" s="53"/>
      <c r="L51" s="14">
        <f>CHOOSE(CONTROL!$C$42, 5.3853, 5.3853) * CHOOSE(CONTROL!$C$21, $C$9, 100%, $E$9)</f>
        <v>5.3853</v>
      </c>
      <c r="M51" s="14">
        <f>CHOOSE(CONTROL!$C$42, 4.5976, 4.5976) * CHOOSE(CONTROL!$C$21, $C$9, 100%, $E$9)</f>
        <v>4.5975999999999999</v>
      </c>
      <c r="N51" s="14">
        <f>CHOOSE(CONTROL!$C$42, 4.6134, 4.6134) * CHOOSE(CONTROL!$C$21, $C$9, 100%, $E$9)</f>
        <v>4.6134000000000004</v>
      </c>
      <c r="O51" s="14">
        <f>CHOOSE(CONTROL!$C$42, 4.7077, 4.7077) * CHOOSE(CONTROL!$C$21, $C$9, 100%, $E$9)</f>
        <v>4.7077</v>
      </c>
      <c r="P51" s="14">
        <f>CHOOSE(CONTROL!$C$42, 4.6366, 4.6366) * CHOOSE(CONTROL!$C$21, $C$9, 100%, $E$9)</f>
        <v>4.6365999999999996</v>
      </c>
      <c r="Q51" s="14">
        <f>CHOOSE(CONTROL!$C$42, 5.3024, 5.3024) * CHOOSE(CONTROL!$C$21, $C$9, 100%, $E$9)</f>
        <v>5.3023999999999996</v>
      </c>
      <c r="R51" s="14">
        <f>CHOOSE(CONTROL!$C$42, 5.9027, 5.9027) * CHOOSE(CONTROL!$C$21, $C$9, 100%, $E$9)</f>
        <v>5.9027000000000003</v>
      </c>
      <c r="S51" s="14">
        <f>CHOOSE(CONTROL!$C$42, 4.5011, 4.5011) * CHOOSE(CONTROL!$C$21, $C$9, 100%, $E$9)</f>
        <v>4.5011000000000001</v>
      </c>
      <c r="T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7">
        <f>(1000*CHOOSE(CONTROL!$C$42, 695, 695)*CHOOSE(CONTROL!$C$42, 0.5599, 0.5599)*CHOOSE(CONTROL!$C$42, 31, 31))/1000000</f>
        <v>12.063045499999998</v>
      </c>
      <c r="V51" s="57">
        <f>(1000*CHOOSE(CONTROL!$C$42, 580, 580)*CHOOSE(CONTROL!$C$42, 0.275, 0.275)*CHOOSE(CONTROL!$C$42, 31, 31))/1000000</f>
        <v>4.9444999999999997</v>
      </c>
      <c r="W51" s="57">
        <f>(1000*CHOOSE(CONTROL!$C$42, 0.1146, 0.1146)*CHOOSE(CONTROL!$C$42, 200, 200)*CHOOSE(CONTROL!$C$42, 31, 31))/1000000</f>
        <v>0.71052000000000004</v>
      </c>
      <c r="X51" s="57">
        <f>(31*0.1790888*100000/1000000)+(31*0.2374*100000/1000000)</f>
        <v>1.2911152800000001</v>
      </c>
      <c r="Y51" s="57"/>
      <c r="Z51" s="14"/>
      <c r="AA51" s="56"/>
      <c r="AB51" s="50">
        <f>(B51*122.58+C51*297.941+D51*89.177+E51*40.302+F51*40+G51*160+H51*0+I51*100+J51*300)/(122.58+297.941+89.177+40.302+0+40+160+100+300)</f>
        <v>4.7080412046956521</v>
      </c>
      <c r="AC51" s="45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4.6540223021582738</v>
      </c>
    </row>
    <row r="52" spans="1:29" ht="15.75" x14ac:dyDescent="0.25">
      <c r="A52" s="13">
        <v>42461</v>
      </c>
      <c r="B52" s="14">
        <f>CHOOSE(CONTROL!$C$42, 4.69, 4.69) * CHOOSE(CONTROL!$C$21, $C$9, 100%, $E$9)</f>
        <v>4.6900000000000004</v>
      </c>
      <c r="C52" s="14">
        <f>CHOOSE(CONTROL!$C$42, 4.6945, 4.6945) * CHOOSE(CONTROL!$C$21, $C$9, 100%, $E$9)</f>
        <v>4.6944999999999997</v>
      </c>
      <c r="D52" s="14">
        <f>CHOOSE(CONTROL!$C$42, 4.9312, 4.9312) * CHOOSE(CONTROL!$C$21, $C$9, 100%, $E$9)</f>
        <v>4.9311999999999996</v>
      </c>
      <c r="E52" s="14">
        <f>CHOOSE(CONTROL!$C$42, 4.9633, 4.9633) * CHOOSE(CONTROL!$C$21, $C$9, 100%, $E$9)</f>
        <v>4.9633000000000003</v>
      </c>
      <c r="F52" s="14">
        <f>CHOOSE(CONTROL!$C$42, 4.6879, 4.6879)*CHOOSE(CONTROL!$C$21, $C$9, 100%, $E$9)</f>
        <v>4.6879</v>
      </c>
      <c r="G52" s="14">
        <f>CHOOSE(CONTROL!$C$42, 4.7038, 4.7038)*CHOOSE(CONTROL!$C$21, $C$9, 100%, $E$9)</f>
        <v>4.7038000000000002</v>
      </c>
      <c r="H52" s="14">
        <f>CHOOSE(CONTROL!$C$42, 4.9531, 4.9531) * CHOOSE(CONTROL!$C$21, $C$9, 100%, $E$9)</f>
        <v>4.9531000000000001</v>
      </c>
      <c r="I52" s="14">
        <f>CHOOSE(CONTROL!$C$42, 4.722, 4.722)* CHOOSE(CONTROL!$C$21, $C$9, 100%, $E$9)</f>
        <v>4.7220000000000004</v>
      </c>
      <c r="J52" s="14">
        <f>CHOOSE(CONTROL!$C$42, 4.6809, 4.6809)* CHOOSE(CONTROL!$C$21, $C$9, 100%, $E$9)</f>
        <v>4.6809000000000003</v>
      </c>
      <c r="K52" s="53"/>
      <c r="L52" s="14">
        <f>CHOOSE(CONTROL!$C$42, 5.5401, 5.5401) * CHOOSE(CONTROL!$C$21, $C$9, 100%, $E$9)</f>
        <v>5.5400999999999998</v>
      </c>
      <c r="M52" s="14">
        <f>CHOOSE(CONTROL!$C$42, 4.5927, 4.5927) * CHOOSE(CONTROL!$C$21, $C$9, 100%, $E$9)</f>
        <v>4.5926999999999998</v>
      </c>
      <c r="N52" s="14">
        <f>CHOOSE(CONTROL!$C$42, 4.6082, 4.6082) * CHOOSE(CONTROL!$C$21, $C$9, 100%, $E$9)</f>
        <v>4.6082000000000001</v>
      </c>
      <c r="O52" s="14">
        <f>CHOOSE(CONTROL!$C$42, 4.8593, 4.8593) * CHOOSE(CONTROL!$C$21, $C$9, 100%, $E$9)</f>
        <v>4.8593000000000002</v>
      </c>
      <c r="P52" s="14">
        <f>CHOOSE(CONTROL!$C$42, 4.6327, 4.6327) * CHOOSE(CONTROL!$C$21, $C$9, 100%, $E$9)</f>
        <v>4.6326999999999998</v>
      </c>
      <c r="Q52" s="14">
        <f>CHOOSE(CONTROL!$C$42, 5.454, 5.454) * CHOOSE(CONTROL!$C$21, $C$9, 100%, $E$9)</f>
        <v>5.4539999999999997</v>
      </c>
      <c r="R52" s="14">
        <f>CHOOSE(CONTROL!$C$42, 6.0546, 6.0546) * CHOOSE(CONTROL!$C$21, $C$9, 100%, $E$9)</f>
        <v>6.0545999999999998</v>
      </c>
      <c r="S52" s="14">
        <f>CHOOSE(CONTROL!$C$42, 4.4973, 4.4973) * CHOOSE(CONTROL!$C$21, $C$9, 100%, $E$9)</f>
        <v>4.4973000000000001</v>
      </c>
      <c r="T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7">
        <f>(1000*CHOOSE(CONTROL!$C$42, 695, 695)*CHOOSE(CONTROL!$C$42, 0.5599, 0.5599)*CHOOSE(CONTROL!$C$42, 30, 30))/1000000</f>
        <v>11.673914999999997</v>
      </c>
      <c r="V52" s="57">
        <f>(1000*CHOOSE(CONTROL!$C$42, 580, 580)*CHOOSE(CONTROL!$C$42, 0.275, 0.275)*CHOOSE(CONTROL!$C$42, 30, 30))/1000000</f>
        <v>4.7850000000000001</v>
      </c>
      <c r="W52" s="57">
        <f>(1000*CHOOSE(CONTROL!$C$42, 0.1146, 0.1146)*CHOOSE(CONTROL!$C$42, 200, 200)*CHOOSE(CONTROL!$C$42, 30, 30))/1000000</f>
        <v>0.68759999999999999</v>
      </c>
      <c r="X52" s="57">
        <f>(30*0.1790888*245000/1000000)+(30*0.2374*100000/1000000)</f>
        <v>2.0285026799999999</v>
      </c>
      <c r="Y52" s="57"/>
      <c r="Z52" s="14"/>
      <c r="AA52" s="56"/>
      <c r="AB52" s="50">
        <f>(B52*141.293+C52*267.993+D52*115.016+E52*89.698+F52*40+G52*185+H52*0+I52*100+J52*300)/(141.293+267.993+115.016+89.698+0+40+185+100+300)</f>
        <v>4.7355216231638426</v>
      </c>
      <c r="AC52" s="45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4.6768251798561149</v>
      </c>
    </row>
    <row r="53" spans="1:29" ht="15.75" x14ac:dyDescent="0.25">
      <c r="A53" s="13">
        <v>42491</v>
      </c>
      <c r="B53" s="14">
        <f>CHOOSE(CONTROL!$C$42, 4.7424, 4.7424) * CHOOSE(CONTROL!$C$21, $C$9, 100%, $E$9)</f>
        <v>4.7423999999999999</v>
      </c>
      <c r="C53" s="14">
        <f>CHOOSE(CONTROL!$C$42, 4.7504, 4.7504) * CHOOSE(CONTROL!$C$21, $C$9, 100%, $E$9)</f>
        <v>4.7504</v>
      </c>
      <c r="D53" s="14">
        <f>CHOOSE(CONTROL!$C$42, 4.984, 4.984) * CHOOSE(CONTROL!$C$21, $C$9, 100%, $E$9)</f>
        <v>4.984</v>
      </c>
      <c r="E53" s="14">
        <f>CHOOSE(CONTROL!$C$42, 5.0155, 5.0155) * CHOOSE(CONTROL!$C$21, $C$9, 100%, $E$9)</f>
        <v>5.0155000000000003</v>
      </c>
      <c r="F53" s="14">
        <f>CHOOSE(CONTROL!$C$42, 4.7392, 4.7392)*CHOOSE(CONTROL!$C$21, $C$9, 100%, $E$9)</f>
        <v>4.7392000000000003</v>
      </c>
      <c r="G53" s="14">
        <f>CHOOSE(CONTROL!$C$42, 4.7555, 4.7555)*CHOOSE(CONTROL!$C$21, $C$9, 100%, $E$9)</f>
        <v>4.7554999999999996</v>
      </c>
      <c r="H53" s="14">
        <f>CHOOSE(CONTROL!$C$42, 5.0041, 5.0041) * CHOOSE(CONTROL!$C$21, $C$9, 100%, $E$9)</f>
        <v>5.0041000000000002</v>
      </c>
      <c r="I53" s="14">
        <f>CHOOSE(CONTROL!$C$42, 4.7731, 4.7731)* CHOOSE(CONTROL!$C$21, $C$9, 100%, $E$9)</f>
        <v>4.7731000000000003</v>
      </c>
      <c r="J53" s="14">
        <f>CHOOSE(CONTROL!$C$42, 4.7322, 4.7322)* CHOOSE(CONTROL!$C$21, $C$9, 100%, $E$9)</f>
        <v>4.7321999999999997</v>
      </c>
      <c r="K53" s="53"/>
      <c r="L53" s="14">
        <f>CHOOSE(CONTROL!$C$42, 5.5911, 5.5911) * CHOOSE(CONTROL!$C$21, $C$9, 100%, $E$9)</f>
        <v>5.5911</v>
      </c>
      <c r="M53" s="14">
        <f>CHOOSE(CONTROL!$C$42, 4.6429, 4.6429) * CHOOSE(CONTROL!$C$21, $C$9, 100%, $E$9)</f>
        <v>4.6429</v>
      </c>
      <c r="N53" s="14">
        <f>CHOOSE(CONTROL!$C$42, 4.6589, 4.6589) * CHOOSE(CONTROL!$C$21, $C$9, 100%, $E$9)</f>
        <v>4.6589</v>
      </c>
      <c r="O53" s="14">
        <f>CHOOSE(CONTROL!$C$42, 4.9093, 4.9093) * CHOOSE(CONTROL!$C$21, $C$9, 100%, $E$9)</f>
        <v>4.9093</v>
      </c>
      <c r="P53" s="14">
        <f>CHOOSE(CONTROL!$C$42, 4.6828, 4.6828) * CHOOSE(CONTROL!$C$21, $C$9, 100%, $E$9)</f>
        <v>4.6828000000000003</v>
      </c>
      <c r="Q53" s="14">
        <f>CHOOSE(CONTROL!$C$42, 5.504, 5.504) * CHOOSE(CONTROL!$C$21, $C$9, 100%, $E$9)</f>
        <v>5.5039999999999996</v>
      </c>
      <c r="R53" s="14">
        <f>CHOOSE(CONTROL!$C$42, 6.1047, 6.1047) * CHOOSE(CONTROL!$C$21, $C$9, 100%, $E$9)</f>
        <v>6.1047000000000002</v>
      </c>
      <c r="S53" s="14">
        <f>CHOOSE(CONTROL!$C$42, 4.5463, 4.5463) * CHOOSE(CONTROL!$C$21, $C$9, 100%, $E$9)</f>
        <v>4.5462999999999996</v>
      </c>
      <c r="T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7">
        <f>(1000*CHOOSE(CONTROL!$C$42, 695, 695)*CHOOSE(CONTROL!$C$42, 0.5599, 0.5599)*CHOOSE(CONTROL!$C$42, 31, 31))/1000000</f>
        <v>12.063045499999998</v>
      </c>
      <c r="V53" s="57">
        <f>(1000*CHOOSE(CONTROL!$C$42, 580, 580)*CHOOSE(CONTROL!$C$42, 0.275, 0.275)*CHOOSE(CONTROL!$C$42, 31, 31))/1000000</f>
        <v>4.9444999999999997</v>
      </c>
      <c r="W53" s="57">
        <f>(1000*CHOOSE(CONTROL!$C$42, 0.1146, 0.1146)*CHOOSE(CONTROL!$C$42, 121.5, 121.5)*CHOOSE(CONTROL!$C$42, 31, 31))/1000000</f>
        <v>0.43164089999999994</v>
      </c>
      <c r="X53" s="57">
        <f>(31*0.1790888*245000/1000000)+(31*0.2374*100000/1000000)</f>
        <v>2.0961194359999999</v>
      </c>
      <c r="Y53" s="57"/>
      <c r="Z53" s="14"/>
      <c r="AA53" s="56"/>
      <c r="AB53" s="50">
        <f>(B53*194.205+C53*267.466+D53*133.845+E53*53.484+F53*40+G53*185+H53*0+I53*100+J53*300)/(194.205+267.466+133.845+53.484+0+40+185+100+300)</f>
        <v>4.7827364681318691</v>
      </c>
      <c r="AC53" s="45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4.7270697841726621</v>
      </c>
    </row>
    <row r="54" spans="1:29" ht="15.75" x14ac:dyDescent="0.25">
      <c r="A54" s="13">
        <v>42522</v>
      </c>
      <c r="B54" s="14">
        <f>CHOOSE(CONTROL!$C$42, 4.8866, 4.8866) * CHOOSE(CONTROL!$C$21, $C$9, 100%, $E$9)</f>
        <v>4.8865999999999996</v>
      </c>
      <c r="C54" s="14">
        <f>CHOOSE(CONTROL!$C$42, 4.8946, 4.8946) * CHOOSE(CONTROL!$C$21, $C$9, 100%, $E$9)</f>
        <v>4.8945999999999996</v>
      </c>
      <c r="D54" s="14">
        <f>CHOOSE(CONTROL!$C$42, 5.1282, 5.1282) * CHOOSE(CONTROL!$C$21, $C$9, 100%, $E$9)</f>
        <v>5.1281999999999996</v>
      </c>
      <c r="E54" s="14">
        <f>CHOOSE(CONTROL!$C$42, 5.1597, 5.1597) * CHOOSE(CONTROL!$C$21, $C$9, 100%, $E$9)</f>
        <v>5.1597</v>
      </c>
      <c r="F54" s="14">
        <f>CHOOSE(CONTROL!$C$42, 4.8838, 4.8838)*CHOOSE(CONTROL!$C$21, $C$9, 100%, $E$9)</f>
        <v>4.8837999999999999</v>
      </c>
      <c r="G54" s="14">
        <f>CHOOSE(CONTROL!$C$42, 4.9003, 4.9003)*CHOOSE(CONTROL!$C$21, $C$9, 100%, $E$9)</f>
        <v>4.9002999999999997</v>
      </c>
      <c r="H54" s="14">
        <f>CHOOSE(CONTROL!$C$42, 5.1483, 5.1483) * CHOOSE(CONTROL!$C$21, $C$9, 100%, $E$9)</f>
        <v>5.1482999999999999</v>
      </c>
      <c r="I54" s="14">
        <f>CHOOSE(CONTROL!$C$42, 4.9178, 4.9178)* CHOOSE(CONTROL!$C$21, $C$9, 100%, $E$9)</f>
        <v>4.9177999999999997</v>
      </c>
      <c r="J54" s="14">
        <f>CHOOSE(CONTROL!$C$42, 4.8768, 4.8768)* CHOOSE(CONTROL!$C$21, $C$9, 100%, $E$9)</f>
        <v>4.8768000000000002</v>
      </c>
      <c r="K54" s="53"/>
      <c r="L54" s="14">
        <f>CHOOSE(CONTROL!$C$42, 5.7353, 5.7353) * CHOOSE(CONTROL!$C$21, $C$9, 100%, $E$9)</f>
        <v>5.7352999999999996</v>
      </c>
      <c r="M54" s="14">
        <f>CHOOSE(CONTROL!$C$42, 4.7846, 4.7846) * CHOOSE(CONTROL!$C$21, $C$9, 100%, $E$9)</f>
        <v>4.7846000000000002</v>
      </c>
      <c r="N54" s="14">
        <f>CHOOSE(CONTROL!$C$42, 4.8008, 4.8008) * CHOOSE(CONTROL!$C$21, $C$9, 100%, $E$9)</f>
        <v>4.8007999999999997</v>
      </c>
      <c r="O54" s="14">
        <f>CHOOSE(CONTROL!$C$42, 5.0505, 5.0505) * CHOOSE(CONTROL!$C$21, $C$9, 100%, $E$9)</f>
        <v>5.0505000000000004</v>
      </c>
      <c r="P54" s="14">
        <f>CHOOSE(CONTROL!$C$42, 4.8245, 4.8245) * CHOOSE(CONTROL!$C$21, $C$9, 100%, $E$9)</f>
        <v>4.8244999999999996</v>
      </c>
      <c r="Q54" s="14">
        <f>CHOOSE(CONTROL!$C$42, 5.6452, 5.6452) * CHOOSE(CONTROL!$C$21, $C$9, 100%, $E$9)</f>
        <v>5.6452</v>
      </c>
      <c r="R54" s="14">
        <f>CHOOSE(CONTROL!$C$42, 6.2463, 6.2463) * CHOOSE(CONTROL!$C$21, $C$9, 100%, $E$9)</f>
        <v>6.2462999999999997</v>
      </c>
      <c r="S54" s="14">
        <f>CHOOSE(CONTROL!$C$42, 4.6849, 4.6849) * CHOOSE(CONTROL!$C$21, $C$9, 100%, $E$9)</f>
        <v>4.6848999999999998</v>
      </c>
      <c r="T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7">
        <f>(1000*CHOOSE(CONTROL!$C$42, 695, 695)*CHOOSE(CONTROL!$C$42, 0.5599, 0.5599)*CHOOSE(CONTROL!$C$42, 30, 30))/1000000</f>
        <v>11.673914999999997</v>
      </c>
      <c r="V54" s="57">
        <f>(1000*CHOOSE(CONTROL!$C$42, 580, 580)*CHOOSE(CONTROL!$C$42, 0.275, 0.275)*CHOOSE(CONTROL!$C$42, 30, 30))/1000000</f>
        <v>4.7850000000000001</v>
      </c>
      <c r="W54" s="57">
        <f>(1000*CHOOSE(CONTROL!$C$42, 0.1146, 0.1146)*CHOOSE(CONTROL!$C$42, 121.5, 121.5)*CHOOSE(CONTROL!$C$42, 30, 30))/1000000</f>
        <v>0.417717</v>
      </c>
      <c r="X54" s="57">
        <f>(30*0.1790888*245000/1000000)+(30*0.2374*100000/1000000)</f>
        <v>2.0285026799999999</v>
      </c>
      <c r="Y54" s="57"/>
      <c r="Z54" s="14"/>
      <c r="AA54" s="56"/>
      <c r="AB54" s="50">
        <f>(B54*194.205+C54*267.466+D54*133.845+E54*53.484+F54*40+G54*185+H54*0+I54*100+J54*300)/(194.205+267.466+133.845+53.484+0+40+185+100+300)</f>
        <v>4.9271695921507064</v>
      </c>
      <c r="AC54" s="45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4.8686755395683452</v>
      </c>
    </row>
    <row r="55" spans="1:29" ht="15.75" x14ac:dyDescent="0.25">
      <c r="A55" s="13">
        <v>42552</v>
      </c>
      <c r="B55" s="14">
        <f>CHOOSE(CONTROL!$C$42, 4.8029, 4.8029) * CHOOSE(CONTROL!$C$21, $C$9, 100%, $E$9)</f>
        <v>4.8029000000000002</v>
      </c>
      <c r="C55" s="14">
        <f>CHOOSE(CONTROL!$C$42, 4.811, 4.811) * CHOOSE(CONTROL!$C$21, $C$9, 100%, $E$9)</f>
        <v>4.8109999999999999</v>
      </c>
      <c r="D55" s="14">
        <f>CHOOSE(CONTROL!$C$42, 5.0445, 5.0445) * CHOOSE(CONTROL!$C$21, $C$9, 100%, $E$9)</f>
        <v>5.0445000000000002</v>
      </c>
      <c r="E55" s="14">
        <f>CHOOSE(CONTROL!$C$42, 5.076, 5.076) * CHOOSE(CONTROL!$C$21, $C$9, 100%, $E$9)</f>
        <v>5.0759999999999996</v>
      </c>
      <c r="F55" s="14">
        <f>CHOOSE(CONTROL!$C$42, 4.8007, 4.8007)*CHOOSE(CONTROL!$C$21, $C$9, 100%, $E$9)</f>
        <v>4.8007</v>
      </c>
      <c r="G55" s="14">
        <f>CHOOSE(CONTROL!$C$42, 4.8173, 4.8173)*CHOOSE(CONTROL!$C$21, $C$9, 100%, $E$9)</f>
        <v>4.8173000000000004</v>
      </c>
      <c r="H55" s="14">
        <f>CHOOSE(CONTROL!$C$42, 5.0646, 5.0646) * CHOOSE(CONTROL!$C$21, $C$9, 100%, $E$9)</f>
        <v>5.0646000000000004</v>
      </c>
      <c r="I55" s="14">
        <f>CHOOSE(CONTROL!$C$42, 4.8339, 4.8339)* CHOOSE(CONTROL!$C$21, $C$9, 100%, $E$9)</f>
        <v>4.8338999999999999</v>
      </c>
      <c r="J55" s="14">
        <f>CHOOSE(CONTROL!$C$42, 4.7937, 4.7937)* CHOOSE(CONTROL!$C$21, $C$9, 100%, $E$9)</f>
        <v>4.7937000000000003</v>
      </c>
      <c r="K55" s="53"/>
      <c r="L55" s="14">
        <f>CHOOSE(CONTROL!$C$42, 5.6516, 5.6516) * CHOOSE(CONTROL!$C$21, $C$9, 100%, $E$9)</f>
        <v>5.6516000000000002</v>
      </c>
      <c r="M55" s="14">
        <f>CHOOSE(CONTROL!$C$42, 4.7032, 4.7032) * CHOOSE(CONTROL!$C$21, $C$9, 100%, $E$9)</f>
        <v>4.7031999999999998</v>
      </c>
      <c r="N55" s="14">
        <f>CHOOSE(CONTROL!$C$42, 4.7194, 4.7194) * CHOOSE(CONTROL!$C$21, $C$9, 100%, $E$9)</f>
        <v>4.7194000000000003</v>
      </c>
      <c r="O55" s="14">
        <f>CHOOSE(CONTROL!$C$42, 4.9686, 4.9686) * CHOOSE(CONTROL!$C$21, $C$9, 100%, $E$9)</f>
        <v>4.9686000000000003</v>
      </c>
      <c r="P55" s="14">
        <f>CHOOSE(CONTROL!$C$42, 4.7423, 4.7423) * CHOOSE(CONTROL!$C$21, $C$9, 100%, $E$9)</f>
        <v>4.7423000000000002</v>
      </c>
      <c r="Q55" s="14">
        <f>CHOOSE(CONTROL!$C$42, 5.5633, 5.5633) * CHOOSE(CONTROL!$C$21, $C$9, 100%, $E$9)</f>
        <v>5.5632999999999999</v>
      </c>
      <c r="R55" s="14">
        <f>CHOOSE(CONTROL!$C$42, 6.1642, 6.1642) * CHOOSE(CONTROL!$C$21, $C$9, 100%, $E$9)</f>
        <v>6.1642000000000001</v>
      </c>
      <c r="S55" s="14">
        <f>CHOOSE(CONTROL!$C$42, 4.6045, 4.6045) * CHOOSE(CONTROL!$C$21, $C$9, 100%, $E$9)</f>
        <v>4.6044999999999998</v>
      </c>
      <c r="T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7">
        <f>(1000*CHOOSE(CONTROL!$C$42, 695, 695)*CHOOSE(CONTROL!$C$42, 0.5599, 0.5599)*CHOOSE(CONTROL!$C$42, 31, 31))/1000000</f>
        <v>12.063045499999998</v>
      </c>
      <c r="V55" s="57">
        <f>(1000*CHOOSE(CONTROL!$C$42, 580, 580)*CHOOSE(CONTROL!$C$42, 0.275, 0.275)*CHOOSE(CONTROL!$C$42, 31, 31))/1000000</f>
        <v>4.9444999999999997</v>
      </c>
      <c r="W55" s="57">
        <f>(1000*CHOOSE(CONTROL!$C$42, 0.1146, 0.1146)*CHOOSE(CONTROL!$C$42, 121.5, 121.5)*CHOOSE(CONTROL!$C$42, 31, 31))/1000000</f>
        <v>0.43164089999999994</v>
      </c>
      <c r="X55" s="57">
        <f>(31*0.1790888*245000/1000000)+(31*0.2374*100000/1000000)</f>
        <v>2.0961194359999999</v>
      </c>
      <c r="Y55" s="57"/>
      <c r="Z55" s="14"/>
      <c r="AA55" s="56"/>
      <c r="AB55" s="50">
        <f>(B55*194.205+C55*267.466+D55*133.845+E55*53.484+F55*40+G55*185+H55*0+I55*100+J55*300)/(194.205+267.466+133.845+53.484+0+40+185+100+300)</f>
        <v>4.8437366616954476</v>
      </c>
      <c r="AC55" s="45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4.7870201438848925</v>
      </c>
    </row>
    <row r="56" spans="1:29" ht="15.75" x14ac:dyDescent="0.25">
      <c r="A56" s="13">
        <v>42583</v>
      </c>
      <c r="B56" s="14">
        <f>CHOOSE(CONTROL!$C$42, 4.5757, 4.5757) * CHOOSE(CONTROL!$C$21, $C$9, 100%, $E$9)</f>
        <v>4.5757000000000003</v>
      </c>
      <c r="C56" s="14">
        <f>CHOOSE(CONTROL!$C$42, 4.5837, 4.5837) * CHOOSE(CONTROL!$C$21, $C$9, 100%, $E$9)</f>
        <v>4.5837000000000003</v>
      </c>
      <c r="D56" s="14">
        <f>CHOOSE(CONTROL!$C$42, 4.8173, 4.8173) * CHOOSE(CONTROL!$C$21, $C$9, 100%, $E$9)</f>
        <v>4.8173000000000004</v>
      </c>
      <c r="E56" s="14">
        <f>CHOOSE(CONTROL!$C$42, 4.8488, 4.8488) * CHOOSE(CONTROL!$C$21, $C$9, 100%, $E$9)</f>
        <v>4.8487999999999998</v>
      </c>
      <c r="F56" s="14">
        <f>CHOOSE(CONTROL!$C$42, 4.5737, 4.5737)*CHOOSE(CONTROL!$C$21, $C$9, 100%, $E$9)</f>
        <v>4.5736999999999997</v>
      </c>
      <c r="G56" s="14">
        <f>CHOOSE(CONTROL!$C$42, 4.5903, 4.5903)*CHOOSE(CONTROL!$C$21, $C$9, 100%, $E$9)</f>
        <v>4.5903</v>
      </c>
      <c r="H56" s="14">
        <f>CHOOSE(CONTROL!$C$42, 4.8374, 4.8374) * CHOOSE(CONTROL!$C$21, $C$9, 100%, $E$9)</f>
        <v>4.8373999999999997</v>
      </c>
      <c r="I56" s="14">
        <f>CHOOSE(CONTROL!$C$42, 4.6059, 4.6059)* CHOOSE(CONTROL!$C$21, $C$9, 100%, $E$9)</f>
        <v>4.6059000000000001</v>
      </c>
      <c r="J56" s="14">
        <f>CHOOSE(CONTROL!$C$42, 4.5667, 4.5667)* CHOOSE(CONTROL!$C$21, $C$9, 100%, $E$9)</f>
        <v>4.5667</v>
      </c>
      <c r="K56" s="53"/>
      <c r="L56" s="14">
        <f>CHOOSE(CONTROL!$C$42, 5.4244, 5.4244) * CHOOSE(CONTROL!$C$21, $C$9, 100%, $E$9)</f>
        <v>5.4244000000000003</v>
      </c>
      <c r="M56" s="14">
        <f>CHOOSE(CONTROL!$C$42, 4.4808, 4.4808) * CHOOSE(CONTROL!$C$21, $C$9, 100%, $E$9)</f>
        <v>4.4808000000000003</v>
      </c>
      <c r="N56" s="14">
        <f>CHOOSE(CONTROL!$C$42, 4.4971, 4.4971) * CHOOSE(CONTROL!$C$21, $C$9, 100%, $E$9)</f>
        <v>4.4970999999999997</v>
      </c>
      <c r="O56" s="14">
        <f>CHOOSE(CONTROL!$C$42, 4.746, 4.746) * CHOOSE(CONTROL!$C$21, $C$9, 100%, $E$9)</f>
        <v>4.7460000000000004</v>
      </c>
      <c r="P56" s="14">
        <f>CHOOSE(CONTROL!$C$42, 4.519, 4.519) * CHOOSE(CONTROL!$C$21, $C$9, 100%, $E$9)</f>
        <v>4.5190000000000001</v>
      </c>
      <c r="Q56" s="14">
        <f>CHOOSE(CONTROL!$C$42, 5.3407, 5.3407) * CHOOSE(CONTROL!$C$21, $C$9, 100%, $E$9)</f>
        <v>5.3407</v>
      </c>
      <c r="R56" s="14">
        <f>CHOOSE(CONTROL!$C$42, 5.941, 5.941) * CHOOSE(CONTROL!$C$21, $C$9, 100%, $E$9)</f>
        <v>5.9409999999999998</v>
      </c>
      <c r="S56" s="14">
        <f>CHOOSE(CONTROL!$C$42, 4.3861, 4.3861) * CHOOSE(CONTROL!$C$21, $C$9, 100%, $E$9)</f>
        <v>4.3860999999999999</v>
      </c>
      <c r="T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7">
        <f>(1000*CHOOSE(CONTROL!$C$42, 695, 695)*CHOOSE(CONTROL!$C$42, 0.5599, 0.5599)*CHOOSE(CONTROL!$C$42, 31, 31))/1000000</f>
        <v>12.063045499999998</v>
      </c>
      <c r="V56" s="57">
        <f>(1000*CHOOSE(CONTROL!$C$42, 580, 580)*CHOOSE(CONTROL!$C$42, 0.275, 0.275)*CHOOSE(CONTROL!$C$42, 31, 31))/1000000</f>
        <v>4.9444999999999997</v>
      </c>
      <c r="W56" s="57">
        <f>(1000*CHOOSE(CONTROL!$C$42, 0.1146, 0.1146)*CHOOSE(CONTROL!$C$42, 121.5, 121.5)*CHOOSE(CONTROL!$C$42, 31, 31))/1000000</f>
        <v>0.43164089999999994</v>
      </c>
      <c r="X56" s="57">
        <f>(31*0.1790888*245000/1000000)+(31*0.2374*100000/1000000)</f>
        <v>2.0961194359999999</v>
      </c>
      <c r="Y56" s="57"/>
      <c r="Z56" s="14"/>
      <c r="AA56" s="56"/>
      <c r="AB56" s="50">
        <f>(B56*194.205+C56*267.466+D56*133.845+E56*53.484+F56*40+G56*185+H56*0+I56*100+J56*300)/(194.205+267.466+133.845+53.484+0+40+185+100+300)</f>
        <v>4.6165352907378336</v>
      </c>
      <c r="AC56" s="45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4.5644575539568351</v>
      </c>
    </row>
    <row r="57" spans="1:29" ht="15.75" x14ac:dyDescent="0.25">
      <c r="A57" s="13">
        <v>42614</v>
      </c>
      <c r="B57" s="14">
        <f>CHOOSE(CONTROL!$C$42, 4.2943, 4.2943) * CHOOSE(CONTROL!$C$21, $C$9, 100%, $E$9)</f>
        <v>4.2942999999999998</v>
      </c>
      <c r="C57" s="14">
        <f>CHOOSE(CONTROL!$C$42, 4.3023, 4.3023) * CHOOSE(CONTROL!$C$21, $C$9, 100%, $E$9)</f>
        <v>4.3022999999999998</v>
      </c>
      <c r="D57" s="14">
        <f>CHOOSE(CONTROL!$C$42, 4.5359, 4.5359) * CHOOSE(CONTROL!$C$21, $C$9, 100%, $E$9)</f>
        <v>4.5358999999999998</v>
      </c>
      <c r="E57" s="14">
        <f>CHOOSE(CONTROL!$C$42, 4.5674, 4.5674) * CHOOSE(CONTROL!$C$21, $C$9, 100%, $E$9)</f>
        <v>4.5674000000000001</v>
      </c>
      <c r="F57" s="14">
        <f>CHOOSE(CONTROL!$C$42, 4.2923, 4.2923)*CHOOSE(CONTROL!$C$21, $C$9, 100%, $E$9)</f>
        <v>4.2923</v>
      </c>
      <c r="G57" s="14">
        <f>CHOOSE(CONTROL!$C$42, 4.309, 4.309)*CHOOSE(CONTROL!$C$21, $C$9, 100%, $E$9)</f>
        <v>4.3090000000000002</v>
      </c>
      <c r="H57" s="14">
        <f>CHOOSE(CONTROL!$C$42, 4.556, 4.556) * CHOOSE(CONTROL!$C$21, $C$9, 100%, $E$9)</f>
        <v>4.556</v>
      </c>
      <c r="I57" s="14">
        <f>CHOOSE(CONTROL!$C$42, 4.3236, 4.3236)* CHOOSE(CONTROL!$C$21, $C$9, 100%, $E$9)</f>
        <v>4.3235999999999999</v>
      </c>
      <c r="J57" s="14">
        <f>CHOOSE(CONTROL!$C$42, 4.2853, 4.2853)* CHOOSE(CONTROL!$C$21, $C$9, 100%, $E$9)</f>
        <v>4.2853000000000003</v>
      </c>
      <c r="K57" s="53"/>
      <c r="L57" s="14">
        <f>CHOOSE(CONTROL!$C$42, 5.143, 5.143) * CHOOSE(CONTROL!$C$21, $C$9, 100%, $E$9)</f>
        <v>5.1429999999999998</v>
      </c>
      <c r="M57" s="14">
        <f>CHOOSE(CONTROL!$C$42, 4.2052, 4.2052) * CHOOSE(CONTROL!$C$21, $C$9, 100%, $E$9)</f>
        <v>4.2051999999999996</v>
      </c>
      <c r="N57" s="14">
        <f>CHOOSE(CONTROL!$C$42, 4.2215, 4.2215) * CHOOSE(CONTROL!$C$21, $C$9, 100%, $E$9)</f>
        <v>4.2214999999999998</v>
      </c>
      <c r="O57" s="14">
        <f>CHOOSE(CONTROL!$C$42, 4.4704, 4.4704) * CHOOSE(CONTROL!$C$21, $C$9, 100%, $E$9)</f>
        <v>4.4703999999999997</v>
      </c>
      <c r="P57" s="14">
        <f>CHOOSE(CONTROL!$C$42, 4.2426, 4.2426) * CHOOSE(CONTROL!$C$21, $C$9, 100%, $E$9)</f>
        <v>4.2426000000000004</v>
      </c>
      <c r="Q57" s="14">
        <f>CHOOSE(CONTROL!$C$42, 5.0651, 5.0651) * CHOOSE(CONTROL!$C$21, $C$9, 100%, $E$9)</f>
        <v>5.0651000000000002</v>
      </c>
      <c r="R57" s="14">
        <f>CHOOSE(CONTROL!$C$42, 5.6647, 5.6647) * CHOOSE(CONTROL!$C$21, $C$9, 100%, $E$9)</f>
        <v>5.6646999999999998</v>
      </c>
      <c r="S57" s="14">
        <f>CHOOSE(CONTROL!$C$42, 4.1158, 4.1158) * CHOOSE(CONTROL!$C$21, $C$9, 100%, $E$9)</f>
        <v>4.1158000000000001</v>
      </c>
      <c r="T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7">
        <f>(1000*CHOOSE(CONTROL!$C$42, 695, 695)*CHOOSE(CONTROL!$C$42, 0.5599, 0.5599)*CHOOSE(CONTROL!$C$42, 30, 30))/1000000</f>
        <v>11.673914999999997</v>
      </c>
      <c r="V57" s="57">
        <f>(1000*CHOOSE(CONTROL!$C$42, 580, 580)*CHOOSE(CONTROL!$C$42, 0.275, 0.275)*CHOOSE(CONTROL!$C$42, 30, 30))/1000000</f>
        <v>4.7850000000000001</v>
      </c>
      <c r="W57" s="57">
        <f>(1000*CHOOSE(CONTROL!$C$42, 0.1146, 0.1146)*CHOOSE(CONTROL!$C$42, 121.5, 121.5)*CHOOSE(CONTROL!$C$42, 30, 30))/1000000</f>
        <v>0.417717</v>
      </c>
      <c r="X57" s="57">
        <f>(30*0.1790888*245000/1000000)+(30*0.2374*100000/1000000)</f>
        <v>2.0285026799999999</v>
      </c>
      <c r="Y57" s="57"/>
      <c r="Z57" s="14"/>
      <c r="AA57" s="56"/>
      <c r="AB57" s="50">
        <f>(B57*194.205+C57*267.466+D57*133.845+E57*53.484+F57*40+G57*185+H57*0+I57*100+J57*300)/(194.205+267.466+133.845+53.484+0+40+185+100+300)</f>
        <v>4.3350791682888543</v>
      </c>
      <c r="AC57" s="45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4.2887424460431651</v>
      </c>
    </row>
    <row r="58" spans="1:29" ht="15.75" x14ac:dyDescent="0.25">
      <c r="A58" s="13">
        <v>42644</v>
      </c>
      <c r="B58" s="14">
        <f>CHOOSE(CONTROL!$C$42, 4.2142, 4.2142) * CHOOSE(CONTROL!$C$21, $C$9, 100%, $E$9)</f>
        <v>4.2141999999999999</v>
      </c>
      <c r="C58" s="14">
        <f>CHOOSE(CONTROL!$C$42, 4.2196, 4.2196) * CHOOSE(CONTROL!$C$21, $C$9, 100%, $E$9)</f>
        <v>4.2195999999999998</v>
      </c>
      <c r="D58" s="14">
        <f>CHOOSE(CONTROL!$C$42, 4.4581, 4.4581) * CHOOSE(CONTROL!$C$21, $C$9, 100%, $E$9)</f>
        <v>4.4581</v>
      </c>
      <c r="E58" s="14">
        <f>CHOOSE(CONTROL!$C$42, 4.4873, 4.4873) * CHOOSE(CONTROL!$C$21, $C$9, 100%, $E$9)</f>
        <v>4.4873000000000003</v>
      </c>
      <c r="F58" s="14">
        <f>CHOOSE(CONTROL!$C$42, 4.2143, 4.2143)*CHOOSE(CONTROL!$C$21, $C$9, 100%, $E$9)</f>
        <v>4.2142999999999997</v>
      </c>
      <c r="G58" s="14">
        <f>CHOOSE(CONTROL!$C$42, 4.2305, 4.2305)*CHOOSE(CONTROL!$C$21, $C$9, 100%, $E$9)</f>
        <v>4.2305000000000001</v>
      </c>
      <c r="H58" s="14">
        <f>CHOOSE(CONTROL!$C$42, 4.4777, 4.4777) * CHOOSE(CONTROL!$C$21, $C$9, 100%, $E$9)</f>
        <v>4.4776999999999996</v>
      </c>
      <c r="I58" s="14">
        <f>CHOOSE(CONTROL!$C$42, 4.2451, 4.2451)* CHOOSE(CONTROL!$C$21, $C$9, 100%, $E$9)</f>
        <v>4.2450999999999999</v>
      </c>
      <c r="J58" s="14">
        <f>CHOOSE(CONTROL!$C$42, 4.2073, 4.2073)* CHOOSE(CONTROL!$C$21, $C$9, 100%, $E$9)</f>
        <v>4.2073</v>
      </c>
      <c r="K58" s="53"/>
      <c r="L58" s="14">
        <f>CHOOSE(CONTROL!$C$42, 5.0647, 5.0647) * CHOOSE(CONTROL!$C$21, $C$9, 100%, $E$9)</f>
        <v>5.0647000000000002</v>
      </c>
      <c r="M58" s="14">
        <f>CHOOSE(CONTROL!$C$42, 4.1288, 4.1288) * CHOOSE(CONTROL!$C$21, $C$9, 100%, $E$9)</f>
        <v>4.1288</v>
      </c>
      <c r="N58" s="14">
        <f>CHOOSE(CONTROL!$C$42, 4.1447, 4.1447) * CHOOSE(CONTROL!$C$21, $C$9, 100%, $E$9)</f>
        <v>4.1447000000000003</v>
      </c>
      <c r="O58" s="14">
        <f>CHOOSE(CONTROL!$C$42, 4.3937, 4.3937) * CHOOSE(CONTROL!$C$21, $C$9, 100%, $E$9)</f>
        <v>4.3936999999999999</v>
      </c>
      <c r="P58" s="14">
        <f>CHOOSE(CONTROL!$C$42, 4.1656, 4.1656) * CHOOSE(CONTROL!$C$21, $C$9, 100%, $E$9)</f>
        <v>4.1656000000000004</v>
      </c>
      <c r="Q58" s="14">
        <f>CHOOSE(CONTROL!$C$42, 4.9884, 4.9884) * CHOOSE(CONTROL!$C$21, $C$9, 100%, $E$9)</f>
        <v>4.9884000000000004</v>
      </c>
      <c r="R58" s="14">
        <f>CHOOSE(CONTROL!$C$42, 5.5878, 5.5878) * CHOOSE(CONTROL!$C$21, $C$9, 100%, $E$9)</f>
        <v>5.5877999999999997</v>
      </c>
      <c r="S58" s="14">
        <f>CHOOSE(CONTROL!$C$42, 4.0405, 4.0405) * CHOOSE(CONTROL!$C$21, $C$9, 100%, $E$9)</f>
        <v>4.0404999999999998</v>
      </c>
      <c r="T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7">
        <f>(1000*CHOOSE(CONTROL!$C$42, 695, 695)*CHOOSE(CONTROL!$C$42, 0.5599, 0.5599)*CHOOSE(CONTROL!$C$42, 31, 31))/1000000</f>
        <v>12.063045499999998</v>
      </c>
      <c r="V58" s="57">
        <f>(1000*CHOOSE(CONTROL!$C$42, 580, 580)*CHOOSE(CONTROL!$C$42, 0.275, 0.275)*CHOOSE(CONTROL!$C$42, 31, 31))/1000000</f>
        <v>4.9444999999999997</v>
      </c>
      <c r="W58" s="57">
        <f>(1000*CHOOSE(CONTROL!$C$42, 0.1146, 0.1146)*CHOOSE(CONTROL!$C$42, 121.5, 121.5)*CHOOSE(CONTROL!$C$42, 31, 31))/1000000</f>
        <v>0.43164089999999994</v>
      </c>
      <c r="X58" s="57">
        <f>(31*0.1790888*245000/1000000)+(31*0.2374*100000/1000000)</f>
        <v>2.0961194359999999</v>
      </c>
      <c r="Y58" s="57"/>
      <c r="Z58" s="14"/>
      <c r="AA58" s="56"/>
      <c r="AB58" s="50">
        <f>(B58*131.881+C58*277.167+D58*79.08+E58*125.872+F58*40+G58*185+H58*0+I58*100+J58*300)/(131.881+277.167+79.08+125.872+0+40+185+100+300)</f>
        <v>4.2619800298627926</v>
      </c>
      <c r="AC58" s="45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4.2120798561151078</v>
      </c>
    </row>
    <row r="59" spans="1:29" ht="15.75" x14ac:dyDescent="0.25">
      <c r="A59" s="13">
        <v>42675</v>
      </c>
      <c r="B59" s="14">
        <f>CHOOSE(CONTROL!$C$42, 4.3335, 4.3335) * CHOOSE(CONTROL!$C$21, $C$9, 100%, $E$9)</f>
        <v>4.3334999999999999</v>
      </c>
      <c r="C59" s="14">
        <f>CHOOSE(CONTROL!$C$42, 4.3385, 4.3385) * CHOOSE(CONTROL!$C$21, $C$9, 100%, $E$9)</f>
        <v>4.3384999999999998</v>
      </c>
      <c r="D59" s="14">
        <f>CHOOSE(CONTROL!$C$42, 4.4128, 4.4128) * CHOOSE(CONTROL!$C$21, $C$9, 100%, $E$9)</f>
        <v>4.4127999999999998</v>
      </c>
      <c r="E59" s="14">
        <f>CHOOSE(CONTROL!$C$42, 4.4469, 4.4469) * CHOOSE(CONTROL!$C$21, $C$9, 100%, $E$9)</f>
        <v>4.4469000000000003</v>
      </c>
      <c r="F59" s="14">
        <f>CHOOSE(CONTROL!$C$42, 4.3455, 4.3455)*CHOOSE(CONTROL!$C$21, $C$9, 100%, $E$9)</f>
        <v>4.3455000000000004</v>
      </c>
      <c r="G59" s="14">
        <f>CHOOSE(CONTROL!$C$42, 4.3621, 4.3621)*CHOOSE(CONTROL!$C$21, $C$9, 100%, $E$9)</f>
        <v>4.3620999999999999</v>
      </c>
      <c r="H59" s="14">
        <f>CHOOSE(CONTROL!$C$42, 4.4361, 4.4361) * CHOOSE(CONTROL!$C$21, $C$9, 100%, $E$9)</f>
        <v>4.4360999999999997</v>
      </c>
      <c r="I59" s="14">
        <f>CHOOSE(CONTROL!$C$42, 4.3714, 4.3714)* CHOOSE(CONTROL!$C$21, $C$9, 100%, $E$9)</f>
        <v>4.3714000000000004</v>
      </c>
      <c r="J59" s="14">
        <f>CHOOSE(CONTROL!$C$42, 4.3385, 4.3385)* CHOOSE(CONTROL!$C$21, $C$9, 100%, $E$9)</f>
        <v>4.3384999999999998</v>
      </c>
      <c r="K59" s="53"/>
      <c r="L59" s="14">
        <f>CHOOSE(CONTROL!$C$42, 5.0231, 5.0231) * CHOOSE(CONTROL!$C$21, $C$9, 100%, $E$9)</f>
        <v>5.0231000000000003</v>
      </c>
      <c r="M59" s="14">
        <f>CHOOSE(CONTROL!$C$42, 4.2573, 4.2573) * CHOOSE(CONTROL!$C$21, $C$9, 100%, $E$9)</f>
        <v>4.2572999999999999</v>
      </c>
      <c r="N59" s="14">
        <f>CHOOSE(CONTROL!$C$42, 4.2736, 4.2736) * CHOOSE(CONTROL!$C$21, $C$9, 100%, $E$9)</f>
        <v>4.2736000000000001</v>
      </c>
      <c r="O59" s="14">
        <f>CHOOSE(CONTROL!$C$42, 4.3529, 4.3529) * CHOOSE(CONTROL!$C$21, $C$9, 100%, $E$9)</f>
        <v>4.3529</v>
      </c>
      <c r="P59" s="14">
        <f>CHOOSE(CONTROL!$C$42, 4.2893, 4.2893) * CHOOSE(CONTROL!$C$21, $C$9, 100%, $E$9)</f>
        <v>4.2892999999999999</v>
      </c>
      <c r="Q59" s="14">
        <f>CHOOSE(CONTROL!$C$42, 4.9476, 4.9476) * CHOOSE(CONTROL!$C$21, $C$9, 100%, $E$9)</f>
        <v>4.9476000000000004</v>
      </c>
      <c r="R59" s="14">
        <f>CHOOSE(CONTROL!$C$42, 5.5469, 5.5469) * CHOOSE(CONTROL!$C$21, $C$9, 100%, $E$9)</f>
        <v>5.5468999999999999</v>
      </c>
      <c r="S59" s="14">
        <f>CHOOSE(CONTROL!$C$42, 4.1555, 4.1555) * CHOOSE(CONTROL!$C$21, $C$9, 100%, $E$9)</f>
        <v>4.1555</v>
      </c>
      <c r="T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7">
        <f>(1000*CHOOSE(CONTROL!$C$42, 695, 695)*CHOOSE(CONTROL!$C$42, 0.5599, 0.5599)*CHOOSE(CONTROL!$C$42, 30, 30))/1000000</f>
        <v>11.673914999999997</v>
      </c>
      <c r="V59" s="57">
        <f>(1000*CHOOSE(CONTROL!$C$42, 580, 580)*CHOOSE(CONTROL!$C$42, 0.275, 0.275)*CHOOSE(CONTROL!$C$42, 30, 30))/1000000</f>
        <v>4.7850000000000001</v>
      </c>
      <c r="W59" s="57">
        <f>(1000*CHOOSE(CONTROL!$C$42, 0.1146, 0.1146)*CHOOSE(CONTROL!$C$42, 121.5, 121.5)*CHOOSE(CONTROL!$C$42, 30, 30))/1000000</f>
        <v>0.417717</v>
      </c>
      <c r="X59" s="57">
        <f>(30*0.1790888*100000/1000000)+(30*0.2374*100000/1000000)</f>
        <v>1.2494664</v>
      </c>
      <c r="Y59" s="57"/>
      <c r="Z59" s="14"/>
      <c r="AA59" s="56"/>
      <c r="AB59" s="50">
        <f>(B59*122.58+C59*297.941+D59*89.177+E59*40.302+F59*40+G59*160+H59*0+I59*100+J59*300)/(122.58+297.941+89.177+40.302+0+40+160+100+300)</f>
        <v>4.3539153807826088</v>
      </c>
      <c r="AC59" s="45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4.3061719424460421</v>
      </c>
    </row>
    <row r="60" spans="1:29" ht="15.75" x14ac:dyDescent="0.25">
      <c r="A60" s="13">
        <v>42705</v>
      </c>
      <c r="B60" s="14">
        <f>CHOOSE(CONTROL!$C$42, 4.6378, 4.6378) * CHOOSE(CONTROL!$C$21, $C$9, 100%, $E$9)</f>
        <v>4.6378000000000004</v>
      </c>
      <c r="C60" s="14">
        <f>CHOOSE(CONTROL!$C$42, 4.6428, 4.6428) * CHOOSE(CONTROL!$C$21, $C$9, 100%, $E$9)</f>
        <v>4.6428000000000003</v>
      </c>
      <c r="D60" s="14">
        <f>CHOOSE(CONTROL!$C$42, 4.7171, 4.7171) * CHOOSE(CONTROL!$C$21, $C$9, 100%, $E$9)</f>
        <v>4.7171000000000003</v>
      </c>
      <c r="E60" s="14">
        <f>CHOOSE(CONTROL!$C$42, 4.7512, 4.7512) * CHOOSE(CONTROL!$C$21, $C$9, 100%, $E$9)</f>
        <v>4.7511999999999999</v>
      </c>
      <c r="F60" s="14">
        <f>CHOOSE(CONTROL!$C$42, 4.652, 4.652)*CHOOSE(CONTROL!$C$21, $C$9, 100%, $E$9)</f>
        <v>4.6520000000000001</v>
      </c>
      <c r="G60" s="14">
        <f>CHOOSE(CONTROL!$C$42, 4.6692, 4.6692)*CHOOSE(CONTROL!$C$21, $C$9, 100%, $E$9)</f>
        <v>4.6692</v>
      </c>
      <c r="H60" s="14">
        <f>CHOOSE(CONTROL!$C$42, 4.7404, 4.7404) * CHOOSE(CONTROL!$C$21, $C$9, 100%, $E$9)</f>
        <v>4.7404000000000002</v>
      </c>
      <c r="I60" s="14">
        <f>CHOOSE(CONTROL!$C$42, 4.6766, 4.6766)* CHOOSE(CONTROL!$C$21, $C$9, 100%, $E$9)</f>
        <v>4.6765999999999996</v>
      </c>
      <c r="J60" s="14">
        <f>CHOOSE(CONTROL!$C$42, 4.645, 4.645)* CHOOSE(CONTROL!$C$21, $C$9, 100%, $E$9)</f>
        <v>4.6449999999999996</v>
      </c>
      <c r="K60" s="53"/>
      <c r="L60" s="14">
        <f>CHOOSE(CONTROL!$C$42, 5.3274, 5.3274) * CHOOSE(CONTROL!$C$21, $C$9, 100%, $E$9)</f>
        <v>5.3273999999999999</v>
      </c>
      <c r="M60" s="14">
        <f>CHOOSE(CONTROL!$C$42, 4.5575, 4.5575) * CHOOSE(CONTROL!$C$21, $C$9, 100%, $E$9)</f>
        <v>4.5575000000000001</v>
      </c>
      <c r="N60" s="14">
        <f>CHOOSE(CONTROL!$C$42, 4.5743, 4.5743) * CHOOSE(CONTROL!$C$21, $C$9, 100%, $E$9)</f>
        <v>4.5743</v>
      </c>
      <c r="O60" s="14">
        <f>CHOOSE(CONTROL!$C$42, 4.6509, 4.6509) * CHOOSE(CONTROL!$C$21, $C$9, 100%, $E$9)</f>
        <v>4.6509</v>
      </c>
      <c r="P60" s="14">
        <f>CHOOSE(CONTROL!$C$42, 4.5883, 4.5883) * CHOOSE(CONTROL!$C$21, $C$9, 100%, $E$9)</f>
        <v>4.5883000000000003</v>
      </c>
      <c r="Q60" s="14">
        <f>CHOOSE(CONTROL!$C$42, 5.2456, 5.2456) * CHOOSE(CONTROL!$C$21, $C$9, 100%, $E$9)</f>
        <v>5.2455999999999996</v>
      </c>
      <c r="R60" s="14">
        <f>CHOOSE(CONTROL!$C$42, 5.8457, 5.8457) * CHOOSE(CONTROL!$C$21, $C$9, 100%, $E$9)</f>
        <v>5.8456999999999999</v>
      </c>
      <c r="S60" s="14">
        <f>CHOOSE(CONTROL!$C$42, 4.4479, 4.4479) * CHOOSE(CONTROL!$C$21, $C$9, 100%, $E$9)</f>
        <v>4.4478999999999997</v>
      </c>
      <c r="T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7">
        <f>(1000*CHOOSE(CONTROL!$C$42, 695, 695)*CHOOSE(CONTROL!$C$42, 0.5599, 0.5599)*CHOOSE(CONTROL!$C$42, 31, 31))/1000000</f>
        <v>12.063045499999998</v>
      </c>
      <c r="V60" s="57">
        <f>(1000*CHOOSE(CONTROL!$C$42, 580, 580)*CHOOSE(CONTROL!$C$42, 0.275, 0.275)*CHOOSE(CONTROL!$C$42, 31, 31))/1000000</f>
        <v>4.9444999999999997</v>
      </c>
      <c r="W60" s="57">
        <f>(1000*CHOOSE(CONTROL!$C$42, 0.1146, 0.1146)*CHOOSE(CONTROL!$C$42, 121.5, 121.5)*CHOOSE(CONTROL!$C$42, 31, 31))/1000000</f>
        <v>0.43164089999999994</v>
      </c>
      <c r="X60" s="57">
        <f>(31*0.1790888*100000/1000000)+(31*0.2374*100000/1000000)</f>
        <v>1.2911152800000001</v>
      </c>
      <c r="Y60" s="57"/>
      <c r="Z60" s="14"/>
      <c r="AA60" s="56"/>
      <c r="AB60" s="50">
        <f>(B60*122.58+C60*297.941+D60*89.177+E60*40.302+F60*40+G60*160+H60*0+I60*100+J60*300)/(122.58+297.941+89.177+40.302+0+40+160+100+300)</f>
        <v>4.6593336416521733</v>
      </c>
      <c r="AC60" s="45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4.6052309352517984</v>
      </c>
    </row>
    <row r="61" spans="1:29" ht="15.75" x14ac:dyDescent="0.25">
      <c r="A61" s="13">
        <v>42736</v>
      </c>
      <c r="B61" s="14">
        <f>CHOOSE(CONTROL!$C$42, 5.1182, 5.1182) * CHOOSE(CONTROL!$C$21, $C$9, 100%, $E$9)</f>
        <v>5.1181999999999999</v>
      </c>
      <c r="C61" s="14">
        <f>CHOOSE(CONTROL!$C$42, 5.1232, 5.1232) * CHOOSE(CONTROL!$C$21, $C$9, 100%, $E$9)</f>
        <v>5.1231999999999998</v>
      </c>
      <c r="D61" s="14">
        <f>CHOOSE(CONTROL!$C$42, 5.2001, 5.2001) * CHOOSE(CONTROL!$C$21, $C$9, 100%, $E$9)</f>
        <v>5.2000999999999999</v>
      </c>
      <c r="E61" s="14">
        <f>CHOOSE(CONTROL!$C$42, 5.2342, 5.2342) * CHOOSE(CONTROL!$C$21, $C$9, 100%, $E$9)</f>
        <v>5.2342000000000004</v>
      </c>
      <c r="F61" s="14">
        <f>CHOOSE(CONTROL!$C$42, 5.1184, 5.1184)*CHOOSE(CONTROL!$C$21, $C$9, 100%, $E$9)</f>
        <v>5.1184000000000003</v>
      </c>
      <c r="G61" s="14">
        <f>CHOOSE(CONTROL!$C$42, 5.1346, 5.1346)*CHOOSE(CONTROL!$C$21, $C$9, 100%, $E$9)</f>
        <v>5.1345999999999998</v>
      </c>
      <c r="H61" s="14">
        <f>CHOOSE(CONTROL!$C$42, 5.2234, 5.2234) * CHOOSE(CONTROL!$C$21, $C$9, 100%, $E$9)</f>
        <v>5.2233999999999998</v>
      </c>
      <c r="I61" s="14">
        <f>CHOOSE(CONTROL!$C$42, 5.1523, 5.1523)* CHOOSE(CONTROL!$C$21, $C$9, 100%, $E$9)</f>
        <v>5.1523000000000003</v>
      </c>
      <c r="J61" s="14">
        <f>CHOOSE(CONTROL!$C$42, 5.1114, 5.1114)* CHOOSE(CONTROL!$C$21, $C$9, 100%, $E$9)</f>
        <v>5.1113999999999997</v>
      </c>
      <c r="K61" s="53">
        <f>CHOOSE(CONTROL!$C$42, 5.1484, 5.1484) * CHOOSE(CONTROL!$C$21, $C$9, 100%, $E$9)</f>
        <v>5.1483999999999996</v>
      </c>
      <c r="L61" s="14">
        <f>CHOOSE(CONTROL!$C$42, 5.8104, 5.8104) * CHOOSE(CONTROL!$C$21, $C$9, 100%, $E$9)</f>
        <v>5.8103999999999996</v>
      </c>
      <c r="M61" s="14">
        <f>CHOOSE(CONTROL!$C$42, 5.0143, 5.0143) * CHOOSE(CONTROL!$C$21, $C$9, 100%, $E$9)</f>
        <v>5.0143000000000004</v>
      </c>
      <c r="N61" s="14">
        <f>CHOOSE(CONTROL!$C$42, 5.0302, 5.0302) * CHOOSE(CONTROL!$C$21, $C$9, 100%, $E$9)</f>
        <v>5.0301999999999998</v>
      </c>
      <c r="O61" s="14">
        <f>CHOOSE(CONTROL!$C$42, 5.124, 5.124) * CHOOSE(CONTROL!$C$21, $C$9, 100%, $E$9)</f>
        <v>5.1239999999999997</v>
      </c>
      <c r="P61" s="14">
        <f>CHOOSE(CONTROL!$C$42, 5.0541, 5.0541) * CHOOSE(CONTROL!$C$21, $C$9, 100%, $E$9)</f>
        <v>5.0541</v>
      </c>
      <c r="Q61" s="14">
        <f>CHOOSE(CONTROL!$C$42, 5.7187, 5.7187) * CHOOSE(CONTROL!$C$21, $C$9, 100%, $E$9)</f>
        <v>5.7187000000000001</v>
      </c>
      <c r="R61" s="14">
        <f>CHOOSE(CONTROL!$C$42, 6.32, 6.32) * CHOOSE(CONTROL!$C$21, $C$9, 100%, $E$9)</f>
        <v>6.32</v>
      </c>
      <c r="S61" s="14">
        <f>CHOOSE(CONTROL!$C$42, 4.9095, 4.9095) * CHOOSE(CONTROL!$C$21, $C$9, 100%, $E$9)</f>
        <v>4.9095000000000004</v>
      </c>
      <c r="T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7">
        <f>(1000*CHOOSE(CONTROL!$C$42, 695, 695)*CHOOSE(CONTROL!$C$42, 0.5599, 0.5599)*CHOOSE(CONTROL!$C$42, 31, 31))/1000000</f>
        <v>12.063045499999998</v>
      </c>
      <c r="V61" s="57">
        <f>(1000*CHOOSE(CONTROL!$C$42, 580, 580)*CHOOSE(CONTROL!$C$42, 0.275, 0.275)*CHOOSE(CONTROL!$C$42, 31, 31))/1000000</f>
        <v>4.9444999999999997</v>
      </c>
      <c r="W61" s="57">
        <f>(1000*CHOOSE(CONTROL!$C$42, 0.1146, 0.1146)*CHOOSE(CONTROL!$C$42, 121.5, 121.5)*CHOOSE(CONTROL!$C$42, 31, 31))/1000000</f>
        <v>0.43164089999999994</v>
      </c>
      <c r="X61" s="57">
        <f>(31*0.1790888*100000/1000000)+(31*0.2374*100000/1000000)</f>
        <v>1.2911152800000001</v>
      </c>
      <c r="Y61" s="57"/>
      <c r="Z61" s="14"/>
      <c r="AA61" s="56"/>
      <c r="AB61" s="50">
        <f>(B61*122.58+C61*297.941+D61*89.177+E61*40.302+F61*40+G61*160+H61*0+I61*100+J61*300)/(122.58+297.941+89.177+40.302+0+40+160+100+300)</f>
        <v>5.1333915941739132</v>
      </c>
      <c r="AC61" s="45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5.0706618705035966</v>
      </c>
    </row>
    <row r="62" spans="1:29" ht="15.75" x14ac:dyDescent="0.25">
      <c r="A62" s="13">
        <v>42767</v>
      </c>
      <c r="B62" s="14">
        <f>CHOOSE(CONTROL!$C$42, 5.2198, 5.2198) * CHOOSE(CONTROL!$C$21, $C$9, 100%, $E$9)</f>
        <v>5.2198000000000002</v>
      </c>
      <c r="C62" s="14">
        <f>CHOOSE(CONTROL!$C$42, 5.2249, 5.2249) * CHOOSE(CONTROL!$C$21, $C$9, 100%, $E$9)</f>
        <v>5.2248999999999999</v>
      </c>
      <c r="D62" s="14">
        <f>CHOOSE(CONTROL!$C$42, 5.3017, 5.3017) * CHOOSE(CONTROL!$C$21, $C$9, 100%, $E$9)</f>
        <v>5.3017000000000003</v>
      </c>
      <c r="E62" s="14">
        <f>CHOOSE(CONTROL!$C$42, 5.3358, 5.3358) * CHOOSE(CONTROL!$C$21, $C$9, 100%, $E$9)</f>
        <v>5.3357999999999999</v>
      </c>
      <c r="F62" s="14">
        <f>CHOOSE(CONTROL!$C$42, 5.2201, 5.2201)*CHOOSE(CONTROL!$C$21, $C$9, 100%, $E$9)</f>
        <v>5.2201000000000004</v>
      </c>
      <c r="G62" s="14">
        <f>CHOOSE(CONTROL!$C$42, 5.2363, 5.2363)*CHOOSE(CONTROL!$C$21, $C$9, 100%, $E$9)</f>
        <v>5.2363</v>
      </c>
      <c r="H62" s="14">
        <f>CHOOSE(CONTROL!$C$42, 5.325, 5.325) * CHOOSE(CONTROL!$C$21, $C$9, 100%, $E$9)</f>
        <v>5.3250000000000002</v>
      </c>
      <c r="I62" s="14">
        <f>CHOOSE(CONTROL!$C$42, 5.2542, 5.2542)* CHOOSE(CONTROL!$C$21, $C$9, 100%, $E$9)</f>
        <v>5.2542</v>
      </c>
      <c r="J62" s="14">
        <f>CHOOSE(CONTROL!$C$42, 5.2131, 5.2131)* CHOOSE(CONTROL!$C$21, $C$9, 100%, $E$9)</f>
        <v>5.2130999999999998</v>
      </c>
      <c r="K62" s="53">
        <f>CHOOSE(CONTROL!$C$42, 5.2503, 5.2503) * CHOOSE(CONTROL!$C$21, $C$9, 100%, $E$9)</f>
        <v>5.2503000000000002</v>
      </c>
      <c r="L62" s="14">
        <f>CHOOSE(CONTROL!$C$42, 5.912, 5.912) * CHOOSE(CONTROL!$C$21, $C$9, 100%, $E$9)</f>
        <v>5.9119999999999999</v>
      </c>
      <c r="M62" s="14">
        <f>CHOOSE(CONTROL!$C$42, 5.114, 5.114) * CHOOSE(CONTROL!$C$21, $C$9, 100%, $E$9)</f>
        <v>5.1139999999999999</v>
      </c>
      <c r="N62" s="14">
        <f>CHOOSE(CONTROL!$C$42, 5.1299, 5.1299) * CHOOSE(CONTROL!$C$21, $C$9, 100%, $E$9)</f>
        <v>5.1299000000000001</v>
      </c>
      <c r="O62" s="14">
        <f>CHOOSE(CONTROL!$C$42, 5.2236, 5.2236) * CHOOSE(CONTROL!$C$21, $C$9, 100%, $E$9)</f>
        <v>5.2236000000000002</v>
      </c>
      <c r="P62" s="14">
        <f>CHOOSE(CONTROL!$C$42, 5.154, 5.154) * CHOOSE(CONTROL!$C$21, $C$9, 100%, $E$9)</f>
        <v>5.1539999999999999</v>
      </c>
      <c r="Q62" s="14">
        <f>CHOOSE(CONTROL!$C$42, 5.8183, 5.8183) * CHOOSE(CONTROL!$C$21, $C$9, 100%, $E$9)</f>
        <v>5.8182999999999998</v>
      </c>
      <c r="R62" s="14">
        <f>CHOOSE(CONTROL!$C$42, 6.4198, 6.4198) * CHOOSE(CONTROL!$C$21, $C$9, 100%, $E$9)</f>
        <v>6.4198000000000004</v>
      </c>
      <c r="S62" s="14">
        <f>CHOOSE(CONTROL!$C$42, 5.0072, 5.0072) * CHOOSE(CONTROL!$C$21, $C$9, 100%, $E$9)</f>
        <v>5.0072000000000001</v>
      </c>
      <c r="T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7">
        <f>(1000*CHOOSE(CONTROL!$C$42, 695, 695)*CHOOSE(CONTROL!$C$42, 0.5599, 0.5599)*CHOOSE(CONTROL!$C$42, 28, 28))/1000000</f>
        <v>10.895653999999999</v>
      </c>
      <c r="V62" s="57">
        <f>(1000*CHOOSE(CONTROL!$C$42, 580, 580)*CHOOSE(CONTROL!$C$42, 0.275, 0.275)*CHOOSE(CONTROL!$C$42, 28, 28))/1000000</f>
        <v>4.4660000000000002</v>
      </c>
      <c r="W62" s="57">
        <f>(1000*CHOOSE(CONTROL!$C$42, 0.1146, 0.1146)*CHOOSE(CONTROL!$C$42, 121.5, 121.5)*CHOOSE(CONTROL!$C$42, 28, 28))/1000000</f>
        <v>0.38986920000000003</v>
      </c>
      <c r="X62" s="57">
        <f>(28*0.1790888*100000/1000000)+(28*0.2374*100000/1000000)</f>
        <v>1.16616864</v>
      </c>
      <c r="Y62" s="57"/>
      <c r="Z62" s="14"/>
      <c r="AA62" s="56"/>
      <c r="AB62" s="50">
        <f>(B62*122.58+C62*297.941+D62*89.177+E62*40.302+F62*40+G62*160+H62*0+I62*100+J62*300)/(122.58+297.941+89.177+40.302+0+40+160+100+300)</f>
        <v>5.2350870673043479</v>
      </c>
      <c r="AC62" s="45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5.1703453237410066</v>
      </c>
    </row>
    <row r="63" spans="1:29" ht="15.75" x14ac:dyDescent="0.25">
      <c r="A63" s="13">
        <v>42795</v>
      </c>
      <c r="B63" s="14">
        <f>CHOOSE(CONTROL!$C$42, 5.0823, 5.0823) * CHOOSE(CONTROL!$C$21, $C$9, 100%, $E$9)</f>
        <v>5.0823</v>
      </c>
      <c r="C63" s="14">
        <f>CHOOSE(CONTROL!$C$42, 5.0874, 5.0874) * CHOOSE(CONTROL!$C$21, $C$9, 100%, $E$9)</f>
        <v>5.0873999999999997</v>
      </c>
      <c r="D63" s="14">
        <f>CHOOSE(CONTROL!$C$42, 5.1642, 5.1642) * CHOOSE(CONTROL!$C$21, $C$9, 100%, $E$9)</f>
        <v>5.1642000000000001</v>
      </c>
      <c r="E63" s="14">
        <f>CHOOSE(CONTROL!$C$42, 5.1983, 5.1983) * CHOOSE(CONTROL!$C$21, $C$9, 100%, $E$9)</f>
        <v>5.1982999999999997</v>
      </c>
      <c r="F63" s="14">
        <f>CHOOSE(CONTROL!$C$42, 5.0821, 5.0821)*CHOOSE(CONTROL!$C$21, $C$9, 100%, $E$9)</f>
        <v>5.0820999999999996</v>
      </c>
      <c r="G63" s="14">
        <f>CHOOSE(CONTROL!$C$42, 5.0982, 5.0982)*CHOOSE(CONTROL!$C$21, $C$9, 100%, $E$9)</f>
        <v>5.0982000000000003</v>
      </c>
      <c r="H63" s="14">
        <f>CHOOSE(CONTROL!$C$42, 5.1875, 5.1875) * CHOOSE(CONTROL!$C$21, $C$9, 100%, $E$9)</f>
        <v>5.1875</v>
      </c>
      <c r="I63" s="14">
        <f>CHOOSE(CONTROL!$C$42, 5.1163, 5.1163)* CHOOSE(CONTROL!$C$21, $C$9, 100%, $E$9)</f>
        <v>5.1162999999999998</v>
      </c>
      <c r="J63" s="14">
        <f>CHOOSE(CONTROL!$C$42, 5.0751, 5.0751)* CHOOSE(CONTROL!$C$21, $C$9, 100%, $E$9)</f>
        <v>5.0750999999999999</v>
      </c>
      <c r="K63" s="53">
        <f>CHOOSE(CONTROL!$C$42, 5.1124, 5.1124) * CHOOSE(CONTROL!$C$21, $C$9, 100%, $E$9)</f>
        <v>5.1124000000000001</v>
      </c>
      <c r="L63" s="14">
        <f>CHOOSE(CONTROL!$C$42, 5.7745, 5.7745) * CHOOSE(CONTROL!$C$21, $C$9, 100%, $E$9)</f>
        <v>5.7744999999999997</v>
      </c>
      <c r="M63" s="14">
        <f>CHOOSE(CONTROL!$C$42, 4.9788, 4.9788) * CHOOSE(CONTROL!$C$21, $C$9, 100%, $E$9)</f>
        <v>4.9787999999999997</v>
      </c>
      <c r="N63" s="14">
        <f>CHOOSE(CONTROL!$C$42, 4.9946, 4.9946) * CHOOSE(CONTROL!$C$21, $C$9, 100%, $E$9)</f>
        <v>4.9946000000000002</v>
      </c>
      <c r="O63" s="14">
        <f>CHOOSE(CONTROL!$C$42, 5.0889, 5.0889) * CHOOSE(CONTROL!$C$21, $C$9, 100%, $E$9)</f>
        <v>5.0888999999999998</v>
      </c>
      <c r="P63" s="14">
        <f>CHOOSE(CONTROL!$C$42, 5.0189, 5.0189) * CHOOSE(CONTROL!$C$21, $C$9, 100%, $E$9)</f>
        <v>5.0189000000000004</v>
      </c>
      <c r="Q63" s="14">
        <f>CHOOSE(CONTROL!$C$42, 5.6836, 5.6836) * CHOOSE(CONTROL!$C$21, $C$9, 100%, $E$9)</f>
        <v>5.6836000000000002</v>
      </c>
      <c r="R63" s="14">
        <f>CHOOSE(CONTROL!$C$42, 6.2848, 6.2848) * CHOOSE(CONTROL!$C$21, $C$9, 100%, $E$9)</f>
        <v>6.2847999999999997</v>
      </c>
      <c r="S63" s="14">
        <f>CHOOSE(CONTROL!$C$42, 4.8751, 4.8751) * CHOOSE(CONTROL!$C$21, $C$9, 100%, $E$9)</f>
        <v>4.8750999999999998</v>
      </c>
      <c r="T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7">
        <f>(1000*CHOOSE(CONTROL!$C$42, 695, 695)*CHOOSE(CONTROL!$C$42, 0.5599, 0.5599)*CHOOSE(CONTROL!$C$42, 31, 31))/1000000</f>
        <v>12.063045499999998</v>
      </c>
      <c r="V63" s="57">
        <f>(1000*CHOOSE(CONTROL!$C$42, 580, 580)*CHOOSE(CONTROL!$C$42, 0.275, 0.275)*CHOOSE(CONTROL!$C$42, 31, 31))/1000000</f>
        <v>4.9444999999999997</v>
      </c>
      <c r="W63" s="57">
        <f>(1000*CHOOSE(CONTROL!$C$42, 0.1146, 0.1146)*CHOOSE(CONTROL!$C$42, 121.5, 121.5)*CHOOSE(CONTROL!$C$42, 31, 31))/1000000</f>
        <v>0.43164089999999994</v>
      </c>
      <c r="X63" s="57">
        <f>(31*0.1790888*100000/1000000)+(31*0.2374*100000/1000000)</f>
        <v>1.2911152800000001</v>
      </c>
      <c r="Y63" s="57"/>
      <c r="Z63" s="14"/>
      <c r="AA63" s="56"/>
      <c r="AB63" s="50">
        <f>(B63*122.58+C63*297.941+D63*89.177+E63*40.302+F63*40+G63*160+H63*0+I63*100+J63*300)/(122.58+297.941+89.177+40.302+0+40+160+100+300)</f>
        <v>5.0973209803478259</v>
      </c>
      <c r="AC63" s="45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5.035380575539568</v>
      </c>
    </row>
    <row r="64" spans="1:29" ht="15.75" x14ac:dyDescent="0.25">
      <c r="A64" s="13">
        <v>42826</v>
      </c>
      <c r="B64" s="14">
        <f>CHOOSE(CONTROL!$C$42, 5.0788, 5.0788) * CHOOSE(CONTROL!$C$21, $C$9, 100%, $E$9)</f>
        <v>5.0788000000000002</v>
      </c>
      <c r="C64" s="14">
        <f>CHOOSE(CONTROL!$C$42, 5.0833, 5.0833) * CHOOSE(CONTROL!$C$21, $C$9, 100%, $E$9)</f>
        <v>5.0833000000000004</v>
      </c>
      <c r="D64" s="14">
        <f>CHOOSE(CONTROL!$C$42, 5.32, 5.32) * CHOOSE(CONTROL!$C$21, $C$9, 100%, $E$9)</f>
        <v>5.32</v>
      </c>
      <c r="E64" s="14">
        <f>CHOOSE(CONTROL!$C$42, 5.3521, 5.3521) * CHOOSE(CONTROL!$C$21, $C$9, 100%, $E$9)</f>
        <v>5.3521000000000001</v>
      </c>
      <c r="F64" s="14">
        <f>CHOOSE(CONTROL!$C$42, 5.0767, 5.0767)*CHOOSE(CONTROL!$C$21, $C$9, 100%, $E$9)</f>
        <v>5.0766999999999998</v>
      </c>
      <c r="G64" s="14">
        <f>CHOOSE(CONTROL!$C$42, 5.0926, 5.0926)*CHOOSE(CONTROL!$C$21, $C$9, 100%, $E$9)</f>
        <v>5.0926</v>
      </c>
      <c r="H64" s="14">
        <f>CHOOSE(CONTROL!$C$42, 5.3419, 5.3419) * CHOOSE(CONTROL!$C$21, $C$9, 100%, $E$9)</f>
        <v>5.3418999999999999</v>
      </c>
      <c r="I64" s="14">
        <f>CHOOSE(CONTROL!$C$42, 5.112, 5.112)* CHOOSE(CONTROL!$C$21, $C$9, 100%, $E$9)</f>
        <v>5.1120000000000001</v>
      </c>
      <c r="J64" s="14">
        <f>CHOOSE(CONTROL!$C$42, 5.0697, 5.0697)* CHOOSE(CONTROL!$C$21, $C$9, 100%, $E$9)</f>
        <v>5.0697000000000001</v>
      </c>
      <c r="K64" s="53">
        <f>CHOOSE(CONTROL!$C$42, 5.1081, 5.1081) * CHOOSE(CONTROL!$C$21, $C$9, 100%, $E$9)</f>
        <v>5.1081000000000003</v>
      </c>
      <c r="L64" s="14">
        <f>CHOOSE(CONTROL!$C$42, 5.9289, 5.9289) * CHOOSE(CONTROL!$C$21, $C$9, 100%, $E$9)</f>
        <v>5.9288999999999996</v>
      </c>
      <c r="M64" s="14">
        <f>CHOOSE(CONTROL!$C$42, 4.9736, 4.9736) * CHOOSE(CONTROL!$C$21, $C$9, 100%, $E$9)</f>
        <v>4.9736000000000002</v>
      </c>
      <c r="N64" s="14">
        <f>CHOOSE(CONTROL!$C$42, 4.9891, 4.9891) * CHOOSE(CONTROL!$C$21, $C$9, 100%, $E$9)</f>
        <v>4.9890999999999996</v>
      </c>
      <c r="O64" s="14">
        <f>CHOOSE(CONTROL!$C$42, 5.2401, 5.2401) * CHOOSE(CONTROL!$C$21, $C$9, 100%, $E$9)</f>
        <v>5.2401</v>
      </c>
      <c r="P64" s="14">
        <f>CHOOSE(CONTROL!$C$42, 5.0147, 5.0147) * CHOOSE(CONTROL!$C$21, $C$9, 100%, $E$9)</f>
        <v>5.0147000000000004</v>
      </c>
      <c r="Q64" s="14">
        <f>CHOOSE(CONTROL!$C$42, 5.8348, 5.8348) * CHOOSE(CONTROL!$C$21, $C$9, 100%, $E$9)</f>
        <v>5.8348000000000004</v>
      </c>
      <c r="R64" s="14">
        <f>CHOOSE(CONTROL!$C$42, 6.4364, 6.4364) * CHOOSE(CONTROL!$C$21, $C$9, 100%, $E$9)</f>
        <v>6.4363999999999999</v>
      </c>
      <c r="S64" s="14">
        <f>CHOOSE(CONTROL!$C$42, 4.8709, 4.8709) * CHOOSE(CONTROL!$C$21, $C$9, 100%, $E$9)</f>
        <v>4.8708999999999998</v>
      </c>
      <c r="T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7">
        <f>(1000*CHOOSE(CONTROL!$C$42, 695, 695)*CHOOSE(CONTROL!$C$42, 0.5599, 0.5599)*CHOOSE(CONTROL!$C$42, 30, 30))/1000000</f>
        <v>11.673914999999997</v>
      </c>
      <c r="V64" s="57">
        <f>(1000*CHOOSE(CONTROL!$C$42, 580, 580)*CHOOSE(CONTROL!$C$42, 0.275, 0.275)*CHOOSE(CONTROL!$C$42, 30, 30))/1000000</f>
        <v>4.7850000000000001</v>
      </c>
      <c r="W64" s="57">
        <f>(1000*CHOOSE(CONTROL!$C$42, 0.1146, 0.1146)*CHOOSE(CONTROL!$C$42, 121.5, 121.5)*CHOOSE(CONTROL!$C$42, 30, 30))/1000000</f>
        <v>0.417717</v>
      </c>
      <c r="X64" s="57">
        <f>(30*0.1790888*245000/1000000)+(30*0.2374*100000/1000000)</f>
        <v>2.0285026799999999</v>
      </c>
      <c r="Y64" s="57"/>
      <c r="Z64" s="14"/>
      <c r="AA64" s="56"/>
      <c r="AB64" s="50">
        <f>(B64*141.293+C64*267.993+D64*115.016+E64*89.698+F64*40+G64*185+H64*0+I64*100+J64*300)/(141.293+267.993+115.016+89.698+0+40+185+100+300)</f>
        <v>5.1244184754640836</v>
      </c>
      <c r="AC64" s="45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5.0578553956834531</v>
      </c>
    </row>
    <row r="65" spans="1:29" ht="15.75" x14ac:dyDescent="0.25">
      <c r="A65" s="13">
        <v>42856</v>
      </c>
      <c r="B65" s="14">
        <f>CHOOSE(CONTROL!$C$42, 5.1355, 5.1355) * CHOOSE(CONTROL!$C$21, $C$9, 100%, $E$9)</f>
        <v>5.1355000000000004</v>
      </c>
      <c r="C65" s="14">
        <f>CHOOSE(CONTROL!$C$42, 5.1435, 5.1435) * CHOOSE(CONTROL!$C$21, $C$9, 100%, $E$9)</f>
        <v>5.1435000000000004</v>
      </c>
      <c r="D65" s="14">
        <f>CHOOSE(CONTROL!$C$42, 5.3771, 5.3771) * CHOOSE(CONTROL!$C$21, $C$9, 100%, $E$9)</f>
        <v>5.3771000000000004</v>
      </c>
      <c r="E65" s="14">
        <f>CHOOSE(CONTROL!$C$42, 5.4085, 5.4085) * CHOOSE(CONTROL!$C$21, $C$9, 100%, $E$9)</f>
        <v>5.4085000000000001</v>
      </c>
      <c r="F65" s="14">
        <f>CHOOSE(CONTROL!$C$42, 5.1322, 5.1322)*CHOOSE(CONTROL!$C$21, $C$9, 100%, $E$9)</f>
        <v>5.1322000000000001</v>
      </c>
      <c r="G65" s="14">
        <f>CHOOSE(CONTROL!$C$42, 5.1486, 5.1486)*CHOOSE(CONTROL!$C$21, $C$9, 100%, $E$9)</f>
        <v>5.1486000000000001</v>
      </c>
      <c r="H65" s="14">
        <f>CHOOSE(CONTROL!$C$42, 5.3972, 5.3972) * CHOOSE(CONTROL!$C$21, $C$9, 100%, $E$9)</f>
        <v>5.3971999999999998</v>
      </c>
      <c r="I65" s="14">
        <f>CHOOSE(CONTROL!$C$42, 5.1674, 5.1674)* CHOOSE(CONTROL!$C$21, $C$9, 100%, $E$9)</f>
        <v>5.1673999999999998</v>
      </c>
      <c r="J65" s="14">
        <f>CHOOSE(CONTROL!$C$42, 5.1252, 5.1252)* CHOOSE(CONTROL!$C$21, $C$9, 100%, $E$9)</f>
        <v>5.1252000000000004</v>
      </c>
      <c r="K65" s="53">
        <f>CHOOSE(CONTROL!$C$42, 5.1635, 5.1635) * CHOOSE(CONTROL!$C$21, $C$9, 100%, $E$9)</f>
        <v>5.1635</v>
      </c>
      <c r="L65" s="14">
        <f>CHOOSE(CONTROL!$C$42, 5.9842, 5.9842) * CHOOSE(CONTROL!$C$21, $C$9, 100%, $E$9)</f>
        <v>5.9842000000000004</v>
      </c>
      <c r="M65" s="14">
        <f>CHOOSE(CONTROL!$C$42, 5.0279, 5.0279) * CHOOSE(CONTROL!$C$21, $C$9, 100%, $E$9)</f>
        <v>5.0278999999999998</v>
      </c>
      <c r="N65" s="14">
        <f>CHOOSE(CONTROL!$C$42, 5.0439, 5.0439) * CHOOSE(CONTROL!$C$21, $C$9, 100%, $E$9)</f>
        <v>5.0438999999999998</v>
      </c>
      <c r="O65" s="14">
        <f>CHOOSE(CONTROL!$C$42, 5.2943, 5.2943) * CHOOSE(CONTROL!$C$21, $C$9, 100%, $E$9)</f>
        <v>5.2942999999999998</v>
      </c>
      <c r="P65" s="14">
        <f>CHOOSE(CONTROL!$C$42, 5.069, 5.069) * CHOOSE(CONTROL!$C$21, $C$9, 100%, $E$9)</f>
        <v>5.069</v>
      </c>
      <c r="Q65" s="14">
        <f>CHOOSE(CONTROL!$C$42, 5.889, 5.889) * CHOOSE(CONTROL!$C$21, $C$9, 100%, $E$9)</f>
        <v>5.8890000000000002</v>
      </c>
      <c r="R65" s="14">
        <f>CHOOSE(CONTROL!$C$42, 6.4907, 6.4907) * CHOOSE(CONTROL!$C$21, $C$9, 100%, $E$9)</f>
        <v>6.4907000000000004</v>
      </c>
      <c r="S65" s="14">
        <f>CHOOSE(CONTROL!$C$42, 4.924, 4.924) * CHOOSE(CONTROL!$C$21, $C$9, 100%, $E$9)</f>
        <v>4.9240000000000004</v>
      </c>
      <c r="T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7">
        <f>(1000*CHOOSE(CONTROL!$C$42, 695, 695)*CHOOSE(CONTROL!$C$42, 0.5599, 0.5599)*CHOOSE(CONTROL!$C$42, 31, 31))/1000000</f>
        <v>12.063045499999998</v>
      </c>
      <c r="V65" s="57">
        <f>(1000*CHOOSE(CONTROL!$C$42, 580, 580)*CHOOSE(CONTROL!$C$42, 0.275, 0.275)*CHOOSE(CONTROL!$C$42, 31, 31))/1000000</f>
        <v>4.9444999999999997</v>
      </c>
      <c r="W65" s="57">
        <f>(1000*CHOOSE(CONTROL!$C$42, 0.1146, 0.1146)*CHOOSE(CONTROL!$C$42, 121.5, 121.5)*CHOOSE(CONTROL!$C$42, 31, 31))/1000000</f>
        <v>0.43164089999999994</v>
      </c>
      <c r="X65" s="57">
        <f>(31*0.1790888*245000/1000000)+(31*0.2374*100000/1000000)</f>
        <v>2.0961194359999999</v>
      </c>
      <c r="Y65" s="57"/>
      <c r="Z65" s="14"/>
      <c r="AA65" s="56"/>
      <c r="AB65" s="50">
        <f>(B65*194.205+C65*267.466+D65*133.845+E65*53.484+F65*40+G65*185+H65*0+I65*100+J65*300)/(194.205+267.466+133.845+53.484+0+40+185+100+300)</f>
        <v>5.1758997739403458</v>
      </c>
      <c r="AC65" s="45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5.1122424460431652</v>
      </c>
    </row>
    <row r="66" spans="1:29" ht="15.75" x14ac:dyDescent="0.25">
      <c r="A66" s="13">
        <v>42887</v>
      </c>
      <c r="B66" s="14">
        <f>CHOOSE(CONTROL!$C$42, 5.2916, 5.2916) * CHOOSE(CONTROL!$C$21, $C$9, 100%, $E$9)</f>
        <v>5.2915999999999999</v>
      </c>
      <c r="C66" s="14">
        <f>CHOOSE(CONTROL!$C$42, 5.2997, 5.2997) * CHOOSE(CONTROL!$C$21, $C$9, 100%, $E$9)</f>
        <v>5.2996999999999996</v>
      </c>
      <c r="D66" s="14">
        <f>CHOOSE(CONTROL!$C$42, 5.5332, 5.5332) * CHOOSE(CONTROL!$C$21, $C$9, 100%, $E$9)</f>
        <v>5.5331999999999999</v>
      </c>
      <c r="E66" s="14">
        <f>CHOOSE(CONTROL!$C$42, 5.5647, 5.5647) * CHOOSE(CONTROL!$C$21, $C$9, 100%, $E$9)</f>
        <v>5.5647000000000002</v>
      </c>
      <c r="F66" s="14">
        <f>CHOOSE(CONTROL!$C$42, 5.2889, 5.2889)*CHOOSE(CONTROL!$C$21, $C$9, 100%, $E$9)</f>
        <v>5.2888999999999999</v>
      </c>
      <c r="G66" s="14">
        <f>CHOOSE(CONTROL!$C$42, 5.3054, 5.3054)*CHOOSE(CONTROL!$C$21, $C$9, 100%, $E$9)</f>
        <v>5.3053999999999997</v>
      </c>
      <c r="H66" s="14">
        <f>CHOOSE(CONTROL!$C$42, 5.5533, 5.5533) * CHOOSE(CONTROL!$C$21, $C$9, 100%, $E$9)</f>
        <v>5.5533000000000001</v>
      </c>
      <c r="I66" s="14">
        <f>CHOOSE(CONTROL!$C$42, 5.3241, 5.3241)* CHOOSE(CONTROL!$C$21, $C$9, 100%, $E$9)</f>
        <v>5.3240999999999996</v>
      </c>
      <c r="J66" s="14">
        <f>CHOOSE(CONTROL!$C$42, 5.2819, 5.2819)* CHOOSE(CONTROL!$C$21, $C$9, 100%, $E$9)</f>
        <v>5.2819000000000003</v>
      </c>
      <c r="K66" s="53">
        <f>CHOOSE(CONTROL!$C$42, 5.3202, 5.3202) * CHOOSE(CONTROL!$C$21, $C$9, 100%, $E$9)</f>
        <v>5.3201999999999998</v>
      </c>
      <c r="L66" s="14">
        <f>CHOOSE(CONTROL!$C$42, 6.1403, 6.1403) * CHOOSE(CONTROL!$C$21, $C$9, 100%, $E$9)</f>
        <v>6.1402999999999999</v>
      </c>
      <c r="M66" s="14">
        <f>CHOOSE(CONTROL!$C$42, 5.1814, 5.1814) * CHOOSE(CONTROL!$C$21, $C$9, 100%, $E$9)</f>
        <v>5.1814</v>
      </c>
      <c r="N66" s="14">
        <f>CHOOSE(CONTROL!$C$42, 5.1975, 5.1975) * CHOOSE(CONTROL!$C$21, $C$9, 100%, $E$9)</f>
        <v>5.1974999999999998</v>
      </c>
      <c r="O66" s="14">
        <f>CHOOSE(CONTROL!$C$42, 5.4473, 5.4473) * CHOOSE(CONTROL!$C$21, $C$9, 100%, $E$9)</f>
        <v>5.4473000000000003</v>
      </c>
      <c r="P66" s="14">
        <f>CHOOSE(CONTROL!$C$42, 5.2224, 5.2224) * CHOOSE(CONTROL!$C$21, $C$9, 100%, $E$9)</f>
        <v>5.2224000000000004</v>
      </c>
      <c r="Q66" s="14">
        <f>CHOOSE(CONTROL!$C$42, 6.042, 6.042) * CHOOSE(CONTROL!$C$21, $C$9, 100%, $E$9)</f>
        <v>6.0419999999999998</v>
      </c>
      <c r="R66" s="14">
        <f>CHOOSE(CONTROL!$C$42, 6.6441, 6.6441) * CHOOSE(CONTROL!$C$21, $C$9, 100%, $E$9)</f>
        <v>6.6440999999999999</v>
      </c>
      <c r="S66" s="14">
        <f>CHOOSE(CONTROL!$C$42, 5.0741, 5.0741) * CHOOSE(CONTROL!$C$21, $C$9, 100%, $E$9)</f>
        <v>5.0740999999999996</v>
      </c>
      <c r="T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7">
        <f>(1000*CHOOSE(CONTROL!$C$42, 695, 695)*CHOOSE(CONTROL!$C$42, 0.5599, 0.5599)*CHOOSE(CONTROL!$C$42, 30, 30))/1000000</f>
        <v>11.673914999999997</v>
      </c>
      <c r="V66" s="57">
        <f>(1000*CHOOSE(CONTROL!$C$42, 580, 580)*CHOOSE(CONTROL!$C$42, 0.275, 0.275)*CHOOSE(CONTROL!$C$42, 30, 30))/1000000</f>
        <v>4.7850000000000001</v>
      </c>
      <c r="W66" s="57">
        <f>(1000*CHOOSE(CONTROL!$C$42, 0.1146, 0.1146)*CHOOSE(CONTROL!$C$42, 121.5, 121.5)*CHOOSE(CONTROL!$C$42, 30, 30))/1000000</f>
        <v>0.417717</v>
      </c>
      <c r="X66" s="57">
        <f>(30*0.1790888*245000/1000000)+(30*0.2374*100000/1000000)</f>
        <v>2.0285026799999999</v>
      </c>
      <c r="Y66" s="57"/>
      <c r="Z66" s="14"/>
      <c r="AA66" s="56"/>
      <c r="AB66" s="50">
        <f>(B66*194.205+C66*267.466+D66*133.845+E66*53.484+F66*40+G66*185+H66*0+I66*100+J66*300)/(194.205+267.466+133.845+53.484+0+40+185+100+300)</f>
        <v>5.3323338359497647</v>
      </c>
      <c r="AC66" s="45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5.2656107913669068</v>
      </c>
    </row>
    <row r="67" spans="1:29" ht="15.75" x14ac:dyDescent="0.25">
      <c r="A67" s="13">
        <v>42917</v>
      </c>
      <c r="B67" s="14">
        <f>CHOOSE(CONTROL!$C$42, 5.201, 5.201) * CHOOSE(CONTROL!$C$21, $C$9, 100%, $E$9)</f>
        <v>5.2009999999999996</v>
      </c>
      <c r="C67" s="14">
        <f>CHOOSE(CONTROL!$C$42, 5.209, 5.209) * CHOOSE(CONTROL!$C$21, $C$9, 100%, $E$9)</f>
        <v>5.2089999999999996</v>
      </c>
      <c r="D67" s="14">
        <f>CHOOSE(CONTROL!$C$42, 5.4426, 5.4426) * CHOOSE(CONTROL!$C$21, $C$9, 100%, $E$9)</f>
        <v>5.4425999999999997</v>
      </c>
      <c r="E67" s="14">
        <f>CHOOSE(CONTROL!$C$42, 5.4741, 5.4741) * CHOOSE(CONTROL!$C$21, $C$9, 100%, $E$9)</f>
        <v>5.4741</v>
      </c>
      <c r="F67" s="14">
        <f>CHOOSE(CONTROL!$C$42, 5.1988, 5.1988)*CHOOSE(CONTROL!$C$21, $C$9, 100%, $E$9)</f>
        <v>5.1988000000000003</v>
      </c>
      <c r="G67" s="14">
        <f>CHOOSE(CONTROL!$C$42, 5.2154, 5.2154)*CHOOSE(CONTROL!$C$21, $C$9, 100%, $E$9)</f>
        <v>5.2153999999999998</v>
      </c>
      <c r="H67" s="14">
        <f>CHOOSE(CONTROL!$C$42, 5.4627, 5.4627) * CHOOSE(CONTROL!$C$21, $C$9, 100%, $E$9)</f>
        <v>5.4626999999999999</v>
      </c>
      <c r="I67" s="14">
        <f>CHOOSE(CONTROL!$C$42, 5.2332, 5.2332)* CHOOSE(CONTROL!$C$21, $C$9, 100%, $E$9)</f>
        <v>5.2332000000000001</v>
      </c>
      <c r="J67" s="14">
        <f>CHOOSE(CONTROL!$C$42, 5.1918, 5.1918)* CHOOSE(CONTROL!$C$21, $C$9, 100%, $E$9)</f>
        <v>5.1917999999999997</v>
      </c>
      <c r="K67" s="53">
        <f>CHOOSE(CONTROL!$C$42, 5.2293, 5.2293) * CHOOSE(CONTROL!$C$21, $C$9, 100%, $E$9)</f>
        <v>5.2293000000000003</v>
      </c>
      <c r="L67" s="14">
        <f>CHOOSE(CONTROL!$C$42, 6.0497, 6.0497) * CHOOSE(CONTROL!$C$21, $C$9, 100%, $E$9)</f>
        <v>6.0496999999999996</v>
      </c>
      <c r="M67" s="14">
        <f>CHOOSE(CONTROL!$C$42, 5.0931, 5.0931) * CHOOSE(CONTROL!$C$21, $C$9, 100%, $E$9)</f>
        <v>5.0930999999999997</v>
      </c>
      <c r="N67" s="14">
        <f>CHOOSE(CONTROL!$C$42, 5.1094, 5.1094) * CHOOSE(CONTROL!$C$21, $C$9, 100%, $E$9)</f>
        <v>5.1093999999999999</v>
      </c>
      <c r="O67" s="14">
        <f>CHOOSE(CONTROL!$C$42, 5.3585, 5.3585) * CHOOSE(CONTROL!$C$21, $C$9, 100%, $E$9)</f>
        <v>5.3585000000000003</v>
      </c>
      <c r="P67" s="14">
        <f>CHOOSE(CONTROL!$C$42, 5.1334, 5.1334) * CHOOSE(CONTROL!$C$21, $C$9, 100%, $E$9)</f>
        <v>5.1334</v>
      </c>
      <c r="Q67" s="14">
        <f>CHOOSE(CONTROL!$C$42, 5.9532, 5.9532) * CHOOSE(CONTROL!$C$21, $C$9, 100%, $E$9)</f>
        <v>5.9531999999999998</v>
      </c>
      <c r="R67" s="14">
        <f>CHOOSE(CONTROL!$C$42, 6.5551, 6.5551) * CHOOSE(CONTROL!$C$21, $C$9, 100%, $E$9)</f>
        <v>6.5551000000000004</v>
      </c>
      <c r="S67" s="14">
        <f>CHOOSE(CONTROL!$C$42, 4.987, 4.987) * CHOOSE(CONTROL!$C$21, $C$9, 100%, $E$9)</f>
        <v>4.9870000000000001</v>
      </c>
      <c r="T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7">
        <f>(1000*CHOOSE(CONTROL!$C$42, 695, 695)*CHOOSE(CONTROL!$C$42, 0.5599, 0.5599)*CHOOSE(CONTROL!$C$42, 31, 31))/1000000</f>
        <v>12.063045499999998</v>
      </c>
      <c r="V67" s="57">
        <f>(1000*CHOOSE(CONTROL!$C$42, 580, 580)*CHOOSE(CONTROL!$C$42, 0.275, 0.275)*CHOOSE(CONTROL!$C$42, 31, 31))/1000000</f>
        <v>4.9444999999999997</v>
      </c>
      <c r="W67" s="57">
        <f>(1000*CHOOSE(CONTROL!$C$42, 0.1146, 0.1146)*CHOOSE(CONTROL!$C$42, 121.5, 121.5)*CHOOSE(CONTROL!$C$42, 31, 31))/1000000</f>
        <v>0.43164089999999994</v>
      </c>
      <c r="X67" s="57">
        <f>(31*0.1790888*245000/1000000)+(31*0.2374*100000/1000000)</f>
        <v>2.0961194359999999</v>
      </c>
      <c r="Y67" s="57"/>
      <c r="Z67" s="14"/>
      <c r="AA67" s="56"/>
      <c r="AB67" s="50">
        <f>(B67*194.205+C67*267.466+D67*133.845+E67*53.484+F67*40+G67*185+H67*0+I67*100+J67*300)/(194.205+267.466+133.845+53.484+0+40+185+100+300)</f>
        <v>5.2419098590266877</v>
      </c>
      <c r="AC67" s="45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5.1771158273381301</v>
      </c>
    </row>
    <row r="68" spans="1:29" ht="15.75" x14ac:dyDescent="0.25">
      <c r="A68" s="13">
        <v>42948</v>
      </c>
      <c r="B68" s="14">
        <f>CHOOSE(CONTROL!$C$42, 4.9549, 4.9549) * CHOOSE(CONTROL!$C$21, $C$9, 100%, $E$9)</f>
        <v>4.9549000000000003</v>
      </c>
      <c r="C68" s="14">
        <f>CHOOSE(CONTROL!$C$42, 4.9629, 4.9629) * CHOOSE(CONTROL!$C$21, $C$9, 100%, $E$9)</f>
        <v>4.9629000000000003</v>
      </c>
      <c r="D68" s="14">
        <f>CHOOSE(CONTROL!$C$42, 5.1965, 5.1965) * CHOOSE(CONTROL!$C$21, $C$9, 100%, $E$9)</f>
        <v>5.1965000000000003</v>
      </c>
      <c r="E68" s="14">
        <f>CHOOSE(CONTROL!$C$42, 5.228, 5.228) * CHOOSE(CONTROL!$C$21, $C$9, 100%, $E$9)</f>
        <v>5.2279999999999998</v>
      </c>
      <c r="F68" s="14">
        <f>CHOOSE(CONTROL!$C$42, 4.9529, 4.9529)*CHOOSE(CONTROL!$C$21, $C$9, 100%, $E$9)</f>
        <v>4.9528999999999996</v>
      </c>
      <c r="G68" s="14">
        <f>CHOOSE(CONTROL!$C$42, 4.9695, 4.9695)*CHOOSE(CONTROL!$C$21, $C$9, 100%, $E$9)</f>
        <v>4.9695</v>
      </c>
      <c r="H68" s="14">
        <f>CHOOSE(CONTROL!$C$42, 5.2166, 5.2166) * CHOOSE(CONTROL!$C$21, $C$9, 100%, $E$9)</f>
        <v>5.2165999999999997</v>
      </c>
      <c r="I68" s="14">
        <f>CHOOSE(CONTROL!$C$42, 4.9863, 4.9863)* CHOOSE(CONTROL!$C$21, $C$9, 100%, $E$9)</f>
        <v>4.9863</v>
      </c>
      <c r="J68" s="14">
        <f>CHOOSE(CONTROL!$C$42, 4.9459, 4.9459)* CHOOSE(CONTROL!$C$21, $C$9, 100%, $E$9)</f>
        <v>4.9459</v>
      </c>
      <c r="K68" s="53">
        <f>CHOOSE(CONTROL!$C$42, 4.9824, 4.9824) * CHOOSE(CONTROL!$C$21, $C$9, 100%, $E$9)</f>
        <v>4.9824000000000002</v>
      </c>
      <c r="L68" s="14">
        <f>CHOOSE(CONTROL!$C$42, 5.8036, 5.8036) * CHOOSE(CONTROL!$C$21, $C$9, 100%, $E$9)</f>
        <v>5.8036000000000003</v>
      </c>
      <c r="M68" s="14">
        <f>CHOOSE(CONTROL!$C$42, 4.8522, 4.8522) * CHOOSE(CONTROL!$C$21, $C$9, 100%, $E$9)</f>
        <v>4.8521999999999998</v>
      </c>
      <c r="N68" s="14">
        <f>CHOOSE(CONTROL!$C$42, 4.8685, 4.8685) * CHOOSE(CONTROL!$C$21, $C$9, 100%, $E$9)</f>
        <v>4.8685</v>
      </c>
      <c r="O68" s="14">
        <f>CHOOSE(CONTROL!$C$42, 5.1174, 5.1174) * CHOOSE(CONTROL!$C$21, $C$9, 100%, $E$9)</f>
        <v>5.1173999999999999</v>
      </c>
      <c r="P68" s="14">
        <f>CHOOSE(CONTROL!$C$42, 4.8916, 4.8916) * CHOOSE(CONTROL!$C$21, $C$9, 100%, $E$9)</f>
        <v>4.8916000000000004</v>
      </c>
      <c r="Q68" s="14">
        <f>CHOOSE(CONTROL!$C$42, 5.7121, 5.7121) * CHOOSE(CONTROL!$C$21, $C$9, 100%, $E$9)</f>
        <v>5.7121000000000004</v>
      </c>
      <c r="R68" s="14">
        <f>CHOOSE(CONTROL!$C$42, 6.3134, 6.3134) * CHOOSE(CONTROL!$C$21, $C$9, 100%, $E$9)</f>
        <v>6.3133999999999997</v>
      </c>
      <c r="S68" s="14">
        <f>CHOOSE(CONTROL!$C$42, 4.7505, 4.7505) * CHOOSE(CONTROL!$C$21, $C$9, 100%, $E$9)</f>
        <v>4.7504999999999997</v>
      </c>
      <c r="T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7">
        <f>(1000*CHOOSE(CONTROL!$C$42, 695, 695)*CHOOSE(CONTROL!$C$42, 0.5599, 0.5599)*CHOOSE(CONTROL!$C$42, 31, 31))/1000000</f>
        <v>12.063045499999998</v>
      </c>
      <c r="V68" s="57">
        <f>(1000*CHOOSE(CONTROL!$C$42, 580, 580)*CHOOSE(CONTROL!$C$42, 0.275, 0.275)*CHOOSE(CONTROL!$C$42, 31, 31))/1000000</f>
        <v>4.9444999999999997</v>
      </c>
      <c r="W68" s="57">
        <f>(1000*CHOOSE(CONTROL!$C$42, 0.1146, 0.1146)*CHOOSE(CONTROL!$C$42, 121.5, 121.5)*CHOOSE(CONTROL!$C$42, 31, 31))/1000000</f>
        <v>0.43164089999999994</v>
      </c>
      <c r="X68" s="57">
        <f>(31*0.1790888*245000/1000000)+(31*0.2374*100000/1000000)</f>
        <v>2.0961194359999999</v>
      </c>
      <c r="Y68" s="57"/>
      <c r="Z68" s="14"/>
      <c r="AA68" s="56"/>
      <c r="AB68" s="50">
        <f>(B68*194.205+C68*267.466+D68*133.845+E68*53.484+F68*40+G68*185+H68*0+I68*100+J68*300)/(194.205+267.466+133.845+53.484+0+40+185+100+300)</f>
        <v>4.9958294822605964</v>
      </c>
      <c r="AC68" s="45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4.9360302158273388</v>
      </c>
    </row>
    <row r="69" spans="1:29" ht="15.75" x14ac:dyDescent="0.25">
      <c r="A69" s="13">
        <v>42979</v>
      </c>
      <c r="B69" s="14">
        <f>CHOOSE(CONTROL!$C$42, 4.6502, 4.6502) * CHOOSE(CONTROL!$C$21, $C$9, 100%, $E$9)</f>
        <v>4.6501999999999999</v>
      </c>
      <c r="C69" s="14">
        <f>CHOOSE(CONTROL!$C$42, 4.6582, 4.6582) * CHOOSE(CONTROL!$C$21, $C$9, 100%, $E$9)</f>
        <v>4.6581999999999999</v>
      </c>
      <c r="D69" s="14">
        <f>CHOOSE(CONTROL!$C$42, 4.8918, 4.8918) * CHOOSE(CONTROL!$C$21, $C$9, 100%, $E$9)</f>
        <v>4.8917999999999999</v>
      </c>
      <c r="E69" s="14">
        <f>CHOOSE(CONTROL!$C$42, 4.9233, 4.9233) * CHOOSE(CONTROL!$C$21, $C$9, 100%, $E$9)</f>
        <v>4.9233000000000002</v>
      </c>
      <c r="F69" s="14">
        <f>CHOOSE(CONTROL!$C$42, 4.6482, 4.6482)*CHOOSE(CONTROL!$C$21, $C$9, 100%, $E$9)</f>
        <v>4.6482000000000001</v>
      </c>
      <c r="G69" s="14">
        <f>CHOOSE(CONTROL!$C$42, 4.6648, 4.6648)*CHOOSE(CONTROL!$C$21, $C$9, 100%, $E$9)</f>
        <v>4.6647999999999996</v>
      </c>
      <c r="H69" s="14">
        <f>CHOOSE(CONTROL!$C$42, 4.9119, 4.9119) * CHOOSE(CONTROL!$C$21, $C$9, 100%, $E$9)</f>
        <v>4.9119000000000002</v>
      </c>
      <c r="I69" s="14">
        <f>CHOOSE(CONTROL!$C$42, 4.6806, 4.6806)* CHOOSE(CONTROL!$C$21, $C$9, 100%, $E$9)</f>
        <v>4.6806000000000001</v>
      </c>
      <c r="J69" s="14">
        <f>CHOOSE(CONTROL!$C$42, 4.6412, 4.6412)* CHOOSE(CONTROL!$C$21, $C$9, 100%, $E$9)</f>
        <v>4.6412000000000004</v>
      </c>
      <c r="K69" s="53">
        <f>CHOOSE(CONTROL!$C$42, 4.6767, 4.6767) * CHOOSE(CONTROL!$C$21, $C$9, 100%, $E$9)</f>
        <v>4.6767000000000003</v>
      </c>
      <c r="L69" s="14">
        <f>CHOOSE(CONTROL!$C$42, 5.4989, 5.4989) * CHOOSE(CONTROL!$C$21, $C$9, 100%, $E$9)</f>
        <v>5.4988999999999999</v>
      </c>
      <c r="M69" s="14">
        <f>CHOOSE(CONTROL!$C$42, 4.5538, 4.5538) * CHOOSE(CONTROL!$C$21, $C$9, 100%, $E$9)</f>
        <v>4.5537999999999998</v>
      </c>
      <c r="N69" s="14">
        <f>CHOOSE(CONTROL!$C$42, 4.5701, 4.5701) * CHOOSE(CONTROL!$C$21, $C$9, 100%, $E$9)</f>
        <v>4.5701000000000001</v>
      </c>
      <c r="O69" s="14">
        <f>CHOOSE(CONTROL!$C$42, 4.8189, 4.8189) * CHOOSE(CONTROL!$C$21, $C$9, 100%, $E$9)</f>
        <v>4.8189000000000002</v>
      </c>
      <c r="P69" s="14">
        <f>CHOOSE(CONTROL!$C$42, 4.5922, 4.5922) * CHOOSE(CONTROL!$C$21, $C$9, 100%, $E$9)</f>
        <v>4.5922000000000001</v>
      </c>
      <c r="Q69" s="14">
        <f>CHOOSE(CONTROL!$C$42, 5.4136, 5.4136) * CHOOSE(CONTROL!$C$21, $C$9, 100%, $E$9)</f>
        <v>5.4135999999999997</v>
      </c>
      <c r="R69" s="14">
        <f>CHOOSE(CONTROL!$C$42, 6.0142, 6.0142) * CHOOSE(CONTROL!$C$21, $C$9, 100%, $E$9)</f>
        <v>6.0141999999999998</v>
      </c>
      <c r="S69" s="14">
        <f>CHOOSE(CONTROL!$C$42, 4.4577, 4.4577) * CHOOSE(CONTROL!$C$21, $C$9, 100%, $E$9)</f>
        <v>4.4577</v>
      </c>
      <c r="T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7">
        <f>(1000*CHOOSE(CONTROL!$C$42, 695, 695)*CHOOSE(CONTROL!$C$42, 0.5599, 0.5599)*CHOOSE(CONTROL!$C$42, 30, 30))/1000000</f>
        <v>11.673914999999997</v>
      </c>
      <c r="V69" s="57">
        <f>(1000*CHOOSE(CONTROL!$C$42, 580, 580)*CHOOSE(CONTROL!$C$42, 0.275, 0.275)*CHOOSE(CONTROL!$C$42, 30, 30))/1000000</f>
        <v>4.7850000000000001</v>
      </c>
      <c r="W69" s="57">
        <f>(1000*CHOOSE(CONTROL!$C$42, 0.1146, 0.1146)*CHOOSE(CONTROL!$C$42, 121.5, 121.5)*CHOOSE(CONTROL!$C$42, 30, 30))/1000000</f>
        <v>0.417717</v>
      </c>
      <c r="X69" s="57">
        <f>(30*0.1790888*245000/1000000)+(30*0.2374*100000/1000000)</f>
        <v>2.0285026799999999</v>
      </c>
      <c r="Y69" s="57"/>
      <c r="Z69" s="14"/>
      <c r="AA69" s="56"/>
      <c r="AB69" s="50">
        <f>(B69*194.205+C69*267.466+D69*133.845+E69*53.484+F69*40+G69*185+H69*0+I69*100+J69*300)/(194.205+267.466+133.845+53.484+0+40+185+100+300)</f>
        <v>4.6910509893249603</v>
      </c>
      <c r="AC69" s="45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4.6374582733812959</v>
      </c>
    </row>
    <row r="70" spans="1:29" ht="15.75" x14ac:dyDescent="0.25">
      <c r="A70" s="13">
        <v>43009</v>
      </c>
      <c r="B70" s="14">
        <f>CHOOSE(CONTROL!$C$42, 4.5636, 4.5636) * CHOOSE(CONTROL!$C$21, $C$9, 100%, $E$9)</f>
        <v>4.5636000000000001</v>
      </c>
      <c r="C70" s="14">
        <f>CHOOSE(CONTROL!$C$42, 4.5689, 4.5689) * CHOOSE(CONTROL!$C$21, $C$9, 100%, $E$9)</f>
        <v>4.5689000000000002</v>
      </c>
      <c r="D70" s="14">
        <f>CHOOSE(CONTROL!$C$42, 4.8075, 4.8075) * CHOOSE(CONTROL!$C$21, $C$9, 100%, $E$9)</f>
        <v>4.8075000000000001</v>
      </c>
      <c r="E70" s="14">
        <f>CHOOSE(CONTROL!$C$42, 4.8366, 4.8366) * CHOOSE(CONTROL!$C$21, $C$9, 100%, $E$9)</f>
        <v>4.8365999999999998</v>
      </c>
      <c r="F70" s="14">
        <f>CHOOSE(CONTROL!$C$42, 4.5636, 4.5636)*CHOOSE(CONTROL!$C$21, $C$9, 100%, $E$9)</f>
        <v>4.5636000000000001</v>
      </c>
      <c r="G70" s="14">
        <f>CHOOSE(CONTROL!$C$42, 4.5799, 4.5799)*CHOOSE(CONTROL!$C$21, $C$9, 100%, $E$9)</f>
        <v>4.5799000000000003</v>
      </c>
      <c r="H70" s="14">
        <f>CHOOSE(CONTROL!$C$42, 4.8271, 4.8271) * CHOOSE(CONTROL!$C$21, $C$9, 100%, $E$9)</f>
        <v>4.8270999999999997</v>
      </c>
      <c r="I70" s="14">
        <f>CHOOSE(CONTROL!$C$42, 4.5955, 4.5955)* CHOOSE(CONTROL!$C$21, $C$9, 100%, $E$9)</f>
        <v>4.5955000000000004</v>
      </c>
      <c r="J70" s="14">
        <f>CHOOSE(CONTROL!$C$42, 4.5566, 4.5566)* CHOOSE(CONTROL!$C$21, $C$9, 100%, $E$9)</f>
        <v>4.5566000000000004</v>
      </c>
      <c r="K70" s="53">
        <f>CHOOSE(CONTROL!$C$42, 4.5916, 4.5916) * CHOOSE(CONTROL!$C$21, $C$9, 100%, $E$9)</f>
        <v>4.5915999999999997</v>
      </c>
      <c r="L70" s="14">
        <f>CHOOSE(CONTROL!$C$42, 5.4141, 5.4141) * CHOOSE(CONTROL!$C$21, $C$9, 100%, $E$9)</f>
        <v>5.4141000000000004</v>
      </c>
      <c r="M70" s="14">
        <f>CHOOSE(CONTROL!$C$42, 4.4709, 4.4709) * CHOOSE(CONTROL!$C$21, $C$9, 100%, $E$9)</f>
        <v>4.4709000000000003</v>
      </c>
      <c r="N70" s="14">
        <f>CHOOSE(CONTROL!$C$42, 4.4869, 4.4869) * CHOOSE(CONTROL!$C$21, $C$9, 100%, $E$9)</f>
        <v>4.4869000000000003</v>
      </c>
      <c r="O70" s="14">
        <f>CHOOSE(CONTROL!$C$42, 4.7359, 4.7359) * CHOOSE(CONTROL!$C$21, $C$9, 100%, $E$9)</f>
        <v>4.7359</v>
      </c>
      <c r="P70" s="14">
        <f>CHOOSE(CONTROL!$C$42, 4.5089, 4.5089) * CHOOSE(CONTROL!$C$21, $C$9, 100%, $E$9)</f>
        <v>4.5088999999999997</v>
      </c>
      <c r="Q70" s="14">
        <f>CHOOSE(CONTROL!$C$42, 5.3306, 5.3306) * CHOOSE(CONTROL!$C$21, $C$9, 100%, $E$9)</f>
        <v>5.3305999999999996</v>
      </c>
      <c r="R70" s="14">
        <f>CHOOSE(CONTROL!$C$42, 5.9309, 5.9309) * CHOOSE(CONTROL!$C$21, $C$9, 100%, $E$9)</f>
        <v>5.9309000000000003</v>
      </c>
      <c r="S70" s="14">
        <f>CHOOSE(CONTROL!$C$42, 4.3762, 4.3762) * CHOOSE(CONTROL!$C$21, $C$9, 100%, $E$9)</f>
        <v>4.3761999999999999</v>
      </c>
      <c r="T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7">
        <f>(1000*CHOOSE(CONTROL!$C$42, 695, 695)*CHOOSE(CONTROL!$C$42, 0.5599, 0.5599)*CHOOSE(CONTROL!$C$42, 31, 31))/1000000</f>
        <v>12.063045499999998</v>
      </c>
      <c r="V70" s="57">
        <f>(1000*CHOOSE(CONTROL!$C$42, 580, 580)*CHOOSE(CONTROL!$C$42, 0.275, 0.275)*CHOOSE(CONTROL!$C$42, 31, 31))/1000000</f>
        <v>4.9444999999999997</v>
      </c>
      <c r="W70" s="57">
        <f>(1000*CHOOSE(CONTROL!$C$42, 0.1146, 0.1146)*CHOOSE(CONTROL!$C$42, 121.5, 121.5)*CHOOSE(CONTROL!$C$42, 31, 31))/1000000</f>
        <v>0.43164089999999994</v>
      </c>
      <c r="X70" s="57">
        <f>(31*0.1790888*245000/1000000)+(31*0.2374*100000/1000000)</f>
        <v>2.0961194359999999</v>
      </c>
      <c r="Y70" s="57"/>
      <c r="Z70" s="14"/>
      <c r="AA70" s="56"/>
      <c r="AB70" s="50">
        <f>(B70*131.881+C70*277.167+D70*79.08+E70*125.872+F70*40+G70*185+H70*0+I70*100+J70*300)/(131.881+277.167+79.08+125.872+0+40+185+100+300)</f>
        <v>4.6114007692493946</v>
      </c>
      <c r="AC70" s="45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4.5544035971223025</v>
      </c>
    </row>
    <row r="71" spans="1:29" ht="15.75" x14ac:dyDescent="0.25">
      <c r="A71" s="13">
        <v>43040</v>
      </c>
      <c r="B71" s="14">
        <f>CHOOSE(CONTROL!$C$42, 4.6928, 4.6928) * CHOOSE(CONTROL!$C$21, $C$9, 100%, $E$9)</f>
        <v>4.6928000000000001</v>
      </c>
      <c r="C71" s="14">
        <f>CHOOSE(CONTROL!$C$42, 4.6978, 4.6978) * CHOOSE(CONTROL!$C$21, $C$9, 100%, $E$9)</f>
        <v>4.6978</v>
      </c>
      <c r="D71" s="14">
        <f>CHOOSE(CONTROL!$C$42, 4.772, 4.772) * CHOOSE(CONTROL!$C$21, $C$9, 100%, $E$9)</f>
        <v>4.7720000000000002</v>
      </c>
      <c r="E71" s="14">
        <f>CHOOSE(CONTROL!$C$42, 4.8062, 4.8062) * CHOOSE(CONTROL!$C$21, $C$9, 100%, $E$9)</f>
        <v>4.8061999999999996</v>
      </c>
      <c r="F71" s="14">
        <f>CHOOSE(CONTROL!$C$42, 4.7048, 4.7048)*CHOOSE(CONTROL!$C$21, $C$9, 100%, $E$9)</f>
        <v>4.7047999999999996</v>
      </c>
      <c r="G71" s="14">
        <f>CHOOSE(CONTROL!$C$42, 4.7214, 4.7214)*CHOOSE(CONTROL!$C$21, $C$9, 100%, $E$9)</f>
        <v>4.7214</v>
      </c>
      <c r="H71" s="14">
        <f>CHOOSE(CONTROL!$C$42, 4.7953, 4.7953) * CHOOSE(CONTROL!$C$21, $C$9, 100%, $E$9)</f>
        <v>4.7953000000000001</v>
      </c>
      <c r="I71" s="14">
        <f>CHOOSE(CONTROL!$C$42, 4.7318, 4.7318)* CHOOSE(CONTROL!$C$21, $C$9, 100%, $E$9)</f>
        <v>4.7317999999999998</v>
      </c>
      <c r="J71" s="14">
        <f>CHOOSE(CONTROL!$C$42, 4.6978, 4.6978)* CHOOSE(CONTROL!$C$21, $C$9, 100%, $E$9)</f>
        <v>4.6978</v>
      </c>
      <c r="K71" s="53">
        <f>CHOOSE(CONTROL!$C$42, 4.7279, 4.7279) * CHOOSE(CONTROL!$C$21, $C$9, 100%, $E$9)</f>
        <v>4.7279</v>
      </c>
      <c r="L71" s="14">
        <f>CHOOSE(CONTROL!$C$42, 5.3823, 5.3823) * CHOOSE(CONTROL!$C$21, $C$9, 100%, $E$9)</f>
        <v>5.3822999999999999</v>
      </c>
      <c r="M71" s="14">
        <f>CHOOSE(CONTROL!$C$42, 4.6092, 4.6092) * CHOOSE(CONTROL!$C$21, $C$9, 100%, $E$9)</f>
        <v>4.6092000000000004</v>
      </c>
      <c r="N71" s="14">
        <f>CHOOSE(CONTROL!$C$42, 4.6255, 4.6255) * CHOOSE(CONTROL!$C$21, $C$9, 100%, $E$9)</f>
        <v>4.6254999999999997</v>
      </c>
      <c r="O71" s="14">
        <f>CHOOSE(CONTROL!$C$42, 4.7048, 4.7048) * CHOOSE(CONTROL!$C$21, $C$9, 100%, $E$9)</f>
        <v>4.7047999999999996</v>
      </c>
      <c r="P71" s="14">
        <f>CHOOSE(CONTROL!$C$42, 4.6423, 4.6423) * CHOOSE(CONTROL!$C$21, $C$9, 100%, $E$9)</f>
        <v>4.6422999999999996</v>
      </c>
      <c r="Q71" s="14">
        <f>CHOOSE(CONTROL!$C$42, 5.2995, 5.2995) * CHOOSE(CONTROL!$C$21, $C$9, 100%, $E$9)</f>
        <v>5.2995000000000001</v>
      </c>
      <c r="R71" s="14">
        <f>CHOOSE(CONTROL!$C$42, 5.8997, 5.8997) * CHOOSE(CONTROL!$C$21, $C$9, 100%, $E$9)</f>
        <v>5.8997000000000002</v>
      </c>
      <c r="S71" s="14">
        <f>CHOOSE(CONTROL!$C$42, 4.5007, 4.5007) * CHOOSE(CONTROL!$C$21, $C$9, 100%, $E$9)</f>
        <v>4.5007000000000001</v>
      </c>
      <c r="T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7">
        <f>(1000*CHOOSE(CONTROL!$C$42, 695, 695)*CHOOSE(CONTROL!$C$42, 0.5599, 0.5599)*CHOOSE(CONTROL!$C$42, 30, 30))/1000000</f>
        <v>11.673914999999997</v>
      </c>
      <c r="V71" s="57">
        <f>(1000*CHOOSE(CONTROL!$C$42, 580, 580)*CHOOSE(CONTROL!$C$42, 0.275, 0.275)*CHOOSE(CONTROL!$C$42, 30, 30))/1000000</f>
        <v>4.7850000000000001</v>
      </c>
      <c r="W71" s="57">
        <f>(1000*CHOOSE(CONTROL!$C$42, 0.1146, 0.1146)*CHOOSE(CONTROL!$C$42, 121.5, 121.5)*CHOOSE(CONTROL!$C$42, 30, 30))/1000000</f>
        <v>0.417717</v>
      </c>
      <c r="X71" s="57">
        <f>(30*0.1790888*100000/1000000)+(30*0.2374*100000/1000000)</f>
        <v>1.2494664</v>
      </c>
      <c r="Y71" s="57"/>
      <c r="Z71" s="14"/>
      <c r="AA71" s="56"/>
      <c r="AB71" s="50">
        <f>(B71*122.58+C71*297.941+D71*89.177+E71*40.302+F71*40+G71*160+H71*0+I71*100+J71*300)/(122.58+297.941+89.177+40.302+0+40+160+100+300)</f>
        <v>4.7133032784347826</v>
      </c>
      <c r="AC71" s="45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4.6582302158273379</v>
      </c>
    </row>
    <row r="72" spans="1:29" ht="15.75" x14ac:dyDescent="0.25">
      <c r="A72" s="13">
        <v>43070</v>
      </c>
      <c r="B72" s="14">
        <f>CHOOSE(CONTROL!$C$42, 5.0223, 5.0223) * CHOOSE(CONTROL!$C$21, $C$9, 100%, $E$9)</f>
        <v>5.0223000000000004</v>
      </c>
      <c r="C72" s="14">
        <f>CHOOSE(CONTROL!$C$42, 5.0274, 5.0274) * CHOOSE(CONTROL!$C$21, $C$9, 100%, $E$9)</f>
        <v>5.0274000000000001</v>
      </c>
      <c r="D72" s="14">
        <f>CHOOSE(CONTROL!$C$42, 5.1016, 5.1016) * CHOOSE(CONTROL!$C$21, $C$9, 100%, $E$9)</f>
        <v>5.1016000000000004</v>
      </c>
      <c r="E72" s="14">
        <f>CHOOSE(CONTROL!$C$42, 5.1357, 5.1357) * CHOOSE(CONTROL!$C$21, $C$9, 100%, $E$9)</f>
        <v>5.1356999999999999</v>
      </c>
      <c r="F72" s="14">
        <f>CHOOSE(CONTROL!$C$42, 5.0366, 5.0366)*CHOOSE(CONTROL!$C$21, $C$9, 100%, $E$9)</f>
        <v>5.0366</v>
      </c>
      <c r="G72" s="14">
        <f>CHOOSE(CONTROL!$C$42, 5.0538, 5.0538)*CHOOSE(CONTROL!$C$21, $C$9, 100%, $E$9)</f>
        <v>5.0537999999999998</v>
      </c>
      <c r="H72" s="14">
        <f>CHOOSE(CONTROL!$C$42, 5.1249, 5.1249) * CHOOSE(CONTROL!$C$21, $C$9, 100%, $E$9)</f>
        <v>5.1249000000000002</v>
      </c>
      <c r="I72" s="14">
        <f>CHOOSE(CONTROL!$C$42, 5.0624, 5.0624)* CHOOSE(CONTROL!$C$21, $C$9, 100%, $E$9)</f>
        <v>5.0624000000000002</v>
      </c>
      <c r="J72" s="14">
        <f>CHOOSE(CONTROL!$C$42, 5.0296, 5.0296)* CHOOSE(CONTROL!$C$21, $C$9, 100%, $E$9)</f>
        <v>5.0296000000000003</v>
      </c>
      <c r="K72" s="53">
        <f>CHOOSE(CONTROL!$C$42, 5.0585, 5.0585) * CHOOSE(CONTROL!$C$21, $C$9, 100%, $E$9)</f>
        <v>5.0585000000000004</v>
      </c>
      <c r="L72" s="14">
        <f>CHOOSE(CONTROL!$C$42, 5.7119, 5.7119) * CHOOSE(CONTROL!$C$21, $C$9, 100%, $E$9)</f>
        <v>5.7119</v>
      </c>
      <c r="M72" s="14">
        <f>CHOOSE(CONTROL!$C$42, 4.9342, 4.9342) * CHOOSE(CONTROL!$C$21, $C$9, 100%, $E$9)</f>
        <v>4.9341999999999997</v>
      </c>
      <c r="N72" s="14">
        <f>CHOOSE(CONTROL!$C$42, 4.951, 4.951) * CHOOSE(CONTROL!$C$21, $C$9, 100%, $E$9)</f>
        <v>4.9509999999999996</v>
      </c>
      <c r="O72" s="14">
        <f>CHOOSE(CONTROL!$C$42, 5.0276, 5.0276) * CHOOSE(CONTROL!$C$21, $C$9, 100%, $E$9)</f>
        <v>5.0275999999999996</v>
      </c>
      <c r="P72" s="14">
        <f>CHOOSE(CONTROL!$C$42, 4.9661, 4.9661) * CHOOSE(CONTROL!$C$21, $C$9, 100%, $E$9)</f>
        <v>4.9661</v>
      </c>
      <c r="Q72" s="14">
        <f>CHOOSE(CONTROL!$C$42, 5.6223, 5.6223) * CHOOSE(CONTROL!$C$21, $C$9, 100%, $E$9)</f>
        <v>5.6223000000000001</v>
      </c>
      <c r="R72" s="14">
        <f>CHOOSE(CONTROL!$C$42, 6.2234, 6.2234) * CHOOSE(CONTROL!$C$21, $C$9, 100%, $E$9)</f>
        <v>6.2233999999999998</v>
      </c>
      <c r="S72" s="14">
        <f>CHOOSE(CONTROL!$C$42, 4.8174, 4.8174) * CHOOSE(CONTROL!$C$21, $C$9, 100%, $E$9)</f>
        <v>4.8174000000000001</v>
      </c>
      <c r="T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7">
        <f>(1000*CHOOSE(CONTROL!$C$42, 695, 695)*CHOOSE(CONTROL!$C$42, 0.5599, 0.5599)*CHOOSE(CONTROL!$C$42, 31, 31))/1000000</f>
        <v>12.063045499999998</v>
      </c>
      <c r="V72" s="57">
        <f>(1000*CHOOSE(CONTROL!$C$42, 580, 580)*CHOOSE(CONTROL!$C$42, 0.275, 0.275)*CHOOSE(CONTROL!$C$42, 31, 31))/1000000</f>
        <v>4.9444999999999997</v>
      </c>
      <c r="W72" s="57">
        <f>(1000*CHOOSE(CONTROL!$C$42, 0.1146, 0.1146)*CHOOSE(CONTROL!$C$42, 121.5, 121.5)*CHOOSE(CONTROL!$C$42, 31, 31))/1000000</f>
        <v>0.43164089999999994</v>
      </c>
      <c r="X72" s="57">
        <f>(31*0.1790888*100000/1000000)+(31*0.2374*100000/1000000)</f>
        <v>1.2911152800000001</v>
      </c>
      <c r="Y72" s="57"/>
      <c r="Z72" s="14"/>
      <c r="AA72" s="56"/>
      <c r="AB72" s="50">
        <f>(B72*122.58+C72*297.941+D72*89.177+E72*40.302+F72*40+G72*160+H72*0+I72*100+J72*300)/(122.58+297.941+89.177+40.302+0+40+160+100+300)</f>
        <v>5.0440160713043474</v>
      </c>
      <c r="AC72" s="45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4.9820892086330941</v>
      </c>
    </row>
    <row r="73" spans="1:29" ht="15.75" x14ac:dyDescent="0.25">
      <c r="A73" s="13">
        <v>43101</v>
      </c>
      <c r="B73" s="14">
        <f>CHOOSE(CONTROL!$C$42, 6.0009, 6.0009) * CHOOSE(CONTROL!$C$21, $C$9, 100%, $E$9)</f>
        <v>6.0008999999999997</v>
      </c>
      <c r="C73" s="14">
        <f>CHOOSE(CONTROL!$C$42, 6.006, 6.006) * CHOOSE(CONTROL!$C$21, $C$9, 100%, $E$9)</f>
        <v>6.0060000000000002</v>
      </c>
      <c r="D73" s="14">
        <f>CHOOSE(CONTROL!$C$42, 6.0828, 6.0828) * CHOOSE(CONTROL!$C$21, $C$9, 100%, $E$9)</f>
        <v>6.0827999999999998</v>
      </c>
      <c r="E73" s="14">
        <f>CHOOSE(CONTROL!$C$42, 6.1169, 6.1169) * CHOOSE(CONTROL!$C$21, $C$9, 100%, $E$9)</f>
        <v>6.1169000000000002</v>
      </c>
      <c r="F73" s="14">
        <f>CHOOSE(CONTROL!$C$42, 6.0011, 6.0011)*CHOOSE(CONTROL!$C$21, $C$9, 100%, $E$9)</f>
        <v>6.0011000000000001</v>
      </c>
      <c r="G73" s="14">
        <f>CHOOSE(CONTROL!$C$42, 6.0173, 6.0173)*CHOOSE(CONTROL!$C$21, $C$9, 100%, $E$9)</f>
        <v>6.0172999999999996</v>
      </c>
      <c r="H73" s="14">
        <f>CHOOSE(CONTROL!$C$42, 6.1061, 6.1061) * CHOOSE(CONTROL!$C$21, $C$9, 100%, $E$9)</f>
        <v>6.1060999999999996</v>
      </c>
      <c r="I73" s="14">
        <f>CHOOSE(CONTROL!$C$42, 6.0378, 6.0378)* CHOOSE(CONTROL!$C$21, $C$9, 100%, $E$9)</f>
        <v>6.0377999999999998</v>
      </c>
      <c r="J73" s="14">
        <f>CHOOSE(CONTROL!$C$42, 5.9941, 5.9941)* CHOOSE(CONTROL!$C$21, $C$9, 100%, $E$9)</f>
        <v>5.9941000000000004</v>
      </c>
      <c r="K73" s="53">
        <f>CHOOSE(CONTROL!$C$42, 6.0339, 6.0339) * CHOOSE(CONTROL!$C$21, $C$9, 100%, $E$9)</f>
        <v>6.0339</v>
      </c>
      <c r="L73" s="14">
        <f>CHOOSE(CONTROL!$C$42, 6.6931, 6.6931) * CHOOSE(CONTROL!$C$21, $C$9, 100%, $E$9)</f>
        <v>6.6931000000000003</v>
      </c>
      <c r="M73" s="14">
        <f>CHOOSE(CONTROL!$C$42, 5.879, 5.879) * CHOOSE(CONTROL!$C$21, $C$9, 100%, $E$9)</f>
        <v>5.8789999999999996</v>
      </c>
      <c r="N73" s="14">
        <f>CHOOSE(CONTROL!$C$42, 5.8949, 5.8949) * CHOOSE(CONTROL!$C$21, $C$9, 100%, $E$9)</f>
        <v>5.8948999999999998</v>
      </c>
      <c r="O73" s="14">
        <f>CHOOSE(CONTROL!$C$42, 5.9887, 5.9887) * CHOOSE(CONTROL!$C$21, $C$9, 100%, $E$9)</f>
        <v>5.9886999999999997</v>
      </c>
      <c r="P73" s="14">
        <f>CHOOSE(CONTROL!$C$42, 5.9215, 5.9215) * CHOOSE(CONTROL!$C$21, $C$9, 100%, $E$9)</f>
        <v>5.9215</v>
      </c>
      <c r="Q73" s="14">
        <f>CHOOSE(CONTROL!$C$42, 6.5834, 6.5834) * CHOOSE(CONTROL!$C$21, $C$9, 100%, $E$9)</f>
        <v>6.5834000000000001</v>
      </c>
      <c r="R73" s="14">
        <f>CHOOSE(CONTROL!$C$42, 7.1868, 7.1868) * CHOOSE(CONTROL!$C$21, $C$9, 100%, $E$9)</f>
        <v>7.1867999999999999</v>
      </c>
      <c r="S73" s="14">
        <f>CHOOSE(CONTROL!$C$42, 5.7577, 5.7577) * CHOOSE(CONTROL!$C$21, $C$9, 100%, $E$9)</f>
        <v>5.7576999999999998</v>
      </c>
      <c r="T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7">
        <f>(1000*CHOOSE(CONTROL!$C$42, 695, 695)*CHOOSE(CONTROL!$C$42, 0.5599, 0.5599)*CHOOSE(CONTROL!$C$42, 31, 31))/1000000</f>
        <v>12.063045499999998</v>
      </c>
      <c r="V73" s="57">
        <f>(1000*CHOOSE(CONTROL!$C$42, 500, 500)*CHOOSE(CONTROL!$C$42, 0.275, 0.275)*CHOOSE(CONTROL!$C$42, 31, 31))/1000000</f>
        <v>4.2625000000000002</v>
      </c>
      <c r="W73" s="57">
        <f>(1000*CHOOSE(CONTROL!$C$42, 0.1146, 0.1146)*CHOOSE(CONTROL!$C$42, 121.5, 121.5)*CHOOSE(CONTROL!$C$42, 31, 31))/1000000</f>
        <v>0.43164089999999994</v>
      </c>
      <c r="X73" s="57">
        <f>(31*0.1790888*100000/1000000)+(31*0.2374*100000/1000000)</f>
        <v>1.2911152800000001</v>
      </c>
      <c r="Y73" s="57"/>
      <c r="Z73" s="14"/>
      <c r="AA73" s="56"/>
      <c r="AB73" s="50">
        <f>(B73*122.58+C73*297.941+D73*89.177+E73*40.302+F73*40+G73*160+H73*0+I73*100+J73*300)/(122.58+297.941+89.177+40.302+0+40+160+100+300)</f>
        <v>6.0163609803478257</v>
      </c>
      <c r="AC73" s="45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5.9357503597122294</v>
      </c>
    </row>
    <row r="74" spans="1:29" ht="15.75" x14ac:dyDescent="0.25">
      <c r="A74" s="13">
        <v>43132</v>
      </c>
      <c r="B74" s="14">
        <f>CHOOSE(CONTROL!$C$42, 6.1201, 6.1201) * CHOOSE(CONTROL!$C$21, $C$9, 100%, $E$9)</f>
        <v>6.1200999999999999</v>
      </c>
      <c r="C74" s="14">
        <f>CHOOSE(CONTROL!$C$42, 6.1252, 6.1252) * CHOOSE(CONTROL!$C$21, $C$9, 100%, $E$9)</f>
        <v>6.1252000000000004</v>
      </c>
      <c r="D74" s="14">
        <f>CHOOSE(CONTROL!$C$42, 6.202, 6.202) * CHOOSE(CONTROL!$C$21, $C$9, 100%, $E$9)</f>
        <v>6.202</v>
      </c>
      <c r="E74" s="14">
        <f>CHOOSE(CONTROL!$C$42, 6.2361, 6.2361) * CHOOSE(CONTROL!$C$21, $C$9, 100%, $E$9)</f>
        <v>6.2361000000000004</v>
      </c>
      <c r="F74" s="14">
        <f>CHOOSE(CONTROL!$C$42, 6.1204, 6.1204)*CHOOSE(CONTROL!$C$21, $C$9, 100%, $E$9)</f>
        <v>6.1204000000000001</v>
      </c>
      <c r="G74" s="14">
        <f>CHOOSE(CONTROL!$C$42, 6.1366, 6.1366)*CHOOSE(CONTROL!$C$21, $C$9, 100%, $E$9)</f>
        <v>6.1365999999999996</v>
      </c>
      <c r="H74" s="14">
        <f>CHOOSE(CONTROL!$C$42, 6.2253, 6.2253) * CHOOSE(CONTROL!$C$21, $C$9, 100%, $E$9)</f>
        <v>6.2252999999999998</v>
      </c>
      <c r="I74" s="14">
        <f>CHOOSE(CONTROL!$C$42, 6.1574, 6.1574)* CHOOSE(CONTROL!$C$21, $C$9, 100%, $E$9)</f>
        <v>6.1574</v>
      </c>
      <c r="J74" s="14">
        <f>CHOOSE(CONTROL!$C$42, 6.1134, 6.1134)* CHOOSE(CONTROL!$C$21, $C$9, 100%, $E$9)</f>
        <v>6.1134000000000004</v>
      </c>
      <c r="K74" s="53">
        <f>CHOOSE(CONTROL!$C$42, 6.1535, 6.1535) * CHOOSE(CONTROL!$C$21, $C$9, 100%, $E$9)</f>
        <v>6.1535000000000002</v>
      </c>
      <c r="L74" s="14">
        <f>CHOOSE(CONTROL!$C$42, 6.8123, 6.8123) * CHOOSE(CONTROL!$C$21, $C$9, 100%, $E$9)</f>
        <v>6.8122999999999996</v>
      </c>
      <c r="M74" s="14">
        <f>CHOOSE(CONTROL!$C$42, 5.9958, 5.9958) * CHOOSE(CONTROL!$C$21, $C$9, 100%, $E$9)</f>
        <v>5.9958</v>
      </c>
      <c r="N74" s="14">
        <f>CHOOSE(CONTROL!$C$42, 6.0117, 6.0117) * CHOOSE(CONTROL!$C$21, $C$9, 100%, $E$9)</f>
        <v>6.0117000000000003</v>
      </c>
      <c r="O74" s="14">
        <f>CHOOSE(CONTROL!$C$42, 6.1055, 6.1055) * CHOOSE(CONTROL!$C$21, $C$9, 100%, $E$9)</f>
        <v>6.1055000000000001</v>
      </c>
      <c r="P74" s="14">
        <f>CHOOSE(CONTROL!$C$42, 6.0386, 6.0386) * CHOOSE(CONTROL!$C$21, $C$9, 100%, $E$9)</f>
        <v>6.0385999999999997</v>
      </c>
      <c r="Q74" s="14">
        <f>CHOOSE(CONTROL!$C$42, 6.7002, 6.7002) * CHOOSE(CONTROL!$C$21, $C$9, 100%, $E$9)</f>
        <v>6.7001999999999997</v>
      </c>
      <c r="R74" s="14">
        <f>CHOOSE(CONTROL!$C$42, 7.3039, 7.3039) * CHOOSE(CONTROL!$C$21, $C$9, 100%, $E$9)</f>
        <v>7.3038999999999996</v>
      </c>
      <c r="S74" s="14">
        <f>CHOOSE(CONTROL!$C$42, 5.8723, 5.8723) * CHOOSE(CONTROL!$C$21, $C$9, 100%, $E$9)</f>
        <v>5.8723000000000001</v>
      </c>
      <c r="T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7">
        <f>(1000*CHOOSE(CONTROL!$C$42, 695, 695)*CHOOSE(CONTROL!$C$42, 0.5599, 0.5599)*CHOOSE(CONTROL!$C$42, 28, 28))/1000000</f>
        <v>10.895653999999999</v>
      </c>
      <c r="V74" s="57">
        <f>(1000*CHOOSE(CONTROL!$C$42, 500, 500)*CHOOSE(CONTROL!$C$42, 0.275, 0.275)*CHOOSE(CONTROL!$C$42, 28, 28))/1000000</f>
        <v>3.85</v>
      </c>
      <c r="W74" s="57">
        <f>(1000*CHOOSE(CONTROL!$C$42, 0.1146, 0.1146)*CHOOSE(CONTROL!$C$42, 121.5, 121.5)*CHOOSE(CONTROL!$C$42, 28, 28))/1000000</f>
        <v>0.38986920000000003</v>
      </c>
      <c r="X74" s="57">
        <f>(28*0.1790888*100000/1000000)+(28*0.2374*100000/1000000)</f>
        <v>1.16616864</v>
      </c>
      <c r="Y74" s="57"/>
      <c r="Z74" s="14"/>
      <c r="AA74" s="56"/>
      <c r="AB74" s="50">
        <f>(B74*122.58+C74*297.941+D74*89.177+E74*40.302+F74*40+G74*160+H74*0+I74*100+J74*300)/(122.58+297.941+89.177+40.302+0+40+160+100+300)</f>
        <v>6.1356392412173912</v>
      </c>
      <c r="AC74" s="45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6.0525935251798559</v>
      </c>
    </row>
    <row r="75" spans="1:29" ht="15.75" x14ac:dyDescent="0.25">
      <c r="A75" s="13">
        <v>43160</v>
      </c>
      <c r="B75" s="14">
        <f>CHOOSE(CONTROL!$C$42, 5.9589, 5.9589) * CHOOSE(CONTROL!$C$21, $C$9, 100%, $E$9)</f>
        <v>5.9588999999999999</v>
      </c>
      <c r="C75" s="14">
        <f>CHOOSE(CONTROL!$C$42, 5.9639, 5.9639) * CHOOSE(CONTROL!$C$21, $C$9, 100%, $E$9)</f>
        <v>5.9638999999999998</v>
      </c>
      <c r="D75" s="14">
        <f>CHOOSE(CONTROL!$C$42, 6.0408, 6.0408) * CHOOSE(CONTROL!$C$21, $C$9, 100%, $E$9)</f>
        <v>6.0407999999999999</v>
      </c>
      <c r="E75" s="14">
        <f>CHOOSE(CONTROL!$C$42, 6.0749, 6.0749) * CHOOSE(CONTROL!$C$21, $C$9, 100%, $E$9)</f>
        <v>6.0749000000000004</v>
      </c>
      <c r="F75" s="14">
        <f>CHOOSE(CONTROL!$C$42, 5.9587, 5.9587)*CHOOSE(CONTROL!$C$21, $C$9, 100%, $E$9)</f>
        <v>5.9587000000000003</v>
      </c>
      <c r="G75" s="14">
        <f>CHOOSE(CONTROL!$C$42, 5.9748, 5.9748)*CHOOSE(CONTROL!$C$21, $C$9, 100%, $E$9)</f>
        <v>5.9748000000000001</v>
      </c>
      <c r="H75" s="14">
        <f>CHOOSE(CONTROL!$C$42, 6.0641, 6.0641) * CHOOSE(CONTROL!$C$21, $C$9, 100%, $E$9)</f>
        <v>6.0640999999999998</v>
      </c>
      <c r="I75" s="14">
        <f>CHOOSE(CONTROL!$C$42, 5.9956, 5.9956)* CHOOSE(CONTROL!$C$21, $C$9, 100%, $E$9)</f>
        <v>5.9955999999999996</v>
      </c>
      <c r="J75" s="14">
        <f>CHOOSE(CONTROL!$C$42, 5.9517, 5.9517)* CHOOSE(CONTROL!$C$21, $C$9, 100%, $E$9)</f>
        <v>5.9516999999999998</v>
      </c>
      <c r="K75" s="53">
        <f>CHOOSE(CONTROL!$C$42, 5.9917, 5.9917) * CHOOSE(CONTROL!$C$21, $C$9, 100%, $E$9)</f>
        <v>5.9916999999999998</v>
      </c>
      <c r="L75" s="14">
        <f>CHOOSE(CONTROL!$C$42, 6.6511, 6.6511) * CHOOSE(CONTROL!$C$21, $C$9, 100%, $E$9)</f>
        <v>6.6510999999999996</v>
      </c>
      <c r="M75" s="14">
        <f>CHOOSE(CONTROL!$C$42, 5.8374, 5.8374) * CHOOSE(CONTROL!$C$21, $C$9, 100%, $E$9)</f>
        <v>5.8373999999999997</v>
      </c>
      <c r="N75" s="14">
        <f>CHOOSE(CONTROL!$C$42, 5.8532, 5.8532) * CHOOSE(CONTROL!$C$21, $C$9, 100%, $E$9)</f>
        <v>5.8532000000000002</v>
      </c>
      <c r="O75" s="14">
        <f>CHOOSE(CONTROL!$C$42, 5.9475, 5.9475) * CHOOSE(CONTROL!$C$21, $C$9, 100%, $E$9)</f>
        <v>5.9474999999999998</v>
      </c>
      <c r="P75" s="14">
        <f>CHOOSE(CONTROL!$C$42, 5.8802, 5.8802) * CHOOSE(CONTROL!$C$21, $C$9, 100%, $E$9)</f>
        <v>5.8802000000000003</v>
      </c>
      <c r="Q75" s="14">
        <f>CHOOSE(CONTROL!$C$42, 6.5422, 6.5422) * CHOOSE(CONTROL!$C$21, $C$9, 100%, $E$9)</f>
        <v>6.5422000000000002</v>
      </c>
      <c r="R75" s="14">
        <f>CHOOSE(CONTROL!$C$42, 7.1456, 7.1456) * CHOOSE(CONTROL!$C$21, $C$9, 100%, $E$9)</f>
        <v>7.1456</v>
      </c>
      <c r="S75" s="14">
        <f>CHOOSE(CONTROL!$C$42, 5.7174, 5.7174) * CHOOSE(CONTROL!$C$21, $C$9, 100%, $E$9)</f>
        <v>5.7173999999999996</v>
      </c>
      <c r="T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7">
        <f>(1000*CHOOSE(CONTROL!$C$42, 695, 695)*CHOOSE(CONTROL!$C$42, 0.5599, 0.5599)*CHOOSE(CONTROL!$C$42, 31, 31))/1000000</f>
        <v>12.063045499999998</v>
      </c>
      <c r="V75" s="57">
        <f>(1000*CHOOSE(CONTROL!$C$42, 500, 500)*CHOOSE(CONTROL!$C$42, 0.275, 0.275)*CHOOSE(CONTROL!$C$42, 31, 31))/1000000</f>
        <v>4.2625000000000002</v>
      </c>
      <c r="W75" s="57">
        <f>(1000*CHOOSE(CONTROL!$C$42, 0.1146, 0.1146)*CHOOSE(CONTROL!$C$42, 121.5, 121.5)*CHOOSE(CONTROL!$C$42, 31, 31))/1000000</f>
        <v>0.43164089999999994</v>
      </c>
      <c r="X75" s="57">
        <f>(31*0.1790888*100000/1000000)+(31*0.2374*100000/1000000)</f>
        <v>1.2911152800000001</v>
      </c>
      <c r="Y75" s="57"/>
      <c r="Z75" s="14"/>
      <c r="AA75" s="56"/>
      <c r="AB75" s="50">
        <f>(B75*122.58+C75*297.941+D75*89.177+E75*40.302+F75*40+G75*160+H75*0+I75*100+J75*300)/(122.58+297.941+89.177+40.302+0+40+160+100+300)</f>
        <v>5.9741298550434783</v>
      </c>
      <c r="AC75" s="45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5.8943690647482008</v>
      </c>
    </row>
    <row r="76" spans="1:29" ht="15.75" x14ac:dyDescent="0.25">
      <c r="A76" s="13">
        <v>43191</v>
      </c>
      <c r="B76" s="14">
        <f>CHOOSE(CONTROL!$C$42, 5.9545, 5.9545) * CHOOSE(CONTROL!$C$21, $C$9, 100%, $E$9)</f>
        <v>5.9545000000000003</v>
      </c>
      <c r="C76" s="14">
        <f>CHOOSE(CONTROL!$C$42, 5.959, 5.959) * CHOOSE(CONTROL!$C$21, $C$9, 100%, $E$9)</f>
        <v>5.9589999999999996</v>
      </c>
      <c r="D76" s="14">
        <f>CHOOSE(CONTROL!$C$42, 6.1958, 6.1958) * CHOOSE(CONTROL!$C$21, $C$9, 100%, $E$9)</f>
        <v>6.1958000000000002</v>
      </c>
      <c r="E76" s="14">
        <f>CHOOSE(CONTROL!$C$42, 6.2279, 6.2279) * CHOOSE(CONTROL!$C$21, $C$9, 100%, $E$9)</f>
        <v>6.2279</v>
      </c>
      <c r="F76" s="14">
        <f>CHOOSE(CONTROL!$C$42, 5.9525, 5.9525)*CHOOSE(CONTROL!$C$21, $C$9, 100%, $E$9)</f>
        <v>5.9524999999999997</v>
      </c>
      <c r="G76" s="14">
        <f>CHOOSE(CONTROL!$C$42, 5.9683, 5.9683)*CHOOSE(CONTROL!$C$21, $C$9, 100%, $E$9)</f>
        <v>5.9683000000000002</v>
      </c>
      <c r="H76" s="14">
        <f>CHOOSE(CONTROL!$C$42, 6.2176, 6.2176) * CHOOSE(CONTROL!$C$21, $C$9, 100%, $E$9)</f>
        <v>6.2176</v>
      </c>
      <c r="I76" s="14">
        <f>CHOOSE(CONTROL!$C$42, 5.9905, 5.9905)* CHOOSE(CONTROL!$C$21, $C$9, 100%, $E$9)</f>
        <v>5.9904999999999999</v>
      </c>
      <c r="J76" s="14">
        <f>CHOOSE(CONTROL!$C$42, 5.9455, 5.9455)* CHOOSE(CONTROL!$C$21, $C$9, 100%, $E$9)</f>
        <v>5.9455</v>
      </c>
      <c r="K76" s="53">
        <f>CHOOSE(CONTROL!$C$42, 5.9866, 5.9866) * CHOOSE(CONTROL!$C$21, $C$9, 100%, $E$9)</f>
        <v>5.9866000000000001</v>
      </c>
      <c r="L76" s="14">
        <f>CHOOSE(CONTROL!$C$42, 6.8046, 6.8046) * CHOOSE(CONTROL!$C$21, $C$9, 100%, $E$9)</f>
        <v>6.8045999999999998</v>
      </c>
      <c r="M76" s="14">
        <f>CHOOSE(CONTROL!$C$42, 5.8313, 5.8313) * CHOOSE(CONTROL!$C$21, $C$9, 100%, $E$9)</f>
        <v>5.8312999999999997</v>
      </c>
      <c r="N76" s="14">
        <f>CHOOSE(CONTROL!$C$42, 5.8468, 5.8468) * CHOOSE(CONTROL!$C$21, $C$9, 100%, $E$9)</f>
        <v>5.8468</v>
      </c>
      <c r="O76" s="14">
        <f>CHOOSE(CONTROL!$C$42, 6.0979, 6.0979) * CHOOSE(CONTROL!$C$21, $C$9, 100%, $E$9)</f>
        <v>6.0979000000000001</v>
      </c>
      <c r="P76" s="14">
        <f>CHOOSE(CONTROL!$C$42, 5.8751, 5.8751) * CHOOSE(CONTROL!$C$21, $C$9, 100%, $E$9)</f>
        <v>5.8750999999999998</v>
      </c>
      <c r="Q76" s="14">
        <f>CHOOSE(CONTROL!$C$42, 6.6926, 6.6926) * CHOOSE(CONTROL!$C$21, $C$9, 100%, $E$9)</f>
        <v>6.6925999999999997</v>
      </c>
      <c r="R76" s="14">
        <f>CHOOSE(CONTROL!$C$42, 7.2964, 7.2964) * CHOOSE(CONTROL!$C$21, $C$9, 100%, $E$9)</f>
        <v>7.2964000000000002</v>
      </c>
      <c r="S76" s="14">
        <f>CHOOSE(CONTROL!$C$42, 5.7124, 5.7124) * CHOOSE(CONTROL!$C$21, $C$9, 100%, $E$9)</f>
        <v>5.7123999999999997</v>
      </c>
      <c r="T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7">
        <f>(1000*CHOOSE(CONTROL!$C$42, 695, 695)*CHOOSE(CONTROL!$C$42, 0.5599, 0.5599)*CHOOSE(CONTROL!$C$42, 30, 30))/1000000</f>
        <v>11.673914999999997</v>
      </c>
      <c r="V76" s="57">
        <f>(1000*CHOOSE(CONTROL!$C$42, 500, 500)*CHOOSE(CONTROL!$C$42, 0.275, 0.275)*CHOOSE(CONTROL!$C$42, 30, 30))/1000000</f>
        <v>4.125</v>
      </c>
      <c r="W76" s="57">
        <f>(1000*CHOOSE(CONTROL!$C$42, 0.1146, 0.1146)*CHOOSE(CONTROL!$C$42, 121.5, 121.5)*CHOOSE(CONTROL!$C$42, 30, 30))/1000000</f>
        <v>0.417717</v>
      </c>
      <c r="X76" s="57">
        <f>(30*0.1790888*245000/1000000)+(30*0.2374*100000/1000000)</f>
        <v>2.0285026799999999</v>
      </c>
      <c r="Y76" s="57"/>
      <c r="Z76" s="14"/>
      <c r="AA76" s="56"/>
      <c r="AB76" s="50">
        <f>(B76*141.293+C76*267.993+D76*115.016+E76*89.698+F76*40+G76*185+H76*0+I76*100+J76*300)/(141.293+267.993+115.016+89.698+0+40+185+100+300)</f>
        <v>6.0003884281678781</v>
      </c>
      <c r="AC76" s="45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5.9159719424460437</v>
      </c>
    </row>
    <row r="77" spans="1:29" ht="15.75" x14ac:dyDescent="0.25">
      <c r="A77" s="13">
        <v>43221</v>
      </c>
      <c r="B77" s="14">
        <f>CHOOSE(CONTROL!$C$42, 6.0207, 6.0207) * CHOOSE(CONTROL!$C$21, $C$9, 100%, $E$9)</f>
        <v>6.0206999999999997</v>
      </c>
      <c r="C77" s="14">
        <f>CHOOSE(CONTROL!$C$42, 6.0288, 6.0288) * CHOOSE(CONTROL!$C$21, $C$9, 100%, $E$9)</f>
        <v>6.0288000000000004</v>
      </c>
      <c r="D77" s="14">
        <f>CHOOSE(CONTROL!$C$42, 6.2624, 6.2624) * CHOOSE(CONTROL!$C$21, $C$9, 100%, $E$9)</f>
        <v>6.2624000000000004</v>
      </c>
      <c r="E77" s="14">
        <f>CHOOSE(CONTROL!$C$42, 6.2938, 6.2938) * CHOOSE(CONTROL!$C$21, $C$9, 100%, $E$9)</f>
        <v>6.2938000000000001</v>
      </c>
      <c r="F77" s="14">
        <f>CHOOSE(CONTROL!$C$42, 6.0175, 6.0175)*CHOOSE(CONTROL!$C$21, $C$9, 100%, $E$9)</f>
        <v>6.0175000000000001</v>
      </c>
      <c r="G77" s="14">
        <f>CHOOSE(CONTROL!$C$42, 6.0339, 6.0339)*CHOOSE(CONTROL!$C$21, $C$9, 100%, $E$9)</f>
        <v>6.0339</v>
      </c>
      <c r="H77" s="14">
        <f>CHOOSE(CONTROL!$C$42, 6.2825, 6.2825) * CHOOSE(CONTROL!$C$21, $C$9, 100%, $E$9)</f>
        <v>6.2824999999999998</v>
      </c>
      <c r="I77" s="14">
        <f>CHOOSE(CONTROL!$C$42, 6.0555, 6.0555)* CHOOSE(CONTROL!$C$21, $C$9, 100%, $E$9)</f>
        <v>6.0555000000000003</v>
      </c>
      <c r="J77" s="14">
        <f>CHOOSE(CONTROL!$C$42, 6.0105, 6.0105)* CHOOSE(CONTROL!$C$21, $C$9, 100%, $E$9)</f>
        <v>6.0105000000000004</v>
      </c>
      <c r="K77" s="53">
        <f>CHOOSE(CONTROL!$C$42, 6.0516, 6.0516) * CHOOSE(CONTROL!$C$21, $C$9, 100%, $E$9)</f>
        <v>6.0515999999999996</v>
      </c>
      <c r="L77" s="14">
        <f>CHOOSE(CONTROL!$C$42, 6.8695, 6.8695) * CHOOSE(CONTROL!$C$21, $C$9, 100%, $E$9)</f>
        <v>6.8695000000000004</v>
      </c>
      <c r="M77" s="14">
        <f>CHOOSE(CONTROL!$C$42, 5.8951, 5.8951) * CHOOSE(CONTROL!$C$21, $C$9, 100%, $E$9)</f>
        <v>5.8951000000000002</v>
      </c>
      <c r="N77" s="14">
        <f>CHOOSE(CONTROL!$C$42, 5.9111, 5.9111) * CHOOSE(CONTROL!$C$21, $C$9, 100%, $E$9)</f>
        <v>5.9111000000000002</v>
      </c>
      <c r="O77" s="14">
        <f>CHOOSE(CONTROL!$C$42, 6.1614, 6.1614) * CHOOSE(CONTROL!$C$21, $C$9, 100%, $E$9)</f>
        <v>6.1614000000000004</v>
      </c>
      <c r="P77" s="14">
        <f>CHOOSE(CONTROL!$C$42, 5.9388, 5.9388) * CHOOSE(CONTROL!$C$21, $C$9, 100%, $E$9)</f>
        <v>5.9387999999999996</v>
      </c>
      <c r="Q77" s="14">
        <f>CHOOSE(CONTROL!$C$42, 6.7561, 6.7561) * CHOOSE(CONTROL!$C$21, $C$9, 100%, $E$9)</f>
        <v>6.7561</v>
      </c>
      <c r="R77" s="14">
        <f>CHOOSE(CONTROL!$C$42, 7.36, 7.36) * CHOOSE(CONTROL!$C$21, $C$9, 100%, $E$9)</f>
        <v>7.36</v>
      </c>
      <c r="S77" s="14">
        <f>CHOOSE(CONTROL!$C$42, 5.7747, 5.7747) * CHOOSE(CONTROL!$C$21, $C$9, 100%, $E$9)</f>
        <v>5.7747000000000002</v>
      </c>
      <c r="T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7">
        <f>(1000*CHOOSE(CONTROL!$C$42, 695, 695)*CHOOSE(CONTROL!$C$42, 0.5599, 0.5599)*CHOOSE(CONTROL!$C$42, 31, 31))/1000000</f>
        <v>12.063045499999998</v>
      </c>
      <c r="V77" s="57">
        <f>(1000*CHOOSE(CONTROL!$C$42, 500, 500)*CHOOSE(CONTROL!$C$42, 0.275, 0.275)*CHOOSE(CONTROL!$C$42, 31, 31))/1000000</f>
        <v>4.2625000000000002</v>
      </c>
      <c r="W77" s="57">
        <f>(1000*CHOOSE(CONTROL!$C$42, 0.1146, 0.1146)*CHOOSE(CONTROL!$C$42, 121.5, 121.5)*CHOOSE(CONTROL!$C$42, 31, 31))/1000000</f>
        <v>0.43164089999999994</v>
      </c>
      <c r="X77" s="57">
        <f>(31*0.1790888*245000/1000000)+(31*0.2374*100000/1000000)</f>
        <v>2.0961194359999999</v>
      </c>
      <c r="Y77" s="57"/>
      <c r="Z77" s="14"/>
      <c r="AA77" s="56"/>
      <c r="AB77" s="50">
        <f>(B77*194.205+C77*267.466+D77*133.845+E77*53.484+F77*40+G77*185+H77*0+I77*100+J77*300)/(194.205+267.466+133.845+53.484+0+40+185+100+300)</f>
        <v>6.0614043104395599</v>
      </c>
      <c r="AC77" s="45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5.9797884892086337</v>
      </c>
    </row>
    <row r="78" spans="1:29" ht="15.75" x14ac:dyDescent="0.25">
      <c r="A78" s="13">
        <v>43252</v>
      </c>
      <c r="B78" s="14">
        <f>CHOOSE(CONTROL!$C$42, 6.2039, 6.2039) * CHOOSE(CONTROL!$C$21, $C$9, 100%, $E$9)</f>
        <v>6.2039</v>
      </c>
      <c r="C78" s="14">
        <f>CHOOSE(CONTROL!$C$42, 6.2119, 6.2119) * CHOOSE(CONTROL!$C$21, $C$9, 100%, $E$9)</f>
        <v>6.2119</v>
      </c>
      <c r="D78" s="14">
        <f>CHOOSE(CONTROL!$C$42, 6.4455, 6.4455) * CHOOSE(CONTROL!$C$21, $C$9, 100%, $E$9)</f>
        <v>6.4455</v>
      </c>
      <c r="E78" s="14">
        <f>CHOOSE(CONTROL!$C$42, 6.477, 6.477) * CHOOSE(CONTROL!$C$21, $C$9, 100%, $E$9)</f>
        <v>6.4770000000000003</v>
      </c>
      <c r="F78" s="14">
        <f>CHOOSE(CONTROL!$C$42, 6.2012, 6.2012)*CHOOSE(CONTROL!$C$21, $C$9, 100%, $E$9)</f>
        <v>6.2012</v>
      </c>
      <c r="G78" s="14">
        <f>CHOOSE(CONTROL!$C$42, 6.2176, 6.2176)*CHOOSE(CONTROL!$C$21, $C$9, 100%, $E$9)</f>
        <v>6.2176</v>
      </c>
      <c r="H78" s="14">
        <f>CHOOSE(CONTROL!$C$42, 6.4656, 6.4656) * CHOOSE(CONTROL!$C$21, $C$9, 100%, $E$9)</f>
        <v>6.4656000000000002</v>
      </c>
      <c r="I78" s="14">
        <f>CHOOSE(CONTROL!$C$42, 6.2392, 6.2392)* CHOOSE(CONTROL!$C$21, $C$9, 100%, $E$9)</f>
        <v>6.2392000000000003</v>
      </c>
      <c r="J78" s="14">
        <f>CHOOSE(CONTROL!$C$42, 6.1942, 6.1942)* CHOOSE(CONTROL!$C$21, $C$9, 100%, $E$9)</f>
        <v>6.1942000000000004</v>
      </c>
      <c r="K78" s="53">
        <f>CHOOSE(CONTROL!$C$42, 6.2353, 6.2353) * CHOOSE(CONTROL!$C$21, $C$9, 100%, $E$9)</f>
        <v>6.2352999999999996</v>
      </c>
      <c r="L78" s="14">
        <f>CHOOSE(CONTROL!$C$42, 7.0526, 7.0526) * CHOOSE(CONTROL!$C$21, $C$9, 100%, $E$9)</f>
        <v>7.0526</v>
      </c>
      <c r="M78" s="14">
        <f>CHOOSE(CONTROL!$C$42, 6.0749, 6.0749) * CHOOSE(CONTROL!$C$21, $C$9, 100%, $E$9)</f>
        <v>6.0749000000000004</v>
      </c>
      <c r="N78" s="14">
        <f>CHOOSE(CONTROL!$C$42, 6.0911, 6.0911) * CHOOSE(CONTROL!$C$21, $C$9, 100%, $E$9)</f>
        <v>6.0911</v>
      </c>
      <c r="O78" s="14">
        <f>CHOOSE(CONTROL!$C$42, 6.3408, 6.3408) * CHOOSE(CONTROL!$C$21, $C$9, 100%, $E$9)</f>
        <v>6.3407999999999998</v>
      </c>
      <c r="P78" s="14">
        <f>CHOOSE(CONTROL!$C$42, 6.1187, 6.1187) * CHOOSE(CONTROL!$C$21, $C$9, 100%, $E$9)</f>
        <v>6.1186999999999996</v>
      </c>
      <c r="Q78" s="14">
        <f>CHOOSE(CONTROL!$C$42, 6.9355, 6.9355) * CHOOSE(CONTROL!$C$21, $C$9, 100%, $E$9)</f>
        <v>6.9355000000000002</v>
      </c>
      <c r="R78" s="14">
        <f>CHOOSE(CONTROL!$C$42, 7.5399, 7.5399) * CHOOSE(CONTROL!$C$21, $C$9, 100%, $E$9)</f>
        <v>7.5399000000000003</v>
      </c>
      <c r="S78" s="14">
        <f>CHOOSE(CONTROL!$C$42, 5.9507, 5.9507) * CHOOSE(CONTROL!$C$21, $C$9, 100%, $E$9)</f>
        <v>5.9507000000000003</v>
      </c>
      <c r="T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7">
        <f>(1000*CHOOSE(CONTROL!$C$42, 695, 695)*CHOOSE(CONTROL!$C$42, 0.5599, 0.5599)*CHOOSE(CONTROL!$C$42, 30, 30))/1000000</f>
        <v>11.673914999999997</v>
      </c>
      <c r="V78" s="57">
        <f>(1000*CHOOSE(CONTROL!$C$42, 500, 500)*CHOOSE(CONTROL!$C$42, 0.275, 0.275)*CHOOSE(CONTROL!$C$42, 30, 30))/1000000</f>
        <v>4.125</v>
      </c>
      <c r="W78" s="57">
        <f>(1000*CHOOSE(CONTROL!$C$42, 0.1146, 0.1146)*CHOOSE(CONTROL!$C$42, 121.5, 121.5)*CHOOSE(CONTROL!$C$42, 30, 30))/1000000</f>
        <v>0.417717</v>
      </c>
      <c r="X78" s="57">
        <f>(30*0.1790888*245000/1000000)+(30*0.2374*100000/1000000)</f>
        <v>2.0285026799999999</v>
      </c>
      <c r="Y78" s="57"/>
      <c r="Z78" s="14"/>
      <c r="AA78" s="56"/>
      <c r="AB78" s="50">
        <f>(B78*194.205+C78*267.466+D78*133.845+E78*53.484+F78*40+G78*185+H78*0+I78*100+J78*300)/(194.205+267.466+133.845+53.484+0+40+185+100+300)</f>
        <v>6.2448181007849293</v>
      </c>
      <c r="AC78" s="45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6.1595366906474815</v>
      </c>
    </row>
    <row r="79" spans="1:29" ht="15.75" x14ac:dyDescent="0.25">
      <c r="A79" s="13">
        <v>43282</v>
      </c>
      <c r="B79" s="14">
        <f>CHOOSE(CONTROL!$C$42, 6.0976, 6.0976) * CHOOSE(CONTROL!$C$21, $C$9, 100%, $E$9)</f>
        <v>6.0975999999999999</v>
      </c>
      <c r="C79" s="14">
        <f>CHOOSE(CONTROL!$C$42, 6.1056, 6.1056) * CHOOSE(CONTROL!$C$21, $C$9, 100%, $E$9)</f>
        <v>6.1055999999999999</v>
      </c>
      <c r="D79" s="14">
        <f>CHOOSE(CONTROL!$C$42, 6.3392, 6.3392) * CHOOSE(CONTROL!$C$21, $C$9, 100%, $E$9)</f>
        <v>6.3391999999999999</v>
      </c>
      <c r="E79" s="14">
        <f>CHOOSE(CONTROL!$C$42, 6.3707, 6.3707) * CHOOSE(CONTROL!$C$21, $C$9, 100%, $E$9)</f>
        <v>6.3707000000000003</v>
      </c>
      <c r="F79" s="14">
        <f>CHOOSE(CONTROL!$C$42, 6.0954, 6.0954)*CHOOSE(CONTROL!$C$21, $C$9, 100%, $E$9)</f>
        <v>6.0953999999999997</v>
      </c>
      <c r="G79" s="14">
        <f>CHOOSE(CONTROL!$C$42, 6.112, 6.112)*CHOOSE(CONTROL!$C$21, $C$9, 100%, $E$9)</f>
        <v>6.1120000000000001</v>
      </c>
      <c r="H79" s="14">
        <f>CHOOSE(CONTROL!$C$42, 6.3593, 6.3593) * CHOOSE(CONTROL!$C$21, $C$9, 100%, $E$9)</f>
        <v>6.3593000000000002</v>
      </c>
      <c r="I79" s="14">
        <f>CHOOSE(CONTROL!$C$42, 6.1326, 6.1326)* CHOOSE(CONTROL!$C$21, $C$9, 100%, $E$9)</f>
        <v>6.1326000000000001</v>
      </c>
      <c r="J79" s="14">
        <f>CHOOSE(CONTROL!$C$42, 6.0884, 6.0884)* CHOOSE(CONTROL!$C$21, $C$9, 100%, $E$9)</f>
        <v>6.0884</v>
      </c>
      <c r="K79" s="53">
        <f>CHOOSE(CONTROL!$C$42, 6.1287, 6.1287) * CHOOSE(CONTROL!$C$21, $C$9, 100%, $E$9)</f>
        <v>6.1287000000000003</v>
      </c>
      <c r="L79" s="14">
        <f>CHOOSE(CONTROL!$C$42, 6.9463, 6.9463) * CHOOSE(CONTROL!$C$21, $C$9, 100%, $E$9)</f>
        <v>6.9462999999999999</v>
      </c>
      <c r="M79" s="14">
        <f>CHOOSE(CONTROL!$C$42, 5.9713, 5.9713) * CHOOSE(CONTROL!$C$21, $C$9, 100%, $E$9)</f>
        <v>5.9713000000000003</v>
      </c>
      <c r="N79" s="14">
        <f>CHOOSE(CONTROL!$C$42, 5.9876, 5.9876) * CHOOSE(CONTROL!$C$21, $C$9, 100%, $E$9)</f>
        <v>5.9875999999999996</v>
      </c>
      <c r="O79" s="14">
        <f>CHOOSE(CONTROL!$C$42, 6.2367, 6.2367) * CHOOSE(CONTROL!$C$21, $C$9, 100%, $E$9)</f>
        <v>6.2366999999999999</v>
      </c>
      <c r="P79" s="14">
        <f>CHOOSE(CONTROL!$C$42, 6.0143, 6.0143) * CHOOSE(CONTROL!$C$21, $C$9, 100%, $E$9)</f>
        <v>6.0143000000000004</v>
      </c>
      <c r="Q79" s="14">
        <f>CHOOSE(CONTROL!$C$42, 6.8314, 6.8314) * CHOOSE(CONTROL!$C$21, $C$9, 100%, $E$9)</f>
        <v>6.8314000000000004</v>
      </c>
      <c r="R79" s="14">
        <f>CHOOSE(CONTROL!$C$42, 7.4355, 7.4355) * CHOOSE(CONTROL!$C$21, $C$9, 100%, $E$9)</f>
        <v>7.4355000000000002</v>
      </c>
      <c r="S79" s="14">
        <f>CHOOSE(CONTROL!$C$42, 5.8486, 5.8486) * CHOOSE(CONTROL!$C$21, $C$9, 100%, $E$9)</f>
        <v>5.8486000000000002</v>
      </c>
      <c r="T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7">
        <f>(1000*CHOOSE(CONTROL!$C$42, 695, 695)*CHOOSE(CONTROL!$C$42, 0.5599, 0.5599)*CHOOSE(CONTROL!$C$42, 31, 31))/1000000</f>
        <v>12.063045499999998</v>
      </c>
      <c r="V79" s="57">
        <f>(1000*CHOOSE(CONTROL!$C$42, 500, 500)*CHOOSE(CONTROL!$C$42, 0.275, 0.275)*CHOOSE(CONTROL!$C$42, 31, 31))/1000000</f>
        <v>4.2625000000000002</v>
      </c>
      <c r="W79" s="57">
        <f>(1000*CHOOSE(CONTROL!$C$42, 0.1146, 0.1146)*CHOOSE(CONTROL!$C$42, 121.5, 121.5)*CHOOSE(CONTROL!$C$42, 31, 31))/1000000</f>
        <v>0.43164089999999994</v>
      </c>
      <c r="X79" s="57">
        <f>(31*0.1790888*245000/1000000)+(31*0.2374*100000/1000000)</f>
        <v>2.0961194359999999</v>
      </c>
      <c r="Y79" s="57"/>
      <c r="Z79" s="14"/>
      <c r="AA79" s="56"/>
      <c r="AB79" s="50">
        <f>(B79*194.205+C79*267.466+D79*133.845+E79*53.484+F79*40+G79*185+H79*0+I79*100+J79*300)/(194.205+267.466+133.845+53.484+0+40+185+100+300)</f>
        <v>6.1387296392464688</v>
      </c>
      <c r="AC79" s="45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6.0557043165467626</v>
      </c>
    </row>
    <row r="80" spans="1:29" ht="15.75" x14ac:dyDescent="0.25">
      <c r="A80" s="13">
        <v>43313</v>
      </c>
      <c r="B80" s="14">
        <f>CHOOSE(CONTROL!$C$42, 5.809, 5.809) * CHOOSE(CONTROL!$C$21, $C$9, 100%, $E$9)</f>
        <v>5.8090000000000002</v>
      </c>
      <c r="C80" s="14">
        <f>CHOOSE(CONTROL!$C$42, 5.817, 5.817) * CHOOSE(CONTROL!$C$21, $C$9, 100%, $E$9)</f>
        <v>5.8170000000000002</v>
      </c>
      <c r="D80" s="14">
        <f>CHOOSE(CONTROL!$C$42, 6.0506, 6.0506) * CHOOSE(CONTROL!$C$21, $C$9, 100%, $E$9)</f>
        <v>6.0506000000000002</v>
      </c>
      <c r="E80" s="14">
        <f>CHOOSE(CONTROL!$C$42, 6.082, 6.082) * CHOOSE(CONTROL!$C$21, $C$9, 100%, $E$9)</f>
        <v>6.0819999999999999</v>
      </c>
      <c r="F80" s="14">
        <f>CHOOSE(CONTROL!$C$42, 5.8069, 5.8069)*CHOOSE(CONTROL!$C$21, $C$9, 100%, $E$9)</f>
        <v>5.8068999999999997</v>
      </c>
      <c r="G80" s="14">
        <f>CHOOSE(CONTROL!$C$42, 5.8236, 5.8236)*CHOOSE(CONTROL!$C$21, $C$9, 100%, $E$9)</f>
        <v>5.8235999999999999</v>
      </c>
      <c r="H80" s="14">
        <f>CHOOSE(CONTROL!$C$42, 6.0707, 6.0707) * CHOOSE(CONTROL!$C$21, $C$9, 100%, $E$9)</f>
        <v>6.0707000000000004</v>
      </c>
      <c r="I80" s="14">
        <f>CHOOSE(CONTROL!$C$42, 5.843, 5.843)* CHOOSE(CONTROL!$C$21, $C$9, 100%, $E$9)</f>
        <v>5.843</v>
      </c>
      <c r="J80" s="14">
        <f>CHOOSE(CONTROL!$C$42, 5.7999, 5.7999)* CHOOSE(CONTROL!$C$21, $C$9, 100%, $E$9)</f>
        <v>5.7999000000000001</v>
      </c>
      <c r="K80" s="53">
        <f>CHOOSE(CONTROL!$C$42, 5.8391, 5.8391) * CHOOSE(CONTROL!$C$21, $C$9, 100%, $E$9)</f>
        <v>5.8391000000000002</v>
      </c>
      <c r="L80" s="14">
        <f>CHOOSE(CONTROL!$C$42, 6.6577, 6.6577) * CHOOSE(CONTROL!$C$21, $C$9, 100%, $E$9)</f>
        <v>6.6577000000000002</v>
      </c>
      <c r="M80" s="14">
        <f>CHOOSE(CONTROL!$C$42, 5.6888, 5.6888) * CHOOSE(CONTROL!$C$21, $C$9, 100%, $E$9)</f>
        <v>5.6887999999999996</v>
      </c>
      <c r="N80" s="14">
        <f>CHOOSE(CONTROL!$C$42, 5.7051, 5.7051) * CHOOSE(CONTROL!$C$21, $C$9, 100%, $E$9)</f>
        <v>5.7050999999999998</v>
      </c>
      <c r="O80" s="14">
        <f>CHOOSE(CONTROL!$C$42, 5.954, 5.954) * CHOOSE(CONTROL!$C$21, $C$9, 100%, $E$9)</f>
        <v>5.9539999999999997</v>
      </c>
      <c r="P80" s="14">
        <f>CHOOSE(CONTROL!$C$42, 5.7307, 5.7307) * CHOOSE(CONTROL!$C$21, $C$9, 100%, $E$9)</f>
        <v>5.7306999999999997</v>
      </c>
      <c r="Q80" s="14">
        <f>CHOOSE(CONTROL!$C$42, 6.5487, 6.5487) * CHOOSE(CONTROL!$C$21, $C$9, 100%, $E$9)</f>
        <v>6.5487000000000002</v>
      </c>
      <c r="R80" s="14">
        <f>CHOOSE(CONTROL!$C$42, 7.1521, 7.1521) * CHOOSE(CONTROL!$C$21, $C$9, 100%, $E$9)</f>
        <v>7.1520999999999999</v>
      </c>
      <c r="S80" s="14">
        <f>CHOOSE(CONTROL!$C$42, 5.5712, 5.5712) * CHOOSE(CONTROL!$C$21, $C$9, 100%, $E$9)</f>
        <v>5.5712000000000002</v>
      </c>
      <c r="T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7">
        <f>(1000*CHOOSE(CONTROL!$C$42, 695, 695)*CHOOSE(CONTROL!$C$42, 0.5599, 0.5599)*CHOOSE(CONTROL!$C$42, 31, 31))/1000000</f>
        <v>12.063045499999998</v>
      </c>
      <c r="V80" s="57">
        <f>(1000*CHOOSE(CONTROL!$C$42, 500, 500)*CHOOSE(CONTROL!$C$42, 0.275, 0.275)*CHOOSE(CONTROL!$C$42, 31, 31))/1000000</f>
        <v>4.2625000000000002</v>
      </c>
      <c r="W80" s="57">
        <f>(1000*CHOOSE(CONTROL!$C$42, 0.1146, 0.1146)*CHOOSE(CONTROL!$C$42, 121.5, 121.5)*CHOOSE(CONTROL!$C$42, 31, 31))/1000000</f>
        <v>0.43164089999999994</v>
      </c>
      <c r="X80" s="57">
        <f>(31*0.1790888*245000/1000000)+(31*0.2374*100000/1000000)</f>
        <v>2.0961194359999999</v>
      </c>
      <c r="Y80" s="57"/>
      <c r="Z80" s="14"/>
      <c r="AA80" s="56"/>
      <c r="AB80" s="50">
        <f>(B80*194.205+C80*267.466+D80*133.845+E80*53.484+F80*40+G80*185+H80*0+I80*100+J80*300)/(194.205+267.466+133.845+53.484+0+40+185+100+300)</f>
        <v>5.8501026781789642</v>
      </c>
      <c r="AC80" s="45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5.7729899280575525</v>
      </c>
    </row>
    <row r="81" spans="1:29" ht="15.75" x14ac:dyDescent="0.25">
      <c r="A81" s="13">
        <v>43344</v>
      </c>
      <c r="B81" s="14">
        <f>CHOOSE(CONTROL!$C$42, 5.4517, 5.4517) * CHOOSE(CONTROL!$C$21, $C$9, 100%, $E$9)</f>
        <v>5.4516999999999998</v>
      </c>
      <c r="C81" s="14">
        <f>CHOOSE(CONTROL!$C$42, 5.4597, 5.4597) * CHOOSE(CONTROL!$C$21, $C$9, 100%, $E$9)</f>
        <v>5.4596999999999998</v>
      </c>
      <c r="D81" s="14">
        <f>CHOOSE(CONTROL!$C$42, 5.6933, 5.6933) * CHOOSE(CONTROL!$C$21, $C$9, 100%, $E$9)</f>
        <v>5.6932999999999998</v>
      </c>
      <c r="E81" s="14">
        <f>CHOOSE(CONTROL!$C$42, 5.7248, 5.7248) * CHOOSE(CONTROL!$C$21, $C$9, 100%, $E$9)</f>
        <v>5.7248000000000001</v>
      </c>
      <c r="F81" s="14">
        <f>CHOOSE(CONTROL!$C$42, 5.4497, 5.4497)*CHOOSE(CONTROL!$C$21, $C$9, 100%, $E$9)</f>
        <v>5.4497</v>
      </c>
      <c r="G81" s="14">
        <f>CHOOSE(CONTROL!$C$42, 5.4663, 5.4663)*CHOOSE(CONTROL!$C$21, $C$9, 100%, $E$9)</f>
        <v>5.4663000000000004</v>
      </c>
      <c r="H81" s="14">
        <f>CHOOSE(CONTROL!$C$42, 5.7134, 5.7134) * CHOOSE(CONTROL!$C$21, $C$9, 100%, $E$9)</f>
        <v>5.7134</v>
      </c>
      <c r="I81" s="14">
        <f>CHOOSE(CONTROL!$C$42, 5.4846, 5.4846)* CHOOSE(CONTROL!$C$21, $C$9, 100%, $E$9)</f>
        <v>5.4846000000000004</v>
      </c>
      <c r="J81" s="14">
        <f>CHOOSE(CONTROL!$C$42, 5.4427, 5.4427)* CHOOSE(CONTROL!$C$21, $C$9, 100%, $E$9)</f>
        <v>5.4427000000000003</v>
      </c>
      <c r="K81" s="53">
        <f>CHOOSE(CONTROL!$C$42, 5.4807, 5.4807) * CHOOSE(CONTROL!$C$21, $C$9, 100%, $E$9)</f>
        <v>5.4806999999999997</v>
      </c>
      <c r="L81" s="14">
        <f>CHOOSE(CONTROL!$C$42, 6.3004, 6.3004) * CHOOSE(CONTROL!$C$21, $C$9, 100%, $E$9)</f>
        <v>6.3003999999999998</v>
      </c>
      <c r="M81" s="14">
        <f>CHOOSE(CONTROL!$C$42, 5.3389, 5.3389) * CHOOSE(CONTROL!$C$21, $C$9, 100%, $E$9)</f>
        <v>5.3388999999999998</v>
      </c>
      <c r="N81" s="14">
        <f>CHOOSE(CONTROL!$C$42, 5.3552, 5.3552) * CHOOSE(CONTROL!$C$21, $C$9, 100%, $E$9)</f>
        <v>5.3552</v>
      </c>
      <c r="O81" s="14">
        <f>CHOOSE(CONTROL!$C$42, 5.604, 5.604) * CHOOSE(CONTROL!$C$21, $C$9, 100%, $E$9)</f>
        <v>5.6040000000000001</v>
      </c>
      <c r="P81" s="14">
        <f>CHOOSE(CONTROL!$C$42, 5.3797, 5.3797) * CHOOSE(CONTROL!$C$21, $C$9, 100%, $E$9)</f>
        <v>5.3796999999999997</v>
      </c>
      <c r="Q81" s="14">
        <f>CHOOSE(CONTROL!$C$42, 6.1987, 6.1987) * CHOOSE(CONTROL!$C$21, $C$9, 100%, $E$9)</f>
        <v>6.1986999999999997</v>
      </c>
      <c r="R81" s="14">
        <f>CHOOSE(CONTROL!$C$42, 6.8012, 6.8012) * CHOOSE(CONTROL!$C$21, $C$9, 100%, $E$9)</f>
        <v>6.8011999999999997</v>
      </c>
      <c r="S81" s="14">
        <f>CHOOSE(CONTROL!$C$42, 5.2279, 5.2279) * CHOOSE(CONTROL!$C$21, $C$9, 100%, $E$9)</f>
        <v>5.2279</v>
      </c>
      <c r="T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7">
        <f>(1000*CHOOSE(CONTROL!$C$42, 695, 695)*CHOOSE(CONTROL!$C$42, 0.5599, 0.5599)*CHOOSE(CONTROL!$C$42, 30, 30))/1000000</f>
        <v>11.673914999999997</v>
      </c>
      <c r="V81" s="57">
        <f>(1000*CHOOSE(CONTROL!$C$42, 500, 500)*CHOOSE(CONTROL!$C$42, 0.275, 0.275)*CHOOSE(CONTROL!$C$42, 30, 30))/1000000</f>
        <v>4.125</v>
      </c>
      <c r="W81" s="57">
        <f>(1000*CHOOSE(CONTROL!$C$42, 0.1146, 0.1146)*CHOOSE(CONTROL!$C$42, 121.5, 121.5)*CHOOSE(CONTROL!$C$42, 30, 30))/1000000</f>
        <v>0.417717</v>
      </c>
      <c r="X81" s="57">
        <f>(30*0.1790888*245000/1000000)+(30*0.2374*100000/1000000)</f>
        <v>2.0285026799999999</v>
      </c>
      <c r="Y81" s="57"/>
      <c r="Z81" s="14"/>
      <c r="AA81" s="56"/>
      <c r="AB81" s="50">
        <f>(B81*194.205+C81*267.466+D81*133.845+E81*53.484+F81*40+G81*185+H81*0+I81*100+J81*300)/(194.205+267.466+133.845+53.484+0+40+185+100+300)</f>
        <v>5.4927472216640512</v>
      </c>
      <c r="AC81" s="45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5.4229035971223034</v>
      </c>
    </row>
    <row r="82" spans="1:29" ht="15.75" x14ac:dyDescent="0.25">
      <c r="A82" s="13">
        <v>43374</v>
      </c>
      <c r="B82" s="14">
        <f>CHOOSE(CONTROL!$C$42, 5.3504, 5.3504) * CHOOSE(CONTROL!$C$21, $C$9, 100%, $E$9)</f>
        <v>5.3503999999999996</v>
      </c>
      <c r="C82" s="14">
        <f>CHOOSE(CONTROL!$C$42, 5.3558, 5.3558) * CHOOSE(CONTROL!$C$21, $C$9, 100%, $E$9)</f>
        <v>5.3558000000000003</v>
      </c>
      <c r="D82" s="14">
        <f>CHOOSE(CONTROL!$C$42, 5.5943, 5.5943) * CHOOSE(CONTROL!$C$21, $C$9, 100%, $E$9)</f>
        <v>5.5942999999999996</v>
      </c>
      <c r="E82" s="14">
        <f>CHOOSE(CONTROL!$C$42, 5.6234, 5.6234) * CHOOSE(CONTROL!$C$21, $C$9, 100%, $E$9)</f>
        <v>5.6234000000000002</v>
      </c>
      <c r="F82" s="14">
        <f>CHOOSE(CONTROL!$C$42, 5.3505, 5.3505)*CHOOSE(CONTROL!$C$21, $C$9, 100%, $E$9)</f>
        <v>5.3505000000000003</v>
      </c>
      <c r="G82" s="14">
        <f>CHOOSE(CONTROL!$C$42, 5.3667, 5.3667)*CHOOSE(CONTROL!$C$21, $C$9, 100%, $E$9)</f>
        <v>5.3666999999999998</v>
      </c>
      <c r="H82" s="14">
        <f>CHOOSE(CONTROL!$C$42, 5.6139, 5.6139) * CHOOSE(CONTROL!$C$21, $C$9, 100%, $E$9)</f>
        <v>5.6139000000000001</v>
      </c>
      <c r="I82" s="14">
        <f>CHOOSE(CONTROL!$C$42, 5.3848, 5.3848)* CHOOSE(CONTROL!$C$21, $C$9, 100%, $E$9)</f>
        <v>5.3848000000000003</v>
      </c>
      <c r="J82" s="14">
        <f>CHOOSE(CONTROL!$C$42, 5.3435, 5.3435)* CHOOSE(CONTROL!$C$21, $C$9, 100%, $E$9)</f>
        <v>5.3434999999999997</v>
      </c>
      <c r="K82" s="53">
        <f>CHOOSE(CONTROL!$C$42, 5.381, 5.381) * CHOOSE(CONTROL!$C$21, $C$9, 100%, $E$9)</f>
        <v>5.3810000000000002</v>
      </c>
      <c r="L82" s="14">
        <f>CHOOSE(CONTROL!$C$42, 6.2009, 6.2009) * CHOOSE(CONTROL!$C$21, $C$9, 100%, $E$9)</f>
        <v>6.2008999999999999</v>
      </c>
      <c r="M82" s="14">
        <f>CHOOSE(CONTROL!$C$42, 5.2417, 5.2417) * CHOOSE(CONTROL!$C$21, $C$9, 100%, $E$9)</f>
        <v>5.2416999999999998</v>
      </c>
      <c r="N82" s="14">
        <f>CHOOSE(CONTROL!$C$42, 5.2576, 5.2576) * CHOOSE(CONTROL!$C$21, $C$9, 100%, $E$9)</f>
        <v>5.2576000000000001</v>
      </c>
      <c r="O82" s="14">
        <f>CHOOSE(CONTROL!$C$42, 5.5066, 5.5066) * CHOOSE(CONTROL!$C$21, $C$9, 100%, $E$9)</f>
        <v>5.5065999999999997</v>
      </c>
      <c r="P82" s="14">
        <f>CHOOSE(CONTROL!$C$42, 5.2819, 5.2819) * CHOOSE(CONTROL!$C$21, $C$9, 100%, $E$9)</f>
        <v>5.2819000000000003</v>
      </c>
      <c r="Q82" s="14">
        <f>CHOOSE(CONTROL!$C$42, 6.1013, 6.1013) * CHOOSE(CONTROL!$C$21, $C$9, 100%, $E$9)</f>
        <v>6.1013000000000002</v>
      </c>
      <c r="R82" s="14">
        <f>CHOOSE(CONTROL!$C$42, 6.7035, 6.7035) * CHOOSE(CONTROL!$C$21, $C$9, 100%, $E$9)</f>
        <v>6.7035</v>
      </c>
      <c r="S82" s="14">
        <f>CHOOSE(CONTROL!$C$42, 5.1323, 5.1323) * CHOOSE(CONTROL!$C$21, $C$9, 100%, $E$9)</f>
        <v>5.1322999999999999</v>
      </c>
      <c r="T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7">
        <f>(1000*CHOOSE(CONTROL!$C$42, 695, 695)*CHOOSE(CONTROL!$C$42, 0.5599, 0.5599)*CHOOSE(CONTROL!$C$42, 31, 31))/1000000</f>
        <v>12.063045499999998</v>
      </c>
      <c r="V82" s="57">
        <f>(1000*CHOOSE(CONTROL!$C$42, 500, 500)*CHOOSE(CONTROL!$C$42, 0.275, 0.275)*CHOOSE(CONTROL!$C$42, 31, 31))/1000000</f>
        <v>4.2625000000000002</v>
      </c>
      <c r="W82" s="57">
        <f>(1000*CHOOSE(CONTROL!$C$42, 0.1146, 0.1146)*CHOOSE(CONTROL!$C$42, 121.5, 121.5)*CHOOSE(CONTROL!$C$42, 31, 31))/1000000</f>
        <v>0.43164089999999994</v>
      </c>
      <c r="X82" s="57">
        <f>(31*0.1790888*245000/1000000)+(31*0.2374*100000/1000000)</f>
        <v>2.0961194359999999</v>
      </c>
      <c r="Y82" s="57"/>
      <c r="Z82" s="14"/>
      <c r="AA82" s="56"/>
      <c r="AB82" s="50">
        <f>(B82*131.881+C82*277.167+D82*79.08+E82*125.872+F82*40+G82*185+H82*0+I82*100+J82*300)/(131.881+277.167+79.08+125.872+0+40+185+100+300)</f>
        <v>5.3984523565778844</v>
      </c>
      <c r="AC82" s="45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5.3254690647482024</v>
      </c>
    </row>
    <row r="83" spans="1:29" ht="15.75" x14ac:dyDescent="0.25">
      <c r="A83" s="13">
        <v>43405</v>
      </c>
      <c r="B83" s="14">
        <f>CHOOSE(CONTROL!$C$42, 5.502, 5.502) * CHOOSE(CONTROL!$C$21, $C$9, 100%, $E$9)</f>
        <v>5.5019999999999998</v>
      </c>
      <c r="C83" s="14">
        <f>CHOOSE(CONTROL!$C$42, 5.5071, 5.5071) * CHOOSE(CONTROL!$C$21, $C$9, 100%, $E$9)</f>
        <v>5.5071000000000003</v>
      </c>
      <c r="D83" s="14">
        <f>CHOOSE(CONTROL!$C$42, 5.5813, 5.5813) * CHOOSE(CONTROL!$C$21, $C$9, 100%, $E$9)</f>
        <v>5.5812999999999997</v>
      </c>
      <c r="E83" s="14">
        <f>CHOOSE(CONTROL!$C$42, 5.6154, 5.6154) * CHOOSE(CONTROL!$C$21, $C$9, 100%, $E$9)</f>
        <v>5.6154000000000002</v>
      </c>
      <c r="F83" s="14">
        <f>CHOOSE(CONTROL!$C$42, 5.5141, 5.5141)*CHOOSE(CONTROL!$C$21, $C$9, 100%, $E$9)</f>
        <v>5.5141</v>
      </c>
      <c r="G83" s="14">
        <f>CHOOSE(CONTROL!$C$42, 5.5306, 5.5306)*CHOOSE(CONTROL!$C$21, $C$9, 100%, $E$9)</f>
        <v>5.5305999999999997</v>
      </c>
      <c r="H83" s="14">
        <f>CHOOSE(CONTROL!$C$42, 5.6046, 5.6046) * CHOOSE(CONTROL!$C$21, $C$9, 100%, $E$9)</f>
        <v>5.6045999999999996</v>
      </c>
      <c r="I83" s="14">
        <f>CHOOSE(CONTROL!$C$42, 5.5436, 5.5436)* CHOOSE(CONTROL!$C$21, $C$9, 100%, $E$9)</f>
        <v>5.5435999999999996</v>
      </c>
      <c r="J83" s="14">
        <f>CHOOSE(CONTROL!$C$42, 5.5071, 5.5071)* CHOOSE(CONTROL!$C$21, $C$9, 100%, $E$9)</f>
        <v>5.5071000000000003</v>
      </c>
      <c r="K83" s="53">
        <f>CHOOSE(CONTROL!$C$42, 5.5397, 5.5397) * CHOOSE(CONTROL!$C$21, $C$9, 100%, $E$9)</f>
        <v>5.5396999999999998</v>
      </c>
      <c r="L83" s="14">
        <f>CHOOSE(CONTROL!$C$42, 6.1916, 6.1916) * CHOOSE(CONTROL!$C$21, $C$9, 100%, $E$9)</f>
        <v>6.1916000000000002</v>
      </c>
      <c r="M83" s="14">
        <f>CHOOSE(CONTROL!$C$42, 5.4019, 5.4019) * CHOOSE(CONTROL!$C$21, $C$9, 100%, $E$9)</f>
        <v>5.4019000000000004</v>
      </c>
      <c r="N83" s="14">
        <f>CHOOSE(CONTROL!$C$42, 5.4182, 5.4182) * CHOOSE(CONTROL!$C$21, $C$9, 100%, $E$9)</f>
        <v>5.4181999999999997</v>
      </c>
      <c r="O83" s="14">
        <f>CHOOSE(CONTROL!$C$42, 5.4974, 5.4974) * CHOOSE(CONTROL!$C$21, $C$9, 100%, $E$9)</f>
        <v>5.4973999999999998</v>
      </c>
      <c r="P83" s="14">
        <f>CHOOSE(CONTROL!$C$42, 5.4374, 5.4374) * CHOOSE(CONTROL!$C$21, $C$9, 100%, $E$9)</f>
        <v>5.4374000000000002</v>
      </c>
      <c r="Q83" s="14">
        <f>CHOOSE(CONTROL!$C$42, 6.0921, 6.0921) * CHOOSE(CONTROL!$C$21, $C$9, 100%, $E$9)</f>
        <v>6.0921000000000003</v>
      </c>
      <c r="R83" s="14">
        <f>CHOOSE(CONTROL!$C$42, 6.6944, 6.6944) * CHOOSE(CONTROL!$C$21, $C$9, 100%, $E$9)</f>
        <v>6.6943999999999999</v>
      </c>
      <c r="S83" s="14">
        <f>CHOOSE(CONTROL!$C$42, 5.2783, 5.2783) * CHOOSE(CONTROL!$C$21, $C$9, 100%, $E$9)</f>
        <v>5.2782999999999998</v>
      </c>
      <c r="T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7">
        <f>(1000*CHOOSE(CONTROL!$C$42, 695, 695)*CHOOSE(CONTROL!$C$42, 0.5599, 0.5599)*CHOOSE(CONTROL!$C$42, 30, 30))/1000000</f>
        <v>11.673914999999997</v>
      </c>
      <c r="V83" s="57">
        <f>(1000*CHOOSE(CONTROL!$C$42, 500, 500)*CHOOSE(CONTROL!$C$42, 0.275, 0.275)*CHOOSE(CONTROL!$C$42, 30, 30))/1000000</f>
        <v>4.125</v>
      </c>
      <c r="W83" s="57">
        <f>(1000*CHOOSE(CONTROL!$C$42, 0.1146, 0.1146)*CHOOSE(CONTROL!$C$42, 121.5, 121.5)*CHOOSE(CONTROL!$C$42, 30, 30))/1000000</f>
        <v>0.417717</v>
      </c>
      <c r="X83" s="57">
        <f>(30*0.1790888*100000/1000000)+(30*0.2374*100000/1000000)</f>
        <v>1.2494664</v>
      </c>
      <c r="Y83" s="57"/>
      <c r="Z83" s="14"/>
      <c r="AA83" s="56"/>
      <c r="AB83" s="50">
        <f>(B83*122.58+C83*297.941+D83*89.177+E83*40.302+F83*40+G83*160+H83*0+I83*100+J83*300)/(122.58+297.941+89.177+40.302+0+40+160+100+300)</f>
        <v>5.5227925930434782</v>
      </c>
      <c r="AC83" s="45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5.4512302158273389</v>
      </c>
    </row>
    <row r="84" spans="1:29" ht="15.75" x14ac:dyDescent="0.25">
      <c r="A84" s="13">
        <v>43435</v>
      </c>
      <c r="B84" s="14">
        <f>CHOOSE(CONTROL!$C$42, 5.8885, 5.8885) * CHOOSE(CONTROL!$C$21, $C$9, 100%, $E$9)</f>
        <v>5.8884999999999996</v>
      </c>
      <c r="C84" s="14">
        <f>CHOOSE(CONTROL!$C$42, 5.8936, 5.8936) * CHOOSE(CONTROL!$C$21, $C$9, 100%, $E$9)</f>
        <v>5.8936000000000002</v>
      </c>
      <c r="D84" s="14">
        <f>CHOOSE(CONTROL!$C$42, 5.9678, 5.9678) * CHOOSE(CONTROL!$C$21, $C$9, 100%, $E$9)</f>
        <v>5.9678000000000004</v>
      </c>
      <c r="E84" s="14">
        <f>CHOOSE(CONTROL!$C$42, 6.0019, 6.0019) * CHOOSE(CONTROL!$C$21, $C$9, 100%, $E$9)</f>
        <v>6.0019</v>
      </c>
      <c r="F84" s="14">
        <f>CHOOSE(CONTROL!$C$42, 5.9028, 5.9028)*CHOOSE(CONTROL!$C$21, $C$9, 100%, $E$9)</f>
        <v>5.9028</v>
      </c>
      <c r="G84" s="14">
        <f>CHOOSE(CONTROL!$C$42, 5.9199, 5.9199)*CHOOSE(CONTROL!$C$21, $C$9, 100%, $E$9)</f>
        <v>5.9199000000000002</v>
      </c>
      <c r="H84" s="14">
        <f>CHOOSE(CONTROL!$C$42, 5.9911, 5.9911) * CHOOSE(CONTROL!$C$21, $C$9, 100%, $E$9)</f>
        <v>5.9911000000000003</v>
      </c>
      <c r="I84" s="14">
        <f>CHOOSE(CONTROL!$C$42, 5.9313, 5.9313)* CHOOSE(CONTROL!$C$21, $C$9, 100%, $E$9)</f>
        <v>5.9313000000000002</v>
      </c>
      <c r="J84" s="14">
        <f>CHOOSE(CONTROL!$C$42, 5.8958, 5.8958)* CHOOSE(CONTROL!$C$21, $C$9, 100%, $E$9)</f>
        <v>5.8958000000000004</v>
      </c>
      <c r="K84" s="53">
        <f>CHOOSE(CONTROL!$C$42, 5.9274, 5.9274) * CHOOSE(CONTROL!$C$21, $C$9, 100%, $E$9)</f>
        <v>5.9273999999999996</v>
      </c>
      <c r="L84" s="14">
        <f>CHOOSE(CONTROL!$C$42, 6.5781, 6.5781) * CHOOSE(CONTROL!$C$21, $C$9, 100%, $E$9)</f>
        <v>6.5781000000000001</v>
      </c>
      <c r="M84" s="14">
        <f>CHOOSE(CONTROL!$C$42, 5.7827, 5.7827) * CHOOSE(CONTROL!$C$21, $C$9, 100%, $E$9)</f>
        <v>5.7827000000000002</v>
      </c>
      <c r="N84" s="14">
        <f>CHOOSE(CONTROL!$C$42, 5.7995, 5.7995) * CHOOSE(CONTROL!$C$21, $C$9, 100%, $E$9)</f>
        <v>5.7995000000000001</v>
      </c>
      <c r="O84" s="14">
        <f>CHOOSE(CONTROL!$C$42, 5.8761, 5.8761) * CHOOSE(CONTROL!$C$21, $C$9, 100%, $E$9)</f>
        <v>5.8761000000000001</v>
      </c>
      <c r="P84" s="14">
        <f>CHOOSE(CONTROL!$C$42, 5.8172, 5.8172) * CHOOSE(CONTROL!$C$21, $C$9, 100%, $E$9)</f>
        <v>5.8171999999999997</v>
      </c>
      <c r="Q84" s="14">
        <f>CHOOSE(CONTROL!$C$42, 6.4708, 6.4708) * CHOOSE(CONTROL!$C$21, $C$9, 100%, $E$9)</f>
        <v>6.4707999999999997</v>
      </c>
      <c r="R84" s="14">
        <f>CHOOSE(CONTROL!$C$42, 7.0739, 7.0739) * CHOOSE(CONTROL!$C$21, $C$9, 100%, $E$9)</f>
        <v>7.0739000000000001</v>
      </c>
      <c r="S84" s="14">
        <f>CHOOSE(CONTROL!$C$42, 5.6498, 5.6498) * CHOOSE(CONTROL!$C$21, $C$9, 100%, $E$9)</f>
        <v>5.6497999999999999</v>
      </c>
      <c r="T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7">
        <f>(1000*CHOOSE(CONTROL!$C$42, 695, 695)*CHOOSE(CONTROL!$C$42, 0.5599, 0.5599)*CHOOSE(CONTROL!$C$42, 31, 31))/1000000</f>
        <v>12.063045499999998</v>
      </c>
      <c r="V84" s="57">
        <f>(1000*CHOOSE(CONTROL!$C$42, 500, 500)*CHOOSE(CONTROL!$C$42, 0.275, 0.275)*CHOOSE(CONTROL!$C$42, 31, 31))/1000000</f>
        <v>4.2625000000000002</v>
      </c>
      <c r="W84" s="57">
        <f>(1000*CHOOSE(CONTROL!$C$42, 0.1146, 0.1146)*CHOOSE(CONTROL!$C$42, 121.5, 121.5)*CHOOSE(CONTROL!$C$42, 31, 31))/1000000</f>
        <v>0.43164089999999994</v>
      </c>
      <c r="X84" s="57">
        <f>(31*0.1790888*100000/1000000)+(31*0.2374*100000/1000000)</f>
        <v>1.2911152800000001</v>
      </c>
      <c r="Y84" s="57"/>
      <c r="Z84" s="14"/>
      <c r="AA84" s="56"/>
      <c r="AB84" s="50">
        <f>(B84*122.58+C84*297.941+D84*89.177+E84*40.302+F84*40+G84*160+H84*0+I84*100+J84*300)/(122.58+297.941+89.177+40.302+0+40+160+100+300)</f>
        <v>5.9104369408695652</v>
      </c>
      <c r="AC84" s="45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5.8309633093525184</v>
      </c>
    </row>
    <row r="85" spans="1:29" ht="15.75" x14ac:dyDescent="0.25">
      <c r="A85" s="13">
        <v>43466</v>
      </c>
      <c r="B85" s="14">
        <f>CHOOSE(CONTROL!$C$42, 6.5619, 6.5619) * CHOOSE(CONTROL!$C$21, $C$9, 100%, $E$9)</f>
        <v>6.5618999999999996</v>
      </c>
      <c r="C85" s="14">
        <f>CHOOSE(CONTROL!$C$42, 6.5669, 6.5669) * CHOOSE(CONTROL!$C$21, $C$9, 100%, $E$9)</f>
        <v>6.5669000000000004</v>
      </c>
      <c r="D85" s="14">
        <f>CHOOSE(CONTROL!$C$42, 6.6437, 6.6437) * CHOOSE(CONTROL!$C$21, $C$9, 100%, $E$9)</f>
        <v>6.6436999999999999</v>
      </c>
      <c r="E85" s="14">
        <f>CHOOSE(CONTROL!$C$42, 6.6779, 6.6779) * CHOOSE(CONTROL!$C$21, $C$9, 100%, $E$9)</f>
        <v>6.6779000000000002</v>
      </c>
      <c r="F85" s="14">
        <f>CHOOSE(CONTROL!$C$42, 6.5621, 6.5621)*CHOOSE(CONTROL!$C$21, $C$9, 100%, $E$9)</f>
        <v>6.5621</v>
      </c>
      <c r="G85" s="14">
        <f>CHOOSE(CONTROL!$C$42, 6.5783, 6.5783)*CHOOSE(CONTROL!$C$21, $C$9, 100%, $E$9)</f>
        <v>6.5782999999999996</v>
      </c>
      <c r="H85" s="14">
        <f>CHOOSE(CONTROL!$C$42, 6.667, 6.667) * CHOOSE(CONTROL!$C$21, $C$9, 100%, $E$9)</f>
        <v>6.6669999999999998</v>
      </c>
      <c r="I85" s="14">
        <f>CHOOSE(CONTROL!$C$42, 6.6005, 6.6005)* CHOOSE(CONTROL!$C$21, $C$9, 100%, $E$9)</f>
        <v>6.6005000000000003</v>
      </c>
      <c r="J85" s="14">
        <f>CHOOSE(CONTROL!$C$42, 6.5551, 6.5551)* CHOOSE(CONTROL!$C$21, $C$9, 100%, $E$9)</f>
        <v>6.5551000000000004</v>
      </c>
      <c r="K85" s="53">
        <f>CHOOSE(CONTROL!$C$42, 6.5966, 6.5966) * CHOOSE(CONTROL!$C$21, $C$9, 100%, $E$9)</f>
        <v>6.5965999999999996</v>
      </c>
      <c r="L85" s="14">
        <f>CHOOSE(CONTROL!$C$42, 7.254, 7.254) * CHOOSE(CONTROL!$C$21, $C$9, 100%, $E$9)</f>
        <v>7.2539999999999996</v>
      </c>
      <c r="M85" s="14">
        <f>CHOOSE(CONTROL!$C$42, 6.4285, 6.4285) * CHOOSE(CONTROL!$C$21, $C$9, 100%, $E$9)</f>
        <v>6.4284999999999997</v>
      </c>
      <c r="N85" s="14">
        <f>CHOOSE(CONTROL!$C$42, 6.4443, 6.4443) * CHOOSE(CONTROL!$C$21, $C$9, 100%, $E$9)</f>
        <v>6.4443000000000001</v>
      </c>
      <c r="O85" s="14">
        <f>CHOOSE(CONTROL!$C$42, 6.5381, 6.5381) * CHOOSE(CONTROL!$C$21, $C$9, 100%, $E$9)</f>
        <v>6.5381</v>
      </c>
      <c r="P85" s="14">
        <f>CHOOSE(CONTROL!$C$42, 6.4726, 6.4726) * CHOOSE(CONTROL!$C$21, $C$9, 100%, $E$9)</f>
        <v>6.4725999999999999</v>
      </c>
      <c r="Q85" s="14">
        <f>CHOOSE(CONTROL!$C$42, 7.1328, 7.1328) * CHOOSE(CONTROL!$C$21, $C$9, 100%, $E$9)</f>
        <v>7.1327999999999996</v>
      </c>
      <c r="R85" s="14">
        <f>CHOOSE(CONTROL!$C$42, 7.7377, 7.7377) * CHOOSE(CONTROL!$C$21, $C$9, 100%, $E$9)</f>
        <v>7.7377000000000002</v>
      </c>
      <c r="S85" s="14">
        <f>CHOOSE(CONTROL!$C$42, 6.2967, 6.2967) * CHOOSE(CONTROL!$C$21, $C$9, 100%, $E$9)</f>
        <v>6.2967000000000004</v>
      </c>
      <c r="T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7">
        <f>(1000*CHOOSE(CONTROL!$C$42, 695, 695)*CHOOSE(CONTROL!$C$42, 0.5599, 0.5599)*CHOOSE(CONTROL!$C$42, 31, 31))/1000000</f>
        <v>12.063045499999998</v>
      </c>
      <c r="V85" s="57">
        <f>(1000*CHOOSE(CONTROL!$C$42, 500, 500)*CHOOSE(CONTROL!$C$42, 0.275, 0.275)*CHOOSE(CONTROL!$C$42, 31, 31))/1000000</f>
        <v>4.2625000000000002</v>
      </c>
      <c r="W85" s="57">
        <f>(1000*CHOOSE(CONTROL!$C$42, 0.1146, 0.1146)*CHOOSE(CONTROL!$C$42, 121.5, 121.5)*CHOOSE(CONTROL!$C$42, 31, 31))/1000000</f>
        <v>0.43164089999999994</v>
      </c>
      <c r="X85" s="57">
        <f>(31*0.1790888*100000/1000000)+(31*0.2374*100000/1000000)</f>
        <v>1.2911152800000001</v>
      </c>
      <c r="Y85" s="57"/>
      <c r="Z85" s="14"/>
      <c r="AA85" s="56"/>
      <c r="AB85" s="50">
        <f>(B85*122.58+C85*297.941+D85*89.177+E85*40.302+F85*40+G85*160+H85*0+I85*100+J85*300)/(122.58+297.941+89.177+40.302+0+40+160+100+300)</f>
        <v>6.577475144000001</v>
      </c>
      <c r="AC85" s="45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6.4854294964028769</v>
      </c>
    </row>
    <row r="86" spans="1:29" ht="15.75" x14ac:dyDescent="0.25">
      <c r="A86" s="13">
        <v>43497</v>
      </c>
      <c r="B86" s="14">
        <f>CHOOSE(CONTROL!$C$42, 6.6922, 6.6922) * CHOOSE(CONTROL!$C$21, $C$9, 100%, $E$9)</f>
        <v>6.6921999999999997</v>
      </c>
      <c r="C86" s="14">
        <f>CHOOSE(CONTROL!$C$42, 6.6973, 6.6973) * CHOOSE(CONTROL!$C$21, $C$9, 100%, $E$9)</f>
        <v>6.6973000000000003</v>
      </c>
      <c r="D86" s="14">
        <f>CHOOSE(CONTROL!$C$42, 6.7741, 6.7741) * CHOOSE(CONTROL!$C$21, $C$9, 100%, $E$9)</f>
        <v>6.7740999999999998</v>
      </c>
      <c r="E86" s="14">
        <f>CHOOSE(CONTROL!$C$42, 6.8082, 6.8082) * CHOOSE(CONTROL!$C$21, $C$9, 100%, $E$9)</f>
        <v>6.8082000000000003</v>
      </c>
      <c r="F86" s="14">
        <f>CHOOSE(CONTROL!$C$42, 6.6925, 6.6925)*CHOOSE(CONTROL!$C$21, $C$9, 100%, $E$9)</f>
        <v>6.6924999999999999</v>
      </c>
      <c r="G86" s="14">
        <f>CHOOSE(CONTROL!$C$42, 6.7087, 6.7087)*CHOOSE(CONTROL!$C$21, $C$9, 100%, $E$9)</f>
        <v>6.7087000000000003</v>
      </c>
      <c r="H86" s="14">
        <f>CHOOSE(CONTROL!$C$42, 6.7974, 6.7974) * CHOOSE(CONTROL!$C$21, $C$9, 100%, $E$9)</f>
        <v>6.7973999999999997</v>
      </c>
      <c r="I86" s="14">
        <f>CHOOSE(CONTROL!$C$42, 6.7313, 6.7313)* CHOOSE(CONTROL!$C$21, $C$9, 100%, $E$9)</f>
        <v>6.7313000000000001</v>
      </c>
      <c r="J86" s="14">
        <f>CHOOSE(CONTROL!$C$42, 6.6855, 6.6855)* CHOOSE(CONTROL!$C$21, $C$9, 100%, $E$9)</f>
        <v>6.6855000000000002</v>
      </c>
      <c r="K86" s="53">
        <f>CHOOSE(CONTROL!$C$42, 6.7274, 6.7274) * CHOOSE(CONTROL!$C$21, $C$9, 100%, $E$9)</f>
        <v>6.7274000000000003</v>
      </c>
      <c r="L86" s="14">
        <f>CHOOSE(CONTROL!$C$42, 7.3844, 7.3844) * CHOOSE(CONTROL!$C$21, $C$9, 100%, $E$9)</f>
        <v>7.3844000000000003</v>
      </c>
      <c r="M86" s="14">
        <f>CHOOSE(CONTROL!$C$42, 6.5562, 6.5562) * CHOOSE(CONTROL!$C$21, $C$9, 100%, $E$9)</f>
        <v>6.5561999999999996</v>
      </c>
      <c r="N86" s="14">
        <f>CHOOSE(CONTROL!$C$42, 6.5721, 6.5721) * CHOOSE(CONTROL!$C$21, $C$9, 100%, $E$9)</f>
        <v>6.5720999999999998</v>
      </c>
      <c r="O86" s="14">
        <f>CHOOSE(CONTROL!$C$42, 6.6658, 6.6658) * CHOOSE(CONTROL!$C$21, $C$9, 100%, $E$9)</f>
        <v>6.6657999999999999</v>
      </c>
      <c r="P86" s="14">
        <f>CHOOSE(CONTROL!$C$42, 6.6007, 6.6007) * CHOOSE(CONTROL!$C$21, $C$9, 100%, $E$9)</f>
        <v>6.6006999999999998</v>
      </c>
      <c r="Q86" s="14">
        <f>CHOOSE(CONTROL!$C$42, 7.2605, 7.2605) * CHOOSE(CONTROL!$C$21, $C$9, 100%, $E$9)</f>
        <v>7.2605000000000004</v>
      </c>
      <c r="R86" s="14">
        <f>CHOOSE(CONTROL!$C$42, 7.8657, 7.8657) * CHOOSE(CONTROL!$C$21, $C$9, 100%, $E$9)</f>
        <v>7.8657000000000004</v>
      </c>
      <c r="S86" s="14">
        <f>CHOOSE(CONTROL!$C$42, 6.422, 6.422) * CHOOSE(CONTROL!$C$21, $C$9, 100%, $E$9)</f>
        <v>6.4219999999999997</v>
      </c>
      <c r="T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7">
        <f>(1000*CHOOSE(CONTROL!$C$42, 695, 695)*CHOOSE(CONTROL!$C$42, 0.5599, 0.5599)*CHOOSE(CONTROL!$C$42, 28, 28))/1000000</f>
        <v>10.895653999999999</v>
      </c>
      <c r="V86" s="57">
        <f>(1000*CHOOSE(CONTROL!$C$42, 500, 500)*CHOOSE(CONTROL!$C$42, 0.275, 0.275)*CHOOSE(CONTROL!$C$42, 28, 28))/1000000</f>
        <v>3.85</v>
      </c>
      <c r="W86" s="57">
        <f>(1000*CHOOSE(CONTROL!$C$42, 0.1146, 0.1146)*CHOOSE(CONTROL!$C$42, 121.5, 121.5)*CHOOSE(CONTROL!$C$42, 28, 28))/1000000</f>
        <v>0.38986920000000003</v>
      </c>
      <c r="X86" s="57">
        <f>(28*0.1790888*100000/1000000)+(28*0.2374*100000/1000000)</f>
        <v>1.16616864</v>
      </c>
      <c r="Y86" s="57"/>
      <c r="Z86" s="14"/>
      <c r="AA86" s="56"/>
      <c r="AB86" s="50">
        <f>(B86*122.58+C86*297.941+D86*89.177+E86*40.302+F86*40+G86*160+H86*0+I86*100+J86*300)/(122.58+297.941+89.177+40.302+0+40+160+100+300)</f>
        <v>6.7078957629565226</v>
      </c>
      <c r="AC86" s="45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6.6131928057553955</v>
      </c>
    </row>
    <row r="87" spans="1:29" ht="15.75" x14ac:dyDescent="0.25">
      <c r="A87" s="13">
        <v>43525</v>
      </c>
      <c r="B87" s="14">
        <f>CHOOSE(CONTROL!$C$42, 6.5159, 6.5159) * CHOOSE(CONTROL!$C$21, $C$9, 100%, $E$9)</f>
        <v>6.5159000000000002</v>
      </c>
      <c r="C87" s="14">
        <f>CHOOSE(CONTROL!$C$42, 6.521, 6.521) * CHOOSE(CONTROL!$C$21, $C$9, 100%, $E$9)</f>
        <v>6.5209999999999999</v>
      </c>
      <c r="D87" s="14">
        <f>CHOOSE(CONTROL!$C$42, 6.5978, 6.5978) * CHOOSE(CONTROL!$C$21, $C$9, 100%, $E$9)</f>
        <v>6.5978000000000003</v>
      </c>
      <c r="E87" s="14">
        <f>CHOOSE(CONTROL!$C$42, 6.6319, 6.6319) * CHOOSE(CONTROL!$C$21, $C$9, 100%, $E$9)</f>
        <v>6.6318999999999999</v>
      </c>
      <c r="F87" s="14">
        <f>CHOOSE(CONTROL!$C$42, 6.5157, 6.5157)*CHOOSE(CONTROL!$C$21, $C$9, 100%, $E$9)</f>
        <v>6.5156999999999998</v>
      </c>
      <c r="G87" s="14">
        <f>CHOOSE(CONTROL!$C$42, 6.5318, 6.5318)*CHOOSE(CONTROL!$C$21, $C$9, 100%, $E$9)</f>
        <v>6.5317999999999996</v>
      </c>
      <c r="H87" s="14">
        <f>CHOOSE(CONTROL!$C$42, 6.6211, 6.6211) * CHOOSE(CONTROL!$C$21, $C$9, 100%, $E$9)</f>
        <v>6.6211000000000002</v>
      </c>
      <c r="I87" s="14">
        <f>CHOOSE(CONTROL!$C$42, 6.5544, 6.5544)* CHOOSE(CONTROL!$C$21, $C$9, 100%, $E$9)</f>
        <v>6.5544000000000002</v>
      </c>
      <c r="J87" s="14">
        <f>CHOOSE(CONTROL!$C$42, 6.5087, 6.5087)* CHOOSE(CONTROL!$C$21, $C$9, 100%, $E$9)</f>
        <v>6.5087000000000002</v>
      </c>
      <c r="K87" s="53">
        <f>CHOOSE(CONTROL!$C$42, 6.5505, 6.5505) * CHOOSE(CONTROL!$C$21, $C$9, 100%, $E$9)</f>
        <v>6.5505000000000004</v>
      </c>
      <c r="L87" s="14">
        <f>CHOOSE(CONTROL!$C$42, 7.2081, 7.2081) * CHOOSE(CONTROL!$C$21, $C$9, 100%, $E$9)</f>
        <v>7.2081</v>
      </c>
      <c r="M87" s="14">
        <f>CHOOSE(CONTROL!$C$42, 6.383, 6.383) * CHOOSE(CONTROL!$C$21, $C$9, 100%, $E$9)</f>
        <v>6.383</v>
      </c>
      <c r="N87" s="14">
        <f>CHOOSE(CONTROL!$C$42, 6.3988, 6.3988) * CHOOSE(CONTROL!$C$21, $C$9, 100%, $E$9)</f>
        <v>6.3987999999999996</v>
      </c>
      <c r="O87" s="14">
        <f>CHOOSE(CONTROL!$C$42, 6.4931, 6.4931) * CHOOSE(CONTROL!$C$21, $C$9, 100%, $E$9)</f>
        <v>6.4931000000000001</v>
      </c>
      <c r="P87" s="14">
        <f>CHOOSE(CONTROL!$C$42, 6.4274, 6.4274) * CHOOSE(CONTROL!$C$21, $C$9, 100%, $E$9)</f>
        <v>6.4273999999999996</v>
      </c>
      <c r="Q87" s="14">
        <f>CHOOSE(CONTROL!$C$42, 7.0878, 7.0878) * CHOOSE(CONTROL!$C$21, $C$9, 100%, $E$9)</f>
        <v>7.0877999999999997</v>
      </c>
      <c r="R87" s="14">
        <f>CHOOSE(CONTROL!$C$42, 7.6925, 7.6925) * CHOOSE(CONTROL!$C$21, $C$9, 100%, $E$9)</f>
        <v>7.6924999999999999</v>
      </c>
      <c r="S87" s="14">
        <f>CHOOSE(CONTROL!$C$42, 6.2526, 6.2526) * CHOOSE(CONTROL!$C$21, $C$9, 100%, $E$9)</f>
        <v>6.2526000000000002</v>
      </c>
      <c r="T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7">
        <f>(1000*CHOOSE(CONTROL!$C$42, 695, 695)*CHOOSE(CONTROL!$C$42, 0.5599, 0.5599)*CHOOSE(CONTROL!$C$42, 31, 31))/1000000</f>
        <v>12.063045499999998</v>
      </c>
      <c r="V87" s="57">
        <f>(1000*CHOOSE(CONTROL!$C$42, 500, 500)*CHOOSE(CONTROL!$C$42, 0.275, 0.275)*CHOOSE(CONTROL!$C$42, 31, 31))/1000000</f>
        <v>4.2625000000000002</v>
      </c>
      <c r="W87" s="57">
        <f>(1000*CHOOSE(CONTROL!$C$42, 0.1146, 0.1146)*CHOOSE(CONTROL!$C$42, 121.5, 121.5)*CHOOSE(CONTROL!$C$42, 31, 31))/1000000</f>
        <v>0.43164089999999994</v>
      </c>
      <c r="X87" s="57">
        <f>(31*0.1790888*100000/1000000)+(31*0.2374*100000/1000000)</f>
        <v>1.2911152800000001</v>
      </c>
      <c r="Y87" s="57"/>
      <c r="Z87" s="14"/>
      <c r="AA87" s="56"/>
      <c r="AB87" s="50">
        <f>(B87*122.58+C87*297.941+D87*89.177+E87*40.302+F87*40+G87*160+H87*0+I87*100+J87*300)/(122.58+297.941+89.177+40.302+0+40+160+100+300)</f>
        <v>6.5313122846956526</v>
      </c>
      <c r="AC87" s="45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6.4401992805755395</v>
      </c>
    </row>
    <row r="88" spans="1:29" ht="15.75" x14ac:dyDescent="0.25">
      <c r="A88" s="13">
        <v>43556</v>
      </c>
      <c r="B88" s="14">
        <f>CHOOSE(CONTROL!$C$42, 6.511, 6.511) * CHOOSE(CONTROL!$C$21, $C$9, 100%, $E$9)</f>
        <v>6.5110000000000001</v>
      </c>
      <c r="C88" s="14">
        <f>CHOOSE(CONTROL!$C$42, 6.5155, 6.5155) * CHOOSE(CONTROL!$C$21, $C$9, 100%, $E$9)</f>
        <v>6.5155000000000003</v>
      </c>
      <c r="D88" s="14">
        <f>CHOOSE(CONTROL!$C$42, 6.7522, 6.7522) * CHOOSE(CONTROL!$C$21, $C$9, 100%, $E$9)</f>
        <v>6.7522000000000002</v>
      </c>
      <c r="E88" s="14">
        <f>CHOOSE(CONTROL!$C$42, 6.7843, 6.7843) * CHOOSE(CONTROL!$C$21, $C$9, 100%, $E$9)</f>
        <v>6.7843</v>
      </c>
      <c r="F88" s="14">
        <f>CHOOSE(CONTROL!$C$42, 6.509, 6.509)*CHOOSE(CONTROL!$C$21, $C$9, 100%, $E$9)</f>
        <v>6.5090000000000003</v>
      </c>
      <c r="G88" s="14">
        <f>CHOOSE(CONTROL!$C$42, 6.5248, 6.5248)*CHOOSE(CONTROL!$C$21, $C$9, 100%, $E$9)</f>
        <v>6.5247999999999999</v>
      </c>
      <c r="H88" s="14">
        <f>CHOOSE(CONTROL!$C$42, 6.7741, 6.7741) * CHOOSE(CONTROL!$C$21, $C$9, 100%, $E$9)</f>
        <v>6.7740999999999998</v>
      </c>
      <c r="I88" s="14">
        <f>CHOOSE(CONTROL!$C$42, 6.5487, 6.5487)* CHOOSE(CONTROL!$C$21, $C$9, 100%, $E$9)</f>
        <v>6.5487000000000002</v>
      </c>
      <c r="J88" s="14">
        <f>CHOOSE(CONTROL!$C$42, 6.502, 6.502)* CHOOSE(CONTROL!$C$21, $C$9, 100%, $E$9)</f>
        <v>6.5019999999999998</v>
      </c>
      <c r="K88" s="53">
        <f>CHOOSE(CONTROL!$C$42, 6.5448, 6.5448) * CHOOSE(CONTROL!$C$21, $C$9, 100%, $E$9)</f>
        <v>6.5448000000000004</v>
      </c>
      <c r="L88" s="14">
        <f>CHOOSE(CONTROL!$C$42, 7.3611, 7.3611) * CHOOSE(CONTROL!$C$21, $C$9, 100%, $E$9)</f>
        <v>7.3611000000000004</v>
      </c>
      <c r="M88" s="14">
        <f>CHOOSE(CONTROL!$C$42, 6.3764, 6.3764) * CHOOSE(CONTROL!$C$21, $C$9, 100%, $E$9)</f>
        <v>6.3764000000000003</v>
      </c>
      <c r="N88" s="14">
        <f>CHOOSE(CONTROL!$C$42, 6.3919, 6.3919) * CHOOSE(CONTROL!$C$21, $C$9, 100%, $E$9)</f>
        <v>6.3918999999999997</v>
      </c>
      <c r="O88" s="14">
        <f>CHOOSE(CONTROL!$C$42, 6.643, 6.643) * CHOOSE(CONTROL!$C$21, $C$9, 100%, $E$9)</f>
        <v>6.6429999999999998</v>
      </c>
      <c r="P88" s="14">
        <f>CHOOSE(CONTROL!$C$42, 6.4219, 6.4219) * CHOOSE(CONTROL!$C$21, $C$9, 100%, $E$9)</f>
        <v>6.4218999999999999</v>
      </c>
      <c r="Q88" s="14">
        <f>CHOOSE(CONTROL!$C$42, 7.2377, 7.2377) * CHOOSE(CONTROL!$C$21, $C$9, 100%, $E$9)</f>
        <v>7.2377000000000002</v>
      </c>
      <c r="R88" s="14">
        <f>CHOOSE(CONTROL!$C$42, 7.8428, 7.8428) * CHOOSE(CONTROL!$C$21, $C$9, 100%, $E$9)</f>
        <v>7.8428000000000004</v>
      </c>
      <c r="S88" s="14">
        <f>CHOOSE(CONTROL!$C$42, 6.2471, 6.2471) * CHOOSE(CONTROL!$C$21, $C$9, 100%, $E$9)</f>
        <v>6.2470999999999997</v>
      </c>
      <c r="T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7">
        <f>(1000*CHOOSE(CONTROL!$C$42, 695, 695)*CHOOSE(CONTROL!$C$42, 0.5599, 0.5599)*CHOOSE(CONTROL!$C$42, 30, 30))/1000000</f>
        <v>11.673914999999997</v>
      </c>
      <c r="V88" s="57">
        <f>(1000*CHOOSE(CONTROL!$C$42, 500, 500)*CHOOSE(CONTROL!$C$42, 0.275, 0.275)*CHOOSE(CONTROL!$C$42, 30, 30))/1000000</f>
        <v>4.125</v>
      </c>
      <c r="W88" s="57">
        <f>(1000*CHOOSE(CONTROL!$C$42, 0.1146, 0.1146)*CHOOSE(CONTROL!$C$42, 121.5, 121.5)*CHOOSE(CONTROL!$C$42, 30, 30))/1000000</f>
        <v>0.417717</v>
      </c>
      <c r="X88" s="57">
        <f>(30*0.1790888*245000/1000000)+(30*0.2374*100000/1000000)</f>
        <v>2.0285026799999999</v>
      </c>
      <c r="Y88" s="57"/>
      <c r="Z88" s="14"/>
      <c r="AA88" s="56"/>
      <c r="AB88" s="50">
        <f>(B88*141.293+C88*267.993+D88*115.016+E88*89.698+F88*40+G88*185+H88*0+I88*100+J88*300)/(141.293+267.993+115.016+89.698+0+40+185+100+300)</f>
        <v>6.5570091130750603</v>
      </c>
      <c r="AC88" s="45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6.4613165467625899</v>
      </c>
    </row>
    <row r="89" spans="1:29" ht="15.75" x14ac:dyDescent="0.25">
      <c r="A89" s="13">
        <v>43586</v>
      </c>
      <c r="B89" s="14">
        <f>CHOOSE(CONTROL!$C$42, 6.5833, 6.5833) * CHOOSE(CONTROL!$C$21, $C$9, 100%, $E$9)</f>
        <v>6.5833000000000004</v>
      </c>
      <c r="C89" s="14">
        <f>CHOOSE(CONTROL!$C$42, 6.5913, 6.5913) * CHOOSE(CONTROL!$C$21, $C$9, 100%, $E$9)</f>
        <v>6.5913000000000004</v>
      </c>
      <c r="D89" s="14">
        <f>CHOOSE(CONTROL!$C$42, 6.8249, 6.8249) * CHOOSE(CONTROL!$C$21, $C$9, 100%, $E$9)</f>
        <v>6.8249000000000004</v>
      </c>
      <c r="E89" s="14">
        <f>CHOOSE(CONTROL!$C$42, 6.8564, 6.8564) * CHOOSE(CONTROL!$C$21, $C$9, 100%, $E$9)</f>
        <v>6.8563999999999998</v>
      </c>
      <c r="F89" s="14">
        <f>CHOOSE(CONTROL!$C$42, 6.5801, 6.5801)*CHOOSE(CONTROL!$C$21, $C$9, 100%, $E$9)</f>
        <v>6.5800999999999998</v>
      </c>
      <c r="G89" s="14">
        <f>CHOOSE(CONTROL!$C$42, 6.5964, 6.5964)*CHOOSE(CONTROL!$C$21, $C$9, 100%, $E$9)</f>
        <v>6.5964</v>
      </c>
      <c r="H89" s="14">
        <f>CHOOSE(CONTROL!$C$42, 6.845, 6.845) * CHOOSE(CONTROL!$C$21, $C$9, 100%, $E$9)</f>
        <v>6.8449999999999998</v>
      </c>
      <c r="I89" s="14">
        <f>CHOOSE(CONTROL!$C$42, 6.6198, 6.6198)* CHOOSE(CONTROL!$C$21, $C$9, 100%, $E$9)</f>
        <v>6.6197999999999997</v>
      </c>
      <c r="J89" s="14">
        <f>CHOOSE(CONTROL!$C$42, 6.5731, 6.5731)* CHOOSE(CONTROL!$C$21, $C$9, 100%, $E$9)</f>
        <v>6.5731000000000002</v>
      </c>
      <c r="K89" s="53">
        <f>CHOOSE(CONTROL!$C$42, 6.6159, 6.6159) * CHOOSE(CONTROL!$C$21, $C$9, 100%, $E$9)</f>
        <v>6.6158999999999999</v>
      </c>
      <c r="L89" s="14">
        <f>CHOOSE(CONTROL!$C$42, 7.432, 7.432) * CHOOSE(CONTROL!$C$21, $C$9, 100%, $E$9)</f>
        <v>7.4320000000000004</v>
      </c>
      <c r="M89" s="14">
        <f>CHOOSE(CONTROL!$C$42, 6.4461, 6.4461) * CHOOSE(CONTROL!$C$21, $C$9, 100%, $E$9)</f>
        <v>6.4461000000000004</v>
      </c>
      <c r="N89" s="14">
        <f>CHOOSE(CONTROL!$C$42, 6.4621, 6.4621) * CHOOSE(CONTROL!$C$21, $C$9, 100%, $E$9)</f>
        <v>6.4621000000000004</v>
      </c>
      <c r="O89" s="14">
        <f>CHOOSE(CONTROL!$C$42, 6.7124, 6.7124) * CHOOSE(CONTROL!$C$21, $C$9, 100%, $E$9)</f>
        <v>6.7123999999999997</v>
      </c>
      <c r="P89" s="14">
        <f>CHOOSE(CONTROL!$C$42, 6.4915, 6.4915) * CHOOSE(CONTROL!$C$21, $C$9, 100%, $E$9)</f>
        <v>6.4915000000000003</v>
      </c>
      <c r="Q89" s="14">
        <f>CHOOSE(CONTROL!$C$42, 7.3071, 7.3071) * CHOOSE(CONTROL!$C$21, $C$9, 100%, $E$9)</f>
        <v>7.3071000000000002</v>
      </c>
      <c r="R89" s="14">
        <f>CHOOSE(CONTROL!$C$42, 7.9124, 7.9124) * CHOOSE(CONTROL!$C$21, $C$9, 100%, $E$9)</f>
        <v>7.9123999999999999</v>
      </c>
      <c r="S89" s="14">
        <f>CHOOSE(CONTROL!$C$42, 6.3152, 6.3152) * CHOOSE(CONTROL!$C$21, $C$9, 100%, $E$9)</f>
        <v>6.3151999999999999</v>
      </c>
      <c r="T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7">
        <f>(1000*CHOOSE(CONTROL!$C$42, 695, 695)*CHOOSE(CONTROL!$C$42, 0.5599, 0.5599)*CHOOSE(CONTROL!$C$42, 31, 31))/1000000</f>
        <v>12.063045499999998</v>
      </c>
      <c r="V89" s="57">
        <f>(1000*CHOOSE(CONTROL!$C$42, 500, 500)*CHOOSE(CONTROL!$C$42, 0.275, 0.275)*CHOOSE(CONTROL!$C$42, 31, 31))/1000000</f>
        <v>4.2625000000000002</v>
      </c>
      <c r="W89" s="57">
        <f>(1000*CHOOSE(CONTROL!$C$42, 0.1146, 0.1146)*CHOOSE(CONTROL!$C$42, 121.5, 121.5)*CHOOSE(CONTROL!$C$42, 31, 31))/1000000</f>
        <v>0.43164089999999994</v>
      </c>
      <c r="X89" s="57">
        <f>(31*0.1790888*245000/1000000)+(31*0.2374*100000/1000000)</f>
        <v>2.0961194359999999</v>
      </c>
      <c r="Y89" s="57"/>
      <c r="Z89" s="14"/>
      <c r="AA89" s="56"/>
      <c r="AB89" s="50">
        <f>(B89*194.205+C89*267.466+D89*133.845+E89*53.484+F89*40+G89*185+H89*0+I89*100+J89*300)/(194.205+267.466+133.845+53.484+0+40+185+100+300)</f>
        <v>6.6240917271585555</v>
      </c>
      <c r="AC89" s="45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6.5310330935251786</v>
      </c>
    </row>
    <row r="90" spans="1:29" ht="15.75" x14ac:dyDescent="0.25">
      <c r="A90" s="13">
        <v>43617</v>
      </c>
      <c r="B90" s="14">
        <f>CHOOSE(CONTROL!$C$42, 6.7836, 6.7836) * CHOOSE(CONTROL!$C$21, $C$9, 100%, $E$9)</f>
        <v>6.7835999999999999</v>
      </c>
      <c r="C90" s="14">
        <f>CHOOSE(CONTROL!$C$42, 6.7916, 6.7916) * CHOOSE(CONTROL!$C$21, $C$9, 100%, $E$9)</f>
        <v>6.7915999999999999</v>
      </c>
      <c r="D90" s="14">
        <f>CHOOSE(CONTROL!$C$42, 7.0252, 7.0252) * CHOOSE(CONTROL!$C$21, $C$9, 100%, $E$9)</f>
        <v>7.0251999999999999</v>
      </c>
      <c r="E90" s="14">
        <f>CHOOSE(CONTROL!$C$42, 7.0567, 7.0567) * CHOOSE(CONTROL!$C$21, $C$9, 100%, $E$9)</f>
        <v>7.0567000000000002</v>
      </c>
      <c r="F90" s="14">
        <f>CHOOSE(CONTROL!$C$42, 6.7808, 6.7808)*CHOOSE(CONTROL!$C$21, $C$9, 100%, $E$9)</f>
        <v>6.7808000000000002</v>
      </c>
      <c r="G90" s="14">
        <f>CHOOSE(CONTROL!$C$42, 6.7973, 6.7973)*CHOOSE(CONTROL!$C$21, $C$9, 100%, $E$9)</f>
        <v>6.7972999999999999</v>
      </c>
      <c r="H90" s="14">
        <f>CHOOSE(CONTROL!$C$42, 7.0453, 7.0453) * CHOOSE(CONTROL!$C$21, $C$9, 100%, $E$9)</f>
        <v>7.0453000000000001</v>
      </c>
      <c r="I90" s="14">
        <f>CHOOSE(CONTROL!$C$42, 6.8207, 6.8207)* CHOOSE(CONTROL!$C$21, $C$9, 100%, $E$9)</f>
        <v>6.8207000000000004</v>
      </c>
      <c r="J90" s="14">
        <f>CHOOSE(CONTROL!$C$42, 6.7738, 6.7738)* CHOOSE(CONTROL!$C$21, $C$9, 100%, $E$9)</f>
        <v>6.7737999999999996</v>
      </c>
      <c r="K90" s="53">
        <f>CHOOSE(CONTROL!$C$42, 6.8168, 6.8168) * CHOOSE(CONTROL!$C$21, $C$9, 100%, $E$9)</f>
        <v>6.8167999999999997</v>
      </c>
      <c r="L90" s="14">
        <f>CHOOSE(CONTROL!$C$42, 7.6323, 7.6323) * CHOOSE(CONTROL!$C$21, $C$9, 100%, $E$9)</f>
        <v>7.6322999999999999</v>
      </c>
      <c r="M90" s="14">
        <f>CHOOSE(CONTROL!$C$42, 6.6427, 6.6427) * CHOOSE(CONTROL!$C$21, $C$9, 100%, $E$9)</f>
        <v>6.6426999999999996</v>
      </c>
      <c r="N90" s="14">
        <f>CHOOSE(CONTROL!$C$42, 6.6589, 6.6589) * CHOOSE(CONTROL!$C$21, $C$9, 100%, $E$9)</f>
        <v>6.6589</v>
      </c>
      <c r="O90" s="14">
        <f>CHOOSE(CONTROL!$C$42, 6.9086, 6.9086) * CHOOSE(CONTROL!$C$21, $C$9, 100%, $E$9)</f>
        <v>6.9085999999999999</v>
      </c>
      <c r="P90" s="14">
        <f>CHOOSE(CONTROL!$C$42, 6.6883, 6.6883) * CHOOSE(CONTROL!$C$21, $C$9, 100%, $E$9)</f>
        <v>6.6882999999999999</v>
      </c>
      <c r="Q90" s="14">
        <f>CHOOSE(CONTROL!$C$42, 7.5033, 7.5033) * CHOOSE(CONTROL!$C$21, $C$9, 100%, $E$9)</f>
        <v>7.5033000000000003</v>
      </c>
      <c r="R90" s="14">
        <f>CHOOSE(CONTROL!$C$42, 8.1091, 8.1091) * CHOOSE(CONTROL!$C$21, $C$9, 100%, $E$9)</f>
        <v>8.1090999999999998</v>
      </c>
      <c r="S90" s="14">
        <f>CHOOSE(CONTROL!$C$42, 6.5077, 6.5077) * CHOOSE(CONTROL!$C$21, $C$9, 100%, $E$9)</f>
        <v>6.5076999999999998</v>
      </c>
      <c r="T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7">
        <f>(1000*CHOOSE(CONTROL!$C$42, 695, 695)*CHOOSE(CONTROL!$C$42, 0.5599, 0.5599)*CHOOSE(CONTROL!$C$42, 30, 30))/1000000</f>
        <v>11.673914999999997</v>
      </c>
      <c r="V90" s="57">
        <f>(1000*CHOOSE(CONTROL!$C$42, 500, 500)*CHOOSE(CONTROL!$C$42, 0.275, 0.275)*CHOOSE(CONTROL!$C$42, 30, 30))/1000000</f>
        <v>4.125</v>
      </c>
      <c r="W90" s="57">
        <f>(1000*CHOOSE(CONTROL!$C$42, 0.1146, 0.1146)*CHOOSE(CONTROL!$C$42, 121.5, 121.5)*CHOOSE(CONTROL!$C$42, 30, 30))/1000000</f>
        <v>0.417717</v>
      </c>
      <c r="X90" s="57">
        <f>(30*0.1790888*245000/1000000)+(30*0.2374*100000/1000000)</f>
        <v>2.0285026799999999</v>
      </c>
      <c r="Y90" s="57"/>
      <c r="Z90" s="14"/>
      <c r="AA90" s="56"/>
      <c r="AB90" s="50">
        <f>(B90*194.205+C90*267.466+D90*133.845+E90*53.484+F90*40+G90*185+H90*0+I90*100+J90*300)/(194.205+267.466+133.845+53.484+0+40+185+100+300)</f>
        <v>6.8246327004709579</v>
      </c>
      <c r="AC90" s="45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6.7275956834532362</v>
      </c>
    </row>
    <row r="91" spans="1:29" ht="15.75" x14ac:dyDescent="0.25">
      <c r="A91" s="13">
        <v>43647</v>
      </c>
      <c r="B91" s="14">
        <f>CHOOSE(CONTROL!$C$42, 6.6674, 6.6674) * CHOOSE(CONTROL!$C$21, $C$9, 100%, $E$9)</f>
        <v>6.6673999999999998</v>
      </c>
      <c r="C91" s="14">
        <f>CHOOSE(CONTROL!$C$42, 6.6754, 6.6754) * CHOOSE(CONTROL!$C$21, $C$9, 100%, $E$9)</f>
        <v>6.6753999999999998</v>
      </c>
      <c r="D91" s="14">
        <f>CHOOSE(CONTROL!$C$42, 6.909, 6.909) * CHOOSE(CONTROL!$C$21, $C$9, 100%, $E$9)</f>
        <v>6.9089999999999998</v>
      </c>
      <c r="E91" s="14">
        <f>CHOOSE(CONTROL!$C$42, 6.9405, 6.9405) * CHOOSE(CONTROL!$C$21, $C$9, 100%, $E$9)</f>
        <v>6.9405000000000001</v>
      </c>
      <c r="F91" s="14">
        <f>CHOOSE(CONTROL!$C$42, 6.6651, 6.6651)*CHOOSE(CONTROL!$C$21, $C$9, 100%, $E$9)</f>
        <v>6.6650999999999998</v>
      </c>
      <c r="G91" s="14">
        <f>CHOOSE(CONTROL!$C$42, 6.6818, 6.6818)*CHOOSE(CONTROL!$C$21, $C$9, 100%, $E$9)</f>
        <v>6.6818</v>
      </c>
      <c r="H91" s="14">
        <f>CHOOSE(CONTROL!$C$42, 6.9291, 6.9291) * CHOOSE(CONTROL!$C$21, $C$9, 100%, $E$9)</f>
        <v>6.9291</v>
      </c>
      <c r="I91" s="14">
        <f>CHOOSE(CONTROL!$C$42, 6.7041, 6.7041)* CHOOSE(CONTROL!$C$21, $C$9, 100%, $E$9)</f>
        <v>6.7041000000000004</v>
      </c>
      <c r="J91" s="14">
        <f>CHOOSE(CONTROL!$C$42, 6.6581, 6.6581)* CHOOSE(CONTROL!$C$21, $C$9, 100%, $E$9)</f>
        <v>6.6581000000000001</v>
      </c>
      <c r="K91" s="53">
        <f>CHOOSE(CONTROL!$C$42, 6.7002, 6.7002) * CHOOSE(CONTROL!$C$21, $C$9, 100%, $E$9)</f>
        <v>6.7001999999999997</v>
      </c>
      <c r="L91" s="14">
        <f>CHOOSE(CONTROL!$C$42, 7.5161, 7.5161) * CHOOSE(CONTROL!$C$21, $C$9, 100%, $E$9)</f>
        <v>7.5160999999999998</v>
      </c>
      <c r="M91" s="14">
        <f>CHOOSE(CONTROL!$C$42, 6.5294, 6.5294) * CHOOSE(CONTROL!$C$21, $C$9, 100%, $E$9)</f>
        <v>6.5293999999999999</v>
      </c>
      <c r="N91" s="14">
        <f>CHOOSE(CONTROL!$C$42, 6.5457, 6.5457) * CHOOSE(CONTROL!$C$21, $C$9, 100%, $E$9)</f>
        <v>6.5457000000000001</v>
      </c>
      <c r="O91" s="14">
        <f>CHOOSE(CONTROL!$C$42, 6.7948, 6.7948) * CHOOSE(CONTROL!$C$21, $C$9, 100%, $E$9)</f>
        <v>6.7948000000000004</v>
      </c>
      <c r="P91" s="14">
        <f>CHOOSE(CONTROL!$C$42, 6.5741, 6.5741) * CHOOSE(CONTROL!$C$21, $C$9, 100%, $E$9)</f>
        <v>6.5740999999999996</v>
      </c>
      <c r="Q91" s="14">
        <f>CHOOSE(CONTROL!$C$42, 7.3895, 7.3895) * CHOOSE(CONTROL!$C$21, $C$9, 100%, $E$9)</f>
        <v>7.3895</v>
      </c>
      <c r="R91" s="14">
        <f>CHOOSE(CONTROL!$C$42, 7.995, 7.995) * CHOOSE(CONTROL!$C$21, $C$9, 100%, $E$9)</f>
        <v>7.9950000000000001</v>
      </c>
      <c r="S91" s="14">
        <f>CHOOSE(CONTROL!$C$42, 6.396, 6.396) * CHOOSE(CONTROL!$C$21, $C$9, 100%, $E$9)</f>
        <v>6.3959999999999999</v>
      </c>
      <c r="T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7">
        <f>(1000*CHOOSE(CONTROL!$C$42, 695, 695)*CHOOSE(CONTROL!$C$42, 0.5599, 0.5599)*CHOOSE(CONTROL!$C$42, 31, 31))/1000000</f>
        <v>12.063045499999998</v>
      </c>
      <c r="V91" s="57">
        <f>(1000*CHOOSE(CONTROL!$C$42, 500, 500)*CHOOSE(CONTROL!$C$42, 0.275, 0.275)*CHOOSE(CONTROL!$C$42, 31, 31))/1000000</f>
        <v>4.2625000000000002</v>
      </c>
      <c r="W91" s="57">
        <f>(1000*CHOOSE(CONTROL!$C$42, 0.1146, 0.1146)*CHOOSE(CONTROL!$C$42, 121.5, 121.5)*CHOOSE(CONTROL!$C$42, 31, 31))/1000000</f>
        <v>0.43164089999999994</v>
      </c>
      <c r="X91" s="57">
        <f>(31*0.1790888*245000/1000000)+(31*0.2374*100000/1000000)</f>
        <v>2.0961194359999999</v>
      </c>
      <c r="Y91" s="57"/>
      <c r="Z91" s="14"/>
      <c r="AA91" s="56"/>
      <c r="AB91" s="50">
        <f>(B91*194.205+C91*267.466+D91*133.845+E91*53.484+F91*40+G91*185+H91*0+I91*100+J91*300)/(194.205+267.466+133.845+53.484+0+40+185+100+300)</f>
        <v>6.7086363896389321</v>
      </c>
      <c r="AC91" s="45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6.6140489208633095</v>
      </c>
    </row>
    <row r="92" spans="1:29" ht="15.75" x14ac:dyDescent="0.25">
      <c r="A92" s="13">
        <v>43678</v>
      </c>
      <c r="B92" s="14">
        <f>CHOOSE(CONTROL!$C$42, 6.3517, 6.3517) * CHOOSE(CONTROL!$C$21, $C$9, 100%, $E$9)</f>
        <v>6.3517000000000001</v>
      </c>
      <c r="C92" s="14">
        <f>CHOOSE(CONTROL!$C$42, 6.3597, 6.3597) * CHOOSE(CONTROL!$C$21, $C$9, 100%, $E$9)</f>
        <v>6.3597000000000001</v>
      </c>
      <c r="D92" s="14">
        <f>CHOOSE(CONTROL!$C$42, 6.5933, 6.5933) * CHOOSE(CONTROL!$C$21, $C$9, 100%, $E$9)</f>
        <v>6.5933000000000002</v>
      </c>
      <c r="E92" s="14">
        <f>CHOOSE(CONTROL!$C$42, 6.6248, 6.6248) * CHOOSE(CONTROL!$C$21, $C$9, 100%, $E$9)</f>
        <v>6.6247999999999996</v>
      </c>
      <c r="F92" s="14">
        <f>CHOOSE(CONTROL!$C$42, 6.3497, 6.3497)*CHOOSE(CONTROL!$C$21, $C$9, 100%, $E$9)</f>
        <v>6.3497000000000003</v>
      </c>
      <c r="G92" s="14">
        <f>CHOOSE(CONTROL!$C$42, 6.3663, 6.3663)*CHOOSE(CONTROL!$C$21, $C$9, 100%, $E$9)</f>
        <v>6.3662999999999998</v>
      </c>
      <c r="H92" s="14">
        <f>CHOOSE(CONTROL!$C$42, 6.6134, 6.6134) * CHOOSE(CONTROL!$C$21, $C$9, 100%, $E$9)</f>
        <v>6.6134000000000004</v>
      </c>
      <c r="I92" s="14">
        <f>CHOOSE(CONTROL!$C$42, 6.3874, 6.3874)* CHOOSE(CONTROL!$C$21, $C$9, 100%, $E$9)</f>
        <v>6.3874000000000004</v>
      </c>
      <c r="J92" s="14">
        <f>CHOOSE(CONTROL!$C$42, 6.3427, 6.3427)* CHOOSE(CONTROL!$C$21, $C$9, 100%, $E$9)</f>
        <v>6.3426999999999998</v>
      </c>
      <c r="K92" s="53">
        <f>CHOOSE(CONTROL!$C$42, 6.3836, 6.3836) * CHOOSE(CONTROL!$C$21, $C$9, 100%, $E$9)</f>
        <v>6.3836000000000004</v>
      </c>
      <c r="L92" s="14">
        <f>CHOOSE(CONTROL!$C$42, 7.2004, 7.2004) * CHOOSE(CONTROL!$C$21, $C$9, 100%, $E$9)</f>
        <v>7.2004000000000001</v>
      </c>
      <c r="M92" s="14">
        <f>CHOOSE(CONTROL!$C$42, 6.2204, 6.2204) * CHOOSE(CONTROL!$C$21, $C$9, 100%, $E$9)</f>
        <v>6.2203999999999997</v>
      </c>
      <c r="N92" s="14">
        <f>CHOOSE(CONTROL!$C$42, 6.2367, 6.2367) * CHOOSE(CONTROL!$C$21, $C$9, 100%, $E$9)</f>
        <v>6.2366999999999999</v>
      </c>
      <c r="O92" s="14">
        <f>CHOOSE(CONTROL!$C$42, 6.4856, 6.4856) * CHOOSE(CONTROL!$C$21, $C$9, 100%, $E$9)</f>
        <v>6.4855999999999998</v>
      </c>
      <c r="P92" s="14">
        <f>CHOOSE(CONTROL!$C$42, 6.2639, 6.2639) * CHOOSE(CONTROL!$C$21, $C$9, 100%, $E$9)</f>
        <v>6.2638999999999996</v>
      </c>
      <c r="Q92" s="14">
        <f>CHOOSE(CONTROL!$C$42, 7.0803, 7.0803) * CHOOSE(CONTROL!$C$21, $C$9, 100%, $E$9)</f>
        <v>7.0803000000000003</v>
      </c>
      <c r="R92" s="14">
        <f>CHOOSE(CONTROL!$C$42, 7.685, 7.685) * CHOOSE(CONTROL!$C$21, $C$9, 100%, $E$9)</f>
        <v>7.6849999999999996</v>
      </c>
      <c r="S92" s="14">
        <f>CHOOSE(CONTROL!$C$42, 6.0927, 6.0927) * CHOOSE(CONTROL!$C$21, $C$9, 100%, $E$9)</f>
        <v>6.0926999999999998</v>
      </c>
      <c r="T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7">
        <f>(1000*CHOOSE(CONTROL!$C$42, 695, 695)*CHOOSE(CONTROL!$C$42, 0.5599, 0.5599)*CHOOSE(CONTROL!$C$42, 31, 31))/1000000</f>
        <v>12.063045499999998</v>
      </c>
      <c r="V92" s="57">
        <f>(1000*CHOOSE(CONTROL!$C$42, 500, 500)*CHOOSE(CONTROL!$C$42, 0.275, 0.275)*CHOOSE(CONTROL!$C$42, 31, 31))/1000000</f>
        <v>4.2625000000000002</v>
      </c>
      <c r="W92" s="57">
        <f>(1000*CHOOSE(CONTROL!$C$42, 0.1146, 0.1146)*CHOOSE(CONTROL!$C$42, 121.5, 121.5)*CHOOSE(CONTROL!$C$42, 31, 31))/1000000</f>
        <v>0.43164089999999994</v>
      </c>
      <c r="X92" s="57">
        <f>(31*0.1790888*245000/1000000)+(31*0.2374*100000/1000000)</f>
        <v>2.0961194359999999</v>
      </c>
      <c r="Y92" s="57"/>
      <c r="Z92" s="14"/>
      <c r="AA92" s="56"/>
      <c r="AB92" s="50">
        <f>(B92*194.205+C92*267.466+D92*133.845+E92*53.484+F92*40+G92*185+H92*0+I92*100+J92*300)/(194.205+267.466+133.845+53.484+0+40+185+100+300)</f>
        <v>6.3929670018838305</v>
      </c>
      <c r="AC92" s="45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6.3048201438848928</v>
      </c>
    </row>
    <row r="93" spans="1:29" ht="15.75" x14ac:dyDescent="0.25">
      <c r="A93" s="13">
        <v>43709</v>
      </c>
      <c r="B93" s="14">
        <f>CHOOSE(CONTROL!$C$42, 5.961, 5.961) * CHOOSE(CONTROL!$C$21, $C$9, 100%, $E$9)</f>
        <v>5.9610000000000003</v>
      </c>
      <c r="C93" s="14">
        <f>CHOOSE(CONTROL!$C$42, 5.969, 5.969) * CHOOSE(CONTROL!$C$21, $C$9, 100%, $E$9)</f>
        <v>5.9690000000000003</v>
      </c>
      <c r="D93" s="14">
        <f>CHOOSE(CONTROL!$C$42, 6.2026, 6.2026) * CHOOSE(CONTROL!$C$21, $C$9, 100%, $E$9)</f>
        <v>6.2026000000000003</v>
      </c>
      <c r="E93" s="14">
        <f>CHOOSE(CONTROL!$C$42, 6.2341, 6.2341) * CHOOSE(CONTROL!$C$21, $C$9, 100%, $E$9)</f>
        <v>6.2340999999999998</v>
      </c>
      <c r="F93" s="14">
        <f>CHOOSE(CONTROL!$C$42, 5.959, 5.959)*CHOOSE(CONTROL!$C$21, $C$9, 100%, $E$9)</f>
        <v>5.9589999999999996</v>
      </c>
      <c r="G93" s="14">
        <f>CHOOSE(CONTROL!$C$42, 5.9757, 5.9757)*CHOOSE(CONTROL!$C$21, $C$9, 100%, $E$9)</f>
        <v>5.9756999999999998</v>
      </c>
      <c r="H93" s="14">
        <f>CHOOSE(CONTROL!$C$42, 6.2227, 6.2227) * CHOOSE(CONTROL!$C$21, $C$9, 100%, $E$9)</f>
        <v>6.2226999999999997</v>
      </c>
      <c r="I93" s="14">
        <f>CHOOSE(CONTROL!$C$42, 5.9955, 5.9955)* CHOOSE(CONTROL!$C$21, $C$9, 100%, $E$9)</f>
        <v>5.9954999999999998</v>
      </c>
      <c r="J93" s="14">
        <f>CHOOSE(CONTROL!$C$42, 5.952, 5.952)* CHOOSE(CONTROL!$C$21, $C$9, 100%, $E$9)</f>
        <v>5.952</v>
      </c>
      <c r="K93" s="53">
        <f>CHOOSE(CONTROL!$C$42, 5.9916, 5.9916) * CHOOSE(CONTROL!$C$21, $C$9, 100%, $E$9)</f>
        <v>5.9916</v>
      </c>
      <c r="L93" s="14">
        <f>CHOOSE(CONTROL!$C$42, 6.8097, 6.8097) * CHOOSE(CONTROL!$C$21, $C$9, 100%, $E$9)</f>
        <v>6.8097000000000003</v>
      </c>
      <c r="M93" s="14">
        <f>CHOOSE(CONTROL!$C$42, 5.8377, 5.8377) * CHOOSE(CONTROL!$C$21, $C$9, 100%, $E$9)</f>
        <v>5.8376999999999999</v>
      </c>
      <c r="N93" s="14">
        <f>CHOOSE(CONTROL!$C$42, 5.8541, 5.8541) * CHOOSE(CONTROL!$C$21, $C$9, 100%, $E$9)</f>
        <v>5.8540999999999999</v>
      </c>
      <c r="O93" s="14">
        <f>CHOOSE(CONTROL!$C$42, 6.1029, 6.1029) * CHOOSE(CONTROL!$C$21, $C$9, 100%, $E$9)</f>
        <v>6.1029</v>
      </c>
      <c r="P93" s="14">
        <f>CHOOSE(CONTROL!$C$42, 5.8801, 5.8801) * CHOOSE(CONTROL!$C$21, $C$9, 100%, $E$9)</f>
        <v>5.8800999999999997</v>
      </c>
      <c r="Q93" s="14">
        <f>CHOOSE(CONTROL!$C$42, 6.6976, 6.6976) * CHOOSE(CONTROL!$C$21, $C$9, 100%, $E$9)</f>
        <v>6.6976000000000004</v>
      </c>
      <c r="R93" s="14">
        <f>CHOOSE(CONTROL!$C$42, 7.3013, 7.3013) * CHOOSE(CONTROL!$C$21, $C$9, 100%, $E$9)</f>
        <v>7.3013000000000003</v>
      </c>
      <c r="S93" s="14">
        <f>CHOOSE(CONTROL!$C$42, 5.7173, 5.7173) * CHOOSE(CONTROL!$C$21, $C$9, 100%, $E$9)</f>
        <v>5.7172999999999998</v>
      </c>
      <c r="T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7">
        <f>(1000*CHOOSE(CONTROL!$C$42, 695, 695)*CHOOSE(CONTROL!$C$42, 0.5599, 0.5599)*CHOOSE(CONTROL!$C$42, 30, 30))/1000000</f>
        <v>11.673914999999997</v>
      </c>
      <c r="V93" s="57">
        <f>(1000*CHOOSE(CONTROL!$C$42, 500, 500)*CHOOSE(CONTROL!$C$42, 0.275, 0.275)*CHOOSE(CONTROL!$C$42, 30, 30))/1000000</f>
        <v>4.125</v>
      </c>
      <c r="W93" s="57">
        <f>(1000*CHOOSE(CONTROL!$C$42, 0.1146, 0.1146)*CHOOSE(CONTROL!$C$42, 121.5, 121.5)*CHOOSE(CONTROL!$C$42, 30, 30))/1000000</f>
        <v>0.417717</v>
      </c>
      <c r="X93" s="57">
        <f>(30*0.1790888*245000/1000000)+(30*0.2374*100000/1000000)</f>
        <v>2.0285026799999999</v>
      </c>
      <c r="Y93" s="57"/>
      <c r="Z93" s="14"/>
      <c r="AA93" s="56"/>
      <c r="AB93" s="50">
        <f>(B93*194.205+C93*267.466+D93*133.845+E93*53.484+F93*40+G93*185+H93*0+I93*100+J93*300)/(194.205+267.466+133.845+53.484+0+40+185+100+300)</f>
        <v>6.0021873315541594</v>
      </c>
      <c r="AC93" s="45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5.9219848920863303</v>
      </c>
    </row>
    <row r="94" spans="1:29" ht="15.75" x14ac:dyDescent="0.25">
      <c r="A94" s="13">
        <v>43739</v>
      </c>
      <c r="B94" s="14">
        <f>CHOOSE(CONTROL!$C$42, 5.8504, 5.8504) * CHOOSE(CONTROL!$C$21, $C$9, 100%, $E$9)</f>
        <v>5.8503999999999996</v>
      </c>
      <c r="C94" s="14">
        <f>CHOOSE(CONTROL!$C$42, 5.8558, 5.8558) * CHOOSE(CONTROL!$C$21, $C$9, 100%, $E$9)</f>
        <v>5.8558000000000003</v>
      </c>
      <c r="D94" s="14">
        <f>CHOOSE(CONTROL!$C$42, 6.0943, 6.0943) * CHOOSE(CONTROL!$C$21, $C$9, 100%, $E$9)</f>
        <v>6.0942999999999996</v>
      </c>
      <c r="E94" s="14">
        <f>CHOOSE(CONTROL!$C$42, 6.1234, 6.1234) * CHOOSE(CONTROL!$C$21, $C$9, 100%, $E$9)</f>
        <v>6.1234000000000002</v>
      </c>
      <c r="F94" s="14">
        <f>CHOOSE(CONTROL!$C$42, 5.8505, 5.8505)*CHOOSE(CONTROL!$C$21, $C$9, 100%, $E$9)</f>
        <v>5.8505000000000003</v>
      </c>
      <c r="G94" s="14">
        <f>CHOOSE(CONTROL!$C$42, 5.8667, 5.8667)*CHOOSE(CONTROL!$C$21, $C$9, 100%, $E$9)</f>
        <v>5.8666999999999998</v>
      </c>
      <c r="H94" s="14">
        <f>CHOOSE(CONTROL!$C$42, 6.1139, 6.1139) * CHOOSE(CONTROL!$C$21, $C$9, 100%, $E$9)</f>
        <v>6.1139000000000001</v>
      </c>
      <c r="I94" s="14">
        <f>CHOOSE(CONTROL!$C$42, 5.8864, 5.8864)* CHOOSE(CONTROL!$C$21, $C$9, 100%, $E$9)</f>
        <v>5.8864000000000001</v>
      </c>
      <c r="J94" s="14">
        <f>CHOOSE(CONTROL!$C$42, 5.8435, 5.8435)* CHOOSE(CONTROL!$C$21, $C$9, 100%, $E$9)</f>
        <v>5.8434999999999997</v>
      </c>
      <c r="K94" s="53">
        <f>CHOOSE(CONTROL!$C$42, 5.8825, 5.8825) * CHOOSE(CONTROL!$C$21, $C$9, 100%, $E$9)</f>
        <v>5.8825000000000003</v>
      </c>
      <c r="L94" s="14">
        <f>CHOOSE(CONTROL!$C$42, 6.7009, 6.7009) * CHOOSE(CONTROL!$C$21, $C$9, 100%, $E$9)</f>
        <v>6.7008999999999999</v>
      </c>
      <c r="M94" s="14">
        <f>CHOOSE(CONTROL!$C$42, 5.7314, 5.7314) * CHOOSE(CONTROL!$C$21, $C$9, 100%, $E$9)</f>
        <v>5.7313999999999998</v>
      </c>
      <c r="N94" s="14">
        <f>CHOOSE(CONTROL!$C$42, 5.7474, 5.7474) * CHOOSE(CONTROL!$C$21, $C$9, 100%, $E$9)</f>
        <v>5.7473999999999998</v>
      </c>
      <c r="O94" s="14">
        <f>CHOOSE(CONTROL!$C$42, 5.9963, 5.9963) * CHOOSE(CONTROL!$C$21, $C$9, 100%, $E$9)</f>
        <v>5.9962999999999997</v>
      </c>
      <c r="P94" s="14">
        <f>CHOOSE(CONTROL!$C$42, 5.7732, 5.7732) * CHOOSE(CONTROL!$C$21, $C$9, 100%, $E$9)</f>
        <v>5.7732000000000001</v>
      </c>
      <c r="Q94" s="14">
        <f>CHOOSE(CONTROL!$C$42, 6.591, 6.591) * CHOOSE(CONTROL!$C$21, $C$9, 100%, $E$9)</f>
        <v>6.5910000000000002</v>
      </c>
      <c r="R94" s="14">
        <f>CHOOSE(CONTROL!$C$42, 7.1945, 7.1945) * CHOOSE(CONTROL!$C$21, $C$9, 100%, $E$9)</f>
        <v>7.1944999999999997</v>
      </c>
      <c r="S94" s="14">
        <f>CHOOSE(CONTROL!$C$42, 5.6127, 5.6127) * CHOOSE(CONTROL!$C$21, $C$9, 100%, $E$9)</f>
        <v>5.6127000000000002</v>
      </c>
      <c r="T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7">
        <f>(1000*CHOOSE(CONTROL!$C$42, 695, 695)*CHOOSE(CONTROL!$C$42, 0.5599, 0.5599)*CHOOSE(CONTROL!$C$42, 31, 31))/1000000</f>
        <v>12.063045499999998</v>
      </c>
      <c r="V94" s="57">
        <f>(1000*CHOOSE(CONTROL!$C$42, 500, 500)*CHOOSE(CONTROL!$C$42, 0.275, 0.275)*CHOOSE(CONTROL!$C$42, 31, 31))/1000000</f>
        <v>4.2625000000000002</v>
      </c>
      <c r="W94" s="57">
        <f>(1000*CHOOSE(CONTROL!$C$42, 0.1146, 0.1146)*CHOOSE(CONTROL!$C$42, 121.5, 121.5)*CHOOSE(CONTROL!$C$42, 31, 31))/1000000</f>
        <v>0.43164089999999994</v>
      </c>
      <c r="X94" s="57">
        <f>(31*0.1790888*245000/1000000)+(31*0.2374*100000/1000000)</f>
        <v>2.0961194359999999</v>
      </c>
      <c r="Y94" s="57"/>
      <c r="Z94" s="14"/>
      <c r="AA94" s="56"/>
      <c r="AB94" s="50">
        <f>(B94*131.881+C94*277.167+D94*79.08+E94*125.872+F94*40+G94*185+H94*0+I94*100+J94*300)/(131.881+277.167+79.08+125.872+0+40+185+100+300)</f>
        <v>5.8985814929782086</v>
      </c>
      <c r="AC94" s="45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5.8154223021582734</v>
      </c>
    </row>
    <row r="95" spans="1:29" ht="15.75" x14ac:dyDescent="0.25">
      <c r="A95" s="13">
        <v>43770</v>
      </c>
      <c r="B95" s="14">
        <f>CHOOSE(CONTROL!$C$42, 6.0162, 6.0162) * CHOOSE(CONTROL!$C$21, $C$9, 100%, $E$9)</f>
        <v>6.0162000000000004</v>
      </c>
      <c r="C95" s="14">
        <f>CHOOSE(CONTROL!$C$42, 6.0213, 6.0213) * CHOOSE(CONTROL!$C$21, $C$9, 100%, $E$9)</f>
        <v>6.0213000000000001</v>
      </c>
      <c r="D95" s="14">
        <f>CHOOSE(CONTROL!$C$42, 6.0955, 6.0955) * CHOOSE(CONTROL!$C$21, $C$9, 100%, $E$9)</f>
        <v>6.0955000000000004</v>
      </c>
      <c r="E95" s="14">
        <f>CHOOSE(CONTROL!$C$42, 6.1296, 6.1296) * CHOOSE(CONTROL!$C$21, $C$9, 100%, $E$9)</f>
        <v>6.1295999999999999</v>
      </c>
      <c r="F95" s="14">
        <f>CHOOSE(CONTROL!$C$42, 6.0283, 6.0283)*CHOOSE(CONTROL!$C$21, $C$9, 100%, $E$9)</f>
        <v>6.0282999999999998</v>
      </c>
      <c r="G95" s="14">
        <f>CHOOSE(CONTROL!$C$42, 6.0449, 6.0449)*CHOOSE(CONTROL!$C$21, $C$9, 100%, $E$9)</f>
        <v>6.0449000000000002</v>
      </c>
      <c r="H95" s="14">
        <f>CHOOSE(CONTROL!$C$42, 6.1188, 6.1188) * CHOOSE(CONTROL!$C$21, $C$9, 100%, $E$9)</f>
        <v>6.1188000000000002</v>
      </c>
      <c r="I95" s="14">
        <f>CHOOSE(CONTROL!$C$42, 6.0594, 6.0594)* CHOOSE(CONTROL!$C$21, $C$9, 100%, $E$9)</f>
        <v>6.0594000000000001</v>
      </c>
      <c r="J95" s="14">
        <f>CHOOSE(CONTROL!$C$42, 6.0213, 6.0213)* CHOOSE(CONTROL!$C$21, $C$9, 100%, $E$9)</f>
        <v>6.0213000000000001</v>
      </c>
      <c r="K95" s="53">
        <f>CHOOSE(CONTROL!$C$42, 6.0555, 6.0555) * CHOOSE(CONTROL!$C$21, $C$9, 100%, $E$9)</f>
        <v>6.0555000000000003</v>
      </c>
      <c r="L95" s="14">
        <f>CHOOSE(CONTROL!$C$42, 6.7058, 6.7058) * CHOOSE(CONTROL!$C$21, $C$9, 100%, $E$9)</f>
        <v>6.7058</v>
      </c>
      <c r="M95" s="14">
        <f>CHOOSE(CONTROL!$C$42, 5.9056, 5.9056) * CHOOSE(CONTROL!$C$21, $C$9, 100%, $E$9)</f>
        <v>5.9055999999999997</v>
      </c>
      <c r="N95" s="14">
        <f>CHOOSE(CONTROL!$C$42, 5.9218, 5.9218) * CHOOSE(CONTROL!$C$21, $C$9, 100%, $E$9)</f>
        <v>5.9218000000000002</v>
      </c>
      <c r="O95" s="14">
        <f>CHOOSE(CONTROL!$C$42, 6.0011, 6.0011) * CHOOSE(CONTROL!$C$21, $C$9, 100%, $E$9)</f>
        <v>6.0011000000000001</v>
      </c>
      <c r="P95" s="14">
        <f>CHOOSE(CONTROL!$C$42, 5.9426, 5.9426) * CHOOSE(CONTROL!$C$21, $C$9, 100%, $E$9)</f>
        <v>5.9425999999999997</v>
      </c>
      <c r="Q95" s="14">
        <f>CHOOSE(CONTROL!$C$42, 6.5958, 6.5958) * CHOOSE(CONTROL!$C$21, $C$9, 100%, $E$9)</f>
        <v>6.5957999999999997</v>
      </c>
      <c r="R95" s="14">
        <f>CHOOSE(CONTROL!$C$42, 7.1993, 7.1993) * CHOOSE(CONTROL!$C$21, $C$9, 100%, $E$9)</f>
        <v>7.1993</v>
      </c>
      <c r="S95" s="14">
        <f>CHOOSE(CONTROL!$C$42, 5.7725, 5.7725) * CHOOSE(CONTROL!$C$21, $C$9, 100%, $E$9)</f>
        <v>5.7725</v>
      </c>
      <c r="T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7">
        <f>(1000*CHOOSE(CONTROL!$C$42, 695, 695)*CHOOSE(CONTROL!$C$42, 0.5599, 0.5599)*CHOOSE(CONTROL!$C$42, 30, 30))/1000000</f>
        <v>11.673914999999997</v>
      </c>
      <c r="V95" s="57">
        <f>(1000*CHOOSE(CONTROL!$C$42, 500, 500)*CHOOSE(CONTROL!$C$42, 0.275, 0.275)*CHOOSE(CONTROL!$C$42, 30, 30))/1000000</f>
        <v>4.125</v>
      </c>
      <c r="W95" s="57">
        <f>(1000*CHOOSE(CONTROL!$C$42, 0.1146, 0.1146)*CHOOSE(CONTROL!$C$42, 121.5, 121.5)*CHOOSE(CONTROL!$C$42, 30, 30))/1000000</f>
        <v>0.417717</v>
      </c>
      <c r="X95" s="57">
        <f>(30*0.1790888*100000/1000000)+(30*0.2374*100000/1000000)</f>
        <v>1.2494664</v>
      </c>
      <c r="Y95" s="57"/>
      <c r="Z95" s="14"/>
      <c r="AA95" s="56"/>
      <c r="AB95" s="50">
        <f>(B95*122.58+C95*297.941+D95*89.177+E95*40.302+F95*40+G95*160+H95*0+I95*100+J95*300)/(122.58+297.941+89.177+40.302+0+40+160+100+300)</f>
        <v>6.03714563652174</v>
      </c>
      <c r="AC95" s="45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5.9551402877697841</v>
      </c>
    </row>
    <row r="96" spans="1:29" ht="15.75" x14ac:dyDescent="0.25">
      <c r="A96" s="13">
        <v>43800</v>
      </c>
      <c r="B96" s="14">
        <f>CHOOSE(CONTROL!$C$42, 6.439, 6.439) * CHOOSE(CONTROL!$C$21, $C$9, 100%, $E$9)</f>
        <v>6.4390000000000001</v>
      </c>
      <c r="C96" s="14">
        <f>CHOOSE(CONTROL!$C$42, 6.444, 6.444) * CHOOSE(CONTROL!$C$21, $C$9, 100%, $E$9)</f>
        <v>6.444</v>
      </c>
      <c r="D96" s="14">
        <f>CHOOSE(CONTROL!$C$42, 6.5182, 6.5182) * CHOOSE(CONTROL!$C$21, $C$9, 100%, $E$9)</f>
        <v>6.5182000000000002</v>
      </c>
      <c r="E96" s="14">
        <f>CHOOSE(CONTROL!$C$42, 6.5523, 6.5523) * CHOOSE(CONTROL!$C$21, $C$9, 100%, $E$9)</f>
        <v>6.5522999999999998</v>
      </c>
      <c r="F96" s="14">
        <f>CHOOSE(CONTROL!$C$42, 6.4532, 6.4532)*CHOOSE(CONTROL!$C$21, $C$9, 100%, $E$9)</f>
        <v>6.4531999999999998</v>
      </c>
      <c r="G96" s="14">
        <f>CHOOSE(CONTROL!$C$42, 6.4704, 6.4704)*CHOOSE(CONTROL!$C$21, $C$9, 100%, $E$9)</f>
        <v>6.4703999999999997</v>
      </c>
      <c r="H96" s="14">
        <f>CHOOSE(CONTROL!$C$42, 6.5415, 6.5415) * CHOOSE(CONTROL!$C$21, $C$9, 100%, $E$9)</f>
        <v>6.5415000000000001</v>
      </c>
      <c r="I96" s="14">
        <f>CHOOSE(CONTROL!$C$42, 6.4834, 6.4834)* CHOOSE(CONTROL!$C$21, $C$9, 100%, $E$9)</f>
        <v>6.4833999999999996</v>
      </c>
      <c r="J96" s="14">
        <f>CHOOSE(CONTROL!$C$42, 6.4462, 6.4462)* CHOOSE(CONTROL!$C$21, $C$9, 100%, $E$9)</f>
        <v>6.4462000000000002</v>
      </c>
      <c r="K96" s="53">
        <f>CHOOSE(CONTROL!$C$42, 6.4796, 6.4796) * CHOOSE(CONTROL!$C$21, $C$9, 100%, $E$9)</f>
        <v>6.4795999999999996</v>
      </c>
      <c r="L96" s="14">
        <f>CHOOSE(CONTROL!$C$42, 7.1285, 7.1285) * CHOOSE(CONTROL!$C$21, $C$9, 100%, $E$9)</f>
        <v>7.1284999999999998</v>
      </c>
      <c r="M96" s="14">
        <f>CHOOSE(CONTROL!$C$42, 6.3218, 6.3218) * CHOOSE(CONTROL!$C$21, $C$9, 100%, $E$9)</f>
        <v>6.3217999999999996</v>
      </c>
      <c r="N96" s="14">
        <f>CHOOSE(CONTROL!$C$42, 6.3386, 6.3386) * CHOOSE(CONTROL!$C$21, $C$9, 100%, $E$9)</f>
        <v>6.3385999999999996</v>
      </c>
      <c r="O96" s="14">
        <f>CHOOSE(CONTROL!$C$42, 6.4152, 6.4152) * CHOOSE(CONTROL!$C$21, $C$9, 100%, $E$9)</f>
        <v>6.4151999999999996</v>
      </c>
      <c r="P96" s="14">
        <f>CHOOSE(CONTROL!$C$42, 6.358, 6.358) * CHOOSE(CONTROL!$C$21, $C$9, 100%, $E$9)</f>
        <v>6.3579999999999997</v>
      </c>
      <c r="Q96" s="14">
        <f>CHOOSE(CONTROL!$C$42, 7.0099, 7.0099) * CHOOSE(CONTROL!$C$21, $C$9, 100%, $E$9)</f>
        <v>7.0099</v>
      </c>
      <c r="R96" s="14">
        <f>CHOOSE(CONTROL!$C$42, 7.6144, 7.6144) * CHOOSE(CONTROL!$C$21, $C$9, 100%, $E$9)</f>
        <v>7.6143999999999998</v>
      </c>
      <c r="S96" s="14">
        <f>CHOOSE(CONTROL!$C$42, 6.1787, 6.1787) * CHOOSE(CONTROL!$C$21, $C$9, 100%, $E$9)</f>
        <v>6.1787000000000001</v>
      </c>
      <c r="T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7">
        <f>(1000*CHOOSE(CONTROL!$C$42, 695, 695)*CHOOSE(CONTROL!$C$42, 0.5599, 0.5599)*CHOOSE(CONTROL!$C$42, 31, 31))/1000000</f>
        <v>12.063045499999998</v>
      </c>
      <c r="V96" s="57">
        <f>(1000*CHOOSE(CONTROL!$C$42, 500, 500)*CHOOSE(CONTROL!$C$42, 0.275, 0.275)*CHOOSE(CONTROL!$C$42, 31, 31))/1000000</f>
        <v>4.2625000000000002</v>
      </c>
      <c r="W96" s="57">
        <f>(1000*CHOOSE(CONTROL!$C$42, 0.1146, 0.1146)*CHOOSE(CONTROL!$C$42, 121.5, 121.5)*CHOOSE(CONTROL!$C$42, 31, 31))/1000000</f>
        <v>0.43164089999999994</v>
      </c>
      <c r="X96" s="57">
        <f>(31*0.1790888*100000/1000000)+(31*0.2374*100000/1000000)</f>
        <v>1.2911152800000001</v>
      </c>
      <c r="Y96" s="57"/>
      <c r="Z96" s="14"/>
      <c r="AA96" s="56"/>
      <c r="AB96" s="50">
        <f>(B96*122.58+C96*297.941+D96*89.177+E96*40.302+F96*40+G96*160+H96*0+I96*100+J96*300)/(122.58+297.941+89.177+40.302+0+40+160+100+300)</f>
        <v>6.4610093391304346</v>
      </c>
      <c r="AC96" s="45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6.3703079136690643</v>
      </c>
    </row>
    <row r="97" spans="1:29" ht="15.75" x14ac:dyDescent="0.25">
      <c r="A97" s="13">
        <v>43831</v>
      </c>
      <c r="B97" s="14">
        <f>CHOOSE(CONTROL!$C$42, 7.1199, 7.1199) * CHOOSE(CONTROL!$C$21, $C$9, 100%, $E$9)</f>
        <v>7.1199000000000003</v>
      </c>
      <c r="C97" s="14">
        <f>CHOOSE(CONTROL!$C$42, 7.125, 7.125) * CHOOSE(CONTROL!$C$21, $C$9, 100%, $E$9)</f>
        <v>7.125</v>
      </c>
      <c r="D97" s="14">
        <f>CHOOSE(CONTROL!$C$42, 7.2018, 7.2018) * CHOOSE(CONTROL!$C$21, $C$9, 100%, $E$9)</f>
        <v>7.2018000000000004</v>
      </c>
      <c r="E97" s="14">
        <f>CHOOSE(CONTROL!$C$42, 7.2359, 7.2359) * CHOOSE(CONTROL!$C$21, $C$9, 100%, $E$9)</f>
        <v>7.2359</v>
      </c>
      <c r="F97" s="14">
        <f>CHOOSE(CONTROL!$C$42, 7.1201, 7.1201)*CHOOSE(CONTROL!$C$21, $C$9, 100%, $E$9)</f>
        <v>7.1200999999999999</v>
      </c>
      <c r="G97" s="14">
        <f>CHOOSE(CONTROL!$C$42, 7.1363, 7.1363)*CHOOSE(CONTROL!$C$21, $C$9, 100%, $E$9)</f>
        <v>7.1363000000000003</v>
      </c>
      <c r="H97" s="14">
        <f>CHOOSE(CONTROL!$C$42, 7.2251, 7.2251) * CHOOSE(CONTROL!$C$21, $C$9, 100%, $E$9)</f>
        <v>7.2251000000000003</v>
      </c>
      <c r="I97" s="14">
        <f>CHOOSE(CONTROL!$C$42, 7.1603, 7.1603)* CHOOSE(CONTROL!$C$21, $C$9, 100%, $E$9)</f>
        <v>7.1603000000000003</v>
      </c>
      <c r="J97" s="14">
        <f>CHOOSE(CONTROL!$C$42, 7.1131, 7.1131)* CHOOSE(CONTROL!$C$21, $C$9, 100%, $E$9)</f>
        <v>7.1131000000000002</v>
      </c>
      <c r="K97" s="53">
        <f>CHOOSE(CONTROL!$C$42, 7.1564, 7.1564) * CHOOSE(CONTROL!$C$21, $C$9, 100%, $E$9)</f>
        <v>7.1563999999999997</v>
      </c>
      <c r="L97" s="14">
        <f>CHOOSE(CONTROL!$C$42, 7.8121, 7.8121) * CHOOSE(CONTROL!$C$21, $C$9, 100%, $E$9)</f>
        <v>7.8121</v>
      </c>
      <c r="M97" s="14">
        <f>CHOOSE(CONTROL!$C$42, 6.9751, 6.9751) * CHOOSE(CONTROL!$C$21, $C$9, 100%, $E$9)</f>
        <v>6.9751000000000003</v>
      </c>
      <c r="N97" s="14">
        <f>CHOOSE(CONTROL!$C$42, 6.991, 6.991) * CHOOSE(CONTROL!$C$21, $C$9, 100%, $E$9)</f>
        <v>6.9909999999999997</v>
      </c>
      <c r="O97" s="14">
        <f>CHOOSE(CONTROL!$C$42, 7.0848, 7.0848) * CHOOSE(CONTROL!$C$21, $C$9, 100%, $E$9)</f>
        <v>7.0848000000000004</v>
      </c>
      <c r="P97" s="14">
        <f>CHOOSE(CONTROL!$C$42, 7.0209, 7.0209) * CHOOSE(CONTROL!$C$21, $C$9, 100%, $E$9)</f>
        <v>7.0209000000000001</v>
      </c>
      <c r="Q97" s="14">
        <f>CHOOSE(CONTROL!$C$42, 7.6795, 7.6795) * CHOOSE(CONTROL!$C$21, $C$9, 100%, $E$9)</f>
        <v>7.6795</v>
      </c>
      <c r="R97" s="14">
        <f>CHOOSE(CONTROL!$C$42, 8.2857, 8.2857) * CHOOSE(CONTROL!$C$21, $C$9, 100%, $E$9)</f>
        <v>8.2857000000000003</v>
      </c>
      <c r="S97" s="14">
        <f>CHOOSE(CONTROL!$C$42, 6.833, 6.833) * CHOOSE(CONTROL!$C$21, $C$9, 100%, $E$9)</f>
        <v>6.8330000000000002</v>
      </c>
      <c r="T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7">
        <f>(1000*CHOOSE(CONTROL!$C$42, 695, 695)*CHOOSE(CONTROL!$C$42, 0.5599, 0.5599)*CHOOSE(CONTROL!$C$42, 31, 31))/1000000</f>
        <v>12.063045499999998</v>
      </c>
      <c r="V97" s="57">
        <f>(1000*CHOOSE(CONTROL!$C$42, 500, 500)*CHOOSE(CONTROL!$C$42, 0.275, 0.275)*CHOOSE(CONTROL!$C$42, 31, 31))/1000000</f>
        <v>4.2625000000000002</v>
      </c>
      <c r="W97" s="57">
        <f>(1000*CHOOSE(CONTROL!$C$42, 0.1146, 0.1146)*CHOOSE(CONTROL!$C$42, 121.5, 121.5)*CHOOSE(CONTROL!$C$42, 31, 31))/1000000</f>
        <v>0.43164089999999994</v>
      </c>
      <c r="X97" s="57">
        <f>(31*0.1790888*100000/1000000)+(31*0.2374*100000/1000000)</f>
        <v>1.2911152800000001</v>
      </c>
      <c r="Y97" s="57"/>
      <c r="Z97" s="14"/>
      <c r="AA97" s="56"/>
      <c r="AB97" s="50">
        <f>(B97*122.58+C97*297.941+D97*89.177+E97*40.302+F97*40+G97*160+H97*0+I97*100+J97*300)/(122.58+297.941+89.177+40.302+0+40+160+100+300)</f>
        <v>7.1356653281739133</v>
      </c>
      <c r="AC97" s="45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7.0323251798561159</v>
      </c>
    </row>
    <row r="98" spans="1:29" ht="15.75" x14ac:dyDescent="0.25">
      <c r="A98" s="13">
        <v>43862</v>
      </c>
      <c r="B98" s="14">
        <f>CHOOSE(CONTROL!$C$42, 7.2614, 7.2614) * CHOOSE(CONTROL!$C$21, $C$9, 100%, $E$9)</f>
        <v>7.2614000000000001</v>
      </c>
      <c r="C98" s="14">
        <f>CHOOSE(CONTROL!$C$42, 7.2665, 7.2665) * CHOOSE(CONTROL!$C$21, $C$9, 100%, $E$9)</f>
        <v>7.2664999999999997</v>
      </c>
      <c r="D98" s="14">
        <f>CHOOSE(CONTROL!$C$42, 7.3433, 7.3433) * CHOOSE(CONTROL!$C$21, $C$9, 100%, $E$9)</f>
        <v>7.3433000000000002</v>
      </c>
      <c r="E98" s="14">
        <f>CHOOSE(CONTROL!$C$42, 7.3774, 7.3774) * CHOOSE(CONTROL!$C$21, $C$9, 100%, $E$9)</f>
        <v>7.3773999999999997</v>
      </c>
      <c r="F98" s="14">
        <f>CHOOSE(CONTROL!$C$42, 7.2617, 7.2617)*CHOOSE(CONTROL!$C$21, $C$9, 100%, $E$9)</f>
        <v>7.2617000000000003</v>
      </c>
      <c r="G98" s="14">
        <f>CHOOSE(CONTROL!$C$42, 7.2779, 7.2779)*CHOOSE(CONTROL!$C$21, $C$9, 100%, $E$9)</f>
        <v>7.2778999999999998</v>
      </c>
      <c r="H98" s="14">
        <f>CHOOSE(CONTROL!$C$42, 7.3666, 7.3666) * CHOOSE(CONTROL!$C$21, $C$9, 100%, $E$9)</f>
        <v>7.3666</v>
      </c>
      <c r="I98" s="14">
        <f>CHOOSE(CONTROL!$C$42, 7.3022, 7.3022)* CHOOSE(CONTROL!$C$21, $C$9, 100%, $E$9)</f>
        <v>7.3022</v>
      </c>
      <c r="J98" s="14">
        <f>CHOOSE(CONTROL!$C$42, 7.2547, 7.2547)* CHOOSE(CONTROL!$C$21, $C$9, 100%, $E$9)</f>
        <v>7.2546999999999997</v>
      </c>
      <c r="K98" s="53">
        <f>CHOOSE(CONTROL!$C$42, 7.2983, 7.2983) * CHOOSE(CONTROL!$C$21, $C$9, 100%, $E$9)</f>
        <v>7.2983000000000002</v>
      </c>
      <c r="L98" s="14">
        <f>CHOOSE(CONTROL!$C$42, 7.9536, 7.9536) * CHOOSE(CONTROL!$C$21, $C$9, 100%, $E$9)</f>
        <v>7.9535999999999998</v>
      </c>
      <c r="M98" s="14">
        <f>CHOOSE(CONTROL!$C$42, 7.1137, 7.1137) * CHOOSE(CONTROL!$C$21, $C$9, 100%, $E$9)</f>
        <v>7.1136999999999997</v>
      </c>
      <c r="N98" s="14">
        <f>CHOOSE(CONTROL!$C$42, 7.1296, 7.1296) * CHOOSE(CONTROL!$C$21, $C$9, 100%, $E$9)</f>
        <v>7.1295999999999999</v>
      </c>
      <c r="O98" s="14">
        <f>CHOOSE(CONTROL!$C$42, 7.2233, 7.2233) * CHOOSE(CONTROL!$C$21, $C$9, 100%, $E$9)</f>
        <v>7.2233000000000001</v>
      </c>
      <c r="P98" s="14">
        <f>CHOOSE(CONTROL!$C$42, 7.1599, 7.1599) * CHOOSE(CONTROL!$C$21, $C$9, 100%, $E$9)</f>
        <v>7.1599000000000004</v>
      </c>
      <c r="Q98" s="14">
        <f>CHOOSE(CONTROL!$C$42, 7.818, 7.818) * CHOOSE(CONTROL!$C$21, $C$9, 100%, $E$9)</f>
        <v>7.8179999999999996</v>
      </c>
      <c r="R98" s="14">
        <f>CHOOSE(CONTROL!$C$42, 8.4246, 8.4246) * CHOOSE(CONTROL!$C$21, $C$9, 100%, $E$9)</f>
        <v>8.4245999999999999</v>
      </c>
      <c r="S98" s="14">
        <f>CHOOSE(CONTROL!$C$42, 6.9689, 6.9689) * CHOOSE(CONTROL!$C$21, $C$9, 100%, $E$9)</f>
        <v>6.9688999999999997</v>
      </c>
      <c r="T9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7">
        <f>(1000*CHOOSE(CONTROL!$C$42, 695, 695)*CHOOSE(CONTROL!$C$42, 0.5599, 0.5599)*CHOOSE(CONTROL!$C$42, 29, 29))/1000000</f>
        <v>11.284784499999999</v>
      </c>
      <c r="V98" s="57">
        <f>(1000*CHOOSE(CONTROL!$C$42, 500, 500)*CHOOSE(CONTROL!$C$42, 0.275, 0.275)*CHOOSE(CONTROL!$C$42, 29, 29))/1000000</f>
        <v>3.9874999999999998</v>
      </c>
      <c r="W98" s="57">
        <f>(1000*CHOOSE(CONTROL!$C$42, 0.1146, 0.1146)*CHOOSE(CONTROL!$C$42, 121.5, 121.5)*CHOOSE(CONTROL!$C$42, 29, 29))/1000000</f>
        <v>0.40379309999999996</v>
      </c>
      <c r="X98" s="57">
        <f>(29*0.1790888*100000/1000000)+(29*0.2374*100000/1000000)</f>
        <v>1.2078175199999999</v>
      </c>
      <c r="Y98" s="57"/>
      <c r="Z98" s="14"/>
      <c r="AA98" s="56"/>
      <c r="AB98" s="50">
        <f>(B98*122.58+C98*297.941+D98*89.177+E98*40.302+F98*40+G98*160+H98*0+I98*100+J98*300)/(122.58+297.941+89.177+40.302+0+40+160+100+300)</f>
        <v>7.2772435890434783</v>
      </c>
      <c r="AC98" s="45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7.1709374100719421</v>
      </c>
    </row>
    <row r="99" spans="1:29" ht="15.75" x14ac:dyDescent="0.25">
      <c r="A99" s="13">
        <v>43891</v>
      </c>
      <c r="B99" s="14">
        <f>CHOOSE(CONTROL!$C$42, 7.07, 7.07) * CHOOSE(CONTROL!$C$21, $C$9, 100%, $E$9)</f>
        <v>7.07</v>
      </c>
      <c r="C99" s="14">
        <f>CHOOSE(CONTROL!$C$42, 7.0751, 7.0751) * CHOOSE(CONTROL!$C$21, $C$9, 100%, $E$9)</f>
        <v>7.0750999999999999</v>
      </c>
      <c r="D99" s="14">
        <f>CHOOSE(CONTROL!$C$42, 7.1519, 7.1519) * CHOOSE(CONTROL!$C$21, $C$9, 100%, $E$9)</f>
        <v>7.1519000000000004</v>
      </c>
      <c r="E99" s="14">
        <f>CHOOSE(CONTROL!$C$42, 7.186, 7.186) * CHOOSE(CONTROL!$C$21, $C$9, 100%, $E$9)</f>
        <v>7.1859999999999999</v>
      </c>
      <c r="F99" s="14">
        <f>CHOOSE(CONTROL!$C$42, 7.0698, 7.0698)*CHOOSE(CONTROL!$C$21, $C$9, 100%, $E$9)</f>
        <v>7.0697999999999999</v>
      </c>
      <c r="G99" s="14">
        <f>CHOOSE(CONTROL!$C$42, 7.0859, 7.0859)*CHOOSE(CONTROL!$C$21, $C$9, 100%, $E$9)</f>
        <v>7.0858999999999996</v>
      </c>
      <c r="H99" s="14">
        <f>CHOOSE(CONTROL!$C$42, 7.1752, 7.1752) * CHOOSE(CONTROL!$C$21, $C$9, 100%, $E$9)</f>
        <v>7.1752000000000002</v>
      </c>
      <c r="I99" s="14">
        <f>CHOOSE(CONTROL!$C$42, 7.1102, 7.1102)* CHOOSE(CONTROL!$C$21, $C$9, 100%, $E$9)</f>
        <v>7.1101999999999999</v>
      </c>
      <c r="J99" s="14">
        <f>CHOOSE(CONTROL!$C$42, 7.0628, 7.0628)* CHOOSE(CONTROL!$C$21, $C$9, 100%, $E$9)</f>
        <v>7.0628000000000002</v>
      </c>
      <c r="K99" s="53">
        <f>CHOOSE(CONTROL!$C$42, 7.1063, 7.1063) * CHOOSE(CONTROL!$C$21, $C$9, 100%, $E$9)</f>
        <v>7.1063000000000001</v>
      </c>
      <c r="L99" s="14">
        <f>CHOOSE(CONTROL!$C$42, 7.7622, 7.7622) * CHOOSE(CONTROL!$C$21, $C$9, 100%, $E$9)</f>
        <v>7.7622</v>
      </c>
      <c r="M99" s="14">
        <f>CHOOSE(CONTROL!$C$42, 6.9258, 6.9258) * CHOOSE(CONTROL!$C$21, $C$9, 100%, $E$9)</f>
        <v>6.9257999999999997</v>
      </c>
      <c r="N99" s="14">
        <f>CHOOSE(CONTROL!$C$42, 6.9416, 6.9416) * CHOOSE(CONTROL!$C$21, $C$9, 100%, $E$9)</f>
        <v>6.9416000000000002</v>
      </c>
      <c r="O99" s="14">
        <f>CHOOSE(CONTROL!$C$42, 7.0359, 7.0359) * CHOOSE(CONTROL!$C$21, $C$9, 100%, $E$9)</f>
        <v>7.0358999999999998</v>
      </c>
      <c r="P99" s="14">
        <f>CHOOSE(CONTROL!$C$42, 6.9719, 6.9719) * CHOOSE(CONTROL!$C$21, $C$9, 100%, $E$9)</f>
        <v>6.9718999999999998</v>
      </c>
      <c r="Q99" s="14">
        <f>CHOOSE(CONTROL!$C$42, 7.6306, 7.6306) * CHOOSE(CONTROL!$C$21, $C$9, 100%, $E$9)</f>
        <v>7.6306000000000003</v>
      </c>
      <c r="R99" s="14">
        <f>CHOOSE(CONTROL!$C$42, 8.2367, 8.2367) * CHOOSE(CONTROL!$C$21, $C$9, 100%, $E$9)</f>
        <v>8.2367000000000008</v>
      </c>
      <c r="S99" s="14">
        <f>CHOOSE(CONTROL!$C$42, 6.785, 6.785) * CHOOSE(CONTROL!$C$21, $C$9, 100%, $E$9)</f>
        <v>6.7850000000000001</v>
      </c>
      <c r="T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7">
        <f>(1000*CHOOSE(CONTROL!$C$42, 695, 695)*CHOOSE(CONTROL!$C$42, 0.5599, 0.5599)*CHOOSE(CONTROL!$C$42, 31, 31))/1000000</f>
        <v>12.063045499999998</v>
      </c>
      <c r="V99" s="57">
        <f>(1000*CHOOSE(CONTROL!$C$42, 500, 500)*CHOOSE(CONTROL!$C$42, 0.275, 0.275)*CHOOSE(CONTROL!$C$42, 31, 31))/1000000</f>
        <v>4.2625000000000002</v>
      </c>
      <c r="W99" s="57">
        <f>(1000*CHOOSE(CONTROL!$C$42, 0.1146, 0.1146)*CHOOSE(CONTROL!$C$42, 121.5, 121.5)*CHOOSE(CONTROL!$C$42, 31, 31))/1000000</f>
        <v>0.43164089999999994</v>
      </c>
      <c r="X99" s="57">
        <f>(31*0.1790888*100000/1000000)+(31*0.2374*100000/1000000)</f>
        <v>1.2911152800000001</v>
      </c>
      <c r="Y99" s="57"/>
      <c r="Z99" s="14"/>
      <c r="AA99" s="56"/>
      <c r="AB99" s="50">
        <f>(B99*122.58+C99*297.941+D99*89.177+E99*40.302+F99*40+G99*160+H99*0+I99*100+J99*300)/(122.58+297.941+89.177+40.302+0+40+160+100+300)</f>
        <v>7.0855601107826098</v>
      </c>
      <c r="AC99" s="45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6.9832438848920857</v>
      </c>
    </row>
    <row r="100" spans="1:29" ht="15.75" x14ac:dyDescent="0.25">
      <c r="A100" s="13">
        <v>43922</v>
      </c>
      <c r="B100" s="14">
        <f>CHOOSE(CONTROL!$C$42, 7.0646, 7.0646) * CHOOSE(CONTROL!$C$21, $C$9, 100%, $E$9)</f>
        <v>7.0646000000000004</v>
      </c>
      <c r="C100" s="14">
        <f>CHOOSE(CONTROL!$C$42, 7.0691, 7.0691) * CHOOSE(CONTROL!$C$21, $C$9, 100%, $E$9)</f>
        <v>7.0690999999999997</v>
      </c>
      <c r="D100" s="14">
        <f>CHOOSE(CONTROL!$C$42, 7.3058, 7.3058) * CHOOSE(CONTROL!$C$21, $C$9, 100%, $E$9)</f>
        <v>7.3057999999999996</v>
      </c>
      <c r="E100" s="14">
        <f>CHOOSE(CONTROL!$C$42, 7.338, 7.338) * CHOOSE(CONTROL!$C$21, $C$9, 100%, $E$9)</f>
        <v>7.3380000000000001</v>
      </c>
      <c r="F100" s="14">
        <f>CHOOSE(CONTROL!$C$42, 7.0626, 7.0626)*CHOOSE(CONTROL!$C$21, $C$9, 100%, $E$9)</f>
        <v>7.0625999999999998</v>
      </c>
      <c r="G100" s="14">
        <f>CHOOSE(CONTROL!$C$42, 7.0784, 7.0784)*CHOOSE(CONTROL!$C$21, $C$9, 100%, $E$9)</f>
        <v>7.0784000000000002</v>
      </c>
      <c r="H100" s="14">
        <f>CHOOSE(CONTROL!$C$42, 7.3277, 7.3277) * CHOOSE(CONTROL!$C$21, $C$9, 100%, $E$9)</f>
        <v>7.3277000000000001</v>
      </c>
      <c r="I100" s="14">
        <f>CHOOSE(CONTROL!$C$42, 7.104, 7.104)* CHOOSE(CONTROL!$C$21, $C$9, 100%, $E$9)</f>
        <v>7.1040000000000001</v>
      </c>
      <c r="J100" s="14">
        <f>CHOOSE(CONTROL!$C$42, 7.0556, 7.0556)* CHOOSE(CONTROL!$C$21, $C$9, 100%, $E$9)</f>
        <v>7.0556000000000001</v>
      </c>
      <c r="K100" s="53">
        <f>CHOOSE(CONTROL!$C$42, 7.1001, 7.1001) * CHOOSE(CONTROL!$C$21, $C$9, 100%, $E$9)</f>
        <v>7.1001000000000003</v>
      </c>
      <c r="L100" s="14">
        <f>CHOOSE(CONTROL!$C$42, 7.9147, 7.9147) * CHOOSE(CONTROL!$C$21, $C$9, 100%, $E$9)</f>
        <v>7.9146999999999998</v>
      </c>
      <c r="M100" s="14">
        <f>CHOOSE(CONTROL!$C$42, 6.9187, 6.9187) * CHOOSE(CONTROL!$C$21, $C$9, 100%, $E$9)</f>
        <v>6.9187000000000003</v>
      </c>
      <c r="N100" s="14">
        <f>CHOOSE(CONTROL!$C$42, 6.9342, 6.9342) * CHOOSE(CONTROL!$C$21, $C$9, 100%, $E$9)</f>
        <v>6.9341999999999997</v>
      </c>
      <c r="O100" s="14">
        <f>CHOOSE(CONTROL!$C$42, 7.1853, 7.1853) * CHOOSE(CONTROL!$C$21, $C$9, 100%, $E$9)</f>
        <v>7.1852999999999998</v>
      </c>
      <c r="P100" s="14">
        <f>CHOOSE(CONTROL!$C$42, 6.9658, 6.9658) * CHOOSE(CONTROL!$C$21, $C$9, 100%, $E$9)</f>
        <v>6.9657999999999998</v>
      </c>
      <c r="Q100" s="14">
        <f>CHOOSE(CONTROL!$C$42, 7.78, 7.78) * CHOOSE(CONTROL!$C$21, $C$9, 100%, $E$9)</f>
        <v>7.78</v>
      </c>
      <c r="R100" s="14">
        <f>CHOOSE(CONTROL!$C$42, 8.3864, 8.3864) * CHOOSE(CONTROL!$C$21, $C$9, 100%, $E$9)</f>
        <v>8.3864000000000001</v>
      </c>
      <c r="S100" s="14">
        <f>CHOOSE(CONTROL!$C$42, 6.7791, 6.7791) * CHOOSE(CONTROL!$C$21, $C$9, 100%, $E$9)</f>
        <v>6.7790999999999997</v>
      </c>
      <c r="T1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7">
        <f>(1000*CHOOSE(CONTROL!$C$42, 695, 695)*CHOOSE(CONTROL!$C$42, 0.5599, 0.5599)*CHOOSE(CONTROL!$C$42, 30, 30))/1000000</f>
        <v>11.673914999999997</v>
      </c>
      <c r="V100" s="57">
        <f>(1000*CHOOSE(CONTROL!$C$42, 500, 500)*CHOOSE(CONTROL!$C$42, 0.275, 0.275)*CHOOSE(CONTROL!$C$42, 30, 30))/1000000</f>
        <v>4.125</v>
      </c>
      <c r="W100" s="57">
        <f>(1000*CHOOSE(CONTROL!$C$42, 0.1146, 0.1146)*CHOOSE(CONTROL!$C$42, 121.5, 121.5)*CHOOSE(CONTROL!$C$42, 30, 30))/1000000</f>
        <v>0.417717</v>
      </c>
      <c r="X100" s="57">
        <f>(30*0.1790888*245000/1000000)+(30*0.2374*100000/1000000)</f>
        <v>2.0285026799999999</v>
      </c>
      <c r="Y100" s="57"/>
      <c r="Z100" s="14"/>
      <c r="AA100" s="56"/>
      <c r="AB100" s="50">
        <f>(B100*141.293+C100*267.993+D100*115.016+E100*89.698+F100*40+G100*185+H100*0+I100*100+J100*300)/(141.293+267.993+115.016+89.698+0+40+185+100+300)</f>
        <v>7.1107535600484253</v>
      </c>
      <c r="AC100" s="45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7.0038467625899274</v>
      </c>
    </row>
    <row r="101" spans="1:29" ht="15.75" x14ac:dyDescent="0.25">
      <c r="A101" s="13">
        <v>43952</v>
      </c>
      <c r="B101" s="14">
        <f>CHOOSE(CONTROL!$C$42, 7.1429, 7.1429) * CHOOSE(CONTROL!$C$21, $C$9, 100%, $E$9)</f>
        <v>7.1429</v>
      </c>
      <c r="C101" s="14">
        <f>CHOOSE(CONTROL!$C$42, 7.151, 7.151) * CHOOSE(CONTROL!$C$21, $C$9, 100%, $E$9)</f>
        <v>7.1509999999999998</v>
      </c>
      <c r="D101" s="14">
        <f>CHOOSE(CONTROL!$C$42, 7.3846, 7.3846) * CHOOSE(CONTROL!$C$21, $C$9, 100%, $E$9)</f>
        <v>7.3845999999999998</v>
      </c>
      <c r="E101" s="14">
        <f>CHOOSE(CONTROL!$C$42, 7.416, 7.416) * CHOOSE(CONTROL!$C$21, $C$9, 100%, $E$9)</f>
        <v>7.4160000000000004</v>
      </c>
      <c r="F101" s="14">
        <f>CHOOSE(CONTROL!$C$42, 7.1397, 7.1397)*CHOOSE(CONTROL!$C$21, $C$9, 100%, $E$9)</f>
        <v>7.1397000000000004</v>
      </c>
      <c r="G101" s="14">
        <f>CHOOSE(CONTROL!$C$42, 7.1561, 7.1561)*CHOOSE(CONTROL!$C$21, $C$9, 100%, $E$9)</f>
        <v>7.1561000000000003</v>
      </c>
      <c r="H101" s="14">
        <f>CHOOSE(CONTROL!$C$42, 7.4046, 7.4046) * CHOOSE(CONTROL!$C$21, $C$9, 100%, $E$9)</f>
        <v>7.4046000000000003</v>
      </c>
      <c r="I101" s="14">
        <f>CHOOSE(CONTROL!$C$42, 7.1812, 7.1812)* CHOOSE(CONTROL!$C$21, $C$9, 100%, $E$9)</f>
        <v>7.1811999999999996</v>
      </c>
      <c r="J101" s="14">
        <f>CHOOSE(CONTROL!$C$42, 7.1327, 7.1327)* CHOOSE(CONTROL!$C$21, $C$9, 100%, $E$9)</f>
        <v>7.1326999999999998</v>
      </c>
      <c r="K101" s="53">
        <f>CHOOSE(CONTROL!$C$42, 7.1773, 7.1773) * CHOOSE(CONTROL!$C$21, $C$9, 100%, $E$9)</f>
        <v>7.1772999999999998</v>
      </c>
      <c r="L101" s="14">
        <f>CHOOSE(CONTROL!$C$42, 7.9916, 7.9916) * CHOOSE(CONTROL!$C$21, $C$9, 100%, $E$9)</f>
        <v>7.9916</v>
      </c>
      <c r="M101" s="14">
        <f>CHOOSE(CONTROL!$C$42, 6.9943, 6.9943) * CHOOSE(CONTROL!$C$21, $C$9, 100%, $E$9)</f>
        <v>6.9943</v>
      </c>
      <c r="N101" s="14">
        <f>CHOOSE(CONTROL!$C$42, 7.0103, 7.0103) * CHOOSE(CONTROL!$C$21, $C$9, 100%, $E$9)</f>
        <v>7.0103</v>
      </c>
      <c r="O101" s="14">
        <f>CHOOSE(CONTROL!$C$42, 7.2606, 7.2606) * CHOOSE(CONTROL!$C$21, $C$9, 100%, $E$9)</f>
        <v>7.2606000000000002</v>
      </c>
      <c r="P101" s="14">
        <f>CHOOSE(CONTROL!$C$42, 7.0414, 7.0414) * CHOOSE(CONTROL!$C$21, $C$9, 100%, $E$9)</f>
        <v>7.0414000000000003</v>
      </c>
      <c r="Q101" s="14">
        <f>CHOOSE(CONTROL!$C$42, 7.8553, 7.8553) * CHOOSE(CONTROL!$C$21, $C$9, 100%, $E$9)</f>
        <v>7.8552999999999997</v>
      </c>
      <c r="R101" s="14">
        <f>CHOOSE(CONTROL!$C$42, 8.462, 8.462) * CHOOSE(CONTROL!$C$21, $C$9, 100%, $E$9)</f>
        <v>8.4619999999999997</v>
      </c>
      <c r="S101" s="14">
        <f>CHOOSE(CONTROL!$C$42, 6.853, 6.853) * CHOOSE(CONTROL!$C$21, $C$9, 100%, $E$9)</f>
        <v>6.8529999999999998</v>
      </c>
      <c r="T1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7">
        <f>(1000*CHOOSE(CONTROL!$C$42, 695, 695)*CHOOSE(CONTROL!$C$42, 0.5599, 0.5599)*CHOOSE(CONTROL!$C$42, 31, 31))/1000000</f>
        <v>12.063045499999998</v>
      </c>
      <c r="V101" s="57">
        <f>(1000*CHOOSE(CONTROL!$C$42, 500, 500)*CHOOSE(CONTROL!$C$42, 0.275, 0.275)*CHOOSE(CONTROL!$C$42, 31, 31))/1000000</f>
        <v>4.2625000000000002</v>
      </c>
      <c r="W101" s="57">
        <f>(1000*CHOOSE(CONTROL!$C$42, 0.1146, 0.1146)*CHOOSE(CONTROL!$C$42, 121.5, 121.5)*CHOOSE(CONTROL!$C$42, 31, 31))/1000000</f>
        <v>0.43164089999999994</v>
      </c>
      <c r="X101" s="57">
        <f>(31*0.1790888*245000/1000000)+(31*0.2374*100000/1000000)</f>
        <v>2.0961194359999999</v>
      </c>
      <c r="Y101" s="57"/>
      <c r="Z101" s="14"/>
      <c r="AA101" s="56"/>
      <c r="AB101" s="50">
        <f>(B101*194.205+C101*267.466+D101*133.845+E101*53.484+F101*40+G101*185+H101*0+I101*100+J101*300)/(194.205+267.466+133.845+53.484+0+40+185+100+300)</f>
        <v>7.1838790357142859</v>
      </c>
      <c r="AC101" s="45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7.0794776978417264</v>
      </c>
    </row>
    <row r="102" spans="1:29" ht="15.75" x14ac:dyDescent="0.25">
      <c r="A102" s="13">
        <v>43983</v>
      </c>
      <c r="B102" s="14">
        <f>CHOOSE(CONTROL!$C$42, 7.3603, 7.3603) * CHOOSE(CONTROL!$C$21, $C$9, 100%, $E$9)</f>
        <v>7.3602999999999996</v>
      </c>
      <c r="C102" s="14">
        <f>CHOOSE(CONTROL!$C$42, 7.3683, 7.3683) * CHOOSE(CONTROL!$C$21, $C$9, 100%, $E$9)</f>
        <v>7.3682999999999996</v>
      </c>
      <c r="D102" s="14">
        <f>CHOOSE(CONTROL!$C$42, 7.6019, 7.6019) * CHOOSE(CONTROL!$C$21, $C$9, 100%, $E$9)</f>
        <v>7.6018999999999997</v>
      </c>
      <c r="E102" s="14">
        <f>CHOOSE(CONTROL!$C$42, 7.6334, 7.6334) * CHOOSE(CONTROL!$C$21, $C$9, 100%, $E$9)</f>
        <v>7.6334</v>
      </c>
      <c r="F102" s="14">
        <f>CHOOSE(CONTROL!$C$42, 7.3576, 7.3576)*CHOOSE(CONTROL!$C$21, $C$9, 100%, $E$9)</f>
        <v>7.3575999999999997</v>
      </c>
      <c r="G102" s="14">
        <f>CHOOSE(CONTROL!$C$42, 7.374, 7.374)*CHOOSE(CONTROL!$C$21, $C$9, 100%, $E$9)</f>
        <v>7.3739999999999997</v>
      </c>
      <c r="H102" s="14">
        <f>CHOOSE(CONTROL!$C$42, 7.622, 7.622) * CHOOSE(CONTROL!$C$21, $C$9, 100%, $E$9)</f>
        <v>7.6219999999999999</v>
      </c>
      <c r="I102" s="14">
        <f>CHOOSE(CONTROL!$C$42, 7.3992, 7.3992)* CHOOSE(CONTROL!$C$21, $C$9, 100%, $E$9)</f>
        <v>7.3992000000000004</v>
      </c>
      <c r="J102" s="14">
        <f>CHOOSE(CONTROL!$C$42, 7.3506, 7.3506)* CHOOSE(CONTROL!$C$21, $C$9, 100%, $E$9)</f>
        <v>7.3506</v>
      </c>
      <c r="K102" s="53">
        <f>CHOOSE(CONTROL!$C$42, 7.3953, 7.3953) * CHOOSE(CONTROL!$C$21, $C$9, 100%, $E$9)</f>
        <v>7.3952999999999998</v>
      </c>
      <c r="L102" s="14">
        <f>CHOOSE(CONTROL!$C$42, 8.209, 8.209) * CHOOSE(CONTROL!$C$21, $C$9, 100%, $E$9)</f>
        <v>8.2089999999999996</v>
      </c>
      <c r="M102" s="14">
        <f>CHOOSE(CONTROL!$C$42, 7.2076, 7.2076) * CHOOSE(CONTROL!$C$21, $C$9, 100%, $E$9)</f>
        <v>7.2076000000000002</v>
      </c>
      <c r="N102" s="14">
        <f>CHOOSE(CONTROL!$C$42, 7.2238, 7.2238) * CHOOSE(CONTROL!$C$21, $C$9, 100%, $E$9)</f>
        <v>7.2237999999999998</v>
      </c>
      <c r="O102" s="14">
        <f>CHOOSE(CONTROL!$C$42, 7.4735, 7.4735) * CHOOSE(CONTROL!$C$21, $C$9, 100%, $E$9)</f>
        <v>7.4734999999999996</v>
      </c>
      <c r="P102" s="14">
        <f>CHOOSE(CONTROL!$C$42, 7.2549, 7.2549) * CHOOSE(CONTROL!$C$21, $C$9, 100%, $E$9)</f>
        <v>7.2549000000000001</v>
      </c>
      <c r="Q102" s="14">
        <f>CHOOSE(CONTROL!$C$42, 8.0682, 8.0682) * CHOOSE(CONTROL!$C$21, $C$9, 100%, $E$9)</f>
        <v>8.0681999999999992</v>
      </c>
      <c r="R102" s="14">
        <f>CHOOSE(CONTROL!$C$42, 8.6754, 8.6754) * CHOOSE(CONTROL!$C$21, $C$9, 100%, $E$9)</f>
        <v>8.6753999999999998</v>
      </c>
      <c r="S102" s="14">
        <f>CHOOSE(CONTROL!$C$42, 7.0619, 7.0619) * CHOOSE(CONTROL!$C$21, $C$9, 100%, $E$9)</f>
        <v>7.0618999999999996</v>
      </c>
      <c r="T1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7">
        <f>(1000*CHOOSE(CONTROL!$C$42, 695, 695)*CHOOSE(CONTROL!$C$42, 0.5599, 0.5599)*CHOOSE(CONTROL!$C$42, 30, 30))/1000000</f>
        <v>11.673914999999997</v>
      </c>
      <c r="V102" s="57">
        <f>(1000*CHOOSE(CONTROL!$C$42, 500, 500)*CHOOSE(CONTROL!$C$42, 0.275, 0.275)*CHOOSE(CONTROL!$C$42, 30, 30))/1000000</f>
        <v>4.125</v>
      </c>
      <c r="W102" s="57">
        <f>(1000*CHOOSE(CONTROL!$C$42, 0.1146, 0.1146)*CHOOSE(CONTROL!$C$42, 121.5, 121.5)*CHOOSE(CONTROL!$C$42, 30, 30))/1000000</f>
        <v>0.417717</v>
      </c>
      <c r="X102" s="57">
        <f>(30*0.1790888*245000/1000000)+(30*0.2374*100000/1000000)</f>
        <v>2.0285026799999999</v>
      </c>
      <c r="Y102" s="57"/>
      <c r="Z102" s="14"/>
      <c r="AA102" s="56"/>
      <c r="AB102" s="50">
        <f>(B102*194.205+C102*267.466+D102*133.845+E102*53.484+F102*40+G102*185+H102*0+I102*100+J102*300)/(194.205+267.466+133.845+53.484+0+40+185+100+300)</f>
        <v>7.4015006753532182</v>
      </c>
      <c r="AC102" s="45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7.2927402877697842</v>
      </c>
    </row>
    <row r="103" spans="1:29" ht="15.75" x14ac:dyDescent="0.25">
      <c r="A103" s="13">
        <v>44013</v>
      </c>
      <c r="B103" s="14">
        <f>CHOOSE(CONTROL!$C$42, 7.2342, 7.2342) * CHOOSE(CONTROL!$C$21, $C$9, 100%, $E$9)</f>
        <v>7.2342000000000004</v>
      </c>
      <c r="C103" s="14">
        <f>CHOOSE(CONTROL!$C$42, 7.2422, 7.2422) * CHOOSE(CONTROL!$C$21, $C$9, 100%, $E$9)</f>
        <v>7.2422000000000004</v>
      </c>
      <c r="D103" s="14">
        <f>CHOOSE(CONTROL!$C$42, 7.4758, 7.4758) * CHOOSE(CONTROL!$C$21, $C$9, 100%, $E$9)</f>
        <v>7.4757999999999996</v>
      </c>
      <c r="E103" s="14">
        <f>CHOOSE(CONTROL!$C$42, 7.5073, 7.5073) * CHOOSE(CONTROL!$C$21, $C$9, 100%, $E$9)</f>
        <v>7.5072999999999999</v>
      </c>
      <c r="F103" s="14">
        <f>CHOOSE(CONTROL!$C$42, 7.232, 7.232)*CHOOSE(CONTROL!$C$21, $C$9, 100%, $E$9)</f>
        <v>7.2320000000000002</v>
      </c>
      <c r="G103" s="14">
        <f>CHOOSE(CONTROL!$C$42, 7.2486, 7.2486)*CHOOSE(CONTROL!$C$21, $C$9, 100%, $E$9)</f>
        <v>7.2485999999999997</v>
      </c>
      <c r="H103" s="14">
        <f>CHOOSE(CONTROL!$C$42, 7.4959, 7.4959) * CHOOSE(CONTROL!$C$21, $C$9, 100%, $E$9)</f>
        <v>7.4958999999999998</v>
      </c>
      <c r="I103" s="14">
        <f>CHOOSE(CONTROL!$C$42, 7.2727, 7.2727)* CHOOSE(CONTROL!$C$21, $C$9, 100%, $E$9)</f>
        <v>7.2727000000000004</v>
      </c>
      <c r="J103" s="14">
        <f>CHOOSE(CONTROL!$C$42, 7.225, 7.225)* CHOOSE(CONTROL!$C$21, $C$9, 100%, $E$9)</f>
        <v>7.2249999999999996</v>
      </c>
      <c r="K103" s="53">
        <f>CHOOSE(CONTROL!$C$42, 7.2688, 7.2688) * CHOOSE(CONTROL!$C$21, $C$9, 100%, $E$9)</f>
        <v>7.2687999999999997</v>
      </c>
      <c r="L103" s="14">
        <f>CHOOSE(CONTROL!$C$42, 8.0829, 8.0829) * CHOOSE(CONTROL!$C$21, $C$9, 100%, $E$9)</f>
        <v>8.0829000000000004</v>
      </c>
      <c r="M103" s="14">
        <f>CHOOSE(CONTROL!$C$42, 7.0846, 7.0846) * CHOOSE(CONTROL!$C$21, $C$9, 100%, $E$9)</f>
        <v>7.0846</v>
      </c>
      <c r="N103" s="14">
        <f>CHOOSE(CONTROL!$C$42, 7.1009, 7.1009) * CHOOSE(CONTROL!$C$21, $C$9, 100%, $E$9)</f>
        <v>7.1009000000000002</v>
      </c>
      <c r="O103" s="14">
        <f>CHOOSE(CONTROL!$C$42, 7.35, 7.35) * CHOOSE(CONTROL!$C$21, $C$9, 100%, $E$9)</f>
        <v>7.35</v>
      </c>
      <c r="P103" s="14">
        <f>CHOOSE(CONTROL!$C$42, 7.131, 7.131) * CHOOSE(CONTROL!$C$21, $C$9, 100%, $E$9)</f>
        <v>7.1310000000000002</v>
      </c>
      <c r="Q103" s="14">
        <f>CHOOSE(CONTROL!$C$42, 7.9447, 7.9447) * CHOOSE(CONTROL!$C$21, $C$9, 100%, $E$9)</f>
        <v>7.9447000000000001</v>
      </c>
      <c r="R103" s="14">
        <f>CHOOSE(CONTROL!$C$42, 8.5516, 8.5516) * CHOOSE(CONTROL!$C$21, $C$9, 100%, $E$9)</f>
        <v>8.5516000000000005</v>
      </c>
      <c r="S103" s="14">
        <f>CHOOSE(CONTROL!$C$42, 6.9407, 6.9407) * CHOOSE(CONTROL!$C$21, $C$9, 100%, $E$9)</f>
        <v>6.9406999999999996</v>
      </c>
      <c r="T1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7">
        <f>(1000*CHOOSE(CONTROL!$C$42, 695, 695)*CHOOSE(CONTROL!$C$42, 0.5599, 0.5599)*CHOOSE(CONTROL!$C$42, 31, 31))/1000000</f>
        <v>12.063045499999998</v>
      </c>
      <c r="V103" s="57">
        <f>(1000*CHOOSE(CONTROL!$C$42, 500, 500)*CHOOSE(CONTROL!$C$42, 0.275, 0.275)*CHOOSE(CONTROL!$C$42, 31, 31))/1000000</f>
        <v>4.2625000000000002</v>
      </c>
      <c r="W103" s="57">
        <f>(1000*CHOOSE(CONTROL!$C$42, 0.1146, 0.1146)*CHOOSE(CONTROL!$C$42, 121.5, 121.5)*CHOOSE(CONTROL!$C$42, 31, 31))/1000000</f>
        <v>0.43164089999999994</v>
      </c>
      <c r="X103" s="57">
        <f>(31*0.1790888*245000/1000000)+(31*0.2374*100000/1000000)</f>
        <v>2.0961194359999999</v>
      </c>
      <c r="Y103" s="57"/>
      <c r="Z103" s="14"/>
      <c r="AA103" s="56"/>
      <c r="AB103" s="50">
        <f>(B103*194.205+C103*267.466+D103*133.845+E103*53.484+F103*40+G103*185+H103*0+I103*100+J103*300)/(194.205+267.466+133.845+53.484+0+40+185+100+300)</f>
        <v>7.2756043645211941</v>
      </c>
      <c r="AC103" s="45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7.1694935251798571</v>
      </c>
    </row>
    <row r="104" spans="1:29" ht="15.75" x14ac:dyDescent="0.25">
      <c r="A104" s="13">
        <v>44044</v>
      </c>
      <c r="B104" s="14">
        <f>CHOOSE(CONTROL!$C$42, 6.8916, 6.8916) * CHOOSE(CONTROL!$C$21, $C$9, 100%, $E$9)</f>
        <v>6.8916000000000004</v>
      </c>
      <c r="C104" s="14">
        <f>CHOOSE(CONTROL!$C$42, 6.8996, 6.8996) * CHOOSE(CONTROL!$C$21, $C$9, 100%, $E$9)</f>
        <v>6.8996000000000004</v>
      </c>
      <c r="D104" s="14">
        <f>CHOOSE(CONTROL!$C$42, 7.1332, 7.1332) * CHOOSE(CONTROL!$C$21, $C$9, 100%, $E$9)</f>
        <v>7.1332000000000004</v>
      </c>
      <c r="E104" s="14">
        <f>CHOOSE(CONTROL!$C$42, 7.1647, 7.1647) * CHOOSE(CONTROL!$C$21, $C$9, 100%, $E$9)</f>
        <v>7.1646999999999998</v>
      </c>
      <c r="F104" s="14">
        <f>CHOOSE(CONTROL!$C$42, 6.8896, 6.8896)*CHOOSE(CONTROL!$C$21, $C$9, 100%, $E$9)</f>
        <v>6.8895999999999997</v>
      </c>
      <c r="G104" s="14">
        <f>CHOOSE(CONTROL!$C$42, 6.9062, 6.9062)*CHOOSE(CONTROL!$C$21, $C$9, 100%, $E$9)</f>
        <v>6.9062000000000001</v>
      </c>
      <c r="H104" s="14">
        <f>CHOOSE(CONTROL!$C$42, 7.1533, 7.1533) * CHOOSE(CONTROL!$C$21, $C$9, 100%, $E$9)</f>
        <v>7.1532999999999998</v>
      </c>
      <c r="I104" s="14">
        <f>CHOOSE(CONTROL!$C$42, 6.9291, 6.9291)* CHOOSE(CONTROL!$C$21, $C$9, 100%, $E$9)</f>
        <v>6.9291</v>
      </c>
      <c r="J104" s="14">
        <f>CHOOSE(CONTROL!$C$42, 6.8826, 6.8826)* CHOOSE(CONTROL!$C$21, $C$9, 100%, $E$9)</f>
        <v>6.8826000000000001</v>
      </c>
      <c r="K104" s="53">
        <f>CHOOSE(CONTROL!$C$42, 6.9252, 6.9252) * CHOOSE(CONTROL!$C$21, $C$9, 100%, $E$9)</f>
        <v>6.9252000000000002</v>
      </c>
      <c r="L104" s="14">
        <f>CHOOSE(CONTROL!$C$42, 7.7403, 7.7403) * CHOOSE(CONTROL!$C$21, $C$9, 100%, $E$9)</f>
        <v>7.7403000000000004</v>
      </c>
      <c r="M104" s="14">
        <f>CHOOSE(CONTROL!$C$42, 6.7493, 6.7493) * CHOOSE(CONTROL!$C$21, $C$9, 100%, $E$9)</f>
        <v>6.7492999999999999</v>
      </c>
      <c r="N104" s="14">
        <f>CHOOSE(CONTROL!$C$42, 6.7656, 6.7656) * CHOOSE(CONTROL!$C$21, $C$9, 100%, $E$9)</f>
        <v>6.7656000000000001</v>
      </c>
      <c r="O104" s="14">
        <f>CHOOSE(CONTROL!$C$42, 7.0144, 7.0144) * CHOOSE(CONTROL!$C$21, $C$9, 100%, $E$9)</f>
        <v>7.0144000000000002</v>
      </c>
      <c r="P104" s="14">
        <f>CHOOSE(CONTROL!$C$42, 6.7944, 6.7944) * CHOOSE(CONTROL!$C$21, $C$9, 100%, $E$9)</f>
        <v>6.7944000000000004</v>
      </c>
      <c r="Q104" s="14">
        <f>CHOOSE(CONTROL!$C$42, 7.6091, 7.6091) * CHOOSE(CONTROL!$C$21, $C$9, 100%, $E$9)</f>
        <v>7.6090999999999998</v>
      </c>
      <c r="R104" s="14">
        <f>CHOOSE(CONTROL!$C$42, 8.2152, 8.2152) * CHOOSE(CONTROL!$C$21, $C$9, 100%, $E$9)</f>
        <v>8.2151999999999994</v>
      </c>
      <c r="S104" s="14">
        <f>CHOOSE(CONTROL!$C$42, 6.6115, 6.6115) * CHOOSE(CONTROL!$C$21, $C$9, 100%, $E$9)</f>
        <v>6.6115000000000004</v>
      </c>
      <c r="T1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7">
        <f>(1000*CHOOSE(CONTROL!$C$42, 695, 695)*CHOOSE(CONTROL!$C$42, 0.5599, 0.5599)*CHOOSE(CONTROL!$C$42, 31, 31))/1000000</f>
        <v>12.063045499999998</v>
      </c>
      <c r="V104" s="57">
        <f>(1000*CHOOSE(CONTROL!$C$42, 500, 500)*CHOOSE(CONTROL!$C$42, 0.275, 0.275)*CHOOSE(CONTROL!$C$42, 31, 31))/1000000</f>
        <v>4.2625000000000002</v>
      </c>
      <c r="W104" s="57">
        <f>(1000*CHOOSE(CONTROL!$C$42, 0.1146, 0.1146)*CHOOSE(CONTROL!$C$42, 121.5, 121.5)*CHOOSE(CONTROL!$C$42, 31, 31))/1000000</f>
        <v>0.43164089999999994</v>
      </c>
      <c r="X104" s="57">
        <f>(31*0.1790888*245000/1000000)+(31*0.2374*100000/1000000)</f>
        <v>2.0961194359999999</v>
      </c>
      <c r="Y104" s="57"/>
      <c r="Z104" s="14"/>
      <c r="AA104" s="56"/>
      <c r="AB104" s="50">
        <f>(B104*194.205+C104*267.466+D104*133.845+E104*53.484+F104*40+G104*185+H104*0+I104*100+J104*300)/(194.205+267.466+133.845+53.484+0+40+185+100+300)</f>
        <v>6.933008289167975</v>
      </c>
      <c r="AC104" s="45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6.8339223021582738</v>
      </c>
    </row>
    <row r="105" spans="1:29" ht="15.75" x14ac:dyDescent="0.25">
      <c r="A105" s="13">
        <v>44075</v>
      </c>
      <c r="B105" s="14">
        <f>CHOOSE(CONTROL!$C$42, 6.4677, 6.4677) * CHOOSE(CONTROL!$C$21, $C$9, 100%, $E$9)</f>
        <v>6.4676999999999998</v>
      </c>
      <c r="C105" s="14">
        <f>CHOOSE(CONTROL!$C$42, 6.4757, 6.4757) * CHOOSE(CONTROL!$C$21, $C$9, 100%, $E$9)</f>
        <v>6.4756999999999998</v>
      </c>
      <c r="D105" s="14">
        <f>CHOOSE(CONTROL!$C$42, 6.7093, 6.7093) * CHOOSE(CONTROL!$C$21, $C$9, 100%, $E$9)</f>
        <v>6.7092999999999998</v>
      </c>
      <c r="E105" s="14">
        <f>CHOOSE(CONTROL!$C$42, 6.7408, 6.7408) * CHOOSE(CONTROL!$C$21, $C$9, 100%, $E$9)</f>
        <v>6.7408000000000001</v>
      </c>
      <c r="F105" s="14">
        <f>CHOOSE(CONTROL!$C$42, 6.4657, 6.4657)*CHOOSE(CONTROL!$C$21, $C$9, 100%, $E$9)</f>
        <v>6.4657</v>
      </c>
      <c r="G105" s="14">
        <f>CHOOSE(CONTROL!$C$42, 6.4823, 6.4823)*CHOOSE(CONTROL!$C$21, $C$9, 100%, $E$9)</f>
        <v>6.4823000000000004</v>
      </c>
      <c r="H105" s="14">
        <f>CHOOSE(CONTROL!$C$42, 6.7294, 6.7294) * CHOOSE(CONTROL!$C$21, $C$9, 100%, $E$9)</f>
        <v>6.7294</v>
      </c>
      <c r="I105" s="14">
        <f>CHOOSE(CONTROL!$C$42, 6.5038, 6.5038)* CHOOSE(CONTROL!$C$21, $C$9, 100%, $E$9)</f>
        <v>6.5038</v>
      </c>
      <c r="J105" s="14">
        <f>CHOOSE(CONTROL!$C$42, 6.4587, 6.4587)* CHOOSE(CONTROL!$C$21, $C$9, 100%, $E$9)</f>
        <v>6.4587000000000003</v>
      </c>
      <c r="K105" s="53">
        <f>CHOOSE(CONTROL!$C$42, 6.4999, 6.4999) * CHOOSE(CONTROL!$C$21, $C$9, 100%, $E$9)</f>
        <v>6.4999000000000002</v>
      </c>
      <c r="L105" s="14">
        <f>CHOOSE(CONTROL!$C$42, 7.3164, 7.3164) * CHOOSE(CONTROL!$C$21, $C$9, 100%, $E$9)</f>
        <v>7.3163999999999998</v>
      </c>
      <c r="M105" s="14">
        <f>CHOOSE(CONTROL!$C$42, 6.334, 6.334) * CHOOSE(CONTROL!$C$21, $C$9, 100%, $E$9)</f>
        <v>6.3339999999999996</v>
      </c>
      <c r="N105" s="14">
        <f>CHOOSE(CONTROL!$C$42, 6.3504, 6.3504) * CHOOSE(CONTROL!$C$21, $C$9, 100%, $E$9)</f>
        <v>6.3503999999999996</v>
      </c>
      <c r="O105" s="14">
        <f>CHOOSE(CONTROL!$C$42, 6.5992, 6.5992) * CHOOSE(CONTROL!$C$21, $C$9, 100%, $E$9)</f>
        <v>6.5991999999999997</v>
      </c>
      <c r="P105" s="14">
        <f>CHOOSE(CONTROL!$C$42, 6.3779, 6.3779) * CHOOSE(CONTROL!$C$21, $C$9, 100%, $E$9)</f>
        <v>6.3779000000000003</v>
      </c>
      <c r="Q105" s="14">
        <f>CHOOSE(CONTROL!$C$42, 7.1939, 7.1939) * CHOOSE(CONTROL!$C$21, $C$9, 100%, $E$9)</f>
        <v>7.1939000000000002</v>
      </c>
      <c r="R105" s="14">
        <f>CHOOSE(CONTROL!$C$42, 7.7989, 7.7989) * CHOOSE(CONTROL!$C$21, $C$9, 100%, $E$9)</f>
        <v>7.7988999999999997</v>
      </c>
      <c r="S105" s="14">
        <f>CHOOSE(CONTROL!$C$42, 6.2042, 6.2042) * CHOOSE(CONTROL!$C$21, $C$9, 100%, $E$9)</f>
        <v>6.2042000000000002</v>
      </c>
      <c r="T1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7">
        <f>(1000*CHOOSE(CONTROL!$C$42, 695, 695)*CHOOSE(CONTROL!$C$42, 0.5599, 0.5599)*CHOOSE(CONTROL!$C$42, 30, 30))/1000000</f>
        <v>11.673914999999997</v>
      </c>
      <c r="V105" s="57">
        <f>(1000*CHOOSE(CONTROL!$C$42, 500, 500)*CHOOSE(CONTROL!$C$42, 0.275, 0.275)*CHOOSE(CONTROL!$C$42, 30, 30))/1000000</f>
        <v>4.125</v>
      </c>
      <c r="W105" s="57">
        <f>(1000*CHOOSE(CONTROL!$C$42, 0.1146, 0.1146)*CHOOSE(CONTROL!$C$42, 121.5, 121.5)*CHOOSE(CONTROL!$C$42, 30, 30))/1000000</f>
        <v>0.417717</v>
      </c>
      <c r="X105" s="57">
        <f>(30*0.1790888*245000/1000000)+(30*0.2374*100000/1000000)</f>
        <v>2.0285026799999999</v>
      </c>
      <c r="Y105" s="57"/>
      <c r="Z105" s="14"/>
      <c r="AA105" s="56"/>
      <c r="AB105" s="50">
        <f>(B105*194.205+C105*267.466+D105*133.845+E105*53.484+F105*40+G105*185+H105*0+I105*100+J105*300)/(194.205+267.466+133.845+53.484+0+40+185+100+300)</f>
        <v>6.5089983990580853</v>
      </c>
      <c r="AC105" s="45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6.4185007194244603</v>
      </c>
    </row>
    <row r="106" spans="1:29" ht="15.75" x14ac:dyDescent="0.25">
      <c r="A106" s="13">
        <v>44105</v>
      </c>
      <c r="B106" s="14">
        <f>CHOOSE(CONTROL!$C$42, 6.3479, 6.3479) * CHOOSE(CONTROL!$C$21, $C$9, 100%, $E$9)</f>
        <v>6.3479000000000001</v>
      </c>
      <c r="C106" s="14">
        <f>CHOOSE(CONTROL!$C$42, 6.3532, 6.3532) * CHOOSE(CONTROL!$C$21, $C$9, 100%, $E$9)</f>
        <v>6.3532000000000002</v>
      </c>
      <c r="D106" s="14">
        <f>CHOOSE(CONTROL!$C$42, 6.5917, 6.5917) * CHOOSE(CONTROL!$C$21, $C$9, 100%, $E$9)</f>
        <v>6.5917000000000003</v>
      </c>
      <c r="E106" s="14">
        <f>CHOOSE(CONTROL!$C$42, 6.6209, 6.6209) * CHOOSE(CONTROL!$C$21, $C$9, 100%, $E$9)</f>
        <v>6.6208999999999998</v>
      </c>
      <c r="F106" s="14">
        <f>CHOOSE(CONTROL!$C$42, 6.3479, 6.3479)*CHOOSE(CONTROL!$C$21, $C$9, 100%, $E$9)</f>
        <v>6.3479000000000001</v>
      </c>
      <c r="G106" s="14">
        <f>CHOOSE(CONTROL!$C$42, 6.3642, 6.3642)*CHOOSE(CONTROL!$C$21, $C$9, 100%, $E$9)</f>
        <v>6.3642000000000003</v>
      </c>
      <c r="H106" s="14">
        <f>CHOOSE(CONTROL!$C$42, 6.6113, 6.6113) * CHOOSE(CONTROL!$C$21, $C$9, 100%, $E$9)</f>
        <v>6.6113</v>
      </c>
      <c r="I106" s="14">
        <f>CHOOSE(CONTROL!$C$42, 6.3854, 6.3854)* CHOOSE(CONTROL!$C$21, $C$9, 100%, $E$9)</f>
        <v>6.3853999999999997</v>
      </c>
      <c r="J106" s="14">
        <f>CHOOSE(CONTROL!$C$42, 6.3409, 6.3409)* CHOOSE(CONTROL!$C$21, $C$9, 100%, $E$9)</f>
        <v>6.3409000000000004</v>
      </c>
      <c r="K106" s="53">
        <f>CHOOSE(CONTROL!$C$42, 6.3815, 6.3815) * CHOOSE(CONTROL!$C$21, $C$9, 100%, $E$9)</f>
        <v>6.3815</v>
      </c>
      <c r="L106" s="14">
        <f>CHOOSE(CONTROL!$C$42, 7.1983, 7.1983) * CHOOSE(CONTROL!$C$21, $C$9, 100%, $E$9)</f>
        <v>7.1982999999999997</v>
      </c>
      <c r="M106" s="14">
        <f>CHOOSE(CONTROL!$C$42, 6.2187, 6.2187) * CHOOSE(CONTROL!$C$21, $C$9, 100%, $E$9)</f>
        <v>6.2187000000000001</v>
      </c>
      <c r="N106" s="14">
        <f>CHOOSE(CONTROL!$C$42, 6.2346, 6.2346) * CHOOSE(CONTROL!$C$21, $C$9, 100%, $E$9)</f>
        <v>6.2346000000000004</v>
      </c>
      <c r="O106" s="14">
        <f>CHOOSE(CONTROL!$C$42, 6.4836, 6.4836) * CHOOSE(CONTROL!$C$21, $C$9, 100%, $E$9)</f>
        <v>6.4836</v>
      </c>
      <c r="P106" s="14">
        <f>CHOOSE(CONTROL!$C$42, 6.2619, 6.2619) * CHOOSE(CONTROL!$C$21, $C$9, 100%, $E$9)</f>
        <v>6.2618999999999998</v>
      </c>
      <c r="Q106" s="14">
        <f>CHOOSE(CONTROL!$C$42, 7.0783, 7.0783) * CHOOSE(CONTROL!$C$21, $C$9, 100%, $E$9)</f>
        <v>7.0782999999999996</v>
      </c>
      <c r="R106" s="14">
        <f>CHOOSE(CONTROL!$C$42, 7.683, 7.683) * CHOOSE(CONTROL!$C$21, $C$9, 100%, $E$9)</f>
        <v>7.6829999999999998</v>
      </c>
      <c r="S106" s="14">
        <f>CHOOSE(CONTROL!$C$42, 6.0907, 6.0907) * CHOOSE(CONTROL!$C$21, $C$9, 100%, $E$9)</f>
        <v>6.0907</v>
      </c>
      <c r="T1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7">
        <f>(1000*CHOOSE(CONTROL!$C$42, 695, 695)*CHOOSE(CONTROL!$C$42, 0.5599, 0.5599)*CHOOSE(CONTROL!$C$42, 31, 31))/1000000</f>
        <v>12.063045499999998</v>
      </c>
      <c r="V106" s="57">
        <f>(1000*CHOOSE(CONTROL!$C$42, 500, 500)*CHOOSE(CONTROL!$C$42, 0.275, 0.275)*CHOOSE(CONTROL!$C$42, 31, 31))/1000000</f>
        <v>4.2625000000000002</v>
      </c>
      <c r="W106" s="57">
        <f>(1000*CHOOSE(CONTROL!$C$42, 0.1146, 0.1146)*CHOOSE(CONTROL!$C$42, 121.5, 121.5)*CHOOSE(CONTROL!$C$42, 31, 31))/1000000</f>
        <v>0.43164089999999994</v>
      </c>
      <c r="X106" s="57">
        <f>(31*0.1790888*245000/1000000)+(31*0.2374*100000/1000000)</f>
        <v>2.0961194359999999</v>
      </c>
      <c r="Y106" s="57"/>
      <c r="Z106" s="14"/>
      <c r="AA106" s="56"/>
      <c r="AB106" s="50">
        <f>(B106*131.881+C106*277.167+D106*79.08+E106*125.872+F106*40+G106*185+H106*0+I106*100+J106*300)/(131.881+277.167+79.08+125.872+0+40+185+100+300)</f>
        <v>6.396146364083938</v>
      </c>
      <c r="AC106" s="45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6.3029007194244597</v>
      </c>
    </row>
    <row r="107" spans="1:29" ht="15.75" x14ac:dyDescent="0.25">
      <c r="A107" s="13">
        <v>44136</v>
      </c>
      <c r="B107" s="14">
        <f>CHOOSE(CONTROL!$C$42, 6.5278, 6.5278) * CHOOSE(CONTROL!$C$21, $C$9, 100%, $E$9)</f>
        <v>6.5278</v>
      </c>
      <c r="C107" s="14">
        <f>CHOOSE(CONTROL!$C$42, 6.5329, 6.5329) * CHOOSE(CONTROL!$C$21, $C$9, 100%, $E$9)</f>
        <v>6.5328999999999997</v>
      </c>
      <c r="D107" s="14">
        <f>CHOOSE(CONTROL!$C$42, 6.6071, 6.6071) * CHOOSE(CONTROL!$C$21, $C$9, 100%, $E$9)</f>
        <v>6.6071</v>
      </c>
      <c r="E107" s="14">
        <f>CHOOSE(CONTROL!$C$42, 6.6412, 6.6412) * CHOOSE(CONTROL!$C$21, $C$9, 100%, $E$9)</f>
        <v>6.6412000000000004</v>
      </c>
      <c r="F107" s="14">
        <f>CHOOSE(CONTROL!$C$42, 6.5399, 6.5399)*CHOOSE(CONTROL!$C$21, $C$9, 100%, $E$9)</f>
        <v>6.5399000000000003</v>
      </c>
      <c r="G107" s="14">
        <f>CHOOSE(CONTROL!$C$42, 6.5564, 6.5564)*CHOOSE(CONTROL!$C$21, $C$9, 100%, $E$9)</f>
        <v>6.5564</v>
      </c>
      <c r="H107" s="14">
        <f>CHOOSE(CONTROL!$C$42, 6.6304, 6.6304) * CHOOSE(CONTROL!$C$21, $C$9, 100%, $E$9)</f>
        <v>6.6303999999999998</v>
      </c>
      <c r="I107" s="14">
        <f>CHOOSE(CONTROL!$C$42, 6.5726, 6.5726)* CHOOSE(CONTROL!$C$21, $C$9, 100%, $E$9)</f>
        <v>6.5726000000000004</v>
      </c>
      <c r="J107" s="14">
        <f>CHOOSE(CONTROL!$C$42, 6.5329, 6.5329)* CHOOSE(CONTROL!$C$21, $C$9, 100%, $E$9)</f>
        <v>6.5328999999999997</v>
      </c>
      <c r="K107" s="53">
        <f>CHOOSE(CONTROL!$C$42, 6.5687, 6.5687) * CHOOSE(CONTROL!$C$21, $C$9, 100%, $E$9)</f>
        <v>6.5686999999999998</v>
      </c>
      <c r="L107" s="14">
        <f>CHOOSE(CONTROL!$C$42, 7.2174, 7.2174) * CHOOSE(CONTROL!$C$21, $C$9, 100%, $E$9)</f>
        <v>7.2173999999999996</v>
      </c>
      <c r="M107" s="14">
        <f>CHOOSE(CONTROL!$C$42, 6.4067, 6.4067) * CHOOSE(CONTROL!$C$21, $C$9, 100%, $E$9)</f>
        <v>6.4066999999999998</v>
      </c>
      <c r="N107" s="14">
        <f>CHOOSE(CONTROL!$C$42, 6.4229, 6.4229) * CHOOSE(CONTROL!$C$21, $C$9, 100%, $E$9)</f>
        <v>6.4229000000000003</v>
      </c>
      <c r="O107" s="14">
        <f>CHOOSE(CONTROL!$C$42, 6.5022, 6.5022) * CHOOSE(CONTROL!$C$21, $C$9, 100%, $E$9)</f>
        <v>6.5022000000000002</v>
      </c>
      <c r="P107" s="14">
        <f>CHOOSE(CONTROL!$C$42, 6.4453, 6.4453) * CHOOSE(CONTROL!$C$21, $C$9, 100%, $E$9)</f>
        <v>6.4452999999999996</v>
      </c>
      <c r="Q107" s="14">
        <f>CHOOSE(CONTROL!$C$42, 7.0969, 7.0969) * CHOOSE(CONTROL!$C$21, $C$9, 100%, $E$9)</f>
        <v>7.0968999999999998</v>
      </c>
      <c r="R107" s="14">
        <f>CHOOSE(CONTROL!$C$42, 7.7017, 7.7017) * CHOOSE(CONTROL!$C$21, $C$9, 100%, $E$9)</f>
        <v>7.7016999999999998</v>
      </c>
      <c r="S107" s="14">
        <f>CHOOSE(CONTROL!$C$42, 6.264, 6.264) * CHOOSE(CONTROL!$C$21, $C$9, 100%, $E$9)</f>
        <v>6.2640000000000002</v>
      </c>
      <c r="T1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7">
        <f>(1000*CHOOSE(CONTROL!$C$42, 695, 695)*CHOOSE(CONTROL!$C$42, 0.5599, 0.5599)*CHOOSE(CONTROL!$C$42, 30, 30))/1000000</f>
        <v>11.673914999999997</v>
      </c>
      <c r="V107" s="57">
        <f>(1000*CHOOSE(CONTROL!$C$42, 500, 500)*CHOOSE(CONTROL!$C$42, 0.275, 0.275)*CHOOSE(CONTROL!$C$42, 30, 30))/1000000</f>
        <v>4.125</v>
      </c>
      <c r="W107" s="57">
        <f>(1000*CHOOSE(CONTROL!$C$42, 0.1146, 0.1146)*CHOOSE(CONTROL!$C$42, 121.5, 121.5)*CHOOSE(CONTROL!$C$42, 30, 30))/1000000</f>
        <v>0.417717</v>
      </c>
      <c r="X107" s="57">
        <f>(30*0.1790888*100000/1000000)+(30*0.2374*100000/1000000)</f>
        <v>1.2494664</v>
      </c>
      <c r="Y107" s="57"/>
      <c r="Z107" s="14"/>
      <c r="AA107" s="56"/>
      <c r="AB107" s="50">
        <f>(B107*122.58+C107*297.941+D107*89.177+E107*40.302+F107*40+G107*160+H107*0+I107*100+J107*300)/(122.58+297.941+89.177+40.302+0+40+160+100+300)</f>
        <v>6.5488708539130434</v>
      </c>
      <c r="AC107" s="45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6.4564705035971226</v>
      </c>
    </row>
    <row r="108" spans="1:29" ht="15.75" x14ac:dyDescent="0.25">
      <c r="A108" s="13">
        <v>44166</v>
      </c>
      <c r="B108" s="14">
        <f>CHOOSE(CONTROL!$C$42, 6.9865, 6.9865) * CHOOSE(CONTROL!$C$21, $C$9, 100%, $E$9)</f>
        <v>6.9865000000000004</v>
      </c>
      <c r="C108" s="14">
        <f>CHOOSE(CONTROL!$C$42, 6.9916, 6.9916) * CHOOSE(CONTROL!$C$21, $C$9, 100%, $E$9)</f>
        <v>6.9916</v>
      </c>
      <c r="D108" s="14">
        <f>CHOOSE(CONTROL!$C$42, 7.0658, 7.0658) * CHOOSE(CONTROL!$C$21, $C$9, 100%, $E$9)</f>
        <v>7.0658000000000003</v>
      </c>
      <c r="E108" s="14">
        <f>CHOOSE(CONTROL!$C$42, 7.0999, 7.0999) * CHOOSE(CONTROL!$C$21, $C$9, 100%, $E$9)</f>
        <v>7.0998999999999999</v>
      </c>
      <c r="F108" s="14">
        <f>CHOOSE(CONTROL!$C$42, 7.0008, 7.0008)*CHOOSE(CONTROL!$C$21, $C$9, 100%, $E$9)</f>
        <v>7.0007999999999999</v>
      </c>
      <c r="G108" s="14">
        <f>CHOOSE(CONTROL!$C$42, 7.0179, 7.0179)*CHOOSE(CONTROL!$C$21, $C$9, 100%, $E$9)</f>
        <v>7.0179</v>
      </c>
      <c r="H108" s="14">
        <f>CHOOSE(CONTROL!$C$42, 7.0891, 7.0891) * CHOOSE(CONTROL!$C$21, $C$9, 100%, $E$9)</f>
        <v>7.0891000000000002</v>
      </c>
      <c r="I108" s="14">
        <f>CHOOSE(CONTROL!$C$42, 7.0327, 7.0327)* CHOOSE(CONTROL!$C$21, $C$9, 100%, $E$9)</f>
        <v>7.0327000000000002</v>
      </c>
      <c r="J108" s="14">
        <f>CHOOSE(CONTROL!$C$42, 6.9938, 6.9938)* CHOOSE(CONTROL!$C$21, $C$9, 100%, $E$9)</f>
        <v>6.9938000000000002</v>
      </c>
      <c r="K108" s="53">
        <f>CHOOSE(CONTROL!$C$42, 7.0289, 7.0289) * CHOOSE(CONTROL!$C$21, $C$9, 100%, $E$9)</f>
        <v>7.0289000000000001</v>
      </c>
      <c r="L108" s="14">
        <f>CHOOSE(CONTROL!$C$42, 7.6761, 7.6761) * CHOOSE(CONTROL!$C$21, $C$9, 100%, $E$9)</f>
        <v>7.6760999999999999</v>
      </c>
      <c r="M108" s="14">
        <f>CHOOSE(CONTROL!$C$42, 6.8582, 6.8582) * CHOOSE(CONTROL!$C$21, $C$9, 100%, $E$9)</f>
        <v>6.8582000000000001</v>
      </c>
      <c r="N108" s="14">
        <f>CHOOSE(CONTROL!$C$42, 6.875, 6.875) * CHOOSE(CONTROL!$C$21, $C$9, 100%, $E$9)</f>
        <v>6.875</v>
      </c>
      <c r="O108" s="14">
        <f>CHOOSE(CONTROL!$C$42, 6.9516, 6.9516) * CHOOSE(CONTROL!$C$21, $C$9, 100%, $E$9)</f>
        <v>6.9516</v>
      </c>
      <c r="P108" s="14">
        <f>CHOOSE(CONTROL!$C$42, 6.896, 6.896) * CHOOSE(CONTROL!$C$21, $C$9, 100%, $E$9)</f>
        <v>6.8959999999999999</v>
      </c>
      <c r="Q108" s="14">
        <f>CHOOSE(CONTROL!$C$42, 7.5463, 7.5463) * CHOOSE(CONTROL!$C$21, $C$9, 100%, $E$9)</f>
        <v>7.5462999999999996</v>
      </c>
      <c r="R108" s="14">
        <f>CHOOSE(CONTROL!$C$42, 8.1521, 8.1521) * CHOOSE(CONTROL!$C$21, $C$9, 100%, $E$9)</f>
        <v>8.1521000000000008</v>
      </c>
      <c r="S108" s="14">
        <f>CHOOSE(CONTROL!$C$42, 6.7048, 6.7048) * CHOOSE(CONTROL!$C$21, $C$9, 100%, $E$9)</f>
        <v>6.7047999999999996</v>
      </c>
      <c r="T1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7">
        <f>(1000*CHOOSE(CONTROL!$C$42, 695, 695)*CHOOSE(CONTROL!$C$42, 0.5599, 0.5599)*CHOOSE(CONTROL!$C$42, 31, 31))/1000000</f>
        <v>12.063045499999998</v>
      </c>
      <c r="V108" s="57">
        <f>(1000*CHOOSE(CONTROL!$C$42, 500, 500)*CHOOSE(CONTROL!$C$42, 0.275, 0.275)*CHOOSE(CONTROL!$C$42, 31, 31))/1000000</f>
        <v>4.2625000000000002</v>
      </c>
      <c r="W108" s="57">
        <f>(1000*CHOOSE(CONTROL!$C$42, 0.1146, 0.1146)*CHOOSE(CONTROL!$C$42, 121.5, 121.5)*CHOOSE(CONTROL!$C$42, 31, 31))/1000000</f>
        <v>0.43164089999999994</v>
      </c>
      <c r="X108" s="57">
        <f>(31*0.1790888*100000/1000000)+(31*0.2374*100000/1000000)</f>
        <v>1.2911152800000001</v>
      </c>
      <c r="Y108" s="57"/>
      <c r="Z108" s="14"/>
      <c r="AA108" s="56"/>
      <c r="AB108" s="50">
        <f>(B108*122.58+C108*297.941+D108*89.177+E108*40.302+F108*40+G108*160+H108*0+I108*100+J108*300)/(122.58+297.941+89.177+40.302+0+40+160+100+300)</f>
        <v>7.0087325930434776</v>
      </c>
      <c r="AC108" s="45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6.9069381294964032</v>
      </c>
    </row>
    <row r="109" spans="1:29" ht="15.75" x14ac:dyDescent="0.25">
      <c r="A109" s="13">
        <v>44197</v>
      </c>
      <c r="B109" s="14">
        <f>CHOOSE(CONTROL!$C$42, 7.5346, 7.5346) * CHOOSE(CONTROL!$C$21, $C$9, 100%, $E$9)</f>
        <v>7.5346000000000002</v>
      </c>
      <c r="C109" s="14">
        <f>CHOOSE(CONTROL!$C$42, 7.5396, 7.5396) * CHOOSE(CONTROL!$C$21, $C$9, 100%, $E$9)</f>
        <v>7.5396000000000001</v>
      </c>
      <c r="D109" s="14">
        <f>CHOOSE(CONTROL!$C$42, 7.6164, 7.6164) * CHOOSE(CONTROL!$C$21, $C$9, 100%, $E$9)</f>
        <v>7.6163999999999996</v>
      </c>
      <c r="E109" s="14">
        <f>CHOOSE(CONTROL!$C$42, 7.6505, 7.6505) * CHOOSE(CONTROL!$C$21, $C$9, 100%, $E$9)</f>
        <v>7.6505000000000001</v>
      </c>
      <c r="F109" s="14">
        <f>CHOOSE(CONTROL!$C$42, 7.5348, 7.5348)*CHOOSE(CONTROL!$C$21, $C$9, 100%, $E$9)</f>
        <v>7.5347999999999997</v>
      </c>
      <c r="G109" s="14">
        <f>CHOOSE(CONTROL!$C$42, 7.551, 7.551)*CHOOSE(CONTROL!$C$21, $C$9, 100%, $E$9)</f>
        <v>7.5510000000000002</v>
      </c>
      <c r="H109" s="14">
        <f>CHOOSE(CONTROL!$C$42, 7.6397, 7.6397) * CHOOSE(CONTROL!$C$21, $C$9, 100%, $E$9)</f>
        <v>7.6397000000000004</v>
      </c>
      <c r="I109" s="14">
        <f>CHOOSE(CONTROL!$C$42, 7.5762, 7.5762)* CHOOSE(CONTROL!$C$21, $C$9, 100%, $E$9)</f>
        <v>7.5762</v>
      </c>
      <c r="J109" s="14">
        <f>CHOOSE(CONTROL!$C$42, 7.5278, 7.5278)* CHOOSE(CONTROL!$C$21, $C$9, 100%, $E$9)</f>
        <v>7.5278</v>
      </c>
      <c r="K109" s="53">
        <f>CHOOSE(CONTROL!$C$42, 7.5723, 7.5723) * CHOOSE(CONTROL!$C$21, $C$9, 100%, $E$9)</f>
        <v>7.5723000000000003</v>
      </c>
      <c r="L109" s="14">
        <f>CHOOSE(CONTROL!$C$42, 8.2267, 8.2267) * CHOOSE(CONTROL!$C$21, $C$9, 100%, $E$9)</f>
        <v>8.2266999999999992</v>
      </c>
      <c r="M109" s="14">
        <f>CHOOSE(CONTROL!$C$42, 7.3812, 7.3812) * CHOOSE(CONTROL!$C$21, $C$9, 100%, $E$9)</f>
        <v>7.3811999999999998</v>
      </c>
      <c r="N109" s="14">
        <f>CHOOSE(CONTROL!$C$42, 7.3971, 7.3971) * CHOOSE(CONTROL!$C$21, $C$9, 100%, $E$9)</f>
        <v>7.3971</v>
      </c>
      <c r="O109" s="14">
        <f>CHOOSE(CONTROL!$C$42, 7.4909, 7.4909) * CHOOSE(CONTROL!$C$21, $C$9, 100%, $E$9)</f>
        <v>7.4908999999999999</v>
      </c>
      <c r="P109" s="14">
        <f>CHOOSE(CONTROL!$C$42, 7.4283, 7.4283) * CHOOSE(CONTROL!$C$21, $C$9, 100%, $E$9)</f>
        <v>7.4283000000000001</v>
      </c>
      <c r="Q109" s="14">
        <f>CHOOSE(CONTROL!$C$42, 8.0856, 8.0856) * CHOOSE(CONTROL!$C$21, $C$9, 100%, $E$9)</f>
        <v>8.0855999999999995</v>
      </c>
      <c r="R109" s="14">
        <f>CHOOSE(CONTROL!$C$42, 8.6928, 8.6928) * CHOOSE(CONTROL!$C$21, $C$9, 100%, $E$9)</f>
        <v>8.6928000000000001</v>
      </c>
      <c r="S109" s="14">
        <f>CHOOSE(CONTROL!$C$42, 7.2314, 7.2314) * CHOOSE(CONTROL!$C$21, $C$9, 100%, $E$9)</f>
        <v>7.2313999999999998</v>
      </c>
      <c r="T1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7">
        <f>(1000*CHOOSE(CONTROL!$C$42, 695, 695)*CHOOSE(CONTROL!$C$42, 0.5599, 0.5599)*CHOOSE(CONTROL!$C$42, 31, 31))/1000000</f>
        <v>12.063045499999998</v>
      </c>
      <c r="V109" s="57">
        <f>(1000*CHOOSE(CONTROL!$C$42, 500, 500)*CHOOSE(CONTROL!$C$42, 0.275, 0.275)*CHOOSE(CONTROL!$C$42, 31, 31))/1000000</f>
        <v>4.2625000000000002</v>
      </c>
      <c r="W109" s="57">
        <f>(1000*CHOOSE(CONTROL!$C$42, 0.1146, 0.1146)*CHOOSE(CONTROL!$C$42, 121.5, 121.5)*CHOOSE(CONTROL!$C$42, 31, 31))/1000000</f>
        <v>0.43164089999999994</v>
      </c>
      <c r="X109" s="57">
        <f>(31*0.1790888*100000/1000000)+(31*0.2374*100000/1000000)</f>
        <v>1.2911152800000001</v>
      </c>
      <c r="Y109" s="57"/>
      <c r="Z109" s="14"/>
      <c r="AA109" s="56"/>
      <c r="AB109" s="50">
        <f>(B109*122.58+C109*297.941+D109*89.177+E109*40.302+F109*40+G109*160+H109*0+I109*100+J109*300)/(122.58+297.941+89.177+40.302+0+40+160+100+300)</f>
        <v>7.5504325090434783</v>
      </c>
      <c r="AC109" s="45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7.438612230215826</v>
      </c>
    </row>
    <row r="110" spans="1:29" ht="15.75" x14ac:dyDescent="0.25">
      <c r="A110" s="13">
        <v>44228</v>
      </c>
      <c r="B110" s="14">
        <f>CHOOSE(CONTROL!$C$42, 7.6843, 7.6843) * CHOOSE(CONTROL!$C$21, $C$9, 100%, $E$9)</f>
        <v>7.6843000000000004</v>
      </c>
      <c r="C110" s="14">
        <f>CHOOSE(CONTROL!$C$42, 7.6893, 7.6893) * CHOOSE(CONTROL!$C$21, $C$9, 100%, $E$9)</f>
        <v>7.6893000000000002</v>
      </c>
      <c r="D110" s="14">
        <f>CHOOSE(CONTROL!$C$42, 7.7662, 7.7662) * CHOOSE(CONTROL!$C$21, $C$9, 100%, $E$9)</f>
        <v>7.7662000000000004</v>
      </c>
      <c r="E110" s="14">
        <f>CHOOSE(CONTROL!$C$42, 7.8003, 7.8003) * CHOOSE(CONTROL!$C$21, $C$9, 100%, $E$9)</f>
        <v>7.8003</v>
      </c>
      <c r="F110" s="14">
        <f>CHOOSE(CONTROL!$C$42, 7.6845, 7.6845)*CHOOSE(CONTROL!$C$21, $C$9, 100%, $E$9)</f>
        <v>7.6844999999999999</v>
      </c>
      <c r="G110" s="14">
        <f>CHOOSE(CONTROL!$C$42, 7.7008, 7.7008)*CHOOSE(CONTROL!$C$21, $C$9, 100%, $E$9)</f>
        <v>7.7008000000000001</v>
      </c>
      <c r="H110" s="14">
        <f>CHOOSE(CONTROL!$C$42, 7.7895, 7.7895) * CHOOSE(CONTROL!$C$21, $C$9, 100%, $E$9)</f>
        <v>7.7895000000000003</v>
      </c>
      <c r="I110" s="14">
        <f>CHOOSE(CONTROL!$C$42, 7.7264, 7.7264)* CHOOSE(CONTROL!$C$21, $C$9, 100%, $E$9)</f>
        <v>7.7263999999999999</v>
      </c>
      <c r="J110" s="14">
        <f>CHOOSE(CONTROL!$C$42, 7.6775, 7.6775)* CHOOSE(CONTROL!$C$21, $C$9, 100%, $E$9)</f>
        <v>7.6775000000000002</v>
      </c>
      <c r="K110" s="53">
        <f>CHOOSE(CONTROL!$C$42, 7.7225, 7.7225) * CHOOSE(CONTROL!$C$21, $C$9, 100%, $E$9)</f>
        <v>7.7225000000000001</v>
      </c>
      <c r="L110" s="14">
        <f>CHOOSE(CONTROL!$C$42, 8.3765, 8.3765) * CHOOSE(CONTROL!$C$21, $C$9, 100%, $E$9)</f>
        <v>8.3765000000000001</v>
      </c>
      <c r="M110" s="14">
        <f>CHOOSE(CONTROL!$C$42, 7.5279, 7.5279) * CHOOSE(CONTROL!$C$21, $C$9, 100%, $E$9)</f>
        <v>7.5278999999999998</v>
      </c>
      <c r="N110" s="14">
        <f>CHOOSE(CONTROL!$C$42, 7.5438, 7.5438) * CHOOSE(CONTROL!$C$21, $C$9, 100%, $E$9)</f>
        <v>7.5438000000000001</v>
      </c>
      <c r="O110" s="14">
        <f>CHOOSE(CONTROL!$C$42, 7.6376, 7.6376) * CHOOSE(CONTROL!$C$21, $C$9, 100%, $E$9)</f>
        <v>7.6375999999999999</v>
      </c>
      <c r="P110" s="14">
        <f>CHOOSE(CONTROL!$C$42, 7.5754, 7.5754) * CHOOSE(CONTROL!$C$21, $C$9, 100%, $E$9)</f>
        <v>7.5754000000000001</v>
      </c>
      <c r="Q110" s="14">
        <f>CHOOSE(CONTROL!$C$42, 8.2323, 8.2323) * CHOOSE(CONTROL!$C$21, $C$9, 100%, $E$9)</f>
        <v>8.2323000000000004</v>
      </c>
      <c r="R110" s="14">
        <f>CHOOSE(CONTROL!$C$42, 8.8398, 8.8398) * CHOOSE(CONTROL!$C$21, $C$9, 100%, $E$9)</f>
        <v>8.8398000000000003</v>
      </c>
      <c r="S110" s="14">
        <f>CHOOSE(CONTROL!$C$42, 7.3753, 7.3753) * CHOOSE(CONTROL!$C$21, $C$9, 100%, $E$9)</f>
        <v>7.3753000000000002</v>
      </c>
      <c r="T1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7">
        <f>(1000*CHOOSE(CONTROL!$C$42, 695, 695)*CHOOSE(CONTROL!$C$42, 0.5599, 0.5599)*CHOOSE(CONTROL!$C$42, 28, 28))/1000000</f>
        <v>10.895653999999999</v>
      </c>
      <c r="V110" s="57">
        <f>(1000*CHOOSE(CONTROL!$C$42, 500, 500)*CHOOSE(CONTROL!$C$42, 0.275, 0.275)*CHOOSE(CONTROL!$C$42, 28, 28))/1000000</f>
        <v>3.85</v>
      </c>
      <c r="W110" s="57">
        <f>(1000*CHOOSE(CONTROL!$C$42, 0.1146, 0.1146)*CHOOSE(CONTROL!$C$42, 121.5, 121.5)*CHOOSE(CONTROL!$C$42, 28, 28))/1000000</f>
        <v>0.38986920000000003</v>
      </c>
      <c r="X110" s="57">
        <f>(28*0.1790888*100000/1000000)+(28*0.2374*100000/1000000)</f>
        <v>1.16616864</v>
      </c>
      <c r="Y110" s="57"/>
      <c r="Z110" s="14"/>
      <c r="AA110" s="56"/>
      <c r="AB110" s="50">
        <f>(B110*122.58+C110*297.941+D110*89.177+E110*40.302+F110*40+G110*160+H110*0+I110*100+J110*300)/(122.58+297.941+89.177+40.302+0+40+160+100+300)</f>
        <v>7.7002011593913045</v>
      </c>
      <c r="AC110" s="45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7.5853697841726611</v>
      </c>
    </row>
    <row r="111" spans="1:29" ht="15.75" x14ac:dyDescent="0.25">
      <c r="A111" s="13">
        <v>44256</v>
      </c>
      <c r="B111" s="14">
        <f>CHOOSE(CONTROL!$C$42, 7.4818, 7.4818) * CHOOSE(CONTROL!$C$21, $C$9, 100%, $E$9)</f>
        <v>7.4817999999999998</v>
      </c>
      <c r="C111" s="14">
        <f>CHOOSE(CONTROL!$C$42, 7.4868, 7.4868) * CHOOSE(CONTROL!$C$21, $C$9, 100%, $E$9)</f>
        <v>7.4867999999999997</v>
      </c>
      <c r="D111" s="14">
        <f>CHOOSE(CONTROL!$C$42, 7.5636, 7.5636) * CHOOSE(CONTROL!$C$21, $C$9, 100%, $E$9)</f>
        <v>7.5636000000000001</v>
      </c>
      <c r="E111" s="14">
        <f>CHOOSE(CONTROL!$C$42, 7.5977, 7.5977) * CHOOSE(CONTROL!$C$21, $C$9, 100%, $E$9)</f>
        <v>7.5976999999999997</v>
      </c>
      <c r="F111" s="14">
        <f>CHOOSE(CONTROL!$C$42, 7.4816, 7.4816)*CHOOSE(CONTROL!$C$21, $C$9, 100%, $E$9)</f>
        <v>7.4816000000000003</v>
      </c>
      <c r="G111" s="14">
        <f>CHOOSE(CONTROL!$C$42, 7.4977, 7.4977)*CHOOSE(CONTROL!$C$21, $C$9, 100%, $E$9)</f>
        <v>7.4977</v>
      </c>
      <c r="H111" s="14">
        <f>CHOOSE(CONTROL!$C$42, 7.5869, 7.5869) * CHOOSE(CONTROL!$C$21, $C$9, 100%, $E$9)</f>
        <v>7.5869</v>
      </c>
      <c r="I111" s="14">
        <f>CHOOSE(CONTROL!$C$42, 7.5233, 7.5233)* CHOOSE(CONTROL!$C$21, $C$9, 100%, $E$9)</f>
        <v>7.5232999999999999</v>
      </c>
      <c r="J111" s="14">
        <f>CHOOSE(CONTROL!$C$42, 7.4746, 7.4746)* CHOOSE(CONTROL!$C$21, $C$9, 100%, $E$9)</f>
        <v>7.4745999999999997</v>
      </c>
      <c r="K111" s="53">
        <f>CHOOSE(CONTROL!$C$42, 7.5194, 7.5194) * CHOOSE(CONTROL!$C$21, $C$9, 100%, $E$9)</f>
        <v>7.5194000000000001</v>
      </c>
      <c r="L111" s="14">
        <f>CHOOSE(CONTROL!$C$42, 8.1739, 8.1739) * CHOOSE(CONTROL!$C$21, $C$9, 100%, $E$9)</f>
        <v>8.1738999999999997</v>
      </c>
      <c r="M111" s="14">
        <f>CHOOSE(CONTROL!$C$42, 7.3291, 7.3291) * CHOOSE(CONTROL!$C$21, $C$9, 100%, $E$9)</f>
        <v>7.3291000000000004</v>
      </c>
      <c r="N111" s="14">
        <f>CHOOSE(CONTROL!$C$42, 7.3449, 7.3449) * CHOOSE(CONTROL!$C$21, $C$9, 100%, $E$9)</f>
        <v>7.3449</v>
      </c>
      <c r="O111" s="14">
        <f>CHOOSE(CONTROL!$C$42, 7.4392, 7.4392) * CHOOSE(CONTROL!$C$21, $C$9, 100%, $E$9)</f>
        <v>7.4391999999999996</v>
      </c>
      <c r="P111" s="14">
        <f>CHOOSE(CONTROL!$C$42, 7.3764, 7.3764) * CHOOSE(CONTROL!$C$21, $C$9, 100%, $E$9)</f>
        <v>7.3764000000000003</v>
      </c>
      <c r="Q111" s="14">
        <f>CHOOSE(CONTROL!$C$42, 8.0339, 8.0339) * CHOOSE(CONTROL!$C$21, $C$9, 100%, $E$9)</f>
        <v>8.0338999999999992</v>
      </c>
      <c r="R111" s="14">
        <f>CHOOSE(CONTROL!$C$42, 8.641, 8.641) * CHOOSE(CONTROL!$C$21, $C$9, 100%, $E$9)</f>
        <v>8.641</v>
      </c>
      <c r="S111" s="14">
        <f>CHOOSE(CONTROL!$C$42, 7.1807, 7.1807) * CHOOSE(CONTROL!$C$21, $C$9, 100%, $E$9)</f>
        <v>7.1806999999999999</v>
      </c>
      <c r="T1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7">
        <f>(1000*CHOOSE(CONTROL!$C$42, 695, 695)*CHOOSE(CONTROL!$C$42, 0.5599, 0.5599)*CHOOSE(CONTROL!$C$42, 31, 31))/1000000</f>
        <v>12.063045499999998</v>
      </c>
      <c r="V111" s="57">
        <f>(1000*CHOOSE(CONTROL!$C$42, 500, 500)*CHOOSE(CONTROL!$C$42, 0.275, 0.275)*CHOOSE(CONTROL!$C$42, 31, 31))/1000000</f>
        <v>4.2625000000000002</v>
      </c>
      <c r="W111" s="57">
        <f>(1000*CHOOSE(CONTROL!$C$42, 0.1146, 0.1146)*CHOOSE(CONTROL!$C$42, 121.5, 121.5)*CHOOSE(CONTROL!$C$42, 31, 31))/1000000</f>
        <v>0.43164089999999994</v>
      </c>
      <c r="X111" s="57">
        <f>(31*0.1790888*100000/1000000)+(31*0.2374*100000/1000000)</f>
        <v>1.2911152800000001</v>
      </c>
      <c r="Y111" s="57"/>
      <c r="Z111" s="14"/>
      <c r="AA111" s="56"/>
      <c r="AB111" s="50">
        <f>(B111*122.58+C111*297.941+D111*89.177+E111*40.302+F111*40+G111*160+H111*0+I111*100+J111*300)/(122.58+297.941+89.177+40.302+0+40+160+100+300)</f>
        <v>7.4974359873043461</v>
      </c>
      <c r="AC111" s="45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7.3867165467625915</v>
      </c>
    </row>
    <row r="112" spans="1:29" ht="15.75" x14ac:dyDescent="0.25">
      <c r="A112" s="13">
        <v>44287</v>
      </c>
      <c r="B112" s="14">
        <f>CHOOSE(CONTROL!$C$42, 7.476, 7.476) * CHOOSE(CONTROL!$C$21, $C$9, 100%, $E$9)</f>
        <v>7.476</v>
      </c>
      <c r="C112" s="14">
        <f>CHOOSE(CONTROL!$C$42, 7.4805, 7.4805) * CHOOSE(CONTROL!$C$21, $C$9, 100%, $E$9)</f>
        <v>7.4805000000000001</v>
      </c>
      <c r="D112" s="14">
        <f>CHOOSE(CONTROL!$C$42, 7.7172, 7.7172) * CHOOSE(CONTROL!$C$21, $C$9, 100%, $E$9)</f>
        <v>7.7172000000000001</v>
      </c>
      <c r="E112" s="14">
        <f>CHOOSE(CONTROL!$C$42, 7.7493, 7.7493) * CHOOSE(CONTROL!$C$21, $C$9, 100%, $E$9)</f>
        <v>7.7492999999999999</v>
      </c>
      <c r="F112" s="14">
        <f>CHOOSE(CONTROL!$C$42, 7.4739, 7.4739)*CHOOSE(CONTROL!$C$21, $C$9, 100%, $E$9)</f>
        <v>7.4739000000000004</v>
      </c>
      <c r="G112" s="14">
        <f>CHOOSE(CONTROL!$C$42, 7.4897, 7.4897)*CHOOSE(CONTROL!$C$21, $C$9, 100%, $E$9)</f>
        <v>7.4897</v>
      </c>
      <c r="H112" s="14">
        <f>CHOOSE(CONTROL!$C$42, 7.7391, 7.7391) * CHOOSE(CONTROL!$C$21, $C$9, 100%, $E$9)</f>
        <v>7.7390999999999996</v>
      </c>
      <c r="I112" s="14">
        <f>CHOOSE(CONTROL!$C$42, 7.5167, 7.5167)* CHOOSE(CONTROL!$C$21, $C$9, 100%, $E$9)</f>
        <v>7.5167000000000002</v>
      </c>
      <c r="J112" s="14">
        <f>CHOOSE(CONTROL!$C$42, 7.4669, 7.4669)* CHOOSE(CONTROL!$C$21, $C$9, 100%, $E$9)</f>
        <v>7.4668999999999999</v>
      </c>
      <c r="K112" s="53">
        <f>CHOOSE(CONTROL!$C$42, 7.5128, 7.5128) * CHOOSE(CONTROL!$C$21, $C$9, 100%, $E$9)</f>
        <v>7.5128000000000004</v>
      </c>
      <c r="L112" s="14">
        <f>CHOOSE(CONTROL!$C$42, 8.3261, 8.3261) * CHOOSE(CONTROL!$C$21, $C$9, 100%, $E$9)</f>
        <v>8.3261000000000003</v>
      </c>
      <c r="M112" s="14">
        <f>CHOOSE(CONTROL!$C$42, 7.3216, 7.3216) * CHOOSE(CONTROL!$C$21, $C$9, 100%, $E$9)</f>
        <v>7.3216000000000001</v>
      </c>
      <c r="N112" s="14">
        <f>CHOOSE(CONTROL!$C$42, 7.3371, 7.3371) * CHOOSE(CONTROL!$C$21, $C$9, 100%, $E$9)</f>
        <v>7.3371000000000004</v>
      </c>
      <c r="O112" s="14">
        <f>CHOOSE(CONTROL!$C$42, 7.5882, 7.5882) * CHOOSE(CONTROL!$C$21, $C$9, 100%, $E$9)</f>
        <v>7.5881999999999996</v>
      </c>
      <c r="P112" s="14">
        <f>CHOOSE(CONTROL!$C$42, 7.37, 7.37) * CHOOSE(CONTROL!$C$21, $C$9, 100%, $E$9)</f>
        <v>7.37</v>
      </c>
      <c r="Q112" s="14">
        <f>CHOOSE(CONTROL!$C$42, 8.1829, 8.1829) * CHOOSE(CONTROL!$C$21, $C$9, 100%, $E$9)</f>
        <v>8.1829000000000001</v>
      </c>
      <c r="R112" s="14">
        <f>CHOOSE(CONTROL!$C$42, 8.7904, 8.7904) * CHOOSE(CONTROL!$C$21, $C$9, 100%, $E$9)</f>
        <v>8.7904</v>
      </c>
      <c r="S112" s="14">
        <f>CHOOSE(CONTROL!$C$42, 7.1744, 7.1744) * CHOOSE(CONTROL!$C$21, $C$9, 100%, $E$9)</f>
        <v>7.1744000000000003</v>
      </c>
      <c r="T1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7">
        <f>(1000*CHOOSE(CONTROL!$C$42, 695, 695)*CHOOSE(CONTROL!$C$42, 0.5599, 0.5599)*CHOOSE(CONTROL!$C$42, 30, 30))/1000000</f>
        <v>11.673914999999997</v>
      </c>
      <c r="V112" s="57">
        <f>(1000*CHOOSE(CONTROL!$C$42, 500, 500)*CHOOSE(CONTROL!$C$42, 0.275, 0.275)*CHOOSE(CONTROL!$C$42, 30, 30))/1000000</f>
        <v>4.125</v>
      </c>
      <c r="W112" s="57">
        <f>(1000*CHOOSE(CONTROL!$C$42, 0.1146, 0.1146)*CHOOSE(CONTROL!$C$42, 121.5, 121.5)*CHOOSE(CONTROL!$C$42, 30, 30))/1000000</f>
        <v>0.417717</v>
      </c>
      <c r="X112" s="57">
        <f>(30*0.1790888*245000/1000000)+(30*0.2374*100000/1000000)</f>
        <v>2.0285026799999999</v>
      </c>
      <c r="Y112" s="57"/>
      <c r="Z112" s="14"/>
      <c r="AA112" s="56"/>
      <c r="AB112" s="50">
        <f>(B112*141.293+C112*267.993+D112*115.016+E112*89.698+F112*40+G112*185+H112*0+I112*100+J112*300)/(141.293+267.993+115.016+89.698+0+40+185+100+300)</f>
        <v>7.5222088709443105</v>
      </c>
      <c r="AC112" s="45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7.4069338129496396</v>
      </c>
    </row>
    <row r="113" spans="1:29" ht="15.75" x14ac:dyDescent="0.25">
      <c r="A113" s="13">
        <v>44317</v>
      </c>
      <c r="B113" s="14">
        <f>CHOOSE(CONTROL!$C$42, 7.5588, 7.5588) * CHOOSE(CONTROL!$C$21, $C$9, 100%, $E$9)</f>
        <v>7.5587999999999997</v>
      </c>
      <c r="C113" s="14">
        <f>CHOOSE(CONTROL!$C$42, 7.5668, 7.5668) * CHOOSE(CONTROL!$C$21, $C$9, 100%, $E$9)</f>
        <v>7.5667999999999997</v>
      </c>
      <c r="D113" s="14">
        <f>CHOOSE(CONTROL!$C$42, 7.8004, 7.8004) * CHOOSE(CONTROL!$C$21, $C$9, 100%, $E$9)</f>
        <v>7.8003999999999998</v>
      </c>
      <c r="E113" s="14">
        <f>CHOOSE(CONTROL!$C$42, 7.8318, 7.8318) * CHOOSE(CONTROL!$C$21, $C$9, 100%, $E$9)</f>
        <v>7.8318000000000003</v>
      </c>
      <c r="F113" s="14">
        <f>CHOOSE(CONTROL!$C$42, 7.5555, 7.5555)*CHOOSE(CONTROL!$C$21, $C$9, 100%, $E$9)</f>
        <v>7.5555000000000003</v>
      </c>
      <c r="G113" s="14">
        <f>CHOOSE(CONTROL!$C$42, 7.5719, 7.5719)*CHOOSE(CONTROL!$C$21, $C$9, 100%, $E$9)</f>
        <v>7.5719000000000003</v>
      </c>
      <c r="H113" s="14">
        <f>CHOOSE(CONTROL!$C$42, 7.8205, 7.8205) * CHOOSE(CONTROL!$C$21, $C$9, 100%, $E$9)</f>
        <v>7.8205</v>
      </c>
      <c r="I113" s="14">
        <f>CHOOSE(CONTROL!$C$42, 7.5983, 7.5983)* CHOOSE(CONTROL!$C$21, $C$9, 100%, $E$9)</f>
        <v>7.5983000000000001</v>
      </c>
      <c r="J113" s="14">
        <f>CHOOSE(CONTROL!$C$42, 7.5485, 7.5485)* CHOOSE(CONTROL!$C$21, $C$9, 100%, $E$9)</f>
        <v>7.5484999999999998</v>
      </c>
      <c r="K113" s="53">
        <f>CHOOSE(CONTROL!$C$42, 7.5944, 7.5944) * CHOOSE(CONTROL!$C$21, $C$9, 100%, $E$9)</f>
        <v>7.5944000000000003</v>
      </c>
      <c r="L113" s="14">
        <f>CHOOSE(CONTROL!$C$42, 8.4075, 8.4075) * CHOOSE(CONTROL!$C$21, $C$9, 100%, $E$9)</f>
        <v>8.4075000000000006</v>
      </c>
      <c r="M113" s="14">
        <f>CHOOSE(CONTROL!$C$42, 7.4016, 7.4016) * CHOOSE(CONTROL!$C$21, $C$9, 100%, $E$9)</f>
        <v>7.4016000000000002</v>
      </c>
      <c r="N113" s="14">
        <f>CHOOSE(CONTROL!$C$42, 7.4176, 7.4176) * CHOOSE(CONTROL!$C$21, $C$9, 100%, $E$9)</f>
        <v>7.4176000000000002</v>
      </c>
      <c r="O113" s="14">
        <f>CHOOSE(CONTROL!$C$42, 7.6679, 7.6679) * CHOOSE(CONTROL!$C$21, $C$9, 100%, $E$9)</f>
        <v>7.6679000000000004</v>
      </c>
      <c r="P113" s="14">
        <f>CHOOSE(CONTROL!$C$42, 7.4499, 7.4499) * CHOOSE(CONTROL!$C$21, $C$9, 100%, $E$9)</f>
        <v>7.4499000000000004</v>
      </c>
      <c r="Q113" s="14">
        <f>CHOOSE(CONTROL!$C$42, 8.2626, 8.2626) * CHOOSE(CONTROL!$C$21, $C$9, 100%, $E$9)</f>
        <v>8.2626000000000008</v>
      </c>
      <c r="R113" s="14">
        <f>CHOOSE(CONTROL!$C$42, 8.8703, 8.8703) * CHOOSE(CONTROL!$C$21, $C$9, 100%, $E$9)</f>
        <v>8.8703000000000003</v>
      </c>
      <c r="S113" s="14">
        <f>CHOOSE(CONTROL!$C$42, 7.2526, 7.2526) * CHOOSE(CONTROL!$C$21, $C$9, 100%, $E$9)</f>
        <v>7.2526000000000002</v>
      </c>
      <c r="T1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7">
        <f>(1000*CHOOSE(CONTROL!$C$42, 695, 695)*CHOOSE(CONTROL!$C$42, 0.5599, 0.5599)*CHOOSE(CONTROL!$C$42, 31, 31))/1000000</f>
        <v>12.063045499999998</v>
      </c>
      <c r="V113" s="57">
        <f>(1000*CHOOSE(CONTROL!$C$42, 500, 500)*CHOOSE(CONTROL!$C$42, 0.275, 0.275)*CHOOSE(CONTROL!$C$42, 31, 31))/1000000</f>
        <v>4.2625000000000002</v>
      </c>
      <c r="W113" s="57">
        <f>(1000*CHOOSE(CONTROL!$C$42, 0.1146, 0.1146)*CHOOSE(CONTROL!$C$42, 121.5, 121.5)*CHOOSE(CONTROL!$C$42, 31, 31))/1000000</f>
        <v>0.43164089999999994</v>
      </c>
      <c r="X113" s="57">
        <f>(31*0.1790888*245000/1000000)+(31*0.2374*100000/1000000)</f>
        <v>2.0961194359999999</v>
      </c>
      <c r="Y113" s="57"/>
      <c r="Z113" s="14"/>
      <c r="AA113" s="56"/>
      <c r="AB113" s="50">
        <f>(B113*194.205+C113*267.466+D113*133.845+E113*53.484+F113*40+G113*185+H113*0+I113*100+J113*300)/(194.205+267.466+133.845+53.484+0+40+185+100+300)</f>
        <v>7.5997963202511771</v>
      </c>
      <c r="AC113" s="45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7.4869503597122291</v>
      </c>
    </row>
    <row r="114" spans="1:29" ht="15.75" x14ac:dyDescent="0.25">
      <c r="A114" s="13">
        <v>44348</v>
      </c>
      <c r="B114" s="14">
        <f>CHOOSE(CONTROL!$C$42, 7.7888, 7.7888) * CHOOSE(CONTROL!$C$21, $C$9, 100%, $E$9)</f>
        <v>7.7888000000000002</v>
      </c>
      <c r="C114" s="14">
        <f>CHOOSE(CONTROL!$C$42, 7.7968, 7.7968) * CHOOSE(CONTROL!$C$21, $C$9, 100%, $E$9)</f>
        <v>7.7968000000000002</v>
      </c>
      <c r="D114" s="14">
        <f>CHOOSE(CONTROL!$C$42, 8.0304, 8.0304) * CHOOSE(CONTROL!$C$21, $C$9, 100%, $E$9)</f>
        <v>8.0304000000000002</v>
      </c>
      <c r="E114" s="14">
        <f>CHOOSE(CONTROL!$C$42, 8.0619, 8.0619) * CHOOSE(CONTROL!$C$21, $C$9, 100%, $E$9)</f>
        <v>8.0618999999999996</v>
      </c>
      <c r="F114" s="14">
        <f>CHOOSE(CONTROL!$C$42, 7.7861, 7.7861)*CHOOSE(CONTROL!$C$21, $C$9, 100%, $E$9)</f>
        <v>7.7861000000000002</v>
      </c>
      <c r="G114" s="14">
        <f>CHOOSE(CONTROL!$C$42, 7.8025, 7.8025)*CHOOSE(CONTROL!$C$21, $C$9, 100%, $E$9)</f>
        <v>7.8025000000000002</v>
      </c>
      <c r="H114" s="14">
        <f>CHOOSE(CONTROL!$C$42, 8.0505, 8.0505) * CHOOSE(CONTROL!$C$21, $C$9, 100%, $E$9)</f>
        <v>8.0504999999999995</v>
      </c>
      <c r="I114" s="14">
        <f>CHOOSE(CONTROL!$C$42, 7.8291, 7.8291)* CHOOSE(CONTROL!$C$21, $C$9, 100%, $E$9)</f>
        <v>7.8291000000000004</v>
      </c>
      <c r="J114" s="14">
        <f>CHOOSE(CONTROL!$C$42, 7.7791, 7.7791)* CHOOSE(CONTROL!$C$21, $C$9, 100%, $E$9)</f>
        <v>7.7790999999999997</v>
      </c>
      <c r="K114" s="53">
        <f>CHOOSE(CONTROL!$C$42, 7.8252, 7.8252) * CHOOSE(CONTROL!$C$21, $C$9, 100%, $E$9)</f>
        <v>7.8251999999999997</v>
      </c>
      <c r="L114" s="14">
        <f>CHOOSE(CONTROL!$C$42, 8.6375, 8.6375) * CHOOSE(CONTROL!$C$21, $C$9, 100%, $E$9)</f>
        <v>8.6374999999999993</v>
      </c>
      <c r="M114" s="14">
        <f>CHOOSE(CONTROL!$C$42, 7.6274, 7.6274) * CHOOSE(CONTROL!$C$21, $C$9, 100%, $E$9)</f>
        <v>7.6273999999999997</v>
      </c>
      <c r="N114" s="14">
        <f>CHOOSE(CONTROL!$C$42, 7.6435, 7.6435) * CHOOSE(CONTROL!$C$21, $C$9, 100%, $E$9)</f>
        <v>7.6435000000000004</v>
      </c>
      <c r="O114" s="14">
        <f>CHOOSE(CONTROL!$C$42, 7.8933, 7.8933) * CHOOSE(CONTROL!$C$21, $C$9, 100%, $E$9)</f>
        <v>7.8933</v>
      </c>
      <c r="P114" s="14">
        <f>CHOOSE(CONTROL!$C$42, 7.676, 7.676) * CHOOSE(CONTROL!$C$21, $C$9, 100%, $E$9)</f>
        <v>7.6760000000000002</v>
      </c>
      <c r="Q114" s="14">
        <f>CHOOSE(CONTROL!$C$42, 8.488, 8.488) * CHOOSE(CONTROL!$C$21, $C$9, 100%, $E$9)</f>
        <v>8.4879999999999995</v>
      </c>
      <c r="R114" s="14">
        <f>CHOOSE(CONTROL!$C$42, 9.0962, 9.0962) * CHOOSE(CONTROL!$C$21, $C$9, 100%, $E$9)</f>
        <v>9.0961999999999996</v>
      </c>
      <c r="S114" s="14">
        <f>CHOOSE(CONTROL!$C$42, 7.4736, 7.4736) * CHOOSE(CONTROL!$C$21, $C$9, 100%, $E$9)</f>
        <v>7.4736000000000002</v>
      </c>
      <c r="T1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7">
        <f>(1000*CHOOSE(CONTROL!$C$42, 695, 695)*CHOOSE(CONTROL!$C$42, 0.5599, 0.5599)*CHOOSE(CONTROL!$C$42, 30, 30))/1000000</f>
        <v>11.673914999999997</v>
      </c>
      <c r="V114" s="57">
        <f>(1000*CHOOSE(CONTROL!$C$42, 500, 500)*CHOOSE(CONTROL!$C$42, 0.275, 0.275)*CHOOSE(CONTROL!$C$42, 30, 30))/1000000</f>
        <v>4.125</v>
      </c>
      <c r="W114" s="57">
        <f>(1000*CHOOSE(CONTROL!$C$42, 0.1146, 0.1146)*CHOOSE(CONTROL!$C$42, 121.5, 121.5)*CHOOSE(CONTROL!$C$42, 30, 30))/1000000</f>
        <v>0.417717</v>
      </c>
      <c r="X114" s="57">
        <f>(30*0.1790888*245000/1000000)+(30*0.2374*100000/1000000)</f>
        <v>2.0285026799999999</v>
      </c>
      <c r="Y114" s="57"/>
      <c r="Z114" s="14"/>
      <c r="AA114" s="56"/>
      <c r="AB114" s="50">
        <f>(B114*194.205+C114*267.466+D114*133.845+E114*53.484+F114*40+G114*185+H114*0+I114*100+J114*300)/(194.205+267.466+133.845+53.484+0+40+185+100+300)</f>
        <v>7.8301105654631087</v>
      </c>
      <c r="AC114" s="45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7.7127043165467635</v>
      </c>
    </row>
    <row r="115" spans="1:29" ht="15.75" x14ac:dyDescent="0.25">
      <c r="A115" s="13">
        <v>44378</v>
      </c>
      <c r="B115" s="14">
        <f>CHOOSE(CONTROL!$C$42, 7.6553, 7.6553) * CHOOSE(CONTROL!$C$21, $C$9, 100%, $E$9)</f>
        <v>7.6553000000000004</v>
      </c>
      <c r="C115" s="14">
        <f>CHOOSE(CONTROL!$C$42, 7.6634, 7.6634) * CHOOSE(CONTROL!$C$21, $C$9, 100%, $E$9)</f>
        <v>7.6634000000000002</v>
      </c>
      <c r="D115" s="14">
        <f>CHOOSE(CONTROL!$C$42, 7.897, 7.897) * CHOOSE(CONTROL!$C$21, $C$9, 100%, $E$9)</f>
        <v>7.8970000000000002</v>
      </c>
      <c r="E115" s="14">
        <f>CHOOSE(CONTROL!$C$42, 7.9284, 7.9284) * CHOOSE(CONTROL!$C$21, $C$9, 100%, $E$9)</f>
        <v>7.9283999999999999</v>
      </c>
      <c r="F115" s="14">
        <f>CHOOSE(CONTROL!$C$42, 7.6531, 7.6531)*CHOOSE(CONTROL!$C$21, $C$9, 100%, $E$9)</f>
        <v>7.6531000000000002</v>
      </c>
      <c r="G115" s="14">
        <f>CHOOSE(CONTROL!$C$42, 7.6697, 7.6697)*CHOOSE(CONTROL!$C$21, $C$9, 100%, $E$9)</f>
        <v>7.6696999999999997</v>
      </c>
      <c r="H115" s="14">
        <f>CHOOSE(CONTROL!$C$42, 7.9171, 7.9171) * CHOOSE(CONTROL!$C$21, $C$9, 100%, $E$9)</f>
        <v>7.9170999999999996</v>
      </c>
      <c r="I115" s="14">
        <f>CHOOSE(CONTROL!$C$42, 7.6952, 7.6952)* CHOOSE(CONTROL!$C$21, $C$9, 100%, $E$9)</f>
        <v>7.6951999999999998</v>
      </c>
      <c r="J115" s="14">
        <f>CHOOSE(CONTROL!$C$42, 7.6461, 7.6461)* CHOOSE(CONTROL!$C$21, $C$9, 100%, $E$9)</f>
        <v>7.6460999999999997</v>
      </c>
      <c r="K115" s="53">
        <f>CHOOSE(CONTROL!$C$42, 7.6913, 7.6913) * CHOOSE(CONTROL!$C$21, $C$9, 100%, $E$9)</f>
        <v>7.6913</v>
      </c>
      <c r="L115" s="14">
        <f>CHOOSE(CONTROL!$C$42, 8.5041, 8.5041) * CHOOSE(CONTROL!$C$21, $C$9, 100%, $E$9)</f>
        <v>8.5040999999999993</v>
      </c>
      <c r="M115" s="14">
        <f>CHOOSE(CONTROL!$C$42, 7.4971, 7.4971) * CHOOSE(CONTROL!$C$21, $C$9, 100%, $E$9)</f>
        <v>7.4970999999999997</v>
      </c>
      <c r="N115" s="14">
        <f>CHOOSE(CONTROL!$C$42, 7.5134, 7.5134) * CHOOSE(CONTROL!$C$21, $C$9, 100%, $E$9)</f>
        <v>7.5133999999999999</v>
      </c>
      <c r="O115" s="14">
        <f>CHOOSE(CONTROL!$C$42, 7.7625, 7.7625) * CHOOSE(CONTROL!$C$21, $C$9, 100%, $E$9)</f>
        <v>7.7625000000000002</v>
      </c>
      <c r="P115" s="14">
        <f>CHOOSE(CONTROL!$C$42, 7.5448, 7.5448) * CHOOSE(CONTROL!$C$21, $C$9, 100%, $E$9)</f>
        <v>7.5448000000000004</v>
      </c>
      <c r="Q115" s="14">
        <f>CHOOSE(CONTROL!$C$42, 8.3572, 8.3572) * CHOOSE(CONTROL!$C$21, $C$9, 100%, $E$9)</f>
        <v>8.3572000000000006</v>
      </c>
      <c r="R115" s="14">
        <f>CHOOSE(CONTROL!$C$42, 8.9651, 8.9651) * CHOOSE(CONTROL!$C$21, $C$9, 100%, $E$9)</f>
        <v>8.9650999999999996</v>
      </c>
      <c r="S115" s="14">
        <f>CHOOSE(CONTROL!$C$42, 7.3454, 7.3454) * CHOOSE(CONTROL!$C$21, $C$9, 100%, $E$9)</f>
        <v>7.3453999999999997</v>
      </c>
      <c r="T1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7">
        <f>(1000*CHOOSE(CONTROL!$C$42, 695, 695)*CHOOSE(CONTROL!$C$42, 0.5599, 0.5599)*CHOOSE(CONTROL!$C$42, 31, 31))/1000000</f>
        <v>12.063045499999998</v>
      </c>
      <c r="V115" s="57">
        <f>(1000*CHOOSE(CONTROL!$C$42, 500, 500)*CHOOSE(CONTROL!$C$42, 0.275, 0.275)*CHOOSE(CONTROL!$C$42, 31, 31))/1000000</f>
        <v>4.2625000000000002</v>
      </c>
      <c r="W115" s="57">
        <f>(1000*CHOOSE(CONTROL!$C$42, 0.1146, 0.1146)*CHOOSE(CONTROL!$C$42, 121.5, 121.5)*CHOOSE(CONTROL!$C$42, 31, 31))/1000000</f>
        <v>0.43164089999999994</v>
      </c>
      <c r="X115" s="57">
        <f>(31*0.1790888*245000/1000000)+(31*0.2374*100000/1000000)</f>
        <v>2.0961194359999999</v>
      </c>
      <c r="Y115" s="57"/>
      <c r="Z115" s="14"/>
      <c r="AA115" s="56"/>
      <c r="AB115" s="50">
        <f>(B115*194.205+C115*267.466+D115*133.845+E115*53.484+F115*40+G115*185+H115*0+I115*100+J115*300)/(194.205+267.466+133.845+53.484+0+40+185+100+300)</f>
        <v>7.6968457547095763</v>
      </c>
      <c r="AC115" s="45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7.5821805755395681</v>
      </c>
    </row>
    <row r="116" spans="1:29" ht="15.75" x14ac:dyDescent="0.25">
      <c r="A116" s="13">
        <v>44409</v>
      </c>
      <c r="B116" s="14">
        <f>CHOOSE(CONTROL!$C$42, 7.2928, 7.2928) * CHOOSE(CONTROL!$C$21, $C$9, 100%, $E$9)</f>
        <v>7.2927999999999997</v>
      </c>
      <c r="C116" s="14">
        <f>CHOOSE(CONTROL!$C$42, 7.3008, 7.3008) * CHOOSE(CONTROL!$C$21, $C$9, 100%, $E$9)</f>
        <v>7.3007999999999997</v>
      </c>
      <c r="D116" s="14">
        <f>CHOOSE(CONTROL!$C$42, 7.5344, 7.5344) * CHOOSE(CONTROL!$C$21, $C$9, 100%, $E$9)</f>
        <v>7.5343999999999998</v>
      </c>
      <c r="E116" s="14">
        <f>CHOOSE(CONTROL!$C$42, 7.5659, 7.5659) * CHOOSE(CONTROL!$C$21, $C$9, 100%, $E$9)</f>
        <v>7.5659000000000001</v>
      </c>
      <c r="F116" s="14">
        <f>CHOOSE(CONTROL!$C$42, 7.2908, 7.2908)*CHOOSE(CONTROL!$C$21, $C$9, 100%, $E$9)</f>
        <v>7.2907999999999999</v>
      </c>
      <c r="G116" s="14">
        <f>CHOOSE(CONTROL!$C$42, 7.3074, 7.3074)*CHOOSE(CONTROL!$C$21, $C$9, 100%, $E$9)</f>
        <v>7.3074000000000003</v>
      </c>
      <c r="H116" s="14">
        <f>CHOOSE(CONTROL!$C$42, 7.5545, 7.5545) * CHOOSE(CONTROL!$C$21, $C$9, 100%, $E$9)</f>
        <v>7.5545</v>
      </c>
      <c r="I116" s="14">
        <f>CHOOSE(CONTROL!$C$42, 7.3315, 7.3315)* CHOOSE(CONTROL!$C$21, $C$9, 100%, $E$9)</f>
        <v>7.3315000000000001</v>
      </c>
      <c r="J116" s="14">
        <f>CHOOSE(CONTROL!$C$42, 7.2838, 7.2838)* CHOOSE(CONTROL!$C$21, $C$9, 100%, $E$9)</f>
        <v>7.2838000000000003</v>
      </c>
      <c r="K116" s="53">
        <f>CHOOSE(CONTROL!$C$42, 7.3276, 7.3276) * CHOOSE(CONTROL!$C$21, $C$9, 100%, $E$9)</f>
        <v>7.3276000000000003</v>
      </c>
      <c r="L116" s="14">
        <f>CHOOSE(CONTROL!$C$42, 8.1415, 8.1415) * CHOOSE(CONTROL!$C$21, $C$9, 100%, $E$9)</f>
        <v>8.1415000000000006</v>
      </c>
      <c r="M116" s="14">
        <f>CHOOSE(CONTROL!$C$42, 7.1422, 7.1422) * CHOOSE(CONTROL!$C$21, $C$9, 100%, $E$9)</f>
        <v>7.1421999999999999</v>
      </c>
      <c r="N116" s="14">
        <f>CHOOSE(CONTROL!$C$42, 7.1585, 7.1585) * CHOOSE(CONTROL!$C$21, $C$9, 100%, $E$9)</f>
        <v>7.1585000000000001</v>
      </c>
      <c r="O116" s="14">
        <f>CHOOSE(CONTROL!$C$42, 7.4074, 7.4074) * CHOOSE(CONTROL!$C$21, $C$9, 100%, $E$9)</f>
        <v>7.4074</v>
      </c>
      <c r="P116" s="14">
        <f>CHOOSE(CONTROL!$C$42, 7.1886, 7.1886) * CHOOSE(CONTROL!$C$21, $C$9, 100%, $E$9)</f>
        <v>7.1886000000000001</v>
      </c>
      <c r="Q116" s="14">
        <f>CHOOSE(CONTROL!$C$42, 8.0021, 8.0021) * CHOOSE(CONTROL!$C$21, $C$9, 100%, $E$9)</f>
        <v>8.0021000000000004</v>
      </c>
      <c r="R116" s="14">
        <f>CHOOSE(CONTROL!$C$42, 8.6091, 8.6091) * CHOOSE(CONTROL!$C$21, $C$9, 100%, $E$9)</f>
        <v>8.6090999999999998</v>
      </c>
      <c r="S116" s="14">
        <f>CHOOSE(CONTROL!$C$42, 6.997, 6.997) * CHOOSE(CONTROL!$C$21, $C$9, 100%, $E$9)</f>
        <v>6.9969999999999999</v>
      </c>
      <c r="T1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7">
        <f>(1000*CHOOSE(CONTROL!$C$42, 695, 695)*CHOOSE(CONTROL!$C$42, 0.5599, 0.5599)*CHOOSE(CONTROL!$C$42, 31, 31))/1000000</f>
        <v>12.063045499999998</v>
      </c>
      <c r="V116" s="57">
        <f>(1000*CHOOSE(CONTROL!$C$42, 500, 500)*CHOOSE(CONTROL!$C$42, 0.275, 0.275)*CHOOSE(CONTROL!$C$42, 31, 31))/1000000</f>
        <v>4.2625000000000002</v>
      </c>
      <c r="W116" s="57">
        <f>(1000*CHOOSE(CONTROL!$C$42, 0.1146, 0.1146)*CHOOSE(CONTROL!$C$42, 121.5, 121.5)*CHOOSE(CONTROL!$C$42, 31, 31))/1000000</f>
        <v>0.43164089999999994</v>
      </c>
      <c r="X116" s="57">
        <f>(31*0.1790888*245000/1000000)+(31*0.2374*100000/1000000)</f>
        <v>2.0961194359999999</v>
      </c>
      <c r="Y116" s="57"/>
      <c r="Z116" s="14"/>
      <c r="AA116" s="56"/>
      <c r="AB116" s="50">
        <f>(B116*194.205+C116*267.466+D116*133.845+E116*53.484+F116*40+G116*185+H116*0+I116*100+J116*300)/(194.205+267.466+133.845+53.484+0+40+185+100+300)</f>
        <v>7.3343024806907371</v>
      </c>
      <c r="AC116" s="45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7.2270374100719428</v>
      </c>
    </row>
    <row r="117" spans="1:29" ht="15.75" x14ac:dyDescent="0.25">
      <c r="A117" s="13">
        <v>44440</v>
      </c>
      <c r="B117" s="14">
        <f>CHOOSE(CONTROL!$C$42, 6.8441, 6.8441) * CHOOSE(CONTROL!$C$21, $C$9, 100%, $E$9)</f>
        <v>6.8441000000000001</v>
      </c>
      <c r="C117" s="14">
        <f>CHOOSE(CONTROL!$C$42, 6.8522, 6.8522) * CHOOSE(CONTROL!$C$21, $C$9, 100%, $E$9)</f>
        <v>6.8521999999999998</v>
      </c>
      <c r="D117" s="14">
        <f>CHOOSE(CONTROL!$C$42, 7.0858, 7.0858) * CHOOSE(CONTROL!$C$21, $C$9, 100%, $E$9)</f>
        <v>7.0857999999999999</v>
      </c>
      <c r="E117" s="14">
        <f>CHOOSE(CONTROL!$C$42, 7.1172, 7.1172) * CHOOSE(CONTROL!$C$21, $C$9, 100%, $E$9)</f>
        <v>7.1172000000000004</v>
      </c>
      <c r="F117" s="14">
        <f>CHOOSE(CONTROL!$C$42, 6.8422, 6.8422)*CHOOSE(CONTROL!$C$21, $C$9, 100%, $E$9)</f>
        <v>6.8422000000000001</v>
      </c>
      <c r="G117" s="14">
        <f>CHOOSE(CONTROL!$C$42, 6.8588, 6.8588)*CHOOSE(CONTROL!$C$21, $C$9, 100%, $E$9)</f>
        <v>6.8587999999999996</v>
      </c>
      <c r="H117" s="14">
        <f>CHOOSE(CONTROL!$C$42, 7.1059, 7.1059) * CHOOSE(CONTROL!$C$21, $C$9, 100%, $E$9)</f>
        <v>7.1059000000000001</v>
      </c>
      <c r="I117" s="14">
        <f>CHOOSE(CONTROL!$C$42, 6.8815, 6.8815)* CHOOSE(CONTROL!$C$21, $C$9, 100%, $E$9)</f>
        <v>6.8815</v>
      </c>
      <c r="J117" s="14">
        <f>CHOOSE(CONTROL!$C$42, 6.8352, 6.8352)* CHOOSE(CONTROL!$C$21, $C$9, 100%, $E$9)</f>
        <v>6.8352000000000004</v>
      </c>
      <c r="K117" s="53">
        <f>CHOOSE(CONTROL!$C$42, 6.8776, 6.8776) * CHOOSE(CONTROL!$C$21, $C$9, 100%, $E$9)</f>
        <v>6.8776000000000002</v>
      </c>
      <c r="L117" s="14">
        <f>CHOOSE(CONTROL!$C$42, 7.6929, 7.6929) * CHOOSE(CONTROL!$C$21, $C$9, 100%, $E$9)</f>
        <v>7.6928999999999998</v>
      </c>
      <c r="M117" s="14">
        <f>CHOOSE(CONTROL!$C$42, 6.7028, 6.7028) * CHOOSE(CONTROL!$C$21, $C$9, 100%, $E$9)</f>
        <v>6.7027999999999999</v>
      </c>
      <c r="N117" s="14">
        <f>CHOOSE(CONTROL!$C$42, 6.7191, 6.7191) * CHOOSE(CONTROL!$C$21, $C$9, 100%, $E$9)</f>
        <v>6.7191000000000001</v>
      </c>
      <c r="O117" s="14">
        <f>CHOOSE(CONTROL!$C$42, 6.968, 6.968) * CHOOSE(CONTROL!$C$21, $C$9, 100%, $E$9)</f>
        <v>6.968</v>
      </c>
      <c r="P117" s="14">
        <f>CHOOSE(CONTROL!$C$42, 6.7478, 6.7478) * CHOOSE(CONTROL!$C$21, $C$9, 100%, $E$9)</f>
        <v>6.7477999999999998</v>
      </c>
      <c r="Q117" s="14">
        <f>CHOOSE(CONTROL!$C$42, 7.5627, 7.5627) * CHOOSE(CONTROL!$C$21, $C$9, 100%, $E$9)</f>
        <v>7.5627000000000004</v>
      </c>
      <c r="R117" s="14">
        <f>CHOOSE(CONTROL!$C$42, 8.1686, 8.1686) * CHOOSE(CONTROL!$C$21, $C$9, 100%, $E$9)</f>
        <v>8.1685999999999996</v>
      </c>
      <c r="S117" s="14">
        <f>CHOOSE(CONTROL!$C$42, 6.5659, 6.5659) * CHOOSE(CONTROL!$C$21, $C$9, 100%, $E$9)</f>
        <v>6.5659000000000001</v>
      </c>
      <c r="T1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7">
        <f>(1000*CHOOSE(CONTROL!$C$42, 695, 695)*CHOOSE(CONTROL!$C$42, 0.5599, 0.5599)*CHOOSE(CONTROL!$C$42, 30, 30))/1000000</f>
        <v>11.673914999999997</v>
      </c>
      <c r="V117" s="57">
        <f>(1000*CHOOSE(CONTROL!$C$42, 500, 500)*CHOOSE(CONTROL!$C$42, 0.275, 0.275)*CHOOSE(CONTROL!$C$42, 30, 30))/1000000</f>
        <v>4.125</v>
      </c>
      <c r="W117" s="57">
        <f>(1000*CHOOSE(CONTROL!$C$42, 0.1146, 0.1146)*CHOOSE(CONTROL!$C$42, 121.5, 121.5)*CHOOSE(CONTROL!$C$42, 30, 30))/1000000</f>
        <v>0.417717</v>
      </c>
      <c r="X117" s="57">
        <f>(30*0.1790888*245000/1000000)+(30*0.2374*100000/1000000)</f>
        <v>2.0285026799999999</v>
      </c>
      <c r="Y117" s="57"/>
      <c r="Z117" s="14"/>
      <c r="AA117" s="56"/>
      <c r="AB117" s="50">
        <f>(B117*194.205+C117*267.466+D117*133.845+E117*53.484+F117*40+G117*185+H117*0+I117*100+J117*300)/(194.205+267.466+133.845+53.484+0+40+185+100+300)</f>
        <v>6.8855731487441139</v>
      </c>
      <c r="AC117" s="45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6.7874359712230214</v>
      </c>
    </row>
    <row r="118" spans="1:29" ht="15.75" x14ac:dyDescent="0.25">
      <c r="A118" s="13">
        <v>44470</v>
      </c>
      <c r="B118" s="14">
        <f>CHOOSE(CONTROL!$C$42, 6.7175, 6.7175) * CHOOSE(CONTROL!$C$21, $C$9, 100%, $E$9)</f>
        <v>6.7175000000000002</v>
      </c>
      <c r="C118" s="14">
        <f>CHOOSE(CONTROL!$C$42, 6.7228, 6.7228) * CHOOSE(CONTROL!$C$21, $C$9, 100%, $E$9)</f>
        <v>6.7228000000000003</v>
      </c>
      <c r="D118" s="14">
        <f>CHOOSE(CONTROL!$C$42, 6.9613, 6.9613) * CHOOSE(CONTROL!$C$21, $C$9, 100%, $E$9)</f>
        <v>6.9612999999999996</v>
      </c>
      <c r="E118" s="14">
        <f>CHOOSE(CONTROL!$C$42, 6.9905, 6.9905) * CHOOSE(CONTROL!$C$21, $C$9, 100%, $E$9)</f>
        <v>6.9904999999999999</v>
      </c>
      <c r="F118" s="14">
        <f>CHOOSE(CONTROL!$C$42, 6.7175, 6.7175)*CHOOSE(CONTROL!$C$21, $C$9, 100%, $E$9)</f>
        <v>6.7175000000000002</v>
      </c>
      <c r="G118" s="14">
        <f>CHOOSE(CONTROL!$C$42, 6.7338, 6.7338)*CHOOSE(CONTROL!$C$21, $C$9, 100%, $E$9)</f>
        <v>6.7337999999999996</v>
      </c>
      <c r="H118" s="14">
        <f>CHOOSE(CONTROL!$C$42, 6.9809, 6.9809) * CHOOSE(CONTROL!$C$21, $C$9, 100%, $E$9)</f>
        <v>6.9809000000000001</v>
      </c>
      <c r="I118" s="14">
        <f>CHOOSE(CONTROL!$C$42, 6.7561, 6.7561)* CHOOSE(CONTROL!$C$21, $C$9, 100%, $E$9)</f>
        <v>6.7561</v>
      </c>
      <c r="J118" s="14">
        <f>CHOOSE(CONTROL!$C$42, 6.7105, 6.7105)* CHOOSE(CONTROL!$C$21, $C$9, 100%, $E$9)</f>
        <v>6.7104999999999997</v>
      </c>
      <c r="K118" s="53">
        <f>CHOOSE(CONTROL!$C$42, 6.7522, 6.7522) * CHOOSE(CONTROL!$C$21, $C$9, 100%, $E$9)</f>
        <v>6.7522000000000002</v>
      </c>
      <c r="L118" s="14">
        <f>CHOOSE(CONTROL!$C$42, 7.5679, 7.5679) * CHOOSE(CONTROL!$C$21, $C$9, 100%, $E$9)</f>
        <v>7.5678999999999998</v>
      </c>
      <c r="M118" s="14">
        <f>CHOOSE(CONTROL!$C$42, 6.5807, 6.5807) * CHOOSE(CONTROL!$C$21, $C$9, 100%, $E$9)</f>
        <v>6.5807000000000002</v>
      </c>
      <c r="N118" s="14">
        <f>CHOOSE(CONTROL!$C$42, 6.5966, 6.5966) * CHOOSE(CONTROL!$C$21, $C$9, 100%, $E$9)</f>
        <v>6.5965999999999996</v>
      </c>
      <c r="O118" s="14">
        <f>CHOOSE(CONTROL!$C$42, 6.8456, 6.8456) * CHOOSE(CONTROL!$C$21, $C$9, 100%, $E$9)</f>
        <v>6.8456000000000001</v>
      </c>
      <c r="P118" s="14">
        <f>CHOOSE(CONTROL!$C$42, 6.6251, 6.6251) * CHOOSE(CONTROL!$C$21, $C$9, 100%, $E$9)</f>
        <v>6.6250999999999998</v>
      </c>
      <c r="Q118" s="14">
        <f>CHOOSE(CONTROL!$C$42, 7.4403, 7.4403) * CHOOSE(CONTROL!$C$21, $C$9, 100%, $E$9)</f>
        <v>7.4402999999999997</v>
      </c>
      <c r="R118" s="14">
        <f>CHOOSE(CONTROL!$C$42, 8.0459, 8.0459) * CHOOSE(CONTROL!$C$21, $C$9, 100%, $E$9)</f>
        <v>8.0458999999999996</v>
      </c>
      <c r="S118" s="14">
        <f>CHOOSE(CONTROL!$C$42, 6.4459, 6.4459) * CHOOSE(CONTROL!$C$21, $C$9, 100%, $E$9)</f>
        <v>6.4459</v>
      </c>
      <c r="T1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7">
        <f>(1000*CHOOSE(CONTROL!$C$42, 695, 695)*CHOOSE(CONTROL!$C$42, 0.5599, 0.5599)*CHOOSE(CONTROL!$C$42, 31, 31))/1000000</f>
        <v>12.063045499999998</v>
      </c>
      <c r="V118" s="57">
        <f>(1000*CHOOSE(CONTROL!$C$42, 500, 500)*CHOOSE(CONTROL!$C$42, 0.275, 0.275)*CHOOSE(CONTROL!$C$42, 31, 31))/1000000</f>
        <v>4.2625000000000002</v>
      </c>
      <c r="W118" s="57">
        <f>(1000*CHOOSE(CONTROL!$C$42, 0.1146, 0.1146)*CHOOSE(CONTROL!$C$42, 121.5, 121.5)*CHOOSE(CONTROL!$C$42, 31, 31))/1000000</f>
        <v>0.43164089999999994</v>
      </c>
      <c r="X118" s="57">
        <f>(31*0.1790888*245000/1000000)+(31*0.2374*100000/1000000)</f>
        <v>2.0961194359999999</v>
      </c>
      <c r="Y118" s="57"/>
      <c r="Z118" s="14"/>
      <c r="AA118" s="56"/>
      <c r="AB118" s="50">
        <f>(B118*131.881+C118*277.167+D118*79.08+E118*125.872+F118*40+G118*185+H118*0+I118*100+J118*300)/(131.881+277.167+79.08+125.872+0+40+185+100+300)</f>
        <v>6.7658351453591594</v>
      </c>
      <c r="AC118" s="45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6.6650733812949632</v>
      </c>
    </row>
    <row r="119" spans="1:29" ht="15.75" x14ac:dyDescent="0.25">
      <c r="A119" s="13">
        <v>44501</v>
      </c>
      <c r="B119" s="14">
        <f>CHOOSE(CONTROL!$C$42, 6.9079, 6.9079) * CHOOSE(CONTROL!$C$21, $C$9, 100%, $E$9)</f>
        <v>6.9078999999999997</v>
      </c>
      <c r="C119" s="14">
        <f>CHOOSE(CONTROL!$C$42, 6.913, 6.913) * CHOOSE(CONTROL!$C$21, $C$9, 100%, $E$9)</f>
        <v>6.9130000000000003</v>
      </c>
      <c r="D119" s="14">
        <f>CHOOSE(CONTROL!$C$42, 6.9872, 6.9872) * CHOOSE(CONTROL!$C$21, $C$9, 100%, $E$9)</f>
        <v>6.9871999999999996</v>
      </c>
      <c r="E119" s="14">
        <f>CHOOSE(CONTROL!$C$42, 7.0213, 7.0213) * CHOOSE(CONTROL!$C$21, $C$9, 100%, $E$9)</f>
        <v>7.0213000000000001</v>
      </c>
      <c r="F119" s="14">
        <f>CHOOSE(CONTROL!$C$42, 6.92, 6.92)*CHOOSE(CONTROL!$C$21, $C$9, 100%, $E$9)</f>
        <v>6.92</v>
      </c>
      <c r="G119" s="14">
        <f>CHOOSE(CONTROL!$C$42, 6.9366, 6.9366)*CHOOSE(CONTROL!$C$21, $C$9, 100%, $E$9)</f>
        <v>6.9366000000000003</v>
      </c>
      <c r="H119" s="14">
        <f>CHOOSE(CONTROL!$C$42, 7.0105, 7.0105) * CHOOSE(CONTROL!$C$21, $C$9, 100%, $E$9)</f>
        <v>7.0105000000000004</v>
      </c>
      <c r="I119" s="14">
        <f>CHOOSE(CONTROL!$C$42, 6.9539, 6.9539)* CHOOSE(CONTROL!$C$21, $C$9, 100%, $E$9)</f>
        <v>6.9539</v>
      </c>
      <c r="J119" s="14">
        <f>CHOOSE(CONTROL!$C$42, 6.913, 6.913)* CHOOSE(CONTROL!$C$21, $C$9, 100%, $E$9)</f>
        <v>6.9130000000000003</v>
      </c>
      <c r="K119" s="53">
        <f>CHOOSE(CONTROL!$C$42, 6.95, 6.95) * CHOOSE(CONTROL!$C$21, $C$9, 100%, $E$9)</f>
        <v>6.95</v>
      </c>
      <c r="L119" s="14">
        <f>CHOOSE(CONTROL!$C$42, 7.5975, 7.5975) * CHOOSE(CONTROL!$C$21, $C$9, 100%, $E$9)</f>
        <v>7.5975000000000001</v>
      </c>
      <c r="M119" s="14">
        <f>CHOOSE(CONTROL!$C$42, 6.779, 6.779) * CHOOSE(CONTROL!$C$21, $C$9, 100%, $E$9)</f>
        <v>6.7789999999999999</v>
      </c>
      <c r="N119" s="14">
        <f>CHOOSE(CONTROL!$C$42, 6.7953, 6.7953) * CHOOSE(CONTROL!$C$21, $C$9, 100%, $E$9)</f>
        <v>6.7953000000000001</v>
      </c>
      <c r="O119" s="14">
        <f>CHOOSE(CONTROL!$C$42, 6.8746, 6.8746) * CHOOSE(CONTROL!$C$21, $C$9, 100%, $E$9)</f>
        <v>6.8746</v>
      </c>
      <c r="P119" s="14">
        <f>CHOOSE(CONTROL!$C$42, 6.8187, 6.8187) * CHOOSE(CONTROL!$C$21, $C$9, 100%, $E$9)</f>
        <v>6.8186999999999998</v>
      </c>
      <c r="Q119" s="14">
        <f>CHOOSE(CONTROL!$C$42, 7.4693, 7.4693) * CHOOSE(CONTROL!$C$21, $C$9, 100%, $E$9)</f>
        <v>7.4692999999999996</v>
      </c>
      <c r="R119" s="14">
        <f>CHOOSE(CONTROL!$C$42, 8.0749, 8.0749) * CHOOSE(CONTROL!$C$21, $C$9, 100%, $E$9)</f>
        <v>8.0748999999999995</v>
      </c>
      <c r="S119" s="14">
        <f>CHOOSE(CONTROL!$C$42, 6.6293, 6.6293) * CHOOSE(CONTROL!$C$21, $C$9, 100%, $E$9)</f>
        <v>6.6292999999999997</v>
      </c>
      <c r="T1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7">
        <f>(1000*CHOOSE(CONTROL!$C$42, 695, 695)*CHOOSE(CONTROL!$C$42, 0.5599, 0.5599)*CHOOSE(CONTROL!$C$42, 30, 30))/1000000</f>
        <v>11.673914999999997</v>
      </c>
      <c r="V119" s="57">
        <f>(1000*CHOOSE(CONTROL!$C$42, 500, 500)*CHOOSE(CONTROL!$C$42, 0.275, 0.275)*CHOOSE(CONTROL!$C$42, 30, 30))/1000000</f>
        <v>4.125</v>
      </c>
      <c r="W119" s="57">
        <f>(1000*CHOOSE(CONTROL!$C$42, 0.1146, 0.1146)*CHOOSE(CONTROL!$C$42, 121.5, 121.5)*CHOOSE(CONTROL!$C$42, 30, 30))/1000000</f>
        <v>0.417717</v>
      </c>
      <c r="X119" s="57">
        <f>(30*0.1790888*100000/1000000)+(30*0.2374*100000/1000000)</f>
        <v>1.2494664</v>
      </c>
      <c r="Y119" s="57"/>
      <c r="Z119" s="14"/>
      <c r="AA119" s="56"/>
      <c r="AB119" s="50">
        <f>(B119*122.58+C119*297.941+D119*89.177+E119*40.302+F119*40+G119*160+H119*0+I119*100+J119*300)/(122.58+297.941+89.177+40.302+0+40+160+100+300)</f>
        <v>6.9290891147826095</v>
      </c>
      <c r="AC119" s="45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6.8289798561151072</v>
      </c>
    </row>
    <row r="120" spans="1:29" ht="15.75" x14ac:dyDescent="0.25">
      <c r="A120" s="13">
        <v>44531</v>
      </c>
      <c r="B120" s="14">
        <f>CHOOSE(CONTROL!$C$42, 7.3934, 7.3934) * CHOOSE(CONTROL!$C$21, $C$9, 100%, $E$9)</f>
        <v>7.3933999999999997</v>
      </c>
      <c r="C120" s="14">
        <f>CHOOSE(CONTROL!$C$42, 7.3985, 7.3985) * CHOOSE(CONTROL!$C$21, $C$9, 100%, $E$9)</f>
        <v>7.3985000000000003</v>
      </c>
      <c r="D120" s="14">
        <f>CHOOSE(CONTROL!$C$42, 7.4727, 7.4727) * CHOOSE(CONTROL!$C$21, $C$9, 100%, $E$9)</f>
        <v>7.4726999999999997</v>
      </c>
      <c r="E120" s="14">
        <f>CHOOSE(CONTROL!$C$42, 7.5068, 7.5068) * CHOOSE(CONTROL!$C$21, $C$9, 100%, $E$9)</f>
        <v>7.5068000000000001</v>
      </c>
      <c r="F120" s="14">
        <f>CHOOSE(CONTROL!$C$42, 7.4076, 7.4076)*CHOOSE(CONTROL!$C$21, $C$9, 100%, $E$9)</f>
        <v>7.4076000000000004</v>
      </c>
      <c r="G120" s="14">
        <f>CHOOSE(CONTROL!$C$42, 7.4248, 7.4248)*CHOOSE(CONTROL!$C$21, $C$9, 100%, $E$9)</f>
        <v>7.4248000000000003</v>
      </c>
      <c r="H120" s="14">
        <f>CHOOSE(CONTROL!$C$42, 7.496, 7.496) * CHOOSE(CONTROL!$C$21, $C$9, 100%, $E$9)</f>
        <v>7.4960000000000004</v>
      </c>
      <c r="I120" s="14">
        <f>CHOOSE(CONTROL!$C$42, 7.4409, 7.4409)* CHOOSE(CONTROL!$C$21, $C$9, 100%, $E$9)</f>
        <v>7.4409000000000001</v>
      </c>
      <c r="J120" s="14">
        <f>CHOOSE(CONTROL!$C$42, 7.4006, 7.4006)* CHOOSE(CONTROL!$C$21, $C$9, 100%, $E$9)</f>
        <v>7.4005999999999998</v>
      </c>
      <c r="K120" s="53">
        <f>CHOOSE(CONTROL!$C$42, 7.437, 7.437) * CHOOSE(CONTROL!$C$21, $C$9, 100%, $E$9)</f>
        <v>7.4370000000000003</v>
      </c>
      <c r="L120" s="14">
        <f>CHOOSE(CONTROL!$C$42, 8.083, 8.083) * CHOOSE(CONTROL!$C$21, $C$9, 100%, $E$9)</f>
        <v>8.0830000000000002</v>
      </c>
      <c r="M120" s="14">
        <f>CHOOSE(CONTROL!$C$42, 7.2567, 7.2567) * CHOOSE(CONTROL!$C$21, $C$9, 100%, $E$9)</f>
        <v>7.2567000000000004</v>
      </c>
      <c r="N120" s="14">
        <f>CHOOSE(CONTROL!$C$42, 7.2735, 7.2735) * CHOOSE(CONTROL!$C$21, $C$9, 100%, $E$9)</f>
        <v>7.2735000000000003</v>
      </c>
      <c r="O120" s="14">
        <f>CHOOSE(CONTROL!$C$42, 7.3501, 7.3501) * CHOOSE(CONTROL!$C$21, $C$9, 100%, $E$9)</f>
        <v>7.3501000000000003</v>
      </c>
      <c r="P120" s="14">
        <f>CHOOSE(CONTROL!$C$42, 7.2957, 7.2957) * CHOOSE(CONTROL!$C$21, $C$9, 100%, $E$9)</f>
        <v>7.2957000000000001</v>
      </c>
      <c r="Q120" s="14">
        <f>CHOOSE(CONTROL!$C$42, 7.9448, 7.9448) * CHOOSE(CONTROL!$C$21, $C$9, 100%, $E$9)</f>
        <v>7.9447999999999999</v>
      </c>
      <c r="R120" s="14">
        <f>CHOOSE(CONTROL!$C$42, 8.5517, 8.5517) * CHOOSE(CONTROL!$C$21, $C$9, 100%, $E$9)</f>
        <v>8.5517000000000003</v>
      </c>
      <c r="S120" s="14">
        <f>CHOOSE(CONTROL!$C$42, 7.0958, 7.0958) * CHOOSE(CONTROL!$C$21, $C$9, 100%, $E$9)</f>
        <v>7.0957999999999997</v>
      </c>
      <c r="T1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7">
        <f>(1000*CHOOSE(CONTROL!$C$42, 695, 695)*CHOOSE(CONTROL!$C$42, 0.5599, 0.5599)*CHOOSE(CONTROL!$C$42, 31, 31))/1000000</f>
        <v>12.063045499999998</v>
      </c>
      <c r="V120" s="57">
        <f>(1000*CHOOSE(CONTROL!$C$42, 500, 500)*CHOOSE(CONTROL!$C$42, 0.275, 0.275)*CHOOSE(CONTROL!$C$42, 31, 31))/1000000</f>
        <v>4.2625000000000002</v>
      </c>
      <c r="W120" s="57">
        <f>(1000*CHOOSE(CONTROL!$C$42, 0.1146, 0.1146)*CHOOSE(CONTROL!$C$42, 121.5, 121.5)*CHOOSE(CONTROL!$C$42, 31, 31))/1000000</f>
        <v>0.43164089999999994</v>
      </c>
      <c r="X120" s="57">
        <f>(31*0.1790888*100000/1000000)+(31*0.2374*100000/1000000)</f>
        <v>1.2911152800000001</v>
      </c>
      <c r="Y120" s="57"/>
      <c r="Z120" s="14"/>
      <c r="AA120" s="56"/>
      <c r="AB120" s="50">
        <f>(B120*122.58+C120*297.941+D120*89.177+E120*40.302+F120*40+G120*160+H120*0+I120*100+J120*300)/(122.58+297.941+89.177+40.302+0+40+160+100+300)</f>
        <v>7.415716071304348</v>
      </c>
      <c r="AC120" s="45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7.3056107913669059</v>
      </c>
    </row>
    <row r="121" spans="1:29" ht="15.75" x14ac:dyDescent="0.25">
      <c r="A121" s="13">
        <v>44562</v>
      </c>
      <c r="B121" s="14">
        <f>CHOOSE(CONTROL!$C$42, 7.8512, 7.8512) * CHOOSE(CONTROL!$C$21, $C$9, 100%, $E$9)</f>
        <v>7.8512000000000004</v>
      </c>
      <c r="C121" s="14">
        <f>CHOOSE(CONTROL!$C$42, 7.8563, 7.8563) * CHOOSE(CONTROL!$C$21, $C$9, 100%, $E$9)</f>
        <v>7.8563000000000001</v>
      </c>
      <c r="D121" s="14">
        <f>CHOOSE(CONTROL!$C$42, 7.9331, 7.9331) * CHOOSE(CONTROL!$C$21, $C$9, 100%, $E$9)</f>
        <v>7.9330999999999996</v>
      </c>
      <c r="E121" s="14">
        <f>CHOOSE(CONTROL!$C$42, 7.9672, 7.9672) * CHOOSE(CONTROL!$C$21, $C$9, 100%, $E$9)</f>
        <v>7.9672000000000001</v>
      </c>
      <c r="F121" s="14">
        <f>CHOOSE(CONTROL!$C$42, 7.8514, 7.8514)*CHOOSE(CONTROL!$C$21, $C$9, 100%, $E$9)</f>
        <v>7.8513999999999999</v>
      </c>
      <c r="G121" s="14">
        <f>CHOOSE(CONTROL!$C$42, 7.8676, 7.8676)*CHOOSE(CONTROL!$C$21, $C$9, 100%, $E$9)</f>
        <v>7.8676000000000004</v>
      </c>
      <c r="H121" s="14">
        <f>CHOOSE(CONTROL!$C$42, 7.9564, 7.9564) * CHOOSE(CONTROL!$C$21, $C$9, 100%, $E$9)</f>
        <v>7.9564000000000004</v>
      </c>
      <c r="I121" s="14">
        <f>CHOOSE(CONTROL!$C$42, 7.8939, 7.8939)* CHOOSE(CONTROL!$C$21, $C$9, 100%, $E$9)</f>
        <v>7.8939000000000004</v>
      </c>
      <c r="J121" s="14">
        <f>CHOOSE(CONTROL!$C$42, 7.8444, 7.8444)* CHOOSE(CONTROL!$C$21, $C$9, 100%, $E$9)</f>
        <v>7.8444000000000003</v>
      </c>
      <c r="K121" s="53">
        <f>CHOOSE(CONTROL!$C$42, 7.89, 7.89) * CHOOSE(CONTROL!$C$21, $C$9, 100%, $E$9)</f>
        <v>7.89</v>
      </c>
      <c r="L121" s="14">
        <f>CHOOSE(CONTROL!$C$42, 8.5434, 8.5434) * CHOOSE(CONTROL!$C$21, $C$9, 100%, $E$9)</f>
        <v>8.5434000000000001</v>
      </c>
      <c r="M121" s="14">
        <f>CHOOSE(CONTROL!$C$42, 7.6914, 7.6914) * CHOOSE(CONTROL!$C$21, $C$9, 100%, $E$9)</f>
        <v>7.6913999999999998</v>
      </c>
      <c r="N121" s="14">
        <f>CHOOSE(CONTROL!$C$42, 7.7073, 7.7073) * CHOOSE(CONTROL!$C$21, $C$9, 100%, $E$9)</f>
        <v>7.7073</v>
      </c>
      <c r="O121" s="14">
        <f>CHOOSE(CONTROL!$C$42, 7.8011, 7.8011) * CHOOSE(CONTROL!$C$21, $C$9, 100%, $E$9)</f>
        <v>7.8010999999999999</v>
      </c>
      <c r="P121" s="14">
        <f>CHOOSE(CONTROL!$C$42, 7.7394, 7.7394) * CHOOSE(CONTROL!$C$21, $C$9, 100%, $E$9)</f>
        <v>7.7393999999999998</v>
      </c>
      <c r="Q121" s="14">
        <f>CHOOSE(CONTROL!$C$42, 8.3958, 8.3958) * CHOOSE(CONTROL!$C$21, $C$9, 100%, $E$9)</f>
        <v>8.3957999999999995</v>
      </c>
      <c r="R121" s="14">
        <f>CHOOSE(CONTROL!$C$42, 9.0038, 9.0038) * CHOOSE(CONTROL!$C$21, $C$9, 100%, $E$9)</f>
        <v>9.0038</v>
      </c>
      <c r="S121" s="14">
        <f>CHOOSE(CONTROL!$C$42, 7.5357, 7.5357) * CHOOSE(CONTROL!$C$21, $C$9, 100%, $E$9)</f>
        <v>7.5357000000000003</v>
      </c>
      <c r="T1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7">
        <f>(1000*CHOOSE(CONTROL!$C$42, 695, 695)*CHOOSE(CONTROL!$C$42, 0.5599, 0.5599)*CHOOSE(CONTROL!$C$42, 31, 31))/1000000</f>
        <v>12.063045499999998</v>
      </c>
      <c r="V121" s="57">
        <f>(1000*CHOOSE(CONTROL!$C$42, 500, 500)*CHOOSE(CONTROL!$C$42, 0.275, 0.275)*CHOOSE(CONTROL!$C$42, 31, 31))/1000000</f>
        <v>4.2625000000000002</v>
      </c>
      <c r="W121" s="57">
        <f>(1000*CHOOSE(CONTROL!$C$42, 0.1146, 0.1146)*CHOOSE(CONTROL!$C$42, 121.5, 121.5)*CHOOSE(CONTROL!$C$42, 31, 31))/1000000</f>
        <v>0.43164089999999994</v>
      </c>
      <c r="X121" s="57">
        <f>(31*0.1790888*100000/1000000)+(31*0.2374*100000/1000000)</f>
        <v>1.2911152800000001</v>
      </c>
      <c r="Y121" s="57"/>
      <c r="Z121" s="14"/>
      <c r="AA121" s="56"/>
      <c r="AB121" s="50">
        <f>(B121*122.58+C121*297.941+D121*89.177+E121*40.302+F121*40+G121*160+H121*0+I121*100+J121*300)/(122.58+297.941+89.177+40.302+0+40+160+100+300)</f>
        <v>7.8671653281739138</v>
      </c>
      <c r="AC121" s="45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7.7489417266187051</v>
      </c>
    </row>
    <row r="122" spans="1:29" ht="15.75" x14ac:dyDescent="0.25">
      <c r="A122" s="13">
        <v>44593</v>
      </c>
      <c r="B122" s="14">
        <f>CHOOSE(CONTROL!$C$42, 8.0072, 8.0072) * CHOOSE(CONTROL!$C$21, $C$9, 100%, $E$9)</f>
        <v>8.0071999999999992</v>
      </c>
      <c r="C122" s="14">
        <f>CHOOSE(CONTROL!$C$42, 8.0123, 8.0123) * CHOOSE(CONTROL!$C$21, $C$9, 100%, $E$9)</f>
        <v>8.0122999999999998</v>
      </c>
      <c r="D122" s="14">
        <f>CHOOSE(CONTROL!$C$42, 8.0891, 8.0891) * CHOOSE(CONTROL!$C$21, $C$9, 100%, $E$9)</f>
        <v>8.0891000000000002</v>
      </c>
      <c r="E122" s="14">
        <f>CHOOSE(CONTROL!$C$42, 8.1232, 8.1232) * CHOOSE(CONTROL!$C$21, $C$9, 100%, $E$9)</f>
        <v>8.1232000000000006</v>
      </c>
      <c r="F122" s="14">
        <f>CHOOSE(CONTROL!$C$42, 8.0075, 8.0075)*CHOOSE(CONTROL!$C$21, $C$9, 100%, $E$9)</f>
        <v>8.0075000000000003</v>
      </c>
      <c r="G122" s="14">
        <f>CHOOSE(CONTROL!$C$42, 8.0237, 8.0237)*CHOOSE(CONTROL!$C$21, $C$9, 100%, $E$9)</f>
        <v>8.0236999999999998</v>
      </c>
      <c r="H122" s="14">
        <f>CHOOSE(CONTROL!$C$42, 8.1124, 8.1124) * CHOOSE(CONTROL!$C$21, $C$9, 100%, $E$9)</f>
        <v>8.1123999999999992</v>
      </c>
      <c r="I122" s="14">
        <f>CHOOSE(CONTROL!$C$42, 8.0504, 8.0504)* CHOOSE(CONTROL!$C$21, $C$9, 100%, $E$9)</f>
        <v>8.0503999999999998</v>
      </c>
      <c r="J122" s="14">
        <f>CHOOSE(CONTROL!$C$42, 8.0005, 8.0005)* CHOOSE(CONTROL!$C$21, $C$9, 100%, $E$9)</f>
        <v>8.0005000000000006</v>
      </c>
      <c r="K122" s="53">
        <f>CHOOSE(CONTROL!$C$42, 8.0465, 8.0465) * CHOOSE(CONTROL!$C$21, $C$9, 100%, $E$9)</f>
        <v>8.0465</v>
      </c>
      <c r="L122" s="14">
        <f>CHOOSE(CONTROL!$C$42, 8.6994, 8.6994) * CHOOSE(CONTROL!$C$21, $C$9, 100%, $E$9)</f>
        <v>8.6994000000000007</v>
      </c>
      <c r="M122" s="14">
        <f>CHOOSE(CONTROL!$C$42, 7.8443, 7.8443) * CHOOSE(CONTROL!$C$21, $C$9, 100%, $E$9)</f>
        <v>7.8442999999999996</v>
      </c>
      <c r="N122" s="14">
        <f>CHOOSE(CONTROL!$C$42, 7.8602, 7.8602) * CHOOSE(CONTROL!$C$21, $C$9, 100%, $E$9)</f>
        <v>7.8601999999999999</v>
      </c>
      <c r="O122" s="14">
        <f>CHOOSE(CONTROL!$C$42, 7.9539, 7.9539) * CHOOSE(CONTROL!$C$21, $C$9, 100%, $E$9)</f>
        <v>7.9539</v>
      </c>
      <c r="P122" s="14">
        <f>CHOOSE(CONTROL!$C$42, 7.8927, 7.8927) * CHOOSE(CONTROL!$C$21, $C$9, 100%, $E$9)</f>
        <v>7.8926999999999996</v>
      </c>
      <c r="Q122" s="14">
        <f>CHOOSE(CONTROL!$C$42, 8.5486, 8.5486) * CHOOSE(CONTROL!$C$21, $C$9, 100%, $E$9)</f>
        <v>8.5486000000000004</v>
      </c>
      <c r="R122" s="14">
        <f>CHOOSE(CONTROL!$C$42, 9.157, 9.157) * CHOOSE(CONTROL!$C$21, $C$9, 100%, $E$9)</f>
        <v>9.157</v>
      </c>
      <c r="S122" s="14">
        <f>CHOOSE(CONTROL!$C$42, 7.6856, 7.6856) * CHOOSE(CONTROL!$C$21, $C$9, 100%, $E$9)</f>
        <v>7.6856</v>
      </c>
      <c r="T1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7">
        <f>(1000*CHOOSE(CONTROL!$C$42, 695, 695)*CHOOSE(CONTROL!$C$42, 0.5599, 0.5599)*CHOOSE(CONTROL!$C$42, 28, 28))/1000000</f>
        <v>10.895653999999999</v>
      </c>
      <c r="V122" s="57">
        <f>(1000*CHOOSE(CONTROL!$C$42, 500, 500)*CHOOSE(CONTROL!$C$42, 0.275, 0.275)*CHOOSE(CONTROL!$C$42, 28, 28))/1000000</f>
        <v>3.85</v>
      </c>
      <c r="W122" s="57">
        <f>(1000*CHOOSE(CONTROL!$C$42, 0.1146, 0.1146)*CHOOSE(CONTROL!$C$42, 121.5, 121.5)*CHOOSE(CONTROL!$C$42, 28, 28))/1000000</f>
        <v>0.38986920000000003</v>
      </c>
      <c r="X122" s="57">
        <f>(28*0.1790888*100000/1000000)+(28*0.2374*100000/1000000)</f>
        <v>1.16616864</v>
      </c>
      <c r="Y122" s="57"/>
      <c r="Z122" s="14"/>
      <c r="AA122" s="56"/>
      <c r="AB122" s="50">
        <f>(B122*122.58+C122*297.941+D122*89.177+E122*40.302+F122*40+G122*160+H122*0+I122*100+J122*300)/(122.58+297.941+89.177+40.302+0+40+160+100+300)</f>
        <v>8.0232522846956531</v>
      </c>
      <c r="AC122" s="45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7.9018539568345334</v>
      </c>
    </row>
    <row r="123" spans="1:29" ht="15.75" x14ac:dyDescent="0.25">
      <c r="A123" s="13">
        <v>44621</v>
      </c>
      <c r="B123" s="14">
        <f>CHOOSE(CONTROL!$C$42, 7.7962, 7.7962) * CHOOSE(CONTROL!$C$21, $C$9, 100%, $E$9)</f>
        <v>7.7961999999999998</v>
      </c>
      <c r="C123" s="14">
        <f>CHOOSE(CONTROL!$C$42, 7.8013, 7.8013) * CHOOSE(CONTROL!$C$21, $C$9, 100%, $E$9)</f>
        <v>7.8013000000000003</v>
      </c>
      <c r="D123" s="14">
        <f>CHOOSE(CONTROL!$C$42, 7.8781, 7.8781) * CHOOSE(CONTROL!$C$21, $C$9, 100%, $E$9)</f>
        <v>7.8780999999999999</v>
      </c>
      <c r="E123" s="14">
        <f>CHOOSE(CONTROL!$C$42, 7.9122, 7.9122) * CHOOSE(CONTROL!$C$21, $C$9, 100%, $E$9)</f>
        <v>7.9122000000000003</v>
      </c>
      <c r="F123" s="14">
        <f>CHOOSE(CONTROL!$C$42, 7.796, 7.796)*CHOOSE(CONTROL!$C$21, $C$9, 100%, $E$9)</f>
        <v>7.7960000000000003</v>
      </c>
      <c r="G123" s="14">
        <f>CHOOSE(CONTROL!$C$42, 7.8121, 7.8121)*CHOOSE(CONTROL!$C$21, $C$9, 100%, $E$9)</f>
        <v>7.8121</v>
      </c>
      <c r="H123" s="14">
        <f>CHOOSE(CONTROL!$C$42, 7.9014, 7.9014) * CHOOSE(CONTROL!$C$21, $C$9, 100%, $E$9)</f>
        <v>7.9013999999999998</v>
      </c>
      <c r="I123" s="14">
        <f>CHOOSE(CONTROL!$C$42, 7.8387, 7.8387)* CHOOSE(CONTROL!$C$21, $C$9, 100%, $E$9)</f>
        <v>7.8387000000000002</v>
      </c>
      <c r="J123" s="14">
        <f>CHOOSE(CONTROL!$C$42, 7.789, 7.789)* CHOOSE(CONTROL!$C$21, $C$9, 100%, $E$9)</f>
        <v>7.7889999999999997</v>
      </c>
      <c r="K123" s="53">
        <f>CHOOSE(CONTROL!$C$42, 7.8348, 7.8348) * CHOOSE(CONTROL!$C$21, $C$9, 100%, $E$9)</f>
        <v>7.8348000000000004</v>
      </c>
      <c r="L123" s="14">
        <f>CHOOSE(CONTROL!$C$42, 8.4884, 8.4884) * CHOOSE(CONTROL!$C$21, $C$9, 100%, $E$9)</f>
        <v>8.4884000000000004</v>
      </c>
      <c r="M123" s="14">
        <f>CHOOSE(CONTROL!$C$42, 7.6371, 7.6371) * CHOOSE(CONTROL!$C$21, $C$9, 100%, $E$9)</f>
        <v>7.6371000000000002</v>
      </c>
      <c r="N123" s="14">
        <f>CHOOSE(CONTROL!$C$42, 7.6529, 7.6529) * CHOOSE(CONTROL!$C$21, $C$9, 100%, $E$9)</f>
        <v>7.6528999999999998</v>
      </c>
      <c r="O123" s="14">
        <f>CHOOSE(CONTROL!$C$42, 7.7472, 7.7472) * CHOOSE(CONTROL!$C$21, $C$9, 100%, $E$9)</f>
        <v>7.7472000000000003</v>
      </c>
      <c r="P123" s="14">
        <f>CHOOSE(CONTROL!$C$42, 7.6854, 7.6854) * CHOOSE(CONTROL!$C$21, $C$9, 100%, $E$9)</f>
        <v>7.6853999999999996</v>
      </c>
      <c r="Q123" s="14">
        <f>CHOOSE(CONTROL!$C$42, 8.3419, 8.3419) * CHOOSE(CONTROL!$C$21, $C$9, 100%, $E$9)</f>
        <v>8.3419000000000008</v>
      </c>
      <c r="R123" s="14">
        <f>CHOOSE(CONTROL!$C$42, 8.9497, 8.9497) * CHOOSE(CONTROL!$C$21, $C$9, 100%, $E$9)</f>
        <v>8.9497</v>
      </c>
      <c r="S123" s="14">
        <f>CHOOSE(CONTROL!$C$42, 7.4828, 7.4828) * CHOOSE(CONTROL!$C$21, $C$9, 100%, $E$9)</f>
        <v>7.4828000000000001</v>
      </c>
      <c r="T1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7">
        <f>(1000*CHOOSE(CONTROL!$C$42, 695, 695)*CHOOSE(CONTROL!$C$42, 0.5599, 0.5599)*CHOOSE(CONTROL!$C$42, 31, 31))/1000000</f>
        <v>12.063045499999998</v>
      </c>
      <c r="V123" s="57">
        <f>(1000*CHOOSE(CONTROL!$C$42, 500, 500)*CHOOSE(CONTROL!$C$42, 0.275, 0.275)*CHOOSE(CONTROL!$C$42, 31, 31))/1000000</f>
        <v>4.2625000000000002</v>
      </c>
      <c r="W123" s="57">
        <f>(1000*CHOOSE(CONTROL!$C$42, 0.1146, 0.1146)*CHOOSE(CONTROL!$C$42, 121.5, 121.5)*CHOOSE(CONTROL!$C$42, 31, 31))/1000000</f>
        <v>0.43164089999999994</v>
      </c>
      <c r="X123" s="57">
        <f>(31*0.1790888*100000/1000000)+(31*0.2374*100000/1000000)</f>
        <v>1.2911152800000001</v>
      </c>
      <c r="Y123" s="57"/>
      <c r="Z123" s="14"/>
      <c r="AA123" s="56"/>
      <c r="AB123" s="50">
        <f>(B123*122.58+C123*297.941+D123*89.177+E123*40.302+F123*40+G123*160+H123*0+I123*100+J123*300)/(122.58+297.941+89.177+40.302+0+40+160+100+300)</f>
        <v>7.811960110782608</v>
      </c>
      <c r="AC123" s="45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7.6948604316546758</v>
      </c>
    </row>
    <row r="124" spans="1:29" ht="15.75" x14ac:dyDescent="0.25">
      <c r="A124" s="13">
        <v>44652</v>
      </c>
      <c r="B124" s="14">
        <f>CHOOSE(CONTROL!$C$42, 7.7901, 7.7901) * CHOOSE(CONTROL!$C$21, $C$9, 100%, $E$9)</f>
        <v>7.7900999999999998</v>
      </c>
      <c r="C124" s="14">
        <f>CHOOSE(CONTROL!$C$42, 7.7946, 7.7946) * CHOOSE(CONTROL!$C$21, $C$9, 100%, $E$9)</f>
        <v>7.7946</v>
      </c>
      <c r="D124" s="14">
        <f>CHOOSE(CONTROL!$C$42, 8.0313, 8.0313) * CHOOSE(CONTROL!$C$21, $C$9, 100%, $E$9)</f>
        <v>8.0312999999999999</v>
      </c>
      <c r="E124" s="14">
        <f>CHOOSE(CONTROL!$C$42, 8.0634, 8.0634) * CHOOSE(CONTROL!$C$21, $C$9, 100%, $E$9)</f>
        <v>8.0633999999999997</v>
      </c>
      <c r="F124" s="14">
        <f>CHOOSE(CONTROL!$C$42, 7.7881, 7.7881)*CHOOSE(CONTROL!$C$21, $C$9, 100%, $E$9)</f>
        <v>7.7881</v>
      </c>
      <c r="G124" s="14">
        <f>CHOOSE(CONTROL!$C$42, 7.8039, 7.8039)*CHOOSE(CONTROL!$C$21, $C$9, 100%, $E$9)</f>
        <v>7.8038999999999996</v>
      </c>
      <c r="H124" s="14">
        <f>CHOOSE(CONTROL!$C$42, 8.0532, 8.0532) * CHOOSE(CONTROL!$C$21, $C$9, 100%, $E$9)</f>
        <v>8.0532000000000004</v>
      </c>
      <c r="I124" s="14">
        <f>CHOOSE(CONTROL!$C$42, 7.8318, 7.8318)* CHOOSE(CONTROL!$C$21, $C$9, 100%, $E$9)</f>
        <v>7.8318000000000003</v>
      </c>
      <c r="J124" s="14">
        <f>CHOOSE(CONTROL!$C$42, 7.7811, 7.7811)* CHOOSE(CONTROL!$C$21, $C$9, 100%, $E$9)</f>
        <v>7.7811000000000003</v>
      </c>
      <c r="K124" s="53">
        <f>CHOOSE(CONTROL!$C$42, 7.8279, 7.8279) * CHOOSE(CONTROL!$C$21, $C$9, 100%, $E$9)</f>
        <v>7.8278999999999996</v>
      </c>
      <c r="L124" s="14">
        <f>CHOOSE(CONTROL!$C$42, 8.6402, 8.6402) * CHOOSE(CONTROL!$C$21, $C$9, 100%, $E$9)</f>
        <v>8.6402000000000001</v>
      </c>
      <c r="M124" s="14">
        <f>CHOOSE(CONTROL!$C$42, 7.6293, 7.6293) * CHOOSE(CONTROL!$C$21, $C$9, 100%, $E$9)</f>
        <v>7.6292999999999997</v>
      </c>
      <c r="N124" s="14">
        <f>CHOOSE(CONTROL!$C$42, 7.6448, 7.6448) * CHOOSE(CONTROL!$C$21, $C$9, 100%, $E$9)</f>
        <v>7.6448</v>
      </c>
      <c r="O124" s="14">
        <f>CHOOSE(CONTROL!$C$42, 7.8959, 7.8959) * CHOOSE(CONTROL!$C$21, $C$9, 100%, $E$9)</f>
        <v>7.8959000000000001</v>
      </c>
      <c r="P124" s="14">
        <f>CHOOSE(CONTROL!$C$42, 7.6786, 7.6786) * CHOOSE(CONTROL!$C$21, $C$9, 100%, $E$9)</f>
        <v>7.6786000000000003</v>
      </c>
      <c r="Q124" s="14">
        <f>CHOOSE(CONTROL!$C$42, 8.4906, 8.4906) * CHOOSE(CONTROL!$C$21, $C$9, 100%, $E$9)</f>
        <v>8.4906000000000006</v>
      </c>
      <c r="R124" s="14">
        <f>CHOOSE(CONTROL!$C$42, 9.0988, 9.0988) * CHOOSE(CONTROL!$C$21, $C$9, 100%, $E$9)</f>
        <v>9.0988000000000007</v>
      </c>
      <c r="S124" s="14">
        <f>CHOOSE(CONTROL!$C$42, 7.4762, 7.4762) * CHOOSE(CONTROL!$C$21, $C$9, 100%, $E$9)</f>
        <v>7.4762000000000004</v>
      </c>
      <c r="T1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7">
        <f>(1000*CHOOSE(CONTROL!$C$42, 695, 695)*CHOOSE(CONTROL!$C$42, 0.5599, 0.5599)*CHOOSE(CONTROL!$C$42, 30, 30))/1000000</f>
        <v>11.673914999999997</v>
      </c>
      <c r="V124" s="57">
        <f>(1000*CHOOSE(CONTROL!$C$42, 500, 500)*CHOOSE(CONTROL!$C$42, 0.275, 0.275)*CHOOSE(CONTROL!$C$42, 30, 30))/1000000</f>
        <v>4.125</v>
      </c>
      <c r="W124" s="57">
        <f>(1000*CHOOSE(CONTROL!$C$42, 0.1146, 0.1146)*CHOOSE(CONTROL!$C$42, 121.5, 121.5)*CHOOSE(CONTROL!$C$42, 30, 30))/1000000</f>
        <v>0.417717</v>
      </c>
      <c r="X124" s="57">
        <f>(30*0.1790888*245000/1000000)+(30*0.2374*100000/1000000)</f>
        <v>2.0285026799999999</v>
      </c>
      <c r="Y124" s="57"/>
      <c r="Z124" s="14"/>
      <c r="AA124" s="56"/>
      <c r="AB124" s="50">
        <f>(B124*141.293+C124*267.993+D124*115.016+E124*89.698+F124*40+G124*185+H124*0+I124*100+J124*300)/(141.293+267.993+115.016+89.698+0+40+185+100+300)</f>
        <v>7.8364319540758673</v>
      </c>
      <c r="AC124" s="45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7.7147633093525174</v>
      </c>
    </row>
    <row r="125" spans="1:29" ht="15.75" x14ac:dyDescent="0.25">
      <c r="A125" s="13">
        <v>44682</v>
      </c>
      <c r="B125" s="14">
        <f>CHOOSE(CONTROL!$C$42, 7.8763, 7.8763) * CHOOSE(CONTROL!$C$21, $C$9, 100%, $E$9)</f>
        <v>7.8762999999999996</v>
      </c>
      <c r="C125" s="14">
        <f>CHOOSE(CONTROL!$C$42, 7.8844, 7.8844) * CHOOSE(CONTROL!$C$21, $C$9, 100%, $E$9)</f>
        <v>7.8844000000000003</v>
      </c>
      <c r="D125" s="14">
        <f>CHOOSE(CONTROL!$C$42, 8.118, 8.118) * CHOOSE(CONTROL!$C$21, $C$9, 100%, $E$9)</f>
        <v>8.1180000000000003</v>
      </c>
      <c r="E125" s="14">
        <f>CHOOSE(CONTROL!$C$42, 8.1494, 8.1494) * CHOOSE(CONTROL!$C$21, $C$9, 100%, $E$9)</f>
        <v>8.1494</v>
      </c>
      <c r="F125" s="14">
        <f>CHOOSE(CONTROL!$C$42, 7.8731, 7.8731)*CHOOSE(CONTROL!$C$21, $C$9, 100%, $E$9)</f>
        <v>7.8731</v>
      </c>
      <c r="G125" s="14">
        <f>CHOOSE(CONTROL!$C$42, 7.8895, 7.8895)*CHOOSE(CONTROL!$C$21, $C$9, 100%, $E$9)</f>
        <v>7.8895</v>
      </c>
      <c r="H125" s="14">
        <f>CHOOSE(CONTROL!$C$42, 8.1381, 8.1381) * CHOOSE(CONTROL!$C$21, $C$9, 100%, $E$9)</f>
        <v>8.1380999999999997</v>
      </c>
      <c r="I125" s="14">
        <f>CHOOSE(CONTROL!$C$42, 7.9169, 7.9169)* CHOOSE(CONTROL!$C$21, $C$9, 100%, $E$9)</f>
        <v>7.9169</v>
      </c>
      <c r="J125" s="14">
        <f>CHOOSE(CONTROL!$C$42, 7.8661, 7.8661)* CHOOSE(CONTROL!$C$21, $C$9, 100%, $E$9)</f>
        <v>7.8661000000000003</v>
      </c>
      <c r="K125" s="53">
        <f>CHOOSE(CONTROL!$C$42, 7.913, 7.913) * CHOOSE(CONTROL!$C$21, $C$9, 100%, $E$9)</f>
        <v>7.9130000000000003</v>
      </c>
      <c r="L125" s="14">
        <f>CHOOSE(CONTROL!$C$42, 8.7251, 8.7251) * CHOOSE(CONTROL!$C$21, $C$9, 100%, $E$9)</f>
        <v>8.7250999999999994</v>
      </c>
      <c r="M125" s="14">
        <f>CHOOSE(CONTROL!$C$42, 7.7126, 7.7126) * CHOOSE(CONTROL!$C$21, $C$9, 100%, $E$9)</f>
        <v>7.7126000000000001</v>
      </c>
      <c r="N125" s="14">
        <f>CHOOSE(CONTROL!$C$42, 7.7286, 7.7286) * CHOOSE(CONTROL!$C$21, $C$9, 100%, $E$9)</f>
        <v>7.7286000000000001</v>
      </c>
      <c r="O125" s="14">
        <f>CHOOSE(CONTROL!$C$42, 7.979, 7.979) * CHOOSE(CONTROL!$C$21, $C$9, 100%, $E$9)</f>
        <v>7.9790000000000001</v>
      </c>
      <c r="P125" s="14">
        <f>CHOOSE(CONTROL!$C$42, 7.7619, 7.7619) * CHOOSE(CONTROL!$C$21, $C$9, 100%, $E$9)</f>
        <v>7.7618999999999998</v>
      </c>
      <c r="Q125" s="14">
        <f>CHOOSE(CONTROL!$C$42, 8.5737, 8.5737) * CHOOSE(CONTROL!$C$21, $C$9, 100%, $E$9)</f>
        <v>8.5737000000000005</v>
      </c>
      <c r="R125" s="14">
        <f>CHOOSE(CONTROL!$C$42, 9.1821, 9.1821) * CHOOSE(CONTROL!$C$21, $C$9, 100%, $E$9)</f>
        <v>9.1821000000000002</v>
      </c>
      <c r="S125" s="14">
        <f>CHOOSE(CONTROL!$C$42, 7.5577, 7.5577) * CHOOSE(CONTROL!$C$21, $C$9, 100%, $E$9)</f>
        <v>7.5576999999999996</v>
      </c>
      <c r="T1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7">
        <f>(1000*CHOOSE(CONTROL!$C$42, 695, 695)*CHOOSE(CONTROL!$C$42, 0.5599, 0.5599)*CHOOSE(CONTROL!$C$42, 31, 31))/1000000</f>
        <v>12.063045499999998</v>
      </c>
      <c r="V125" s="57">
        <f>(1000*CHOOSE(CONTROL!$C$42, 500, 500)*CHOOSE(CONTROL!$C$42, 0.275, 0.275)*CHOOSE(CONTROL!$C$42, 31, 31))/1000000</f>
        <v>4.2625000000000002</v>
      </c>
      <c r="W125" s="57">
        <f>(1000*CHOOSE(CONTROL!$C$42, 0.1146, 0.1146)*CHOOSE(CONTROL!$C$42, 121.5, 121.5)*CHOOSE(CONTROL!$C$42, 31, 31))/1000000</f>
        <v>0.43164089999999994</v>
      </c>
      <c r="X125" s="57">
        <f>(31*0.1790888*245000/1000000)+(31*0.2374*100000/1000000)</f>
        <v>2.0961194359999999</v>
      </c>
      <c r="Y125" s="57"/>
      <c r="Z125" s="14"/>
      <c r="AA125" s="56"/>
      <c r="AB125" s="50">
        <f>(B125*194.205+C125*267.466+D125*133.845+E125*53.484+F125*40+G125*185+H125*0+I125*100+J125*300)/(194.205+267.466+133.845+53.484+0+40+185+100+300)</f>
        <v>7.9174595694662475</v>
      </c>
      <c r="AC125" s="45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7.7981223021582728</v>
      </c>
    </row>
    <row r="126" spans="1:29" ht="15.75" x14ac:dyDescent="0.25">
      <c r="A126" s="13">
        <v>44713</v>
      </c>
      <c r="B126" s="14">
        <f>CHOOSE(CONTROL!$C$42, 8.1161, 8.1161) * CHOOSE(CONTROL!$C$21, $C$9, 100%, $E$9)</f>
        <v>8.1160999999999994</v>
      </c>
      <c r="C126" s="14">
        <f>CHOOSE(CONTROL!$C$42, 8.1241, 8.1241) * CHOOSE(CONTROL!$C$21, $C$9, 100%, $E$9)</f>
        <v>8.1241000000000003</v>
      </c>
      <c r="D126" s="14">
        <f>CHOOSE(CONTROL!$C$42, 8.3577, 8.3577) * CHOOSE(CONTROL!$C$21, $C$9, 100%, $E$9)</f>
        <v>8.3576999999999995</v>
      </c>
      <c r="E126" s="14">
        <f>CHOOSE(CONTROL!$C$42, 8.3892, 8.3892) * CHOOSE(CONTROL!$C$21, $C$9, 100%, $E$9)</f>
        <v>8.3892000000000007</v>
      </c>
      <c r="F126" s="14">
        <f>CHOOSE(CONTROL!$C$42, 8.1133, 8.1133)*CHOOSE(CONTROL!$C$21, $C$9, 100%, $E$9)</f>
        <v>8.1133000000000006</v>
      </c>
      <c r="G126" s="14">
        <f>CHOOSE(CONTROL!$C$42, 8.1298, 8.1298)*CHOOSE(CONTROL!$C$21, $C$9, 100%, $E$9)</f>
        <v>8.1297999999999995</v>
      </c>
      <c r="H126" s="14">
        <f>CHOOSE(CONTROL!$C$42, 8.3778, 8.3778) * CHOOSE(CONTROL!$C$21, $C$9, 100%, $E$9)</f>
        <v>8.3778000000000006</v>
      </c>
      <c r="I126" s="14">
        <f>CHOOSE(CONTROL!$C$42, 8.1574, 8.1574)* CHOOSE(CONTROL!$C$21, $C$9, 100%, $E$9)</f>
        <v>8.1574000000000009</v>
      </c>
      <c r="J126" s="14">
        <f>CHOOSE(CONTROL!$C$42, 8.1063, 8.1063)* CHOOSE(CONTROL!$C$21, $C$9, 100%, $E$9)</f>
        <v>8.1062999999999992</v>
      </c>
      <c r="K126" s="53">
        <f>CHOOSE(CONTROL!$C$42, 8.1535, 8.1535) * CHOOSE(CONTROL!$C$21, $C$9, 100%, $E$9)</f>
        <v>8.1534999999999993</v>
      </c>
      <c r="L126" s="14">
        <f>CHOOSE(CONTROL!$C$42, 8.9648, 8.9648) * CHOOSE(CONTROL!$C$21, $C$9, 100%, $E$9)</f>
        <v>8.9648000000000003</v>
      </c>
      <c r="M126" s="14">
        <f>CHOOSE(CONTROL!$C$42, 7.9479, 7.9479) * CHOOSE(CONTROL!$C$21, $C$9, 100%, $E$9)</f>
        <v>7.9478999999999997</v>
      </c>
      <c r="N126" s="14">
        <f>CHOOSE(CONTROL!$C$42, 7.9641, 7.9641) * CHOOSE(CONTROL!$C$21, $C$9, 100%, $E$9)</f>
        <v>7.9641000000000002</v>
      </c>
      <c r="O126" s="14">
        <f>CHOOSE(CONTROL!$C$42, 8.2138, 8.2138) * CHOOSE(CONTROL!$C$21, $C$9, 100%, $E$9)</f>
        <v>8.2138000000000009</v>
      </c>
      <c r="P126" s="14">
        <f>CHOOSE(CONTROL!$C$42, 7.9975, 7.9975) * CHOOSE(CONTROL!$C$21, $C$9, 100%, $E$9)</f>
        <v>7.9974999999999996</v>
      </c>
      <c r="Q126" s="14">
        <f>CHOOSE(CONTROL!$C$42, 8.8085, 8.8085) * CHOOSE(CONTROL!$C$21, $C$9, 100%, $E$9)</f>
        <v>8.8085000000000004</v>
      </c>
      <c r="R126" s="14">
        <f>CHOOSE(CONTROL!$C$42, 9.4175, 9.4175) * CHOOSE(CONTROL!$C$21, $C$9, 100%, $E$9)</f>
        <v>9.4175000000000004</v>
      </c>
      <c r="S126" s="14">
        <f>CHOOSE(CONTROL!$C$42, 7.7881, 7.7881) * CHOOSE(CONTROL!$C$21, $C$9, 100%, $E$9)</f>
        <v>7.7881</v>
      </c>
      <c r="T1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7">
        <f>(1000*CHOOSE(CONTROL!$C$42, 695, 695)*CHOOSE(CONTROL!$C$42, 0.5599, 0.5599)*CHOOSE(CONTROL!$C$42, 30, 30))/1000000</f>
        <v>11.673914999999997</v>
      </c>
      <c r="V126" s="57">
        <f>(1000*CHOOSE(CONTROL!$C$42, 500, 500)*CHOOSE(CONTROL!$C$42, 0.275, 0.275)*CHOOSE(CONTROL!$C$42, 30, 30))/1000000</f>
        <v>4.125</v>
      </c>
      <c r="W126" s="57">
        <f>(1000*CHOOSE(CONTROL!$C$42, 0.1146, 0.1146)*CHOOSE(CONTROL!$C$42, 121.5, 121.5)*CHOOSE(CONTROL!$C$42, 30, 30))/1000000</f>
        <v>0.417717</v>
      </c>
      <c r="X126" s="57">
        <f>(30*0.1790888*245000/1000000)+(30*0.2374*100000/1000000)</f>
        <v>2.0285026799999999</v>
      </c>
      <c r="Y126" s="57"/>
      <c r="Z126" s="14"/>
      <c r="AA126" s="56"/>
      <c r="AB126" s="50">
        <f>(B126*194.205+C126*267.466+D126*133.845+E126*53.484+F126*40+G126*185+H126*0+I126*100+J126*300)/(194.205+267.466+133.845+53.484+0+40+185+100+300)</f>
        <v>8.1574623708006282</v>
      </c>
      <c r="AC126" s="45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8.0333712230215824</v>
      </c>
    </row>
    <row r="127" spans="1:29" ht="15.75" x14ac:dyDescent="0.25">
      <c r="A127" s="13">
        <v>44743</v>
      </c>
      <c r="B127" s="14">
        <f>CHOOSE(CONTROL!$C$42, 7.977, 7.977) * CHOOSE(CONTROL!$C$21, $C$9, 100%, $E$9)</f>
        <v>7.9770000000000003</v>
      </c>
      <c r="C127" s="14">
        <f>CHOOSE(CONTROL!$C$42, 7.985, 7.985) * CHOOSE(CONTROL!$C$21, $C$9, 100%, $E$9)</f>
        <v>7.9850000000000003</v>
      </c>
      <c r="D127" s="14">
        <f>CHOOSE(CONTROL!$C$42, 8.2186, 8.2186) * CHOOSE(CONTROL!$C$21, $C$9, 100%, $E$9)</f>
        <v>8.2186000000000003</v>
      </c>
      <c r="E127" s="14">
        <f>CHOOSE(CONTROL!$C$42, 8.2501, 8.2501) * CHOOSE(CONTROL!$C$21, $C$9, 100%, $E$9)</f>
        <v>8.2500999999999998</v>
      </c>
      <c r="F127" s="14">
        <f>CHOOSE(CONTROL!$C$42, 7.9748, 7.9748)*CHOOSE(CONTROL!$C$21, $C$9, 100%, $E$9)</f>
        <v>7.9748000000000001</v>
      </c>
      <c r="G127" s="14">
        <f>CHOOSE(CONTROL!$C$42, 7.9914, 7.9914)*CHOOSE(CONTROL!$C$21, $C$9, 100%, $E$9)</f>
        <v>7.9913999999999996</v>
      </c>
      <c r="H127" s="14">
        <f>CHOOSE(CONTROL!$C$42, 8.2387, 8.2387) * CHOOSE(CONTROL!$C$21, $C$9, 100%, $E$9)</f>
        <v>8.2386999999999997</v>
      </c>
      <c r="I127" s="14">
        <f>CHOOSE(CONTROL!$C$42, 8.0178, 8.0178)* CHOOSE(CONTROL!$C$21, $C$9, 100%, $E$9)</f>
        <v>8.0177999999999994</v>
      </c>
      <c r="J127" s="14">
        <f>CHOOSE(CONTROL!$C$42, 7.9678, 7.9678)* CHOOSE(CONTROL!$C$21, $C$9, 100%, $E$9)</f>
        <v>7.9678000000000004</v>
      </c>
      <c r="K127" s="53">
        <f>CHOOSE(CONTROL!$C$42, 8.0139, 8.0139) * CHOOSE(CONTROL!$C$21, $C$9, 100%, $E$9)</f>
        <v>8.0138999999999996</v>
      </c>
      <c r="L127" s="14">
        <f>CHOOSE(CONTROL!$C$42, 8.8257, 8.8257) * CHOOSE(CONTROL!$C$21, $C$9, 100%, $E$9)</f>
        <v>8.8256999999999994</v>
      </c>
      <c r="M127" s="14">
        <f>CHOOSE(CONTROL!$C$42, 7.8122, 7.8122) * CHOOSE(CONTROL!$C$21, $C$9, 100%, $E$9)</f>
        <v>7.8121999999999998</v>
      </c>
      <c r="N127" s="14">
        <f>CHOOSE(CONTROL!$C$42, 7.8285, 7.8285) * CHOOSE(CONTROL!$C$21, $C$9, 100%, $E$9)</f>
        <v>7.8285</v>
      </c>
      <c r="O127" s="14">
        <f>CHOOSE(CONTROL!$C$42, 8.0776, 8.0776) * CHOOSE(CONTROL!$C$21, $C$9, 100%, $E$9)</f>
        <v>8.0776000000000003</v>
      </c>
      <c r="P127" s="14">
        <f>CHOOSE(CONTROL!$C$42, 7.8608, 7.8608) * CHOOSE(CONTROL!$C$21, $C$9, 100%, $E$9)</f>
        <v>7.8608000000000002</v>
      </c>
      <c r="Q127" s="14">
        <f>CHOOSE(CONTROL!$C$42, 8.6723, 8.6723) * CHOOSE(CONTROL!$C$21, $C$9, 100%, $E$9)</f>
        <v>8.6722999999999999</v>
      </c>
      <c r="R127" s="14">
        <f>CHOOSE(CONTROL!$C$42, 9.281, 9.281) * CHOOSE(CONTROL!$C$21, $C$9, 100%, $E$9)</f>
        <v>9.2810000000000006</v>
      </c>
      <c r="S127" s="14">
        <f>CHOOSE(CONTROL!$C$42, 7.6544, 7.6544) * CHOOSE(CONTROL!$C$21, $C$9, 100%, $E$9)</f>
        <v>7.6543999999999999</v>
      </c>
      <c r="T1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7">
        <f>(1000*CHOOSE(CONTROL!$C$42, 695, 695)*CHOOSE(CONTROL!$C$42, 0.5599, 0.5599)*CHOOSE(CONTROL!$C$42, 31, 31))/1000000</f>
        <v>12.063045499999998</v>
      </c>
      <c r="V127" s="57">
        <f>(1000*CHOOSE(CONTROL!$C$42, 500, 500)*CHOOSE(CONTROL!$C$42, 0.275, 0.275)*CHOOSE(CONTROL!$C$42, 31, 31))/1000000</f>
        <v>4.2625000000000002</v>
      </c>
      <c r="W127" s="57">
        <f>(1000*CHOOSE(CONTROL!$C$42, 0.1146, 0.1146)*CHOOSE(CONTROL!$C$42, 121.5, 121.5)*CHOOSE(CONTROL!$C$42, 31, 31))/1000000</f>
        <v>0.43164089999999994</v>
      </c>
      <c r="X127" s="57">
        <f>(31*0.1790888*245000/1000000)+(31*0.2374*100000/1000000)</f>
        <v>2.0961194359999999</v>
      </c>
      <c r="Y127" s="57"/>
      <c r="Z127" s="14"/>
      <c r="AA127" s="56"/>
      <c r="AB127" s="50">
        <f>(B127*194.205+C127*267.466+D127*133.845+E127*53.484+F127*40+G127*185+H127*0+I127*100+J127*300)/(194.205+267.466+133.845+53.484+0+40+185+100+300)</f>
        <v>8.0185848982731542</v>
      </c>
      <c r="AC127" s="45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7.8974100719424456</v>
      </c>
    </row>
    <row r="128" spans="1:29" ht="15.75" x14ac:dyDescent="0.25">
      <c r="A128" s="13">
        <v>44774</v>
      </c>
      <c r="B128" s="14">
        <f>CHOOSE(CONTROL!$C$42, 7.5992, 7.5992) * CHOOSE(CONTROL!$C$21, $C$9, 100%, $E$9)</f>
        <v>7.5991999999999997</v>
      </c>
      <c r="C128" s="14">
        <f>CHOOSE(CONTROL!$C$42, 7.6072, 7.6072) * CHOOSE(CONTROL!$C$21, $C$9, 100%, $E$9)</f>
        <v>7.6071999999999997</v>
      </c>
      <c r="D128" s="14">
        <f>CHOOSE(CONTROL!$C$42, 7.8408, 7.8408) * CHOOSE(CONTROL!$C$21, $C$9, 100%, $E$9)</f>
        <v>7.8407999999999998</v>
      </c>
      <c r="E128" s="14">
        <f>CHOOSE(CONTROL!$C$42, 7.8722, 7.8722) * CHOOSE(CONTROL!$C$21, $C$9, 100%, $E$9)</f>
        <v>7.8722000000000003</v>
      </c>
      <c r="F128" s="14">
        <f>CHOOSE(CONTROL!$C$42, 7.5971, 7.5971)*CHOOSE(CONTROL!$C$21, $C$9, 100%, $E$9)</f>
        <v>7.5971000000000002</v>
      </c>
      <c r="G128" s="14">
        <f>CHOOSE(CONTROL!$C$42, 7.6138, 7.6138)*CHOOSE(CONTROL!$C$21, $C$9, 100%, $E$9)</f>
        <v>7.6138000000000003</v>
      </c>
      <c r="H128" s="14">
        <f>CHOOSE(CONTROL!$C$42, 7.8609, 7.8609) * CHOOSE(CONTROL!$C$21, $C$9, 100%, $E$9)</f>
        <v>7.8609</v>
      </c>
      <c r="I128" s="14">
        <f>CHOOSE(CONTROL!$C$42, 7.6388, 7.6388)* CHOOSE(CONTROL!$C$21, $C$9, 100%, $E$9)</f>
        <v>7.6387999999999998</v>
      </c>
      <c r="J128" s="14">
        <f>CHOOSE(CONTROL!$C$42, 7.5901, 7.5901)* CHOOSE(CONTROL!$C$21, $C$9, 100%, $E$9)</f>
        <v>7.5900999999999996</v>
      </c>
      <c r="K128" s="53">
        <f>CHOOSE(CONTROL!$C$42, 7.6349, 7.6349) * CHOOSE(CONTROL!$C$21, $C$9, 100%, $E$9)</f>
        <v>7.6349</v>
      </c>
      <c r="L128" s="14">
        <f>CHOOSE(CONTROL!$C$42, 8.4479, 8.4479) * CHOOSE(CONTROL!$C$21, $C$9, 100%, $E$9)</f>
        <v>8.4479000000000006</v>
      </c>
      <c r="M128" s="14">
        <f>CHOOSE(CONTROL!$C$42, 7.4423, 7.4423) * CHOOSE(CONTROL!$C$21, $C$9, 100%, $E$9)</f>
        <v>7.4423000000000004</v>
      </c>
      <c r="N128" s="14">
        <f>CHOOSE(CONTROL!$C$42, 7.4586, 7.4586) * CHOOSE(CONTROL!$C$21, $C$9, 100%, $E$9)</f>
        <v>7.4585999999999997</v>
      </c>
      <c r="O128" s="14">
        <f>CHOOSE(CONTROL!$C$42, 7.7075, 7.7075) * CHOOSE(CONTROL!$C$21, $C$9, 100%, $E$9)</f>
        <v>7.7074999999999996</v>
      </c>
      <c r="P128" s="14">
        <f>CHOOSE(CONTROL!$C$42, 7.4896, 7.4896) * CHOOSE(CONTROL!$C$21, $C$9, 100%, $E$9)</f>
        <v>7.4896000000000003</v>
      </c>
      <c r="Q128" s="14">
        <f>CHOOSE(CONTROL!$C$42, 8.3022, 8.3022) * CHOOSE(CONTROL!$C$21, $C$9, 100%, $E$9)</f>
        <v>8.3021999999999991</v>
      </c>
      <c r="R128" s="14">
        <f>CHOOSE(CONTROL!$C$42, 8.91, 8.91) * CHOOSE(CONTROL!$C$21, $C$9, 100%, $E$9)</f>
        <v>8.91</v>
      </c>
      <c r="S128" s="14">
        <f>CHOOSE(CONTROL!$C$42, 7.2914, 7.2914) * CHOOSE(CONTROL!$C$21, $C$9, 100%, $E$9)</f>
        <v>7.2914000000000003</v>
      </c>
      <c r="T1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7">
        <f>(1000*CHOOSE(CONTROL!$C$42, 695, 695)*CHOOSE(CONTROL!$C$42, 0.5599, 0.5599)*CHOOSE(CONTROL!$C$42, 31, 31))/1000000</f>
        <v>12.063045499999998</v>
      </c>
      <c r="V128" s="57">
        <f>(1000*CHOOSE(CONTROL!$C$42, 500, 500)*CHOOSE(CONTROL!$C$42, 0.275, 0.275)*CHOOSE(CONTROL!$C$42, 31, 31))/1000000</f>
        <v>4.2625000000000002</v>
      </c>
      <c r="W128" s="57">
        <f>(1000*CHOOSE(CONTROL!$C$42, 0.1146, 0.1146)*CHOOSE(CONTROL!$C$42, 121.5, 121.5)*CHOOSE(CONTROL!$C$42, 31, 31))/1000000</f>
        <v>0.43164089999999994</v>
      </c>
      <c r="X128" s="57">
        <f>(31*0.1790888*245000/1000000)+(31*0.2374*100000/1000000)</f>
        <v>2.0961194359999999</v>
      </c>
      <c r="Y128" s="57"/>
      <c r="Z128" s="14"/>
      <c r="AA128" s="56"/>
      <c r="AB128" s="50">
        <f>(B128*194.205+C128*267.466+D128*133.845+E128*53.484+F128*40+G128*185+H128*0+I128*100+J128*300)/(194.205+267.466+133.845+53.484+0+40+185+100+300)</f>
        <v>7.6407422386185244</v>
      </c>
      <c r="AC128" s="45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7.5272669064748197</v>
      </c>
    </row>
    <row r="129" spans="1:29" ht="15.75" x14ac:dyDescent="0.25">
      <c r="A129" s="13">
        <v>44805</v>
      </c>
      <c r="B129" s="14">
        <f>CHOOSE(CONTROL!$C$42, 7.1317, 7.1317) * CHOOSE(CONTROL!$C$21, $C$9, 100%, $E$9)</f>
        <v>7.1317000000000004</v>
      </c>
      <c r="C129" s="14">
        <f>CHOOSE(CONTROL!$C$42, 7.1397, 7.1397) * CHOOSE(CONTROL!$C$21, $C$9, 100%, $E$9)</f>
        <v>7.1397000000000004</v>
      </c>
      <c r="D129" s="14">
        <f>CHOOSE(CONTROL!$C$42, 7.3733, 7.3733) * CHOOSE(CONTROL!$C$21, $C$9, 100%, $E$9)</f>
        <v>7.3733000000000004</v>
      </c>
      <c r="E129" s="14">
        <f>CHOOSE(CONTROL!$C$42, 7.4048, 7.4048) * CHOOSE(CONTROL!$C$21, $C$9, 100%, $E$9)</f>
        <v>7.4047999999999998</v>
      </c>
      <c r="F129" s="14">
        <f>CHOOSE(CONTROL!$C$42, 7.1297, 7.1297)*CHOOSE(CONTROL!$C$21, $C$9, 100%, $E$9)</f>
        <v>7.1296999999999997</v>
      </c>
      <c r="G129" s="14">
        <f>CHOOSE(CONTROL!$C$42, 7.1463, 7.1463)*CHOOSE(CONTROL!$C$21, $C$9, 100%, $E$9)</f>
        <v>7.1463000000000001</v>
      </c>
      <c r="H129" s="14">
        <f>CHOOSE(CONTROL!$C$42, 7.3934, 7.3934) * CHOOSE(CONTROL!$C$21, $C$9, 100%, $E$9)</f>
        <v>7.3933999999999997</v>
      </c>
      <c r="I129" s="14">
        <f>CHOOSE(CONTROL!$C$42, 7.1699, 7.1699)* CHOOSE(CONTROL!$C$21, $C$9, 100%, $E$9)</f>
        <v>7.1699000000000002</v>
      </c>
      <c r="J129" s="14">
        <f>CHOOSE(CONTROL!$C$42, 7.1227, 7.1227)* CHOOSE(CONTROL!$C$21, $C$9, 100%, $E$9)</f>
        <v>7.1227</v>
      </c>
      <c r="K129" s="53">
        <f>CHOOSE(CONTROL!$C$42, 7.166, 7.166) * CHOOSE(CONTROL!$C$21, $C$9, 100%, $E$9)</f>
        <v>7.1660000000000004</v>
      </c>
      <c r="L129" s="14">
        <f>CHOOSE(CONTROL!$C$42, 7.9804, 7.9804) * CHOOSE(CONTROL!$C$21, $C$9, 100%, $E$9)</f>
        <v>7.9804000000000004</v>
      </c>
      <c r="M129" s="14">
        <f>CHOOSE(CONTROL!$C$42, 6.9844, 6.9844) * CHOOSE(CONTROL!$C$21, $C$9, 100%, $E$9)</f>
        <v>6.9843999999999999</v>
      </c>
      <c r="N129" s="14">
        <f>CHOOSE(CONTROL!$C$42, 7.0008, 7.0008) * CHOOSE(CONTROL!$C$21, $C$9, 100%, $E$9)</f>
        <v>7.0007999999999999</v>
      </c>
      <c r="O129" s="14">
        <f>CHOOSE(CONTROL!$C$42, 7.2496, 7.2496) * CHOOSE(CONTROL!$C$21, $C$9, 100%, $E$9)</f>
        <v>7.2496</v>
      </c>
      <c r="P129" s="14">
        <f>CHOOSE(CONTROL!$C$42, 7.0303, 7.0303) * CHOOSE(CONTROL!$C$21, $C$9, 100%, $E$9)</f>
        <v>7.0303000000000004</v>
      </c>
      <c r="Q129" s="14">
        <f>CHOOSE(CONTROL!$C$42, 7.8443, 7.8443) * CHOOSE(CONTROL!$C$21, $C$9, 100%, $E$9)</f>
        <v>7.8442999999999996</v>
      </c>
      <c r="R129" s="14">
        <f>CHOOSE(CONTROL!$C$42, 8.4509, 8.4509) * CHOOSE(CONTROL!$C$21, $C$9, 100%, $E$9)</f>
        <v>8.4509000000000007</v>
      </c>
      <c r="S129" s="14">
        <f>CHOOSE(CONTROL!$C$42, 6.8422, 6.8422) * CHOOSE(CONTROL!$C$21, $C$9, 100%, $E$9)</f>
        <v>6.8422000000000001</v>
      </c>
      <c r="T1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7">
        <f>(1000*CHOOSE(CONTROL!$C$42, 695, 695)*CHOOSE(CONTROL!$C$42, 0.5599, 0.5599)*CHOOSE(CONTROL!$C$42, 30, 30))/1000000</f>
        <v>11.673914999999997</v>
      </c>
      <c r="V129" s="57">
        <f>(1000*CHOOSE(CONTROL!$C$42, 500, 500)*CHOOSE(CONTROL!$C$42, 0.275, 0.275)*CHOOSE(CONTROL!$C$42, 30, 30))/1000000</f>
        <v>4.125</v>
      </c>
      <c r="W129" s="57">
        <f>(1000*CHOOSE(CONTROL!$C$42, 0.1146, 0.1146)*CHOOSE(CONTROL!$C$42, 121.5, 121.5)*CHOOSE(CONTROL!$C$42, 30, 30))/1000000</f>
        <v>0.417717</v>
      </c>
      <c r="X129" s="57">
        <f>(30*0.1790888*245000/1000000)+(30*0.2374*100000/1000000)</f>
        <v>2.0285026799999999</v>
      </c>
      <c r="Y129" s="57"/>
      <c r="Z129" s="14"/>
      <c r="AA129" s="56"/>
      <c r="AB129" s="50">
        <f>(B129*194.205+C129*267.466+D129*133.845+E129*53.484+F129*40+G129*185+H129*0+I129*100+J129*300)/(194.205+267.466+133.845+53.484+0+40+185+100+300)</f>
        <v>7.1731632342229208</v>
      </c>
      <c r="AC129" s="45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7.0691884892086332</v>
      </c>
    </row>
    <row r="130" spans="1:29" ht="15.75" x14ac:dyDescent="0.25">
      <c r="A130" s="13">
        <v>44835</v>
      </c>
      <c r="B130" s="14">
        <f>CHOOSE(CONTROL!$C$42, 6.9997, 6.9997) * CHOOSE(CONTROL!$C$21, $C$9, 100%, $E$9)</f>
        <v>6.9996999999999998</v>
      </c>
      <c r="C130" s="14">
        <f>CHOOSE(CONTROL!$C$42, 7.005, 7.005) * CHOOSE(CONTROL!$C$21, $C$9, 100%, $E$9)</f>
        <v>7.0049999999999999</v>
      </c>
      <c r="D130" s="14">
        <f>CHOOSE(CONTROL!$C$42, 7.2436, 7.2436) * CHOOSE(CONTROL!$C$21, $C$9, 100%, $E$9)</f>
        <v>7.2435999999999998</v>
      </c>
      <c r="E130" s="14">
        <f>CHOOSE(CONTROL!$C$42, 7.2727, 7.2727) * CHOOSE(CONTROL!$C$21, $C$9, 100%, $E$9)</f>
        <v>7.2727000000000004</v>
      </c>
      <c r="F130" s="14">
        <f>CHOOSE(CONTROL!$C$42, 6.9997, 6.9997)*CHOOSE(CONTROL!$C$21, $C$9, 100%, $E$9)</f>
        <v>6.9996999999999998</v>
      </c>
      <c r="G130" s="14">
        <f>CHOOSE(CONTROL!$C$42, 7.016, 7.016)*CHOOSE(CONTROL!$C$21, $C$9, 100%, $E$9)</f>
        <v>7.016</v>
      </c>
      <c r="H130" s="14">
        <f>CHOOSE(CONTROL!$C$42, 7.2632, 7.2632) * CHOOSE(CONTROL!$C$21, $C$9, 100%, $E$9)</f>
        <v>7.2632000000000003</v>
      </c>
      <c r="I130" s="14">
        <f>CHOOSE(CONTROL!$C$42, 7.0393, 7.0393)* CHOOSE(CONTROL!$C$21, $C$9, 100%, $E$9)</f>
        <v>7.0392999999999999</v>
      </c>
      <c r="J130" s="14">
        <f>CHOOSE(CONTROL!$C$42, 6.9927, 6.9927)* CHOOSE(CONTROL!$C$21, $C$9, 100%, $E$9)</f>
        <v>6.9927000000000001</v>
      </c>
      <c r="K130" s="53">
        <f>CHOOSE(CONTROL!$C$42, 7.0354, 7.0354) * CHOOSE(CONTROL!$C$21, $C$9, 100%, $E$9)</f>
        <v>7.0354000000000001</v>
      </c>
      <c r="L130" s="14">
        <f>CHOOSE(CONTROL!$C$42, 7.8502, 7.8502) * CHOOSE(CONTROL!$C$21, $C$9, 100%, $E$9)</f>
        <v>7.8502000000000001</v>
      </c>
      <c r="M130" s="14">
        <f>CHOOSE(CONTROL!$C$42, 6.8572, 6.8572) * CHOOSE(CONTROL!$C$21, $C$9, 100%, $E$9)</f>
        <v>6.8571999999999997</v>
      </c>
      <c r="N130" s="14">
        <f>CHOOSE(CONTROL!$C$42, 6.8731, 6.8731) * CHOOSE(CONTROL!$C$21, $C$9, 100%, $E$9)</f>
        <v>6.8731</v>
      </c>
      <c r="O130" s="14">
        <f>CHOOSE(CONTROL!$C$42, 7.1221, 7.1221) * CHOOSE(CONTROL!$C$21, $C$9, 100%, $E$9)</f>
        <v>7.1220999999999997</v>
      </c>
      <c r="P130" s="14">
        <f>CHOOSE(CONTROL!$C$42, 6.9024, 6.9024) * CHOOSE(CONTROL!$C$21, $C$9, 100%, $E$9)</f>
        <v>6.9024000000000001</v>
      </c>
      <c r="Q130" s="14">
        <f>CHOOSE(CONTROL!$C$42, 7.7168, 7.7168) * CHOOSE(CONTROL!$C$21, $C$9, 100%, $E$9)</f>
        <v>7.7168000000000001</v>
      </c>
      <c r="R130" s="14">
        <f>CHOOSE(CONTROL!$C$42, 8.3231, 8.3231) * CHOOSE(CONTROL!$C$21, $C$9, 100%, $E$9)</f>
        <v>8.3231000000000002</v>
      </c>
      <c r="S130" s="14">
        <f>CHOOSE(CONTROL!$C$42, 6.7171, 6.7171) * CHOOSE(CONTROL!$C$21, $C$9, 100%, $E$9)</f>
        <v>6.7171000000000003</v>
      </c>
      <c r="T1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7">
        <f>(1000*CHOOSE(CONTROL!$C$42, 695, 695)*CHOOSE(CONTROL!$C$42, 0.5599, 0.5599)*CHOOSE(CONTROL!$C$42, 31, 31))/1000000</f>
        <v>12.063045499999998</v>
      </c>
      <c r="V130" s="57">
        <f>(1000*CHOOSE(CONTROL!$C$42, 500, 500)*CHOOSE(CONTROL!$C$42, 0.275, 0.275)*CHOOSE(CONTROL!$C$42, 31, 31))/1000000</f>
        <v>4.2625000000000002</v>
      </c>
      <c r="W130" s="57">
        <f>(1000*CHOOSE(CONTROL!$C$42, 0.1146, 0.1146)*CHOOSE(CONTROL!$C$42, 121.5, 121.5)*CHOOSE(CONTROL!$C$42, 31, 31))/1000000</f>
        <v>0.43164089999999994</v>
      </c>
      <c r="X130" s="57">
        <f>(31*0.1790888*245000/1000000)+(31*0.2374*100000/1000000)</f>
        <v>2.0961194359999999</v>
      </c>
      <c r="Y130" s="57"/>
      <c r="Z130" s="14"/>
      <c r="AA130" s="56"/>
      <c r="AB130" s="50">
        <f>(B130*131.881+C130*277.167+D130*79.08+E130*125.872+F130*40+G130*185+H130*0+I130*100+J130*300)/(131.881+277.167+79.08+125.872+0+40+185+100+300)</f>
        <v>7.0481222381759494</v>
      </c>
      <c r="AC130" s="45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6.9416884892086328</v>
      </c>
    </row>
    <row r="131" spans="1:29" ht="15.75" x14ac:dyDescent="0.25">
      <c r="A131" s="13">
        <v>44866</v>
      </c>
      <c r="B131" s="14">
        <f>CHOOSE(CONTROL!$C$42, 7.1982, 7.1982) * CHOOSE(CONTROL!$C$21, $C$9, 100%, $E$9)</f>
        <v>7.1981999999999999</v>
      </c>
      <c r="C131" s="14">
        <f>CHOOSE(CONTROL!$C$42, 7.2033, 7.2033) * CHOOSE(CONTROL!$C$21, $C$9, 100%, $E$9)</f>
        <v>7.2032999999999996</v>
      </c>
      <c r="D131" s="14">
        <f>CHOOSE(CONTROL!$C$42, 7.2775, 7.2775) * CHOOSE(CONTROL!$C$21, $C$9, 100%, $E$9)</f>
        <v>7.2774999999999999</v>
      </c>
      <c r="E131" s="14">
        <f>CHOOSE(CONTROL!$C$42, 7.3116, 7.3116) * CHOOSE(CONTROL!$C$21, $C$9, 100%, $E$9)</f>
        <v>7.3116000000000003</v>
      </c>
      <c r="F131" s="14">
        <f>CHOOSE(CONTROL!$C$42, 7.2103, 7.2103)*CHOOSE(CONTROL!$C$21, $C$9, 100%, $E$9)</f>
        <v>7.2103000000000002</v>
      </c>
      <c r="G131" s="14">
        <f>CHOOSE(CONTROL!$C$42, 7.2269, 7.2269)*CHOOSE(CONTROL!$C$21, $C$9, 100%, $E$9)</f>
        <v>7.2268999999999997</v>
      </c>
      <c r="H131" s="14">
        <f>CHOOSE(CONTROL!$C$42, 7.3008, 7.3008) * CHOOSE(CONTROL!$C$21, $C$9, 100%, $E$9)</f>
        <v>7.3007999999999997</v>
      </c>
      <c r="I131" s="14">
        <f>CHOOSE(CONTROL!$C$42, 7.2451, 7.2451)* CHOOSE(CONTROL!$C$21, $C$9, 100%, $E$9)</f>
        <v>7.2450999999999999</v>
      </c>
      <c r="J131" s="14">
        <f>CHOOSE(CONTROL!$C$42, 7.2033, 7.2033)* CHOOSE(CONTROL!$C$21, $C$9, 100%, $E$9)</f>
        <v>7.2032999999999996</v>
      </c>
      <c r="K131" s="53">
        <f>CHOOSE(CONTROL!$C$42, 7.2412, 7.2412) * CHOOSE(CONTROL!$C$21, $C$9, 100%, $E$9)</f>
        <v>7.2412000000000001</v>
      </c>
      <c r="L131" s="14">
        <f>CHOOSE(CONTROL!$C$42, 7.8878, 7.8878) * CHOOSE(CONTROL!$C$21, $C$9, 100%, $E$9)</f>
        <v>7.8878000000000004</v>
      </c>
      <c r="M131" s="14">
        <f>CHOOSE(CONTROL!$C$42, 7.0634, 7.0634) * CHOOSE(CONTROL!$C$21, $C$9, 100%, $E$9)</f>
        <v>7.0633999999999997</v>
      </c>
      <c r="N131" s="14">
        <f>CHOOSE(CONTROL!$C$42, 7.0796, 7.0796) * CHOOSE(CONTROL!$C$21, $C$9, 100%, $E$9)</f>
        <v>7.0796000000000001</v>
      </c>
      <c r="O131" s="14">
        <f>CHOOSE(CONTROL!$C$42, 7.1589, 7.1589) * CHOOSE(CONTROL!$C$21, $C$9, 100%, $E$9)</f>
        <v>7.1589</v>
      </c>
      <c r="P131" s="14">
        <f>CHOOSE(CONTROL!$C$42, 7.104, 7.104) * CHOOSE(CONTROL!$C$21, $C$9, 100%, $E$9)</f>
        <v>7.1040000000000001</v>
      </c>
      <c r="Q131" s="14">
        <f>CHOOSE(CONTROL!$C$42, 7.7536, 7.7536) * CHOOSE(CONTROL!$C$21, $C$9, 100%, $E$9)</f>
        <v>7.7535999999999996</v>
      </c>
      <c r="R131" s="14">
        <f>CHOOSE(CONTROL!$C$42, 8.36, 8.36) * CHOOSE(CONTROL!$C$21, $C$9, 100%, $E$9)</f>
        <v>8.36</v>
      </c>
      <c r="S131" s="14">
        <f>CHOOSE(CONTROL!$C$42, 6.9082, 6.9082) * CHOOSE(CONTROL!$C$21, $C$9, 100%, $E$9)</f>
        <v>6.9081999999999999</v>
      </c>
      <c r="T1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7">
        <f>(1000*CHOOSE(CONTROL!$C$42, 695, 695)*CHOOSE(CONTROL!$C$42, 0.5599, 0.5599)*CHOOSE(CONTROL!$C$42, 30, 30))/1000000</f>
        <v>11.673914999999997</v>
      </c>
      <c r="V131" s="57">
        <f>(1000*CHOOSE(CONTROL!$C$42, 500, 500)*CHOOSE(CONTROL!$C$42, 0.275, 0.275)*CHOOSE(CONTROL!$C$42, 30, 30))/1000000</f>
        <v>4.125</v>
      </c>
      <c r="W131" s="57">
        <f>(1000*CHOOSE(CONTROL!$C$42, 0.1146, 0.1146)*CHOOSE(CONTROL!$C$42, 121.5, 121.5)*CHOOSE(CONTROL!$C$42, 30, 30))/1000000</f>
        <v>0.417717</v>
      </c>
      <c r="X131" s="57">
        <f>(30*0.1790888*100000/1000000)+(30*0.2374*100000/1000000)</f>
        <v>1.2494664</v>
      </c>
      <c r="Y131" s="57"/>
      <c r="Z131" s="14"/>
      <c r="AA131" s="56"/>
      <c r="AB131" s="50">
        <f>(B131*122.58+C131*297.941+D131*89.177+E131*40.302+F131*40+G131*160+H131*0+I131*100+J131*300)/(122.58+297.941+89.177+40.302+0+40+160+100+300)</f>
        <v>7.2194673756521741</v>
      </c>
      <c r="AC131" s="45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7.1134582733812941</v>
      </c>
    </row>
    <row r="132" spans="1:29" ht="15.75" x14ac:dyDescent="0.25">
      <c r="A132" s="13">
        <v>44896</v>
      </c>
      <c r="B132" s="14">
        <f>CHOOSE(CONTROL!$C$42, 7.7041, 7.7041) * CHOOSE(CONTROL!$C$21, $C$9, 100%, $E$9)</f>
        <v>7.7041000000000004</v>
      </c>
      <c r="C132" s="14">
        <f>CHOOSE(CONTROL!$C$42, 7.7092, 7.7092) * CHOOSE(CONTROL!$C$21, $C$9, 100%, $E$9)</f>
        <v>7.7092000000000001</v>
      </c>
      <c r="D132" s="14">
        <f>CHOOSE(CONTROL!$C$42, 7.7834, 7.7834) * CHOOSE(CONTROL!$C$21, $C$9, 100%, $E$9)</f>
        <v>7.7834000000000003</v>
      </c>
      <c r="E132" s="14">
        <f>CHOOSE(CONTROL!$C$42, 7.8175, 7.8175) * CHOOSE(CONTROL!$C$21, $C$9, 100%, $E$9)</f>
        <v>7.8174999999999999</v>
      </c>
      <c r="F132" s="14">
        <f>CHOOSE(CONTROL!$C$42, 7.7184, 7.7184)*CHOOSE(CONTROL!$C$21, $C$9, 100%, $E$9)</f>
        <v>7.7183999999999999</v>
      </c>
      <c r="G132" s="14">
        <f>CHOOSE(CONTROL!$C$42, 7.7355, 7.7355)*CHOOSE(CONTROL!$C$21, $C$9, 100%, $E$9)</f>
        <v>7.7355</v>
      </c>
      <c r="H132" s="14">
        <f>CHOOSE(CONTROL!$C$42, 7.8067, 7.8067) * CHOOSE(CONTROL!$C$21, $C$9, 100%, $E$9)</f>
        <v>7.8067000000000002</v>
      </c>
      <c r="I132" s="14">
        <f>CHOOSE(CONTROL!$C$42, 7.7526, 7.7526)* CHOOSE(CONTROL!$C$21, $C$9, 100%, $E$9)</f>
        <v>7.7526000000000002</v>
      </c>
      <c r="J132" s="14">
        <f>CHOOSE(CONTROL!$C$42, 7.7114, 7.7114)* CHOOSE(CONTROL!$C$21, $C$9, 100%, $E$9)</f>
        <v>7.7114000000000003</v>
      </c>
      <c r="K132" s="53">
        <f>CHOOSE(CONTROL!$C$42, 7.7487, 7.7487) * CHOOSE(CONTROL!$C$21, $C$9, 100%, $E$9)</f>
        <v>7.7487000000000004</v>
      </c>
      <c r="L132" s="14">
        <f>CHOOSE(CONTROL!$C$42, 8.3937, 8.3937) * CHOOSE(CONTROL!$C$21, $C$9, 100%, $E$9)</f>
        <v>8.3937000000000008</v>
      </c>
      <c r="M132" s="14">
        <f>CHOOSE(CONTROL!$C$42, 7.5611, 7.5611) * CHOOSE(CONTROL!$C$21, $C$9, 100%, $E$9)</f>
        <v>7.5610999999999997</v>
      </c>
      <c r="N132" s="14">
        <f>CHOOSE(CONTROL!$C$42, 7.5779, 7.5779) * CHOOSE(CONTROL!$C$21, $C$9, 100%, $E$9)</f>
        <v>7.5778999999999996</v>
      </c>
      <c r="O132" s="14">
        <f>CHOOSE(CONTROL!$C$42, 7.6545, 7.6545) * CHOOSE(CONTROL!$C$21, $C$9, 100%, $E$9)</f>
        <v>7.6544999999999996</v>
      </c>
      <c r="P132" s="14">
        <f>CHOOSE(CONTROL!$C$42, 7.601, 7.601) * CHOOSE(CONTROL!$C$21, $C$9, 100%, $E$9)</f>
        <v>7.601</v>
      </c>
      <c r="Q132" s="14">
        <f>CHOOSE(CONTROL!$C$42, 8.2492, 8.2492) * CHOOSE(CONTROL!$C$21, $C$9, 100%, $E$9)</f>
        <v>8.2492000000000001</v>
      </c>
      <c r="R132" s="14">
        <f>CHOOSE(CONTROL!$C$42, 8.8568, 8.8568) * CHOOSE(CONTROL!$C$21, $C$9, 100%, $E$9)</f>
        <v>8.8567999999999998</v>
      </c>
      <c r="S132" s="14">
        <f>CHOOSE(CONTROL!$C$42, 7.3944, 7.3944) * CHOOSE(CONTROL!$C$21, $C$9, 100%, $E$9)</f>
        <v>7.3944000000000001</v>
      </c>
      <c r="T1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7">
        <f>(1000*CHOOSE(CONTROL!$C$42, 695, 695)*CHOOSE(CONTROL!$C$42, 0.5599, 0.5599)*CHOOSE(CONTROL!$C$42, 31, 31))/1000000</f>
        <v>12.063045499999998</v>
      </c>
      <c r="V132" s="57">
        <f>(1000*CHOOSE(CONTROL!$C$42, 500, 500)*CHOOSE(CONTROL!$C$42, 0.275, 0.275)*CHOOSE(CONTROL!$C$42, 31, 31))/1000000</f>
        <v>4.2625000000000002</v>
      </c>
      <c r="W132" s="57">
        <f>(1000*CHOOSE(CONTROL!$C$42, 0.1146, 0.1146)*CHOOSE(CONTROL!$C$42, 121.5, 121.5)*CHOOSE(CONTROL!$C$42, 31, 31))/1000000</f>
        <v>0.43164089999999994</v>
      </c>
      <c r="X132" s="57">
        <f>(31*0.1790888*100000/1000000)+(31*0.2374*100000/1000000)</f>
        <v>1.2911152800000001</v>
      </c>
      <c r="Y132" s="57"/>
      <c r="Z132" s="14"/>
      <c r="AA132" s="56"/>
      <c r="AB132" s="50">
        <f>(B132*122.58+C132*297.941+D132*89.177+E132*40.302+F132*40+G132*160+H132*0+I132*100+J132*300)/(122.58+297.941+89.177+40.302+0+40+160+100+300)</f>
        <v>7.7265325930434798</v>
      </c>
      <c r="AC132" s="45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7.6101402877697852</v>
      </c>
    </row>
    <row r="133" spans="1:29" ht="15.75" x14ac:dyDescent="0.25">
      <c r="A133" s="13">
        <v>44927</v>
      </c>
      <c r="B133" s="14">
        <f>CHOOSE(CONTROL!$C$42, 8.5011, 8.5011) * CHOOSE(CONTROL!$C$21, $C$9, 100%, $E$9)</f>
        <v>8.5010999999999992</v>
      </c>
      <c r="C133" s="14">
        <f>CHOOSE(CONTROL!$C$42, 8.5062, 8.5062) * CHOOSE(CONTROL!$C$21, $C$9, 100%, $E$9)</f>
        <v>8.5061999999999998</v>
      </c>
      <c r="D133" s="14">
        <f>CHOOSE(CONTROL!$C$42, 8.583, 8.583) * CHOOSE(CONTROL!$C$21, $C$9, 100%, $E$9)</f>
        <v>8.5830000000000002</v>
      </c>
      <c r="E133" s="14">
        <f>CHOOSE(CONTROL!$C$42, 8.6171, 8.6171) * CHOOSE(CONTROL!$C$21, $C$9, 100%, $E$9)</f>
        <v>8.6171000000000006</v>
      </c>
      <c r="F133" s="14">
        <f>CHOOSE(CONTROL!$C$42, 8.5013, 8.5013)*CHOOSE(CONTROL!$C$21, $C$9, 100%, $E$9)</f>
        <v>8.5013000000000005</v>
      </c>
      <c r="G133" s="14">
        <f>CHOOSE(CONTROL!$C$42, 8.5175, 8.5175)*CHOOSE(CONTROL!$C$21, $C$9, 100%, $E$9)</f>
        <v>8.5175000000000001</v>
      </c>
      <c r="H133" s="14">
        <f>CHOOSE(CONTROL!$C$42, 8.6063, 8.6063) * CHOOSE(CONTROL!$C$21, $C$9, 100%, $E$9)</f>
        <v>8.6062999999999992</v>
      </c>
      <c r="I133" s="14">
        <f>CHOOSE(CONTROL!$C$42, 8.5458, 8.5458)* CHOOSE(CONTROL!$C$21, $C$9, 100%, $E$9)</f>
        <v>8.5457999999999998</v>
      </c>
      <c r="J133" s="14">
        <f>CHOOSE(CONTROL!$C$42, 8.4943, 8.4943)* CHOOSE(CONTROL!$C$21, $C$9, 100%, $E$9)</f>
        <v>8.4943000000000008</v>
      </c>
      <c r="K133" s="53">
        <f>CHOOSE(CONTROL!$C$42, 8.5419, 8.5419) * CHOOSE(CONTROL!$C$21, $C$9, 100%, $E$9)</f>
        <v>8.5419</v>
      </c>
      <c r="L133" s="14">
        <f>CHOOSE(CONTROL!$C$42, 9.1933, 9.1933) * CHOOSE(CONTROL!$C$21, $C$9, 100%, $E$9)</f>
        <v>9.1933000000000007</v>
      </c>
      <c r="M133" s="14">
        <f>CHOOSE(CONTROL!$C$42, 8.328, 8.328) * CHOOSE(CONTROL!$C$21, $C$9, 100%, $E$9)</f>
        <v>8.3279999999999994</v>
      </c>
      <c r="N133" s="14">
        <f>CHOOSE(CONTROL!$C$42, 8.3438, 8.3438) * CHOOSE(CONTROL!$C$21, $C$9, 100%, $E$9)</f>
        <v>8.3437999999999999</v>
      </c>
      <c r="O133" s="14">
        <f>CHOOSE(CONTROL!$C$42, 8.4376, 8.4376) * CHOOSE(CONTROL!$C$21, $C$9, 100%, $E$9)</f>
        <v>8.4375999999999998</v>
      </c>
      <c r="P133" s="14">
        <f>CHOOSE(CONTROL!$C$42, 8.3779, 8.3779) * CHOOSE(CONTROL!$C$21, $C$9, 100%, $E$9)</f>
        <v>8.3779000000000003</v>
      </c>
      <c r="Q133" s="14">
        <f>CHOOSE(CONTROL!$C$42, 9.0323, 9.0323) * CHOOSE(CONTROL!$C$21, $C$9, 100%, $E$9)</f>
        <v>9.0322999999999993</v>
      </c>
      <c r="R133" s="14">
        <f>CHOOSE(CONTROL!$C$42, 9.6419, 9.6419) * CHOOSE(CONTROL!$C$21, $C$9, 100%, $E$9)</f>
        <v>9.6418999999999997</v>
      </c>
      <c r="S133" s="14">
        <f>CHOOSE(CONTROL!$C$42, 8.1602, 8.1602) * CHOOSE(CONTROL!$C$21, $C$9, 100%, $E$9)</f>
        <v>8.1601999999999997</v>
      </c>
      <c r="T1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7">
        <f>(1000*CHOOSE(CONTROL!$C$42, 695, 695)*CHOOSE(CONTROL!$C$42, 0.5599, 0.5599)*CHOOSE(CONTROL!$C$42, 31, 31))/1000000</f>
        <v>12.063045499999998</v>
      </c>
      <c r="V133" s="57">
        <f>(1000*CHOOSE(CONTROL!$C$42, 500, 500)*CHOOSE(CONTROL!$C$42, 0.275, 0.275)*CHOOSE(CONTROL!$C$42, 31, 31))/1000000</f>
        <v>4.2625000000000002</v>
      </c>
      <c r="W133" s="57">
        <f>(1000*CHOOSE(CONTROL!$C$42, 0.1146, 0.1146)*CHOOSE(CONTROL!$C$42, 121.5, 121.5)*CHOOSE(CONTROL!$C$42, 31, 31))/1000000</f>
        <v>0.43164089999999994</v>
      </c>
      <c r="X133" s="57">
        <f>(31*0.1790888*100000/1000000)+(31*0.2374*100000/1000000)</f>
        <v>1.2911152800000001</v>
      </c>
      <c r="Y133" s="57"/>
      <c r="Z133" s="14"/>
      <c r="AA133" s="56"/>
      <c r="AB133" s="50">
        <f>(B133*122.58+C133*297.941+D133*89.177+E133*40.302+F133*40+G133*160+H133*0+I133*100+J133*300)/(122.58+297.941+89.177+40.302+0+40+160+100+300)</f>
        <v>8.517239241217391</v>
      </c>
      <c r="AC133" s="45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8.3857640287769772</v>
      </c>
    </row>
    <row r="134" spans="1:29" ht="15.75" x14ac:dyDescent="0.25">
      <c r="A134" s="13">
        <v>44958</v>
      </c>
      <c r="B134" s="14">
        <f>CHOOSE(CONTROL!$C$42, 8.6701, 8.6701) * CHOOSE(CONTROL!$C$21, $C$9, 100%, $E$9)</f>
        <v>8.6700999999999997</v>
      </c>
      <c r="C134" s="14">
        <f>CHOOSE(CONTROL!$C$42, 8.6751, 8.6751) * CHOOSE(CONTROL!$C$21, $C$9, 100%, $E$9)</f>
        <v>8.6751000000000005</v>
      </c>
      <c r="D134" s="14">
        <f>CHOOSE(CONTROL!$C$42, 8.7519, 8.7519) * CHOOSE(CONTROL!$C$21, $C$9, 100%, $E$9)</f>
        <v>8.7518999999999991</v>
      </c>
      <c r="E134" s="14">
        <f>CHOOSE(CONTROL!$C$42, 8.7861, 8.7861) * CHOOSE(CONTROL!$C$21, $C$9, 100%, $E$9)</f>
        <v>8.7860999999999994</v>
      </c>
      <c r="F134" s="14">
        <f>CHOOSE(CONTROL!$C$42, 8.6703, 8.6703)*CHOOSE(CONTROL!$C$21, $C$9, 100%, $E$9)</f>
        <v>8.6702999999999992</v>
      </c>
      <c r="G134" s="14">
        <f>CHOOSE(CONTROL!$C$42, 8.6866, 8.6866)*CHOOSE(CONTROL!$C$21, $C$9, 100%, $E$9)</f>
        <v>8.6866000000000003</v>
      </c>
      <c r="H134" s="14">
        <f>CHOOSE(CONTROL!$C$42, 8.7752, 8.7752) * CHOOSE(CONTROL!$C$21, $C$9, 100%, $E$9)</f>
        <v>8.7751999999999999</v>
      </c>
      <c r="I134" s="14">
        <f>CHOOSE(CONTROL!$C$42, 8.7153, 8.7153)* CHOOSE(CONTROL!$C$21, $C$9, 100%, $E$9)</f>
        <v>8.7152999999999992</v>
      </c>
      <c r="J134" s="14">
        <f>CHOOSE(CONTROL!$C$42, 8.6633, 8.6633)* CHOOSE(CONTROL!$C$21, $C$9, 100%, $E$9)</f>
        <v>8.6632999999999996</v>
      </c>
      <c r="K134" s="53">
        <f>CHOOSE(CONTROL!$C$42, 8.7114, 8.7114) * CHOOSE(CONTROL!$C$21, $C$9, 100%, $E$9)</f>
        <v>8.7113999999999994</v>
      </c>
      <c r="L134" s="14">
        <f>CHOOSE(CONTROL!$C$42, 9.3622, 9.3622) * CHOOSE(CONTROL!$C$21, $C$9, 100%, $E$9)</f>
        <v>9.3621999999999996</v>
      </c>
      <c r="M134" s="14">
        <f>CHOOSE(CONTROL!$C$42, 8.4935, 8.4935) * CHOOSE(CONTROL!$C$21, $C$9, 100%, $E$9)</f>
        <v>8.4934999999999992</v>
      </c>
      <c r="N134" s="14">
        <f>CHOOSE(CONTROL!$C$42, 8.5094, 8.5094) * CHOOSE(CONTROL!$C$21, $C$9, 100%, $E$9)</f>
        <v>8.5093999999999994</v>
      </c>
      <c r="O134" s="14">
        <f>CHOOSE(CONTROL!$C$42, 8.6031, 8.6031) * CHOOSE(CONTROL!$C$21, $C$9, 100%, $E$9)</f>
        <v>8.6030999999999995</v>
      </c>
      <c r="P134" s="14">
        <f>CHOOSE(CONTROL!$C$42, 8.5439, 8.5439) * CHOOSE(CONTROL!$C$21, $C$9, 100%, $E$9)</f>
        <v>8.5439000000000007</v>
      </c>
      <c r="Q134" s="14">
        <f>CHOOSE(CONTROL!$C$42, 9.1978, 9.1978) * CHOOSE(CONTROL!$C$21, $C$9, 100%, $E$9)</f>
        <v>9.1978000000000009</v>
      </c>
      <c r="R134" s="14">
        <f>CHOOSE(CONTROL!$C$42, 9.8078, 9.8078) * CHOOSE(CONTROL!$C$21, $C$9, 100%, $E$9)</f>
        <v>9.8078000000000003</v>
      </c>
      <c r="S134" s="14">
        <f>CHOOSE(CONTROL!$C$42, 8.3225, 8.3225) * CHOOSE(CONTROL!$C$21, $C$9, 100%, $E$9)</f>
        <v>8.3224999999999998</v>
      </c>
      <c r="T1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7">
        <f>(1000*CHOOSE(CONTROL!$C$42, 695, 695)*CHOOSE(CONTROL!$C$42, 0.5599, 0.5599)*CHOOSE(CONTROL!$C$42, 28, 28))/1000000</f>
        <v>10.895653999999999</v>
      </c>
      <c r="V134" s="57">
        <f>(1000*CHOOSE(CONTROL!$C$42, 500, 500)*CHOOSE(CONTROL!$C$42, 0.275, 0.275)*CHOOSE(CONTROL!$C$42, 28, 28))/1000000</f>
        <v>3.85</v>
      </c>
      <c r="W134" s="57">
        <f>(1000*CHOOSE(CONTROL!$C$42, 0.1146, 0.1146)*CHOOSE(CONTROL!$C$42, 121.5, 121.5)*CHOOSE(CONTROL!$C$42, 28, 28))/1000000</f>
        <v>0.38986920000000003</v>
      </c>
      <c r="X134" s="57">
        <f>(28*0.1790888*100000/1000000)+(28*0.2374*100000/1000000)</f>
        <v>1.16616864</v>
      </c>
      <c r="Y134" s="57"/>
      <c r="Z134" s="14"/>
      <c r="AA134" s="56"/>
      <c r="AB134" s="50">
        <f>(B134*122.58+C134*297.941+D134*89.177+E134*40.302+F134*40+G134*160+H134*0+I134*100+J134*300)/(122.58+297.941+89.177+40.302+0+40+160+100+300)</f>
        <v>8.6862629700869558</v>
      </c>
      <c r="AC134" s="45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8.5513417266187055</v>
      </c>
    </row>
    <row r="135" spans="1:29" ht="15.75" x14ac:dyDescent="0.25">
      <c r="A135" s="13">
        <v>44986</v>
      </c>
      <c r="B135" s="14">
        <f>CHOOSE(CONTROL!$C$42, 8.4415, 8.4415) * CHOOSE(CONTROL!$C$21, $C$9, 100%, $E$9)</f>
        <v>8.4414999999999996</v>
      </c>
      <c r="C135" s="14">
        <f>CHOOSE(CONTROL!$C$42, 8.4466, 8.4466) * CHOOSE(CONTROL!$C$21, $C$9, 100%, $E$9)</f>
        <v>8.4466000000000001</v>
      </c>
      <c r="D135" s="14">
        <f>CHOOSE(CONTROL!$C$42, 8.5234, 8.5234) * CHOOSE(CONTROL!$C$21, $C$9, 100%, $E$9)</f>
        <v>8.5234000000000005</v>
      </c>
      <c r="E135" s="14">
        <f>CHOOSE(CONTROL!$C$42, 8.5575, 8.5575) * CHOOSE(CONTROL!$C$21, $C$9, 100%, $E$9)</f>
        <v>8.5574999999999992</v>
      </c>
      <c r="F135" s="14">
        <f>CHOOSE(CONTROL!$C$42, 8.4413, 8.4413)*CHOOSE(CONTROL!$C$21, $C$9, 100%, $E$9)</f>
        <v>8.4413</v>
      </c>
      <c r="G135" s="14">
        <f>CHOOSE(CONTROL!$C$42, 8.4574, 8.4574)*CHOOSE(CONTROL!$C$21, $C$9, 100%, $E$9)</f>
        <v>8.4573999999999998</v>
      </c>
      <c r="H135" s="14">
        <f>CHOOSE(CONTROL!$C$42, 8.5467, 8.5467) * CHOOSE(CONTROL!$C$21, $C$9, 100%, $E$9)</f>
        <v>8.5466999999999995</v>
      </c>
      <c r="I135" s="14">
        <f>CHOOSE(CONTROL!$C$42, 8.486, 8.486)* CHOOSE(CONTROL!$C$21, $C$9, 100%, $E$9)</f>
        <v>8.4860000000000007</v>
      </c>
      <c r="J135" s="14">
        <f>CHOOSE(CONTROL!$C$42, 8.4343, 8.4343)* CHOOSE(CONTROL!$C$21, $C$9, 100%, $E$9)</f>
        <v>8.4343000000000004</v>
      </c>
      <c r="K135" s="53">
        <f>CHOOSE(CONTROL!$C$42, 8.4821, 8.4821) * CHOOSE(CONTROL!$C$21, $C$9, 100%, $E$9)</f>
        <v>8.4821000000000009</v>
      </c>
      <c r="L135" s="14">
        <f>CHOOSE(CONTROL!$C$42, 9.1337, 9.1337) * CHOOSE(CONTROL!$C$21, $C$9, 100%, $E$9)</f>
        <v>9.1336999999999993</v>
      </c>
      <c r="M135" s="14">
        <f>CHOOSE(CONTROL!$C$42, 8.2692, 8.2692) * CHOOSE(CONTROL!$C$21, $C$9, 100%, $E$9)</f>
        <v>8.2691999999999997</v>
      </c>
      <c r="N135" s="14">
        <f>CHOOSE(CONTROL!$C$42, 8.285, 8.285) * CHOOSE(CONTROL!$C$21, $C$9, 100%, $E$9)</f>
        <v>8.2850000000000001</v>
      </c>
      <c r="O135" s="14">
        <f>CHOOSE(CONTROL!$C$42, 8.3793, 8.3793) * CHOOSE(CONTROL!$C$21, $C$9, 100%, $E$9)</f>
        <v>8.3793000000000006</v>
      </c>
      <c r="P135" s="14">
        <f>CHOOSE(CONTROL!$C$42, 8.3194, 8.3194) * CHOOSE(CONTROL!$C$21, $C$9, 100%, $E$9)</f>
        <v>8.3193999999999999</v>
      </c>
      <c r="Q135" s="14">
        <f>CHOOSE(CONTROL!$C$42, 8.974, 8.974) * CHOOSE(CONTROL!$C$21, $C$9, 100%, $E$9)</f>
        <v>8.9740000000000002</v>
      </c>
      <c r="R135" s="14">
        <f>CHOOSE(CONTROL!$C$42, 9.5834, 9.5834) * CHOOSE(CONTROL!$C$21, $C$9, 100%, $E$9)</f>
        <v>9.5833999999999993</v>
      </c>
      <c r="S135" s="14">
        <f>CHOOSE(CONTROL!$C$42, 8.1029, 8.1029) * CHOOSE(CONTROL!$C$21, $C$9, 100%, $E$9)</f>
        <v>8.1029</v>
      </c>
      <c r="T1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7">
        <f>(1000*CHOOSE(CONTROL!$C$42, 695, 695)*CHOOSE(CONTROL!$C$42, 0.5599, 0.5599)*CHOOSE(CONTROL!$C$42, 31, 31))/1000000</f>
        <v>12.063045499999998</v>
      </c>
      <c r="V135" s="57">
        <f>(1000*CHOOSE(CONTROL!$C$42, 500, 500)*CHOOSE(CONTROL!$C$42, 0.275, 0.275)*CHOOSE(CONTROL!$C$42, 31, 31))/1000000</f>
        <v>4.2625000000000002</v>
      </c>
      <c r="W135" s="57">
        <f>(1000*CHOOSE(CONTROL!$C$42, 0.1146, 0.1146)*CHOOSE(CONTROL!$C$42, 121.5, 121.5)*CHOOSE(CONTROL!$C$42, 31, 31))/1000000</f>
        <v>0.43164089999999994</v>
      </c>
      <c r="X135" s="57">
        <f>(31*0.1790888*100000/1000000)+(31*0.2374*100000/1000000)</f>
        <v>1.2911152800000001</v>
      </c>
      <c r="Y135" s="57"/>
      <c r="Z135" s="14"/>
      <c r="AA135" s="56"/>
      <c r="AB135" s="50">
        <f>(B135*122.58+C135*297.941+D135*89.177+E135*40.302+F135*40+G135*160+H135*0+I135*100+J135*300)/(122.58+297.941+89.177+40.302+0+40+160+100+300)</f>
        <v>8.457434023826087</v>
      </c>
      <c r="AC135" s="45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8.3272338129496397</v>
      </c>
    </row>
    <row r="136" spans="1:29" ht="15.75" x14ac:dyDescent="0.25">
      <c r="A136" s="13">
        <v>45017</v>
      </c>
      <c r="B136" s="14">
        <f>CHOOSE(CONTROL!$C$42, 8.4348, 8.4348) * CHOOSE(CONTROL!$C$21, $C$9, 100%, $E$9)</f>
        <v>8.4347999999999992</v>
      </c>
      <c r="C136" s="14">
        <f>CHOOSE(CONTROL!$C$42, 8.4393, 8.4393) * CHOOSE(CONTROL!$C$21, $C$9, 100%, $E$9)</f>
        <v>8.4392999999999994</v>
      </c>
      <c r="D136" s="14">
        <f>CHOOSE(CONTROL!$C$42, 8.6761, 8.6761) * CHOOSE(CONTROL!$C$21, $C$9, 100%, $E$9)</f>
        <v>8.6760999999999999</v>
      </c>
      <c r="E136" s="14">
        <f>CHOOSE(CONTROL!$C$42, 8.7082, 8.7082) * CHOOSE(CONTROL!$C$21, $C$9, 100%, $E$9)</f>
        <v>8.7081999999999997</v>
      </c>
      <c r="F136" s="14">
        <f>CHOOSE(CONTROL!$C$42, 8.4328, 8.4328)*CHOOSE(CONTROL!$C$21, $C$9, 100%, $E$9)</f>
        <v>8.4328000000000003</v>
      </c>
      <c r="G136" s="14">
        <f>CHOOSE(CONTROL!$C$42, 8.4486, 8.4486)*CHOOSE(CONTROL!$C$21, $C$9, 100%, $E$9)</f>
        <v>8.4486000000000008</v>
      </c>
      <c r="H136" s="14">
        <f>CHOOSE(CONTROL!$C$42, 8.6979, 8.6979) * CHOOSE(CONTROL!$C$21, $C$9, 100%, $E$9)</f>
        <v>8.6979000000000006</v>
      </c>
      <c r="I136" s="14">
        <f>CHOOSE(CONTROL!$C$42, 8.4785, 8.4785)* CHOOSE(CONTROL!$C$21, $C$9, 100%, $E$9)</f>
        <v>8.4785000000000004</v>
      </c>
      <c r="J136" s="14">
        <f>CHOOSE(CONTROL!$C$42, 8.4258, 8.4258)* CHOOSE(CONTROL!$C$21, $C$9, 100%, $E$9)</f>
        <v>8.4258000000000006</v>
      </c>
      <c r="K136" s="53">
        <f>CHOOSE(CONTROL!$C$42, 8.4746, 8.4746) * CHOOSE(CONTROL!$C$21, $C$9, 100%, $E$9)</f>
        <v>8.4746000000000006</v>
      </c>
      <c r="L136" s="14">
        <f>CHOOSE(CONTROL!$C$42, 9.2849, 9.2849) * CHOOSE(CONTROL!$C$21, $C$9, 100%, $E$9)</f>
        <v>9.2849000000000004</v>
      </c>
      <c r="M136" s="14">
        <f>CHOOSE(CONTROL!$C$42, 8.2608, 8.2608) * CHOOSE(CONTROL!$C$21, $C$9, 100%, $E$9)</f>
        <v>8.2607999999999997</v>
      </c>
      <c r="N136" s="14">
        <f>CHOOSE(CONTROL!$C$42, 8.2763, 8.2763) * CHOOSE(CONTROL!$C$21, $C$9, 100%, $E$9)</f>
        <v>8.2763000000000009</v>
      </c>
      <c r="O136" s="14">
        <f>CHOOSE(CONTROL!$C$42, 8.5274, 8.5274) * CHOOSE(CONTROL!$C$21, $C$9, 100%, $E$9)</f>
        <v>8.5274000000000001</v>
      </c>
      <c r="P136" s="14">
        <f>CHOOSE(CONTROL!$C$42, 8.312, 8.312) * CHOOSE(CONTROL!$C$21, $C$9, 100%, $E$9)</f>
        <v>8.3119999999999994</v>
      </c>
      <c r="Q136" s="14">
        <f>CHOOSE(CONTROL!$C$42, 9.1221, 9.1221) * CHOOSE(CONTROL!$C$21, $C$9, 100%, $E$9)</f>
        <v>9.1220999999999997</v>
      </c>
      <c r="R136" s="14">
        <f>CHOOSE(CONTROL!$C$42, 9.7319, 9.7319) * CHOOSE(CONTROL!$C$21, $C$9, 100%, $E$9)</f>
        <v>9.7318999999999996</v>
      </c>
      <c r="S136" s="14">
        <f>CHOOSE(CONTROL!$C$42, 8.0957, 8.0957) * CHOOSE(CONTROL!$C$21, $C$9, 100%, $E$9)</f>
        <v>8.0957000000000008</v>
      </c>
      <c r="T1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7">
        <f>(1000*CHOOSE(CONTROL!$C$42, 695, 695)*CHOOSE(CONTROL!$C$42, 0.5599, 0.5599)*CHOOSE(CONTROL!$C$42, 30, 30))/1000000</f>
        <v>11.673914999999997</v>
      </c>
      <c r="V136" s="57">
        <f>(1000*CHOOSE(CONTROL!$C$42, 500, 500)*CHOOSE(CONTROL!$C$42, 0.275, 0.275)*CHOOSE(CONTROL!$C$42, 30, 30))/1000000</f>
        <v>4.125</v>
      </c>
      <c r="W136" s="57">
        <f>(1000*CHOOSE(CONTROL!$C$42, 0.1146, 0.1146)*CHOOSE(CONTROL!$C$42, 121.5, 121.5)*CHOOSE(CONTROL!$C$42, 30, 30))/1000000</f>
        <v>0.417717</v>
      </c>
      <c r="X136" s="57">
        <f>(30*0.1790888*245000/1000000)+(30*0.2374*100000/1000000)</f>
        <v>2.0285026799999999</v>
      </c>
      <c r="Y136" s="57"/>
      <c r="Z136" s="14"/>
      <c r="AA136" s="56"/>
      <c r="AB136" s="50">
        <f>(B136*141.293+C136*267.993+D136*115.016+E136*89.698+F136*40+G136*185+H136*0+I136*100+J136*300)/(141.293+267.993+115.016+89.698+0+40+185+100+300)</f>
        <v>8.4813098970944321</v>
      </c>
      <c r="AC136" s="45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8.3465366906474809</v>
      </c>
    </row>
    <row r="137" spans="1:29" ht="15.75" x14ac:dyDescent="0.25">
      <c r="A137" s="13">
        <v>45047</v>
      </c>
      <c r="B137" s="14">
        <f>CHOOSE(CONTROL!$C$42, 8.5281, 8.5281) * CHOOSE(CONTROL!$C$21, $C$9, 100%, $E$9)</f>
        <v>8.5281000000000002</v>
      </c>
      <c r="C137" s="14">
        <f>CHOOSE(CONTROL!$C$42, 8.5361, 8.5361) * CHOOSE(CONTROL!$C$21, $C$9, 100%, $E$9)</f>
        <v>8.5360999999999994</v>
      </c>
      <c r="D137" s="14">
        <f>CHOOSE(CONTROL!$C$42, 8.7697, 8.7697) * CHOOSE(CONTROL!$C$21, $C$9, 100%, $E$9)</f>
        <v>8.7697000000000003</v>
      </c>
      <c r="E137" s="14">
        <f>CHOOSE(CONTROL!$C$42, 8.8012, 8.8012) * CHOOSE(CONTROL!$C$21, $C$9, 100%, $E$9)</f>
        <v>8.8011999999999997</v>
      </c>
      <c r="F137" s="14">
        <f>CHOOSE(CONTROL!$C$42, 8.5249, 8.5249)*CHOOSE(CONTROL!$C$21, $C$9, 100%, $E$9)</f>
        <v>8.5249000000000006</v>
      </c>
      <c r="G137" s="14">
        <f>CHOOSE(CONTROL!$C$42, 8.5412, 8.5412)*CHOOSE(CONTROL!$C$21, $C$9, 100%, $E$9)</f>
        <v>8.5411999999999999</v>
      </c>
      <c r="H137" s="14">
        <f>CHOOSE(CONTROL!$C$42, 8.7898, 8.7898) * CHOOSE(CONTROL!$C$21, $C$9, 100%, $E$9)</f>
        <v>8.7897999999999996</v>
      </c>
      <c r="I137" s="14">
        <f>CHOOSE(CONTROL!$C$42, 8.5707, 8.5707)* CHOOSE(CONTROL!$C$21, $C$9, 100%, $E$9)</f>
        <v>8.5707000000000004</v>
      </c>
      <c r="J137" s="14">
        <f>CHOOSE(CONTROL!$C$42, 8.5179, 8.5179)* CHOOSE(CONTROL!$C$21, $C$9, 100%, $E$9)</f>
        <v>8.5178999999999991</v>
      </c>
      <c r="K137" s="53">
        <f>CHOOSE(CONTROL!$C$42, 8.5668, 8.5668) * CHOOSE(CONTROL!$C$21, $C$9, 100%, $E$9)</f>
        <v>8.5668000000000006</v>
      </c>
      <c r="L137" s="14">
        <f>CHOOSE(CONTROL!$C$42, 9.3768, 9.3768) * CHOOSE(CONTROL!$C$21, $C$9, 100%, $E$9)</f>
        <v>9.3767999999999994</v>
      </c>
      <c r="M137" s="14">
        <f>CHOOSE(CONTROL!$C$42, 8.351, 8.351) * CHOOSE(CONTROL!$C$21, $C$9, 100%, $E$9)</f>
        <v>8.3510000000000009</v>
      </c>
      <c r="N137" s="14">
        <f>CHOOSE(CONTROL!$C$42, 8.367, 8.367) * CHOOSE(CONTROL!$C$21, $C$9, 100%, $E$9)</f>
        <v>8.3670000000000009</v>
      </c>
      <c r="O137" s="14">
        <f>CHOOSE(CONTROL!$C$42, 8.6174, 8.6174) * CHOOSE(CONTROL!$C$21, $C$9, 100%, $E$9)</f>
        <v>8.6173999999999999</v>
      </c>
      <c r="P137" s="14">
        <f>CHOOSE(CONTROL!$C$42, 8.4023, 8.4023) * CHOOSE(CONTROL!$C$21, $C$9, 100%, $E$9)</f>
        <v>8.4023000000000003</v>
      </c>
      <c r="Q137" s="14">
        <f>CHOOSE(CONTROL!$C$42, 9.2121, 9.2121) * CHOOSE(CONTROL!$C$21, $C$9, 100%, $E$9)</f>
        <v>9.2120999999999995</v>
      </c>
      <c r="R137" s="14">
        <f>CHOOSE(CONTROL!$C$42, 9.8221, 9.8221) * CHOOSE(CONTROL!$C$21, $C$9, 100%, $E$9)</f>
        <v>9.8221000000000007</v>
      </c>
      <c r="S137" s="14">
        <f>CHOOSE(CONTROL!$C$42, 8.184, 8.184) * CHOOSE(CONTROL!$C$21, $C$9, 100%, $E$9)</f>
        <v>8.1839999999999993</v>
      </c>
      <c r="T1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7">
        <f>(1000*CHOOSE(CONTROL!$C$42, 695, 695)*CHOOSE(CONTROL!$C$42, 0.5599, 0.5599)*CHOOSE(CONTROL!$C$42, 31, 31))/1000000</f>
        <v>12.063045499999998</v>
      </c>
      <c r="V137" s="57">
        <f>(1000*CHOOSE(CONTROL!$C$42, 500, 500)*CHOOSE(CONTROL!$C$42, 0.275, 0.275)*CHOOSE(CONTROL!$C$42, 31, 31))/1000000</f>
        <v>4.2625000000000002</v>
      </c>
      <c r="W137" s="57">
        <f>(1000*CHOOSE(CONTROL!$C$42, 0.1146, 0.1146)*CHOOSE(CONTROL!$C$42, 121.5, 121.5)*CHOOSE(CONTROL!$C$42, 31, 31))/1000000</f>
        <v>0.43164089999999994</v>
      </c>
      <c r="X137" s="57">
        <f>(31*0.1790888*245000/1000000)+(31*0.2374*100000/1000000)</f>
        <v>2.0961194359999999</v>
      </c>
      <c r="Y137" s="57"/>
      <c r="Z137" s="14"/>
      <c r="AA137" s="56"/>
      <c r="AB137" s="50">
        <f>(B137*194.205+C137*267.466+D137*133.845+E137*53.484+F137*40+G137*185+H137*0+I137*100+J137*300)/(194.205+267.466+133.845+53.484+0+40+185+100+300)</f>
        <v>8.5693705340659321</v>
      </c>
      <c r="AC137" s="45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8.4368100719424461</v>
      </c>
    </row>
    <row r="138" spans="1:29" ht="15.75" x14ac:dyDescent="0.25">
      <c r="A138" s="13">
        <v>45078</v>
      </c>
      <c r="B138" s="14">
        <f>CHOOSE(CONTROL!$C$42, 8.7877, 8.7877) * CHOOSE(CONTROL!$C$21, $C$9, 100%, $E$9)</f>
        <v>8.7876999999999992</v>
      </c>
      <c r="C138" s="14">
        <f>CHOOSE(CONTROL!$C$42, 8.7957, 8.7957) * CHOOSE(CONTROL!$C$21, $C$9, 100%, $E$9)</f>
        <v>8.7957000000000001</v>
      </c>
      <c r="D138" s="14">
        <f>CHOOSE(CONTROL!$C$42, 9.0293, 9.0293) * CHOOSE(CONTROL!$C$21, $C$9, 100%, $E$9)</f>
        <v>9.0292999999999992</v>
      </c>
      <c r="E138" s="14">
        <f>CHOOSE(CONTROL!$C$42, 9.0608, 9.0608) * CHOOSE(CONTROL!$C$21, $C$9, 100%, $E$9)</f>
        <v>9.0608000000000004</v>
      </c>
      <c r="F138" s="14">
        <f>CHOOSE(CONTROL!$C$42, 8.7849, 8.7849)*CHOOSE(CONTROL!$C$21, $C$9, 100%, $E$9)</f>
        <v>8.7849000000000004</v>
      </c>
      <c r="G138" s="14">
        <f>CHOOSE(CONTROL!$C$42, 8.8014, 8.8014)*CHOOSE(CONTROL!$C$21, $C$9, 100%, $E$9)</f>
        <v>8.8013999999999992</v>
      </c>
      <c r="H138" s="14">
        <f>CHOOSE(CONTROL!$C$42, 9.0494, 9.0494) * CHOOSE(CONTROL!$C$21, $C$9, 100%, $E$9)</f>
        <v>9.0494000000000003</v>
      </c>
      <c r="I138" s="14">
        <f>CHOOSE(CONTROL!$C$42, 8.8311, 8.8311)* CHOOSE(CONTROL!$C$21, $C$9, 100%, $E$9)</f>
        <v>8.8310999999999993</v>
      </c>
      <c r="J138" s="14">
        <f>CHOOSE(CONTROL!$C$42, 8.7779, 8.7779)* CHOOSE(CONTROL!$C$21, $C$9, 100%, $E$9)</f>
        <v>8.7779000000000007</v>
      </c>
      <c r="K138" s="53">
        <f>CHOOSE(CONTROL!$C$42, 8.8272, 8.8272) * CHOOSE(CONTROL!$C$21, $C$9, 100%, $E$9)</f>
        <v>8.8271999999999995</v>
      </c>
      <c r="L138" s="14">
        <f>CHOOSE(CONTROL!$C$42, 9.6364, 9.6364) * CHOOSE(CONTROL!$C$21, $C$9, 100%, $E$9)</f>
        <v>9.6364000000000001</v>
      </c>
      <c r="M138" s="14">
        <f>CHOOSE(CONTROL!$C$42, 8.6058, 8.6058) * CHOOSE(CONTROL!$C$21, $C$9, 100%, $E$9)</f>
        <v>8.6058000000000003</v>
      </c>
      <c r="N138" s="14">
        <f>CHOOSE(CONTROL!$C$42, 8.6219, 8.6219) * CHOOSE(CONTROL!$C$21, $C$9, 100%, $E$9)</f>
        <v>8.6219000000000001</v>
      </c>
      <c r="O138" s="14">
        <f>CHOOSE(CONTROL!$C$42, 8.8717, 8.8717) * CHOOSE(CONTROL!$C$21, $C$9, 100%, $E$9)</f>
        <v>8.8717000000000006</v>
      </c>
      <c r="P138" s="14">
        <f>CHOOSE(CONTROL!$C$42, 8.6574, 8.6574) * CHOOSE(CONTROL!$C$21, $C$9, 100%, $E$9)</f>
        <v>8.6574000000000009</v>
      </c>
      <c r="Q138" s="14">
        <f>CHOOSE(CONTROL!$C$42, 9.4664, 9.4664) * CHOOSE(CONTROL!$C$21, $C$9, 100%, $E$9)</f>
        <v>9.4664000000000001</v>
      </c>
      <c r="R138" s="14">
        <f>CHOOSE(CONTROL!$C$42, 10.077, 10.077) * CHOOSE(CONTROL!$C$21, $C$9, 100%, $E$9)</f>
        <v>10.077</v>
      </c>
      <c r="S138" s="14">
        <f>CHOOSE(CONTROL!$C$42, 8.4334, 8.4334) * CHOOSE(CONTROL!$C$21, $C$9, 100%, $E$9)</f>
        <v>8.4334000000000007</v>
      </c>
      <c r="T1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7">
        <f>(1000*CHOOSE(CONTROL!$C$42, 695, 695)*CHOOSE(CONTROL!$C$42, 0.5599, 0.5599)*CHOOSE(CONTROL!$C$42, 30, 30))/1000000</f>
        <v>11.673914999999997</v>
      </c>
      <c r="V138" s="57">
        <f>(1000*CHOOSE(CONTROL!$C$42, 500, 500)*CHOOSE(CONTROL!$C$42, 0.275, 0.275)*CHOOSE(CONTROL!$C$42, 30, 30))/1000000</f>
        <v>4.125</v>
      </c>
      <c r="W138" s="57">
        <f>(1000*CHOOSE(CONTROL!$C$42, 0.1146, 0.1146)*CHOOSE(CONTROL!$C$42, 121.5, 121.5)*CHOOSE(CONTROL!$C$42, 30, 30))/1000000</f>
        <v>0.417717</v>
      </c>
      <c r="X138" s="57">
        <f>(30*0.1790888*245000/1000000)+(30*0.2374*100000/1000000)</f>
        <v>2.0285026799999999</v>
      </c>
      <c r="Y138" s="57"/>
      <c r="Z138" s="14"/>
      <c r="AA138" s="56"/>
      <c r="AB138" s="50">
        <f>(B138*194.205+C138*267.466+D138*133.845+E138*53.484+F138*40+G138*185+H138*0+I138*100+J138*300)/(194.205+267.466+133.845+53.484+0+40+185+100+300)</f>
        <v>8.8292272059654646</v>
      </c>
      <c r="AC138" s="45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8.691535971223022</v>
      </c>
    </row>
    <row r="139" spans="1:29" ht="15.75" x14ac:dyDescent="0.25">
      <c r="A139" s="13">
        <v>45108</v>
      </c>
      <c r="B139" s="14">
        <f>CHOOSE(CONTROL!$C$42, 8.6371, 8.6371) * CHOOSE(CONTROL!$C$21, $C$9, 100%, $E$9)</f>
        <v>8.6371000000000002</v>
      </c>
      <c r="C139" s="14">
        <f>CHOOSE(CONTROL!$C$42, 8.6451, 8.6451) * CHOOSE(CONTROL!$C$21, $C$9, 100%, $E$9)</f>
        <v>8.6450999999999993</v>
      </c>
      <c r="D139" s="14">
        <f>CHOOSE(CONTROL!$C$42, 8.8787, 8.8787) * CHOOSE(CONTROL!$C$21, $C$9, 100%, $E$9)</f>
        <v>8.8787000000000003</v>
      </c>
      <c r="E139" s="14">
        <f>CHOOSE(CONTROL!$C$42, 8.9101, 8.9101) * CHOOSE(CONTROL!$C$21, $C$9, 100%, $E$9)</f>
        <v>8.9100999999999999</v>
      </c>
      <c r="F139" s="14">
        <f>CHOOSE(CONTROL!$C$42, 8.6348, 8.6348)*CHOOSE(CONTROL!$C$21, $C$9, 100%, $E$9)</f>
        <v>8.6348000000000003</v>
      </c>
      <c r="G139" s="14">
        <f>CHOOSE(CONTROL!$C$42, 8.6514, 8.6514)*CHOOSE(CONTROL!$C$21, $C$9, 100%, $E$9)</f>
        <v>8.6514000000000006</v>
      </c>
      <c r="H139" s="14">
        <f>CHOOSE(CONTROL!$C$42, 8.8988, 8.8988) * CHOOSE(CONTROL!$C$21, $C$9, 100%, $E$9)</f>
        <v>8.8987999999999996</v>
      </c>
      <c r="I139" s="14">
        <f>CHOOSE(CONTROL!$C$42, 8.68, 8.68)* CHOOSE(CONTROL!$C$21, $C$9, 100%, $E$9)</f>
        <v>8.68</v>
      </c>
      <c r="J139" s="14">
        <f>CHOOSE(CONTROL!$C$42, 8.6278, 8.6278)* CHOOSE(CONTROL!$C$21, $C$9, 100%, $E$9)</f>
        <v>8.6278000000000006</v>
      </c>
      <c r="K139" s="53">
        <f>CHOOSE(CONTROL!$C$42, 8.6761, 8.6761) * CHOOSE(CONTROL!$C$21, $C$9, 100%, $E$9)</f>
        <v>8.6760999999999999</v>
      </c>
      <c r="L139" s="14">
        <f>CHOOSE(CONTROL!$C$42, 9.4858, 9.4858) * CHOOSE(CONTROL!$C$21, $C$9, 100%, $E$9)</f>
        <v>9.4857999999999993</v>
      </c>
      <c r="M139" s="14">
        <f>CHOOSE(CONTROL!$C$42, 8.4587, 8.4587) * CHOOSE(CONTROL!$C$21, $C$9, 100%, $E$9)</f>
        <v>8.4587000000000003</v>
      </c>
      <c r="N139" s="14">
        <f>CHOOSE(CONTROL!$C$42, 8.475, 8.475) * CHOOSE(CONTROL!$C$21, $C$9, 100%, $E$9)</f>
        <v>8.4749999999999996</v>
      </c>
      <c r="O139" s="14">
        <f>CHOOSE(CONTROL!$C$42, 8.7241, 8.7241) * CHOOSE(CONTROL!$C$21, $C$9, 100%, $E$9)</f>
        <v>8.7241</v>
      </c>
      <c r="P139" s="14">
        <f>CHOOSE(CONTROL!$C$42, 8.5094, 8.5094) * CHOOSE(CONTROL!$C$21, $C$9, 100%, $E$9)</f>
        <v>8.5093999999999994</v>
      </c>
      <c r="Q139" s="14">
        <f>CHOOSE(CONTROL!$C$42, 9.3188, 9.3188) * CHOOSE(CONTROL!$C$21, $C$9, 100%, $E$9)</f>
        <v>9.3187999999999995</v>
      </c>
      <c r="R139" s="14">
        <f>CHOOSE(CONTROL!$C$42, 9.9291, 9.9291) * CHOOSE(CONTROL!$C$21, $C$9, 100%, $E$9)</f>
        <v>9.9291</v>
      </c>
      <c r="S139" s="14">
        <f>CHOOSE(CONTROL!$C$42, 8.2887, 8.2887) * CHOOSE(CONTROL!$C$21, $C$9, 100%, $E$9)</f>
        <v>8.2887000000000004</v>
      </c>
      <c r="T1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7">
        <f>(1000*CHOOSE(CONTROL!$C$42, 695, 695)*CHOOSE(CONTROL!$C$42, 0.5599, 0.5599)*CHOOSE(CONTROL!$C$42, 31, 31))/1000000</f>
        <v>12.063045499999998</v>
      </c>
      <c r="V139" s="57">
        <f>(1000*CHOOSE(CONTROL!$C$42, 500, 500)*CHOOSE(CONTROL!$C$42, 0.275, 0.275)*CHOOSE(CONTROL!$C$42, 31, 31))/1000000</f>
        <v>4.2625000000000002</v>
      </c>
      <c r="W139" s="57">
        <f>(1000*CHOOSE(CONTROL!$C$42, 0.1146, 0.1146)*CHOOSE(CONTROL!$C$42, 121.5, 121.5)*CHOOSE(CONTROL!$C$42, 31, 31))/1000000</f>
        <v>0.43164089999999994</v>
      </c>
      <c r="X139" s="57">
        <f>(31*0.1790888*245000/1000000)+(31*0.2374*100000/1000000)</f>
        <v>2.0961194359999999</v>
      </c>
      <c r="Y139" s="57"/>
      <c r="Z139" s="14"/>
      <c r="AA139" s="56"/>
      <c r="AB139" s="50">
        <f>(B139*194.205+C139*267.466+D139*133.845+E139*53.484+F139*40+G139*185+H139*0+I139*100+J139*300)/(194.205+267.466+133.845+53.484+0+40+185+100+300)</f>
        <v>8.6788043265306118</v>
      </c>
      <c r="AC139" s="45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8.5442122302158268</v>
      </c>
    </row>
    <row r="140" spans="1:29" ht="15.75" x14ac:dyDescent="0.25">
      <c r="A140" s="13">
        <v>45139</v>
      </c>
      <c r="B140" s="14">
        <f>CHOOSE(CONTROL!$C$42, 8.2279, 8.2279) * CHOOSE(CONTROL!$C$21, $C$9, 100%, $E$9)</f>
        <v>8.2279</v>
      </c>
      <c r="C140" s="14">
        <f>CHOOSE(CONTROL!$C$42, 8.236, 8.236) * CHOOSE(CONTROL!$C$21, $C$9, 100%, $E$9)</f>
        <v>8.2360000000000007</v>
      </c>
      <c r="D140" s="14">
        <f>CHOOSE(CONTROL!$C$42, 8.4695, 8.4695) * CHOOSE(CONTROL!$C$21, $C$9, 100%, $E$9)</f>
        <v>8.4695</v>
      </c>
      <c r="E140" s="14">
        <f>CHOOSE(CONTROL!$C$42, 8.501, 8.501) * CHOOSE(CONTROL!$C$21, $C$9, 100%, $E$9)</f>
        <v>8.5009999999999994</v>
      </c>
      <c r="F140" s="14">
        <f>CHOOSE(CONTROL!$C$42, 8.2259, 8.2259)*CHOOSE(CONTROL!$C$21, $C$9, 100%, $E$9)</f>
        <v>8.2258999999999993</v>
      </c>
      <c r="G140" s="14">
        <f>CHOOSE(CONTROL!$C$42, 8.2426, 8.2426)*CHOOSE(CONTROL!$C$21, $C$9, 100%, $E$9)</f>
        <v>8.2425999999999995</v>
      </c>
      <c r="H140" s="14">
        <f>CHOOSE(CONTROL!$C$42, 8.4896, 8.4896) * CHOOSE(CONTROL!$C$21, $C$9, 100%, $E$9)</f>
        <v>8.4895999999999994</v>
      </c>
      <c r="I140" s="14">
        <f>CHOOSE(CONTROL!$C$42, 8.2696, 8.2696)* CHOOSE(CONTROL!$C$21, $C$9, 100%, $E$9)</f>
        <v>8.2696000000000005</v>
      </c>
      <c r="J140" s="14">
        <f>CHOOSE(CONTROL!$C$42, 8.2189, 8.2189)* CHOOSE(CONTROL!$C$21, $C$9, 100%, $E$9)</f>
        <v>8.2188999999999997</v>
      </c>
      <c r="K140" s="53">
        <f>CHOOSE(CONTROL!$C$42, 8.2657, 8.2657) * CHOOSE(CONTROL!$C$21, $C$9, 100%, $E$9)</f>
        <v>8.2657000000000007</v>
      </c>
      <c r="L140" s="14">
        <f>CHOOSE(CONTROL!$C$42, 9.0766, 9.0766) * CHOOSE(CONTROL!$C$21, $C$9, 100%, $E$9)</f>
        <v>9.0765999999999991</v>
      </c>
      <c r="M140" s="14">
        <f>CHOOSE(CONTROL!$C$42, 8.0582, 8.0582) * CHOOSE(CONTROL!$C$21, $C$9, 100%, $E$9)</f>
        <v>8.0581999999999994</v>
      </c>
      <c r="N140" s="14">
        <f>CHOOSE(CONTROL!$C$42, 8.0745, 8.0745) * CHOOSE(CONTROL!$C$21, $C$9, 100%, $E$9)</f>
        <v>8.0745000000000005</v>
      </c>
      <c r="O140" s="14">
        <f>CHOOSE(CONTROL!$C$42, 8.3234, 8.3234) * CHOOSE(CONTROL!$C$21, $C$9, 100%, $E$9)</f>
        <v>8.3233999999999995</v>
      </c>
      <c r="P140" s="14">
        <f>CHOOSE(CONTROL!$C$42, 8.1074, 8.1074) * CHOOSE(CONTROL!$C$21, $C$9, 100%, $E$9)</f>
        <v>8.1074000000000002</v>
      </c>
      <c r="Q140" s="14">
        <f>CHOOSE(CONTROL!$C$42, 8.9181, 8.9181) * CHOOSE(CONTROL!$C$21, $C$9, 100%, $E$9)</f>
        <v>8.9181000000000008</v>
      </c>
      <c r="R140" s="14">
        <f>CHOOSE(CONTROL!$C$42, 9.5274, 9.5274) * CHOOSE(CONTROL!$C$21, $C$9, 100%, $E$9)</f>
        <v>9.5274000000000001</v>
      </c>
      <c r="S140" s="14">
        <f>CHOOSE(CONTROL!$C$42, 7.8956, 7.8956) * CHOOSE(CONTROL!$C$21, $C$9, 100%, $E$9)</f>
        <v>7.8956</v>
      </c>
      <c r="T1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7">
        <f>(1000*CHOOSE(CONTROL!$C$42, 695, 695)*CHOOSE(CONTROL!$C$42, 0.5599, 0.5599)*CHOOSE(CONTROL!$C$42, 31, 31))/1000000</f>
        <v>12.063045499999998</v>
      </c>
      <c r="V140" s="57">
        <f>(1000*CHOOSE(CONTROL!$C$42, 500, 500)*CHOOSE(CONTROL!$C$42, 0.275, 0.275)*CHOOSE(CONTROL!$C$42, 31, 31))/1000000</f>
        <v>4.2625000000000002</v>
      </c>
      <c r="W140" s="57">
        <f>(1000*CHOOSE(CONTROL!$C$42, 0.1146, 0.1146)*CHOOSE(CONTROL!$C$42, 121.5, 121.5)*CHOOSE(CONTROL!$C$42, 31, 31))/1000000</f>
        <v>0.43164089999999994</v>
      </c>
      <c r="X140" s="57">
        <f>(31*0.1790888*245000/1000000)+(31*0.2374*100000/1000000)</f>
        <v>2.0961194359999999</v>
      </c>
      <c r="Y140" s="57"/>
      <c r="Z140" s="14"/>
      <c r="AA140" s="56"/>
      <c r="AB140" s="50">
        <f>(B140*194.205+C140*267.466+D140*133.845+E140*53.484+F140*40+G140*185+H140*0+I140*100+J140*300)/(194.205+267.466+133.845+53.484+0+40+185+100+300)</f>
        <v>8.2696734748822607</v>
      </c>
      <c r="AC140" s="45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8.1434402877697831</v>
      </c>
    </row>
    <row r="141" spans="1:29" ht="15.75" x14ac:dyDescent="0.25">
      <c r="A141" s="13">
        <v>45170</v>
      </c>
      <c r="B141" s="14">
        <f>CHOOSE(CONTROL!$C$42, 7.7217, 7.7217) * CHOOSE(CONTROL!$C$21, $C$9, 100%, $E$9)</f>
        <v>7.7217000000000002</v>
      </c>
      <c r="C141" s="14">
        <f>CHOOSE(CONTROL!$C$42, 7.7298, 7.7298) * CHOOSE(CONTROL!$C$21, $C$9, 100%, $E$9)</f>
        <v>7.7298</v>
      </c>
      <c r="D141" s="14">
        <f>CHOOSE(CONTROL!$C$42, 7.9634, 7.9634) * CHOOSE(CONTROL!$C$21, $C$9, 100%, $E$9)</f>
        <v>7.9634</v>
      </c>
      <c r="E141" s="14">
        <f>CHOOSE(CONTROL!$C$42, 7.9948, 7.9948) * CHOOSE(CONTROL!$C$21, $C$9, 100%, $E$9)</f>
        <v>7.9947999999999997</v>
      </c>
      <c r="F141" s="14">
        <f>CHOOSE(CONTROL!$C$42, 7.7197, 7.7197)*CHOOSE(CONTROL!$C$21, $C$9, 100%, $E$9)</f>
        <v>7.7196999999999996</v>
      </c>
      <c r="G141" s="14">
        <f>CHOOSE(CONTROL!$C$42, 7.7364, 7.7364)*CHOOSE(CONTROL!$C$21, $C$9, 100%, $E$9)</f>
        <v>7.7363999999999997</v>
      </c>
      <c r="H141" s="14">
        <f>CHOOSE(CONTROL!$C$42, 7.9834, 7.9834) * CHOOSE(CONTROL!$C$21, $C$9, 100%, $E$9)</f>
        <v>7.9833999999999996</v>
      </c>
      <c r="I141" s="14">
        <f>CHOOSE(CONTROL!$C$42, 7.7618, 7.7618)* CHOOSE(CONTROL!$C$21, $C$9, 100%, $E$9)</f>
        <v>7.7618</v>
      </c>
      <c r="J141" s="14">
        <f>CHOOSE(CONTROL!$C$42, 7.7127, 7.7127)* CHOOSE(CONTROL!$C$21, $C$9, 100%, $E$9)</f>
        <v>7.7126999999999999</v>
      </c>
      <c r="K141" s="53">
        <f>CHOOSE(CONTROL!$C$42, 7.7579, 7.7579) * CHOOSE(CONTROL!$C$21, $C$9, 100%, $E$9)</f>
        <v>7.7579000000000002</v>
      </c>
      <c r="L141" s="14">
        <f>CHOOSE(CONTROL!$C$42, 8.5704, 8.5704) * CHOOSE(CONTROL!$C$21, $C$9, 100%, $E$9)</f>
        <v>8.5703999999999994</v>
      </c>
      <c r="M141" s="14">
        <f>CHOOSE(CONTROL!$C$42, 7.5624, 7.5624) * CHOOSE(CONTROL!$C$21, $C$9, 100%, $E$9)</f>
        <v>7.5624000000000002</v>
      </c>
      <c r="N141" s="14">
        <f>CHOOSE(CONTROL!$C$42, 7.5787, 7.5787) * CHOOSE(CONTROL!$C$21, $C$9, 100%, $E$9)</f>
        <v>7.5787000000000004</v>
      </c>
      <c r="O141" s="14">
        <f>CHOOSE(CONTROL!$C$42, 7.8276, 7.8276) * CHOOSE(CONTROL!$C$21, $C$9, 100%, $E$9)</f>
        <v>7.8276000000000003</v>
      </c>
      <c r="P141" s="14">
        <f>CHOOSE(CONTROL!$C$42, 7.61, 7.61) * CHOOSE(CONTROL!$C$21, $C$9, 100%, $E$9)</f>
        <v>7.61</v>
      </c>
      <c r="Q141" s="14">
        <f>CHOOSE(CONTROL!$C$42, 8.4223, 8.4223) * CHOOSE(CONTROL!$C$21, $C$9, 100%, $E$9)</f>
        <v>8.4222999999999999</v>
      </c>
      <c r="R141" s="14">
        <f>CHOOSE(CONTROL!$C$42, 9.0303, 9.0303) * CHOOSE(CONTROL!$C$21, $C$9, 100%, $E$9)</f>
        <v>9.0303000000000004</v>
      </c>
      <c r="S141" s="14">
        <f>CHOOSE(CONTROL!$C$42, 7.4092, 7.4092) * CHOOSE(CONTROL!$C$21, $C$9, 100%, $E$9)</f>
        <v>7.4092000000000002</v>
      </c>
      <c r="T1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7">
        <f>(1000*CHOOSE(CONTROL!$C$42, 695, 695)*CHOOSE(CONTROL!$C$42, 0.5599, 0.5599)*CHOOSE(CONTROL!$C$42, 30, 30))/1000000</f>
        <v>11.673914999999997</v>
      </c>
      <c r="V141" s="57">
        <f>(1000*CHOOSE(CONTROL!$C$42, 500, 500)*CHOOSE(CONTROL!$C$42, 0.275, 0.275)*CHOOSE(CONTROL!$C$42, 30, 30))/1000000</f>
        <v>4.125</v>
      </c>
      <c r="W141" s="57">
        <f>(1000*CHOOSE(CONTROL!$C$42, 0.1146, 0.1146)*CHOOSE(CONTROL!$C$42, 121.5, 121.5)*CHOOSE(CONTROL!$C$42, 30, 30))/1000000</f>
        <v>0.417717</v>
      </c>
      <c r="X141" s="57">
        <f>(30*0.1790888*245000/1000000)+(30*0.2374*100000/1000000)</f>
        <v>2.0285026799999999</v>
      </c>
      <c r="Y141" s="57"/>
      <c r="Z141" s="14"/>
      <c r="AA141" s="56"/>
      <c r="AB141" s="50">
        <f>(B141*194.205+C141*267.466+D141*133.845+E141*53.484+F141*40+G141*185+H141*0+I141*100+J141*300)/(194.205+267.466+133.845+53.484+0+40+185+100+300)</f>
        <v>7.763358392072214</v>
      </c>
      <c r="AC141" s="45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7.6474100719424474</v>
      </c>
    </row>
    <row r="142" spans="1:29" ht="15.75" x14ac:dyDescent="0.25">
      <c r="A142" s="13">
        <v>45200</v>
      </c>
      <c r="B142" s="14">
        <f>CHOOSE(CONTROL!$C$42, 7.579, 7.579) * CHOOSE(CONTROL!$C$21, $C$9, 100%, $E$9)</f>
        <v>7.5789999999999997</v>
      </c>
      <c r="C142" s="14">
        <f>CHOOSE(CONTROL!$C$42, 7.5843, 7.5843) * CHOOSE(CONTROL!$C$21, $C$9, 100%, $E$9)</f>
        <v>7.5842999999999998</v>
      </c>
      <c r="D142" s="14">
        <f>CHOOSE(CONTROL!$C$42, 7.8229, 7.8229) * CHOOSE(CONTROL!$C$21, $C$9, 100%, $E$9)</f>
        <v>7.8228999999999997</v>
      </c>
      <c r="E142" s="14">
        <f>CHOOSE(CONTROL!$C$42, 7.852, 7.852) * CHOOSE(CONTROL!$C$21, $C$9, 100%, $E$9)</f>
        <v>7.8520000000000003</v>
      </c>
      <c r="F142" s="14">
        <f>CHOOSE(CONTROL!$C$42, 7.579, 7.579)*CHOOSE(CONTROL!$C$21, $C$9, 100%, $E$9)</f>
        <v>7.5789999999999997</v>
      </c>
      <c r="G142" s="14">
        <f>CHOOSE(CONTROL!$C$42, 7.5953, 7.5953)*CHOOSE(CONTROL!$C$21, $C$9, 100%, $E$9)</f>
        <v>7.5952999999999999</v>
      </c>
      <c r="H142" s="14">
        <f>CHOOSE(CONTROL!$C$42, 7.8425, 7.8425) * CHOOSE(CONTROL!$C$21, $C$9, 100%, $E$9)</f>
        <v>7.8425000000000002</v>
      </c>
      <c r="I142" s="14">
        <f>CHOOSE(CONTROL!$C$42, 7.6204, 7.6204)* CHOOSE(CONTROL!$C$21, $C$9, 100%, $E$9)</f>
        <v>7.6204000000000001</v>
      </c>
      <c r="J142" s="14">
        <f>CHOOSE(CONTROL!$C$42, 7.572, 7.572)* CHOOSE(CONTROL!$C$21, $C$9, 100%, $E$9)</f>
        <v>7.5720000000000001</v>
      </c>
      <c r="K142" s="53">
        <f>CHOOSE(CONTROL!$C$42, 7.6165, 7.6165) * CHOOSE(CONTROL!$C$21, $C$9, 100%, $E$9)</f>
        <v>7.6165000000000003</v>
      </c>
      <c r="L142" s="14">
        <f>CHOOSE(CONTROL!$C$42, 8.4295, 8.4295) * CHOOSE(CONTROL!$C$21, $C$9, 100%, $E$9)</f>
        <v>8.4295000000000009</v>
      </c>
      <c r="M142" s="14">
        <f>CHOOSE(CONTROL!$C$42, 7.4246, 7.4246) * CHOOSE(CONTROL!$C$21, $C$9, 100%, $E$9)</f>
        <v>7.4245999999999999</v>
      </c>
      <c r="N142" s="14">
        <f>CHOOSE(CONTROL!$C$42, 7.4405, 7.4405) * CHOOSE(CONTROL!$C$21, $C$9, 100%, $E$9)</f>
        <v>7.4405000000000001</v>
      </c>
      <c r="O142" s="14">
        <f>CHOOSE(CONTROL!$C$42, 7.6895, 7.6895) * CHOOSE(CONTROL!$C$21, $C$9, 100%, $E$9)</f>
        <v>7.6894999999999998</v>
      </c>
      <c r="P142" s="14">
        <f>CHOOSE(CONTROL!$C$42, 7.4715, 7.4715) * CHOOSE(CONTROL!$C$21, $C$9, 100%, $E$9)</f>
        <v>7.4714999999999998</v>
      </c>
      <c r="Q142" s="14">
        <f>CHOOSE(CONTROL!$C$42, 8.2842, 8.2842) * CHOOSE(CONTROL!$C$21, $C$9, 100%, $E$9)</f>
        <v>8.2842000000000002</v>
      </c>
      <c r="R142" s="14">
        <f>CHOOSE(CONTROL!$C$42, 8.8919, 8.8919) * CHOOSE(CONTROL!$C$21, $C$9, 100%, $E$9)</f>
        <v>8.8918999999999997</v>
      </c>
      <c r="S142" s="14">
        <f>CHOOSE(CONTROL!$C$42, 7.2737, 7.2737) * CHOOSE(CONTROL!$C$21, $C$9, 100%, $E$9)</f>
        <v>7.2736999999999998</v>
      </c>
      <c r="T1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7">
        <f>(1000*CHOOSE(CONTROL!$C$42, 695, 695)*CHOOSE(CONTROL!$C$42, 0.5599, 0.5599)*CHOOSE(CONTROL!$C$42, 31, 31))/1000000</f>
        <v>12.063045499999998</v>
      </c>
      <c r="V142" s="57">
        <f>(1000*CHOOSE(CONTROL!$C$42, 500, 500)*CHOOSE(CONTROL!$C$42, 0.275, 0.275)*CHOOSE(CONTROL!$C$42, 31, 31))/1000000</f>
        <v>4.2625000000000002</v>
      </c>
      <c r="W142" s="57">
        <f>(1000*CHOOSE(CONTROL!$C$42, 0.1146, 0.1146)*CHOOSE(CONTROL!$C$42, 121.5, 121.5)*CHOOSE(CONTROL!$C$42, 31, 31))/1000000</f>
        <v>0.43164089999999994</v>
      </c>
      <c r="X142" s="57">
        <f>(31*0.1790888*245000/1000000)+(31*0.2374*100000/1000000)</f>
        <v>2.0961194359999999</v>
      </c>
      <c r="Y142" s="57"/>
      <c r="Z142" s="14"/>
      <c r="AA142" s="56"/>
      <c r="AB142" s="50">
        <f>(B142*131.881+C142*277.167+D142*79.08+E142*125.872+F142*40+G142*185+H142*0+I142*100+J142*300)/(131.881+277.167+79.08+125.872+0+40+185+100+300)</f>
        <v>7.6275675166263115</v>
      </c>
      <c r="AC142" s="45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7.5093330935251785</v>
      </c>
    </row>
    <row r="143" spans="1:29" ht="15.75" x14ac:dyDescent="0.25">
      <c r="A143" s="13">
        <v>45231</v>
      </c>
      <c r="B143" s="14">
        <f>CHOOSE(CONTROL!$C$42, 7.794, 7.794) * CHOOSE(CONTROL!$C$21, $C$9, 100%, $E$9)</f>
        <v>7.7939999999999996</v>
      </c>
      <c r="C143" s="14">
        <f>CHOOSE(CONTROL!$C$42, 7.799, 7.799) * CHOOSE(CONTROL!$C$21, $C$9, 100%, $E$9)</f>
        <v>7.7990000000000004</v>
      </c>
      <c r="D143" s="14">
        <f>CHOOSE(CONTROL!$C$42, 7.8733, 7.8733) * CHOOSE(CONTROL!$C$21, $C$9, 100%, $E$9)</f>
        <v>7.8733000000000004</v>
      </c>
      <c r="E143" s="14">
        <f>CHOOSE(CONTROL!$C$42, 7.9074, 7.9074) * CHOOSE(CONTROL!$C$21, $C$9, 100%, $E$9)</f>
        <v>7.9074</v>
      </c>
      <c r="F143" s="14">
        <f>CHOOSE(CONTROL!$C$42, 7.806, 7.806)*CHOOSE(CONTROL!$C$21, $C$9, 100%, $E$9)</f>
        <v>7.806</v>
      </c>
      <c r="G143" s="14">
        <f>CHOOSE(CONTROL!$C$42, 7.8226, 7.8226)*CHOOSE(CONTROL!$C$21, $C$9, 100%, $E$9)</f>
        <v>7.8226000000000004</v>
      </c>
      <c r="H143" s="14">
        <f>CHOOSE(CONTROL!$C$42, 7.8966, 7.8966) * CHOOSE(CONTROL!$C$21, $C$9, 100%, $E$9)</f>
        <v>7.8966000000000003</v>
      </c>
      <c r="I143" s="14">
        <f>CHOOSE(CONTROL!$C$42, 7.8427, 7.8427)* CHOOSE(CONTROL!$C$21, $C$9, 100%, $E$9)</f>
        <v>7.8426999999999998</v>
      </c>
      <c r="J143" s="14">
        <f>CHOOSE(CONTROL!$C$42, 7.799, 7.799)* CHOOSE(CONTROL!$C$21, $C$9, 100%, $E$9)</f>
        <v>7.7990000000000004</v>
      </c>
      <c r="K143" s="53">
        <f>CHOOSE(CONTROL!$C$42, 7.8388, 7.8388) * CHOOSE(CONTROL!$C$21, $C$9, 100%, $E$9)</f>
        <v>7.8388</v>
      </c>
      <c r="L143" s="14">
        <f>CHOOSE(CONTROL!$C$42, 8.4836, 8.4836) * CHOOSE(CONTROL!$C$21, $C$9, 100%, $E$9)</f>
        <v>8.4835999999999991</v>
      </c>
      <c r="M143" s="14">
        <f>CHOOSE(CONTROL!$C$42, 7.6469, 7.6469) * CHOOSE(CONTROL!$C$21, $C$9, 100%, $E$9)</f>
        <v>7.6468999999999996</v>
      </c>
      <c r="N143" s="14">
        <f>CHOOSE(CONTROL!$C$42, 7.6632, 7.6632) * CHOOSE(CONTROL!$C$21, $C$9, 100%, $E$9)</f>
        <v>7.6631999999999998</v>
      </c>
      <c r="O143" s="14">
        <f>CHOOSE(CONTROL!$C$42, 7.7425, 7.7425) * CHOOSE(CONTROL!$C$21, $C$9, 100%, $E$9)</f>
        <v>7.7424999999999997</v>
      </c>
      <c r="P143" s="14">
        <f>CHOOSE(CONTROL!$C$42, 7.6893, 7.6893) * CHOOSE(CONTROL!$C$21, $C$9, 100%, $E$9)</f>
        <v>7.6893000000000002</v>
      </c>
      <c r="Q143" s="14">
        <f>CHOOSE(CONTROL!$C$42, 8.3372, 8.3372) * CHOOSE(CONTROL!$C$21, $C$9, 100%, $E$9)</f>
        <v>8.3371999999999993</v>
      </c>
      <c r="R143" s="14">
        <f>CHOOSE(CONTROL!$C$42, 8.945, 8.945) * CHOOSE(CONTROL!$C$21, $C$9, 100%, $E$9)</f>
        <v>8.9450000000000003</v>
      </c>
      <c r="S143" s="14">
        <f>CHOOSE(CONTROL!$C$42, 7.4807, 7.4807) * CHOOSE(CONTROL!$C$21, $C$9, 100%, $E$9)</f>
        <v>7.4806999999999997</v>
      </c>
      <c r="T1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7">
        <f>(1000*CHOOSE(CONTROL!$C$42, 695, 695)*CHOOSE(CONTROL!$C$42, 0.5599, 0.5599)*CHOOSE(CONTROL!$C$42, 30, 30))/1000000</f>
        <v>11.673914999999997</v>
      </c>
      <c r="V143" s="57">
        <f>(1000*CHOOSE(CONTROL!$C$42, 500, 500)*CHOOSE(CONTROL!$C$42, 0.275, 0.275)*CHOOSE(CONTROL!$C$42, 30, 30))/1000000</f>
        <v>4.125</v>
      </c>
      <c r="W143" s="57">
        <f>(1000*CHOOSE(CONTROL!$C$42, 0.1146, 0.1146)*CHOOSE(CONTROL!$C$42, 121.5, 121.5)*CHOOSE(CONTROL!$C$42, 30, 30))/1000000</f>
        <v>0.417717</v>
      </c>
      <c r="X143" s="57">
        <f>(30*0.1790888*100000/1000000)+(30*0.2374*100000/1000000)</f>
        <v>1.2494664</v>
      </c>
      <c r="Y143" s="57"/>
      <c r="Z143" s="14"/>
      <c r="AA143" s="56"/>
      <c r="AB143" s="50">
        <f>(B143*122.58+C143*297.941+D143*89.177+E143*40.302+F143*40+G143*160+H143*0+I143*100+J143*300)/(122.58+297.941+89.177+40.302+0+40+160+100+300)</f>
        <v>7.8153545112173912</v>
      </c>
      <c r="AC143" s="45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7.6972683453237405</v>
      </c>
    </row>
    <row r="144" spans="1:29" ht="15.75" x14ac:dyDescent="0.25">
      <c r="A144" s="13">
        <v>45261</v>
      </c>
      <c r="B144" s="14">
        <f>CHOOSE(CONTROL!$C$42, 8.3418, 8.3418) * CHOOSE(CONTROL!$C$21, $C$9, 100%, $E$9)</f>
        <v>8.3417999999999992</v>
      </c>
      <c r="C144" s="14">
        <f>CHOOSE(CONTROL!$C$42, 8.3469, 8.3469) * CHOOSE(CONTROL!$C$21, $C$9, 100%, $E$9)</f>
        <v>8.3468999999999998</v>
      </c>
      <c r="D144" s="14">
        <f>CHOOSE(CONTROL!$C$42, 8.4211, 8.4211) * CHOOSE(CONTROL!$C$21, $C$9, 100%, $E$9)</f>
        <v>8.4210999999999991</v>
      </c>
      <c r="E144" s="14">
        <f>CHOOSE(CONTROL!$C$42, 8.4552, 8.4552) * CHOOSE(CONTROL!$C$21, $C$9, 100%, $E$9)</f>
        <v>8.4551999999999996</v>
      </c>
      <c r="F144" s="14">
        <f>CHOOSE(CONTROL!$C$42, 8.3561, 8.3561)*CHOOSE(CONTROL!$C$21, $C$9, 100%, $E$9)</f>
        <v>8.3560999999999996</v>
      </c>
      <c r="G144" s="14">
        <f>CHOOSE(CONTROL!$C$42, 8.3732, 8.3732)*CHOOSE(CONTROL!$C$21, $C$9, 100%, $E$9)</f>
        <v>8.3732000000000006</v>
      </c>
      <c r="H144" s="14">
        <f>CHOOSE(CONTROL!$C$42, 8.4444, 8.4444) * CHOOSE(CONTROL!$C$21, $C$9, 100%, $E$9)</f>
        <v>8.4443999999999999</v>
      </c>
      <c r="I144" s="14">
        <f>CHOOSE(CONTROL!$C$42, 8.3923, 8.3923)* CHOOSE(CONTROL!$C$21, $C$9, 100%, $E$9)</f>
        <v>8.3923000000000005</v>
      </c>
      <c r="J144" s="14">
        <f>CHOOSE(CONTROL!$C$42, 8.3491, 8.3491)* CHOOSE(CONTROL!$C$21, $C$9, 100%, $E$9)</f>
        <v>8.3491</v>
      </c>
      <c r="K144" s="53">
        <f>CHOOSE(CONTROL!$C$42, 8.3884, 8.3884) * CHOOSE(CONTROL!$C$21, $C$9, 100%, $E$9)</f>
        <v>8.3884000000000007</v>
      </c>
      <c r="L144" s="14">
        <f>CHOOSE(CONTROL!$C$42, 9.0314, 9.0314) * CHOOSE(CONTROL!$C$21, $C$9, 100%, $E$9)</f>
        <v>9.0313999999999997</v>
      </c>
      <c r="M144" s="14">
        <f>CHOOSE(CONTROL!$C$42, 8.1857, 8.1857) * CHOOSE(CONTROL!$C$21, $C$9, 100%, $E$9)</f>
        <v>8.1857000000000006</v>
      </c>
      <c r="N144" s="14">
        <f>CHOOSE(CONTROL!$C$42, 8.2025, 8.2025) * CHOOSE(CONTROL!$C$21, $C$9, 100%, $E$9)</f>
        <v>8.2025000000000006</v>
      </c>
      <c r="O144" s="14">
        <f>CHOOSE(CONTROL!$C$42, 8.2791, 8.2791) * CHOOSE(CONTROL!$C$21, $C$9, 100%, $E$9)</f>
        <v>8.2790999999999997</v>
      </c>
      <c r="P144" s="14">
        <f>CHOOSE(CONTROL!$C$42, 8.2276, 8.2276) * CHOOSE(CONTROL!$C$21, $C$9, 100%, $E$9)</f>
        <v>8.2276000000000007</v>
      </c>
      <c r="Q144" s="14">
        <f>CHOOSE(CONTROL!$C$42, 8.8738, 8.8738) * CHOOSE(CONTROL!$C$21, $C$9, 100%, $E$9)</f>
        <v>8.8737999999999992</v>
      </c>
      <c r="R144" s="14">
        <f>CHOOSE(CONTROL!$C$42, 9.483, 9.483) * CHOOSE(CONTROL!$C$21, $C$9, 100%, $E$9)</f>
        <v>9.4830000000000005</v>
      </c>
      <c r="S144" s="14">
        <f>CHOOSE(CONTROL!$C$42, 8.0071, 8.0071) * CHOOSE(CONTROL!$C$21, $C$9, 100%, $E$9)</f>
        <v>8.0070999999999994</v>
      </c>
      <c r="T1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7">
        <f>(1000*CHOOSE(CONTROL!$C$42, 695, 695)*CHOOSE(CONTROL!$C$42, 0.5599, 0.5599)*CHOOSE(CONTROL!$C$42, 31, 31))/1000000</f>
        <v>12.063045499999998</v>
      </c>
      <c r="V144" s="57">
        <f>(1000*CHOOSE(CONTROL!$C$42, 500, 500)*CHOOSE(CONTROL!$C$42, 0.275, 0.275)*CHOOSE(CONTROL!$C$42, 31, 31))/1000000</f>
        <v>4.2625000000000002</v>
      </c>
      <c r="W144" s="57">
        <f>(1000*CHOOSE(CONTROL!$C$42, 0.1146, 0.1146)*CHOOSE(CONTROL!$C$42, 121.5, 121.5)*CHOOSE(CONTROL!$C$42, 31, 31))/1000000</f>
        <v>0.43164089999999994</v>
      </c>
      <c r="X144" s="57">
        <f>(31*0.1790888*100000/1000000)+(31*0.2374*100000/1000000)</f>
        <v>1.2911152800000001</v>
      </c>
      <c r="Y144" s="57"/>
      <c r="Z144" s="14"/>
      <c r="AA144" s="56"/>
      <c r="AB144" s="50">
        <f>(B144*122.58+C144*297.941+D144*89.177+E144*40.302+F144*40+G144*160+H144*0+I144*100+J144*300)/(122.58+297.941+89.177+40.302+0+40+160+100+300)</f>
        <v>8.3644065060869561</v>
      </c>
      <c r="AC144" s="45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8.2350280575539578</v>
      </c>
    </row>
    <row r="145" spans="1:29" ht="15.75" x14ac:dyDescent="0.25">
      <c r="A145" s="13">
        <v>45292</v>
      </c>
      <c r="B145" s="14">
        <f>CHOOSE(CONTROL!$C$42, 8.8785, 8.8785) * CHOOSE(CONTROL!$C$21, $C$9, 100%, $E$9)</f>
        <v>8.8785000000000007</v>
      </c>
      <c r="C145" s="14">
        <f>CHOOSE(CONTROL!$C$42, 8.8835, 8.8835) * CHOOSE(CONTROL!$C$21, $C$9, 100%, $E$9)</f>
        <v>8.8834999999999997</v>
      </c>
      <c r="D145" s="14">
        <f>CHOOSE(CONTROL!$C$42, 8.9603, 8.9603) * CHOOSE(CONTROL!$C$21, $C$9, 100%, $E$9)</f>
        <v>8.9603000000000002</v>
      </c>
      <c r="E145" s="14">
        <f>CHOOSE(CONTROL!$C$42, 8.9944, 8.9944) * CHOOSE(CONTROL!$C$21, $C$9, 100%, $E$9)</f>
        <v>8.9944000000000006</v>
      </c>
      <c r="F145" s="14">
        <f>CHOOSE(CONTROL!$C$42, 8.8787, 8.8787)*CHOOSE(CONTROL!$C$21, $C$9, 100%, $E$9)</f>
        <v>8.8787000000000003</v>
      </c>
      <c r="G145" s="14">
        <f>CHOOSE(CONTROL!$C$42, 8.8949, 8.8949)*CHOOSE(CONTROL!$C$21, $C$9, 100%, $E$9)</f>
        <v>8.8948999999999998</v>
      </c>
      <c r="H145" s="14">
        <f>CHOOSE(CONTROL!$C$42, 8.9836, 8.9836) * CHOOSE(CONTROL!$C$21, $C$9, 100%, $E$9)</f>
        <v>8.9835999999999991</v>
      </c>
      <c r="I145" s="14">
        <f>CHOOSE(CONTROL!$C$42, 8.9243, 8.9243)* CHOOSE(CONTROL!$C$21, $C$9, 100%, $E$9)</f>
        <v>8.9243000000000006</v>
      </c>
      <c r="J145" s="14">
        <f>CHOOSE(CONTROL!$C$42, 8.8717, 8.8717)* CHOOSE(CONTROL!$C$21, $C$9, 100%, $E$9)</f>
        <v>8.8717000000000006</v>
      </c>
      <c r="K145" s="53">
        <f>CHOOSE(CONTROL!$C$42, 8.9204, 8.9204) * CHOOSE(CONTROL!$C$21, $C$9, 100%, $E$9)</f>
        <v>8.9204000000000008</v>
      </c>
      <c r="L145" s="14">
        <f>CHOOSE(CONTROL!$C$42, 9.5706, 9.5706) * CHOOSE(CONTROL!$C$21, $C$9, 100%, $E$9)</f>
        <v>9.5706000000000007</v>
      </c>
      <c r="M145" s="14">
        <f>CHOOSE(CONTROL!$C$42, 8.6976, 8.6976) * CHOOSE(CONTROL!$C$21, $C$9, 100%, $E$9)</f>
        <v>8.6975999999999996</v>
      </c>
      <c r="N145" s="14">
        <f>CHOOSE(CONTROL!$C$42, 8.7135, 8.7135) * CHOOSE(CONTROL!$C$21, $C$9, 100%, $E$9)</f>
        <v>8.7134999999999998</v>
      </c>
      <c r="O145" s="14">
        <f>CHOOSE(CONTROL!$C$42, 8.8073, 8.8073) * CHOOSE(CONTROL!$C$21, $C$9, 100%, $E$9)</f>
        <v>8.8072999999999997</v>
      </c>
      <c r="P145" s="14">
        <f>CHOOSE(CONTROL!$C$42, 8.7487, 8.7487) * CHOOSE(CONTROL!$C$21, $C$9, 100%, $E$9)</f>
        <v>8.7486999999999995</v>
      </c>
      <c r="Q145" s="14">
        <f>CHOOSE(CONTROL!$C$42, 9.402, 9.402) * CHOOSE(CONTROL!$C$21, $C$9, 100%, $E$9)</f>
        <v>9.4019999999999992</v>
      </c>
      <c r="R145" s="14">
        <f>CHOOSE(CONTROL!$C$42, 10.0125, 10.0125) * CHOOSE(CONTROL!$C$21, $C$9, 100%, $E$9)</f>
        <v>10.012499999999999</v>
      </c>
      <c r="S145" s="14">
        <f>CHOOSE(CONTROL!$C$42, 8.5228, 8.5228) * CHOOSE(CONTROL!$C$21, $C$9, 100%, $E$9)</f>
        <v>8.5228000000000002</v>
      </c>
      <c r="T1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7">
        <f>(1000*CHOOSE(CONTROL!$C$42, 695, 695)*CHOOSE(CONTROL!$C$42, 0.5599, 0.5599)*CHOOSE(CONTROL!$C$42, 31, 31))/1000000</f>
        <v>12.063045499999998</v>
      </c>
      <c r="V145" s="57">
        <f>(1000*CHOOSE(CONTROL!$C$42, 500, 500)*CHOOSE(CONTROL!$C$42, 0.275, 0.275)*CHOOSE(CONTROL!$C$42, 31, 31))/1000000</f>
        <v>4.2625000000000002</v>
      </c>
      <c r="W145" s="57">
        <f>(1000*CHOOSE(CONTROL!$C$42, 0.1146, 0.1146)*CHOOSE(CONTROL!$C$42, 121.5, 121.5)*CHOOSE(CONTROL!$C$42, 31, 31))/1000000</f>
        <v>0.43164089999999994</v>
      </c>
      <c r="X145" s="57">
        <f>(31*0.1790888*100000/1000000)+(31*0.2374*100000/1000000)</f>
        <v>1.2911152800000001</v>
      </c>
      <c r="Y145" s="57"/>
      <c r="Z145" s="14"/>
      <c r="AA145" s="56"/>
      <c r="AB145" s="50">
        <f>(B145*122.58+C145*297.941+D145*89.177+E145*40.302+F145*40+G145*160+H145*0+I145*100+J145*300)/(122.58+297.941+89.177+40.302+0+40+160+100+300)</f>
        <v>8.8946977264347833</v>
      </c>
      <c r="AC145" s="45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8.7555877697841726</v>
      </c>
    </row>
    <row r="146" spans="1:29" ht="15.75" x14ac:dyDescent="0.25">
      <c r="A146" s="13">
        <v>45323</v>
      </c>
      <c r="B146" s="14">
        <f>CHOOSE(CONTROL!$C$42, 9.0549, 9.0549) * CHOOSE(CONTROL!$C$21, $C$9, 100%, $E$9)</f>
        <v>9.0548999999999999</v>
      </c>
      <c r="C146" s="14">
        <f>CHOOSE(CONTROL!$C$42, 9.06, 9.06) * CHOOSE(CONTROL!$C$21, $C$9, 100%, $E$9)</f>
        <v>9.06</v>
      </c>
      <c r="D146" s="14">
        <f>CHOOSE(CONTROL!$C$42, 9.1368, 9.1368) * CHOOSE(CONTROL!$C$21, $C$9, 100%, $E$9)</f>
        <v>9.1367999999999991</v>
      </c>
      <c r="E146" s="14">
        <f>CHOOSE(CONTROL!$C$42, 9.1709, 9.1709) * CHOOSE(CONTROL!$C$21, $C$9, 100%, $E$9)</f>
        <v>9.1708999999999996</v>
      </c>
      <c r="F146" s="14">
        <f>CHOOSE(CONTROL!$C$42, 9.0552, 9.0552)*CHOOSE(CONTROL!$C$21, $C$9, 100%, $E$9)</f>
        <v>9.0551999999999992</v>
      </c>
      <c r="G146" s="14">
        <f>CHOOSE(CONTROL!$C$42, 9.0714, 9.0714)*CHOOSE(CONTROL!$C$21, $C$9, 100%, $E$9)</f>
        <v>9.0714000000000006</v>
      </c>
      <c r="H146" s="14">
        <f>CHOOSE(CONTROL!$C$42, 9.1601, 9.1601) * CHOOSE(CONTROL!$C$21, $C$9, 100%, $E$9)</f>
        <v>9.1600999999999999</v>
      </c>
      <c r="I146" s="14">
        <f>CHOOSE(CONTROL!$C$42, 9.1013, 9.1013)* CHOOSE(CONTROL!$C$21, $C$9, 100%, $E$9)</f>
        <v>9.1013000000000002</v>
      </c>
      <c r="J146" s="14">
        <f>CHOOSE(CONTROL!$C$42, 9.0482, 9.0482)* CHOOSE(CONTROL!$C$21, $C$9, 100%, $E$9)</f>
        <v>9.0481999999999996</v>
      </c>
      <c r="K146" s="53">
        <f>CHOOSE(CONTROL!$C$42, 9.0975, 9.0975) * CHOOSE(CONTROL!$C$21, $C$9, 100%, $E$9)</f>
        <v>9.0975000000000001</v>
      </c>
      <c r="L146" s="14">
        <f>CHOOSE(CONTROL!$C$42, 9.7471, 9.7471) * CHOOSE(CONTROL!$C$21, $C$9, 100%, $E$9)</f>
        <v>9.7470999999999997</v>
      </c>
      <c r="M146" s="14">
        <f>CHOOSE(CONTROL!$C$42, 8.8705, 8.8705) * CHOOSE(CONTROL!$C$21, $C$9, 100%, $E$9)</f>
        <v>8.8704999999999998</v>
      </c>
      <c r="N146" s="14">
        <f>CHOOSE(CONTROL!$C$42, 8.8864, 8.8864) * CHOOSE(CONTROL!$C$21, $C$9, 100%, $E$9)</f>
        <v>8.8864000000000001</v>
      </c>
      <c r="O146" s="14">
        <f>CHOOSE(CONTROL!$C$42, 8.9801, 8.9801) * CHOOSE(CONTROL!$C$21, $C$9, 100%, $E$9)</f>
        <v>8.9801000000000002</v>
      </c>
      <c r="P146" s="14">
        <f>CHOOSE(CONTROL!$C$42, 8.9221, 8.9221) * CHOOSE(CONTROL!$C$21, $C$9, 100%, $E$9)</f>
        <v>8.9221000000000004</v>
      </c>
      <c r="Q146" s="14">
        <f>CHOOSE(CONTROL!$C$42, 9.5748, 9.5748) * CHOOSE(CONTROL!$C$21, $C$9, 100%, $E$9)</f>
        <v>9.5747999999999998</v>
      </c>
      <c r="R146" s="14">
        <f>CHOOSE(CONTROL!$C$42, 10.1858, 10.1858) * CHOOSE(CONTROL!$C$21, $C$9, 100%, $E$9)</f>
        <v>10.1858</v>
      </c>
      <c r="S146" s="14">
        <f>CHOOSE(CONTROL!$C$42, 8.6923, 8.6923) * CHOOSE(CONTROL!$C$21, $C$9, 100%, $E$9)</f>
        <v>8.6922999999999995</v>
      </c>
      <c r="T14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7">
        <f>(1000*CHOOSE(CONTROL!$C$42, 695, 695)*CHOOSE(CONTROL!$C$42, 0.5599, 0.5599)*CHOOSE(CONTROL!$C$42, 29, 29))/1000000</f>
        <v>11.284784499999999</v>
      </c>
      <c r="V146" s="57">
        <f>(1000*CHOOSE(CONTROL!$C$42, 500, 500)*CHOOSE(CONTROL!$C$42, 0.275, 0.275)*CHOOSE(CONTROL!$C$42, 29, 29))/1000000</f>
        <v>3.9874999999999998</v>
      </c>
      <c r="W146" s="57">
        <f>(1000*CHOOSE(CONTROL!$C$42, 0.1146, 0.1146)*CHOOSE(CONTROL!$C$42, 121.5, 121.5)*CHOOSE(CONTROL!$C$42, 29, 29))/1000000</f>
        <v>0.40379309999999996</v>
      </c>
      <c r="X146" s="57">
        <f>(29*0.1790888*100000/1000000)+(29*0.2374*100000/1000000)</f>
        <v>1.2078175199999999</v>
      </c>
      <c r="Y146" s="57"/>
      <c r="Z146" s="14"/>
      <c r="AA146" s="56"/>
      <c r="AB146" s="50">
        <f>(B146*122.58+C146*297.941+D146*89.177+E146*40.302+F146*40+G146*160+H146*0+I146*100+J146*300)/(122.58+297.941+89.177+40.302+0+40+160+100+300)</f>
        <v>9.0712305455652178</v>
      </c>
      <c r="AC146" s="45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8.9285143884892086</v>
      </c>
    </row>
    <row r="147" spans="1:29" ht="15.75" x14ac:dyDescent="0.25">
      <c r="A147" s="13">
        <v>45352</v>
      </c>
      <c r="B147" s="14">
        <f>CHOOSE(CONTROL!$C$42, 8.8162, 8.8162) * CHOOSE(CONTROL!$C$21, $C$9, 100%, $E$9)</f>
        <v>8.8162000000000003</v>
      </c>
      <c r="C147" s="14">
        <f>CHOOSE(CONTROL!$C$42, 8.8213, 8.8213) * CHOOSE(CONTROL!$C$21, $C$9, 100%, $E$9)</f>
        <v>8.8213000000000008</v>
      </c>
      <c r="D147" s="14">
        <f>CHOOSE(CONTROL!$C$42, 8.8981, 8.8981) * CHOOSE(CONTROL!$C$21, $C$9, 100%, $E$9)</f>
        <v>8.8980999999999995</v>
      </c>
      <c r="E147" s="14">
        <f>CHOOSE(CONTROL!$C$42, 8.9322, 8.9322) * CHOOSE(CONTROL!$C$21, $C$9, 100%, $E$9)</f>
        <v>8.9321999999999999</v>
      </c>
      <c r="F147" s="14">
        <f>CHOOSE(CONTROL!$C$42, 8.816, 8.816)*CHOOSE(CONTROL!$C$21, $C$9, 100%, $E$9)</f>
        <v>8.8160000000000007</v>
      </c>
      <c r="G147" s="14">
        <f>CHOOSE(CONTROL!$C$42, 8.8321, 8.8321)*CHOOSE(CONTROL!$C$21, $C$9, 100%, $E$9)</f>
        <v>8.8321000000000005</v>
      </c>
      <c r="H147" s="14">
        <f>CHOOSE(CONTROL!$C$42, 8.9214, 8.9214) * CHOOSE(CONTROL!$C$21, $C$9, 100%, $E$9)</f>
        <v>8.9214000000000002</v>
      </c>
      <c r="I147" s="14">
        <f>CHOOSE(CONTROL!$C$42, 8.8619, 8.8619)* CHOOSE(CONTROL!$C$21, $C$9, 100%, $E$9)</f>
        <v>8.8619000000000003</v>
      </c>
      <c r="J147" s="14">
        <f>CHOOSE(CONTROL!$C$42, 8.809, 8.809)* CHOOSE(CONTROL!$C$21, $C$9, 100%, $E$9)</f>
        <v>8.8089999999999993</v>
      </c>
      <c r="K147" s="53">
        <f>CHOOSE(CONTROL!$C$42, 8.858, 8.858) * CHOOSE(CONTROL!$C$21, $C$9, 100%, $E$9)</f>
        <v>8.8580000000000005</v>
      </c>
      <c r="L147" s="14">
        <f>CHOOSE(CONTROL!$C$42, 9.5084, 9.5084) * CHOOSE(CONTROL!$C$21, $C$9, 100%, $E$9)</f>
        <v>9.5084</v>
      </c>
      <c r="M147" s="14">
        <f>CHOOSE(CONTROL!$C$42, 8.6362, 8.6362) * CHOOSE(CONTROL!$C$21, $C$9, 100%, $E$9)</f>
        <v>8.6362000000000005</v>
      </c>
      <c r="N147" s="14">
        <f>CHOOSE(CONTROL!$C$42, 8.652, 8.652) * CHOOSE(CONTROL!$C$21, $C$9, 100%, $E$9)</f>
        <v>8.6519999999999992</v>
      </c>
      <c r="O147" s="14">
        <f>CHOOSE(CONTROL!$C$42, 8.7463, 8.7463) * CHOOSE(CONTROL!$C$21, $C$9, 100%, $E$9)</f>
        <v>8.7462999999999997</v>
      </c>
      <c r="P147" s="14">
        <f>CHOOSE(CONTROL!$C$42, 8.6875, 8.6875) * CHOOSE(CONTROL!$C$21, $C$9, 100%, $E$9)</f>
        <v>8.6875</v>
      </c>
      <c r="Q147" s="14">
        <f>CHOOSE(CONTROL!$C$42, 9.341, 9.341) * CHOOSE(CONTROL!$C$21, $C$9, 100%, $E$9)</f>
        <v>9.3409999999999993</v>
      </c>
      <c r="R147" s="14">
        <f>CHOOSE(CONTROL!$C$42, 9.9514, 9.9514) * CHOOSE(CONTROL!$C$21, $C$9, 100%, $E$9)</f>
        <v>9.9513999999999996</v>
      </c>
      <c r="S147" s="14">
        <f>CHOOSE(CONTROL!$C$42, 8.463, 8.463) * CHOOSE(CONTROL!$C$21, $C$9, 100%, $E$9)</f>
        <v>8.4629999999999992</v>
      </c>
      <c r="T1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7">
        <f>(1000*CHOOSE(CONTROL!$C$42, 695, 695)*CHOOSE(CONTROL!$C$42, 0.5599, 0.5599)*CHOOSE(CONTROL!$C$42, 31, 31))/1000000</f>
        <v>12.063045499999998</v>
      </c>
      <c r="V147" s="57">
        <f>(1000*CHOOSE(CONTROL!$C$42, 500, 500)*CHOOSE(CONTROL!$C$42, 0.275, 0.275)*CHOOSE(CONTROL!$C$42, 31, 31))/1000000</f>
        <v>4.2625000000000002</v>
      </c>
      <c r="W147" s="57">
        <f>(1000*CHOOSE(CONTROL!$C$42, 0.1146, 0.1146)*CHOOSE(CONTROL!$C$42, 121.5, 121.5)*CHOOSE(CONTROL!$C$42, 31, 31))/1000000</f>
        <v>0.43164089999999994</v>
      </c>
      <c r="X147" s="57">
        <f>(31*0.1790888*100000/1000000)+(31*0.2374*100000/1000000)</f>
        <v>1.2911152800000001</v>
      </c>
      <c r="Y147" s="57"/>
      <c r="Z147" s="14"/>
      <c r="AA147" s="56"/>
      <c r="AB147" s="50">
        <f>(B147*122.58+C147*297.941+D147*89.177+E147*40.302+F147*40+G147*160+H147*0+I147*100+J147*300)/(122.58+297.941+89.177+40.302+0+40+160+100+300)</f>
        <v>8.8322383716521724</v>
      </c>
      <c r="AC147" s="45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8.6943920863309359</v>
      </c>
    </row>
    <row r="148" spans="1:29" ht="15.75" x14ac:dyDescent="0.25">
      <c r="A148" s="13">
        <v>45383</v>
      </c>
      <c r="B148" s="14">
        <f>CHOOSE(CONTROL!$C$42, 8.8092, 8.8092) * CHOOSE(CONTROL!$C$21, $C$9, 100%, $E$9)</f>
        <v>8.8092000000000006</v>
      </c>
      <c r="C148" s="14">
        <f>CHOOSE(CONTROL!$C$42, 8.8137, 8.8137) * CHOOSE(CONTROL!$C$21, $C$9, 100%, $E$9)</f>
        <v>8.8137000000000008</v>
      </c>
      <c r="D148" s="14">
        <f>CHOOSE(CONTROL!$C$42, 9.0504, 9.0504) * CHOOSE(CONTROL!$C$21, $C$9, 100%, $E$9)</f>
        <v>9.0503999999999998</v>
      </c>
      <c r="E148" s="14">
        <f>CHOOSE(CONTROL!$C$42, 9.0825, 9.0825) * CHOOSE(CONTROL!$C$21, $C$9, 100%, $E$9)</f>
        <v>9.0824999999999996</v>
      </c>
      <c r="F148" s="14">
        <f>CHOOSE(CONTROL!$C$42, 8.8071, 8.8071)*CHOOSE(CONTROL!$C$21, $C$9, 100%, $E$9)</f>
        <v>8.8071000000000002</v>
      </c>
      <c r="G148" s="14">
        <f>CHOOSE(CONTROL!$C$42, 8.8229, 8.8229)*CHOOSE(CONTROL!$C$21, $C$9, 100%, $E$9)</f>
        <v>8.8229000000000006</v>
      </c>
      <c r="H148" s="14">
        <f>CHOOSE(CONTROL!$C$42, 9.0723, 9.0723) * CHOOSE(CONTROL!$C$21, $C$9, 100%, $E$9)</f>
        <v>9.0723000000000003</v>
      </c>
      <c r="I148" s="14">
        <f>CHOOSE(CONTROL!$C$42, 8.8541, 8.8541)* CHOOSE(CONTROL!$C$21, $C$9, 100%, $E$9)</f>
        <v>8.8541000000000007</v>
      </c>
      <c r="J148" s="14">
        <f>CHOOSE(CONTROL!$C$42, 8.8001, 8.8001)* CHOOSE(CONTROL!$C$21, $C$9, 100%, $E$9)</f>
        <v>8.8001000000000005</v>
      </c>
      <c r="K148" s="53">
        <f>CHOOSE(CONTROL!$C$42, 8.8502, 8.8502) * CHOOSE(CONTROL!$C$21, $C$9, 100%, $E$9)</f>
        <v>8.8501999999999992</v>
      </c>
      <c r="L148" s="14">
        <f>CHOOSE(CONTROL!$C$42, 9.6593, 9.6593) * CHOOSE(CONTROL!$C$21, $C$9, 100%, $E$9)</f>
        <v>9.6593</v>
      </c>
      <c r="M148" s="14">
        <f>CHOOSE(CONTROL!$C$42, 8.6275, 8.6275) * CHOOSE(CONTROL!$C$21, $C$9, 100%, $E$9)</f>
        <v>8.6274999999999995</v>
      </c>
      <c r="N148" s="14">
        <f>CHOOSE(CONTROL!$C$42, 8.643, 8.643) * CHOOSE(CONTROL!$C$21, $C$9, 100%, $E$9)</f>
        <v>8.6430000000000007</v>
      </c>
      <c r="O148" s="14">
        <f>CHOOSE(CONTROL!$C$42, 8.8941, 8.8941) * CHOOSE(CONTROL!$C$21, $C$9, 100%, $E$9)</f>
        <v>8.8940999999999999</v>
      </c>
      <c r="P148" s="14">
        <f>CHOOSE(CONTROL!$C$42, 8.6799, 8.6799) * CHOOSE(CONTROL!$C$21, $C$9, 100%, $E$9)</f>
        <v>8.6798999999999999</v>
      </c>
      <c r="Q148" s="14">
        <f>CHOOSE(CONTROL!$C$42, 9.4888, 9.4888) * CHOOSE(CONTROL!$C$21, $C$9, 100%, $E$9)</f>
        <v>9.4887999999999995</v>
      </c>
      <c r="R148" s="14">
        <f>CHOOSE(CONTROL!$C$42, 10.0995, 10.0995) * CHOOSE(CONTROL!$C$21, $C$9, 100%, $E$9)</f>
        <v>10.099500000000001</v>
      </c>
      <c r="S148" s="14">
        <f>CHOOSE(CONTROL!$C$42, 8.4555, 8.4555) * CHOOSE(CONTROL!$C$21, $C$9, 100%, $E$9)</f>
        <v>8.4555000000000007</v>
      </c>
      <c r="T1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7">
        <f>(1000*CHOOSE(CONTROL!$C$42, 695, 695)*CHOOSE(CONTROL!$C$42, 0.5599, 0.5599)*CHOOSE(CONTROL!$C$42, 30, 30))/1000000</f>
        <v>11.673914999999997</v>
      </c>
      <c r="V148" s="57">
        <f>(1000*CHOOSE(CONTROL!$C$42, 500, 500)*CHOOSE(CONTROL!$C$42, 0.275, 0.275)*CHOOSE(CONTROL!$C$42, 30, 30))/1000000</f>
        <v>4.125</v>
      </c>
      <c r="W148" s="57">
        <f>(1000*CHOOSE(CONTROL!$C$42, 0.1146, 0.1146)*CHOOSE(CONTROL!$C$42, 121.5, 121.5)*CHOOSE(CONTROL!$C$42, 30, 30))/1000000</f>
        <v>0.417717</v>
      </c>
      <c r="X148" s="57">
        <f>(30*0.1790888*245000/1000000)+(30*0.2374*100000/1000000)</f>
        <v>2.0285026799999999</v>
      </c>
      <c r="Y148" s="57"/>
      <c r="Z148" s="14"/>
      <c r="AA148" s="56"/>
      <c r="AB148" s="50">
        <f>(B148*141.293+C148*267.993+D148*115.016+E148*89.698+F148*40+G148*185+H148*0+I148*100+J148*300)/(141.293+267.993+115.016+89.698+0+40+185+100+300)</f>
        <v>8.8557478539951582</v>
      </c>
      <c r="AC148" s="45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8.713409352517985</v>
      </c>
    </row>
    <row r="149" spans="1:29" ht="15.75" x14ac:dyDescent="0.25">
      <c r="A149" s="13">
        <v>45413</v>
      </c>
      <c r="B149" s="14">
        <f>CHOOSE(CONTROL!$C$42, 8.9065, 8.9065) * CHOOSE(CONTROL!$C$21, $C$9, 100%, $E$9)</f>
        <v>8.9064999999999994</v>
      </c>
      <c r="C149" s="14">
        <f>CHOOSE(CONTROL!$C$42, 8.9145, 8.9145) * CHOOSE(CONTROL!$C$21, $C$9, 100%, $E$9)</f>
        <v>8.9145000000000003</v>
      </c>
      <c r="D149" s="14">
        <f>CHOOSE(CONTROL!$C$42, 9.1481, 9.1481) * CHOOSE(CONTROL!$C$21, $C$9, 100%, $E$9)</f>
        <v>9.1480999999999995</v>
      </c>
      <c r="E149" s="14">
        <f>CHOOSE(CONTROL!$C$42, 9.1796, 9.1796) * CHOOSE(CONTROL!$C$21, $C$9, 100%, $E$9)</f>
        <v>9.1796000000000006</v>
      </c>
      <c r="F149" s="14">
        <f>CHOOSE(CONTROL!$C$42, 8.9033, 8.9033)*CHOOSE(CONTROL!$C$21, $C$9, 100%, $E$9)</f>
        <v>8.9032999999999998</v>
      </c>
      <c r="G149" s="14">
        <f>CHOOSE(CONTROL!$C$42, 8.9196, 8.9196)*CHOOSE(CONTROL!$C$21, $C$9, 100%, $E$9)</f>
        <v>8.9196000000000009</v>
      </c>
      <c r="H149" s="14">
        <f>CHOOSE(CONTROL!$C$42, 9.1682, 9.1682) * CHOOSE(CONTROL!$C$21, $C$9, 100%, $E$9)</f>
        <v>9.1682000000000006</v>
      </c>
      <c r="I149" s="14">
        <f>CHOOSE(CONTROL!$C$42, 8.9503, 8.9503)* CHOOSE(CONTROL!$C$21, $C$9, 100%, $E$9)</f>
        <v>8.9503000000000004</v>
      </c>
      <c r="J149" s="14">
        <f>CHOOSE(CONTROL!$C$42, 8.8963, 8.8963)* CHOOSE(CONTROL!$C$21, $C$9, 100%, $E$9)</f>
        <v>8.8963000000000001</v>
      </c>
      <c r="K149" s="53">
        <f>CHOOSE(CONTROL!$C$42, 8.9464, 8.9464) * CHOOSE(CONTROL!$C$21, $C$9, 100%, $E$9)</f>
        <v>8.9464000000000006</v>
      </c>
      <c r="L149" s="14">
        <f>CHOOSE(CONTROL!$C$42, 9.7552, 9.7552) * CHOOSE(CONTROL!$C$21, $C$9, 100%, $E$9)</f>
        <v>9.7552000000000003</v>
      </c>
      <c r="M149" s="14">
        <f>CHOOSE(CONTROL!$C$42, 8.7217, 8.7217) * CHOOSE(CONTROL!$C$21, $C$9, 100%, $E$9)</f>
        <v>8.7217000000000002</v>
      </c>
      <c r="N149" s="14">
        <f>CHOOSE(CONTROL!$C$42, 8.7377, 8.7377) * CHOOSE(CONTROL!$C$21, $C$9, 100%, $E$9)</f>
        <v>8.7377000000000002</v>
      </c>
      <c r="O149" s="14">
        <f>CHOOSE(CONTROL!$C$42, 8.9881, 8.9881) * CHOOSE(CONTROL!$C$21, $C$9, 100%, $E$9)</f>
        <v>8.9880999999999993</v>
      </c>
      <c r="P149" s="14">
        <f>CHOOSE(CONTROL!$C$42, 8.7741, 8.7741) * CHOOSE(CONTROL!$C$21, $C$9, 100%, $E$9)</f>
        <v>8.7741000000000007</v>
      </c>
      <c r="Q149" s="14">
        <f>CHOOSE(CONTROL!$C$42, 9.5828, 9.5828) * CHOOSE(CONTROL!$C$21, $C$9, 100%, $E$9)</f>
        <v>9.5828000000000007</v>
      </c>
      <c r="R149" s="14">
        <f>CHOOSE(CONTROL!$C$42, 10.1937, 10.1937) * CHOOSE(CONTROL!$C$21, $C$9, 100%, $E$9)</f>
        <v>10.1937</v>
      </c>
      <c r="S149" s="14">
        <f>CHOOSE(CONTROL!$C$42, 8.5476, 8.5476) * CHOOSE(CONTROL!$C$21, $C$9, 100%, $E$9)</f>
        <v>8.5475999999999992</v>
      </c>
      <c r="T1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7">
        <f>(1000*CHOOSE(CONTROL!$C$42, 695, 695)*CHOOSE(CONTROL!$C$42, 0.5599, 0.5599)*CHOOSE(CONTROL!$C$42, 31, 31))/1000000</f>
        <v>12.063045499999998</v>
      </c>
      <c r="V149" s="57">
        <f>(1000*CHOOSE(CONTROL!$C$42, 500, 500)*CHOOSE(CONTROL!$C$42, 0.275, 0.275)*CHOOSE(CONTROL!$C$42, 31, 31))/1000000</f>
        <v>4.2625000000000002</v>
      </c>
      <c r="W149" s="57">
        <f>(1000*CHOOSE(CONTROL!$C$42, 0.1146, 0.1146)*CHOOSE(CONTROL!$C$42, 121.5, 121.5)*CHOOSE(CONTROL!$C$42, 31, 31))/1000000</f>
        <v>0.43164089999999994</v>
      </c>
      <c r="X149" s="57">
        <f>(31*0.1790888*245000/1000000)+(31*0.2374*100000/1000000)</f>
        <v>2.0961194359999999</v>
      </c>
      <c r="Y149" s="57"/>
      <c r="Z149" s="14"/>
      <c r="AA149" s="56"/>
      <c r="AB149" s="50">
        <f>(B149*194.205+C149*267.466+D149*133.845+E149*53.484+F149*40+G149*185+H149*0+I149*100+J149*300)/(194.205+267.466+133.845+53.484+0+40+185+100+300)</f>
        <v>8.9478647255886976</v>
      </c>
      <c r="AC149" s="45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8.8076683453237408</v>
      </c>
    </row>
    <row r="150" spans="1:29" ht="15.75" x14ac:dyDescent="0.25">
      <c r="A150" s="13">
        <v>45444</v>
      </c>
      <c r="B150" s="14">
        <f>CHOOSE(CONTROL!$C$42, 9.1776, 9.1776) * CHOOSE(CONTROL!$C$21, $C$9, 100%, $E$9)</f>
        <v>9.1776</v>
      </c>
      <c r="C150" s="14">
        <f>CHOOSE(CONTROL!$C$42, 9.1857, 9.1857) * CHOOSE(CONTROL!$C$21, $C$9, 100%, $E$9)</f>
        <v>9.1857000000000006</v>
      </c>
      <c r="D150" s="14">
        <f>CHOOSE(CONTROL!$C$42, 9.4193, 9.4193) * CHOOSE(CONTROL!$C$21, $C$9, 100%, $E$9)</f>
        <v>9.4192999999999998</v>
      </c>
      <c r="E150" s="14">
        <f>CHOOSE(CONTROL!$C$42, 9.4507, 9.4507) * CHOOSE(CONTROL!$C$21, $C$9, 100%, $E$9)</f>
        <v>9.4506999999999994</v>
      </c>
      <c r="F150" s="14">
        <f>CHOOSE(CONTROL!$C$42, 9.1749, 9.1749)*CHOOSE(CONTROL!$C$21, $C$9, 100%, $E$9)</f>
        <v>9.1748999999999992</v>
      </c>
      <c r="G150" s="14">
        <f>CHOOSE(CONTROL!$C$42, 9.1914, 9.1914)*CHOOSE(CONTROL!$C$21, $C$9, 100%, $E$9)</f>
        <v>9.1913999999999998</v>
      </c>
      <c r="H150" s="14">
        <f>CHOOSE(CONTROL!$C$42, 9.4394, 9.4394) * CHOOSE(CONTROL!$C$21, $C$9, 100%, $E$9)</f>
        <v>9.4393999999999991</v>
      </c>
      <c r="I150" s="14">
        <f>CHOOSE(CONTROL!$C$42, 9.2223, 9.2223)* CHOOSE(CONTROL!$C$21, $C$9, 100%, $E$9)</f>
        <v>9.2223000000000006</v>
      </c>
      <c r="J150" s="14">
        <f>CHOOSE(CONTROL!$C$42, 9.1679, 9.1679)* CHOOSE(CONTROL!$C$21, $C$9, 100%, $E$9)</f>
        <v>9.1678999999999995</v>
      </c>
      <c r="K150" s="53">
        <f>CHOOSE(CONTROL!$C$42, 9.2184, 9.2184) * CHOOSE(CONTROL!$C$21, $C$9, 100%, $E$9)</f>
        <v>9.2184000000000008</v>
      </c>
      <c r="L150" s="14">
        <f>CHOOSE(CONTROL!$C$42, 10.0264, 10.0264) * CHOOSE(CONTROL!$C$21, $C$9, 100%, $E$9)</f>
        <v>10.026400000000001</v>
      </c>
      <c r="M150" s="14">
        <f>CHOOSE(CONTROL!$C$42, 8.9878, 8.9878) * CHOOSE(CONTROL!$C$21, $C$9, 100%, $E$9)</f>
        <v>8.9878</v>
      </c>
      <c r="N150" s="14">
        <f>CHOOSE(CONTROL!$C$42, 9.0039, 9.0039) * CHOOSE(CONTROL!$C$21, $C$9, 100%, $E$9)</f>
        <v>9.0038999999999998</v>
      </c>
      <c r="O150" s="14">
        <f>CHOOSE(CONTROL!$C$42, 9.2537, 9.2537) * CHOOSE(CONTROL!$C$21, $C$9, 100%, $E$9)</f>
        <v>9.2537000000000003</v>
      </c>
      <c r="P150" s="14">
        <f>CHOOSE(CONTROL!$C$42, 9.0405, 9.0405) * CHOOSE(CONTROL!$C$21, $C$9, 100%, $E$9)</f>
        <v>9.0404999999999998</v>
      </c>
      <c r="Q150" s="14">
        <f>CHOOSE(CONTROL!$C$42, 9.8484, 9.8484) * CHOOSE(CONTROL!$C$21, $C$9, 100%, $E$9)</f>
        <v>9.8483999999999998</v>
      </c>
      <c r="R150" s="14">
        <f>CHOOSE(CONTROL!$C$42, 10.46, 10.46) * CHOOSE(CONTROL!$C$21, $C$9, 100%, $E$9)</f>
        <v>10.46</v>
      </c>
      <c r="S150" s="14">
        <f>CHOOSE(CONTROL!$C$42, 8.8082, 8.8082) * CHOOSE(CONTROL!$C$21, $C$9, 100%, $E$9)</f>
        <v>8.8081999999999994</v>
      </c>
      <c r="T1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7">
        <f>(1000*CHOOSE(CONTROL!$C$42, 695, 695)*CHOOSE(CONTROL!$C$42, 0.5599, 0.5599)*CHOOSE(CONTROL!$C$42, 30, 30))/1000000</f>
        <v>11.673914999999997</v>
      </c>
      <c r="V150" s="57">
        <f>(1000*CHOOSE(CONTROL!$C$42, 500, 500)*CHOOSE(CONTROL!$C$42, 0.275, 0.275)*CHOOSE(CONTROL!$C$42, 30, 30))/1000000</f>
        <v>4.125</v>
      </c>
      <c r="W150" s="57">
        <f>(1000*CHOOSE(CONTROL!$C$42, 0.1146, 0.1146)*CHOOSE(CONTROL!$C$42, 121.5, 121.5)*CHOOSE(CONTROL!$C$42, 30, 30))/1000000</f>
        <v>0.417717</v>
      </c>
      <c r="X150" s="57">
        <f>(30*0.1790888*245000/1000000)+(30*0.2374*100000/1000000)</f>
        <v>2.0285026799999999</v>
      </c>
      <c r="Y150" s="57"/>
      <c r="Z150" s="14"/>
      <c r="AA150" s="56"/>
      <c r="AB150" s="50">
        <f>(B150*194.205+C150*267.466+D150*133.845+E150*53.484+F150*40+G150*185+H150*0+I150*100+J150*300)/(194.205+267.466+133.845+53.484+0+40+185+100+300)</f>
        <v>9.2193019556514919</v>
      </c>
      <c r="AC150" s="45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9.0736942446043169</v>
      </c>
    </row>
    <row r="151" spans="1:29" ht="15.75" x14ac:dyDescent="0.25">
      <c r="A151" s="13">
        <v>45474</v>
      </c>
      <c r="B151" s="14">
        <f>CHOOSE(CONTROL!$C$42, 9.0203, 9.0203) * CHOOSE(CONTROL!$C$21, $C$9, 100%, $E$9)</f>
        <v>9.0203000000000007</v>
      </c>
      <c r="C151" s="14">
        <f>CHOOSE(CONTROL!$C$42, 9.0284, 9.0284) * CHOOSE(CONTROL!$C$21, $C$9, 100%, $E$9)</f>
        <v>9.0283999999999995</v>
      </c>
      <c r="D151" s="14">
        <f>CHOOSE(CONTROL!$C$42, 9.262, 9.262) * CHOOSE(CONTROL!$C$21, $C$9, 100%, $E$9)</f>
        <v>9.2620000000000005</v>
      </c>
      <c r="E151" s="14">
        <f>CHOOSE(CONTROL!$C$42, 9.2934, 9.2934) * CHOOSE(CONTROL!$C$21, $C$9, 100%, $E$9)</f>
        <v>9.2934000000000001</v>
      </c>
      <c r="F151" s="14">
        <f>CHOOSE(CONTROL!$C$42, 9.0181, 9.0181)*CHOOSE(CONTROL!$C$21, $C$9, 100%, $E$9)</f>
        <v>9.0181000000000004</v>
      </c>
      <c r="G151" s="14">
        <f>CHOOSE(CONTROL!$C$42, 9.0347, 9.0347)*CHOOSE(CONTROL!$C$21, $C$9, 100%, $E$9)</f>
        <v>9.0347000000000008</v>
      </c>
      <c r="H151" s="14">
        <f>CHOOSE(CONTROL!$C$42, 9.282, 9.282) * CHOOSE(CONTROL!$C$21, $C$9, 100%, $E$9)</f>
        <v>9.282</v>
      </c>
      <c r="I151" s="14">
        <f>CHOOSE(CONTROL!$C$42, 9.0645, 9.0645)* CHOOSE(CONTROL!$C$21, $C$9, 100%, $E$9)</f>
        <v>9.0645000000000007</v>
      </c>
      <c r="J151" s="14">
        <f>CHOOSE(CONTROL!$C$42, 9.0111, 9.0111)* CHOOSE(CONTROL!$C$21, $C$9, 100%, $E$9)</f>
        <v>9.0111000000000008</v>
      </c>
      <c r="K151" s="53">
        <f>CHOOSE(CONTROL!$C$42, 9.0606, 9.0606) * CHOOSE(CONTROL!$C$21, $C$9, 100%, $E$9)</f>
        <v>9.0606000000000009</v>
      </c>
      <c r="L151" s="14">
        <f>CHOOSE(CONTROL!$C$42, 9.869, 9.869) * CHOOSE(CONTROL!$C$21, $C$9, 100%, $E$9)</f>
        <v>9.8689999999999998</v>
      </c>
      <c r="M151" s="14">
        <f>CHOOSE(CONTROL!$C$42, 8.8342, 8.8342) * CHOOSE(CONTROL!$C$21, $C$9, 100%, $E$9)</f>
        <v>8.8341999999999992</v>
      </c>
      <c r="N151" s="14">
        <f>CHOOSE(CONTROL!$C$42, 8.8504, 8.8504) * CHOOSE(CONTROL!$C$21, $C$9, 100%, $E$9)</f>
        <v>8.8504000000000005</v>
      </c>
      <c r="O151" s="14">
        <f>CHOOSE(CONTROL!$C$42, 9.0996, 9.0996) * CHOOSE(CONTROL!$C$21, $C$9, 100%, $E$9)</f>
        <v>9.0996000000000006</v>
      </c>
      <c r="P151" s="14">
        <f>CHOOSE(CONTROL!$C$42, 8.8859, 8.8859) * CHOOSE(CONTROL!$C$21, $C$9, 100%, $E$9)</f>
        <v>8.8858999999999995</v>
      </c>
      <c r="Q151" s="14">
        <f>CHOOSE(CONTROL!$C$42, 9.6943, 9.6943) * CHOOSE(CONTROL!$C$21, $C$9, 100%, $E$9)</f>
        <v>9.6943000000000001</v>
      </c>
      <c r="R151" s="14">
        <f>CHOOSE(CONTROL!$C$42, 10.3055, 10.3055) * CHOOSE(CONTROL!$C$21, $C$9, 100%, $E$9)</f>
        <v>10.3055</v>
      </c>
      <c r="S151" s="14">
        <f>CHOOSE(CONTROL!$C$42, 8.657, 8.657) * CHOOSE(CONTROL!$C$21, $C$9, 100%, $E$9)</f>
        <v>8.657</v>
      </c>
      <c r="T1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7">
        <f>(1000*CHOOSE(CONTROL!$C$42, 695, 695)*CHOOSE(CONTROL!$C$42, 0.5599, 0.5599)*CHOOSE(CONTROL!$C$42, 31, 31))/1000000</f>
        <v>12.063045499999998</v>
      </c>
      <c r="V151" s="57">
        <f>(1000*CHOOSE(CONTROL!$C$42, 500, 500)*CHOOSE(CONTROL!$C$42, 0.275, 0.275)*CHOOSE(CONTROL!$C$42, 31, 31))/1000000</f>
        <v>4.2625000000000002</v>
      </c>
      <c r="W151" s="57">
        <f>(1000*CHOOSE(CONTROL!$C$42, 0.1146, 0.1146)*CHOOSE(CONTROL!$C$42, 121.5, 121.5)*CHOOSE(CONTROL!$C$42, 31, 31))/1000000</f>
        <v>0.43164089999999994</v>
      </c>
      <c r="X151" s="57">
        <f>(31*0.1790888*245000/1000000)+(31*0.2374*100000/1000000)</f>
        <v>2.0961194359999999</v>
      </c>
      <c r="Y151" s="57"/>
      <c r="Z151" s="14"/>
      <c r="AA151" s="56"/>
      <c r="AB151" s="50">
        <f>(B151*194.205+C151*267.466+D151*133.845+E151*53.484+F151*40+G151*185+H151*0+I151*100+J151*300)/(194.205+267.466+133.845+53.484+0+40+185+100+300)</f>
        <v>9.0621832743328099</v>
      </c>
      <c r="AC151" s="45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8.9198330935251793</v>
      </c>
    </row>
    <row r="152" spans="1:29" ht="15.75" x14ac:dyDescent="0.25">
      <c r="A152" s="13">
        <v>45505</v>
      </c>
      <c r="B152" s="14">
        <f>CHOOSE(CONTROL!$C$42, 8.593, 8.593) * CHOOSE(CONTROL!$C$21, $C$9, 100%, $E$9)</f>
        <v>8.593</v>
      </c>
      <c r="C152" s="14">
        <f>CHOOSE(CONTROL!$C$42, 8.601, 8.601) * CHOOSE(CONTROL!$C$21, $C$9, 100%, $E$9)</f>
        <v>8.6010000000000009</v>
      </c>
      <c r="D152" s="14">
        <f>CHOOSE(CONTROL!$C$42, 8.8346, 8.8346) * CHOOSE(CONTROL!$C$21, $C$9, 100%, $E$9)</f>
        <v>8.8346</v>
      </c>
      <c r="E152" s="14">
        <f>CHOOSE(CONTROL!$C$42, 8.8661, 8.8661) * CHOOSE(CONTROL!$C$21, $C$9, 100%, $E$9)</f>
        <v>8.8660999999999994</v>
      </c>
      <c r="F152" s="14">
        <f>CHOOSE(CONTROL!$C$42, 8.591, 8.591)*CHOOSE(CONTROL!$C$21, $C$9, 100%, $E$9)</f>
        <v>8.5909999999999993</v>
      </c>
      <c r="G152" s="14">
        <f>CHOOSE(CONTROL!$C$42, 8.6077, 8.6077)*CHOOSE(CONTROL!$C$21, $C$9, 100%, $E$9)</f>
        <v>8.6076999999999995</v>
      </c>
      <c r="H152" s="14">
        <f>CHOOSE(CONTROL!$C$42, 8.8547, 8.8547) * CHOOSE(CONTROL!$C$21, $C$9, 100%, $E$9)</f>
        <v>8.8546999999999993</v>
      </c>
      <c r="I152" s="14">
        <f>CHOOSE(CONTROL!$C$42, 8.6358, 8.6358)* CHOOSE(CONTROL!$C$21, $C$9, 100%, $E$9)</f>
        <v>8.6357999999999997</v>
      </c>
      <c r="J152" s="14">
        <f>CHOOSE(CONTROL!$C$42, 8.584, 8.584)* CHOOSE(CONTROL!$C$21, $C$9, 100%, $E$9)</f>
        <v>8.5839999999999996</v>
      </c>
      <c r="K152" s="53">
        <f>CHOOSE(CONTROL!$C$42, 8.6319, 8.6319) * CHOOSE(CONTROL!$C$21, $C$9, 100%, $E$9)</f>
        <v>8.6318999999999999</v>
      </c>
      <c r="L152" s="14">
        <f>CHOOSE(CONTROL!$C$42, 9.4417, 9.4417) * CHOOSE(CONTROL!$C$21, $C$9, 100%, $E$9)</f>
        <v>9.4417000000000009</v>
      </c>
      <c r="M152" s="14">
        <f>CHOOSE(CONTROL!$C$42, 8.4158, 8.4158) * CHOOSE(CONTROL!$C$21, $C$9, 100%, $E$9)</f>
        <v>8.4158000000000008</v>
      </c>
      <c r="N152" s="14">
        <f>CHOOSE(CONTROL!$C$42, 8.4321, 8.4321) * CHOOSE(CONTROL!$C$21, $C$9, 100%, $E$9)</f>
        <v>8.4321000000000002</v>
      </c>
      <c r="O152" s="14">
        <f>CHOOSE(CONTROL!$C$42, 8.681, 8.681) * CHOOSE(CONTROL!$C$21, $C$9, 100%, $E$9)</f>
        <v>8.6809999999999992</v>
      </c>
      <c r="P152" s="14">
        <f>CHOOSE(CONTROL!$C$42, 8.4661, 8.4661) * CHOOSE(CONTROL!$C$21, $C$9, 100%, $E$9)</f>
        <v>8.4661000000000008</v>
      </c>
      <c r="Q152" s="14">
        <f>CHOOSE(CONTROL!$C$42, 9.2757, 9.2757) * CHOOSE(CONTROL!$C$21, $C$9, 100%, $E$9)</f>
        <v>9.2757000000000005</v>
      </c>
      <c r="R152" s="14">
        <f>CHOOSE(CONTROL!$C$42, 9.8859, 9.8859) * CHOOSE(CONTROL!$C$21, $C$9, 100%, $E$9)</f>
        <v>9.8858999999999995</v>
      </c>
      <c r="S152" s="14">
        <f>CHOOSE(CONTROL!$C$42, 8.2464, 8.2464) * CHOOSE(CONTROL!$C$21, $C$9, 100%, $E$9)</f>
        <v>8.2463999999999995</v>
      </c>
      <c r="T1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7">
        <f>(1000*CHOOSE(CONTROL!$C$42, 695, 695)*CHOOSE(CONTROL!$C$42, 0.5599, 0.5599)*CHOOSE(CONTROL!$C$42, 31, 31))/1000000</f>
        <v>12.063045499999998</v>
      </c>
      <c r="V152" s="57">
        <f>(1000*CHOOSE(CONTROL!$C$42, 500, 500)*CHOOSE(CONTROL!$C$42, 0.275, 0.275)*CHOOSE(CONTROL!$C$42, 31, 31))/1000000</f>
        <v>4.2625000000000002</v>
      </c>
      <c r="W152" s="57">
        <f>(1000*CHOOSE(CONTROL!$C$42, 0.1146, 0.1146)*CHOOSE(CONTROL!$C$42, 121.5, 121.5)*CHOOSE(CONTROL!$C$42, 31, 31))/1000000</f>
        <v>0.43164089999999994</v>
      </c>
      <c r="X152" s="57">
        <f>(31*0.1790888*245000/1000000)+(31*0.2374*100000/1000000)</f>
        <v>2.0961194359999999</v>
      </c>
      <c r="Y152" s="57"/>
      <c r="Z152" s="14"/>
      <c r="AA152" s="56"/>
      <c r="AB152" s="50">
        <f>(B152*194.205+C152*267.466+D152*133.845+E152*53.484+F152*40+G152*185+H152*0+I152*100+J152*300)/(194.205+267.466+133.845+53.484+0+40+185+100+300)</f>
        <v>8.6348388229199369</v>
      </c>
      <c r="AC152" s="45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8.5011985611510799</v>
      </c>
    </row>
    <row r="153" spans="1:29" ht="15.75" x14ac:dyDescent="0.25">
      <c r="A153" s="13">
        <v>45536</v>
      </c>
      <c r="B153" s="14">
        <f>CHOOSE(CONTROL!$C$42, 8.0644, 8.0644) * CHOOSE(CONTROL!$C$21, $C$9, 100%, $E$9)</f>
        <v>8.0643999999999991</v>
      </c>
      <c r="C153" s="14">
        <f>CHOOSE(CONTROL!$C$42, 8.0724, 8.0724) * CHOOSE(CONTROL!$C$21, $C$9, 100%, $E$9)</f>
        <v>8.0724</v>
      </c>
      <c r="D153" s="14">
        <f>CHOOSE(CONTROL!$C$42, 8.306, 8.306) * CHOOSE(CONTROL!$C$21, $C$9, 100%, $E$9)</f>
        <v>8.3059999999999992</v>
      </c>
      <c r="E153" s="14">
        <f>CHOOSE(CONTROL!$C$42, 8.3374, 8.3374) * CHOOSE(CONTROL!$C$21, $C$9, 100%, $E$9)</f>
        <v>8.3374000000000006</v>
      </c>
      <c r="F153" s="14">
        <f>CHOOSE(CONTROL!$C$42, 8.0624, 8.0624)*CHOOSE(CONTROL!$C$21, $C$9, 100%, $E$9)</f>
        <v>8.0624000000000002</v>
      </c>
      <c r="G153" s="14">
        <f>CHOOSE(CONTROL!$C$42, 8.079, 8.079)*CHOOSE(CONTROL!$C$21, $C$9, 100%, $E$9)</f>
        <v>8.0790000000000006</v>
      </c>
      <c r="H153" s="14">
        <f>CHOOSE(CONTROL!$C$42, 8.3261, 8.3261) * CHOOSE(CONTROL!$C$21, $C$9, 100%, $E$9)</f>
        <v>8.3261000000000003</v>
      </c>
      <c r="I153" s="14">
        <f>CHOOSE(CONTROL!$C$42, 8.1055, 8.1055)* CHOOSE(CONTROL!$C$21, $C$9, 100%, $E$9)</f>
        <v>8.1054999999999993</v>
      </c>
      <c r="J153" s="14">
        <f>CHOOSE(CONTROL!$C$42, 8.0554, 8.0554)* CHOOSE(CONTROL!$C$21, $C$9, 100%, $E$9)</f>
        <v>8.0554000000000006</v>
      </c>
      <c r="K153" s="53">
        <f>CHOOSE(CONTROL!$C$42, 8.1016, 8.1016) * CHOOSE(CONTROL!$C$21, $C$9, 100%, $E$9)</f>
        <v>8.1015999999999995</v>
      </c>
      <c r="L153" s="14">
        <f>CHOOSE(CONTROL!$C$42, 8.9131, 8.9131) * CHOOSE(CONTROL!$C$21, $C$9, 100%, $E$9)</f>
        <v>8.9131</v>
      </c>
      <c r="M153" s="14">
        <f>CHOOSE(CONTROL!$C$42, 7.898, 7.898) * CHOOSE(CONTROL!$C$21, $C$9, 100%, $E$9)</f>
        <v>7.8979999999999997</v>
      </c>
      <c r="N153" s="14">
        <f>CHOOSE(CONTROL!$C$42, 7.9143, 7.9143) * CHOOSE(CONTROL!$C$21, $C$9, 100%, $E$9)</f>
        <v>7.9142999999999999</v>
      </c>
      <c r="O153" s="14">
        <f>CHOOSE(CONTROL!$C$42, 8.1632, 8.1632) * CHOOSE(CONTROL!$C$21, $C$9, 100%, $E$9)</f>
        <v>8.1631999999999998</v>
      </c>
      <c r="P153" s="14">
        <f>CHOOSE(CONTROL!$C$42, 7.9467, 7.9467) * CHOOSE(CONTROL!$C$21, $C$9, 100%, $E$9)</f>
        <v>7.9466999999999999</v>
      </c>
      <c r="Q153" s="14">
        <f>CHOOSE(CONTROL!$C$42, 8.7579, 8.7579) * CHOOSE(CONTROL!$C$21, $C$9, 100%, $E$9)</f>
        <v>8.7578999999999994</v>
      </c>
      <c r="R153" s="14">
        <f>CHOOSE(CONTROL!$C$42, 9.3668, 9.3668) * CHOOSE(CONTROL!$C$21, $C$9, 100%, $E$9)</f>
        <v>9.3667999999999996</v>
      </c>
      <c r="S153" s="14">
        <f>CHOOSE(CONTROL!$C$42, 7.7384, 7.7384) * CHOOSE(CONTROL!$C$21, $C$9, 100%, $E$9)</f>
        <v>7.7384000000000004</v>
      </c>
      <c r="T1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7">
        <f>(1000*CHOOSE(CONTROL!$C$42, 695, 695)*CHOOSE(CONTROL!$C$42, 0.5599, 0.5599)*CHOOSE(CONTROL!$C$42, 30, 30))/1000000</f>
        <v>11.673914999999997</v>
      </c>
      <c r="V153" s="57">
        <f>(1000*CHOOSE(CONTROL!$C$42, 500, 500)*CHOOSE(CONTROL!$C$42, 0.275, 0.275)*CHOOSE(CONTROL!$C$42, 30, 30))/1000000</f>
        <v>4.125</v>
      </c>
      <c r="W153" s="57">
        <f>(1000*CHOOSE(CONTROL!$C$42, 0.1146, 0.1146)*CHOOSE(CONTROL!$C$42, 121.5, 121.5)*CHOOSE(CONTROL!$C$42, 30, 30))/1000000</f>
        <v>0.417717</v>
      </c>
      <c r="X153" s="57">
        <f>(30*0.1790888*245000/1000000)+(30*0.2374*100000/1000000)</f>
        <v>2.0285026799999999</v>
      </c>
      <c r="Y153" s="57"/>
      <c r="Z153" s="14"/>
      <c r="AA153" s="56"/>
      <c r="AB153" s="50">
        <f>(B153*194.205+C153*267.466+D153*133.845+E153*53.484+F153*40+G153*185+H153*0+I153*100+J153*300)/(194.205+267.466+133.845+53.484+0+40+185+100+300)</f>
        <v>8.1060866656200936</v>
      </c>
      <c r="AC153" s="45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7.9831683453237403</v>
      </c>
    </row>
    <row r="154" spans="1:29" ht="15.75" x14ac:dyDescent="0.25">
      <c r="A154" s="13">
        <v>45566</v>
      </c>
      <c r="B154" s="14">
        <f>CHOOSE(CONTROL!$C$42, 7.9153, 7.9153) * CHOOSE(CONTROL!$C$21, $C$9, 100%, $E$9)</f>
        <v>7.9153000000000002</v>
      </c>
      <c r="C154" s="14">
        <f>CHOOSE(CONTROL!$C$42, 7.9207, 7.9207) * CHOOSE(CONTROL!$C$21, $C$9, 100%, $E$9)</f>
        <v>7.9207000000000001</v>
      </c>
      <c r="D154" s="14">
        <f>CHOOSE(CONTROL!$C$42, 8.1592, 8.1592) * CHOOSE(CONTROL!$C$21, $C$9, 100%, $E$9)</f>
        <v>8.1592000000000002</v>
      </c>
      <c r="E154" s="14">
        <f>CHOOSE(CONTROL!$C$42, 8.1884, 8.1884) * CHOOSE(CONTROL!$C$21, $C$9, 100%, $E$9)</f>
        <v>8.1883999999999997</v>
      </c>
      <c r="F154" s="14">
        <f>CHOOSE(CONTROL!$C$42, 7.9154, 7.9154)*CHOOSE(CONTROL!$C$21, $C$9, 100%, $E$9)</f>
        <v>7.9154</v>
      </c>
      <c r="G154" s="14">
        <f>CHOOSE(CONTROL!$C$42, 7.9316, 7.9316)*CHOOSE(CONTROL!$C$21, $C$9, 100%, $E$9)</f>
        <v>7.9316000000000004</v>
      </c>
      <c r="H154" s="14">
        <f>CHOOSE(CONTROL!$C$42, 8.1788, 8.1788) * CHOOSE(CONTROL!$C$21, $C$9, 100%, $E$9)</f>
        <v>8.1788000000000007</v>
      </c>
      <c r="I154" s="14">
        <f>CHOOSE(CONTROL!$C$42, 7.9578, 7.9578)* CHOOSE(CONTROL!$C$21, $C$9, 100%, $E$9)</f>
        <v>7.9577999999999998</v>
      </c>
      <c r="J154" s="14">
        <f>CHOOSE(CONTROL!$C$42, 7.9084, 7.9084)* CHOOSE(CONTROL!$C$21, $C$9, 100%, $E$9)</f>
        <v>7.9084000000000003</v>
      </c>
      <c r="K154" s="53">
        <f>CHOOSE(CONTROL!$C$42, 7.9539, 7.9539) * CHOOSE(CONTROL!$C$21, $C$9, 100%, $E$9)</f>
        <v>7.9539</v>
      </c>
      <c r="L154" s="14">
        <f>CHOOSE(CONTROL!$C$42, 8.7658, 8.7658) * CHOOSE(CONTROL!$C$21, $C$9, 100%, $E$9)</f>
        <v>8.7658000000000005</v>
      </c>
      <c r="M154" s="14">
        <f>CHOOSE(CONTROL!$C$42, 7.754, 7.754) * CHOOSE(CONTROL!$C$21, $C$9, 100%, $E$9)</f>
        <v>7.7539999999999996</v>
      </c>
      <c r="N154" s="14">
        <f>CHOOSE(CONTROL!$C$42, 7.77, 7.77) * CHOOSE(CONTROL!$C$21, $C$9, 100%, $E$9)</f>
        <v>7.77</v>
      </c>
      <c r="O154" s="14">
        <f>CHOOSE(CONTROL!$C$42, 8.0189, 8.0189) * CHOOSE(CONTROL!$C$21, $C$9, 100%, $E$9)</f>
        <v>8.0189000000000004</v>
      </c>
      <c r="P154" s="14">
        <f>CHOOSE(CONTROL!$C$42, 7.802, 7.802) * CHOOSE(CONTROL!$C$21, $C$9, 100%, $E$9)</f>
        <v>7.8019999999999996</v>
      </c>
      <c r="Q154" s="14">
        <f>CHOOSE(CONTROL!$C$42, 8.6136, 8.6136) * CHOOSE(CONTROL!$C$21, $C$9, 100%, $E$9)</f>
        <v>8.6135999999999999</v>
      </c>
      <c r="R154" s="14">
        <f>CHOOSE(CONTROL!$C$42, 9.2222, 9.2222) * CHOOSE(CONTROL!$C$21, $C$9, 100%, $E$9)</f>
        <v>9.2222000000000008</v>
      </c>
      <c r="S154" s="14">
        <f>CHOOSE(CONTROL!$C$42, 7.5969, 7.5969) * CHOOSE(CONTROL!$C$21, $C$9, 100%, $E$9)</f>
        <v>7.5968999999999998</v>
      </c>
      <c r="T1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7">
        <f>(1000*CHOOSE(CONTROL!$C$42, 695, 695)*CHOOSE(CONTROL!$C$42, 0.5599, 0.5599)*CHOOSE(CONTROL!$C$42, 31, 31))/1000000</f>
        <v>12.063045499999998</v>
      </c>
      <c r="V154" s="57">
        <f>(1000*CHOOSE(CONTROL!$C$42, 500, 500)*CHOOSE(CONTROL!$C$42, 0.275, 0.275)*CHOOSE(CONTROL!$C$42, 31, 31))/1000000</f>
        <v>4.2625000000000002</v>
      </c>
      <c r="W154" s="57">
        <f>(1000*CHOOSE(CONTROL!$C$42, 0.1146, 0.1146)*CHOOSE(CONTROL!$C$42, 121.5, 121.5)*CHOOSE(CONTROL!$C$42, 31, 31))/1000000</f>
        <v>0.43164089999999994</v>
      </c>
      <c r="X154" s="57">
        <f>(31*0.1790888*245000/1000000)+(31*0.2374*100000/1000000)</f>
        <v>2.0961194359999999</v>
      </c>
      <c r="Y154" s="57"/>
      <c r="Z154" s="14"/>
      <c r="AA154" s="56"/>
      <c r="AB154" s="50">
        <f>(B154*131.881+C154*277.167+D154*79.08+E154*125.872+F154*40+G154*185+H154*0+I154*100+J154*300)/(131.881+277.167+79.08+125.872+0+40+185+100+300)</f>
        <v>7.9640162687651328</v>
      </c>
      <c r="AC154" s="45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7.8389143884892079</v>
      </c>
    </row>
    <row r="155" spans="1:29" ht="15.75" x14ac:dyDescent="0.25">
      <c r="A155" s="13">
        <v>45597</v>
      </c>
      <c r="B155" s="14">
        <f>CHOOSE(CONTROL!$C$42, 8.1399, 8.1399) * CHOOSE(CONTROL!$C$21, $C$9, 100%, $E$9)</f>
        <v>8.1399000000000008</v>
      </c>
      <c r="C155" s="14">
        <f>CHOOSE(CONTROL!$C$42, 8.145, 8.145) * CHOOSE(CONTROL!$C$21, $C$9, 100%, $E$9)</f>
        <v>8.1449999999999996</v>
      </c>
      <c r="D155" s="14">
        <f>CHOOSE(CONTROL!$C$42, 8.2192, 8.2192) * CHOOSE(CONTROL!$C$21, $C$9, 100%, $E$9)</f>
        <v>8.2192000000000007</v>
      </c>
      <c r="E155" s="14">
        <f>CHOOSE(CONTROL!$C$42, 8.2533, 8.2533) * CHOOSE(CONTROL!$C$21, $C$9, 100%, $E$9)</f>
        <v>8.2532999999999994</v>
      </c>
      <c r="F155" s="14">
        <f>CHOOSE(CONTROL!$C$42, 8.1519, 8.1519)*CHOOSE(CONTROL!$C$21, $C$9, 100%, $E$9)</f>
        <v>8.1518999999999995</v>
      </c>
      <c r="G155" s="14">
        <f>CHOOSE(CONTROL!$C$42, 8.1685, 8.1685)*CHOOSE(CONTROL!$C$21, $C$9, 100%, $E$9)</f>
        <v>8.1684999999999999</v>
      </c>
      <c r="H155" s="14">
        <f>CHOOSE(CONTROL!$C$42, 8.2425, 8.2425) * CHOOSE(CONTROL!$C$21, $C$9, 100%, $E$9)</f>
        <v>8.2424999999999997</v>
      </c>
      <c r="I155" s="14">
        <f>CHOOSE(CONTROL!$C$42, 8.1897, 8.1897)* CHOOSE(CONTROL!$C$21, $C$9, 100%, $E$9)</f>
        <v>8.1897000000000002</v>
      </c>
      <c r="J155" s="14">
        <f>CHOOSE(CONTROL!$C$42, 8.1449, 8.1449)* CHOOSE(CONTROL!$C$21, $C$9, 100%, $E$9)</f>
        <v>8.1448999999999998</v>
      </c>
      <c r="K155" s="53">
        <f>CHOOSE(CONTROL!$C$42, 8.1858, 8.1858) * CHOOSE(CONTROL!$C$21, $C$9, 100%, $E$9)</f>
        <v>8.1858000000000004</v>
      </c>
      <c r="L155" s="14">
        <f>CHOOSE(CONTROL!$C$42, 8.8295, 8.8295) * CHOOSE(CONTROL!$C$21, $C$9, 100%, $E$9)</f>
        <v>8.8294999999999995</v>
      </c>
      <c r="M155" s="14">
        <f>CHOOSE(CONTROL!$C$42, 7.9858, 7.9858) * CHOOSE(CONTROL!$C$21, $C$9, 100%, $E$9)</f>
        <v>7.9858000000000002</v>
      </c>
      <c r="N155" s="14">
        <f>CHOOSE(CONTROL!$C$42, 8.002, 8.002) * CHOOSE(CONTROL!$C$21, $C$9, 100%, $E$9)</f>
        <v>8.0020000000000007</v>
      </c>
      <c r="O155" s="14">
        <f>CHOOSE(CONTROL!$C$42, 8.0813, 8.0813) * CHOOSE(CONTROL!$C$21, $C$9, 100%, $E$9)</f>
        <v>8.0813000000000006</v>
      </c>
      <c r="P155" s="14">
        <f>CHOOSE(CONTROL!$C$42, 8.0292, 8.0292) * CHOOSE(CONTROL!$C$21, $C$9, 100%, $E$9)</f>
        <v>8.0291999999999994</v>
      </c>
      <c r="Q155" s="14">
        <f>CHOOSE(CONTROL!$C$42, 8.676, 8.676) * CHOOSE(CONTROL!$C$21, $C$9, 100%, $E$9)</f>
        <v>8.6760000000000002</v>
      </c>
      <c r="R155" s="14">
        <f>CHOOSE(CONTROL!$C$42, 9.2847, 9.2847) * CHOOSE(CONTROL!$C$21, $C$9, 100%, $E$9)</f>
        <v>9.2847000000000008</v>
      </c>
      <c r="S155" s="14">
        <f>CHOOSE(CONTROL!$C$42, 7.8131, 7.8131) * CHOOSE(CONTROL!$C$21, $C$9, 100%, $E$9)</f>
        <v>7.8131000000000004</v>
      </c>
      <c r="T1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7">
        <f>(1000*CHOOSE(CONTROL!$C$42, 695, 695)*CHOOSE(CONTROL!$C$42, 0.5599, 0.5599)*CHOOSE(CONTROL!$C$42, 30, 30))/1000000</f>
        <v>11.673914999999997</v>
      </c>
      <c r="V155" s="57">
        <f>(1000*CHOOSE(CONTROL!$C$42, 500, 500)*CHOOSE(CONTROL!$C$42, 0.275, 0.275)*CHOOSE(CONTROL!$C$42, 30, 30))/1000000</f>
        <v>4.125</v>
      </c>
      <c r="W155" s="57">
        <f>(1000*CHOOSE(CONTROL!$C$42, 0.1146, 0.1146)*CHOOSE(CONTROL!$C$42, 121.5, 121.5)*CHOOSE(CONTROL!$C$42, 30, 30))/1000000</f>
        <v>0.417717</v>
      </c>
      <c r="X155" s="57">
        <f>(30*0.1790888*100000/1000000)+(30*0.2374*100000/1000000)</f>
        <v>1.2494664</v>
      </c>
      <c r="Y155" s="57"/>
      <c r="Z155" s="14"/>
      <c r="AA155" s="56"/>
      <c r="AB155" s="50">
        <f>(B155*122.58+C155*297.941+D155*89.177+E155*40.302+F155*40+G155*160+H155*0+I155*100+J155*300)/(122.58+297.941+89.177+40.302+0+40+160+100+300)</f>
        <v>8.1613760713043479</v>
      </c>
      <c r="AC155" s="45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8.0362611510791364</v>
      </c>
    </row>
    <row r="156" spans="1:29" ht="15.75" x14ac:dyDescent="0.25">
      <c r="A156" s="13">
        <v>45627</v>
      </c>
      <c r="B156" s="14">
        <f>CHOOSE(CONTROL!$C$42, 8.7121, 8.7121) * CHOOSE(CONTROL!$C$21, $C$9, 100%, $E$9)</f>
        <v>8.7120999999999995</v>
      </c>
      <c r="C156" s="14">
        <f>CHOOSE(CONTROL!$C$42, 8.7172, 8.7172) * CHOOSE(CONTROL!$C$21, $C$9, 100%, $E$9)</f>
        <v>8.7172000000000001</v>
      </c>
      <c r="D156" s="14">
        <f>CHOOSE(CONTROL!$C$42, 8.7914, 8.7914) * CHOOSE(CONTROL!$C$21, $C$9, 100%, $E$9)</f>
        <v>8.7913999999999994</v>
      </c>
      <c r="E156" s="14">
        <f>CHOOSE(CONTROL!$C$42, 8.8255, 8.8255) * CHOOSE(CONTROL!$C$21, $C$9, 100%, $E$9)</f>
        <v>8.8254999999999999</v>
      </c>
      <c r="F156" s="14">
        <f>CHOOSE(CONTROL!$C$42, 8.7263, 8.7263)*CHOOSE(CONTROL!$C$21, $C$9, 100%, $E$9)</f>
        <v>8.7263000000000002</v>
      </c>
      <c r="G156" s="14">
        <f>CHOOSE(CONTROL!$C$42, 8.7435, 8.7435)*CHOOSE(CONTROL!$C$21, $C$9, 100%, $E$9)</f>
        <v>8.7434999999999992</v>
      </c>
      <c r="H156" s="14">
        <f>CHOOSE(CONTROL!$C$42, 8.8147, 8.8147) * CHOOSE(CONTROL!$C$21, $C$9, 100%, $E$9)</f>
        <v>8.8147000000000002</v>
      </c>
      <c r="I156" s="14">
        <f>CHOOSE(CONTROL!$C$42, 8.7637, 8.7637)* CHOOSE(CONTROL!$C$21, $C$9, 100%, $E$9)</f>
        <v>8.7637</v>
      </c>
      <c r="J156" s="14">
        <f>CHOOSE(CONTROL!$C$42, 8.7193, 8.7193)* CHOOSE(CONTROL!$C$21, $C$9, 100%, $E$9)</f>
        <v>8.7193000000000005</v>
      </c>
      <c r="K156" s="53">
        <f>CHOOSE(CONTROL!$C$42, 8.7598, 8.7598) * CHOOSE(CONTROL!$C$21, $C$9, 100%, $E$9)</f>
        <v>8.7598000000000003</v>
      </c>
      <c r="L156" s="14">
        <f>CHOOSE(CONTROL!$C$42, 9.4017, 9.4017) * CHOOSE(CONTROL!$C$21, $C$9, 100%, $E$9)</f>
        <v>9.4016999999999999</v>
      </c>
      <c r="M156" s="14">
        <f>CHOOSE(CONTROL!$C$42, 8.5484, 8.5484) * CHOOSE(CONTROL!$C$21, $C$9, 100%, $E$9)</f>
        <v>8.5484000000000009</v>
      </c>
      <c r="N156" s="14">
        <f>CHOOSE(CONTROL!$C$42, 8.5652, 8.5652) * CHOOSE(CONTROL!$C$21, $C$9, 100%, $E$9)</f>
        <v>8.5652000000000008</v>
      </c>
      <c r="O156" s="14">
        <f>CHOOSE(CONTROL!$C$42, 8.6418, 8.6418) * CHOOSE(CONTROL!$C$21, $C$9, 100%, $E$9)</f>
        <v>8.6417999999999999</v>
      </c>
      <c r="P156" s="14">
        <f>CHOOSE(CONTROL!$C$42, 8.5914, 8.5914) * CHOOSE(CONTROL!$C$21, $C$9, 100%, $E$9)</f>
        <v>8.5914000000000001</v>
      </c>
      <c r="Q156" s="14">
        <f>CHOOSE(CONTROL!$C$42, 9.2365, 9.2365) * CHOOSE(CONTROL!$C$21, $C$9, 100%, $E$9)</f>
        <v>9.2364999999999995</v>
      </c>
      <c r="R156" s="14">
        <f>CHOOSE(CONTROL!$C$42, 9.8466, 9.8466) * CHOOSE(CONTROL!$C$21, $C$9, 100%, $E$9)</f>
        <v>9.8466000000000005</v>
      </c>
      <c r="S156" s="14">
        <f>CHOOSE(CONTROL!$C$42, 8.3629, 8.3629) * CHOOSE(CONTROL!$C$21, $C$9, 100%, $E$9)</f>
        <v>8.3628999999999998</v>
      </c>
      <c r="T1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7">
        <f>(1000*CHOOSE(CONTROL!$C$42, 695, 695)*CHOOSE(CONTROL!$C$42, 0.5599, 0.5599)*CHOOSE(CONTROL!$C$42, 31, 31))/1000000</f>
        <v>12.063045499999998</v>
      </c>
      <c r="V156" s="57">
        <f>(1000*CHOOSE(CONTROL!$C$42, 500, 500)*CHOOSE(CONTROL!$C$42, 0.275, 0.275)*CHOOSE(CONTROL!$C$42, 31, 31))/1000000</f>
        <v>4.2625000000000002</v>
      </c>
      <c r="W156" s="57">
        <f>(1000*CHOOSE(CONTROL!$C$42, 0.1146, 0.1146)*CHOOSE(CONTROL!$C$42, 121.5, 121.5)*CHOOSE(CONTROL!$C$42, 31, 31))/1000000</f>
        <v>0.43164089999999994</v>
      </c>
      <c r="X156" s="57">
        <f>(31*0.1790888*100000/1000000)+(31*0.2374*100000/1000000)</f>
        <v>1.2911152800000001</v>
      </c>
      <c r="Y156" s="57"/>
      <c r="Z156" s="14"/>
      <c r="AA156" s="56"/>
      <c r="AB156" s="50">
        <f>(B156*122.58+C156*297.941+D156*89.177+E156*40.302+F156*40+G156*160+H156*0+I156*100+J156*300)/(122.58+297.941+89.177+40.302+0+40+160+100+300)</f>
        <v>8.7347725930434752</v>
      </c>
      <c r="AC156" s="45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8.5978863309352516</v>
      </c>
    </row>
    <row r="157" spans="1:29" ht="15.75" x14ac:dyDescent="0.25">
      <c r="A157" s="13">
        <v>45658</v>
      </c>
      <c r="B157" s="14">
        <f>CHOOSE(CONTROL!$C$42, 9.254, 9.254) * CHOOSE(CONTROL!$C$21, $C$9, 100%, $E$9)</f>
        <v>9.2539999999999996</v>
      </c>
      <c r="C157" s="14">
        <f>CHOOSE(CONTROL!$C$42, 9.259, 9.259) * CHOOSE(CONTROL!$C$21, $C$9, 100%, $E$9)</f>
        <v>9.2590000000000003</v>
      </c>
      <c r="D157" s="14">
        <f>CHOOSE(CONTROL!$C$42, 9.3359, 9.3359) * CHOOSE(CONTROL!$C$21, $C$9, 100%, $E$9)</f>
        <v>9.3359000000000005</v>
      </c>
      <c r="E157" s="14">
        <f>CHOOSE(CONTROL!$C$42, 9.37, 9.37) * CHOOSE(CONTROL!$C$21, $C$9, 100%, $E$9)</f>
        <v>9.3699999999999992</v>
      </c>
      <c r="F157" s="14">
        <f>CHOOSE(CONTROL!$C$42, 9.2542, 9.2542)*CHOOSE(CONTROL!$C$21, $C$9, 100%, $E$9)</f>
        <v>9.2542000000000009</v>
      </c>
      <c r="G157" s="14">
        <f>CHOOSE(CONTROL!$C$42, 9.2704, 9.2704)*CHOOSE(CONTROL!$C$21, $C$9, 100%, $E$9)</f>
        <v>9.2704000000000004</v>
      </c>
      <c r="H157" s="14">
        <f>CHOOSE(CONTROL!$C$42, 9.3592, 9.3592) * CHOOSE(CONTROL!$C$21, $C$9, 100%, $E$9)</f>
        <v>9.3591999999999995</v>
      </c>
      <c r="I157" s="14">
        <f>CHOOSE(CONTROL!$C$42, 9.301, 9.301)* CHOOSE(CONTROL!$C$21, $C$9, 100%, $E$9)</f>
        <v>9.3010000000000002</v>
      </c>
      <c r="J157" s="14">
        <f>CHOOSE(CONTROL!$C$42, 9.2472, 9.2472)* CHOOSE(CONTROL!$C$21, $C$9, 100%, $E$9)</f>
        <v>9.2471999999999994</v>
      </c>
      <c r="K157" s="53">
        <f>CHOOSE(CONTROL!$C$42, 9.2971, 9.2971) * CHOOSE(CONTROL!$C$21, $C$9, 100%, $E$9)</f>
        <v>9.2971000000000004</v>
      </c>
      <c r="L157" s="14">
        <f>CHOOSE(CONTROL!$C$42, 9.9462, 9.9462) * CHOOSE(CONTROL!$C$21, $C$9, 100%, $E$9)</f>
        <v>9.9461999999999993</v>
      </c>
      <c r="M157" s="14">
        <f>CHOOSE(CONTROL!$C$42, 9.0654, 9.0654) * CHOOSE(CONTROL!$C$21, $C$9, 100%, $E$9)</f>
        <v>9.0654000000000003</v>
      </c>
      <c r="N157" s="14">
        <f>CHOOSE(CONTROL!$C$42, 9.0813, 9.0813) * CHOOSE(CONTROL!$C$21, $C$9, 100%, $E$9)</f>
        <v>9.0813000000000006</v>
      </c>
      <c r="O157" s="14">
        <f>CHOOSE(CONTROL!$C$42, 9.1751, 9.1751) * CHOOSE(CONTROL!$C$21, $C$9, 100%, $E$9)</f>
        <v>9.1751000000000005</v>
      </c>
      <c r="P157" s="14">
        <f>CHOOSE(CONTROL!$C$42, 9.1176, 9.1176) * CHOOSE(CONTROL!$C$21, $C$9, 100%, $E$9)</f>
        <v>9.1175999999999995</v>
      </c>
      <c r="Q157" s="14">
        <f>CHOOSE(CONTROL!$C$42, 9.7698, 9.7698) * CHOOSE(CONTROL!$C$21, $C$9, 100%, $E$9)</f>
        <v>9.7698</v>
      </c>
      <c r="R157" s="14">
        <f>CHOOSE(CONTROL!$C$42, 10.3812, 10.3812) * CHOOSE(CONTROL!$C$21, $C$9, 100%, $E$9)</f>
        <v>10.3812</v>
      </c>
      <c r="S157" s="14">
        <f>CHOOSE(CONTROL!$C$42, 8.8836, 8.8836) * CHOOSE(CONTROL!$C$21, $C$9, 100%, $E$9)</f>
        <v>8.8835999999999995</v>
      </c>
      <c r="T1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7">
        <f>(1000*CHOOSE(CONTROL!$C$42, 695, 695)*CHOOSE(CONTROL!$C$42, 0.5599, 0.5599)*CHOOSE(CONTROL!$C$42, 31, 31))/1000000</f>
        <v>12.063045499999998</v>
      </c>
      <c r="V157" s="57">
        <f>(1000*CHOOSE(CONTROL!$C$42, 500, 500)*CHOOSE(CONTROL!$C$42, 0.275, 0.275)*CHOOSE(CONTROL!$C$42, 31, 31))/1000000</f>
        <v>4.2625000000000002</v>
      </c>
      <c r="W157" s="57">
        <f>(1000*CHOOSE(CONTROL!$C$42, 0.1146, 0.1146)*CHOOSE(CONTROL!$C$42, 121.5, 121.5)*CHOOSE(CONTROL!$C$42, 31, 31))/1000000</f>
        <v>0.43164089999999994</v>
      </c>
      <c r="X157" s="57">
        <f>(31*0.1790888*100000/1000000)+(31*0.2374*100000/1000000)</f>
        <v>1.2911152800000001</v>
      </c>
      <c r="Y157" s="57"/>
      <c r="Z157" s="14"/>
      <c r="AA157" s="56"/>
      <c r="AB157" s="50">
        <f>(B157*122.58+C157*297.941+D157*89.177+E157*40.302+F157*40+G157*160+H157*0+I157*100+J157*300)/(122.58+297.941+89.177+40.302+0+40+160+100+300)</f>
        <v>9.2703133333043475</v>
      </c>
      <c r="AC157" s="45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9.1235460431654669</v>
      </c>
    </row>
    <row r="158" spans="1:29" ht="15.75" x14ac:dyDescent="0.25">
      <c r="A158" s="13">
        <v>45689</v>
      </c>
      <c r="B158" s="14">
        <f>CHOOSE(CONTROL!$C$42, 9.4379, 9.4379) * CHOOSE(CONTROL!$C$21, $C$9, 100%, $E$9)</f>
        <v>9.4379000000000008</v>
      </c>
      <c r="C158" s="14">
        <f>CHOOSE(CONTROL!$C$42, 9.443, 9.443) * CHOOSE(CONTROL!$C$21, $C$9, 100%, $E$9)</f>
        <v>9.4429999999999996</v>
      </c>
      <c r="D158" s="14">
        <f>CHOOSE(CONTROL!$C$42, 9.5198, 9.5198) * CHOOSE(CONTROL!$C$21, $C$9, 100%, $E$9)</f>
        <v>9.5198</v>
      </c>
      <c r="E158" s="14">
        <f>CHOOSE(CONTROL!$C$42, 9.5539, 9.5539) * CHOOSE(CONTROL!$C$21, $C$9, 100%, $E$9)</f>
        <v>9.5539000000000005</v>
      </c>
      <c r="F158" s="14">
        <f>CHOOSE(CONTROL!$C$42, 9.4382, 9.4382)*CHOOSE(CONTROL!$C$21, $C$9, 100%, $E$9)</f>
        <v>9.4382000000000001</v>
      </c>
      <c r="G158" s="14">
        <f>CHOOSE(CONTROL!$C$42, 9.4544, 9.4544)*CHOOSE(CONTROL!$C$21, $C$9, 100%, $E$9)</f>
        <v>9.4543999999999997</v>
      </c>
      <c r="H158" s="14">
        <f>CHOOSE(CONTROL!$C$42, 9.5431, 9.5431) * CHOOSE(CONTROL!$C$21, $C$9, 100%, $E$9)</f>
        <v>9.5431000000000008</v>
      </c>
      <c r="I158" s="14">
        <f>CHOOSE(CONTROL!$C$42, 9.4855, 9.4855)* CHOOSE(CONTROL!$C$21, $C$9, 100%, $E$9)</f>
        <v>9.4855</v>
      </c>
      <c r="J158" s="14">
        <f>CHOOSE(CONTROL!$C$42, 9.4312, 9.4312)* CHOOSE(CONTROL!$C$21, $C$9, 100%, $E$9)</f>
        <v>9.4312000000000005</v>
      </c>
      <c r="K158" s="53">
        <f>CHOOSE(CONTROL!$C$42, 9.4817, 9.4817) * CHOOSE(CONTROL!$C$21, $C$9, 100%, $E$9)</f>
        <v>9.4817</v>
      </c>
      <c r="L158" s="14">
        <f>CHOOSE(CONTROL!$C$42, 10.1301, 10.1301) * CHOOSE(CONTROL!$C$21, $C$9, 100%, $E$9)</f>
        <v>10.130100000000001</v>
      </c>
      <c r="M158" s="14">
        <f>CHOOSE(CONTROL!$C$42, 9.2456, 9.2456) * CHOOSE(CONTROL!$C$21, $C$9, 100%, $E$9)</f>
        <v>9.2455999999999996</v>
      </c>
      <c r="N158" s="14">
        <f>CHOOSE(CONTROL!$C$42, 9.2615, 9.2615) * CHOOSE(CONTROL!$C$21, $C$9, 100%, $E$9)</f>
        <v>9.2614999999999998</v>
      </c>
      <c r="O158" s="14">
        <f>CHOOSE(CONTROL!$C$42, 9.3553, 9.3553) * CHOOSE(CONTROL!$C$21, $C$9, 100%, $E$9)</f>
        <v>9.3552999999999997</v>
      </c>
      <c r="P158" s="14">
        <f>CHOOSE(CONTROL!$C$42, 9.2984, 9.2984) * CHOOSE(CONTROL!$C$21, $C$9, 100%, $E$9)</f>
        <v>9.2984000000000009</v>
      </c>
      <c r="Q158" s="14">
        <f>CHOOSE(CONTROL!$C$42, 9.95, 9.95) * CHOOSE(CONTROL!$C$21, $C$9, 100%, $E$9)</f>
        <v>9.9499999999999993</v>
      </c>
      <c r="R158" s="14">
        <f>CHOOSE(CONTROL!$C$42, 10.5618, 10.5618) * CHOOSE(CONTROL!$C$21, $C$9, 100%, $E$9)</f>
        <v>10.5618</v>
      </c>
      <c r="S158" s="14">
        <f>CHOOSE(CONTROL!$C$42, 9.0604, 9.0604) * CHOOSE(CONTROL!$C$21, $C$9, 100%, $E$9)</f>
        <v>9.0603999999999996</v>
      </c>
      <c r="T1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7">
        <f>(1000*CHOOSE(CONTROL!$C$42, 695, 695)*CHOOSE(CONTROL!$C$42, 0.5599, 0.5599)*CHOOSE(CONTROL!$C$42, 28, 28))/1000000</f>
        <v>10.895653999999999</v>
      </c>
      <c r="V158" s="57">
        <f>(1000*CHOOSE(CONTROL!$C$42, 500, 500)*CHOOSE(CONTROL!$C$42, 0.275, 0.275)*CHOOSE(CONTROL!$C$42, 28, 28))/1000000</f>
        <v>3.85</v>
      </c>
      <c r="W158" s="57">
        <f>(1000*CHOOSE(CONTROL!$C$42, 0.1146, 0.1146)*CHOOSE(CONTROL!$C$42, 121.5, 121.5)*CHOOSE(CONTROL!$C$42, 28, 28))/1000000</f>
        <v>0.38986920000000003</v>
      </c>
      <c r="X158" s="57">
        <f>(28*0.1790888*100000/1000000)+(28*0.2374*100000/1000000)</f>
        <v>1.16616864</v>
      </c>
      <c r="Y158" s="57"/>
      <c r="Z158" s="14"/>
      <c r="AA158" s="56"/>
      <c r="AB158" s="50">
        <f>(B158*122.58+C158*297.941+D158*89.177+E158*40.302+F158*40+G158*160+H158*0+I158*100+J158*300)/(122.58+297.941+89.177+40.302+0+40+160+100+300)</f>
        <v>9.4543348933913034</v>
      </c>
      <c r="AC158" s="45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9.3038323741007201</v>
      </c>
    </row>
    <row r="159" spans="1:29" ht="15.75" x14ac:dyDescent="0.25">
      <c r="A159" s="13">
        <v>45717</v>
      </c>
      <c r="B159" s="14">
        <f>CHOOSE(CONTROL!$C$42, 9.1891, 9.1891) * CHOOSE(CONTROL!$C$21, $C$9, 100%, $E$9)</f>
        <v>9.1890999999999998</v>
      </c>
      <c r="C159" s="14">
        <f>CHOOSE(CONTROL!$C$42, 9.1942, 9.1942) * CHOOSE(CONTROL!$C$21, $C$9, 100%, $E$9)</f>
        <v>9.1942000000000004</v>
      </c>
      <c r="D159" s="14">
        <f>CHOOSE(CONTROL!$C$42, 9.271, 9.271) * CHOOSE(CONTROL!$C$21, $C$9, 100%, $E$9)</f>
        <v>9.2710000000000008</v>
      </c>
      <c r="E159" s="14">
        <f>CHOOSE(CONTROL!$C$42, 9.3051, 9.3051) * CHOOSE(CONTROL!$C$21, $C$9, 100%, $E$9)</f>
        <v>9.3050999999999995</v>
      </c>
      <c r="F159" s="14">
        <f>CHOOSE(CONTROL!$C$42, 9.1889, 9.1889)*CHOOSE(CONTROL!$C$21, $C$9, 100%, $E$9)</f>
        <v>9.1889000000000003</v>
      </c>
      <c r="G159" s="14">
        <f>CHOOSE(CONTROL!$C$42, 9.205, 9.205)*CHOOSE(CONTROL!$C$21, $C$9, 100%, $E$9)</f>
        <v>9.2050000000000001</v>
      </c>
      <c r="H159" s="14">
        <f>CHOOSE(CONTROL!$C$42, 9.2943, 9.2943) * CHOOSE(CONTROL!$C$21, $C$9, 100%, $E$9)</f>
        <v>9.2942999999999998</v>
      </c>
      <c r="I159" s="14">
        <f>CHOOSE(CONTROL!$C$42, 9.236, 9.236)* CHOOSE(CONTROL!$C$21, $C$9, 100%, $E$9)</f>
        <v>9.2360000000000007</v>
      </c>
      <c r="J159" s="14">
        <f>CHOOSE(CONTROL!$C$42, 9.1819, 9.1819)* CHOOSE(CONTROL!$C$21, $C$9, 100%, $E$9)</f>
        <v>9.1819000000000006</v>
      </c>
      <c r="K159" s="53">
        <f>CHOOSE(CONTROL!$C$42, 9.2321, 9.2321) * CHOOSE(CONTROL!$C$21, $C$9, 100%, $E$9)</f>
        <v>9.2321000000000009</v>
      </c>
      <c r="L159" s="14">
        <f>CHOOSE(CONTROL!$C$42, 9.8813, 9.8813) * CHOOSE(CONTROL!$C$21, $C$9, 100%, $E$9)</f>
        <v>9.8812999999999995</v>
      </c>
      <c r="M159" s="14">
        <f>CHOOSE(CONTROL!$C$42, 9.0015, 9.0015) * CHOOSE(CONTROL!$C$21, $C$9, 100%, $E$9)</f>
        <v>9.0015000000000001</v>
      </c>
      <c r="N159" s="14">
        <f>CHOOSE(CONTROL!$C$42, 9.0173, 9.0173) * CHOOSE(CONTROL!$C$21, $C$9, 100%, $E$9)</f>
        <v>9.0173000000000005</v>
      </c>
      <c r="O159" s="14">
        <f>CHOOSE(CONTROL!$C$42, 9.1116, 9.1116) * CHOOSE(CONTROL!$C$21, $C$9, 100%, $E$9)</f>
        <v>9.1115999999999993</v>
      </c>
      <c r="P159" s="14">
        <f>CHOOSE(CONTROL!$C$42, 9.0539, 9.0539) * CHOOSE(CONTROL!$C$21, $C$9, 100%, $E$9)</f>
        <v>9.0539000000000005</v>
      </c>
      <c r="Q159" s="14">
        <f>CHOOSE(CONTROL!$C$42, 9.7063, 9.7063) * CHOOSE(CONTROL!$C$21, $C$9, 100%, $E$9)</f>
        <v>9.7063000000000006</v>
      </c>
      <c r="R159" s="14">
        <f>CHOOSE(CONTROL!$C$42, 10.3175, 10.3175) * CHOOSE(CONTROL!$C$21, $C$9, 100%, $E$9)</f>
        <v>10.317500000000001</v>
      </c>
      <c r="S159" s="14">
        <f>CHOOSE(CONTROL!$C$42, 8.8213, 8.8213) * CHOOSE(CONTROL!$C$21, $C$9, 100%, $E$9)</f>
        <v>8.8213000000000008</v>
      </c>
      <c r="T1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7">
        <f>(1000*CHOOSE(CONTROL!$C$42, 695, 695)*CHOOSE(CONTROL!$C$42, 0.5599, 0.5599)*CHOOSE(CONTROL!$C$42, 31, 31))/1000000</f>
        <v>12.063045499999998</v>
      </c>
      <c r="V159" s="57">
        <f>(1000*CHOOSE(CONTROL!$C$42, 500, 500)*CHOOSE(CONTROL!$C$42, 0.275, 0.275)*CHOOSE(CONTROL!$C$42, 31, 31))/1000000</f>
        <v>4.2625000000000002</v>
      </c>
      <c r="W159" s="57">
        <f>(1000*CHOOSE(CONTROL!$C$42, 0.1146, 0.1146)*CHOOSE(CONTROL!$C$42, 121.5, 121.5)*CHOOSE(CONTROL!$C$42, 31, 31))/1000000</f>
        <v>0.43164089999999994</v>
      </c>
      <c r="X159" s="57">
        <f>(31*0.1790888*100000/1000000)+(31*0.2374*100000/1000000)</f>
        <v>1.2911152800000001</v>
      </c>
      <c r="Y159" s="57"/>
      <c r="Z159" s="14"/>
      <c r="AA159" s="56"/>
      <c r="AB159" s="50">
        <f>(B159*122.58+C159*297.941+D159*89.177+E159*40.302+F159*40+G159*160+H159*0+I159*100+J159*300)/(122.58+297.941+89.177+40.302+0+40+160+100+300)</f>
        <v>9.205242719478262</v>
      </c>
      <c r="AC159" s="45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9.0598503597122306</v>
      </c>
    </row>
    <row r="160" spans="1:29" ht="15.75" x14ac:dyDescent="0.25">
      <c r="A160" s="13">
        <v>45748</v>
      </c>
      <c r="B160" s="14">
        <f>CHOOSE(CONTROL!$C$42, 9.1817, 9.1817) * CHOOSE(CONTROL!$C$21, $C$9, 100%, $E$9)</f>
        <v>9.1816999999999993</v>
      </c>
      <c r="C160" s="14">
        <f>CHOOSE(CONTROL!$C$42, 9.1862, 9.1862) * CHOOSE(CONTROL!$C$21, $C$9, 100%, $E$9)</f>
        <v>9.1861999999999995</v>
      </c>
      <c r="D160" s="14">
        <f>CHOOSE(CONTROL!$C$42, 9.4229, 9.4229) * CHOOSE(CONTROL!$C$21, $C$9, 100%, $E$9)</f>
        <v>9.4229000000000003</v>
      </c>
      <c r="E160" s="14">
        <f>CHOOSE(CONTROL!$C$42, 9.4551, 9.4551) * CHOOSE(CONTROL!$C$21, $C$9, 100%, $E$9)</f>
        <v>9.4550999999999998</v>
      </c>
      <c r="F160" s="14">
        <f>CHOOSE(CONTROL!$C$42, 9.1797, 9.1797)*CHOOSE(CONTROL!$C$21, $C$9, 100%, $E$9)</f>
        <v>9.1797000000000004</v>
      </c>
      <c r="G160" s="14">
        <f>CHOOSE(CONTROL!$C$42, 9.1955, 9.1955)*CHOOSE(CONTROL!$C$21, $C$9, 100%, $E$9)</f>
        <v>9.1954999999999991</v>
      </c>
      <c r="H160" s="14">
        <f>CHOOSE(CONTROL!$C$42, 9.4448, 9.4448) * CHOOSE(CONTROL!$C$21, $C$9, 100%, $E$9)</f>
        <v>9.4448000000000008</v>
      </c>
      <c r="I160" s="14">
        <f>CHOOSE(CONTROL!$C$42, 9.2278, 9.2278)* CHOOSE(CONTROL!$C$21, $C$9, 100%, $E$9)</f>
        <v>9.2278000000000002</v>
      </c>
      <c r="J160" s="14">
        <f>CHOOSE(CONTROL!$C$42, 9.1727, 9.1727)* CHOOSE(CONTROL!$C$21, $C$9, 100%, $E$9)</f>
        <v>9.1727000000000007</v>
      </c>
      <c r="K160" s="53">
        <f>CHOOSE(CONTROL!$C$42, 9.2239, 9.2239) * CHOOSE(CONTROL!$C$21, $C$9, 100%, $E$9)</f>
        <v>9.2239000000000004</v>
      </c>
      <c r="L160" s="14">
        <f>CHOOSE(CONTROL!$C$42, 10.0318, 10.0318) * CHOOSE(CONTROL!$C$21, $C$9, 100%, $E$9)</f>
        <v>10.0318</v>
      </c>
      <c r="M160" s="14">
        <f>CHOOSE(CONTROL!$C$42, 8.9924, 8.9924) * CHOOSE(CONTROL!$C$21, $C$9, 100%, $E$9)</f>
        <v>8.9923999999999999</v>
      </c>
      <c r="N160" s="14">
        <f>CHOOSE(CONTROL!$C$42, 9.0079, 9.0079) * CHOOSE(CONTROL!$C$21, $C$9, 100%, $E$9)</f>
        <v>9.0078999999999994</v>
      </c>
      <c r="O160" s="14">
        <f>CHOOSE(CONTROL!$C$42, 9.259, 9.259) * CHOOSE(CONTROL!$C$21, $C$9, 100%, $E$9)</f>
        <v>9.2590000000000003</v>
      </c>
      <c r="P160" s="14">
        <f>CHOOSE(CONTROL!$C$42, 9.0459, 9.0459) * CHOOSE(CONTROL!$C$21, $C$9, 100%, $E$9)</f>
        <v>9.0458999999999996</v>
      </c>
      <c r="Q160" s="14">
        <f>CHOOSE(CONTROL!$C$42, 9.8537, 9.8537) * CHOOSE(CONTROL!$C$21, $C$9, 100%, $E$9)</f>
        <v>9.8536999999999999</v>
      </c>
      <c r="R160" s="14">
        <f>CHOOSE(CONTROL!$C$42, 10.4653, 10.4653) * CHOOSE(CONTROL!$C$21, $C$9, 100%, $E$9)</f>
        <v>10.465299999999999</v>
      </c>
      <c r="S160" s="14">
        <f>CHOOSE(CONTROL!$C$42, 8.8134, 8.8134) * CHOOSE(CONTROL!$C$21, $C$9, 100%, $E$9)</f>
        <v>8.8133999999999997</v>
      </c>
      <c r="T1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7">
        <f>(1000*CHOOSE(CONTROL!$C$42, 695, 695)*CHOOSE(CONTROL!$C$42, 0.5599, 0.5599)*CHOOSE(CONTROL!$C$42, 30, 30))/1000000</f>
        <v>11.673914999999997</v>
      </c>
      <c r="V160" s="57">
        <f>(1000*CHOOSE(CONTROL!$C$42, 500, 500)*CHOOSE(CONTROL!$C$42, 0.275, 0.275)*CHOOSE(CONTROL!$C$42, 30, 30))/1000000</f>
        <v>4.125</v>
      </c>
      <c r="W160" s="57">
        <f>(1000*CHOOSE(CONTROL!$C$42, 0.1146, 0.1146)*CHOOSE(CONTROL!$C$42, 121.5, 121.5)*CHOOSE(CONTROL!$C$42, 30, 30))/1000000</f>
        <v>0.417717</v>
      </c>
      <c r="X160" s="57">
        <f>(30*0.1790888*245000/1000000)+(30*0.2374*100000/1000000)</f>
        <v>2.0285026799999999</v>
      </c>
      <c r="Y160" s="57"/>
      <c r="Z160" s="14"/>
      <c r="AA160" s="56"/>
      <c r="AB160" s="50">
        <f>(B160*141.293+C160*267.993+D160*115.016+E160*89.698+F160*40+G160*185+H160*0+I160*100+J160*300)/(141.293+267.993+115.016+89.698+0+40+185+100+300)</f>
        <v>9.2283943187247779</v>
      </c>
      <c r="AC160" s="45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9.0784676258992807</v>
      </c>
    </row>
    <row r="161" spans="1:29" ht="15.75" x14ac:dyDescent="0.25">
      <c r="A161" s="13">
        <v>45778</v>
      </c>
      <c r="B161" s="14">
        <f>CHOOSE(CONTROL!$C$42, 9.2831, 9.2831) * CHOOSE(CONTROL!$C$21, $C$9, 100%, $E$9)</f>
        <v>9.2830999999999992</v>
      </c>
      <c r="C161" s="14">
        <f>CHOOSE(CONTROL!$C$42, 9.2911, 9.2911) * CHOOSE(CONTROL!$C$21, $C$9, 100%, $E$9)</f>
        <v>9.2911000000000001</v>
      </c>
      <c r="D161" s="14">
        <f>CHOOSE(CONTROL!$C$42, 9.5247, 9.5247) * CHOOSE(CONTROL!$C$21, $C$9, 100%, $E$9)</f>
        <v>9.5246999999999993</v>
      </c>
      <c r="E161" s="14">
        <f>CHOOSE(CONTROL!$C$42, 9.5562, 9.5562) * CHOOSE(CONTROL!$C$21, $C$9, 100%, $E$9)</f>
        <v>9.5562000000000005</v>
      </c>
      <c r="F161" s="14">
        <f>CHOOSE(CONTROL!$C$42, 9.2799, 9.2799)*CHOOSE(CONTROL!$C$21, $C$9, 100%, $E$9)</f>
        <v>9.2798999999999996</v>
      </c>
      <c r="G161" s="14">
        <f>CHOOSE(CONTROL!$C$42, 9.2962, 9.2962)*CHOOSE(CONTROL!$C$21, $C$9, 100%, $E$9)</f>
        <v>9.2962000000000007</v>
      </c>
      <c r="H161" s="14">
        <f>CHOOSE(CONTROL!$C$42, 9.5448, 9.5448) * CHOOSE(CONTROL!$C$21, $C$9, 100%, $E$9)</f>
        <v>9.5448000000000004</v>
      </c>
      <c r="I161" s="14">
        <f>CHOOSE(CONTROL!$C$42, 9.3281, 9.3281)* CHOOSE(CONTROL!$C$21, $C$9, 100%, $E$9)</f>
        <v>9.3280999999999992</v>
      </c>
      <c r="J161" s="14">
        <f>CHOOSE(CONTROL!$C$42, 9.2729, 9.2729)* CHOOSE(CONTROL!$C$21, $C$9, 100%, $E$9)</f>
        <v>9.2728999999999999</v>
      </c>
      <c r="K161" s="53">
        <f>CHOOSE(CONTROL!$C$42, 9.3242, 9.3242) * CHOOSE(CONTROL!$C$21, $C$9, 100%, $E$9)</f>
        <v>9.3241999999999994</v>
      </c>
      <c r="L161" s="14">
        <f>CHOOSE(CONTROL!$C$42, 10.1318, 10.1318) * CHOOSE(CONTROL!$C$21, $C$9, 100%, $E$9)</f>
        <v>10.1318</v>
      </c>
      <c r="M161" s="14">
        <f>CHOOSE(CONTROL!$C$42, 9.0906, 9.0906) * CHOOSE(CONTROL!$C$21, $C$9, 100%, $E$9)</f>
        <v>9.0906000000000002</v>
      </c>
      <c r="N161" s="14">
        <f>CHOOSE(CONTROL!$C$42, 9.1066, 9.1066) * CHOOSE(CONTROL!$C$21, $C$9, 100%, $E$9)</f>
        <v>9.1066000000000003</v>
      </c>
      <c r="O161" s="14">
        <f>CHOOSE(CONTROL!$C$42, 9.357, 9.357) * CHOOSE(CONTROL!$C$21, $C$9, 100%, $E$9)</f>
        <v>9.3569999999999993</v>
      </c>
      <c r="P161" s="14">
        <f>CHOOSE(CONTROL!$C$42, 9.1441, 9.1441) * CHOOSE(CONTROL!$C$21, $C$9, 100%, $E$9)</f>
        <v>9.1440999999999999</v>
      </c>
      <c r="Q161" s="14">
        <f>CHOOSE(CONTROL!$C$42, 9.9517, 9.9517) * CHOOSE(CONTROL!$C$21, $C$9, 100%, $E$9)</f>
        <v>9.9517000000000007</v>
      </c>
      <c r="R161" s="14">
        <f>CHOOSE(CONTROL!$C$42, 10.5635, 10.5635) * CHOOSE(CONTROL!$C$21, $C$9, 100%, $E$9)</f>
        <v>10.563499999999999</v>
      </c>
      <c r="S161" s="14">
        <f>CHOOSE(CONTROL!$C$42, 8.9095, 8.9095) * CHOOSE(CONTROL!$C$21, $C$9, 100%, $E$9)</f>
        <v>8.9094999999999995</v>
      </c>
      <c r="T1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7">
        <f>(1000*CHOOSE(CONTROL!$C$42, 695, 695)*CHOOSE(CONTROL!$C$42, 0.5599, 0.5599)*CHOOSE(CONTROL!$C$42, 31, 31))/1000000</f>
        <v>12.063045499999998</v>
      </c>
      <c r="V161" s="57">
        <f>(1000*CHOOSE(CONTROL!$C$42, 500, 500)*CHOOSE(CONTROL!$C$42, 0.275, 0.275)*CHOOSE(CONTROL!$C$42, 31, 31))/1000000</f>
        <v>4.2625000000000002</v>
      </c>
      <c r="W161" s="57">
        <f>(1000*CHOOSE(CONTROL!$C$42, 0.1146, 0.1146)*CHOOSE(CONTROL!$C$42, 121.5, 121.5)*CHOOSE(CONTROL!$C$42, 31, 31))/1000000</f>
        <v>0.43164089999999994</v>
      </c>
      <c r="X161" s="57">
        <f>(31*0.1790888*245000/1000000)+(31*0.2374*100000/1000000)</f>
        <v>2.0961194359999999</v>
      </c>
      <c r="Y161" s="57"/>
      <c r="Z161" s="14"/>
      <c r="AA161" s="56"/>
      <c r="AB161" s="50">
        <f>(B161*194.205+C161*267.466+D161*133.845+E161*53.484+F161*40+G161*185+H161*0+I161*100+J161*300)/(194.205+267.466+133.845+53.484+0+40+185+100+300)</f>
        <v>9.3245589171114585</v>
      </c>
      <c r="AC161" s="45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9.176726618705036</v>
      </c>
    </row>
    <row r="162" spans="1:29" ht="15.75" x14ac:dyDescent="0.25">
      <c r="A162" s="13">
        <v>45809</v>
      </c>
      <c r="B162" s="14">
        <f>CHOOSE(CONTROL!$C$42, 9.5657, 9.5657) * CHOOSE(CONTROL!$C$21, $C$9, 100%, $E$9)</f>
        <v>9.5656999999999996</v>
      </c>
      <c r="C162" s="14">
        <f>CHOOSE(CONTROL!$C$42, 9.5738, 9.5738) * CHOOSE(CONTROL!$C$21, $C$9, 100%, $E$9)</f>
        <v>9.5738000000000003</v>
      </c>
      <c r="D162" s="14">
        <f>CHOOSE(CONTROL!$C$42, 9.8074, 9.8074) * CHOOSE(CONTROL!$C$21, $C$9, 100%, $E$9)</f>
        <v>9.8073999999999995</v>
      </c>
      <c r="E162" s="14">
        <f>CHOOSE(CONTROL!$C$42, 9.8388, 9.8388) * CHOOSE(CONTROL!$C$21, $C$9, 100%, $E$9)</f>
        <v>9.8388000000000009</v>
      </c>
      <c r="F162" s="14">
        <f>CHOOSE(CONTROL!$C$42, 9.563, 9.563)*CHOOSE(CONTROL!$C$21, $C$9, 100%, $E$9)</f>
        <v>9.5630000000000006</v>
      </c>
      <c r="G162" s="14">
        <f>CHOOSE(CONTROL!$C$42, 9.5795, 9.5795)*CHOOSE(CONTROL!$C$21, $C$9, 100%, $E$9)</f>
        <v>9.5794999999999995</v>
      </c>
      <c r="H162" s="14">
        <f>CHOOSE(CONTROL!$C$42, 9.8275, 9.8275) * CHOOSE(CONTROL!$C$21, $C$9, 100%, $E$9)</f>
        <v>9.8275000000000006</v>
      </c>
      <c r="I162" s="14">
        <f>CHOOSE(CONTROL!$C$42, 9.6116, 9.6116)* CHOOSE(CONTROL!$C$21, $C$9, 100%, $E$9)</f>
        <v>9.6115999999999993</v>
      </c>
      <c r="J162" s="14">
        <f>CHOOSE(CONTROL!$C$42, 9.556, 9.556)* CHOOSE(CONTROL!$C$21, $C$9, 100%, $E$9)</f>
        <v>9.5559999999999992</v>
      </c>
      <c r="K162" s="53">
        <f>CHOOSE(CONTROL!$C$42, 9.6077, 9.6077) * CHOOSE(CONTROL!$C$21, $C$9, 100%, $E$9)</f>
        <v>9.6076999999999995</v>
      </c>
      <c r="L162" s="14">
        <f>CHOOSE(CONTROL!$C$42, 10.4145, 10.4145) * CHOOSE(CONTROL!$C$21, $C$9, 100%, $E$9)</f>
        <v>10.4145</v>
      </c>
      <c r="M162" s="14">
        <f>CHOOSE(CONTROL!$C$42, 9.3679, 9.3679) * CHOOSE(CONTROL!$C$21, $C$9, 100%, $E$9)</f>
        <v>9.3679000000000006</v>
      </c>
      <c r="N162" s="14">
        <f>CHOOSE(CONTROL!$C$42, 9.384, 9.384) * CHOOSE(CONTROL!$C$21, $C$9, 100%, $E$9)</f>
        <v>9.3840000000000003</v>
      </c>
      <c r="O162" s="14">
        <f>CHOOSE(CONTROL!$C$42, 9.6338, 9.6338) * CHOOSE(CONTROL!$C$21, $C$9, 100%, $E$9)</f>
        <v>9.6338000000000008</v>
      </c>
      <c r="P162" s="14">
        <f>CHOOSE(CONTROL!$C$42, 9.4218, 9.4218) * CHOOSE(CONTROL!$C$21, $C$9, 100%, $E$9)</f>
        <v>9.4217999999999993</v>
      </c>
      <c r="Q162" s="14">
        <f>CHOOSE(CONTROL!$C$42, 10.2285, 10.2285) * CHOOSE(CONTROL!$C$21, $C$9, 100%, $E$9)</f>
        <v>10.2285</v>
      </c>
      <c r="R162" s="14">
        <f>CHOOSE(CONTROL!$C$42, 10.8411, 10.8411) * CHOOSE(CONTROL!$C$21, $C$9, 100%, $E$9)</f>
        <v>10.841100000000001</v>
      </c>
      <c r="S162" s="14">
        <f>CHOOSE(CONTROL!$C$42, 9.1811, 9.1811) * CHOOSE(CONTROL!$C$21, $C$9, 100%, $E$9)</f>
        <v>9.1811000000000007</v>
      </c>
      <c r="T1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7">
        <f>(1000*CHOOSE(CONTROL!$C$42, 695, 695)*CHOOSE(CONTROL!$C$42, 0.5599, 0.5599)*CHOOSE(CONTROL!$C$42, 30, 30))/1000000</f>
        <v>11.673914999999997</v>
      </c>
      <c r="V162" s="57">
        <f>(1000*CHOOSE(CONTROL!$C$42, 500, 500)*CHOOSE(CONTROL!$C$42, 0.275, 0.275)*CHOOSE(CONTROL!$C$42, 30, 30))/1000000</f>
        <v>4.125</v>
      </c>
      <c r="W162" s="57">
        <f>(1000*CHOOSE(CONTROL!$C$42, 0.1146, 0.1146)*CHOOSE(CONTROL!$C$42, 121.5, 121.5)*CHOOSE(CONTROL!$C$42, 30, 30))/1000000</f>
        <v>0.417717</v>
      </c>
      <c r="X162" s="57">
        <f>(30*0.1790888*245000/1000000)+(30*0.2374*100000/1000000)</f>
        <v>2.0285026799999999</v>
      </c>
      <c r="Y162" s="57"/>
      <c r="Z162" s="14"/>
      <c r="AA162" s="56"/>
      <c r="AB162" s="50">
        <f>(B162*194.205+C162*267.466+D162*133.845+E162*53.484+F162*40+G162*185+H162*0+I162*100+J162*300)/(194.205+267.466+133.845+53.484+0+40+185+100+300)</f>
        <v>9.6074961471742544</v>
      </c>
      <c r="AC162" s="45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9.4539669064748217</v>
      </c>
    </row>
    <row r="163" spans="1:29" ht="15.75" x14ac:dyDescent="0.25">
      <c r="A163" s="13">
        <v>45839</v>
      </c>
      <c r="B163" s="14">
        <f>CHOOSE(CONTROL!$C$42, 9.4018, 9.4018) * CHOOSE(CONTROL!$C$21, $C$9, 100%, $E$9)</f>
        <v>9.4017999999999997</v>
      </c>
      <c r="C163" s="14">
        <f>CHOOSE(CONTROL!$C$42, 9.4098, 9.4098) * CHOOSE(CONTROL!$C$21, $C$9, 100%, $E$9)</f>
        <v>9.4098000000000006</v>
      </c>
      <c r="D163" s="14">
        <f>CHOOSE(CONTROL!$C$42, 9.6434, 9.6434) * CHOOSE(CONTROL!$C$21, $C$9, 100%, $E$9)</f>
        <v>9.6433999999999997</v>
      </c>
      <c r="E163" s="14">
        <f>CHOOSE(CONTROL!$C$42, 9.6748, 9.6748) * CHOOSE(CONTROL!$C$21, $C$9, 100%, $E$9)</f>
        <v>9.6747999999999994</v>
      </c>
      <c r="F163" s="14">
        <f>CHOOSE(CONTROL!$C$42, 9.3995, 9.3995)*CHOOSE(CONTROL!$C$21, $C$9, 100%, $E$9)</f>
        <v>9.3994999999999997</v>
      </c>
      <c r="G163" s="14">
        <f>CHOOSE(CONTROL!$C$42, 9.4161, 9.4161)*CHOOSE(CONTROL!$C$21, $C$9, 100%, $E$9)</f>
        <v>9.4161000000000001</v>
      </c>
      <c r="H163" s="14">
        <f>CHOOSE(CONTROL!$C$42, 9.6635, 9.6635) * CHOOSE(CONTROL!$C$21, $C$9, 100%, $E$9)</f>
        <v>9.6635000000000009</v>
      </c>
      <c r="I163" s="14">
        <f>CHOOSE(CONTROL!$C$42, 9.4471, 9.4471)* CHOOSE(CONTROL!$C$21, $C$9, 100%, $E$9)</f>
        <v>9.4471000000000007</v>
      </c>
      <c r="J163" s="14">
        <f>CHOOSE(CONTROL!$C$42, 9.3925, 9.3925)* CHOOSE(CONTROL!$C$21, $C$9, 100%, $E$9)</f>
        <v>9.3925000000000001</v>
      </c>
      <c r="K163" s="53">
        <f>CHOOSE(CONTROL!$C$42, 9.4432, 9.4432) * CHOOSE(CONTROL!$C$21, $C$9, 100%, $E$9)</f>
        <v>9.4431999999999992</v>
      </c>
      <c r="L163" s="14">
        <f>CHOOSE(CONTROL!$C$42, 10.2505, 10.2505) * CHOOSE(CONTROL!$C$21, $C$9, 100%, $E$9)</f>
        <v>10.250500000000001</v>
      </c>
      <c r="M163" s="14">
        <f>CHOOSE(CONTROL!$C$42, 9.2078, 9.2078) * CHOOSE(CONTROL!$C$21, $C$9, 100%, $E$9)</f>
        <v>9.2078000000000007</v>
      </c>
      <c r="N163" s="14">
        <f>CHOOSE(CONTROL!$C$42, 9.2241, 9.2241) * CHOOSE(CONTROL!$C$21, $C$9, 100%, $E$9)</f>
        <v>9.2241</v>
      </c>
      <c r="O163" s="14">
        <f>CHOOSE(CONTROL!$C$42, 9.4732, 9.4732) * CHOOSE(CONTROL!$C$21, $C$9, 100%, $E$9)</f>
        <v>9.4732000000000003</v>
      </c>
      <c r="P163" s="14">
        <f>CHOOSE(CONTROL!$C$42, 9.2607, 9.2607) * CHOOSE(CONTROL!$C$21, $C$9, 100%, $E$9)</f>
        <v>9.2606999999999999</v>
      </c>
      <c r="Q163" s="14">
        <f>CHOOSE(CONTROL!$C$42, 10.0679, 10.0679) * CHOOSE(CONTROL!$C$21, $C$9, 100%, $E$9)</f>
        <v>10.0679</v>
      </c>
      <c r="R163" s="14">
        <f>CHOOSE(CONTROL!$C$42, 10.68, 10.68) * CHOOSE(CONTROL!$C$21, $C$9, 100%, $E$9)</f>
        <v>10.68</v>
      </c>
      <c r="S163" s="14">
        <f>CHOOSE(CONTROL!$C$42, 9.0235, 9.0235) * CHOOSE(CONTROL!$C$21, $C$9, 100%, $E$9)</f>
        <v>9.0235000000000003</v>
      </c>
      <c r="T1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7">
        <f>(1000*CHOOSE(CONTROL!$C$42, 695, 695)*CHOOSE(CONTROL!$C$42, 0.5599, 0.5599)*CHOOSE(CONTROL!$C$42, 31, 31))/1000000</f>
        <v>12.063045499999998</v>
      </c>
      <c r="V163" s="57">
        <f>(1000*CHOOSE(CONTROL!$C$42, 500, 500)*CHOOSE(CONTROL!$C$42, 0.275, 0.275)*CHOOSE(CONTROL!$C$42, 31, 31))/1000000</f>
        <v>4.2625000000000002</v>
      </c>
      <c r="W163" s="57">
        <f>(1000*CHOOSE(CONTROL!$C$42, 0.1146, 0.1146)*CHOOSE(CONTROL!$C$42, 121.5, 121.5)*CHOOSE(CONTROL!$C$42, 31, 31))/1000000</f>
        <v>0.43164089999999994</v>
      </c>
      <c r="X163" s="57">
        <f>(31*0.1790888*245000/1000000)+(31*0.2374*100000/1000000)</f>
        <v>2.0961194359999999</v>
      </c>
      <c r="Y163" s="57"/>
      <c r="Z163" s="14"/>
      <c r="AA163" s="56"/>
      <c r="AB163" s="50">
        <f>(B163*194.205+C163*267.466+D163*133.845+E163*53.484+F163*40+G163*185+H163*0+I163*100+J163*300)/(194.205+267.466+133.845+53.484+0+40+185+100+300)</f>
        <v>9.4436927095761387</v>
      </c>
      <c r="AC163" s="45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9.2936287769784176</v>
      </c>
    </row>
    <row r="164" spans="1:29" ht="15.75" x14ac:dyDescent="0.25">
      <c r="A164" s="13">
        <v>45870</v>
      </c>
      <c r="B164" s="14">
        <f>CHOOSE(CONTROL!$C$42, 8.9564, 8.9564) * CHOOSE(CONTROL!$C$21, $C$9, 100%, $E$9)</f>
        <v>8.9564000000000004</v>
      </c>
      <c r="C164" s="14">
        <f>CHOOSE(CONTROL!$C$42, 8.9644, 8.9644) * CHOOSE(CONTROL!$C$21, $C$9, 100%, $E$9)</f>
        <v>8.9643999999999995</v>
      </c>
      <c r="D164" s="14">
        <f>CHOOSE(CONTROL!$C$42, 9.198, 9.198) * CHOOSE(CONTROL!$C$21, $C$9, 100%, $E$9)</f>
        <v>9.1980000000000004</v>
      </c>
      <c r="E164" s="14">
        <f>CHOOSE(CONTROL!$C$42, 9.2294, 9.2294) * CHOOSE(CONTROL!$C$21, $C$9, 100%, $E$9)</f>
        <v>9.2294</v>
      </c>
      <c r="F164" s="14">
        <f>CHOOSE(CONTROL!$C$42, 8.9543, 8.9543)*CHOOSE(CONTROL!$C$21, $C$9, 100%, $E$9)</f>
        <v>8.9542999999999999</v>
      </c>
      <c r="G164" s="14">
        <f>CHOOSE(CONTROL!$C$42, 8.971, 8.971)*CHOOSE(CONTROL!$C$21, $C$9, 100%, $E$9)</f>
        <v>8.9710000000000001</v>
      </c>
      <c r="H164" s="14">
        <f>CHOOSE(CONTROL!$C$42, 9.2181, 9.2181) * CHOOSE(CONTROL!$C$21, $C$9, 100%, $E$9)</f>
        <v>9.2180999999999997</v>
      </c>
      <c r="I164" s="14">
        <f>CHOOSE(CONTROL!$C$42, 9.0003, 9.0003)* CHOOSE(CONTROL!$C$21, $C$9, 100%, $E$9)</f>
        <v>9.0002999999999993</v>
      </c>
      <c r="J164" s="14">
        <f>CHOOSE(CONTROL!$C$42, 8.9473, 8.9473)* CHOOSE(CONTROL!$C$21, $C$9, 100%, $E$9)</f>
        <v>8.9473000000000003</v>
      </c>
      <c r="K164" s="53">
        <f>CHOOSE(CONTROL!$C$42, 8.9964, 8.9964) * CHOOSE(CONTROL!$C$21, $C$9, 100%, $E$9)</f>
        <v>8.9963999999999995</v>
      </c>
      <c r="L164" s="14">
        <f>CHOOSE(CONTROL!$C$42, 9.8051, 9.8051) * CHOOSE(CONTROL!$C$21, $C$9, 100%, $E$9)</f>
        <v>9.8050999999999995</v>
      </c>
      <c r="M164" s="14">
        <f>CHOOSE(CONTROL!$C$42, 8.7717, 8.7717) * CHOOSE(CONTROL!$C$21, $C$9, 100%, $E$9)</f>
        <v>8.7716999999999992</v>
      </c>
      <c r="N164" s="14">
        <f>CHOOSE(CONTROL!$C$42, 8.788, 8.788) * CHOOSE(CONTROL!$C$21, $C$9, 100%, $E$9)</f>
        <v>8.7880000000000003</v>
      </c>
      <c r="O164" s="14">
        <f>CHOOSE(CONTROL!$C$42, 9.0369, 9.0369) * CHOOSE(CONTROL!$C$21, $C$9, 100%, $E$9)</f>
        <v>9.0368999999999993</v>
      </c>
      <c r="P164" s="14">
        <f>CHOOSE(CONTROL!$C$42, 8.8231, 8.8231) * CHOOSE(CONTROL!$C$21, $C$9, 100%, $E$9)</f>
        <v>8.8231000000000002</v>
      </c>
      <c r="Q164" s="14">
        <f>CHOOSE(CONTROL!$C$42, 9.6316, 9.6316) * CHOOSE(CONTROL!$C$21, $C$9, 100%, $E$9)</f>
        <v>9.6316000000000006</v>
      </c>
      <c r="R164" s="14">
        <f>CHOOSE(CONTROL!$C$42, 10.2427, 10.2427) * CHOOSE(CONTROL!$C$21, $C$9, 100%, $E$9)</f>
        <v>10.242699999999999</v>
      </c>
      <c r="S164" s="14">
        <f>CHOOSE(CONTROL!$C$42, 8.5955, 8.5955) * CHOOSE(CONTROL!$C$21, $C$9, 100%, $E$9)</f>
        <v>8.5954999999999995</v>
      </c>
      <c r="T1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7">
        <f>(1000*CHOOSE(CONTROL!$C$42, 695, 695)*CHOOSE(CONTROL!$C$42, 0.5599, 0.5599)*CHOOSE(CONTROL!$C$42, 31, 31))/1000000</f>
        <v>12.063045499999998</v>
      </c>
      <c r="V164" s="57">
        <f>(1000*CHOOSE(CONTROL!$C$42, 500, 500)*CHOOSE(CONTROL!$C$42, 0.275, 0.275)*CHOOSE(CONTROL!$C$42, 31, 31))/1000000</f>
        <v>4.2625000000000002</v>
      </c>
      <c r="W164" s="57">
        <f>(1000*CHOOSE(CONTROL!$C$42, 0.1146, 0.1146)*CHOOSE(CONTROL!$C$42, 121.5, 121.5)*CHOOSE(CONTROL!$C$42, 31, 31))/1000000</f>
        <v>0.43164089999999994</v>
      </c>
      <c r="X164" s="57">
        <f>(31*0.1790888*245000/1000000)+(31*0.2374*100000/1000000)</f>
        <v>2.0961194359999999</v>
      </c>
      <c r="Y164" s="57"/>
      <c r="Z164" s="14"/>
      <c r="AA164" s="56"/>
      <c r="AB164" s="50">
        <f>(B164*194.205+C164*267.466+D164*133.845+E164*53.484+F164*40+G164*185+H164*0+I164*100+J164*300)/(194.205+267.466+133.845+53.484+0+40+185+100+300)</f>
        <v>8.9982797582417593</v>
      </c>
      <c r="AC164" s="45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8.8572568345323734</v>
      </c>
    </row>
    <row r="165" spans="1:29" ht="15.75" x14ac:dyDescent="0.25">
      <c r="A165" s="13">
        <v>45901</v>
      </c>
      <c r="B165" s="14">
        <f>CHOOSE(CONTROL!$C$42, 8.4053, 8.4053) * CHOOSE(CONTROL!$C$21, $C$9, 100%, $E$9)</f>
        <v>8.4053000000000004</v>
      </c>
      <c r="C165" s="14">
        <f>CHOOSE(CONTROL!$C$42, 8.4133, 8.4133) * CHOOSE(CONTROL!$C$21, $C$9, 100%, $E$9)</f>
        <v>8.4132999999999996</v>
      </c>
      <c r="D165" s="14">
        <f>CHOOSE(CONTROL!$C$42, 8.6469, 8.6469) * CHOOSE(CONTROL!$C$21, $C$9, 100%, $E$9)</f>
        <v>8.6469000000000005</v>
      </c>
      <c r="E165" s="14">
        <f>CHOOSE(CONTROL!$C$42, 8.6784, 8.6784) * CHOOSE(CONTROL!$C$21, $C$9, 100%, $E$9)</f>
        <v>8.6783999999999999</v>
      </c>
      <c r="F165" s="14">
        <f>CHOOSE(CONTROL!$C$42, 8.4033, 8.4033)*CHOOSE(CONTROL!$C$21, $C$9, 100%, $E$9)</f>
        <v>8.4032999999999998</v>
      </c>
      <c r="G165" s="14">
        <f>CHOOSE(CONTROL!$C$42, 8.42, 8.42)*CHOOSE(CONTROL!$C$21, $C$9, 100%, $E$9)</f>
        <v>8.42</v>
      </c>
      <c r="H165" s="14">
        <f>CHOOSE(CONTROL!$C$42, 8.667, 8.667) * CHOOSE(CONTROL!$C$21, $C$9, 100%, $E$9)</f>
        <v>8.6669999999999998</v>
      </c>
      <c r="I165" s="14">
        <f>CHOOSE(CONTROL!$C$42, 8.4475, 8.4475)* CHOOSE(CONTROL!$C$21, $C$9, 100%, $E$9)</f>
        <v>8.4474999999999998</v>
      </c>
      <c r="J165" s="14">
        <f>CHOOSE(CONTROL!$C$42, 8.3963, 8.3963)* CHOOSE(CONTROL!$C$21, $C$9, 100%, $E$9)</f>
        <v>8.3963000000000001</v>
      </c>
      <c r="K165" s="53">
        <f>CHOOSE(CONTROL!$C$42, 8.4436, 8.4436) * CHOOSE(CONTROL!$C$21, $C$9, 100%, $E$9)</f>
        <v>8.4436</v>
      </c>
      <c r="L165" s="14">
        <f>CHOOSE(CONTROL!$C$42, 9.254, 9.254) * CHOOSE(CONTROL!$C$21, $C$9, 100%, $E$9)</f>
        <v>9.2539999999999996</v>
      </c>
      <c r="M165" s="14">
        <f>CHOOSE(CONTROL!$C$42, 8.232, 8.232) * CHOOSE(CONTROL!$C$21, $C$9, 100%, $E$9)</f>
        <v>8.2319999999999993</v>
      </c>
      <c r="N165" s="14">
        <f>CHOOSE(CONTROL!$C$42, 8.2483, 8.2483) * CHOOSE(CONTROL!$C$21, $C$9, 100%, $E$9)</f>
        <v>8.2483000000000004</v>
      </c>
      <c r="O165" s="14">
        <f>CHOOSE(CONTROL!$C$42, 8.4971, 8.4971) * CHOOSE(CONTROL!$C$21, $C$9, 100%, $E$9)</f>
        <v>8.4970999999999997</v>
      </c>
      <c r="P165" s="14">
        <f>CHOOSE(CONTROL!$C$42, 8.2817, 8.2817) * CHOOSE(CONTROL!$C$21, $C$9, 100%, $E$9)</f>
        <v>8.2817000000000007</v>
      </c>
      <c r="Q165" s="14">
        <f>CHOOSE(CONTROL!$C$42, 9.0918, 9.0918) * CHOOSE(CONTROL!$C$21, $C$9, 100%, $E$9)</f>
        <v>9.0917999999999992</v>
      </c>
      <c r="R165" s="14">
        <f>CHOOSE(CONTROL!$C$42, 9.7016, 9.7016) * CHOOSE(CONTROL!$C$21, $C$9, 100%, $E$9)</f>
        <v>9.7015999999999991</v>
      </c>
      <c r="S165" s="14">
        <f>CHOOSE(CONTROL!$C$42, 8.066, 8.066) * CHOOSE(CONTROL!$C$21, $C$9, 100%, $E$9)</f>
        <v>8.0660000000000007</v>
      </c>
      <c r="T1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7">
        <f>(1000*CHOOSE(CONTROL!$C$42, 695, 695)*CHOOSE(CONTROL!$C$42, 0.5599, 0.5599)*CHOOSE(CONTROL!$C$42, 30, 30))/1000000</f>
        <v>11.673914999999997</v>
      </c>
      <c r="V165" s="57">
        <f>(1000*CHOOSE(CONTROL!$C$42, 500, 500)*CHOOSE(CONTROL!$C$42, 0.275, 0.275)*CHOOSE(CONTROL!$C$42, 30, 30))/1000000</f>
        <v>4.125</v>
      </c>
      <c r="W165" s="57">
        <f>(1000*CHOOSE(CONTROL!$C$42, 0.1146, 0.1146)*CHOOSE(CONTROL!$C$42, 121.5, 121.5)*CHOOSE(CONTROL!$C$42, 30, 30))/1000000</f>
        <v>0.417717</v>
      </c>
      <c r="X165" s="57">
        <f>(30*0.1790888*245000/1000000)+(30*0.2374*100000/1000000)</f>
        <v>2.0285026799999999</v>
      </c>
      <c r="Y165" s="57"/>
      <c r="Z165" s="14"/>
      <c r="AA165" s="56"/>
      <c r="AB165" s="50">
        <f>(B165*194.205+C165*267.466+D165*133.845+E165*53.484+F165*40+G165*185+H165*0+I165*100+J165*300)/(194.205+267.466+133.845+53.484+0+40+185+100+300)</f>
        <v>8.4470917271585542</v>
      </c>
      <c r="AC165" s="45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8.3172841726618696</v>
      </c>
    </row>
    <row r="166" spans="1:29" ht="15.75" x14ac:dyDescent="0.25">
      <c r="A166" s="13">
        <v>45931</v>
      </c>
      <c r="B166" s="14">
        <f>CHOOSE(CONTROL!$C$42, 8.2501, 8.2501) * CHOOSE(CONTROL!$C$21, $C$9, 100%, $E$9)</f>
        <v>8.2500999999999998</v>
      </c>
      <c r="C166" s="14">
        <f>CHOOSE(CONTROL!$C$42, 8.2554, 8.2554) * CHOOSE(CONTROL!$C$21, $C$9, 100%, $E$9)</f>
        <v>8.2553999999999998</v>
      </c>
      <c r="D166" s="14">
        <f>CHOOSE(CONTROL!$C$42, 8.494, 8.494) * CHOOSE(CONTROL!$C$21, $C$9, 100%, $E$9)</f>
        <v>8.4939999999999998</v>
      </c>
      <c r="E166" s="14">
        <f>CHOOSE(CONTROL!$C$42, 8.5231, 8.5231) * CHOOSE(CONTROL!$C$21, $C$9, 100%, $E$9)</f>
        <v>8.5230999999999995</v>
      </c>
      <c r="F166" s="14">
        <f>CHOOSE(CONTROL!$C$42, 8.2501, 8.2501)*CHOOSE(CONTROL!$C$21, $C$9, 100%, $E$9)</f>
        <v>8.2500999999999998</v>
      </c>
      <c r="G166" s="14">
        <f>CHOOSE(CONTROL!$C$42, 8.2664, 8.2664)*CHOOSE(CONTROL!$C$21, $C$9, 100%, $E$9)</f>
        <v>8.2664000000000009</v>
      </c>
      <c r="H166" s="14">
        <f>CHOOSE(CONTROL!$C$42, 8.5136, 8.5136) * CHOOSE(CONTROL!$C$21, $C$9, 100%, $E$9)</f>
        <v>8.5136000000000003</v>
      </c>
      <c r="I166" s="14">
        <f>CHOOSE(CONTROL!$C$42, 8.2936, 8.2936)* CHOOSE(CONTROL!$C$21, $C$9, 100%, $E$9)</f>
        <v>8.2935999999999996</v>
      </c>
      <c r="J166" s="14">
        <f>CHOOSE(CONTROL!$C$42, 8.2431, 8.2431)* CHOOSE(CONTROL!$C$21, $C$9, 100%, $E$9)</f>
        <v>8.2431000000000001</v>
      </c>
      <c r="K166" s="53">
        <f>CHOOSE(CONTROL!$C$42, 8.2897, 8.2897) * CHOOSE(CONTROL!$C$21, $C$9, 100%, $E$9)</f>
        <v>8.2896999999999998</v>
      </c>
      <c r="L166" s="14">
        <f>CHOOSE(CONTROL!$C$42, 9.1006, 9.1006) * CHOOSE(CONTROL!$C$21, $C$9, 100%, $E$9)</f>
        <v>9.1006</v>
      </c>
      <c r="M166" s="14">
        <f>CHOOSE(CONTROL!$C$42, 8.0819, 8.0819) * CHOOSE(CONTROL!$C$21, $C$9, 100%, $E$9)</f>
        <v>8.0818999999999992</v>
      </c>
      <c r="N166" s="14">
        <f>CHOOSE(CONTROL!$C$42, 8.0978, 8.0978) * CHOOSE(CONTROL!$C$21, $C$9, 100%, $E$9)</f>
        <v>8.0977999999999994</v>
      </c>
      <c r="O166" s="14">
        <f>CHOOSE(CONTROL!$C$42, 8.3468, 8.3468) * CHOOSE(CONTROL!$C$21, $C$9, 100%, $E$9)</f>
        <v>8.3468</v>
      </c>
      <c r="P166" s="14">
        <f>CHOOSE(CONTROL!$C$42, 8.1309, 8.1309) * CHOOSE(CONTROL!$C$21, $C$9, 100%, $E$9)</f>
        <v>8.1309000000000005</v>
      </c>
      <c r="Q166" s="14">
        <f>CHOOSE(CONTROL!$C$42, 8.9415, 8.9415) * CHOOSE(CONTROL!$C$21, $C$9, 100%, $E$9)</f>
        <v>8.9414999999999996</v>
      </c>
      <c r="R166" s="14">
        <f>CHOOSE(CONTROL!$C$42, 9.5509, 9.5509) * CHOOSE(CONTROL!$C$21, $C$9, 100%, $E$9)</f>
        <v>9.5509000000000004</v>
      </c>
      <c r="S166" s="14">
        <f>CHOOSE(CONTROL!$C$42, 7.9186, 7.9186) * CHOOSE(CONTROL!$C$21, $C$9, 100%, $E$9)</f>
        <v>7.9185999999999996</v>
      </c>
      <c r="T1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7">
        <f>(1000*CHOOSE(CONTROL!$C$42, 695, 695)*CHOOSE(CONTROL!$C$42, 0.5599, 0.5599)*CHOOSE(CONTROL!$C$42, 31, 31))/1000000</f>
        <v>12.063045499999998</v>
      </c>
      <c r="V166" s="57">
        <f>(1000*CHOOSE(CONTROL!$C$42, 500, 500)*CHOOSE(CONTROL!$C$42, 0.275, 0.275)*CHOOSE(CONTROL!$C$42, 31, 31))/1000000</f>
        <v>4.2625000000000002</v>
      </c>
      <c r="W166" s="57">
        <f>(1000*CHOOSE(CONTROL!$C$42, 0.1146, 0.1146)*CHOOSE(CONTROL!$C$42, 121.5, 121.5)*CHOOSE(CONTROL!$C$42, 31, 31))/1000000</f>
        <v>0.43164089999999994</v>
      </c>
      <c r="X166" s="57">
        <f>(31*0.1790888*245000/1000000)+(31*0.2374*100000/1000000)</f>
        <v>2.0961194359999999</v>
      </c>
      <c r="Y166" s="57"/>
      <c r="Z166" s="14"/>
      <c r="AA166" s="56"/>
      <c r="AB166" s="50">
        <f>(B166*131.881+C166*277.167+D166*79.08+E166*125.872+F166*40+G166*185+H166*0+I166*100+J166*300)/(131.881+277.167+79.08+125.872+0+40+185+100+300)</f>
        <v>8.2988370081517342</v>
      </c>
      <c r="AC166" s="45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8.1669352517985612</v>
      </c>
    </row>
    <row r="167" spans="1:29" ht="15.75" x14ac:dyDescent="0.25">
      <c r="A167" s="13">
        <v>45962</v>
      </c>
      <c r="B167" s="14">
        <f>CHOOSE(CONTROL!$C$42, 8.4842, 8.4842) * CHOOSE(CONTROL!$C$21, $C$9, 100%, $E$9)</f>
        <v>8.4841999999999995</v>
      </c>
      <c r="C167" s="14">
        <f>CHOOSE(CONTROL!$C$42, 8.4892, 8.4892) * CHOOSE(CONTROL!$C$21, $C$9, 100%, $E$9)</f>
        <v>8.4892000000000003</v>
      </c>
      <c r="D167" s="14">
        <f>CHOOSE(CONTROL!$C$42, 8.5634, 8.5634) * CHOOSE(CONTROL!$C$21, $C$9, 100%, $E$9)</f>
        <v>8.5633999999999997</v>
      </c>
      <c r="E167" s="14">
        <f>CHOOSE(CONTROL!$C$42, 8.5975, 8.5975) * CHOOSE(CONTROL!$C$21, $C$9, 100%, $E$9)</f>
        <v>8.5975000000000001</v>
      </c>
      <c r="F167" s="14">
        <f>CHOOSE(CONTROL!$C$42, 8.4962, 8.4962)*CHOOSE(CONTROL!$C$21, $C$9, 100%, $E$9)</f>
        <v>8.4962</v>
      </c>
      <c r="G167" s="14">
        <f>CHOOSE(CONTROL!$C$42, 8.5128, 8.5128)*CHOOSE(CONTROL!$C$21, $C$9, 100%, $E$9)</f>
        <v>8.5128000000000004</v>
      </c>
      <c r="H167" s="14">
        <f>CHOOSE(CONTROL!$C$42, 8.5867, 8.5867) * CHOOSE(CONTROL!$C$21, $C$9, 100%, $E$9)</f>
        <v>8.5867000000000004</v>
      </c>
      <c r="I167" s="14">
        <f>CHOOSE(CONTROL!$C$42, 8.5351, 8.5351)* CHOOSE(CONTROL!$C$21, $C$9, 100%, $E$9)</f>
        <v>8.5350999999999999</v>
      </c>
      <c r="J167" s="14">
        <f>CHOOSE(CONTROL!$C$42, 8.4892, 8.4892)* CHOOSE(CONTROL!$C$21, $C$9, 100%, $E$9)</f>
        <v>8.4892000000000003</v>
      </c>
      <c r="K167" s="53">
        <f>CHOOSE(CONTROL!$C$42, 8.5312, 8.5312) * CHOOSE(CONTROL!$C$21, $C$9, 100%, $E$9)</f>
        <v>8.5312000000000001</v>
      </c>
      <c r="L167" s="14">
        <f>CHOOSE(CONTROL!$C$42, 9.1737, 9.1737) * CHOOSE(CONTROL!$C$21, $C$9, 100%, $E$9)</f>
        <v>9.1737000000000002</v>
      </c>
      <c r="M167" s="14">
        <f>CHOOSE(CONTROL!$C$42, 8.323, 8.323) * CHOOSE(CONTROL!$C$21, $C$9, 100%, $E$9)</f>
        <v>8.3230000000000004</v>
      </c>
      <c r="N167" s="14">
        <f>CHOOSE(CONTROL!$C$42, 8.3392, 8.3392) * CHOOSE(CONTROL!$C$21, $C$9, 100%, $E$9)</f>
        <v>8.3391999999999999</v>
      </c>
      <c r="O167" s="14">
        <f>CHOOSE(CONTROL!$C$42, 8.4185, 8.4185) * CHOOSE(CONTROL!$C$21, $C$9, 100%, $E$9)</f>
        <v>8.4184999999999999</v>
      </c>
      <c r="P167" s="14">
        <f>CHOOSE(CONTROL!$C$42, 8.3674, 8.3674) * CHOOSE(CONTROL!$C$21, $C$9, 100%, $E$9)</f>
        <v>8.3673999999999999</v>
      </c>
      <c r="Q167" s="14">
        <f>CHOOSE(CONTROL!$C$42, 9.0132, 9.0132) * CHOOSE(CONTROL!$C$21, $C$9, 100%, $E$9)</f>
        <v>9.0131999999999994</v>
      </c>
      <c r="R167" s="14">
        <f>CHOOSE(CONTROL!$C$42, 9.6227, 9.6227) * CHOOSE(CONTROL!$C$21, $C$9, 100%, $E$9)</f>
        <v>9.6227</v>
      </c>
      <c r="S167" s="14">
        <f>CHOOSE(CONTROL!$C$42, 8.1439, 8.1439) * CHOOSE(CONTROL!$C$21, $C$9, 100%, $E$9)</f>
        <v>8.1439000000000004</v>
      </c>
      <c r="T1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7">
        <f>(1000*CHOOSE(CONTROL!$C$42, 695, 695)*CHOOSE(CONTROL!$C$42, 0.5599, 0.5599)*CHOOSE(CONTROL!$C$42, 30, 30))/1000000</f>
        <v>11.673914999999997</v>
      </c>
      <c r="V167" s="57">
        <f>(1000*CHOOSE(CONTROL!$C$42, 500, 500)*CHOOSE(CONTROL!$C$42, 0.275, 0.275)*CHOOSE(CONTROL!$C$42, 30, 30))/1000000</f>
        <v>4.125</v>
      </c>
      <c r="W167" s="57">
        <f>(1000*CHOOSE(CONTROL!$C$42, 0.1146, 0.1146)*CHOOSE(CONTROL!$C$42, 121.5, 121.5)*CHOOSE(CONTROL!$C$42, 30, 30))/1000000</f>
        <v>0.417717</v>
      </c>
      <c r="X167" s="57">
        <f>(30*0.1790888*100000/1000000)+(30*0.2374*100000/1000000)</f>
        <v>1.2494664</v>
      </c>
      <c r="Y167" s="57"/>
      <c r="Z167" s="14"/>
      <c r="AA167" s="56"/>
      <c r="AB167" s="50">
        <f>(B167*122.58+C167*297.941+D167*89.177+E167*40.302+F167*40+G167*160+H167*0+I167*100+J167*300)/(122.58+297.941+89.177+40.302+0+40+160+100+300)</f>
        <v>8.5057345565217393</v>
      </c>
      <c r="AC167" s="45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8.373605035971222</v>
      </c>
    </row>
    <row r="168" spans="1:29" ht="15.75" x14ac:dyDescent="0.25">
      <c r="A168" s="13">
        <v>45992</v>
      </c>
      <c r="B168" s="14">
        <f>CHOOSE(CONTROL!$C$42, 9.0806, 9.0806) * CHOOSE(CONTROL!$C$21, $C$9, 100%, $E$9)</f>
        <v>9.0806000000000004</v>
      </c>
      <c r="C168" s="14">
        <f>CHOOSE(CONTROL!$C$42, 9.0856, 9.0856) * CHOOSE(CONTROL!$C$21, $C$9, 100%, $E$9)</f>
        <v>9.0855999999999995</v>
      </c>
      <c r="D168" s="14">
        <f>CHOOSE(CONTROL!$C$42, 9.1599, 9.1599) * CHOOSE(CONTROL!$C$21, $C$9, 100%, $E$9)</f>
        <v>9.1599000000000004</v>
      </c>
      <c r="E168" s="14">
        <f>CHOOSE(CONTROL!$C$42, 9.194, 9.194) * CHOOSE(CONTROL!$C$21, $C$9, 100%, $E$9)</f>
        <v>9.1940000000000008</v>
      </c>
      <c r="F168" s="14">
        <f>CHOOSE(CONTROL!$C$42, 9.0948, 9.0948)*CHOOSE(CONTROL!$C$21, $C$9, 100%, $E$9)</f>
        <v>9.0947999999999993</v>
      </c>
      <c r="G168" s="14">
        <f>CHOOSE(CONTROL!$C$42, 9.112, 9.112)*CHOOSE(CONTROL!$C$21, $C$9, 100%, $E$9)</f>
        <v>9.1120000000000001</v>
      </c>
      <c r="H168" s="14">
        <f>CHOOSE(CONTROL!$C$42, 9.1832, 9.1832) * CHOOSE(CONTROL!$C$21, $C$9, 100%, $E$9)</f>
        <v>9.1831999999999994</v>
      </c>
      <c r="I168" s="14">
        <f>CHOOSE(CONTROL!$C$42, 9.1333, 9.1333)* CHOOSE(CONTROL!$C$21, $C$9, 100%, $E$9)</f>
        <v>9.1333000000000002</v>
      </c>
      <c r="J168" s="14">
        <f>CHOOSE(CONTROL!$C$42, 9.0878, 9.0878)* CHOOSE(CONTROL!$C$21, $C$9, 100%, $E$9)</f>
        <v>9.0877999999999997</v>
      </c>
      <c r="K168" s="53">
        <f>CHOOSE(CONTROL!$C$42, 9.1295, 9.1295) * CHOOSE(CONTROL!$C$21, $C$9, 100%, $E$9)</f>
        <v>9.1295000000000002</v>
      </c>
      <c r="L168" s="14">
        <f>CHOOSE(CONTROL!$C$42, 9.7702, 9.7702) * CHOOSE(CONTROL!$C$21, $C$9, 100%, $E$9)</f>
        <v>9.7702000000000009</v>
      </c>
      <c r="M168" s="14">
        <f>CHOOSE(CONTROL!$C$42, 8.9093, 8.9093) * CHOOSE(CONTROL!$C$21, $C$9, 100%, $E$9)</f>
        <v>8.9093</v>
      </c>
      <c r="N168" s="14">
        <f>CHOOSE(CONTROL!$C$42, 8.9261, 8.9261) * CHOOSE(CONTROL!$C$21, $C$9, 100%, $E$9)</f>
        <v>8.9260999999999999</v>
      </c>
      <c r="O168" s="14">
        <f>CHOOSE(CONTROL!$C$42, 9.0027, 9.0027) * CHOOSE(CONTROL!$C$21, $C$9, 100%, $E$9)</f>
        <v>9.0027000000000008</v>
      </c>
      <c r="P168" s="14">
        <f>CHOOSE(CONTROL!$C$42, 8.9534, 8.9534) * CHOOSE(CONTROL!$C$21, $C$9, 100%, $E$9)</f>
        <v>8.9534000000000002</v>
      </c>
      <c r="Q168" s="14">
        <f>CHOOSE(CONTROL!$C$42, 9.5974, 9.5974) * CHOOSE(CONTROL!$C$21, $C$9, 100%, $E$9)</f>
        <v>9.5974000000000004</v>
      </c>
      <c r="R168" s="14">
        <f>CHOOSE(CONTROL!$C$42, 10.2084, 10.2084) * CHOOSE(CONTROL!$C$21, $C$9, 100%, $E$9)</f>
        <v>10.208399999999999</v>
      </c>
      <c r="S168" s="14">
        <f>CHOOSE(CONTROL!$C$42, 8.717, 8.717) * CHOOSE(CONTROL!$C$21, $C$9, 100%, $E$9)</f>
        <v>8.7170000000000005</v>
      </c>
      <c r="T1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7">
        <f>(1000*CHOOSE(CONTROL!$C$42, 695, 695)*CHOOSE(CONTROL!$C$42, 0.5599, 0.5599)*CHOOSE(CONTROL!$C$42, 31, 31))/1000000</f>
        <v>12.063045499999998</v>
      </c>
      <c r="V168" s="57">
        <f>(1000*CHOOSE(CONTROL!$C$42, 500, 500)*CHOOSE(CONTROL!$C$42, 0.275, 0.275)*CHOOSE(CONTROL!$C$42, 31, 31))/1000000</f>
        <v>4.2625000000000002</v>
      </c>
      <c r="W168" s="57">
        <f>(1000*CHOOSE(CONTROL!$C$42, 0.1146, 0.1146)*CHOOSE(CONTROL!$C$42, 121.5, 121.5)*CHOOSE(CONTROL!$C$42, 31, 31))/1000000</f>
        <v>0.43164089999999994</v>
      </c>
      <c r="X168" s="57">
        <f>(31*0.1790888*100000/1000000)+(31*0.2374*100000/1000000)</f>
        <v>1.2911152800000001</v>
      </c>
      <c r="Y168" s="57"/>
      <c r="Z168" s="14"/>
      <c r="AA168" s="56"/>
      <c r="AB168" s="50">
        <f>(B168*122.58+C168*297.941+D168*89.177+E168*40.302+F168*40+G168*160+H168*0+I168*100+J168*300)/(122.58+297.941+89.177+40.302+0+40+160+100+300)</f>
        <v>9.1033423373043476</v>
      </c>
      <c r="AC168" s="45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8.9589446043165477</v>
      </c>
    </row>
    <row r="169" spans="1:29" ht="15.75" x14ac:dyDescent="0.25">
      <c r="A169" s="13">
        <v>46023</v>
      </c>
      <c r="B169" s="14">
        <f>CHOOSE(CONTROL!$C$42, 9.5876, 9.5876) * CHOOSE(CONTROL!$C$21, $C$9, 100%, $E$9)</f>
        <v>9.5876000000000001</v>
      </c>
      <c r="C169" s="14">
        <f>CHOOSE(CONTROL!$C$42, 9.5926, 9.5926) * CHOOSE(CONTROL!$C$21, $C$9, 100%, $E$9)</f>
        <v>9.5925999999999991</v>
      </c>
      <c r="D169" s="14">
        <f>CHOOSE(CONTROL!$C$42, 9.6694, 9.6694) * CHOOSE(CONTROL!$C$21, $C$9, 100%, $E$9)</f>
        <v>9.6693999999999996</v>
      </c>
      <c r="E169" s="14">
        <f>CHOOSE(CONTROL!$C$42, 9.7036, 9.7036) * CHOOSE(CONTROL!$C$21, $C$9, 100%, $E$9)</f>
        <v>9.7035999999999998</v>
      </c>
      <c r="F169" s="14">
        <f>CHOOSE(CONTROL!$C$42, 9.5878, 9.5878)*CHOOSE(CONTROL!$C$21, $C$9, 100%, $E$9)</f>
        <v>9.5877999999999997</v>
      </c>
      <c r="G169" s="14">
        <f>CHOOSE(CONTROL!$C$42, 9.604, 9.604)*CHOOSE(CONTROL!$C$21, $C$9, 100%, $E$9)</f>
        <v>9.6039999999999992</v>
      </c>
      <c r="H169" s="14">
        <f>CHOOSE(CONTROL!$C$42, 9.6928, 9.6928) * CHOOSE(CONTROL!$C$21, $C$9, 100%, $E$9)</f>
        <v>9.6928000000000001</v>
      </c>
      <c r="I169" s="14">
        <f>CHOOSE(CONTROL!$C$42, 9.6357, 9.6357)* CHOOSE(CONTROL!$C$21, $C$9, 100%, $E$9)</f>
        <v>9.6356999999999999</v>
      </c>
      <c r="J169" s="14">
        <f>CHOOSE(CONTROL!$C$42, 9.5808, 9.5808)* CHOOSE(CONTROL!$C$21, $C$9, 100%, $E$9)</f>
        <v>9.5808</v>
      </c>
      <c r="K169" s="53">
        <f>CHOOSE(CONTROL!$C$42, 9.6318, 9.6318) * CHOOSE(CONTROL!$C$21, $C$9, 100%, $E$9)</f>
        <v>9.6318000000000001</v>
      </c>
      <c r="L169" s="14">
        <f>CHOOSE(CONTROL!$C$42, 10.2798, 10.2798) * CHOOSE(CONTROL!$C$21, $C$9, 100%, $E$9)</f>
        <v>10.2798</v>
      </c>
      <c r="M169" s="14">
        <f>CHOOSE(CONTROL!$C$42, 9.3922, 9.3922) * CHOOSE(CONTROL!$C$21, $C$9, 100%, $E$9)</f>
        <v>9.3922000000000008</v>
      </c>
      <c r="N169" s="14">
        <f>CHOOSE(CONTROL!$C$42, 9.408, 9.408) * CHOOSE(CONTROL!$C$21, $C$9, 100%, $E$9)</f>
        <v>9.4079999999999995</v>
      </c>
      <c r="O169" s="14">
        <f>CHOOSE(CONTROL!$C$42, 9.5018, 9.5018) * CHOOSE(CONTROL!$C$21, $C$9, 100%, $E$9)</f>
        <v>9.5017999999999994</v>
      </c>
      <c r="P169" s="14">
        <f>CHOOSE(CONTROL!$C$42, 9.4454, 9.4454) * CHOOSE(CONTROL!$C$21, $C$9, 100%, $E$9)</f>
        <v>9.4453999999999994</v>
      </c>
      <c r="Q169" s="14">
        <f>CHOOSE(CONTROL!$C$42, 10.0965, 10.0965) * CHOOSE(CONTROL!$C$21, $C$9, 100%, $E$9)</f>
        <v>10.096500000000001</v>
      </c>
      <c r="R169" s="14">
        <f>CHOOSE(CONTROL!$C$42, 10.7088, 10.7088) * CHOOSE(CONTROL!$C$21, $C$9, 100%, $E$9)</f>
        <v>10.7088</v>
      </c>
      <c r="S169" s="14">
        <f>CHOOSE(CONTROL!$C$42, 9.2041, 9.2041) * CHOOSE(CONTROL!$C$21, $C$9, 100%, $E$9)</f>
        <v>9.2041000000000004</v>
      </c>
      <c r="T1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7">
        <f>(1000*CHOOSE(CONTROL!$C$42, 695, 695)*CHOOSE(CONTROL!$C$42, 0.5599, 0.5599)*CHOOSE(CONTROL!$C$42, 31, 31))/1000000</f>
        <v>12.063045499999998</v>
      </c>
      <c r="V169" s="57">
        <f>(1000*CHOOSE(CONTROL!$C$42, 500, 500)*CHOOSE(CONTROL!$C$42, 0.275, 0.275)*CHOOSE(CONTROL!$C$42, 31, 31))/1000000</f>
        <v>4.2625000000000002</v>
      </c>
      <c r="W169" s="57">
        <f>(1000*CHOOSE(CONTROL!$C$42, 0.1146, 0.1146)*CHOOSE(CONTROL!$C$42, 121.5, 121.5)*CHOOSE(CONTROL!$C$42, 31, 31))/1000000</f>
        <v>0.43164089999999994</v>
      </c>
      <c r="X169" s="57">
        <f>(31*0.1790888*100000/1000000)+(31*0.2374*100000/1000000)</f>
        <v>1.2911152800000001</v>
      </c>
      <c r="Y169" s="57"/>
      <c r="Z169" s="14"/>
      <c r="AA169" s="56"/>
      <c r="AB169" s="50">
        <f>(B169*122.58+C169*297.941+D169*89.177+E169*40.302+F169*40+G169*160+H169*0+I169*100+J169*300)/(122.58+297.941+89.177+40.302+0+40+160+100+300)</f>
        <v>9.6040012309565199</v>
      </c>
      <c r="AC169" s="45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9.4504388489208644</v>
      </c>
    </row>
    <row r="170" spans="1:29" ht="15.75" x14ac:dyDescent="0.25">
      <c r="A170" s="13">
        <v>46054</v>
      </c>
      <c r="B170" s="14">
        <f>CHOOSE(CONTROL!$C$42, 9.7781, 9.7781) * CHOOSE(CONTROL!$C$21, $C$9, 100%, $E$9)</f>
        <v>9.7781000000000002</v>
      </c>
      <c r="C170" s="14">
        <f>CHOOSE(CONTROL!$C$42, 9.7832, 9.7832) * CHOOSE(CONTROL!$C$21, $C$9, 100%, $E$9)</f>
        <v>9.7832000000000008</v>
      </c>
      <c r="D170" s="14">
        <f>CHOOSE(CONTROL!$C$42, 9.86, 9.86) * CHOOSE(CONTROL!$C$21, $C$9, 100%, $E$9)</f>
        <v>9.86</v>
      </c>
      <c r="E170" s="14">
        <f>CHOOSE(CONTROL!$C$42, 9.8941, 9.8941) * CHOOSE(CONTROL!$C$21, $C$9, 100%, $E$9)</f>
        <v>9.8940999999999999</v>
      </c>
      <c r="F170" s="14">
        <f>CHOOSE(CONTROL!$C$42, 9.7784, 9.7784)*CHOOSE(CONTROL!$C$21, $C$9, 100%, $E$9)</f>
        <v>9.7783999999999995</v>
      </c>
      <c r="G170" s="14">
        <f>CHOOSE(CONTROL!$C$42, 9.7946, 9.7946)*CHOOSE(CONTROL!$C$21, $C$9, 100%, $E$9)</f>
        <v>9.7946000000000009</v>
      </c>
      <c r="H170" s="14">
        <f>CHOOSE(CONTROL!$C$42, 9.8833, 9.8833) * CHOOSE(CONTROL!$C$21, $C$9, 100%, $E$9)</f>
        <v>9.8833000000000002</v>
      </c>
      <c r="I170" s="14">
        <f>CHOOSE(CONTROL!$C$42, 9.8268, 9.8268)* CHOOSE(CONTROL!$C$21, $C$9, 100%, $E$9)</f>
        <v>9.8268000000000004</v>
      </c>
      <c r="J170" s="14">
        <f>CHOOSE(CONTROL!$C$42, 9.7714, 9.7714)* CHOOSE(CONTROL!$C$21, $C$9, 100%, $E$9)</f>
        <v>9.7713999999999999</v>
      </c>
      <c r="K170" s="53">
        <f>CHOOSE(CONTROL!$C$42, 9.8229, 9.8229) * CHOOSE(CONTROL!$C$21, $C$9, 100%, $E$9)</f>
        <v>9.8229000000000006</v>
      </c>
      <c r="L170" s="14">
        <f>CHOOSE(CONTROL!$C$42, 10.4703, 10.4703) * CHOOSE(CONTROL!$C$21, $C$9, 100%, $E$9)</f>
        <v>10.4703</v>
      </c>
      <c r="M170" s="14">
        <f>CHOOSE(CONTROL!$C$42, 9.5789, 9.5789) * CHOOSE(CONTROL!$C$21, $C$9, 100%, $E$9)</f>
        <v>9.5789000000000009</v>
      </c>
      <c r="N170" s="14">
        <f>CHOOSE(CONTROL!$C$42, 9.5948, 9.5948) * CHOOSE(CONTROL!$C$21, $C$9, 100%, $E$9)</f>
        <v>9.5947999999999993</v>
      </c>
      <c r="O170" s="14">
        <f>CHOOSE(CONTROL!$C$42, 9.6885, 9.6885) * CHOOSE(CONTROL!$C$21, $C$9, 100%, $E$9)</f>
        <v>9.6884999999999994</v>
      </c>
      <c r="P170" s="14">
        <f>CHOOSE(CONTROL!$C$42, 9.6326, 9.6326) * CHOOSE(CONTROL!$C$21, $C$9, 100%, $E$9)</f>
        <v>9.6326000000000001</v>
      </c>
      <c r="Q170" s="14">
        <f>CHOOSE(CONTROL!$C$42, 10.2832, 10.2832) * CHOOSE(CONTROL!$C$21, $C$9, 100%, $E$9)</f>
        <v>10.283200000000001</v>
      </c>
      <c r="R170" s="14">
        <f>CHOOSE(CONTROL!$C$42, 10.8959, 10.8959) * CHOOSE(CONTROL!$C$21, $C$9, 100%, $E$9)</f>
        <v>10.895899999999999</v>
      </c>
      <c r="S170" s="14">
        <f>CHOOSE(CONTROL!$C$42, 9.3873, 9.3873) * CHOOSE(CONTROL!$C$21, $C$9, 100%, $E$9)</f>
        <v>9.3872999999999998</v>
      </c>
      <c r="T1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7">
        <f>(1000*CHOOSE(CONTROL!$C$42, 695, 695)*CHOOSE(CONTROL!$C$42, 0.5599, 0.5599)*CHOOSE(CONTROL!$C$42, 28, 28))/1000000</f>
        <v>10.895653999999999</v>
      </c>
      <c r="V170" s="57">
        <f>(1000*CHOOSE(CONTROL!$C$42, 500, 500)*CHOOSE(CONTROL!$C$42, 0.275, 0.275)*CHOOSE(CONTROL!$C$42, 28, 28))/1000000</f>
        <v>3.85</v>
      </c>
      <c r="W170" s="57">
        <f>(1000*CHOOSE(CONTROL!$C$42, 0.1146, 0.1146)*CHOOSE(CONTROL!$C$42, 121.5, 121.5)*CHOOSE(CONTROL!$C$42, 28, 28))/1000000</f>
        <v>0.38986920000000003</v>
      </c>
      <c r="X170" s="57">
        <f>(28*0.1790888*100000/1000000)+(28*0.2374*100000/1000000)</f>
        <v>1.16616864</v>
      </c>
      <c r="Y170" s="57"/>
      <c r="Z170" s="14"/>
      <c r="AA170" s="56"/>
      <c r="AB170" s="50">
        <f>(B170*122.58+C170*297.941+D170*89.177+E170*40.302+F170*40+G170*160+H170*0+I170*100+J170*300)/(122.58+297.941+89.177+40.302+0+40+160+100+300)</f>
        <v>9.7946305455652176</v>
      </c>
      <c r="AC170" s="45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9.6372165467625894</v>
      </c>
    </row>
    <row r="171" spans="1:29" ht="15.75" x14ac:dyDescent="0.25">
      <c r="A171" s="13">
        <v>46082</v>
      </c>
      <c r="B171" s="14">
        <f>CHOOSE(CONTROL!$C$42, 9.5204, 9.5204) * CHOOSE(CONTROL!$C$21, $C$9, 100%, $E$9)</f>
        <v>9.5204000000000004</v>
      </c>
      <c r="C171" s="14">
        <f>CHOOSE(CONTROL!$C$42, 9.5254, 9.5254) * CHOOSE(CONTROL!$C$21, $C$9, 100%, $E$9)</f>
        <v>9.5253999999999994</v>
      </c>
      <c r="D171" s="14">
        <f>CHOOSE(CONTROL!$C$42, 9.6022, 9.6022) * CHOOSE(CONTROL!$C$21, $C$9, 100%, $E$9)</f>
        <v>9.6021999999999998</v>
      </c>
      <c r="E171" s="14">
        <f>CHOOSE(CONTROL!$C$42, 9.6364, 9.6364) * CHOOSE(CONTROL!$C$21, $C$9, 100%, $E$9)</f>
        <v>9.6364000000000001</v>
      </c>
      <c r="F171" s="14">
        <f>CHOOSE(CONTROL!$C$42, 9.5202, 9.5202)*CHOOSE(CONTROL!$C$21, $C$9, 100%, $E$9)</f>
        <v>9.5202000000000009</v>
      </c>
      <c r="G171" s="14">
        <f>CHOOSE(CONTROL!$C$42, 9.5363, 9.5363)*CHOOSE(CONTROL!$C$21, $C$9, 100%, $E$9)</f>
        <v>9.5363000000000007</v>
      </c>
      <c r="H171" s="14">
        <f>CHOOSE(CONTROL!$C$42, 9.6255, 9.6255) * CHOOSE(CONTROL!$C$21, $C$9, 100%, $E$9)</f>
        <v>9.6255000000000006</v>
      </c>
      <c r="I171" s="14">
        <f>CHOOSE(CONTROL!$C$42, 9.5682, 9.5682)* CHOOSE(CONTROL!$C$21, $C$9, 100%, $E$9)</f>
        <v>9.5681999999999992</v>
      </c>
      <c r="J171" s="14">
        <f>CHOOSE(CONTROL!$C$42, 9.5132, 9.5132)* CHOOSE(CONTROL!$C$21, $C$9, 100%, $E$9)</f>
        <v>9.5131999999999994</v>
      </c>
      <c r="K171" s="53">
        <f>CHOOSE(CONTROL!$C$42, 9.5643, 9.5643) * CHOOSE(CONTROL!$C$21, $C$9, 100%, $E$9)</f>
        <v>9.5642999999999994</v>
      </c>
      <c r="L171" s="14">
        <f>CHOOSE(CONTROL!$C$42, 10.2125, 10.2125) * CHOOSE(CONTROL!$C$21, $C$9, 100%, $E$9)</f>
        <v>10.2125</v>
      </c>
      <c r="M171" s="14">
        <f>CHOOSE(CONTROL!$C$42, 9.3259, 9.3259) * CHOOSE(CONTROL!$C$21, $C$9, 100%, $E$9)</f>
        <v>9.3259000000000007</v>
      </c>
      <c r="N171" s="14">
        <f>CHOOSE(CONTROL!$C$42, 9.3417, 9.3417) * CHOOSE(CONTROL!$C$21, $C$9, 100%, $E$9)</f>
        <v>9.3416999999999994</v>
      </c>
      <c r="O171" s="14">
        <f>CHOOSE(CONTROL!$C$42, 9.436, 9.436) * CHOOSE(CONTROL!$C$21, $C$9, 100%, $E$9)</f>
        <v>9.4359999999999999</v>
      </c>
      <c r="P171" s="14">
        <f>CHOOSE(CONTROL!$C$42, 9.3794, 9.3794) * CHOOSE(CONTROL!$C$21, $C$9, 100%, $E$9)</f>
        <v>9.3794000000000004</v>
      </c>
      <c r="Q171" s="14">
        <f>CHOOSE(CONTROL!$C$42, 10.0307, 10.0307) * CHOOSE(CONTROL!$C$21, $C$9, 100%, $E$9)</f>
        <v>10.0307</v>
      </c>
      <c r="R171" s="14">
        <f>CHOOSE(CONTROL!$C$42, 10.6428, 10.6428) * CHOOSE(CONTROL!$C$21, $C$9, 100%, $E$9)</f>
        <v>10.642799999999999</v>
      </c>
      <c r="S171" s="14">
        <f>CHOOSE(CONTROL!$C$42, 9.1396, 9.1396) * CHOOSE(CONTROL!$C$21, $C$9, 100%, $E$9)</f>
        <v>9.1395999999999997</v>
      </c>
      <c r="T1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7">
        <f>(1000*CHOOSE(CONTROL!$C$42, 695, 695)*CHOOSE(CONTROL!$C$42, 0.5599, 0.5599)*CHOOSE(CONTROL!$C$42, 31, 31))/1000000</f>
        <v>12.063045499999998</v>
      </c>
      <c r="V171" s="57">
        <f>(1000*CHOOSE(CONTROL!$C$42, 500, 500)*CHOOSE(CONTROL!$C$42, 0.275, 0.275)*CHOOSE(CONTROL!$C$42, 31, 31))/1000000</f>
        <v>4.2625000000000002</v>
      </c>
      <c r="W171" s="57">
        <f>(1000*CHOOSE(CONTROL!$C$42, 0.1146, 0.1146)*CHOOSE(CONTROL!$C$42, 121.5, 121.5)*CHOOSE(CONTROL!$C$42, 31, 31))/1000000</f>
        <v>0.43164089999999994</v>
      </c>
      <c r="X171" s="57">
        <f>(31*0.1790888*100000/1000000)+(31*0.2374*100000/1000000)</f>
        <v>1.2911152800000001</v>
      </c>
      <c r="Y171" s="57"/>
      <c r="Z171" s="14"/>
      <c r="AA171" s="56"/>
      <c r="AB171" s="50">
        <f>(B171*122.58+C171*297.941+D171*89.177+E171*40.302+F171*40+G171*160+H171*0+I171*100+J171*300)/(122.58+297.941+89.177+40.302+0+40+160+100+300)</f>
        <v>9.5365873179130443</v>
      </c>
      <c r="AC171" s="45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9.3844086330935266</v>
      </c>
    </row>
    <row r="172" spans="1:29" ht="15.75" x14ac:dyDescent="0.25">
      <c r="A172" s="13">
        <v>46113</v>
      </c>
      <c r="B172" s="14">
        <f>CHOOSE(CONTROL!$C$42, 9.5127, 9.5127) * CHOOSE(CONTROL!$C$21, $C$9, 100%, $E$9)</f>
        <v>9.5127000000000006</v>
      </c>
      <c r="C172" s="14">
        <f>CHOOSE(CONTROL!$C$42, 9.5171, 9.5171) * CHOOSE(CONTROL!$C$21, $C$9, 100%, $E$9)</f>
        <v>9.5170999999999992</v>
      </c>
      <c r="D172" s="14">
        <f>CHOOSE(CONTROL!$C$42, 9.7539, 9.7539) * CHOOSE(CONTROL!$C$21, $C$9, 100%, $E$9)</f>
        <v>9.7538999999999998</v>
      </c>
      <c r="E172" s="14">
        <f>CHOOSE(CONTROL!$C$42, 9.786, 9.786) * CHOOSE(CONTROL!$C$21, $C$9, 100%, $E$9)</f>
        <v>9.7859999999999996</v>
      </c>
      <c r="F172" s="14">
        <f>CHOOSE(CONTROL!$C$42, 9.5106, 9.5106)*CHOOSE(CONTROL!$C$21, $C$9, 100%, $E$9)</f>
        <v>9.5106000000000002</v>
      </c>
      <c r="G172" s="14">
        <f>CHOOSE(CONTROL!$C$42, 9.5264, 9.5264)*CHOOSE(CONTROL!$C$21, $C$9, 100%, $E$9)</f>
        <v>9.5264000000000006</v>
      </c>
      <c r="H172" s="14">
        <f>CHOOSE(CONTROL!$C$42, 9.7758, 9.7758) * CHOOSE(CONTROL!$C$21, $C$9, 100%, $E$9)</f>
        <v>9.7758000000000003</v>
      </c>
      <c r="I172" s="14">
        <f>CHOOSE(CONTROL!$C$42, 9.5597, 9.5597)* CHOOSE(CONTROL!$C$21, $C$9, 100%, $E$9)</f>
        <v>9.5596999999999994</v>
      </c>
      <c r="J172" s="14">
        <f>CHOOSE(CONTROL!$C$42, 9.5036, 9.5036)* CHOOSE(CONTROL!$C$21, $C$9, 100%, $E$9)</f>
        <v>9.5036000000000005</v>
      </c>
      <c r="K172" s="53">
        <f>CHOOSE(CONTROL!$C$42, 9.5558, 9.5558) * CHOOSE(CONTROL!$C$21, $C$9, 100%, $E$9)</f>
        <v>9.5557999999999996</v>
      </c>
      <c r="L172" s="14">
        <f>CHOOSE(CONTROL!$C$42, 10.3628, 10.3628) * CHOOSE(CONTROL!$C$21, $C$9, 100%, $E$9)</f>
        <v>10.3628</v>
      </c>
      <c r="M172" s="14">
        <f>CHOOSE(CONTROL!$C$42, 9.3166, 9.3166) * CHOOSE(CONTROL!$C$21, $C$9, 100%, $E$9)</f>
        <v>9.3165999999999993</v>
      </c>
      <c r="N172" s="14">
        <f>CHOOSE(CONTROL!$C$42, 9.3321, 9.3321) * CHOOSE(CONTROL!$C$21, $C$9, 100%, $E$9)</f>
        <v>9.3321000000000005</v>
      </c>
      <c r="O172" s="14">
        <f>CHOOSE(CONTROL!$C$42, 9.5832, 9.5832) * CHOOSE(CONTROL!$C$21, $C$9, 100%, $E$9)</f>
        <v>9.5831999999999997</v>
      </c>
      <c r="P172" s="14">
        <f>CHOOSE(CONTROL!$C$42, 9.371, 9.371) * CHOOSE(CONTROL!$C$21, $C$9, 100%, $E$9)</f>
        <v>9.3710000000000004</v>
      </c>
      <c r="Q172" s="14">
        <f>CHOOSE(CONTROL!$C$42, 10.1779, 10.1779) * CHOOSE(CONTROL!$C$21, $C$9, 100%, $E$9)</f>
        <v>10.177899999999999</v>
      </c>
      <c r="R172" s="14">
        <f>CHOOSE(CONTROL!$C$42, 10.7903, 10.7903) * CHOOSE(CONTROL!$C$21, $C$9, 100%, $E$9)</f>
        <v>10.7903</v>
      </c>
      <c r="S172" s="14">
        <f>CHOOSE(CONTROL!$C$42, 9.1314, 9.1314) * CHOOSE(CONTROL!$C$21, $C$9, 100%, $E$9)</f>
        <v>9.1313999999999993</v>
      </c>
      <c r="T1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7">
        <f>(1000*CHOOSE(CONTROL!$C$42, 695, 695)*CHOOSE(CONTROL!$C$42, 0.5599, 0.5599)*CHOOSE(CONTROL!$C$42, 30, 30))/1000000</f>
        <v>11.673914999999997</v>
      </c>
      <c r="V172" s="57">
        <f>(1000*CHOOSE(CONTROL!$C$42, 500, 500)*CHOOSE(CONTROL!$C$42, 0.275, 0.275)*CHOOSE(CONTROL!$C$42, 30, 30))/1000000</f>
        <v>4.125</v>
      </c>
      <c r="W172" s="57">
        <f>(1000*CHOOSE(CONTROL!$C$42, 0.1146, 0.1146)*CHOOSE(CONTROL!$C$42, 121.5, 121.5)*CHOOSE(CONTROL!$C$42, 30, 30))/1000000</f>
        <v>0.417717</v>
      </c>
      <c r="X172" s="57">
        <f>(30*0.1790888*245000/1000000)+(30*0.2374*100000/1000000)</f>
        <v>2.0285026799999999</v>
      </c>
      <c r="Y172" s="57"/>
      <c r="Z172" s="14"/>
      <c r="AA172" s="56"/>
      <c r="AB172" s="50">
        <f>(B172*141.293+C172*267.993+D172*115.016+E172*89.698+F172*40+G172*185+H172*0+I172*100+J172*300)/(141.293+267.993+115.016+89.698+0+40+185+100+300)</f>
        <v>9.5593957157384981</v>
      </c>
      <c r="AC172" s="45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9.4027971223021591</v>
      </c>
    </row>
    <row r="173" spans="1:29" ht="15.75" x14ac:dyDescent="0.25">
      <c r="A173" s="13">
        <v>46143</v>
      </c>
      <c r="B173" s="14">
        <f>CHOOSE(CONTROL!$C$42, 9.6177, 9.6177) * CHOOSE(CONTROL!$C$21, $C$9, 100%, $E$9)</f>
        <v>9.6176999999999992</v>
      </c>
      <c r="C173" s="14">
        <f>CHOOSE(CONTROL!$C$42, 9.6257, 9.6257) * CHOOSE(CONTROL!$C$21, $C$9, 100%, $E$9)</f>
        <v>9.6257000000000001</v>
      </c>
      <c r="D173" s="14">
        <f>CHOOSE(CONTROL!$C$42, 9.8593, 9.8593) * CHOOSE(CONTROL!$C$21, $C$9, 100%, $E$9)</f>
        <v>9.8592999999999993</v>
      </c>
      <c r="E173" s="14">
        <f>CHOOSE(CONTROL!$C$42, 9.8907, 9.8907) * CHOOSE(CONTROL!$C$21, $C$9, 100%, $E$9)</f>
        <v>9.8907000000000007</v>
      </c>
      <c r="F173" s="14">
        <f>CHOOSE(CONTROL!$C$42, 9.6144, 9.6144)*CHOOSE(CONTROL!$C$21, $C$9, 100%, $E$9)</f>
        <v>9.6143999999999998</v>
      </c>
      <c r="G173" s="14">
        <f>CHOOSE(CONTROL!$C$42, 9.6308, 9.6308)*CHOOSE(CONTROL!$C$21, $C$9, 100%, $E$9)</f>
        <v>9.6308000000000007</v>
      </c>
      <c r="H173" s="14">
        <f>CHOOSE(CONTROL!$C$42, 9.8794, 9.8794) * CHOOSE(CONTROL!$C$21, $C$9, 100%, $E$9)</f>
        <v>9.8794000000000004</v>
      </c>
      <c r="I173" s="14">
        <f>CHOOSE(CONTROL!$C$42, 9.6637, 9.6637)* CHOOSE(CONTROL!$C$21, $C$9, 100%, $E$9)</f>
        <v>9.6637000000000004</v>
      </c>
      <c r="J173" s="14">
        <f>CHOOSE(CONTROL!$C$42, 9.6074, 9.6074)* CHOOSE(CONTROL!$C$21, $C$9, 100%, $E$9)</f>
        <v>9.6074000000000002</v>
      </c>
      <c r="K173" s="53">
        <f>CHOOSE(CONTROL!$C$42, 9.6598, 9.6598) * CHOOSE(CONTROL!$C$21, $C$9, 100%, $E$9)</f>
        <v>9.6598000000000006</v>
      </c>
      <c r="L173" s="14">
        <f>CHOOSE(CONTROL!$C$42, 10.4664, 10.4664) * CHOOSE(CONTROL!$C$21, $C$9, 100%, $E$9)</f>
        <v>10.4664</v>
      </c>
      <c r="M173" s="14">
        <f>CHOOSE(CONTROL!$C$42, 9.4183, 9.4183) * CHOOSE(CONTROL!$C$21, $C$9, 100%, $E$9)</f>
        <v>9.4183000000000003</v>
      </c>
      <c r="N173" s="14">
        <f>CHOOSE(CONTROL!$C$42, 9.4343, 9.4343) * CHOOSE(CONTROL!$C$21, $C$9, 100%, $E$9)</f>
        <v>9.4343000000000004</v>
      </c>
      <c r="O173" s="14">
        <f>CHOOSE(CONTROL!$C$42, 9.6846, 9.6846) * CHOOSE(CONTROL!$C$21, $C$9, 100%, $E$9)</f>
        <v>9.6845999999999997</v>
      </c>
      <c r="P173" s="14">
        <f>CHOOSE(CONTROL!$C$42, 9.4728, 9.4728) * CHOOSE(CONTROL!$C$21, $C$9, 100%, $E$9)</f>
        <v>9.4727999999999994</v>
      </c>
      <c r="Q173" s="14">
        <f>CHOOSE(CONTROL!$C$42, 10.2793, 10.2793) * CHOOSE(CONTROL!$C$21, $C$9, 100%, $E$9)</f>
        <v>10.279299999999999</v>
      </c>
      <c r="R173" s="14">
        <f>CHOOSE(CONTROL!$C$42, 10.892, 10.892) * CHOOSE(CONTROL!$C$21, $C$9, 100%, $E$9)</f>
        <v>10.891999999999999</v>
      </c>
      <c r="S173" s="14">
        <f>CHOOSE(CONTROL!$C$42, 9.231, 9.231) * CHOOSE(CONTROL!$C$21, $C$9, 100%, $E$9)</f>
        <v>9.2309999999999999</v>
      </c>
      <c r="T1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7">
        <f>(1000*CHOOSE(CONTROL!$C$42, 695, 695)*CHOOSE(CONTROL!$C$42, 0.5599, 0.5599)*CHOOSE(CONTROL!$C$42, 31, 31))/1000000</f>
        <v>12.063045499999998</v>
      </c>
      <c r="V173" s="57">
        <f>(1000*CHOOSE(CONTROL!$C$42, 500, 500)*CHOOSE(CONTROL!$C$42, 0.275, 0.275)*CHOOSE(CONTROL!$C$42, 31, 31))/1000000</f>
        <v>4.2625000000000002</v>
      </c>
      <c r="W173" s="57">
        <f>(1000*CHOOSE(CONTROL!$C$42, 0.1146, 0.1146)*CHOOSE(CONTROL!$C$42, 121.5, 121.5)*CHOOSE(CONTROL!$C$42, 31, 31))/1000000</f>
        <v>0.43164089999999994</v>
      </c>
      <c r="X173" s="57">
        <f>(31*0.1790888*245000/1000000)+(31*0.2374*100000/1000000)</f>
        <v>2.0961194359999999</v>
      </c>
      <c r="Y173" s="57"/>
      <c r="Z173" s="14"/>
      <c r="AA173" s="56"/>
      <c r="AB173" s="50">
        <f>(B173*194.205+C173*267.466+D173*133.845+E173*53.484+F173*40+G173*185+H173*0+I173*100+J173*300)/(194.205+267.466+133.845+53.484+0+40+185+100+300)</f>
        <v>9.6592065243328094</v>
      </c>
      <c r="AC173" s="45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9.5045424460431658</v>
      </c>
    </row>
    <row r="174" spans="1:29" ht="15.75" x14ac:dyDescent="0.25">
      <c r="A174" s="13">
        <v>46174</v>
      </c>
      <c r="B174" s="14">
        <f>CHOOSE(CONTROL!$C$42, 9.9105, 9.9105) * CHOOSE(CONTROL!$C$21, $C$9, 100%, $E$9)</f>
        <v>9.9105000000000008</v>
      </c>
      <c r="C174" s="14">
        <f>CHOOSE(CONTROL!$C$42, 9.9185, 9.9185) * CHOOSE(CONTROL!$C$21, $C$9, 100%, $E$9)</f>
        <v>9.9184999999999999</v>
      </c>
      <c r="D174" s="14">
        <f>CHOOSE(CONTROL!$C$42, 10.1521, 10.1521) * CHOOSE(CONTROL!$C$21, $C$9, 100%, $E$9)</f>
        <v>10.152100000000001</v>
      </c>
      <c r="E174" s="14">
        <f>CHOOSE(CONTROL!$C$42, 10.1836, 10.1836) * CHOOSE(CONTROL!$C$21, $C$9, 100%, $E$9)</f>
        <v>10.1836</v>
      </c>
      <c r="F174" s="14">
        <f>CHOOSE(CONTROL!$C$42, 9.9077, 9.9077)*CHOOSE(CONTROL!$C$21, $C$9, 100%, $E$9)</f>
        <v>9.9077000000000002</v>
      </c>
      <c r="G174" s="14">
        <f>CHOOSE(CONTROL!$C$42, 9.9242, 9.9242)*CHOOSE(CONTROL!$C$21, $C$9, 100%, $E$9)</f>
        <v>9.9242000000000008</v>
      </c>
      <c r="H174" s="14">
        <f>CHOOSE(CONTROL!$C$42, 10.1722, 10.1722) * CHOOSE(CONTROL!$C$21, $C$9, 100%, $E$9)</f>
        <v>10.1722</v>
      </c>
      <c r="I174" s="14">
        <f>CHOOSE(CONTROL!$C$42, 9.9574, 9.9574)* CHOOSE(CONTROL!$C$21, $C$9, 100%, $E$9)</f>
        <v>9.9573999999999998</v>
      </c>
      <c r="J174" s="14">
        <f>CHOOSE(CONTROL!$C$42, 9.9007, 9.9007)* CHOOSE(CONTROL!$C$21, $C$9, 100%, $E$9)</f>
        <v>9.9007000000000005</v>
      </c>
      <c r="K174" s="53">
        <f>CHOOSE(CONTROL!$C$42, 9.9535, 9.9535) * CHOOSE(CONTROL!$C$21, $C$9, 100%, $E$9)</f>
        <v>9.9535</v>
      </c>
      <c r="L174" s="14">
        <f>CHOOSE(CONTROL!$C$42, 10.7592, 10.7592) * CHOOSE(CONTROL!$C$21, $C$9, 100%, $E$9)</f>
        <v>10.7592</v>
      </c>
      <c r="M174" s="14">
        <f>CHOOSE(CONTROL!$C$42, 9.7056, 9.7056) * CHOOSE(CONTROL!$C$21, $C$9, 100%, $E$9)</f>
        <v>9.7056000000000004</v>
      </c>
      <c r="N174" s="14">
        <f>CHOOSE(CONTROL!$C$42, 9.7217, 9.7217) * CHOOSE(CONTROL!$C$21, $C$9, 100%, $E$9)</f>
        <v>9.7217000000000002</v>
      </c>
      <c r="O174" s="14">
        <f>CHOOSE(CONTROL!$C$42, 9.9715, 9.9715) * CHOOSE(CONTROL!$C$21, $C$9, 100%, $E$9)</f>
        <v>9.9715000000000007</v>
      </c>
      <c r="P174" s="14">
        <f>CHOOSE(CONTROL!$C$42, 9.7605, 9.7605) * CHOOSE(CONTROL!$C$21, $C$9, 100%, $E$9)</f>
        <v>9.7605000000000004</v>
      </c>
      <c r="Q174" s="14">
        <f>CHOOSE(CONTROL!$C$42, 10.5662, 10.5662) * CHOOSE(CONTROL!$C$21, $C$9, 100%, $E$9)</f>
        <v>10.5662</v>
      </c>
      <c r="R174" s="14">
        <f>CHOOSE(CONTROL!$C$42, 11.1796, 11.1796) * CHOOSE(CONTROL!$C$21, $C$9, 100%, $E$9)</f>
        <v>11.179600000000001</v>
      </c>
      <c r="S174" s="14">
        <f>CHOOSE(CONTROL!$C$42, 9.5123, 9.5123) * CHOOSE(CONTROL!$C$21, $C$9, 100%, $E$9)</f>
        <v>9.5122999999999998</v>
      </c>
      <c r="T1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7">
        <f>(1000*CHOOSE(CONTROL!$C$42, 695, 695)*CHOOSE(CONTROL!$C$42, 0.5599, 0.5599)*CHOOSE(CONTROL!$C$42, 30, 30))/1000000</f>
        <v>11.673914999999997</v>
      </c>
      <c r="V174" s="57">
        <f>(1000*CHOOSE(CONTROL!$C$42, 500, 500)*CHOOSE(CONTROL!$C$42, 0.275, 0.275)*CHOOSE(CONTROL!$C$42, 30, 30))/1000000</f>
        <v>4.125</v>
      </c>
      <c r="W174" s="57">
        <f>(1000*CHOOSE(CONTROL!$C$42, 0.1146, 0.1146)*CHOOSE(CONTROL!$C$42, 121.5, 121.5)*CHOOSE(CONTROL!$C$42, 30, 30))/1000000</f>
        <v>0.417717</v>
      </c>
      <c r="X174" s="57">
        <f>(30*0.1790888*245000/1000000)+(30*0.2374*100000/1000000)</f>
        <v>2.0285026799999999</v>
      </c>
      <c r="Y174" s="57"/>
      <c r="Z174" s="14"/>
      <c r="AA174" s="56"/>
      <c r="AB174" s="50">
        <f>(B174*194.205+C174*267.466+D174*133.845+E174*53.484+F174*40+G174*185+H174*0+I174*100+J174*300)/(194.205+267.466+133.845+53.484+0+40+185+100+300)</f>
        <v>9.9523019312401892</v>
      </c>
      <c r="AC174" s="45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9.7918107913669061</v>
      </c>
    </row>
    <row r="175" spans="1:29" ht="15.75" x14ac:dyDescent="0.25">
      <c r="A175" s="13">
        <v>46204</v>
      </c>
      <c r="B175" s="14">
        <f>CHOOSE(CONTROL!$C$42, 9.7406, 9.7406) * CHOOSE(CONTROL!$C$21, $C$9, 100%, $E$9)</f>
        <v>9.7406000000000006</v>
      </c>
      <c r="C175" s="14">
        <f>CHOOSE(CONTROL!$C$42, 9.7486, 9.7486) * CHOOSE(CONTROL!$C$21, $C$9, 100%, $E$9)</f>
        <v>9.7485999999999997</v>
      </c>
      <c r="D175" s="14">
        <f>CHOOSE(CONTROL!$C$42, 9.9822, 9.9822) * CHOOSE(CONTROL!$C$21, $C$9, 100%, $E$9)</f>
        <v>9.9822000000000006</v>
      </c>
      <c r="E175" s="14">
        <f>CHOOSE(CONTROL!$C$42, 10.0137, 10.0137) * CHOOSE(CONTROL!$C$21, $C$9, 100%, $E$9)</f>
        <v>10.0137</v>
      </c>
      <c r="F175" s="14">
        <f>CHOOSE(CONTROL!$C$42, 9.7384, 9.7384)*CHOOSE(CONTROL!$C$21, $C$9, 100%, $E$9)</f>
        <v>9.7384000000000004</v>
      </c>
      <c r="G175" s="14">
        <f>CHOOSE(CONTROL!$C$42, 9.755, 9.755)*CHOOSE(CONTROL!$C$21, $C$9, 100%, $E$9)</f>
        <v>9.7550000000000008</v>
      </c>
      <c r="H175" s="14">
        <f>CHOOSE(CONTROL!$C$42, 10.0023, 10.0023) * CHOOSE(CONTROL!$C$21, $C$9, 100%, $E$9)</f>
        <v>10.0023</v>
      </c>
      <c r="I175" s="14">
        <f>CHOOSE(CONTROL!$C$42, 9.787, 9.787)* CHOOSE(CONTROL!$C$21, $C$9, 100%, $E$9)</f>
        <v>9.7870000000000008</v>
      </c>
      <c r="J175" s="14">
        <f>CHOOSE(CONTROL!$C$42, 9.7314, 9.7314)* CHOOSE(CONTROL!$C$21, $C$9, 100%, $E$9)</f>
        <v>9.7314000000000007</v>
      </c>
      <c r="K175" s="53">
        <f>CHOOSE(CONTROL!$C$42, 9.7831, 9.7831) * CHOOSE(CONTROL!$C$21, $C$9, 100%, $E$9)</f>
        <v>9.7830999999999992</v>
      </c>
      <c r="L175" s="14">
        <f>CHOOSE(CONTROL!$C$42, 10.5893, 10.5893) * CHOOSE(CONTROL!$C$21, $C$9, 100%, $E$9)</f>
        <v>10.5893</v>
      </c>
      <c r="M175" s="14">
        <f>CHOOSE(CONTROL!$C$42, 9.5397, 9.5397) * CHOOSE(CONTROL!$C$21, $C$9, 100%, $E$9)</f>
        <v>9.5396999999999998</v>
      </c>
      <c r="N175" s="14">
        <f>CHOOSE(CONTROL!$C$42, 9.5559, 9.5559) * CHOOSE(CONTROL!$C$21, $C$9, 100%, $E$9)</f>
        <v>9.5558999999999994</v>
      </c>
      <c r="O175" s="14">
        <f>CHOOSE(CONTROL!$C$42, 9.805, 9.805) * CHOOSE(CONTROL!$C$21, $C$9, 100%, $E$9)</f>
        <v>9.8049999999999997</v>
      </c>
      <c r="P175" s="14">
        <f>CHOOSE(CONTROL!$C$42, 9.5936, 9.5936) * CHOOSE(CONTROL!$C$21, $C$9, 100%, $E$9)</f>
        <v>9.5936000000000003</v>
      </c>
      <c r="Q175" s="14">
        <f>CHOOSE(CONTROL!$C$42, 10.3997, 10.3997) * CHOOSE(CONTROL!$C$21, $C$9, 100%, $E$9)</f>
        <v>10.399699999999999</v>
      </c>
      <c r="R175" s="14">
        <f>CHOOSE(CONTROL!$C$42, 11.0127, 11.0127) * CHOOSE(CONTROL!$C$21, $C$9, 100%, $E$9)</f>
        <v>11.012700000000001</v>
      </c>
      <c r="S175" s="14">
        <f>CHOOSE(CONTROL!$C$42, 9.3491, 9.3491) * CHOOSE(CONTROL!$C$21, $C$9, 100%, $E$9)</f>
        <v>9.3491</v>
      </c>
      <c r="T1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7">
        <f>(1000*CHOOSE(CONTROL!$C$42, 695, 695)*CHOOSE(CONTROL!$C$42, 0.5599, 0.5599)*CHOOSE(CONTROL!$C$42, 31, 31))/1000000</f>
        <v>12.063045499999998</v>
      </c>
      <c r="V175" s="57">
        <f>(1000*CHOOSE(CONTROL!$C$42, 500, 500)*CHOOSE(CONTROL!$C$42, 0.275, 0.275)*CHOOSE(CONTROL!$C$42, 31, 31))/1000000</f>
        <v>4.2625000000000002</v>
      </c>
      <c r="W175" s="57">
        <f>(1000*CHOOSE(CONTROL!$C$42, 0.1146, 0.1146)*CHOOSE(CONTROL!$C$42, 121.5, 121.5)*CHOOSE(CONTROL!$C$42, 31, 31))/1000000</f>
        <v>0.43164089999999994</v>
      </c>
      <c r="X175" s="57">
        <f>(31*0.1790888*245000/1000000)+(31*0.2374*100000/1000000)</f>
        <v>2.0961194359999999</v>
      </c>
      <c r="Y175" s="57"/>
      <c r="Z175" s="14"/>
      <c r="AA175" s="56"/>
      <c r="AB175" s="50">
        <f>(B175*194.205+C175*267.466+D175*133.845+E175*53.484+F175*40+G175*185+H175*0+I175*100+J175*300)/(194.205+267.466+133.845+53.484+0+40+185+100+300)</f>
        <v>9.782624458712716</v>
      </c>
      <c r="AC175" s="45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9.6256215827338121</v>
      </c>
    </row>
    <row r="176" spans="1:29" ht="15.75" x14ac:dyDescent="0.25">
      <c r="A176" s="13">
        <v>46235</v>
      </c>
      <c r="B176" s="14">
        <f>CHOOSE(CONTROL!$C$42, 9.2791, 9.2791) * CHOOSE(CONTROL!$C$21, $C$9, 100%, $E$9)</f>
        <v>9.2790999999999997</v>
      </c>
      <c r="C176" s="14">
        <f>CHOOSE(CONTROL!$C$42, 9.2871, 9.2871) * CHOOSE(CONTROL!$C$21, $C$9, 100%, $E$9)</f>
        <v>9.2871000000000006</v>
      </c>
      <c r="D176" s="14">
        <f>CHOOSE(CONTROL!$C$42, 9.5207, 9.5207) * CHOOSE(CONTROL!$C$21, $C$9, 100%, $E$9)</f>
        <v>9.5206999999999997</v>
      </c>
      <c r="E176" s="14">
        <f>CHOOSE(CONTROL!$C$42, 9.5522, 9.5522) * CHOOSE(CONTROL!$C$21, $C$9, 100%, $E$9)</f>
        <v>9.5521999999999991</v>
      </c>
      <c r="F176" s="14">
        <f>CHOOSE(CONTROL!$C$42, 9.2771, 9.2771)*CHOOSE(CONTROL!$C$21, $C$9, 100%, $E$9)</f>
        <v>9.2771000000000008</v>
      </c>
      <c r="G176" s="14">
        <f>CHOOSE(CONTROL!$C$42, 9.2937, 9.2937)*CHOOSE(CONTROL!$C$21, $C$9, 100%, $E$9)</f>
        <v>9.2936999999999994</v>
      </c>
      <c r="H176" s="14">
        <f>CHOOSE(CONTROL!$C$42, 9.5408, 9.5408) * CHOOSE(CONTROL!$C$21, $C$9, 100%, $E$9)</f>
        <v>9.5408000000000008</v>
      </c>
      <c r="I176" s="14">
        <f>CHOOSE(CONTROL!$C$42, 9.324, 9.324)* CHOOSE(CONTROL!$C$21, $C$9, 100%, $E$9)</f>
        <v>9.3239999999999998</v>
      </c>
      <c r="J176" s="14">
        <f>CHOOSE(CONTROL!$C$42, 9.2701, 9.2701)* CHOOSE(CONTROL!$C$21, $C$9, 100%, $E$9)</f>
        <v>9.2700999999999993</v>
      </c>
      <c r="K176" s="53">
        <f>CHOOSE(CONTROL!$C$42, 9.3202, 9.3202) * CHOOSE(CONTROL!$C$21, $C$9, 100%, $E$9)</f>
        <v>9.3201999999999998</v>
      </c>
      <c r="L176" s="14">
        <f>CHOOSE(CONTROL!$C$42, 10.1278, 10.1278) * CHOOSE(CONTROL!$C$21, $C$9, 100%, $E$9)</f>
        <v>10.127800000000001</v>
      </c>
      <c r="M176" s="14">
        <f>CHOOSE(CONTROL!$C$42, 9.0878, 9.0878) * CHOOSE(CONTROL!$C$21, $C$9, 100%, $E$9)</f>
        <v>9.0877999999999997</v>
      </c>
      <c r="N176" s="14">
        <f>CHOOSE(CONTROL!$C$42, 9.1042, 9.1042) * CHOOSE(CONTROL!$C$21, $C$9, 100%, $E$9)</f>
        <v>9.1042000000000005</v>
      </c>
      <c r="O176" s="14">
        <f>CHOOSE(CONTROL!$C$42, 9.353, 9.353) * CHOOSE(CONTROL!$C$21, $C$9, 100%, $E$9)</f>
        <v>9.3529999999999998</v>
      </c>
      <c r="P176" s="14">
        <f>CHOOSE(CONTROL!$C$42, 9.1402, 9.1402) * CHOOSE(CONTROL!$C$21, $C$9, 100%, $E$9)</f>
        <v>9.1402000000000001</v>
      </c>
      <c r="Q176" s="14">
        <f>CHOOSE(CONTROL!$C$42, 9.9477, 9.9477) * CHOOSE(CONTROL!$C$21, $C$9, 100%, $E$9)</f>
        <v>9.9476999999999993</v>
      </c>
      <c r="R176" s="14">
        <f>CHOOSE(CONTROL!$C$42, 10.5596, 10.5596) * CHOOSE(CONTROL!$C$21, $C$9, 100%, $E$9)</f>
        <v>10.5596</v>
      </c>
      <c r="S176" s="14">
        <f>CHOOSE(CONTROL!$C$42, 8.9057, 8.9057) * CHOOSE(CONTROL!$C$21, $C$9, 100%, $E$9)</f>
        <v>8.9056999999999995</v>
      </c>
      <c r="T1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7">
        <f>(1000*CHOOSE(CONTROL!$C$42, 695, 695)*CHOOSE(CONTROL!$C$42, 0.5599, 0.5599)*CHOOSE(CONTROL!$C$42, 31, 31))/1000000</f>
        <v>12.063045499999998</v>
      </c>
      <c r="V176" s="57">
        <f>(1000*CHOOSE(CONTROL!$C$42, 500, 500)*CHOOSE(CONTROL!$C$42, 0.275, 0.275)*CHOOSE(CONTROL!$C$42, 31, 31))/1000000</f>
        <v>4.2625000000000002</v>
      </c>
      <c r="W176" s="57">
        <f>(1000*CHOOSE(CONTROL!$C$42, 0.1146, 0.1146)*CHOOSE(CONTROL!$C$42, 121.5, 121.5)*CHOOSE(CONTROL!$C$42, 31, 31))/1000000</f>
        <v>0.43164089999999994</v>
      </c>
      <c r="X176" s="57">
        <f>(31*0.1790888*245000/1000000)+(31*0.2374*100000/1000000)</f>
        <v>2.0961194359999999</v>
      </c>
      <c r="Y176" s="57"/>
      <c r="Z176" s="14"/>
      <c r="AA176" s="56"/>
      <c r="AB176" s="50">
        <f>(B176*194.205+C176*267.466+D176*133.845+E176*53.484+F176*40+G176*185+H176*0+I176*100+J176*300)/(194.205+267.466+133.845+53.484+0+40+185+100+300)</f>
        <v>9.3210891368916791</v>
      </c>
      <c r="AC176" s="45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9.1735237410071946</v>
      </c>
    </row>
    <row r="177" spans="1:29" ht="15.75" x14ac:dyDescent="0.25">
      <c r="A177" s="13">
        <v>46266</v>
      </c>
      <c r="B177" s="14">
        <f>CHOOSE(CONTROL!$C$42, 8.7082, 8.7082) * CHOOSE(CONTROL!$C$21, $C$9, 100%, $E$9)</f>
        <v>8.7081999999999997</v>
      </c>
      <c r="C177" s="14">
        <f>CHOOSE(CONTROL!$C$42, 8.7162, 8.7162) * CHOOSE(CONTROL!$C$21, $C$9, 100%, $E$9)</f>
        <v>8.7162000000000006</v>
      </c>
      <c r="D177" s="14">
        <f>CHOOSE(CONTROL!$C$42, 8.9498, 8.9498) * CHOOSE(CONTROL!$C$21, $C$9, 100%, $E$9)</f>
        <v>8.9497999999999998</v>
      </c>
      <c r="E177" s="14">
        <f>CHOOSE(CONTROL!$C$42, 8.9813, 8.9813) * CHOOSE(CONTROL!$C$21, $C$9, 100%, $E$9)</f>
        <v>8.9812999999999992</v>
      </c>
      <c r="F177" s="14">
        <f>CHOOSE(CONTROL!$C$42, 8.7062, 8.7062)*CHOOSE(CONTROL!$C$21, $C$9, 100%, $E$9)</f>
        <v>8.7062000000000008</v>
      </c>
      <c r="G177" s="14">
        <f>CHOOSE(CONTROL!$C$42, 8.7229, 8.7229)*CHOOSE(CONTROL!$C$21, $C$9, 100%, $E$9)</f>
        <v>8.7228999999999992</v>
      </c>
      <c r="H177" s="14">
        <f>CHOOSE(CONTROL!$C$42, 8.9699, 8.9699) * CHOOSE(CONTROL!$C$21, $C$9, 100%, $E$9)</f>
        <v>8.9699000000000009</v>
      </c>
      <c r="I177" s="14">
        <f>CHOOSE(CONTROL!$C$42, 8.7513, 8.7513)* CHOOSE(CONTROL!$C$21, $C$9, 100%, $E$9)</f>
        <v>8.7513000000000005</v>
      </c>
      <c r="J177" s="14">
        <f>CHOOSE(CONTROL!$C$42, 8.6992, 8.6992)* CHOOSE(CONTROL!$C$21, $C$9, 100%, $E$9)</f>
        <v>8.6991999999999994</v>
      </c>
      <c r="K177" s="53">
        <f>CHOOSE(CONTROL!$C$42, 8.7475, 8.7475) * CHOOSE(CONTROL!$C$21, $C$9, 100%, $E$9)</f>
        <v>8.7475000000000005</v>
      </c>
      <c r="L177" s="14">
        <f>CHOOSE(CONTROL!$C$42, 9.5569, 9.5569) * CHOOSE(CONTROL!$C$21, $C$9, 100%, $E$9)</f>
        <v>9.5569000000000006</v>
      </c>
      <c r="M177" s="14">
        <f>CHOOSE(CONTROL!$C$42, 8.5287, 8.5287) * CHOOSE(CONTROL!$C$21, $C$9, 100%, $E$9)</f>
        <v>8.5287000000000006</v>
      </c>
      <c r="N177" s="14">
        <f>CHOOSE(CONTROL!$C$42, 8.545, 8.545) * CHOOSE(CONTROL!$C$21, $C$9, 100%, $E$9)</f>
        <v>8.5449999999999999</v>
      </c>
      <c r="O177" s="14">
        <f>CHOOSE(CONTROL!$C$42, 8.7938, 8.7938) * CHOOSE(CONTROL!$C$21, $C$9, 100%, $E$9)</f>
        <v>8.7937999999999992</v>
      </c>
      <c r="P177" s="14">
        <f>CHOOSE(CONTROL!$C$42, 8.5793, 8.5793) * CHOOSE(CONTROL!$C$21, $C$9, 100%, $E$9)</f>
        <v>8.5792999999999999</v>
      </c>
      <c r="Q177" s="14">
        <f>CHOOSE(CONTROL!$C$42, 9.3885, 9.3885) * CHOOSE(CONTROL!$C$21, $C$9, 100%, $E$9)</f>
        <v>9.3885000000000005</v>
      </c>
      <c r="R177" s="14">
        <f>CHOOSE(CONTROL!$C$42, 9.999, 9.999) * CHOOSE(CONTROL!$C$21, $C$9, 100%, $E$9)</f>
        <v>9.9990000000000006</v>
      </c>
      <c r="S177" s="14">
        <f>CHOOSE(CONTROL!$C$42, 8.3571, 8.3571) * CHOOSE(CONTROL!$C$21, $C$9, 100%, $E$9)</f>
        <v>8.3571000000000009</v>
      </c>
      <c r="T1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7">
        <f>(1000*CHOOSE(CONTROL!$C$42, 695, 695)*CHOOSE(CONTROL!$C$42, 0.5599, 0.5599)*CHOOSE(CONTROL!$C$42, 30, 30))/1000000</f>
        <v>11.673914999999997</v>
      </c>
      <c r="V177" s="57">
        <f>(1000*CHOOSE(CONTROL!$C$42, 500, 500)*CHOOSE(CONTROL!$C$42, 0.275, 0.275)*CHOOSE(CONTROL!$C$42, 30, 30))/1000000</f>
        <v>4.125</v>
      </c>
      <c r="W177" s="57">
        <f>(1000*CHOOSE(CONTROL!$C$42, 0.1146, 0.1146)*CHOOSE(CONTROL!$C$42, 121.5, 121.5)*CHOOSE(CONTROL!$C$42, 30, 30))/1000000</f>
        <v>0.417717</v>
      </c>
      <c r="X177" s="57">
        <f>(30*0.1790888*245000/1000000)+(30*0.2374*100000/1000000)</f>
        <v>2.0285026799999999</v>
      </c>
      <c r="Y177" s="57"/>
      <c r="Z177" s="14"/>
      <c r="AA177" s="56"/>
      <c r="AB177" s="50">
        <f>(B177*194.205+C177*267.466+D177*133.845+E177*53.484+F177*40+G177*185+H177*0+I177*100+J177*300)/(194.205+267.466+133.845+53.484+0+40+185+100+300)</f>
        <v>8.7500623708006291</v>
      </c>
      <c r="AC177" s="45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8.6141136690647482</v>
      </c>
    </row>
    <row r="178" spans="1:29" ht="15.75" x14ac:dyDescent="0.25">
      <c r="A178" s="13">
        <v>46296</v>
      </c>
      <c r="B178" s="14">
        <f>CHOOSE(CONTROL!$C$42, 8.5474, 8.5474) * CHOOSE(CONTROL!$C$21, $C$9, 100%, $E$9)</f>
        <v>8.5473999999999997</v>
      </c>
      <c r="C178" s="14">
        <f>CHOOSE(CONTROL!$C$42, 8.5527, 8.5527) * CHOOSE(CONTROL!$C$21, $C$9, 100%, $E$9)</f>
        <v>8.5526999999999997</v>
      </c>
      <c r="D178" s="14">
        <f>CHOOSE(CONTROL!$C$42, 8.7913, 8.7913) * CHOOSE(CONTROL!$C$21, $C$9, 100%, $E$9)</f>
        <v>8.7912999999999997</v>
      </c>
      <c r="E178" s="14">
        <f>CHOOSE(CONTROL!$C$42, 8.8204, 8.8204) * CHOOSE(CONTROL!$C$21, $C$9, 100%, $E$9)</f>
        <v>8.8203999999999994</v>
      </c>
      <c r="F178" s="14">
        <f>CHOOSE(CONTROL!$C$42, 8.5474, 8.5474)*CHOOSE(CONTROL!$C$21, $C$9, 100%, $E$9)</f>
        <v>8.5473999999999997</v>
      </c>
      <c r="G178" s="14">
        <f>CHOOSE(CONTROL!$C$42, 8.5637, 8.5637)*CHOOSE(CONTROL!$C$21, $C$9, 100%, $E$9)</f>
        <v>8.5637000000000008</v>
      </c>
      <c r="H178" s="14">
        <f>CHOOSE(CONTROL!$C$42, 8.8109, 8.8109) * CHOOSE(CONTROL!$C$21, $C$9, 100%, $E$9)</f>
        <v>8.8109000000000002</v>
      </c>
      <c r="I178" s="14">
        <f>CHOOSE(CONTROL!$C$42, 8.5918, 8.5918)* CHOOSE(CONTROL!$C$21, $C$9, 100%, $E$9)</f>
        <v>8.5917999999999992</v>
      </c>
      <c r="J178" s="14">
        <f>CHOOSE(CONTROL!$C$42, 8.5404, 8.5404)* CHOOSE(CONTROL!$C$21, $C$9, 100%, $E$9)</f>
        <v>8.5404</v>
      </c>
      <c r="K178" s="53">
        <f>CHOOSE(CONTROL!$C$42, 8.5879, 8.5879) * CHOOSE(CONTROL!$C$21, $C$9, 100%, $E$9)</f>
        <v>8.5878999999999994</v>
      </c>
      <c r="L178" s="14">
        <f>CHOOSE(CONTROL!$C$42, 9.3979, 9.3979) * CHOOSE(CONTROL!$C$21, $C$9, 100%, $E$9)</f>
        <v>9.3978999999999999</v>
      </c>
      <c r="M178" s="14">
        <f>CHOOSE(CONTROL!$C$42, 8.3731, 8.3731) * CHOOSE(CONTROL!$C$21, $C$9, 100%, $E$9)</f>
        <v>8.3731000000000009</v>
      </c>
      <c r="N178" s="14">
        <f>CHOOSE(CONTROL!$C$42, 8.3891, 8.3891) * CHOOSE(CONTROL!$C$21, $C$9, 100%, $E$9)</f>
        <v>8.3890999999999991</v>
      </c>
      <c r="O178" s="14">
        <f>CHOOSE(CONTROL!$C$42, 8.6381, 8.6381) * CHOOSE(CONTROL!$C$21, $C$9, 100%, $E$9)</f>
        <v>8.6380999999999997</v>
      </c>
      <c r="P178" s="14">
        <f>CHOOSE(CONTROL!$C$42, 8.423, 8.423) * CHOOSE(CONTROL!$C$21, $C$9, 100%, $E$9)</f>
        <v>8.423</v>
      </c>
      <c r="Q178" s="14">
        <f>CHOOSE(CONTROL!$C$42, 9.2328, 9.2328) * CHOOSE(CONTROL!$C$21, $C$9, 100%, $E$9)</f>
        <v>9.2327999999999992</v>
      </c>
      <c r="R178" s="14">
        <f>CHOOSE(CONTROL!$C$42, 9.8428, 9.8428) * CHOOSE(CONTROL!$C$21, $C$9, 100%, $E$9)</f>
        <v>9.8428000000000004</v>
      </c>
      <c r="S178" s="14">
        <f>CHOOSE(CONTROL!$C$42, 8.2043, 8.2043) * CHOOSE(CONTROL!$C$21, $C$9, 100%, $E$9)</f>
        <v>8.2042999999999999</v>
      </c>
      <c r="T1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7">
        <f>(1000*CHOOSE(CONTROL!$C$42, 695, 695)*CHOOSE(CONTROL!$C$42, 0.5599, 0.5599)*CHOOSE(CONTROL!$C$42, 31, 31))/1000000</f>
        <v>12.063045499999998</v>
      </c>
      <c r="V178" s="57">
        <f>(1000*CHOOSE(CONTROL!$C$42, 500, 500)*CHOOSE(CONTROL!$C$42, 0.275, 0.275)*CHOOSE(CONTROL!$C$42, 31, 31))/1000000</f>
        <v>4.2625000000000002</v>
      </c>
      <c r="W178" s="57">
        <f>(1000*CHOOSE(CONTROL!$C$42, 0.1146, 0.1146)*CHOOSE(CONTROL!$C$42, 121.5, 121.5)*CHOOSE(CONTROL!$C$42, 31, 31))/1000000</f>
        <v>0.43164089999999994</v>
      </c>
      <c r="X178" s="57">
        <f>(31*0.1790888*245000/1000000)+(31*0.2374*100000/1000000)</f>
        <v>2.0961194359999999</v>
      </c>
      <c r="Y178" s="57"/>
      <c r="Z178" s="14"/>
      <c r="AA178" s="56"/>
      <c r="AB178" s="50">
        <f>(B178*131.881+C178*277.167+D178*79.08+E178*125.872+F178*40+G178*185+H178*0+I178*100+J178*300)/(131.881+277.167+79.08+125.872+0+40+185+100+300)</f>
        <v>8.5962096473769165</v>
      </c>
      <c r="AC178" s="45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8.4583158273381311</v>
      </c>
    </row>
    <row r="179" spans="1:29" ht="15.75" x14ac:dyDescent="0.25">
      <c r="A179" s="13">
        <v>46327</v>
      </c>
      <c r="B179" s="14">
        <f>CHOOSE(CONTROL!$C$42, 8.79, 8.79) * CHOOSE(CONTROL!$C$21, $C$9, 100%, $E$9)</f>
        <v>8.7899999999999991</v>
      </c>
      <c r="C179" s="14">
        <f>CHOOSE(CONTROL!$C$42, 8.795, 8.795) * CHOOSE(CONTROL!$C$21, $C$9, 100%, $E$9)</f>
        <v>8.7949999999999999</v>
      </c>
      <c r="D179" s="14">
        <f>CHOOSE(CONTROL!$C$42, 8.8692, 8.8692) * CHOOSE(CONTROL!$C$21, $C$9, 100%, $E$9)</f>
        <v>8.8691999999999993</v>
      </c>
      <c r="E179" s="14">
        <f>CHOOSE(CONTROL!$C$42, 8.9033, 8.9033) * CHOOSE(CONTROL!$C$21, $C$9, 100%, $E$9)</f>
        <v>8.9032999999999998</v>
      </c>
      <c r="F179" s="14">
        <f>CHOOSE(CONTROL!$C$42, 8.802, 8.802)*CHOOSE(CONTROL!$C$21, $C$9, 100%, $E$9)</f>
        <v>8.8019999999999996</v>
      </c>
      <c r="G179" s="14">
        <f>CHOOSE(CONTROL!$C$42, 8.8186, 8.8186)*CHOOSE(CONTROL!$C$21, $C$9, 100%, $E$9)</f>
        <v>8.8186</v>
      </c>
      <c r="H179" s="14">
        <f>CHOOSE(CONTROL!$C$42, 8.8925, 8.8925) * CHOOSE(CONTROL!$C$21, $C$9, 100%, $E$9)</f>
        <v>8.8925000000000001</v>
      </c>
      <c r="I179" s="14">
        <f>CHOOSE(CONTROL!$C$42, 8.8418, 8.8418)* CHOOSE(CONTROL!$C$21, $C$9, 100%, $E$9)</f>
        <v>8.8417999999999992</v>
      </c>
      <c r="J179" s="14">
        <f>CHOOSE(CONTROL!$C$42, 8.795, 8.795)* CHOOSE(CONTROL!$C$21, $C$9, 100%, $E$9)</f>
        <v>8.7949999999999999</v>
      </c>
      <c r="K179" s="53">
        <f>CHOOSE(CONTROL!$C$42, 8.8379, 8.8379) * CHOOSE(CONTROL!$C$21, $C$9, 100%, $E$9)</f>
        <v>8.8378999999999994</v>
      </c>
      <c r="L179" s="14">
        <f>CHOOSE(CONTROL!$C$42, 9.4795, 9.4795) * CHOOSE(CONTROL!$C$21, $C$9, 100%, $E$9)</f>
        <v>9.4794999999999998</v>
      </c>
      <c r="M179" s="14">
        <f>CHOOSE(CONTROL!$C$42, 8.6225, 8.6225) * CHOOSE(CONTROL!$C$21, $C$9, 100%, $E$9)</f>
        <v>8.6225000000000005</v>
      </c>
      <c r="N179" s="14">
        <f>CHOOSE(CONTROL!$C$42, 8.6388, 8.6388) * CHOOSE(CONTROL!$C$21, $C$9, 100%, $E$9)</f>
        <v>8.6387999999999998</v>
      </c>
      <c r="O179" s="14">
        <f>CHOOSE(CONTROL!$C$42, 8.718, 8.718) * CHOOSE(CONTROL!$C$21, $C$9, 100%, $E$9)</f>
        <v>8.718</v>
      </c>
      <c r="P179" s="14">
        <f>CHOOSE(CONTROL!$C$42, 8.6679, 8.6679) * CHOOSE(CONTROL!$C$21, $C$9, 100%, $E$9)</f>
        <v>8.6678999999999995</v>
      </c>
      <c r="Q179" s="14">
        <f>CHOOSE(CONTROL!$C$42, 9.3127, 9.3127) * CHOOSE(CONTROL!$C$21, $C$9, 100%, $E$9)</f>
        <v>9.3126999999999995</v>
      </c>
      <c r="R179" s="14">
        <f>CHOOSE(CONTROL!$C$42, 9.923, 9.923) * CHOOSE(CONTROL!$C$21, $C$9, 100%, $E$9)</f>
        <v>9.923</v>
      </c>
      <c r="S179" s="14">
        <f>CHOOSE(CONTROL!$C$42, 8.4377, 8.4377) * CHOOSE(CONTROL!$C$21, $C$9, 100%, $E$9)</f>
        <v>8.4376999999999995</v>
      </c>
      <c r="T1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7">
        <f>(1000*CHOOSE(CONTROL!$C$42, 695, 695)*CHOOSE(CONTROL!$C$42, 0.5599, 0.5599)*CHOOSE(CONTROL!$C$42, 30, 30))/1000000</f>
        <v>11.673914999999997</v>
      </c>
      <c r="V179" s="57">
        <f>(1000*CHOOSE(CONTROL!$C$42, 500, 500)*CHOOSE(CONTROL!$C$42, 0.275, 0.275)*CHOOSE(CONTROL!$C$42, 30, 30))/1000000</f>
        <v>4.125</v>
      </c>
      <c r="W179" s="57">
        <f>(1000*CHOOSE(CONTROL!$C$42, 0.1146, 0.1146)*CHOOSE(CONTROL!$C$42, 121.5, 121.5)*CHOOSE(CONTROL!$C$42, 30, 30))/1000000</f>
        <v>0.417717</v>
      </c>
      <c r="X179" s="57">
        <f>(30*0.1790888*100000/1000000)+(30*0.2374*100000/1000000)</f>
        <v>1.2494664</v>
      </c>
      <c r="Y179" s="57"/>
      <c r="Z179" s="14"/>
      <c r="AA179" s="56"/>
      <c r="AB179" s="50">
        <f>(B179*122.58+C179*297.941+D179*89.177+E179*40.302+F179*40+G179*160+H179*0+I179*100+J179*300)/(122.58+297.941+89.177+40.302+0+40+160+100+300)</f>
        <v>8.8116128173913051</v>
      </c>
      <c r="AC179" s="45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8.6732546762589937</v>
      </c>
    </row>
    <row r="180" spans="1:29" ht="15.75" x14ac:dyDescent="0.25">
      <c r="A180" s="13">
        <v>46357</v>
      </c>
      <c r="B180" s="14">
        <f>CHOOSE(CONTROL!$C$42, 9.4079, 9.4079) * CHOOSE(CONTROL!$C$21, $C$9, 100%, $E$9)</f>
        <v>9.4078999999999997</v>
      </c>
      <c r="C180" s="14">
        <f>CHOOSE(CONTROL!$C$42, 9.413, 9.413) * CHOOSE(CONTROL!$C$21, $C$9, 100%, $E$9)</f>
        <v>9.4130000000000003</v>
      </c>
      <c r="D180" s="14">
        <f>CHOOSE(CONTROL!$C$42, 9.4872, 9.4872) * CHOOSE(CONTROL!$C$21, $C$9, 100%, $E$9)</f>
        <v>9.4871999999999996</v>
      </c>
      <c r="E180" s="14">
        <f>CHOOSE(CONTROL!$C$42, 9.5213, 9.5213) * CHOOSE(CONTROL!$C$21, $C$9, 100%, $E$9)</f>
        <v>9.5213000000000001</v>
      </c>
      <c r="F180" s="14">
        <f>CHOOSE(CONTROL!$C$42, 9.4221, 9.4221)*CHOOSE(CONTROL!$C$21, $C$9, 100%, $E$9)</f>
        <v>9.4221000000000004</v>
      </c>
      <c r="G180" s="14">
        <f>CHOOSE(CONTROL!$C$42, 9.4393, 9.4393)*CHOOSE(CONTROL!$C$21, $C$9, 100%, $E$9)</f>
        <v>9.4392999999999994</v>
      </c>
      <c r="H180" s="14">
        <f>CHOOSE(CONTROL!$C$42, 9.5105, 9.5105) * CHOOSE(CONTROL!$C$21, $C$9, 100%, $E$9)</f>
        <v>9.5105000000000004</v>
      </c>
      <c r="I180" s="14">
        <f>CHOOSE(CONTROL!$C$42, 9.4617, 9.4617)* CHOOSE(CONTROL!$C$21, $C$9, 100%, $E$9)</f>
        <v>9.4617000000000004</v>
      </c>
      <c r="J180" s="14">
        <f>CHOOSE(CONTROL!$C$42, 9.4151, 9.4151)* CHOOSE(CONTROL!$C$21, $C$9, 100%, $E$9)</f>
        <v>9.4151000000000007</v>
      </c>
      <c r="K180" s="53">
        <f>CHOOSE(CONTROL!$C$42, 9.4578, 9.4578) * CHOOSE(CONTROL!$C$21, $C$9, 100%, $E$9)</f>
        <v>9.4578000000000007</v>
      </c>
      <c r="L180" s="14">
        <f>CHOOSE(CONTROL!$C$42, 10.0975, 10.0975) * CHOOSE(CONTROL!$C$21, $C$9, 100%, $E$9)</f>
        <v>10.0975</v>
      </c>
      <c r="M180" s="14">
        <f>CHOOSE(CONTROL!$C$42, 9.2299, 9.2299) * CHOOSE(CONTROL!$C$21, $C$9, 100%, $E$9)</f>
        <v>9.2299000000000007</v>
      </c>
      <c r="N180" s="14">
        <f>CHOOSE(CONTROL!$C$42, 9.2467, 9.2467) * CHOOSE(CONTROL!$C$21, $C$9, 100%, $E$9)</f>
        <v>9.2467000000000006</v>
      </c>
      <c r="O180" s="14">
        <f>CHOOSE(CONTROL!$C$42, 9.3233, 9.3233) * CHOOSE(CONTROL!$C$21, $C$9, 100%, $E$9)</f>
        <v>9.3232999999999997</v>
      </c>
      <c r="P180" s="14">
        <f>CHOOSE(CONTROL!$C$42, 9.275, 9.275) * CHOOSE(CONTROL!$C$21, $C$9, 100%, $E$9)</f>
        <v>9.2750000000000004</v>
      </c>
      <c r="Q180" s="14">
        <f>CHOOSE(CONTROL!$C$42, 9.918, 9.918) * CHOOSE(CONTROL!$C$21, $C$9, 100%, $E$9)</f>
        <v>9.9179999999999993</v>
      </c>
      <c r="R180" s="14">
        <f>CHOOSE(CONTROL!$C$42, 10.5298, 10.5298) * CHOOSE(CONTROL!$C$21, $C$9, 100%, $E$9)</f>
        <v>10.5298</v>
      </c>
      <c r="S180" s="14">
        <f>CHOOSE(CONTROL!$C$42, 9.0315, 9.0315) * CHOOSE(CONTROL!$C$21, $C$9, 100%, $E$9)</f>
        <v>9.0314999999999994</v>
      </c>
      <c r="T1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7">
        <f>(1000*CHOOSE(CONTROL!$C$42, 695, 695)*CHOOSE(CONTROL!$C$42, 0.5599, 0.5599)*CHOOSE(CONTROL!$C$42, 31, 31))/1000000</f>
        <v>12.063045499999998</v>
      </c>
      <c r="V180" s="57">
        <f>(1000*CHOOSE(CONTROL!$C$42, 500, 500)*CHOOSE(CONTROL!$C$42, 0.275, 0.275)*CHOOSE(CONTROL!$C$42, 31, 31))/1000000</f>
        <v>4.2625000000000002</v>
      </c>
      <c r="W180" s="57">
        <f>(1000*CHOOSE(CONTROL!$C$42, 0.1146, 0.1146)*CHOOSE(CONTROL!$C$42, 121.5, 121.5)*CHOOSE(CONTROL!$C$42, 31, 31))/1000000</f>
        <v>0.43164089999999994</v>
      </c>
      <c r="X180" s="57">
        <f>(31*0.1790888*100000/1000000)+(31*0.2374*100000/1000000)</f>
        <v>1.2911152800000001</v>
      </c>
      <c r="Y180" s="57"/>
      <c r="Z180" s="14"/>
      <c r="AA180" s="56"/>
      <c r="AB180" s="50">
        <f>(B180*122.58+C180*297.941+D180*89.177+E180*40.302+F180*40+G180*160+H180*0+I180*100+J180*300)/(122.58+297.941+89.177+40.302+0+40+160+100+300)</f>
        <v>9.4307638973913051</v>
      </c>
      <c r="AC180" s="45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9.2796884892086329</v>
      </c>
    </row>
    <row r="181" spans="1:29" ht="15.75" x14ac:dyDescent="0.25">
      <c r="A181" s="13">
        <v>46388</v>
      </c>
      <c r="B181" s="14">
        <f>CHOOSE(CONTROL!$C$42, 9.9159, 9.9159) * CHOOSE(CONTROL!$C$21, $C$9, 100%, $E$9)</f>
        <v>9.9159000000000006</v>
      </c>
      <c r="C181" s="14">
        <f>CHOOSE(CONTROL!$C$42, 9.921, 9.921) * CHOOSE(CONTROL!$C$21, $C$9, 100%, $E$9)</f>
        <v>9.9209999999999994</v>
      </c>
      <c r="D181" s="14">
        <f>CHOOSE(CONTROL!$C$42, 9.9978, 9.9978) * CHOOSE(CONTROL!$C$21, $C$9, 100%, $E$9)</f>
        <v>9.9977999999999998</v>
      </c>
      <c r="E181" s="14">
        <f>CHOOSE(CONTROL!$C$42, 10.0319, 10.0319) * CHOOSE(CONTROL!$C$21, $C$9, 100%, $E$9)</f>
        <v>10.0319</v>
      </c>
      <c r="F181" s="14">
        <f>CHOOSE(CONTROL!$C$42, 9.9161, 9.9161)*CHOOSE(CONTROL!$C$21, $C$9, 100%, $E$9)</f>
        <v>9.9161000000000001</v>
      </c>
      <c r="G181" s="14">
        <f>CHOOSE(CONTROL!$C$42, 9.9323, 9.9323)*CHOOSE(CONTROL!$C$21, $C$9, 100%, $E$9)</f>
        <v>9.9322999999999997</v>
      </c>
      <c r="H181" s="14">
        <f>CHOOSE(CONTROL!$C$42, 10.0211, 10.0211) * CHOOSE(CONTROL!$C$21, $C$9, 100%, $E$9)</f>
        <v>10.021100000000001</v>
      </c>
      <c r="I181" s="14">
        <f>CHOOSE(CONTROL!$C$42, 9.965, 9.965)* CHOOSE(CONTROL!$C$21, $C$9, 100%, $E$9)</f>
        <v>9.9649999999999999</v>
      </c>
      <c r="J181" s="14">
        <f>CHOOSE(CONTROL!$C$42, 9.9091, 9.9091)* CHOOSE(CONTROL!$C$21, $C$9, 100%, $E$9)</f>
        <v>9.9091000000000005</v>
      </c>
      <c r="K181" s="53">
        <f>CHOOSE(CONTROL!$C$42, 9.9611, 9.9611) * CHOOSE(CONTROL!$C$21, $C$9, 100%, $E$9)</f>
        <v>9.9611000000000001</v>
      </c>
      <c r="L181" s="14">
        <f>CHOOSE(CONTROL!$C$42, 10.6081, 10.6081) * CHOOSE(CONTROL!$C$21, $C$9, 100%, $E$9)</f>
        <v>10.6081</v>
      </c>
      <c r="M181" s="14">
        <f>CHOOSE(CONTROL!$C$42, 9.7138, 9.7138) * CHOOSE(CONTROL!$C$21, $C$9, 100%, $E$9)</f>
        <v>9.7138000000000009</v>
      </c>
      <c r="N181" s="14">
        <f>CHOOSE(CONTROL!$C$42, 9.7296, 9.7296) * CHOOSE(CONTROL!$C$21, $C$9, 100%, $E$9)</f>
        <v>9.7295999999999996</v>
      </c>
      <c r="O181" s="14">
        <f>CHOOSE(CONTROL!$C$42, 9.8234, 9.8234) * CHOOSE(CONTROL!$C$21, $C$9, 100%, $E$9)</f>
        <v>9.8233999999999995</v>
      </c>
      <c r="P181" s="14">
        <f>CHOOSE(CONTROL!$C$42, 9.768, 9.768) * CHOOSE(CONTROL!$C$21, $C$9, 100%, $E$9)</f>
        <v>9.7680000000000007</v>
      </c>
      <c r="Q181" s="14">
        <f>CHOOSE(CONTROL!$C$42, 10.4181, 10.4181) * CHOOSE(CONTROL!$C$21, $C$9, 100%, $E$9)</f>
        <v>10.418100000000001</v>
      </c>
      <c r="R181" s="14">
        <f>CHOOSE(CONTROL!$C$42, 11.0312, 11.0312) * CHOOSE(CONTROL!$C$21, $C$9, 100%, $E$9)</f>
        <v>11.0312</v>
      </c>
      <c r="S181" s="14">
        <f>CHOOSE(CONTROL!$C$42, 9.5196, 9.5196) * CHOOSE(CONTROL!$C$21, $C$9, 100%, $E$9)</f>
        <v>9.5196000000000005</v>
      </c>
      <c r="T1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7">
        <f>(1000*CHOOSE(CONTROL!$C$42, 695, 695)*CHOOSE(CONTROL!$C$42, 0.5599, 0.5599)*CHOOSE(CONTROL!$C$42, 31, 31))/1000000</f>
        <v>12.063045499999998</v>
      </c>
      <c r="V181" s="57">
        <f>(1000*CHOOSE(CONTROL!$C$42, 500, 500)*CHOOSE(CONTROL!$C$42, 0.275, 0.275)*CHOOSE(CONTROL!$C$42, 31, 31))/1000000</f>
        <v>4.2625000000000002</v>
      </c>
      <c r="W181" s="57">
        <f>(1000*CHOOSE(CONTROL!$C$42, 0.1146, 0.1146)*CHOOSE(CONTROL!$C$42, 121.5, 121.5)*CHOOSE(CONTROL!$C$42, 31, 31))/1000000</f>
        <v>0.43164089999999994</v>
      </c>
      <c r="X181" s="57">
        <f>(31*0.1790888*100000/1000000)+(31*0.2374*100000/1000000)</f>
        <v>1.2911152800000001</v>
      </c>
      <c r="Y181" s="57"/>
      <c r="Z181" s="14"/>
      <c r="AA181" s="56"/>
      <c r="AB181" s="50">
        <f>(B181*122.58+C181*297.941+D181*89.177+E181*40.302+F181*40+G181*160+H181*0+I181*100+J181*300)/(122.58+297.941+89.177+40.302+0+40+160+100+300)</f>
        <v>9.9324218499130428</v>
      </c>
      <c r="AC181" s="45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9.7721827338129508</v>
      </c>
    </row>
    <row r="182" spans="1:29" ht="15.75" x14ac:dyDescent="0.25">
      <c r="A182" s="13">
        <v>46419</v>
      </c>
      <c r="B182" s="14">
        <f>CHOOSE(CONTROL!$C$42, 10.113, 10.113) * CHOOSE(CONTROL!$C$21, $C$9, 100%, $E$9)</f>
        <v>10.113</v>
      </c>
      <c r="C182" s="14">
        <f>CHOOSE(CONTROL!$C$42, 10.1181, 10.1181) * CHOOSE(CONTROL!$C$21, $C$9, 100%, $E$9)</f>
        <v>10.1181</v>
      </c>
      <c r="D182" s="14">
        <f>CHOOSE(CONTROL!$C$42, 10.1949, 10.1949) * CHOOSE(CONTROL!$C$21, $C$9, 100%, $E$9)</f>
        <v>10.194900000000001</v>
      </c>
      <c r="E182" s="14">
        <f>CHOOSE(CONTROL!$C$42, 10.229, 10.229) * CHOOSE(CONTROL!$C$21, $C$9, 100%, $E$9)</f>
        <v>10.228999999999999</v>
      </c>
      <c r="F182" s="14">
        <f>CHOOSE(CONTROL!$C$42, 10.1133, 10.1133)*CHOOSE(CONTROL!$C$21, $C$9, 100%, $E$9)</f>
        <v>10.113300000000001</v>
      </c>
      <c r="G182" s="14">
        <f>CHOOSE(CONTROL!$C$42, 10.1295, 10.1295)*CHOOSE(CONTROL!$C$21, $C$9, 100%, $E$9)</f>
        <v>10.1295</v>
      </c>
      <c r="H182" s="14">
        <f>CHOOSE(CONTROL!$C$42, 10.2182, 10.2182) * CHOOSE(CONTROL!$C$21, $C$9, 100%, $E$9)</f>
        <v>10.2182</v>
      </c>
      <c r="I182" s="14">
        <f>CHOOSE(CONTROL!$C$42, 10.1627, 10.1627)* CHOOSE(CONTROL!$C$21, $C$9, 100%, $E$9)</f>
        <v>10.162699999999999</v>
      </c>
      <c r="J182" s="14">
        <f>CHOOSE(CONTROL!$C$42, 10.1063, 10.1063)* CHOOSE(CONTROL!$C$21, $C$9, 100%, $E$9)</f>
        <v>10.106299999999999</v>
      </c>
      <c r="K182" s="53">
        <f>CHOOSE(CONTROL!$C$42, 10.1588, 10.1588) * CHOOSE(CONTROL!$C$21, $C$9, 100%, $E$9)</f>
        <v>10.158799999999999</v>
      </c>
      <c r="L182" s="14">
        <f>CHOOSE(CONTROL!$C$42, 10.8052, 10.8052) * CHOOSE(CONTROL!$C$21, $C$9, 100%, $E$9)</f>
        <v>10.805199999999999</v>
      </c>
      <c r="M182" s="14">
        <f>CHOOSE(CONTROL!$C$42, 9.9069, 9.9069) * CHOOSE(CONTROL!$C$21, $C$9, 100%, $E$9)</f>
        <v>9.9069000000000003</v>
      </c>
      <c r="N182" s="14">
        <f>CHOOSE(CONTROL!$C$42, 9.9228, 9.9228) * CHOOSE(CONTROL!$C$21, $C$9, 100%, $E$9)</f>
        <v>9.9228000000000005</v>
      </c>
      <c r="O182" s="14">
        <f>CHOOSE(CONTROL!$C$42, 10.0165, 10.0165) * CHOOSE(CONTROL!$C$21, $C$9, 100%, $E$9)</f>
        <v>10.016500000000001</v>
      </c>
      <c r="P182" s="14">
        <f>CHOOSE(CONTROL!$C$42, 9.9616, 9.9616) * CHOOSE(CONTROL!$C$21, $C$9, 100%, $E$9)</f>
        <v>9.9616000000000007</v>
      </c>
      <c r="Q182" s="14">
        <f>CHOOSE(CONTROL!$C$42, 10.6112, 10.6112) * CHOOSE(CONTROL!$C$21, $C$9, 100%, $E$9)</f>
        <v>10.6112</v>
      </c>
      <c r="R182" s="14">
        <f>CHOOSE(CONTROL!$C$42, 11.2247, 11.2247) * CHOOSE(CONTROL!$C$21, $C$9, 100%, $E$9)</f>
        <v>11.2247</v>
      </c>
      <c r="S182" s="14">
        <f>CHOOSE(CONTROL!$C$42, 9.709, 9.709) * CHOOSE(CONTROL!$C$21, $C$9, 100%, $E$9)</f>
        <v>9.7089999999999996</v>
      </c>
      <c r="T1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7">
        <f>(1000*CHOOSE(CONTROL!$C$42, 695, 695)*CHOOSE(CONTROL!$C$42, 0.5599, 0.5599)*CHOOSE(CONTROL!$C$42, 28, 28))/1000000</f>
        <v>10.895653999999999</v>
      </c>
      <c r="V182" s="57">
        <f>(1000*CHOOSE(CONTROL!$C$42, 500, 500)*CHOOSE(CONTROL!$C$42, 0.275, 0.275)*CHOOSE(CONTROL!$C$42, 28, 28))/1000000</f>
        <v>3.85</v>
      </c>
      <c r="W182" s="57">
        <f>(1000*CHOOSE(CONTROL!$C$42, 0.1146, 0.1146)*CHOOSE(CONTROL!$C$42, 121.5, 121.5)*CHOOSE(CONTROL!$C$42, 28, 28))/1000000</f>
        <v>0.38986920000000003</v>
      </c>
      <c r="X182" s="57">
        <f>(28*0.1790888*100000/1000000)+(28*0.2374*100000/1000000)</f>
        <v>1.16616864</v>
      </c>
      <c r="Y182" s="57"/>
      <c r="Z182" s="14"/>
      <c r="AA182" s="56"/>
      <c r="AB182" s="50">
        <f>(B182*122.58+C182*297.941+D182*89.177+E182*40.302+F182*40+G182*160+H182*0+I182*100+J182*300)/(122.58+297.941+89.177+40.302+0+40+160+100+300)</f>
        <v>10.129617502086955</v>
      </c>
      <c r="AC182" s="45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9.9653604316546769</v>
      </c>
    </row>
    <row r="183" spans="1:29" ht="15.75" x14ac:dyDescent="0.25">
      <c r="A183" s="13">
        <v>46447</v>
      </c>
      <c r="B183" s="14">
        <f>CHOOSE(CONTROL!$C$42, 9.8464, 9.8464) * CHOOSE(CONTROL!$C$21, $C$9, 100%, $E$9)</f>
        <v>9.8463999999999992</v>
      </c>
      <c r="C183" s="14">
        <f>CHOOSE(CONTROL!$C$42, 9.8514, 9.8514) * CHOOSE(CONTROL!$C$21, $C$9, 100%, $E$9)</f>
        <v>9.8513999999999999</v>
      </c>
      <c r="D183" s="14">
        <f>CHOOSE(CONTROL!$C$42, 9.9283, 9.9283) * CHOOSE(CONTROL!$C$21, $C$9, 100%, $E$9)</f>
        <v>9.9283000000000001</v>
      </c>
      <c r="E183" s="14">
        <f>CHOOSE(CONTROL!$C$42, 9.9624, 9.9624) * CHOOSE(CONTROL!$C$21, $C$9, 100%, $E$9)</f>
        <v>9.9624000000000006</v>
      </c>
      <c r="F183" s="14">
        <f>CHOOSE(CONTROL!$C$42, 9.8462, 9.8462)*CHOOSE(CONTROL!$C$21, $C$9, 100%, $E$9)</f>
        <v>9.8461999999999996</v>
      </c>
      <c r="G183" s="14">
        <f>CHOOSE(CONTROL!$C$42, 9.8623, 9.8623)*CHOOSE(CONTROL!$C$21, $C$9, 100%, $E$9)</f>
        <v>9.8622999999999994</v>
      </c>
      <c r="H183" s="14">
        <f>CHOOSE(CONTROL!$C$42, 9.9516, 9.9516) * CHOOSE(CONTROL!$C$21, $C$9, 100%, $E$9)</f>
        <v>9.9515999999999991</v>
      </c>
      <c r="I183" s="14">
        <f>CHOOSE(CONTROL!$C$42, 9.8953, 9.8953)* CHOOSE(CONTROL!$C$21, $C$9, 100%, $E$9)</f>
        <v>9.8953000000000007</v>
      </c>
      <c r="J183" s="14">
        <f>CHOOSE(CONTROL!$C$42, 9.8392, 9.8392)* CHOOSE(CONTROL!$C$21, $C$9, 100%, $E$9)</f>
        <v>9.8391999999999999</v>
      </c>
      <c r="K183" s="53">
        <f>CHOOSE(CONTROL!$C$42, 9.8914, 9.8914) * CHOOSE(CONTROL!$C$21, $C$9, 100%, $E$9)</f>
        <v>9.8914000000000009</v>
      </c>
      <c r="L183" s="14">
        <f>CHOOSE(CONTROL!$C$42, 10.5386, 10.5386) * CHOOSE(CONTROL!$C$21, $C$9, 100%, $E$9)</f>
        <v>10.538600000000001</v>
      </c>
      <c r="M183" s="14">
        <f>CHOOSE(CONTROL!$C$42, 9.6453, 9.6453) * CHOOSE(CONTROL!$C$21, $C$9, 100%, $E$9)</f>
        <v>9.6453000000000007</v>
      </c>
      <c r="N183" s="14">
        <f>CHOOSE(CONTROL!$C$42, 9.661, 9.661) * CHOOSE(CONTROL!$C$21, $C$9, 100%, $E$9)</f>
        <v>9.6609999999999996</v>
      </c>
      <c r="O183" s="14">
        <f>CHOOSE(CONTROL!$C$42, 9.7554, 9.7554) * CHOOSE(CONTROL!$C$21, $C$9, 100%, $E$9)</f>
        <v>9.7553999999999998</v>
      </c>
      <c r="P183" s="14">
        <f>CHOOSE(CONTROL!$C$42, 9.6997, 9.6997) * CHOOSE(CONTROL!$C$21, $C$9, 100%, $E$9)</f>
        <v>9.6997</v>
      </c>
      <c r="Q183" s="14">
        <f>CHOOSE(CONTROL!$C$42, 10.3501, 10.3501) * CHOOSE(CONTROL!$C$21, $C$9, 100%, $E$9)</f>
        <v>10.350099999999999</v>
      </c>
      <c r="R183" s="14">
        <f>CHOOSE(CONTROL!$C$42, 10.9629, 10.9629) * CHOOSE(CONTROL!$C$21, $C$9, 100%, $E$9)</f>
        <v>10.962899999999999</v>
      </c>
      <c r="S183" s="14">
        <f>CHOOSE(CONTROL!$C$42, 9.4528, 9.4528) * CHOOSE(CONTROL!$C$21, $C$9, 100%, $E$9)</f>
        <v>9.4527999999999999</v>
      </c>
      <c r="T1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7">
        <f>(1000*CHOOSE(CONTROL!$C$42, 695, 695)*CHOOSE(CONTROL!$C$42, 0.5599, 0.5599)*CHOOSE(CONTROL!$C$42, 31, 31))/1000000</f>
        <v>12.063045499999998</v>
      </c>
      <c r="V183" s="57">
        <f>(1000*CHOOSE(CONTROL!$C$42, 500, 500)*CHOOSE(CONTROL!$C$42, 0.275, 0.275)*CHOOSE(CONTROL!$C$42, 31, 31))/1000000</f>
        <v>4.2625000000000002</v>
      </c>
      <c r="W183" s="57">
        <f>(1000*CHOOSE(CONTROL!$C$42, 0.1146, 0.1146)*CHOOSE(CONTROL!$C$42, 121.5, 121.5)*CHOOSE(CONTROL!$C$42, 31, 31))/1000000</f>
        <v>0.43164089999999994</v>
      </c>
      <c r="X183" s="57">
        <f>(31*0.1790888*100000/1000000)+(31*0.2374*100000/1000000)</f>
        <v>1.2911152800000001</v>
      </c>
      <c r="Y183" s="57"/>
      <c r="Z183" s="14"/>
      <c r="AA183" s="56"/>
      <c r="AB183" s="50">
        <f>(B183*122.58+C183*297.941+D183*89.177+E183*40.302+F183*40+G183*160+H183*0+I183*100+J183*300)/(122.58+297.941+89.177+40.302+0+40+160+100+300)</f>
        <v>9.8626907246086954</v>
      </c>
      <c r="AC183" s="45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9.7039323741007202</v>
      </c>
    </row>
    <row r="184" spans="1:29" ht="15.75" x14ac:dyDescent="0.25">
      <c r="A184" s="13">
        <v>46478</v>
      </c>
      <c r="B184" s="14">
        <f>CHOOSE(CONTROL!$C$42, 9.8384, 9.8384) * CHOOSE(CONTROL!$C$21, $C$9, 100%, $E$9)</f>
        <v>9.8384</v>
      </c>
      <c r="C184" s="14">
        <f>CHOOSE(CONTROL!$C$42, 9.8429, 9.8429) * CHOOSE(CONTROL!$C$21, $C$9, 100%, $E$9)</f>
        <v>9.8429000000000002</v>
      </c>
      <c r="D184" s="14">
        <f>CHOOSE(CONTROL!$C$42, 10.0796, 10.0796) * CHOOSE(CONTROL!$C$21, $C$9, 100%, $E$9)</f>
        <v>10.079599999999999</v>
      </c>
      <c r="E184" s="14">
        <f>CHOOSE(CONTROL!$C$42, 10.1117, 10.1117) * CHOOSE(CONTROL!$C$21, $C$9, 100%, $E$9)</f>
        <v>10.111700000000001</v>
      </c>
      <c r="F184" s="14">
        <f>CHOOSE(CONTROL!$C$42, 9.8363, 9.8363)*CHOOSE(CONTROL!$C$21, $C$9, 100%, $E$9)</f>
        <v>9.8362999999999996</v>
      </c>
      <c r="G184" s="14">
        <f>CHOOSE(CONTROL!$C$42, 9.8521, 9.8521)*CHOOSE(CONTROL!$C$21, $C$9, 100%, $E$9)</f>
        <v>9.8521000000000001</v>
      </c>
      <c r="H184" s="14">
        <f>CHOOSE(CONTROL!$C$42, 10.1015, 10.1015) * CHOOSE(CONTROL!$C$21, $C$9, 100%, $E$9)</f>
        <v>10.1015</v>
      </c>
      <c r="I184" s="14">
        <f>CHOOSE(CONTROL!$C$42, 9.8865, 9.8865)* CHOOSE(CONTROL!$C$21, $C$9, 100%, $E$9)</f>
        <v>9.8864999999999998</v>
      </c>
      <c r="J184" s="14">
        <f>CHOOSE(CONTROL!$C$42, 9.8293, 9.8293)* CHOOSE(CONTROL!$C$21, $C$9, 100%, $E$9)</f>
        <v>9.8292999999999999</v>
      </c>
      <c r="K184" s="53">
        <f>CHOOSE(CONTROL!$C$42, 9.8826, 9.8826) * CHOOSE(CONTROL!$C$21, $C$9, 100%, $E$9)</f>
        <v>9.8826000000000001</v>
      </c>
      <c r="L184" s="14">
        <f>CHOOSE(CONTROL!$C$42, 10.6885, 10.6885) * CHOOSE(CONTROL!$C$21, $C$9, 100%, $E$9)</f>
        <v>10.688499999999999</v>
      </c>
      <c r="M184" s="14">
        <f>CHOOSE(CONTROL!$C$42, 9.6356, 9.6356) * CHOOSE(CONTROL!$C$21, $C$9, 100%, $E$9)</f>
        <v>9.6356000000000002</v>
      </c>
      <c r="N184" s="14">
        <f>CHOOSE(CONTROL!$C$42, 9.6511, 9.6511) * CHOOSE(CONTROL!$C$21, $C$9, 100%, $E$9)</f>
        <v>9.6510999999999996</v>
      </c>
      <c r="O184" s="14">
        <f>CHOOSE(CONTROL!$C$42, 9.9022, 9.9022) * CHOOSE(CONTROL!$C$21, $C$9, 100%, $E$9)</f>
        <v>9.9022000000000006</v>
      </c>
      <c r="P184" s="14">
        <f>CHOOSE(CONTROL!$C$42, 9.691, 9.691) * CHOOSE(CONTROL!$C$21, $C$9, 100%, $E$9)</f>
        <v>9.6910000000000007</v>
      </c>
      <c r="Q184" s="14">
        <f>CHOOSE(CONTROL!$C$42, 10.4969, 10.4969) * CHOOSE(CONTROL!$C$21, $C$9, 100%, $E$9)</f>
        <v>10.4969</v>
      </c>
      <c r="R184" s="14">
        <f>CHOOSE(CONTROL!$C$42, 11.1101, 11.1101) * CHOOSE(CONTROL!$C$21, $C$9, 100%, $E$9)</f>
        <v>11.110099999999999</v>
      </c>
      <c r="S184" s="14">
        <f>CHOOSE(CONTROL!$C$42, 9.4444, 9.4444) * CHOOSE(CONTROL!$C$21, $C$9, 100%, $E$9)</f>
        <v>9.4443999999999999</v>
      </c>
      <c r="T1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7">
        <f>(1000*CHOOSE(CONTROL!$C$42, 695, 695)*CHOOSE(CONTROL!$C$42, 0.5599, 0.5599)*CHOOSE(CONTROL!$C$42, 30, 30))/1000000</f>
        <v>11.673914999999997</v>
      </c>
      <c r="V184" s="57">
        <f>(1000*CHOOSE(CONTROL!$C$42, 500, 500)*CHOOSE(CONTROL!$C$42, 0.275, 0.275)*CHOOSE(CONTROL!$C$42, 30, 30))/1000000</f>
        <v>4.125</v>
      </c>
      <c r="W184" s="57">
        <f>(1000*CHOOSE(CONTROL!$C$42, 0.1146, 0.1146)*CHOOSE(CONTROL!$C$42, 121.5, 121.5)*CHOOSE(CONTROL!$C$42, 30, 30))/1000000</f>
        <v>0.417717</v>
      </c>
      <c r="X184" s="57">
        <f>(30*0.1790888*245000/1000000)+(30*0.2374*100000/1000000)</f>
        <v>2.0285026799999999</v>
      </c>
      <c r="Y184" s="57"/>
      <c r="Z184" s="14"/>
      <c r="AA184" s="56"/>
      <c r="AB184" s="50">
        <f>(B184*141.293+C184*267.993+D184*115.016+E184*89.698+F184*40+G184*185+H184*0+I184*100+J184*300)/(141.293+267.993+115.016+89.698+0+40+185+100+300)</f>
        <v>9.8852061267958025</v>
      </c>
      <c r="AC184" s="45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9.7219410071942445</v>
      </c>
    </row>
    <row r="185" spans="1:29" ht="15.75" x14ac:dyDescent="0.25">
      <c r="A185" s="13">
        <v>46508</v>
      </c>
      <c r="B185" s="14">
        <f>CHOOSE(CONTROL!$C$42, 9.9469, 9.9469) * CHOOSE(CONTROL!$C$21, $C$9, 100%, $E$9)</f>
        <v>9.9468999999999994</v>
      </c>
      <c r="C185" s="14">
        <f>CHOOSE(CONTROL!$C$42, 9.955, 9.955) * CHOOSE(CONTROL!$C$21, $C$9, 100%, $E$9)</f>
        <v>9.9550000000000001</v>
      </c>
      <c r="D185" s="14">
        <f>CHOOSE(CONTROL!$C$42, 10.1885, 10.1885) * CHOOSE(CONTROL!$C$21, $C$9, 100%, $E$9)</f>
        <v>10.188499999999999</v>
      </c>
      <c r="E185" s="14">
        <f>CHOOSE(CONTROL!$C$42, 10.22, 10.22) * CHOOSE(CONTROL!$C$21, $C$9, 100%, $E$9)</f>
        <v>10.220000000000001</v>
      </c>
      <c r="F185" s="14">
        <f>CHOOSE(CONTROL!$C$42, 9.9437, 9.9437)*CHOOSE(CONTROL!$C$21, $C$9, 100%, $E$9)</f>
        <v>9.9436999999999998</v>
      </c>
      <c r="G185" s="14">
        <f>CHOOSE(CONTROL!$C$42, 9.96, 9.96)*CHOOSE(CONTROL!$C$21, $C$9, 100%, $E$9)</f>
        <v>9.9600000000000009</v>
      </c>
      <c r="H185" s="14">
        <f>CHOOSE(CONTROL!$C$42, 10.2086, 10.2086) * CHOOSE(CONTROL!$C$21, $C$9, 100%, $E$9)</f>
        <v>10.208600000000001</v>
      </c>
      <c r="I185" s="14">
        <f>CHOOSE(CONTROL!$C$42, 9.994, 9.994)* CHOOSE(CONTROL!$C$21, $C$9, 100%, $E$9)</f>
        <v>9.9939999999999998</v>
      </c>
      <c r="J185" s="14">
        <f>CHOOSE(CONTROL!$C$42, 9.9367, 9.9367)* CHOOSE(CONTROL!$C$21, $C$9, 100%, $E$9)</f>
        <v>9.9367000000000001</v>
      </c>
      <c r="K185" s="53">
        <f>CHOOSE(CONTROL!$C$42, 9.9901, 9.9901) * CHOOSE(CONTROL!$C$21, $C$9, 100%, $E$9)</f>
        <v>9.9901</v>
      </c>
      <c r="L185" s="14">
        <f>CHOOSE(CONTROL!$C$42, 10.7956, 10.7956) * CHOOSE(CONTROL!$C$21, $C$9, 100%, $E$9)</f>
        <v>10.7956</v>
      </c>
      <c r="M185" s="14">
        <f>CHOOSE(CONTROL!$C$42, 9.7408, 9.7408) * CHOOSE(CONTROL!$C$21, $C$9, 100%, $E$9)</f>
        <v>9.7408000000000001</v>
      </c>
      <c r="N185" s="14">
        <f>CHOOSE(CONTROL!$C$42, 9.7568, 9.7568) * CHOOSE(CONTROL!$C$21, $C$9, 100%, $E$9)</f>
        <v>9.7568000000000001</v>
      </c>
      <c r="O185" s="14">
        <f>CHOOSE(CONTROL!$C$42, 10.0072, 10.0072) * CHOOSE(CONTROL!$C$21, $C$9, 100%, $E$9)</f>
        <v>10.007199999999999</v>
      </c>
      <c r="P185" s="14">
        <f>CHOOSE(CONTROL!$C$42, 9.7963, 9.7963) * CHOOSE(CONTROL!$C$21, $C$9, 100%, $E$9)</f>
        <v>9.7963000000000005</v>
      </c>
      <c r="Q185" s="14">
        <f>CHOOSE(CONTROL!$C$42, 10.6019, 10.6019) * CHOOSE(CONTROL!$C$21, $C$9, 100%, $E$9)</f>
        <v>10.601900000000001</v>
      </c>
      <c r="R185" s="14">
        <f>CHOOSE(CONTROL!$C$42, 11.2154, 11.2154) * CHOOSE(CONTROL!$C$21, $C$9, 100%, $E$9)</f>
        <v>11.215400000000001</v>
      </c>
      <c r="S185" s="14">
        <f>CHOOSE(CONTROL!$C$42, 9.5474, 9.5474) * CHOOSE(CONTROL!$C$21, $C$9, 100%, $E$9)</f>
        <v>9.5473999999999997</v>
      </c>
      <c r="T1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7">
        <f>(1000*CHOOSE(CONTROL!$C$42, 695, 695)*CHOOSE(CONTROL!$C$42, 0.5599, 0.5599)*CHOOSE(CONTROL!$C$42, 31, 31))/1000000</f>
        <v>12.063045499999998</v>
      </c>
      <c r="V185" s="57">
        <f>(1000*CHOOSE(CONTROL!$C$42, 500, 500)*CHOOSE(CONTROL!$C$42, 0.275, 0.275)*CHOOSE(CONTROL!$C$42, 31, 31))/1000000</f>
        <v>4.2625000000000002</v>
      </c>
      <c r="W185" s="57">
        <f>(1000*CHOOSE(CONTROL!$C$42, 0.1146, 0.1146)*CHOOSE(CONTROL!$C$42, 121.5, 121.5)*CHOOSE(CONTROL!$C$42, 31, 31))/1000000</f>
        <v>0.43164089999999994</v>
      </c>
      <c r="X185" s="57">
        <f>(31*0.1790888*245000/1000000)+(31*0.2374*100000/1000000)</f>
        <v>2.0961194359999999</v>
      </c>
      <c r="Y185" s="57"/>
      <c r="Z185" s="14"/>
      <c r="AA185" s="56"/>
      <c r="AB185" s="50">
        <f>(B185*194.205+C185*267.466+D185*133.845+E185*53.484+F185*40+G185*185+H185*0+I185*100+J185*300)/(194.205+267.466+133.845+53.484+0+40+185+100+300)</f>
        <v>9.9885447464678183</v>
      </c>
      <c r="AC185" s="45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9.8272143884892085</v>
      </c>
    </row>
    <row r="186" spans="1:29" ht="15.75" x14ac:dyDescent="0.25">
      <c r="A186" s="13">
        <v>46539</v>
      </c>
      <c r="B186" s="14">
        <f>CHOOSE(CONTROL!$C$42, 10.2498, 10.2498) * CHOOSE(CONTROL!$C$21, $C$9, 100%, $E$9)</f>
        <v>10.2498</v>
      </c>
      <c r="C186" s="14">
        <f>CHOOSE(CONTROL!$C$42, 10.2578, 10.2578) * CHOOSE(CONTROL!$C$21, $C$9, 100%, $E$9)</f>
        <v>10.2578</v>
      </c>
      <c r="D186" s="14">
        <f>CHOOSE(CONTROL!$C$42, 10.4914, 10.4914) * CHOOSE(CONTROL!$C$21, $C$9, 100%, $E$9)</f>
        <v>10.491400000000001</v>
      </c>
      <c r="E186" s="14">
        <f>CHOOSE(CONTROL!$C$42, 10.5229, 10.5229) * CHOOSE(CONTROL!$C$21, $C$9, 100%, $E$9)</f>
        <v>10.5229</v>
      </c>
      <c r="F186" s="14">
        <f>CHOOSE(CONTROL!$C$42, 10.247, 10.247)*CHOOSE(CONTROL!$C$21, $C$9, 100%, $E$9)</f>
        <v>10.247</v>
      </c>
      <c r="G186" s="14">
        <f>CHOOSE(CONTROL!$C$42, 10.2635, 10.2635)*CHOOSE(CONTROL!$C$21, $C$9, 100%, $E$9)</f>
        <v>10.263500000000001</v>
      </c>
      <c r="H186" s="14">
        <f>CHOOSE(CONTROL!$C$42, 10.5115, 10.5115) * CHOOSE(CONTROL!$C$21, $C$9, 100%, $E$9)</f>
        <v>10.5115</v>
      </c>
      <c r="I186" s="14">
        <f>CHOOSE(CONTROL!$C$42, 10.2978, 10.2978)* CHOOSE(CONTROL!$C$21, $C$9, 100%, $E$9)</f>
        <v>10.297800000000001</v>
      </c>
      <c r="J186" s="14">
        <f>CHOOSE(CONTROL!$C$42, 10.24, 10.24)* CHOOSE(CONTROL!$C$21, $C$9, 100%, $E$9)</f>
        <v>10.24</v>
      </c>
      <c r="K186" s="53">
        <f>CHOOSE(CONTROL!$C$42, 10.2939, 10.2939) * CHOOSE(CONTROL!$C$21, $C$9, 100%, $E$9)</f>
        <v>10.293900000000001</v>
      </c>
      <c r="L186" s="14">
        <f>CHOOSE(CONTROL!$C$42, 11.0985, 11.0985) * CHOOSE(CONTROL!$C$21, $C$9, 100%, $E$9)</f>
        <v>11.0985</v>
      </c>
      <c r="M186" s="14">
        <f>CHOOSE(CONTROL!$C$42, 10.0379, 10.0379) * CHOOSE(CONTROL!$C$21, $C$9, 100%, $E$9)</f>
        <v>10.0379</v>
      </c>
      <c r="N186" s="14">
        <f>CHOOSE(CONTROL!$C$42, 10.054, 10.054) * CHOOSE(CONTROL!$C$21, $C$9, 100%, $E$9)</f>
        <v>10.054</v>
      </c>
      <c r="O186" s="14">
        <f>CHOOSE(CONTROL!$C$42, 10.3038, 10.3038) * CHOOSE(CONTROL!$C$21, $C$9, 100%, $E$9)</f>
        <v>10.303800000000001</v>
      </c>
      <c r="P186" s="14">
        <f>CHOOSE(CONTROL!$C$42, 10.0939, 10.0939) * CHOOSE(CONTROL!$C$21, $C$9, 100%, $E$9)</f>
        <v>10.0939</v>
      </c>
      <c r="Q186" s="14">
        <f>CHOOSE(CONTROL!$C$42, 10.8985, 10.8985) * CHOOSE(CONTROL!$C$21, $C$9, 100%, $E$9)</f>
        <v>10.8985</v>
      </c>
      <c r="R186" s="14">
        <f>CHOOSE(CONTROL!$C$42, 11.5128, 11.5128) * CHOOSE(CONTROL!$C$21, $C$9, 100%, $E$9)</f>
        <v>11.5128</v>
      </c>
      <c r="S186" s="14">
        <f>CHOOSE(CONTROL!$C$42, 9.8384, 9.8384) * CHOOSE(CONTROL!$C$21, $C$9, 100%, $E$9)</f>
        <v>9.8384</v>
      </c>
      <c r="T1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7">
        <f>(1000*CHOOSE(CONTROL!$C$42, 695, 695)*CHOOSE(CONTROL!$C$42, 0.5599, 0.5599)*CHOOSE(CONTROL!$C$42, 30, 30))/1000000</f>
        <v>11.673914999999997</v>
      </c>
      <c r="V186" s="57">
        <f>(1000*CHOOSE(CONTROL!$C$42, 500, 500)*CHOOSE(CONTROL!$C$42, 0.275, 0.275)*CHOOSE(CONTROL!$C$42, 30, 30))/1000000</f>
        <v>4.125</v>
      </c>
      <c r="W186" s="57">
        <f>(1000*CHOOSE(CONTROL!$C$42, 0.1146, 0.1146)*CHOOSE(CONTROL!$C$42, 121.5, 121.5)*CHOOSE(CONTROL!$C$42, 30, 30))/1000000</f>
        <v>0.417717</v>
      </c>
      <c r="X186" s="57">
        <f>(30*0.1790888*245000/1000000)+(30*0.2374*100000/1000000)</f>
        <v>2.0285026799999999</v>
      </c>
      <c r="Y186" s="57"/>
      <c r="Z186" s="14"/>
      <c r="AA186" s="56"/>
      <c r="AB186" s="50">
        <f>(B186*194.205+C186*267.466+D186*133.845+E186*53.484+F186*40+G186*185+H186*0+I186*100+J186*300)/(194.205+267.466+133.845+53.484+0+40+185+100+300)</f>
        <v>10.291688273469388</v>
      </c>
      <c r="AC186" s="45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10.124269064748201</v>
      </c>
    </row>
    <row r="187" spans="1:29" ht="15.75" x14ac:dyDescent="0.25">
      <c r="A187" s="13">
        <v>46569</v>
      </c>
      <c r="B187" s="14">
        <f>CHOOSE(CONTROL!$C$42, 10.0741, 10.0741) * CHOOSE(CONTROL!$C$21, $C$9, 100%, $E$9)</f>
        <v>10.0741</v>
      </c>
      <c r="C187" s="14">
        <f>CHOOSE(CONTROL!$C$42, 10.0821, 10.0821) * CHOOSE(CONTROL!$C$21, $C$9, 100%, $E$9)</f>
        <v>10.082100000000001</v>
      </c>
      <c r="D187" s="14">
        <f>CHOOSE(CONTROL!$C$42, 10.3157, 10.3157) * CHOOSE(CONTROL!$C$21, $C$9, 100%, $E$9)</f>
        <v>10.3157</v>
      </c>
      <c r="E187" s="14">
        <f>CHOOSE(CONTROL!$C$42, 10.3471, 10.3471) * CHOOSE(CONTROL!$C$21, $C$9, 100%, $E$9)</f>
        <v>10.347099999999999</v>
      </c>
      <c r="F187" s="14">
        <f>CHOOSE(CONTROL!$C$42, 10.0718, 10.0718)*CHOOSE(CONTROL!$C$21, $C$9, 100%, $E$9)</f>
        <v>10.0718</v>
      </c>
      <c r="G187" s="14">
        <f>CHOOSE(CONTROL!$C$42, 10.0884, 10.0884)*CHOOSE(CONTROL!$C$21, $C$9, 100%, $E$9)</f>
        <v>10.0884</v>
      </c>
      <c r="H187" s="14">
        <f>CHOOSE(CONTROL!$C$42, 10.3358, 10.3358) * CHOOSE(CONTROL!$C$21, $C$9, 100%, $E$9)</f>
        <v>10.335800000000001</v>
      </c>
      <c r="I187" s="14">
        <f>CHOOSE(CONTROL!$C$42, 10.1215, 10.1215)* CHOOSE(CONTROL!$C$21, $C$9, 100%, $E$9)</f>
        <v>10.121499999999999</v>
      </c>
      <c r="J187" s="14">
        <f>CHOOSE(CONTROL!$C$42, 10.0648, 10.0648)* CHOOSE(CONTROL!$C$21, $C$9, 100%, $E$9)</f>
        <v>10.0648</v>
      </c>
      <c r="K187" s="53">
        <f>CHOOSE(CONTROL!$C$42, 10.1176, 10.1176) * CHOOSE(CONTROL!$C$21, $C$9, 100%, $E$9)</f>
        <v>10.117599999999999</v>
      </c>
      <c r="L187" s="14">
        <f>CHOOSE(CONTROL!$C$42, 10.9228, 10.9228) * CHOOSE(CONTROL!$C$21, $C$9, 100%, $E$9)</f>
        <v>10.922800000000001</v>
      </c>
      <c r="M187" s="14">
        <f>CHOOSE(CONTROL!$C$42, 9.8663, 9.8663) * CHOOSE(CONTROL!$C$21, $C$9, 100%, $E$9)</f>
        <v>9.8663000000000007</v>
      </c>
      <c r="N187" s="14">
        <f>CHOOSE(CONTROL!$C$42, 9.8826, 9.8826) * CHOOSE(CONTROL!$C$21, $C$9, 100%, $E$9)</f>
        <v>9.8826000000000001</v>
      </c>
      <c r="O187" s="14">
        <f>CHOOSE(CONTROL!$C$42, 10.1317, 10.1317) * CHOOSE(CONTROL!$C$21, $C$9, 100%, $E$9)</f>
        <v>10.1317</v>
      </c>
      <c r="P187" s="14">
        <f>CHOOSE(CONTROL!$C$42, 9.9212, 9.9212) * CHOOSE(CONTROL!$C$21, $C$9, 100%, $E$9)</f>
        <v>9.9212000000000007</v>
      </c>
      <c r="Q187" s="14">
        <f>CHOOSE(CONTROL!$C$42, 10.7264, 10.7264) * CHOOSE(CONTROL!$C$21, $C$9, 100%, $E$9)</f>
        <v>10.7264</v>
      </c>
      <c r="R187" s="14">
        <f>CHOOSE(CONTROL!$C$42, 11.3402, 11.3402) * CHOOSE(CONTROL!$C$21, $C$9, 100%, $E$9)</f>
        <v>11.340199999999999</v>
      </c>
      <c r="S187" s="14">
        <f>CHOOSE(CONTROL!$C$42, 9.6695, 9.6695) * CHOOSE(CONTROL!$C$21, $C$9, 100%, $E$9)</f>
        <v>9.6694999999999993</v>
      </c>
      <c r="T1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7">
        <f>(1000*CHOOSE(CONTROL!$C$42, 695, 695)*CHOOSE(CONTROL!$C$42, 0.5599, 0.5599)*CHOOSE(CONTROL!$C$42, 31, 31))/1000000</f>
        <v>12.063045499999998</v>
      </c>
      <c r="V187" s="57">
        <f>(1000*CHOOSE(CONTROL!$C$42, 500, 500)*CHOOSE(CONTROL!$C$42, 0.275, 0.275)*CHOOSE(CONTROL!$C$42, 31, 31))/1000000</f>
        <v>4.2625000000000002</v>
      </c>
      <c r="W187" s="57">
        <f>(1000*CHOOSE(CONTROL!$C$42, 0.1146, 0.1146)*CHOOSE(CONTROL!$C$42, 121.5, 121.5)*CHOOSE(CONTROL!$C$42, 31, 31))/1000000</f>
        <v>0.43164089999999994</v>
      </c>
      <c r="X187" s="57">
        <f>(31*0.1790888*245000/1000000)+(31*0.2374*100000/1000000)</f>
        <v>2.0961194359999999</v>
      </c>
      <c r="Y187" s="57"/>
      <c r="Z187" s="14"/>
      <c r="AA187" s="56"/>
      <c r="AB187" s="50">
        <f>(B187*194.205+C187*267.466+D187*133.845+E187*53.484+F187*40+G187*185+H187*0+I187*100+J187*300)/(194.205+267.466+133.845+53.484+0+40+185+100+300)</f>
        <v>10.116157544740974</v>
      </c>
      <c r="AC187" s="45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9.9524165467625902</v>
      </c>
    </row>
    <row r="188" spans="1:29" ht="15.75" x14ac:dyDescent="0.25">
      <c r="A188" s="13">
        <v>46600</v>
      </c>
      <c r="B188" s="14">
        <f>CHOOSE(CONTROL!$C$42, 9.5968, 9.5968) * CHOOSE(CONTROL!$C$21, $C$9, 100%, $E$9)</f>
        <v>9.5968</v>
      </c>
      <c r="C188" s="14">
        <f>CHOOSE(CONTROL!$C$42, 9.6048, 9.6048) * CHOOSE(CONTROL!$C$21, $C$9, 100%, $E$9)</f>
        <v>9.6047999999999991</v>
      </c>
      <c r="D188" s="14">
        <f>CHOOSE(CONTROL!$C$42, 9.8384, 9.8384) * CHOOSE(CONTROL!$C$21, $C$9, 100%, $E$9)</f>
        <v>9.8384</v>
      </c>
      <c r="E188" s="14">
        <f>CHOOSE(CONTROL!$C$42, 9.8698, 9.8698) * CHOOSE(CONTROL!$C$21, $C$9, 100%, $E$9)</f>
        <v>9.8697999999999997</v>
      </c>
      <c r="F188" s="14">
        <f>CHOOSE(CONTROL!$C$42, 9.5947, 9.5947)*CHOOSE(CONTROL!$C$21, $C$9, 100%, $E$9)</f>
        <v>9.5946999999999996</v>
      </c>
      <c r="G188" s="14">
        <f>CHOOSE(CONTROL!$C$42, 9.6114, 9.6114)*CHOOSE(CONTROL!$C$21, $C$9, 100%, $E$9)</f>
        <v>9.6113999999999997</v>
      </c>
      <c r="H188" s="14">
        <f>CHOOSE(CONTROL!$C$42, 9.8585, 9.8585) * CHOOSE(CONTROL!$C$21, $C$9, 100%, $E$9)</f>
        <v>9.8584999999999994</v>
      </c>
      <c r="I188" s="14">
        <f>CHOOSE(CONTROL!$C$42, 9.6427, 9.6427)* CHOOSE(CONTROL!$C$21, $C$9, 100%, $E$9)</f>
        <v>9.6426999999999996</v>
      </c>
      <c r="J188" s="14">
        <f>CHOOSE(CONTROL!$C$42, 9.5877, 9.5877)* CHOOSE(CONTROL!$C$21, $C$9, 100%, $E$9)</f>
        <v>9.5876999999999999</v>
      </c>
      <c r="K188" s="53">
        <f>CHOOSE(CONTROL!$C$42, 9.6388, 9.6388) * CHOOSE(CONTROL!$C$21, $C$9, 100%, $E$9)</f>
        <v>9.6387999999999998</v>
      </c>
      <c r="L188" s="14">
        <f>CHOOSE(CONTROL!$C$42, 10.4455, 10.4455) * CHOOSE(CONTROL!$C$21, $C$9, 100%, $E$9)</f>
        <v>10.445499999999999</v>
      </c>
      <c r="M188" s="14">
        <f>CHOOSE(CONTROL!$C$42, 9.399, 9.399) * CHOOSE(CONTROL!$C$21, $C$9, 100%, $E$9)</f>
        <v>9.3989999999999991</v>
      </c>
      <c r="N188" s="14">
        <f>CHOOSE(CONTROL!$C$42, 9.4153, 9.4153) * CHOOSE(CONTROL!$C$21, $C$9, 100%, $E$9)</f>
        <v>9.4153000000000002</v>
      </c>
      <c r="O188" s="14">
        <f>CHOOSE(CONTROL!$C$42, 9.6642, 9.6642) * CHOOSE(CONTROL!$C$21, $C$9, 100%, $E$9)</f>
        <v>9.6641999999999992</v>
      </c>
      <c r="P188" s="14">
        <f>CHOOSE(CONTROL!$C$42, 9.4523, 9.4523) * CHOOSE(CONTROL!$C$21, $C$9, 100%, $E$9)</f>
        <v>9.4522999999999993</v>
      </c>
      <c r="Q188" s="14">
        <f>CHOOSE(CONTROL!$C$42, 10.2589, 10.2589) * CHOOSE(CONTROL!$C$21, $C$9, 100%, $E$9)</f>
        <v>10.258900000000001</v>
      </c>
      <c r="R188" s="14">
        <f>CHOOSE(CONTROL!$C$42, 10.8715, 10.8715) * CHOOSE(CONTROL!$C$21, $C$9, 100%, $E$9)</f>
        <v>10.871499999999999</v>
      </c>
      <c r="S188" s="14">
        <f>CHOOSE(CONTROL!$C$42, 9.2109, 9.2109) * CHOOSE(CONTROL!$C$21, $C$9, 100%, $E$9)</f>
        <v>9.2109000000000005</v>
      </c>
      <c r="T1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7">
        <f>(1000*CHOOSE(CONTROL!$C$42, 695, 695)*CHOOSE(CONTROL!$C$42, 0.5599, 0.5599)*CHOOSE(CONTROL!$C$42, 31, 31))/1000000</f>
        <v>12.063045499999998</v>
      </c>
      <c r="V188" s="57">
        <f>(1000*CHOOSE(CONTROL!$C$42, 500, 500)*CHOOSE(CONTROL!$C$42, 0.275, 0.275)*CHOOSE(CONTROL!$C$42, 31, 31))/1000000</f>
        <v>4.2625000000000002</v>
      </c>
      <c r="W188" s="57">
        <f>(1000*CHOOSE(CONTROL!$C$42, 0.1146, 0.1146)*CHOOSE(CONTROL!$C$42, 121.5, 121.5)*CHOOSE(CONTROL!$C$42, 31, 31))/1000000</f>
        <v>0.43164089999999994</v>
      </c>
      <c r="X188" s="57">
        <f>(31*0.1790888*245000/1000000)+(31*0.2374*100000/1000000)</f>
        <v>2.0961194359999999</v>
      </c>
      <c r="Y188" s="57"/>
      <c r="Z188" s="14"/>
      <c r="AA188" s="56"/>
      <c r="AB188" s="50">
        <f>(B188*194.205+C188*267.466+D188*133.845+E188*53.484+F188*40+G188*185+H188*0+I188*100+J188*300)/(194.205+267.466+133.845+53.484+0+40+185+100+300)</f>
        <v>9.6388367441130303</v>
      </c>
      <c r="AC188" s="45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9.4848302158273352</v>
      </c>
    </row>
    <row r="189" spans="1:29" ht="15.75" x14ac:dyDescent="0.25">
      <c r="A189" s="13">
        <v>46631</v>
      </c>
      <c r="B189" s="14">
        <f>CHOOSE(CONTROL!$C$42, 9.0063, 9.0063) * CHOOSE(CONTROL!$C$21, $C$9, 100%, $E$9)</f>
        <v>9.0062999999999995</v>
      </c>
      <c r="C189" s="14">
        <f>CHOOSE(CONTROL!$C$42, 9.0143, 9.0143) * CHOOSE(CONTROL!$C$21, $C$9, 100%, $E$9)</f>
        <v>9.0143000000000004</v>
      </c>
      <c r="D189" s="14">
        <f>CHOOSE(CONTROL!$C$42, 9.2479, 9.2479) * CHOOSE(CONTROL!$C$21, $C$9, 100%, $E$9)</f>
        <v>9.2478999999999996</v>
      </c>
      <c r="E189" s="14">
        <f>CHOOSE(CONTROL!$C$42, 9.2794, 9.2794) * CHOOSE(CONTROL!$C$21, $C$9, 100%, $E$9)</f>
        <v>9.2794000000000008</v>
      </c>
      <c r="F189" s="14">
        <f>CHOOSE(CONTROL!$C$42, 9.0043, 9.0043)*CHOOSE(CONTROL!$C$21, $C$9, 100%, $E$9)</f>
        <v>9.0043000000000006</v>
      </c>
      <c r="G189" s="14">
        <f>CHOOSE(CONTROL!$C$42, 9.021, 9.021)*CHOOSE(CONTROL!$C$21, $C$9, 100%, $E$9)</f>
        <v>9.0210000000000008</v>
      </c>
      <c r="H189" s="14">
        <f>CHOOSE(CONTROL!$C$42, 9.268, 9.268) * CHOOSE(CONTROL!$C$21, $C$9, 100%, $E$9)</f>
        <v>9.2680000000000007</v>
      </c>
      <c r="I189" s="14">
        <f>CHOOSE(CONTROL!$C$42, 9.0504, 9.0504)* CHOOSE(CONTROL!$C$21, $C$9, 100%, $E$9)</f>
        <v>9.0503999999999998</v>
      </c>
      <c r="J189" s="14">
        <f>CHOOSE(CONTROL!$C$42, 8.9973, 8.9973)* CHOOSE(CONTROL!$C$21, $C$9, 100%, $E$9)</f>
        <v>8.9972999999999992</v>
      </c>
      <c r="K189" s="53">
        <f>CHOOSE(CONTROL!$C$42, 9.0465, 9.0465) * CHOOSE(CONTROL!$C$21, $C$9, 100%, $E$9)</f>
        <v>9.0465</v>
      </c>
      <c r="L189" s="14">
        <f>CHOOSE(CONTROL!$C$42, 9.855, 9.855) * CHOOSE(CONTROL!$C$21, $C$9, 100%, $E$9)</f>
        <v>9.8550000000000004</v>
      </c>
      <c r="M189" s="14">
        <f>CHOOSE(CONTROL!$C$42, 8.8206, 8.8206) * CHOOSE(CONTROL!$C$21, $C$9, 100%, $E$9)</f>
        <v>8.8206000000000007</v>
      </c>
      <c r="N189" s="14">
        <f>CHOOSE(CONTROL!$C$42, 8.837, 8.837) * CHOOSE(CONTROL!$C$21, $C$9, 100%, $E$9)</f>
        <v>8.8369999999999997</v>
      </c>
      <c r="O189" s="14">
        <f>CHOOSE(CONTROL!$C$42, 9.0858, 9.0858) * CHOOSE(CONTROL!$C$21, $C$9, 100%, $E$9)</f>
        <v>9.0858000000000008</v>
      </c>
      <c r="P189" s="14">
        <f>CHOOSE(CONTROL!$C$42, 8.8722, 8.8722) * CHOOSE(CONTROL!$C$21, $C$9, 100%, $E$9)</f>
        <v>8.8721999999999994</v>
      </c>
      <c r="Q189" s="14">
        <f>CHOOSE(CONTROL!$C$42, 9.6805, 9.6805) * CHOOSE(CONTROL!$C$21, $C$9, 100%, $E$9)</f>
        <v>9.6805000000000003</v>
      </c>
      <c r="R189" s="14">
        <f>CHOOSE(CONTROL!$C$42, 10.2917, 10.2917) * CHOOSE(CONTROL!$C$21, $C$9, 100%, $E$9)</f>
        <v>10.291700000000001</v>
      </c>
      <c r="S189" s="14">
        <f>CHOOSE(CONTROL!$C$42, 8.6435, 8.6435) * CHOOSE(CONTROL!$C$21, $C$9, 100%, $E$9)</f>
        <v>8.6434999999999995</v>
      </c>
      <c r="T1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7">
        <f>(1000*CHOOSE(CONTROL!$C$42, 695, 695)*CHOOSE(CONTROL!$C$42, 0.5599, 0.5599)*CHOOSE(CONTROL!$C$42, 30, 30))/1000000</f>
        <v>11.673914999999997</v>
      </c>
      <c r="V189" s="57">
        <f>(1000*CHOOSE(CONTROL!$C$42, 500, 500)*CHOOSE(CONTROL!$C$42, 0.275, 0.275)*CHOOSE(CONTROL!$C$42, 30, 30))/1000000</f>
        <v>4.125</v>
      </c>
      <c r="W189" s="57">
        <f>(1000*CHOOSE(CONTROL!$C$42, 0.1146, 0.1146)*CHOOSE(CONTROL!$C$42, 121.5, 121.5)*CHOOSE(CONTROL!$C$42, 30, 30))/1000000</f>
        <v>0.417717</v>
      </c>
      <c r="X189" s="57">
        <f>(30*0.1790888*245000/1000000)+(30*0.2374*100000/1000000)</f>
        <v>2.0285026799999999</v>
      </c>
      <c r="Y189" s="57"/>
      <c r="Z189" s="14"/>
      <c r="AA189" s="56"/>
      <c r="AB189" s="50">
        <f>(B189*194.205+C189*267.466+D189*133.845+E189*53.484+F189*40+G189*185+H189*0+I189*100+J189*300)/(194.205+267.466+133.845+53.484+0+40+185+100+300)</f>
        <v>9.0482408637362628</v>
      </c>
      <c r="AC189" s="45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8.9062086330935255</v>
      </c>
    </row>
    <row r="190" spans="1:29" ht="15.75" x14ac:dyDescent="0.25">
      <c r="A190" s="13">
        <v>46661</v>
      </c>
      <c r="B190" s="14">
        <f>CHOOSE(CONTROL!$C$42, 8.8401, 8.8401) * CHOOSE(CONTROL!$C$21, $C$9, 100%, $E$9)</f>
        <v>8.8400999999999996</v>
      </c>
      <c r="C190" s="14">
        <f>CHOOSE(CONTROL!$C$42, 8.8454, 8.8454) * CHOOSE(CONTROL!$C$21, $C$9, 100%, $E$9)</f>
        <v>8.8453999999999997</v>
      </c>
      <c r="D190" s="14">
        <f>CHOOSE(CONTROL!$C$42, 9.084, 9.084) * CHOOSE(CONTROL!$C$21, $C$9, 100%, $E$9)</f>
        <v>9.0839999999999996</v>
      </c>
      <c r="E190" s="14">
        <f>CHOOSE(CONTROL!$C$42, 9.1131, 9.1131) * CHOOSE(CONTROL!$C$21, $C$9, 100%, $E$9)</f>
        <v>9.1130999999999993</v>
      </c>
      <c r="F190" s="14">
        <f>CHOOSE(CONTROL!$C$42, 8.8401, 8.8401)*CHOOSE(CONTROL!$C$21, $C$9, 100%, $E$9)</f>
        <v>8.8400999999999996</v>
      </c>
      <c r="G190" s="14">
        <f>CHOOSE(CONTROL!$C$42, 8.8564, 8.8564)*CHOOSE(CONTROL!$C$21, $C$9, 100%, $E$9)</f>
        <v>8.8564000000000007</v>
      </c>
      <c r="H190" s="14">
        <f>CHOOSE(CONTROL!$C$42, 9.1035, 9.1035) * CHOOSE(CONTROL!$C$21, $C$9, 100%, $E$9)</f>
        <v>9.1035000000000004</v>
      </c>
      <c r="I190" s="14">
        <f>CHOOSE(CONTROL!$C$42, 8.8854, 8.8854)* CHOOSE(CONTROL!$C$21, $C$9, 100%, $E$9)</f>
        <v>8.8854000000000006</v>
      </c>
      <c r="J190" s="14">
        <f>CHOOSE(CONTROL!$C$42, 8.8331, 8.8331)* CHOOSE(CONTROL!$C$21, $C$9, 100%, $E$9)</f>
        <v>8.8331</v>
      </c>
      <c r="K190" s="53">
        <f>CHOOSE(CONTROL!$C$42, 8.8815, 8.8815) * CHOOSE(CONTROL!$C$21, $C$9, 100%, $E$9)</f>
        <v>8.8815000000000008</v>
      </c>
      <c r="L190" s="14">
        <f>CHOOSE(CONTROL!$C$42, 9.6905, 9.6905) * CHOOSE(CONTROL!$C$21, $C$9, 100%, $E$9)</f>
        <v>9.6905000000000001</v>
      </c>
      <c r="M190" s="14">
        <f>CHOOSE(CONTROL!$C$42, 8.6598, 8.6598) * CHOOSE(CONTROL!$C$21, $C$9, 100%, $E$9)</f>
        <v>8.6598000000000006</v>
      </c>
      <c r="N190" s="14">
        <f>CHOOSE(CONTROL!$C$42, 8.6757, 8.6757) * CHOOSE(CONTROL!$C$21, $C$9, 100%, $E$9)</f>
        <v>8.6757000000000009</v>
      </c>
      <c r="O190" s="14">
        <f>CHOOSE(CONTROL!$C$42, 8.9247, 8.9247) * CHOOSE(CONTROL!$C$21, $C$9, 100%, $E$9)</f>
        <v>8.9246999999999996</v>
      </c>
      <c r="P190" s="14">
        <f>CHOOSE(CONTROL!$C$42, 8.7106, 8.7106) * CHOOSE(CONTROL!$C$21, $C$9, 100%, $E$9)</f>
        <v>8.7105999999999995</v>
      </c>
      <c r="Q190" s="14">
        <f>CHOOSE(CONTROL!$C$42, 9.5194, 9.5194) * CHOOSE(CONTROL!$C$21, $C$9, 100%, $E$9)</f>
        <v>9.5193999999999992</v>
      </c>
      <c r="R190" s="14">
        <f>CHOOSE(CONTROL!$C$42, 10.1302, 10.1302) * CHOOSE(CONTROL!$C$21, $C$9, 100%, $E$9)</f>
        <v>10.1302</v>
      </c>
      <c r="S190" s="14">
        <f>CHOOSE(CONTROL!$C$42, 8.4855, 8.4855) * CHOOSE(CONTROL!$C$21, $C$9, 100%, $E$9)</f>
        <v>8.4855</v>
      </c>
      <c r="T1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7">
        <f>(1000*CHOOSE(CONTROL!$C$42, 695, 695)*CHOOSE(CONTROL!$C$42, 0.5599, 0.5599)*CHOOSE(CONTROL!$C$42, 31, 31))/1000000</f>
        <v>12.063045499999998</v>
      </c>
      <c r="V190" s="57">
        <f>(1000*CHOOSE(CONTROL!$C$42, 500, 500)*CHOOSE(CONTROL!$C$42, 0.275, 0.275)*CHOOSE(CONTROL!$C$42, 31, 31))/1000000</f>
        <v>4.2625000000000002</v>
      </c>
      <c r="W190" s="57">
        <f>(1000*CHOOSE(CONTROL!$C$42, 0.1146, 0.1146)*CHOOSE(CONTROL!$C$42, 121.5, 121.5)*CHOOSE(CONTROL!$C$42, 31, 31))/1000000</f>
        <v>0.43164089999999994</v>
      </c>
      <c r="X190" s="57">
        <f>(31*0.1790888*245000/1000000)+(31*0.2374*100000/1000000)</f>
        <v>2.0961194359999999</v>
      </c>
      <c r="Y190" s="57"/>
      <c r="Z190" s="14"/>
      <c r="AA190" s="56"/>
      <c r="AB190" s="50">
        <f>(B190*131.881+C190*277.167+D190*79.08+E190*125.872+F190*40+G190*185+H190*0+I190*100+J190*300)/(131.881+277.167+79.08+125.872+0+40+185+100+300)</f>
        <v>8.8889822866020989</v>
      </c>
      <c r="AC190" s="45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8.7450942446043172</v>
      </c>
    </row>
    <row r="191" spans="1:29" ht="15.75" x14ac:dyDescent="0.25">
      <c r="A191" s="13">
        <v>46692</v>
      </c>
      <c r="B191" s="14">
        <f>CHOOSE(CONTROL!$C$42, 9.0909, 9.0909) * CHOOSE(CONTROL!$C$21, $C$9, 100%, $E$9)</f>
        <v>9.0908999999999995</v>
      </c>
      <c r="C191" s="14">
        <f>CHOOSE(CONTROL!$C$42, 9.096, 9.096) * CHOOSE(CONTROL!$C$21, $C$9, 100%, $E$9)</f>
        <v>9.0960000000000001</v>
      </c>
      <c r="D191" s="14">
        <f>CHOOSE(CONTROL!$C$42, 9.1702, 9.1702) * CHOOSE(CONTROL!$C$21, $C$9, 100%, $E$9)</f>
        <v>9.1701999999999995</v>
      </c>
      <c r="E191" s="14">
        <f>CHOOSE(CONTROL!$C$42, 9.2043, 9.2043) * CHOOSE(CONTROL!$C$21, $C$9, 100%, $E$9)</f>
        <v>9.2042999999999999</v>
      </c>
      <c r="F191" s="14">
        <f>CHOOSE(CONTROL!$C$42, 9.103, 9.103)*CHOOSE(CONTROL!$C$21, $C$9, 100%, $E$9)</f>
        <v>9.1029999999999998</v>
      </c>
      <c r="G191" s="14">
        <f>CHOOSE(CONTROL!$C$42, 9.1196, 9.1196)*CHOOSE(CONTROL!$C$21, $C$9, 100%, $E$9)</f>
        <v>9.1196000000000002</v>
      </c>
      <c r="H191" s="14">
        <f>CHOOSE(CONTROL!$C$42, 9.1935, 9.1935) * CHOOSE(CONTROL!$C$21, $C$9, 100%, $E$9)</f>
        <v>9.1935000000000002</v>
      </c>
      <c r="I191" s="14">
        <f>CHOOSE(CONTROL!$C$42, 9.1437, 9.1437)* CHOOSE(CONTROL!$C$21, $C$9, 100%, $E$9)</f>
        <v>9.1437000000000008</v>
      </c>
      <c r="J191" s="14">
        <f>CHOOSE(CONTROL!$C$42, 9.096, 9.096)* CHOOSE(CONTROL!$C$21, $C$9, 100%, $E$9)</f>
        <v>9.0960000000000001</v>
      </c>
      <c r="K191" s="53">
        <f>CHOOSE(CONTROL!$C$42, 9.1398, 9.1398) * CHOOSE(CONTROL!$C$21, $C$9, 100%, $E$9)</f>
        <v>9.1397999999999993</v>
      </c>
      <c r="L191" s="14">
        <f>CHOOSE(CONTROL!$C$42, 9.7805, 9.7805) * CHOOSE(CONTROL!$C$21, $C$9, 100%, $E$9)</f>
        <v>9.7805</v>
      </c>
      <c r="M191" s="14">
        <f>CHOOSE(CONTROL!$C$42, 8.9173, 8.9173) * CHOOSE(CONTROL!$C$21, $C$9, 100%, $E$9)</f>
        <v>8.9172999999999991</v>
      </c>
      <c r="N191" s="14">
        <f>CHOOSE(CONTROL!$C$42, 8.9336, 8.9336) * CHOOSE(CONTROL!$C$21, $C$9, 100%, $E$9)</f>
        <v>8.9336000000000002</v>
      </c>
      <c r="O191" s="14">
        <f>CHOOSE(CONTROL!$C$42, 9.0128, 9.0128) * CHOOSE(CONTROL!$C$21, $C$9, 100%, $E$9)</f>
        <v>9.0128000000000004</v>
      </c>
      <c r="P191" s="14">
        <f>CHOOSE(CONTROL!$C$42, 8.9636, 8.9636) * CHOOSE(CONTROL!$C$21, $C$9, 100%, $E$9)</f>
        <v>8.9635999999999996</v>
      </c>
      <c r="Q191" s="14">
        <f>CHOOSE(CONTROL!$C$42, 9.6075, 9.6075) * CHOOSE(CONTROL!$C$21, $C$9, 100%, $E$9)</f>
        <v>9.6074999999999999</v>
      </c>
      <c r="R191" s="14">
        <f>CHOOSE(CONTROL!$C$42, 10.2186, 10.2186) * CHOOSE(CONTROL!$C$21, $C$9, 100%, $E$9)</f>
        <v>10.2186</v>
      </c>
      <c r="S191" s="14">
        <f>CHOOSE(CONTROL!$C$42, 8.7269, 8.7269) * CHOOSE(CONTROL!$C$21, $C$9, 100%, $E$9)</f>
        <v>8.7269000000000005</v>
      </c>
      <c r="T1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7">
        <f>(1000*CHOOSE(CONTROL!$C$42, 695, 695)*CHOOSE(CONTROL!$C$42, 0.5599, 0.5599)*CHOOSE(CONTROL!$C$42, 30, 30))/1000000</f>
        <v>11.673914999999997</v>
      </c>
      <c r="V191" s="57">
        <f>(1000*CHOOSE(CONTROL!$C$42, 500, 500)*CHOOSE(CONTROL!$C$42, 0.275, 0.275)*CHOOSE(CONTROL!$C$42, 30, 30))/1000000</f>
        <v>4.125</v>
      </c>
      <c r="W191" s="57">
        <f>(1000*CHOOSE(CONTROL!$C$42, 0.1146, 0.1146)*CHOOSE(CONTROL!$C$42, 121.5, 121.5)*CHOOSE(CONTROL!$C$42, 30, 30))/1000000</f>
        <v>0.417717</v>
      </c>
      <c r="X191" s="57">
        <f>(30*0.1790888*100000/1000000)+(30*0.2374*100000/1000000)</f>
        <v>1.2494664</v>
      </c>
      <c r="Y191" s="57"/>
      <c r="Z191" s="14"/>
      <c r="AA191" s="56"/>
      <c r="AB191" s="50">
        <f>(B191*122.58+C191*297.941+D191*89.177+E191*40.302+F191*40+G191*160+H191*0+I191*100+J191*300)/(122.58+297.941+89.177+40.302+0+40+160+100+300)</f>
        <v>9.1126804191304345</v>
      </c>
      <c r="AC191" s="45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8.9681841726618696</v>
      </c>
    </row>
    <row r="192" spans="1:29" ht="15.75" x14ac:dyDescent="0.25">
      <c r="A192" s="13">
        <v>46722</v>
      </c>
      <c r="B192" s="14">
        <f>CHOOSE(CONTROL!$C$42, 9.7301, 9.7301) * CHOOSE(CONTROL!$C$21, $C$9, 100%, $E$9)</f>
        <v>9.7301000000000002</v>
      </c>
      <c r="C192" s="14">
        <f>CHOOSE(CONTROL!$C$42, 9.7351, 9.7351) * CHOOSE(CONTROL!$C$21, $C$9, 100%, $E$9)</f>
        <v>9.7350999999999992</v>
      </c>
      <c r="D192" s="14">
        <f>CHOOSE(CONTROL!$C$42, 9.8094, 9.8094) * CHOOSE(CONTROL!$C$21, $C$9, 100%, $E$9)</f>
        <v>9.8094000000000001</v>
      </c>
      <c r="E192" s="14">
        <f>CHOOSE(CONTROL!$C$42, 9.8435, 9.8435) * CHOOSE(CONTROL!$C$21, $C$9, 100%, $E$9)</f>
        <v>9.8435000000000006</v>
      </c>
      <c r="F192" s="14">
        <f>CHOOSE(CONTROL!$C$42, 9.7443, 9.7443)*CHOOSE(CONTROL!$C$21, $C$9, 100%, $E$9)</f>
        <v>9.7443000000000008</v>
      </c>
      <c r="G192" s="14">
        <f>CHOOSE(CONTROL!$C$42, 9.7615, 9.7615)*CHOOSE(CONTROL!$C$21, $C$9, 100%, $E$9)</f>
        <v>9.7614999999999998</v>
      </c>
      <c r="H192" s="14">
        <f>CHOOSE(CONTROL!$C$42, 9.8327, 9.8327) * CHOOSE(CONTROL!$C$21, $C$9, 100%, $E$9)</f>
        <v>9.8327000000000009</v>
      </c>
      <c r="I192" s="14">
        <f>CHOOSE(CONTROL!$C$42, 9.7849, 9.7849)* CHOOSE(CONTROL!$C$21, $C$9, 100%, $E$9)</f>
        <v>9.7849000000000004</v>
      </c>
      <c r="J192" s="14">
        <f>CHOOSE(CONTROL!$C$42, 9.7373, 9.7373)* CHOOSE(CONTROL!$C$21, $C$9, 100%, $E$9)</f>
        <v>9.7372999999999994</v>
      </c>
      <c r="K192" s="53">
        <f>CHOOSE(CONTROL!$C$42, 9.781, 9.781) * CHOOSE(CONTROL!$C$21, $C$9, 100%, $E$9)</f>
        <v>9.7810000000000006</v>
      </c>
      <c r="L192" s="14">
        <f>CHOOSE(CONTROL!$C$42, 10.4197, 10.4197) * CHOOSE(CONTROL!$C$21, $C$9, 100%, $E$9)</f>
        <v>10.419700000000001</v>
      </c>
      <c r="M192" s="14">
        <f>CHOOSE(CONTROL!$C$42, 9.5455, 9.5455) * CHOOSE(CONTROL!$C$21, $C$9, 100%, $E$9)</f>
        <v>9.5455000000000005</v>
      </c>
      <c r="N192" s="14">
        <f>CHOOSE(CONTROL!$C$42, 9.5623, 9.5623) * CHOOSE(CONTROL!$C$21, $C$9, 100%, $E$9)</f>
        <v>9.5623000000000005</v>
      </c>
      <c r="O192" s="14">
        <f>CHOOSE(CONTROL!$C$42, 9.6389, 9.6389) * CHOOSE(CONTROL!$C$21, $C$9, 100%, $E$9)</f>
        <v>9.6388999999999996</v>
      </c>
      <c r="P192" s="14">
        <f>CHOOSE(CONTROL!$C$42, 9.5915, 9.5915) * CHOOSE(CONTROL!$C$21, $C$9, 100%, $E$9)</f>
        <v>9.5914999999999999</v>
      </c>
      <c r="Q192" s="14">
        <f>CHOOSE(CONTROL!$C$42, 10.2336, 10.2336) * CHOOSE(CONTROL!$C$21, $C$9, 100%, $E$9)</f>
        <v>10.233599999999999</v>
      </c>
      <c r="R192" s="14">
        <f>CHOOSE(CONTROL!$C$42, 10.8462, 10.8462) * CHOOSE(CONTROL!$C$21, $C$9, 100%, $E$9)</f>
        <v>10.8462</v>
      </c>
      <c r="S192" s="14">
        <f>CHOOSE(CONTROL!$C$42, 9.3411, 9.3411) * CHOOSE(CONTROL!$C$21, $C$9, 100%, $E$9)</f>
        <v>9.3411000000000008</v>
      </c>
      <c r="T1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7">
        <f>(1000*CHOOSE(CONTROL!$C$42, 695, 695)*CHOOSE(CONTROL!$C$42, 0.5599, 0.5599)*CHOOSE(CONTROL!$C$42, 31, 31))/1000000</f>
        <v>12.063045499999998</v>
      </c>
      <c r="V192" s="57">
        <f>(1000*CHOOSE(CONTROL!$C$42, 500, 500)*CHOOSE(CONTROL!$C$42, 0.275, 0.275)*CHOOSE(CONTROL!$C$42, 31, 31))/1000000</f>
        <v>4.2625000000000002</v>
      </c>
      <c r="W192" s="57">
        <f>(1000*CHOOSE(CONTROL!$C$42, 0.1146, 0.1146)*CHOOSE(CONTROL!$C$42, 121.5, 121.5)*CHOOSE(CONTROL!$C$42, 31, 31))/1000000</f>
        <v>0.43164089999999994</v>
      </c>
      <c r="X192" s="57">
        <f>(31*0.1790888*100000/1000000)+(31*0.2374*100000/1000000)</f>
        <v>1.2911152800000001</v>
      </c>
      <c r="Y192" s="57"/>
      <c r="Z192" s="14"/>
      <c r="AA192" s="56"/>
      <c r="AB192" s="50">
        <f>(B192*122.58+C192*297.941+D192*89.177+E192*40.302+F192*40+G192*160+H192*0+I192*100+J192*300)/(122.58+297.941+89.177+40.302+0+40+160+100+300)</f>
        <v>9.7530249459999983</v>
      </c>
      <c r="AC192" s="45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9.59541798561151</v>
      </c>
    </row>
    <row r="193" spans="1:29" ht="15.75" x14ac:dyDescent="0.25">
      <c r="A193" s="13">
        <v>46753</v>
      </c>
      <c r="B193" s="14">
        <f>CHOOSE(CONTROL!$C$42, 10.2464, 10.2464) * CHOOSE(CONTROL!$C$21, $C$9, 100%, $E$9)</f>
        <v>10.2464</v>
      </c>
      <c r="C193" s="14">
        <f>CHOOSE(CONTROL!$C$42, 10.2514, 10.2514) * CHOOSE(CONTROL!$C$21, $C$9, 100%, $E$9)</f>
        <v>10.2514</v>
      </c>
      <c r="D193" s="14">
        <f>CHOOSE(CONTROL!$C$42, 10.3282, 10.3282) * CHOOSE(CONTROL!$C$21, $C$9, 100%, $E$9)</f>
        <v>10.328200000000001</v>
      </c>
      <c r="E193" s="14">
        <f>CHOOSE(CONTROL!$C$42, 10.3624, 10.3624) * CHOOSE(CONTROL!$C$21, $C$9, 100%, $E$9)</f>
        <v>10.362399999999999</v>
      </c>
      <c r="F193" s="14">
        <f>CHOOSE(CONTROL!$C$42, 10.2466, 10.2466)*CHOOSE(CONTROL!$C$21, $C$9, 100%, $E$9)</f>
        <v>10.246600000000001</v>
      </c>
      <c r="G193" s="14">
        <f>CHOOSE(CONTROL!$C$42, 10.2628, 10.2628)*CHOOSE(CONTROL!$C$21, $C$9, 100%, $E$9)</f>
        <v>10.2628</v>
      </c>
      <c r="H193" s="14">
        <f>CHOOSE(CONTROL!$C$42, 10.3515, 10.3515) * CHOOSE(CONTROL!$C$21, $C$9, 100%, $E$9)</f>
        <v>10.3515</v>
      </c>
      <c r="I193" s="14">
        <f>CHOOSE(CONTROL!$C$42, 10.2965, 10.2965)* CHOOSE(CONTROL!$C$21, $C$9, 100%, $E$9)</f>
        <v>10.2965</v>
      </c>
      <c r="J193" s="14">
        <f>CHOOSE(CONTROL!$C$42, 10.2396, 10.2396)* CHOOSE(CONTROL!$C$21, $C$9, 100%, $E$9)</f>
        <v>10.239599999999999</v>
      </c>
      <c r="K193" s="53">
        <f>CHOOSE(CONTROL!$C$42, 10.2926, 10.2926) * CHOOSE(CONTROL!$C$21, $C$9, 100%, $E$9)</f>
        <v>10.2926</v>
      </c>
      <c r="L193" s="14">
        <f>CHOOSE(CONTROL!$C$42, 10.9385, 10.9385) * CHOOSE(CONTROL!$C$21, $C$9, 100%, $E$9)</f>
        <v>10.938499999999999</v>
      </c>
      <c r="M193" s="14">
        <f>CHOOSE(CONTROL!$C$42, 10.0375, 10.0375) * CHOOSE(CONTROL!$C$21, $C$9, 100%, $E$9)</f>
        <v>10.0375</v>
      </c>
      <c r="N193" s="14">
        <f>CHOOSE(CONTROL!$C$42, 10.0533, 10.0533) * CHOOSE(CONTROL!$C$21, $C$9, 100%, $E$9)</f>
        <v>10.0533</v>
      </c>
      <c r="O193" s="14">
        <f>CHOOSE(CONTROL!$C$42, 10.1471, 10.1471) * CHOOSE(CONTROL!$C$21, $C$9, 100%, $E$9)</f>
        <v>10.1471</v>
      </c>
      <c r="P193" s="14">
        <f>CHOOSE(CONTROL!$C$42, 10.0927, 10.0927) * CHOOSE(CONTROL!$C$21, $C$9, 100%, $E$9)</f>
        <v>10.092700000000001</v>
      </c>
      <c r="Q193" s="14">
        <f>CHOOSE(CONTROL!$C$42, 10.7418, 10.7418) * CHOOSE(CONTROL!$C$21, $C$9, 100%, $E$9)</f>
        <v>10.7418</v>
      </c>
      <c r="R193" s="14">
        <f>CHOOSE(CONTROL!$C$42, 11.3557, 11.3557) * CHOOSE(CONTROL!$C$21, $C$9, 100%, $E$9)</f>
        <v>11.355700000000001</v>
      </c>
      <c r="S193" s="14">
        <f>CHOOSE(CONTROL!$C$42, 9.8372, 9.8372) * CHOOSE(CONTROL!$C$21, $C$9, 100%, $E$9)</f>
        <v>9.8371999999999993</v>
      </c>
      <c r="T1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7">
        <f>(1000*CHOOSE(CONTROL!$C$42, 695, 695)*CHOOSE(CONTROL!$C$42, 0.5599, 0.5599)*CHOOSE(CONTROL!$C$42, 31, 31))/1000000</f>
        <v>12.063045499999998</v>
      </c>
      <c r="V193" s="57">
        <f>(1000*CHOOSE(CONTROL!$C$42, 500, 500)*CHOOSE(CONTROL!$C$42, 0.275, 0.275)*CHOOSE(CONTROL!$C$42, 31, 31))/1000000</f>
        <v>4.2625000000000002</v>
      </c>
      <c r="W193" s="57">
        <f>(1000*CHOOSE(CONTROL!$C$42, 0.1146, 0.1146)*CHOOSE(CONTROL!$C$42, 121.5, 121.5)*CHOOSE(CONTROL!$C$42, 31, 31))/1000000</f>
        <v>0.43164089999999994</v>
      </c>
      <c r="X193" s="57">
        <f>(31*0.1790888*100000/1000000)+(31*0.2374*100000/1000000)</f>
        <v>1.2911152800000001</v>
      </c>
      <c r="Y193" s="57"/>
      <c r="Z193" s="14"/>
      <c r="AA193" s="56"/>
      <c r="AB193" s="50">
        <f>(B193*122.58+C193*297.941+D193*89.177+E193*40.302+F193*40+G193*160+H193*0+I193*100+J193*300)/(122.58+297.941+89.177+40.302+0+40+160+100+300)</f>
        <v>10.262975144</v>
      </c>
      <c r="AC193" s="45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10.096026618705036</v>
      </c>
    </row>
    <row r="194" spans="1:29" ht="15.75" x14ac:dyDescent="0.25">
      <c r="A194" s="13">
        <v>46784</v>
      </c>
      <c r="B194" s="14">
        <f>CHOOSE(CONTROL!$C$42, 10.45, 10.45) * CHOOSE(CONTROL!$C$21, $C$9, 100%, $E$9)</f>
        <v>10.45</v>
      </c>
      <c r="C194" s="14">
        <f>CHOOSE(CONTROL!$C$42, 10.4551, 10.4551) * CHOOSE(CONTROL!$C$21, $C$9, 100%, $E$9)</f>
        <v>10.4551</v>
      </c>
      <c r="D194" s="14">
        <f>CHOOSE(CONTROL!$C$42, 10.5319, 10.5319) * CHOOSE(CONTROL!$C$21, $C$9, 100%, $E$9)</f>
        <v>10.5319</v>
      </c>
      <c r="E194" s="14">
        <f>CHOOSE(CONTROL!$C$42, 10.566, 10.566) * CHOOSE(CONTROL!$C$21, $C$9, 100%, $E$9)</f>
        <v>10.566000000000001</v>
      </c>
      <c r="F194" s="14">
        <f>CHOOSE(CONTROL!$C$42, 10.4503, 10.4503)*CHOOSE(CONTROL!$C$21, $C$9, 100%, $E$9)</f>
        <v>10.4503</v>
      </c>
      <c r="G194" s="14">
        <f>CHOOSE(CONTROL!$C$42, 10.4665, 10.4665)*CHOOSE(CONTROL!$C$21, $C$9, 100%, $E$9)</f>
        <v>10.4665</v>
      </c>
      <c r="H194" s="14">
        <f>CHOOSE(CONTROL!$C$42, 10.5552, 10.5552) * CHOOSE(CONTROL!$C$21, $C$9, 100%, $E$9)</f>
        <v>10.555199999999999</v>
      </c>
      <c r="I194" s="14">
        <f>CHOOSE(CONTROL!$C$42, 10.5008, 10.5008)* CHOOSE(CONTROL!$C$21, $C$9, 100%, $E$9)</f>
        <v>10.5008</v>
      </c>
      <c r="J194" s="14">
        <f>CHOOSE(CONTROL!$C$42, 10.4433, 10.4433)* CHOOSE(CONTROL!$C$21, $C$9, 100%, $E$9)</f>
        <v>10.443300000000001</v>
      </c>
      <c r="K194" s="53">
        <f>CHOOSE(CONTROL!$C$42, 10.4969, 10.4969) * CHOOSE(CONTROL!$C$21, $C$9, 100%, $E$9)</f>
        <v>10.4969</v>
      </c>
      <c r="L194" s="14">
        <f>CHOOSE(CONTROL!$C$42, 11.1422, 11.1422) * CHOOSE(CONTROL!$C$21, $C$9, 100%, $E$9)</f>
        <v>11.142200000000001</v>
      </c>
      <c r="M194" s="14">
        <f>CHOOSE(CONTROL!$C$42, 10.237, 10.237) * CHOOSE(CONTROL!$C$21, $C$9, 100%, $E$9)</f>
        <v>10.237</v>
      </c>
      <c r="N194" s="14">
        <f>CHOOSE(CONTROL!$C$42, 10.2529, 10.2529) * CHOOSE(CONTROL!$C$21, $C$9, 100%, $E$9)</f>
        <v>10.2529</v>
      </c>
      <c r="O194" s="14">
        <f>CHOOSE(CONTROL!$C$42, 10.3467, 10.3467) * CHOOSE(CONTROL!$C$21, $C$9, 100%, $E$9)</f>
        <v>10.3467</v>
      </c>
      <c r="P194" s="14">
        <f>CHOOSE(CONTROL!$C$42, 10.2928, 10.2928) * CHOOSE(CONTROL!$C$21, $C$9, 100%, $E$9)</f>
        <v>10.2928</v>
      </c>
      <c r="Q194" s="14">
        <f>CHOOSE(CONTROL!$C$42, 10.9414, 10.9414) * CHOOSE(CONTROL!$C$21, $C$9, 100%, $E$9)</f>
        <v>10.9414</v>
      </c>
      <c r="R194" s="14">
        <f>CHOOSE(CONTROL!$C$42, 11.5557, 11.5557) * CHOOSE(CONTROL!$C$21, $C$9, 100%, $E$9)</f>
        <v>11.5557</v>
      </c>
      <c r="S194" s="14">
        <f>CHOOSE(CONTROL!$C$42, 10.0329, 10.0329) * CHOOSE(CONTROL!$C$21, $C$9, 100%, $E$9)</f>
        <v>10.0329</v>
      </c>
      <c r="T19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7">
        <f>(1000*CHOOSE(CONTROL!$C$42, 695, 695)*CHOOSE(CONTROL!$C$42, 0.5599, 0.5599)*CHOOSE(CONTROL!$C$42, 29, 29))/1000000</f>
        <v>11.284784499999999</v>
      </c>
      <c r="V194" s="57">
        <f>(1000*CHOOSE(CONTROL!$C$42, 500, 500)*CHOOSE(CONTROL!$C$42, 0.275, 0.275)*CHOOSE(CONTROL!$C$42, 29, 29))/1000000</f>
        <v>3.9874999999999998</v>
      </c>
      <c r="W194" s="57">
        <f>(1000*CHOOSE(CONTROL!$C$42, 0.1146, 0.1146)*CHOOSE(CONTROL!$C$42, 121.5, 121.5)*CHOOSE(CONTROL!$C$42, 29, 29))/1000000</f>
        <v>0.40379309999999996</v>
      </c>
      <c r="X194" s="57">
        <f>(29*0.1790888*100000/1000000)+(29*0.2374*100000/1000000)</f>
        <v>1.2078175199999999</v>
      </c>
      <c r="Y194" s="57"/>
      <c r="Z194" s="14"/>
      <c r="AA194" s="56"/>
      <c r="AB194" s="50">
        <f>(B194*122.58+C194*297.941+D194*89.177+E194*40.302+F194*40+G194*160+H194*0+I194*100+J194*300)/(122.58+297.941+89.177+40.302+0+40+160+100+300)</f>
        <v>10.466713154260868</v>
      </c>
      <c r="AC194" s="45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10.295664028776978</v>
      </c>
    </row>
    <row r="195" spans="1:29" ht="15.75" x14ac:dyDescent="0.25">
      <c r="A195" s="13">
        <v>46813</v>
      </c>
      <c r="B195" s="14">
        <f>CHOOSE(CONTROL!$C$42, 10.1745, 10.1745) * CHOOSE(CONTROL!$C$21, $C$9, 100%, $E$9)</f>
        <v>10.1745</v>
      </c>
      <c r="C195" s="14">
        <f>CHOOSE(CONTROL!$C$42, 10.1796, 10.1796) * CHOOSE(CONTROL!$C$21, $C$9, 100%, $E$9)</f>
        <v>10.179600000000001</v>
      </c>
      <c r="D195" s="14">
        <f>CHOOSE(CONTROL!$C$42, 10.2564, 10.2564) * CHOOSE(CONTROL!$C$21, $C$9, 100%, $E$9)</f>
        <v>10.256399999999999</v>
      </c>
      <c r="E195" s="14">
        <f>CHOOSE(CONTROL!$C$42, 10.2905, 10.2905) * CHOOSE(CONTROL!$C$21, $C$9, 100%, $E$9)</f>
        <v>10.2905</v>
      </c>
      <c r="F195" s="14">
        <f>CHOOSE(CONTROL!$C$42, 10.1743, 10.1743)*CHOOSE(CONTROL!$C$21, $C$9, 100%, $E$9)</f>
        <v>10.174300000000001</v>
      </c>
      <c r="G195" s="14">
        <f>CHOOSE(CONTROL!$C$42, 10.1904, 10.1904)*CHOOSE(CONTROL!$C$21, $C$9, 100%, $E$9)</f>
        <v>10.1904</v>
      </c>
      <c r="H195" s="14">
        <f>CHOOSE(CONTROL!$C$42, 10.2797, 10.2797) * CHOOSE(CONTROL!$C$21, $C$9, 100%, $E$9)</f>
        <v>10.2797</v>
      </c>
      <c r="I195" s="14">
        <f>CHOOSE(CONTROL!$C$42, 10.2245, 10.2245)* CHOOSE(CONTROL!$C$21, $C$9, 100%, $E$9)</f>
        <v>10.224500000000001</v>
      </c>
      <c r="J195" s="14">
        <f>CHOOSE(CONTROL!$C$42, 10.1673, 10.1673)* CHOOSE(CONTROL!$C$21, $C$9, 100%, $E$9)</f>
        <v>10.167299999999999</v>
      </c>
      <c r="K195" s="53">
        <f>CHOOSE(CONTROL!$C$42, 10.2206, 10.2206) * CHOOSE(CONTROL!$C$21, $C$9, 100%, $E$9)</f>
        <v>10.220599999999999</v>
      </c>
      <c r="L195" s="14">
        <f>CHOOSE(CONTROL!$C$42, 10.8667, 10.8667) * CHOOSE(CONTROL!$C$21, $C$9, 100%, $E$9)</f>
        <v>10.8667</v>
      </c>
      <c r="M195" s="14">
        <f>CHOOSE(CONTROL!$C$42, 9.9667, 9.9667) * CHOOSE(CONTROL!$C$21, $C$9, 100%, $E$9)</f>
        <v>9.9666999999999994</v>
      </c>
      <c r="N195" s="14">
        <f>CHOOSE(CONTROL!$C$42, 9.9825, 9.9825) * CHOOSE(CONTROL!$C$21, $C$9, 100%, $E$9)</f>
        <v>9.9824999999999999</v>
      </c>
      <c r="O195" s="14">
        <f>CHOOSE(CONTROL!$C$42, 10.0768, 10.0768) * CHOOSE(CONTROL!$C$21, $C$9, 100%, $E$9)</f>
        <v>10.0768</v>
      </c>
      <c r="P195" s="14">
        <f>CHOOSE(CONTROL!$C$42, 10.0221, 10.0221) * CHOOSE(CONTROL!$C$21, $C$9, 100%, $E$9)</f>
        <v>10.0221</v>
      </c>
      <c r="Q195" s="14">
        <f>CHOOSE(CONTROL!$C$42, 10.6715, 10.6715) * CHOOSE(CONTROL!$C$21, $C$9, 100%, $E$9)</f>
        <v>10.6715</v>
      </c>
      <c r="R195" s="14">
        <f>CHOOSE(CONTROL!$C$42, 11.2852, 11.2852) * CHOOSE(CONTROL!$C$21, $C$9, 100%, $E$9)</f>
        <v>11.2852</v>
      </c>
      <c r="S195" s="14">
        <f>CHOOSE(CONTROL!$C$42, 9.7682, 9.7682) * CHOOSE(CONTROL!$C$21, $C$9, 100%, $E$9)</f>
        <v>9.7682000000000002</v>
      </c>
      <c r="T1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7">
        <f>(1000*CHOOSE(CONTROL!$C$42, 695, 695)*CHOOSE(CONTROL!$C$42, 0.5599, 0.5599)*CHOOSE(CONTROL!$C$42, 31, 31))/1000000</f>
        <v>12.063045499999998</v>
      </c>
      <c r="V195" s="57">
        <f>(1000*CHOOSE(CONTROL!$C$42, 500, 500)*CHOOSE(CONTROL!$C$42, 0.275, 0.275)*CHOOSE(CONTROL!$C$42, 31, 31))/1000000</f>
        <v>4.2625000000000002</v>
      </c>
      <c r="W195" s="57">
        <f>(1000*CHOOSE(CONTROL!$C$42, 0.1146, 0.1146)*CHOOSE(CONTROL!$C$42, 121.5, 121.5)*CHOOSE(CONTROL!$C$42, 31, 31))/1000000</f>
        <v>0.43164089999999994</v>
      </c>
      <c r="X195" s="57">
        <f>(31*0.1790888*100000/1000000)+(31*0.2374*100000/1000000)</f>
        <v>1.2911152800000001</v>
      </c>
      <c r="Y195" s="57"/>
      <c r="Z195" s="14"/>
      <c r="AA195" s="56"/>
      <c r="AB195" s="50">
        <f>(B195*122.58+C195*297.941+D195*89.177+E195*40.302+F195*40+G195*160+H195*0+I195*100+J195*300)/(122.58+297.941+89.177+40.302+0+40+160+100+300)</f>
        <v>10.190912284695653</v>
      </c>
      <c r="AC195" s="45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10.025482014388489</v>
      </c>
    </row>
    <row r="196" spans="1:29" ht="15.75" x14ac:dyDescent="0.25">
      <c r="A196" s="13">
        <v>46844</v>
      </c>
      <c r="B196" s="14">
        <f>CHOOSE(CONTROL!$C$42, 10.1662, 10.1662) * CHOOSE(CONTROL!$C$21, $C$9, 100%, $E$9)</f>
        <v>10.1662</v>
      </c>
      <c r="C196" s="14">
        <f>CHOOSE(CONTROL!$C$42, 10.1707, 10.1707) * CHOOSE(CONTROL!$C$21, $C$9, 100%, $E$9)</f>
        <v>10.1707</v>
      </c>
      <c r="D196" s="14">
        <f>CHOOSE(CONTROL!$C$42, 10.4074, 10.4074) * CHOOSE(CONTROL!$C$21, $C$9, 100%, $E$9)</f>
        <v>10.407400000000001</v>
      </c>
      <c r="E196" s="14">
        <f>CHOOSE(CONTROL!$C$42, 10.4395, 10.4395) * CHOOSE(CONTROL!$C$21, $C$9, 100%, $E$9)</f>
        <v>10.439500000000001</v>
      </c>
      <c r="F196" s="14">
        <f>CHOOSE(CONTROL!$C$42, 10.1642, 10.1642)*CHOOSE(CONTROL!$C$21, $C$9, 100%, $E$9)</f>
        <v>10.164199999999999</v>
      </c>
      <c r="G196" s="14">
        <f>CHOOSE(CONTROL!$C$42, 10.18, 10.18)*CHOOSE(CONTROL!$C$21, $C$9, 100%, $E$9)</f>
        <v>10.18</v>
      </c>
      <c r="H196" s="14">
        <f>CHOOSE(CONTROL!$C$42, 10.4293, 10.4293) * CHOOSE(CONTROL!$C$21, $C$9, 100%, $E$9)</f>
        <v>10.4293</v>
      </c>
      <c r="I196" s="14">
        <f>CHOOSE(CONTROL!$C$42, 10.2153, 10.2153)* CHOOSE(CONTROL!$C$21, $C$9, 100%, $E$9)</f>
        <v>10.215299999999999</v>
      </c>
      <c r="J196" s="14">
        <f>CHOOSE(CONTROL!$C$42, 10.1572, 10.1572)* CHOOSE(CONTROL!$C$21, $C$9, 100%, $E$9)</f>
        <v>10.1572</v>
      </c>
      <c r="K196" s="53">
        <f>CHOOSE(CONTROL!$C$42, 10.2114, 10.2114) * CHOOSE(CONTROL!$C$21, $C$9, 100%, $E$9)</f>
        <v>10.211399999999999</v>
      </c>
      <c r="L196" s="14">
        <f>CHOOSE(CONTROL!$C$42, 11.0163, 11.0163) * CHOOSE(CONTROL!$C$21, $C$9, 100%, $E$9)</f>
        <v>11.016299999999999</v>
      </c>
      <c r="M196" s="14">
        <f>CHOOSE(CONTROL!$C$42, 9.9567, 9.9567) * CHOOSE(CONTROL!$C$21, $C$9, 100%, $E$9)</f>
        <v>9.9566999999999997</v>
      </c>
      <c r="N196" s="14">
        <f>CHOOSE(CONTROL!$C$42, 9.9722, 9.9722) * CHOOSE(CONTROL!$C$21, $C$9, 100%, $E$9)</f>
        <v>9.9722000000000008</v>
      </c>
      <c r="O196" s="14">
        <f>CHOOSE(CONTROL!$C$42, 10.2233, 10.2233) * CHOOSE(CONTROL!$C$21, $C$9, 100%, $E$9)</f>
        <v>10.2233</v>
      </c>
      <c r="P196" s="14">
        <f>CHOOSE(CONTROL!$C$42, 10.0132, 10.0132) * CHOOSE(CONTROL!$C$21, $C$9, 100%, $E$9)</f>
        <v>10.013199999999999</v>
      </c>
      <c r="Q196" s="14">
        <f>CHOOSE(CONTROL!$C$42, 10.818, 10.818) * CHOOSE(CONTROL!$C$21, $C$9, 100%, $E$9)</f>
        <v>10.818</v>
      </c>
      <c r="R196" s="14">
        <f>CHOOSE(CONTROL!$C$42, 11.4321, 11.4321) * CHOOSE(CONTROL!$C$21, $C$9, 100%, $E$9)</f>
        <v>11.4321</v>
      </c>
      <c r="S196" s="14">
        <f>CHOOSE(CONTROL!$C$42, 9.7594, 9.7594) * CHOOSE(CONTROL!$C$21, $C$9, 100%, $E$9)</f>
        <v>9.7593999999999994</v>
      </c>
      <c r="T1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7">
        <f>(1000*CHOOSE(CONTROL!$C$42, 695, 695)*CHOOSE(CONTROL!$C$42, 0.5599, 0.5599)*CHOOSE(CONTROL!$C$42, 30, 30))/1000000</f>
        <v>11.673914999999997</v>
      </c>
      <c r="V196" s="57">
        <f>(1000*CHOOSE(CONTROL!$C$42, 500, 500)*CHOOSE(CONTROL!$C$42, 0.275, 0.275)*CHOOSE(CONTROL!$C$42, 30, 30))/1000000</f>
        <v>4.125</v>
      </c>
      <c r="W196" s="57">
        <f>(1000*CHOOSE(CONTROL!$C$42, 0.1146, 0.1146)*CHOOSE(CONTROL!$C$42, 121.5, 121.5)*CHOOSE(CONTROL!$C$42, 30, 30))/1000000</f>
        <v>0.417717</v>
      </c>
      <c r="X196" s="57">
        <f>(30*0.1790888*245000/1000000)+(30*0.2374*100000/1000000)</f>
        <v>2.0285026799999999</v>
      </c>
      <c r="Y196" s="57"/>
      <c r="Z196" s="14"/>
      <c r="AA196" s="56"/>
      <c r="AB196" s="50">
        <f>(B196*141.293+C196*267.993+D196*115.016+E196*89.698+F196*40+G196*185+H196*0+I196*100+J196*300)/(141.293+267.993+115.016+89.698+0+40+185+100+300)</f>
        <v>10.213129209927361</v>
      </c>
      <c r="AC196" s="45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10.043199280575539</v>
      </c>
    </row>
    <row r="197" spans="1:29" ht="15.75" x14ac:dyDescent="0.25">
      <c r="A197" s="13">
        <v>46874</v>
      </c>
      <c r="B197" s="14">
        <f>CHOOSE(CONTROL!$C$42, 10.2783, 10.2783) * CHOOSE(CONTROL!$C$21, $C$9, 100%, $E$9)</f>
        <v>10.2783</v>
      </c>
      <c r="C197" s="14">
        <f>CHOOSE(CONTROL!$C$42, 10.2864, 10.2864) * CHOOSE(CONTROL!$C$21, $C$9, 100%, $E$9)</f>
        <v>10.2864</v>
      </c>
      <c r="D197" s="14">
        <f>CHOOSE(CONTROL!$C$42, 10.52, 10.52) * CHOOSE(CONTROL!$C$21, $C$9, 100%, $E$9)</f>
        <v>10.52</v>
      </c>
      <c r="E197" s="14">
        <f>CHOOSE(CONTROL!$C$42, 10.5514, 10.5514) * CHOOSE(CONTROL!$C$21, $C$9, 100%, $E$9)</f>
        <v>10.551399999999999</v>
      </c>
      <c r="F197" s="14">
        <f>CHOOSE(CONTROL!$C$42, 10.2751, 10.2751)*CHOOSE(CONTROL!$C$21, $C$9, 100%, $E$9)</f>
        <v>10.2751</v>
      </c>
      <c r="G197" s="14">
        <f>CHOOSE(CONTROL!$C$42, 10.2915, 10.2915)*CHOOSE(CONTROL!$C$21, $C$9, 100%, $E$9)</f>
        <v>10.291499999999999</v>
      </c>
      <c r="H197" s="14">
        <f>CHOOSE(CONTROL!$C$42, 10.5401, 10.5401) * CHOOSE(CONTROL!$C$21, $C$9, 100%, $E$9)</f>
        <v>10.540100000000001</v>
      </c>
      <c r="I197" s="14">
        <f>CHOOSE(CONTROL!$C$42, 10.3264, 10.3264)* CHOOSE(CONTROL!$C$21, $C$9, 100%, $E$9)</f>
        <v>10.3264</v>
      </c>
      <c r="J197" s="14">
        <f>CHOOSE(CONTROL!$C$42, 10.2681, 10.2681)* CHOOSE(CONTROL!$C$21, $C$9, 100%, $E$9)</f>
        <v>10.2681</v>
      </c>
      <c r="K197" s="53">
        <f>CHOOSE(CONTROL!$C$42, 10.3225, 10.3225) * CHOOSE(CONTROL!$C$21, $C$9, 100%, $E$9)</f>
        <v>10.3225</v>
      </c>
      <c r="L197" s="14">
        <f>CHOOSE(CONTROL!$C$42, 11.1271, 11.1271) * CHOOSE(CONTROL!$C$21, $C$9, 100%, $E$9)</f>
        <v>11.1271</v>
      </c>
      <c r="M197" s="14">
        <f>CHOOSE(CONTROL!$C$42, 10.0654, 10.0654) * CHOOSE(CONTROL!$C$21, $C$9, 100%, $E$9)</f>
        <v>10.0654</v>
      </c>
      <c r="N197" s="14">
        <f>CHOOSE(CONTROL!$C$42, 10.0814, 10.0814) * CHOOSE(CONTROL!$C$21, $C$9, 100%, $E$9)</f>
        <v>10.0814</v>
      </c>
      <c r="O197" s="14">
        <f>CHOOSE(CONTROL!$C$42, 10.3318, 10.3318) * CHOOSE(CONTROL!$C$21, $C$9, 100%, $E$9)</f>
        <v>10.331799999999999</v>
      </c>
      <c r="P197" s="14">
        <f>CHOOSE(CONTROL!$C$42, 10.122, 10.122) * CHOOSE(CONTROL!$C$21, $C$9, 100%, $E$9)</f>
        <v>10.122</v>
      </c>
      <c r="Q197" s="14">
        <f>CHOOSE(CONTROL!$C$42, 10.9265, 10.9265) * CHOOSE(CONTROL!$C$21, $C$9, 100%, $E$9)</f>
        <v>10.926500000000001</v>
      </c>
      <c r="R197" s="14">
        <f>CHOOSE(CONTROL!$C$42, 11.5408, 11.5408) * CHOOSE(CONTROL!$C$21, $C$9, 100%, $E$9)</f>
        <v>11.540800000000001</v>
      </c>
      <c r="S197" s="14">
        <f>CHOOSE(CONTROL!$C$42, 9.8658, 9.8658) * CHOOSE(CONTROL!$C$21, $C$9, 100%, $E$9)</f>
        <v>9.8658000000000001</v>
      </c>
      <c r="T1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7">
        <f>(1000*CHOOSE(CONTROL!$C$42, 695, 695)*CHOOSE(CONTROL!$C$42, 0.5599, 0.5599)*CHOOSE(CONTROL!$C$42, 31, 31))/1000000</f>
        <v>12.063045499999998</v>
      </c>
      <c r="V197" s="57">
        <f>(1000*CHOOSE(CONTROL!$C$42, 500, 500)*CHOOSE(CONTROL!$C$42, 0.275, 0.275)*CHOOSE(CONTROL!$C$42, 31, 31))/1000000</f>
        <v>4.2625000000000002</v>
      </c>
      <c r="W197" s="57">
        <f>(1000*CHOOSE(CONTROL!$C$42, 0.1146, 0.1146)*CHOOSE(CONTROL!$C$42, 121.5, 121.5)*CHOOSE(CONTROL!$C$42, 31, 31))/1000000</f>
        <v>0.43164089999999994</v>
      </c>
      <c r="X197" s="57">
        <f>(31*0.1790888*245000/1000000)+(31*0.2374*100000/1000000)</f>
        <v>2.0961194359999999</v>
      </c>
      <c r="Y197" s="57"/>
      <c r="Z197" s="14"/>
      <c r="AA197" s="56"/>
      <c r="AB197" s="50">
        <f>(B197*194.205+C197*267.466+D197*133.845+E197*53.484+F197*40+G197*185+H197*0+I197*100+J197*300)/(194.205+267.466+133.845+53.484+0+40+185+100+300)</f>
        <v>10.320048266483516</v>
      </c>
      <c r="AC197" s="45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10.151972661870504</v>
      </c>
    </row>
    <row r="198" spans="1:29" ht="15.75" x14ac:dyDescent="0.25">
      <c r="A198" s="13">
        <v>46905</v>
      </c>
      <c r="B198" s="14">
        <f>CHOOSE(CONTROL!$C$42, 10.5913, 10.5913) * CHOOSE(CONTROL!$C$21, $C$9, 100%, $E$9)</f>
        <v>10.5913</v>
      </c>
      <c r="C198" s="14">
        <f>CHOOSE(CONTROL!$C$42, 10.5993, 10.5993) * CHOOSE(CONTROL!$C$21, $C$9, 100%, $E$9)</f>
        <v>10.599299999999999</v>
      </c>
      <c r="D198" s="14">
        <f>CHOOSE(CONTROL!$C$42, 10.8329, 10.8329) * CHOOSE(CONTROL!$C$21, $C$9, 100%, $E$9)</f>
        <v>10.8329</v>
      </c>
      <c r="E198" s="14">
        <f>CHOOSE(CONTROL!$C$42, 10.8644, 10.8644) * CHOOSE(CONTROL!$C$21, $C$9, 100%, $E$9)</f>
        <v>10.8644</v>
      </c>
      <c r="F198" s="14">
        <f>CHOOSE(CONTROL!$C$42, 10.5886, 10.5886)*CHOOSE(CONTROL!$C$21, $C$9, 100%, $E$9)</f>
        <v>10.5886</v>
      </c>
      <c r="G198" s="14">
        <f>CHOOSE(CONTROL!$C$42, 10.605, 10.605)*CHOOSE(CONTROL!$C$21, $C$9, 100%, $E$9)</f>
        <v>10.605</v>
      </c>
      <c r="H198" s="14">
        <f>CHOOSE(CONTROL!$C$42, 10.853, 10.853) * CHOOSE(CONTROL!$C$21, $C$9, 100%, $E$9)</f>
        <v>10.853</v>
      </c>
      <c r="I198" s="14">
        <f>CHOOSE(CONTROL!$C$42, 10.6403, 10.6403)* CHOOSE(CONTROL!$C$21, $C$9, 100%, $E$9)</f>
        <v>10.6403</v>
      </c>
      <c r="J198" s="14">
        <f>CHOOSE(CONTROL!$C$42, 10.5816, 10.5816)* CHOOSE(CONTROL!$C$21, $C$9, 100%, $E$9)</f>
        <v>10.5816</v>
      </c>
      <c r="K198" s="53">
        <f>CHOOSE(CONTROL!$C$42, 10.6365, 10.6365) * CHOOSE(CONTROL!$C$21, $C$9, 100%, $E$9)</f>
        <v>10.6365</v>
      </c>
      <c r="L198" s="14">
        <f>CHOOSE(CONTROL!$C$42, 11.44, 11.44) * CHOOSE(CONTROL!$C$21, $C$9, 100%, $E$9)</f>
        <v>11.44</v>
      </c>
      <c r="M198" s="14">
        <f>CHOOSE(CONTROL!$C$42, 10.3724, 10.3724) * CHOOSE(CONTROL!$C$21, $C$9, 100%, $E$9)</f>
        <v>10.372400000000001</v>
      </c>
      <c r="N198" s="14">
        <f>CHOOSE(CONTROL!$C$42, 10.3886, 10.3886) * CHOOSE(CONTROL!$C$21, $C$9, 100%, $E$9)</f>
        <v>10.3886</v>
      </c>
      <c r="O198" s="14">
        <f>CHOOSE(CONTROL!$C$42, 10.6383, 10.6383) * CHOOSE(CONTROL!$C$21, $C$9, 100%, $E$9)</f>
        <v>10.638299999999999</v>
      </c>
      <c r="P198" s="14">
        <f>CHOOSE(CONTROL!$C$42, 10.4294, 10.4294) * CHOOSE(CONTROL!$C$21, $C$9, 100%, $E$9)</f>
        <v>10.429399999999999</v>
      </c>
      <c r="Q198" s="14">
        <f>CHOOSE(CONTROL!$C$42, 11.233, 11.233) * CHOOSE(CONTROL!$C$21, $C$9, 100%, $E$9)</f>
        <v>11.233000000000001</v>
      </c>
      <c r="R198" s="14">
        <f>CHOOSE(CONTROL!$C$42, 11.8481, 11.8481) * CHOOSE(CONTROL!$C$21, $C$9, 100%, $E$9)</f>
        <v>11.848100000000001</v>
      </c>
      <c r="S198" s="14">
        <f>CHOOSE(CONTROL!$C$42, 10.1665, 10.1665) * CHOOSE(CONTROL!$C$21, $C$9, 100%, $E$9)</f>
        <v>10.166499999999999</v>
      </c>
      <c r="T1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7">
        <f>(1000*CHOOSE(CONTROL!$C$42, 695, 695)*CHOOSE(CONTROL!$C$42, 0.5599, 0.5599)*CHOOSE(CONTROL!$C$42, 30, 30))/1000000</f>
        <v>11.673914999999997</v>
      </c>
      <c r="V198" s="57">
        <f>(1000*CHOOSE(CONTROL!$C$42, 500, 500)*CHOOSE(CONTROL!$C$42, 0.275, 0.275)*CHOOSE(CONTROL!$C$42, 30, 30))/1000000</f>
        <v>4.125</v>
      </c>
      <c r="W198" s="57">
        <f>(1000*CHOOSE(CONTROL!$C$42, 0.1146, 0.1146)*CHOOSE(CONTROL!$C$42, 121.5, 121.5)*CHOOSE(CONTROL!$C$42, 30, 30))/1000000</f>
        <v>0.417717</v>
      </c>
      <c r="X198" s="57">
        <f>(30*0.1790888*245000/1000000)+(30*0.2374*100000/1000000)</f>
        <v>2.0285026799999999</v>
      </c>
      <c r="Y198" s="57"/>
      <c r="Z198" s="14"/>
      <c r="AA198" s="56"/>
      <c r="AB198" s="50">
        <f>(B198*194.205+C198*267.466+D198*133.845+E198*53.484+F198*40+G198*185+H198*0+I198*100+J198*300)/(194.205+267.466+133.845+53.484+0+40+185+100+300)</f>
        <v>10.633293454003139</v>
      </c>
      <c r="AC198" s="45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10.458935971223021</v>
      </c>
    </row>
    <row r="199" spans="1:29" ht="15.75" x14ac:dyDescent="0.25">
      <c r="A199" s="13">
        <v>46935</v>
      </c>
      <c r="B199" s="14">
        <f>CHOOSE(CONTROL!$C$42, 10.4097, 10.4097) * CHOOSE(CONTROL!$C$21, $C$9, 100%, $E$9)</f>
        <v>10.409700000000001</v>
      </c>
      <c r="C199" s="14">
        <f>CHOOSE(CONTROL!$C$42, 10.4177, 10.4177) * CHOOSE(CONTROL!$C$21, $C$9, 100%, $E$9)</f>
        <v>10.4177</v>
      </c>
      <c r="D199" s="14">
        <f>CHOOSE(CONTROL!$C$42, 10.6513, 10.6513) * CHOOSE(CONTROL!$C$21, $C$9, 100%, $E$9)</f>
        <v>10.651300000000001</v>
      </c>
      <c r="E199" s="14">
        <f>CHOOSE(CONTROL!$C$42, 10.6828, 10.6828) * CHOOSE(CONTROL!$C$21, $C$9, 100%, $E$9)</f>
        <v>10.6828</v>
      </c>
      <c r="F199" s="14">
        <f>CHOOSE(CONTROL!$C$42, 10.4075, 10.4075)*CHOOSE(CONTROL!$C$21, $C$9, 100%, $E$9)</f>
        <v>10.407500000000001</v>
      </c>
      <c r="G199" s="14">
        <f>CHOOSE(CONTROL!$C$42, 10.4241, 10.4241)*CHOOSE(CONTROL!$C$21, $C$9, 100%, $E$9)</f>
        <v>10.424099999999999</v>
      </c>
      <c r="H199" s="14">
        <f>CHOOSE(CONTROL!$C$42, 10.6714, 10.6714) * CHOOSE(CONTROL!$C$21, $C$9, 100%, $E$9)</f>
        <v>10.6714</v>
      </c>
      <c r="I199" s="14">
        <f>CHOOSE(CONTROL!$C$42, 10.4582, 10.4582)* CHOOSE(CONTROL!$C$21, $C$9, 100%, $E$9)</f>
        <v>10.4582</v>
      </c>
      <c r="J199" s="14">
        <f>CHOOSE(CONTROL!$C$42, 10.4005, 10.4005)* CHOOSE(CONTROL!$C$21, $C$9, 100%, $E$9)</f>
        <v>10.400499999999999</v>
      </c>
      <c r="K199" s="53">
        <f>CHOOSE(CONTROL!$C$42, 10.4543, 10.4543) * CHOOSE(CONTROL!$C$21, $C$9, 100%, $E$9)</f>
        <v>10.4543</v>
      </c>
      <c r="L199" s="14">
        <f>CHOOSE(CONTROL!$C$42, 11.2584, 11.2584) * CHOOSE(CONTROL!$C$21, $C$9, 100%, $E$9)</f>
        <v>11.2584</v>
      </c>
      <c r="M199" s="14">
        <f>CHOOSE(CONTROL!$C$42, 10.1951, 10.1951) * CHOOSE(CONTROL!$C$21, $C$9, 100%, $E$9)</f>
        <v>10.1951</v>
      </c>
      <c r="N199" s="14">
        <f>CHOOSE(CONTROL!$C$42, 10.2114, 10.2114) * CHOOSE(CONTROL!$C$21, $C$9, 100%, $E$9)</f>
        <v>10.211399999999999</v>
      </c>
      <c r="O199" s="14">
        <f>CHOOSE(CONTROL!$C$42, 10.4605, 10.4605) * CHOOSE(CONTROL!$C$21, $C$9, 100%, $E$9)</f>
        <v>10.4605</v>
      </c>
      <c r="P199" s="14">
        <f>CHOOSE(CONTROL!$C$42, 10.251, 10.251) * CHOOSE(CONTROL!$C$21, $C$9, 100%, $E$9)</f>
        <v>10.250999999999999</v>
      </c>
      <c r="Q199" s="14">
        <f>CHOOSE(CONTROL!$C$42, 11.0552, 11.0552) * CHOOSE(CONTROL!$C$21, $C$9, 100%, $E$9)</f>
        <v>11.055199999999999</v>
      </c>
      <c r="R199" s="14">
        <f>CHOOSE(CONTROL!$C$42, 11.6698, 11.6698) * CHOOSE(CONTROL!$C$21, $C$9, 100%, $E$9)</f>
        <v>11.6698</v>
      </c>
      <c r="S199" s="14">
        <f>CHOOSE(CONTROL!$C$42, 9.9921, 9.9921) * CHOOSE(CONTROL!$C$21, $C$9, 100%, $E$9)</f>
        <v>9.9921000000000006</v>
      </c>
      <c r="T1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7">
        <f>(1000*CHOOSE(CONTROL!$C$42, 695, 695)*CHOOSE(CONTROL!$C$42, 0.5599, 0.5599)*CHOOSE(CONTROL!$C$42, 31, 31))/1000000</f>
        <v>12.063045499999998</v>
      </c>
      <c r="V199" s="57">
        <f>(1000*CHOOSE(CONTROL!$C$42, 500, 500)*CHOOSE(CONTROL!$C$42, 0.275, 0.275)*CHOOSE(CONTROL!$C$42, 31, 31))/1000000</f>
        <v>4.2625000000000002</v>
      </c>
      <c r="W199" s="57">
        <f>(1000*CHOOSE(CONTROL!$C$42, 0.1146, 0.1146)*CHOOSE(CONTROL!$C$42, 121.5, 121.5)*CHOOSE(CONTROL!$C$42, 31, 31))/1000000</f>
        <v>0.43164089999999994</v>
      </c>
      <c r="X199" s="57">
        <f>(31*0.1790888*245000/1000000)+(31*0.2374*100000/1000000)</f>
        <v>2.0961194359999999</v>
      </c>
      <c r="Y199" s="57"/>
      <c r="Z199" s="14"/>
      <c r="AA199" s="56"/>
      <c r="AB199" s="50">
        <f>(B199*194.205+C199*267.466+D199*133.845+E199*53.484+F199*40+G199*185+H199*0+I199*100+J199*300)/(194.205+267.466+133.845+53.484+0+40+185+100+300)</f>
        <v>10.451889293877549</v>
      </c>
      <c r="AC199" s="45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10.281360431654676</v>
      </c>
    </row>
    <row r="200" spans="1:29" ht="15.75" x14ac:dyDescent="0.25">
      <c r="A200" s="13">
        <v>46966</v>
      </c>
      <c r="B200" s="14">
        <f>CHOOSE(CONTROL!$C$42, 9.9165, 9.9165) * CHOOSE(CONTROL!$C$21, $C$9, 100%, $E$9)</f>
        <v>9.9164999999999992</v>
      </c>
      <c r="C200" s="14">
        <f>CHOOSE(CONTROL!$C$42, 9.9245, 9.9245) * CHOOSE(CONTROL!$C$21, $C$9, 100%, $E$9)</f>
        <v>9.9245000000000001</v>
      </c>
      <c r="D200" s="14">
        <f>CHOOSE(CONTROL!$C$42, 10.1581, 10.1581) * CHOOSE(CONTROL!$C$21, $C$9, 100%, $E$9)</f>
        <v>10.158099999999999</v>
      </c>
      <c r="E200" s="14">
        <f>CHOOSE(CONTROL!$C$42, 10.1896, 10.1896) * CHOOSE(CONTROL!$C$21, $C$9, 100%, $E$9)</f>
        <v>10.1896</v>
      </c>
      <c r="F200" s="14">
        <f>CHOOSE(CONTROL!$C$42, 9.9145, 9.9145)*CHOOSE(CONTROL!$C$21, $C$9, 100%, $E$9)</f>
        <v>9.9145000000000003</v>
      </c>
      <c r="G200" s="14">
        <f>CHOOSE(CONTROL!$C$42, 9.9311, 9.9311)*CHOOSE(CONTROL!$C$21, $C$9, 100%, $E$9)</f>
        <v>9.9311000000000007</v>
      </c>
      <c r="H200" s="14">
        <f>CHOOSE(CONTROL!$C$42, 10.1782, 10.1782) * CHOOSE(CONTROL!$C$21, $C$9, 100%, $E$9)</f>
        <v>10.1782</v>
      </c>
      <c r="I200" s="14">
        <f>CHOOSE(CONTROL!$C$42, 9.9634, 9.9634)* CHOOSE(CONTROL!$C$21, $C$9, 100%, $E$9)</f>
        <v>9.9634</v>
      </c>
      <c r="J200" s="14">
        <f>CHOOSE(CONTROL!$C$42, 9.9075, 9.9075)* CHOOSE(CONTROL!$C$21, $C$9, 100%, $E$9)</f>
        <v>9.9075000000000006</v>
      </c>
      <c r="K200" s="53">
        <f>CHOOSE(CONTROL!$C$42, 9.9595, 9.9595) * CHOOSE(CONTROL!$C$21, $C$9, 100%, $E$9)</f>
        <v>9.9595000000000002</v>
      </c>
      <c r="L200" s="14">
        <f>CHOOSE(CONTROL!$C$42, 10.7652, 10.7652) * CHOOSE(CONTROL!$C$21, $C$9, 100%, $E$9)</f>
        <v>10.7652</v>
      </c>
      <c r="M200" s="14">
        <f>CHOOSE(CONTROL!$C$42, 9.7122, 9.7122) * CHOOSE(CONTROL!$C$21, $C$9, 100%, $E$9)</f>
        <v>9.7121999999999993</v>
      </c>
      <c r="N200" s="14">
        <f>CHOOSE(CONTROL!$C$42, 9.7285, 9.7285) * CHOOSE(CONTROL!$C$21, $C$9, 100%, $E$9)</f>
        <v>9.7285000000000004</v>
      </c>
      <c r="O200" s="14">
        <f>CHOOSE(CONTROL!$C$42, 9.9774, 9.9774) * CHOOSE(CONTROL!$C$21, $C$9, 100%, $E$9)</f>
        <v>9.9773999999999994</v>
      </c>
      <c r="P200" s="14">
        <f>CHOOSE(CONTROL!$C$42, 9.7664, 9.7664) * CHOOSE(CONTROL!$C$21, $C$9, 100%, $E$9)</f>
        <v>9.7664000000000009</v>
      </c>
      <c r="Q200" s="14">
        <f>CHOOSE(CONTROL!$C$42, 10.5721, 10.5721) * CHOOSE(CONTROL!$C$21, $C$9, 100%, $E$9)</f>
        <v>10.572100000000001</v>
      </c>
      <c r="R200" s="14">
        <f>CHOOSE(CONTROL!$C$42, 11.1855, 11.1855) * CHOOSE(CONTROL!$C$21, $C$9, 100%, $E$9)</f>
        <v>11.185499999999999</v>
      </c>
      <c r="S200" s="14">
        <f>CHOOSE(CONTROL!$C$42, 9.5181, 9.5181) * CHOOSE(CONTROL!$C$21, $C$9, 100%, $E$9)</f>
        <v>9.5181000000000004</v>
      </c>
      <c r="T2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7">
        <f>(1000*CHOOSE(CONTROL!$C$42, 695, 695)*CHOOSE(CONTROL!$C$42, 0.5599, 0.5599)*CHOOSE(CONTROL!$C$42, 31, 31))/1000000</f>
        <v>12.063045499999998</v>
      </c>
      <c r="V200" s="57">
        <f>(1000*CHOOSE(CONTROL!$C$42, 500, 500)*CHOOSE(CONTROL!$C$42, 0.275, 0.275)*CHOOSE(CONTROL!$C$42, 31, 31))/1000000</f>
        <v>4.2625000000000002</v>
      </c>
      <c r="W200" s="57">
        <f>(1000*CHOOSE(CONTROL!$C$42, 0.1146, 0.1146)*CHOOSE(CONTROL!$C$42, 121.5, 121.5)*CHOOSE(CONTROL!$C$42, 31, 31))/1000000</f>
        <v>0.43164089999999994</v>
      </c>
      <c r="X200" s="57">
        <f>(31*0.1790888*245000/1000000)+(31*0.2374*100000/1000000)</f>
        <v>2.0961194359999999</v>
      </c>
      <c r="Y200" s="57"/>
      <c r="Z200" s="14"/>
      <c r="AA200" s="56"/>
      <c r="AB200" s="50">
        <f>(B200*194.205+C200*267.466+D200*133.845+E200*53.484+F200*40+G200*185+H200*0+I200*100+J200*300)/(194.205+267.466+133.845+53.484+0+40+185+100+300)</f>
        <v>9.9586461227629517</v>
      </c>
      <c r="AC200" s="45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9.7981597122302162</v>
      </c>
    </row>
    <row r="201" spans="1:29" ht="15.75" x14ac:dyDescent="0.25">
      <c r="A201" s="13">
        <v>46997</v>
      </c>
      <c r="B201" s="14">
        <f>CHOOSE(CONTROL!$C$42, 9.3064, 9.3064) * CHOOSE(CONTROL!$C$21, $C$9, 100%, $E$9)</f>
        <v>9.3064</v>
      </c>
      <c r="C201" s="14">
        <f>CHOOSE(CONTROL!$C$42, 9.3144, 9.3144) * CHOOSE(CONTROL!$C$21, $C$9, 100%, $E$9)</f>
        <v>9.3143999999999991</v>
      </c>
      <c r="D201" s="14">
        <f>CHOOSE(CONTROL!$C$42, 9.548, 9.548) * CHOOSE(CONTROL!$C$21, $C$9, 100%, $E$9)</f>
        <v>9.548</v>
      </c>
      <c r="E201" s="14">
        <f>CHOOSE(CONTROL!$C$42, 9.5794, 9.5794) * CHOOSE(CONTROL!$C$21, $C$9, 100%, $E$9)</f>
        <v>9.5793999999999997</v>
      </c>
      <c r="F201" s="14">
        <f>CHOOSE(CONTROL!$C$42, 9.3044, 9.3044)*CHOOSE(CONTROL!$C$21, $C$9, 100%, $E$9)</f>
        <v>9.3043999999999993</v>
      </c>
      <c r="G201" s="14">
        <f>CHOOSE(CONTROL!$C$42, 9.321, 9.321)*CHOOSE(CONTROL!$C$21, $C$9, 100%, $E$9)</f>
        <v>9.3209999999999997</v>
      </c>
      <c r="H201" s="14">
        <f>CHOOSE(CONTROL!$C$42, 9.5681, 9.5681) * CHOOSE(CONTROL!$C$21, $C$9, 100%, $E$9)</f>
        <v>9.5680999999999994</v>
      </c>
      <c r="I201" s="14">
        <f>CHOOSE(CONTROL!$C$42, 9.3514, 9.3514)* CHOOSE(CONTROL!$C$21, $C$9, 100%, $E$9)</f>
        <v>9.3513999999999999</v>
      </c>
      <c r="J201" s="14">
        <f>CHOOSE(CONTROL!$C$42, 9.2974, 9.2974)* CHOOSE(CONTROL!$C$21, $C$9, 100%, $E$9)</f>
        <v>9.2973999999999997</v>
      </c>
      <c r="K201" s="53">
        <f>CHOOSE(CONTROL!$C$42, 9.3475, 9.3475) * CHOOSE(CONTROL!$C$21, $C$9, 100%, $E$9)</f>
        <v>9.3475000000000001</v>
      </c>
      <c r="L201" s="14">
        <f>CHOOSE(CONTROL!$C$42, 10.1551, 10.1551) * CHOOSE(CONTROL!$C$21, $C$9, 100%, $E$9)</f>
        <v>10.155099999999999</v>
      </c>
      <c r="M201" s="14">
        <f>CHOOSE(CONTROL!$C$42, 9.1146, 9.1146) * CHOOSE(CONTROL!$C$21, $C$9, 100%, $E$9)</f>
        <v>9.1145999999999994</v>
      </c>
      <c r="N201" s="14">
        <f>CHOOSE(CONTROL!$C$42, 9.1309, 9.1309) * CHOOSE(CONTROL!$C$21, $C$9, 100%, $E$9)</f>
        <v>9.1309000000000005</v>
      </c>
      <c r="O201" s="14">
        <f>CHOOSE(CONTROL!$C$42, 9.3797, 9.3797) * CHOOSE(CONTROL!$C$21, $C$9, 100%, $E$9)</f>
        <v>9.3796999999999997</v>
      </c>
      <c r="P201" s="14">
        <f>CHOOSE(CONTROL!$C$42, 9.167, 9.167) * CHOOSE(CONTROL!$C$21, $C$9, 100%, $E$9)</f>
        <v>9.1669999999999998</v>
      </c>
      <c r="Q201" s="14">
        <f>CHOOSE(CONTROL!$C$42, 9.9744, 9.9744) * CHOOSE(CONTROL!$C$21, $C$9, 100%, $E$9)</f>
        <v>9.9743999999999993</v>
      </c>
      <c r="R201" s="14">
        <f>CHOOSE(CONTROL!$C$42, 10.5864, 10.5864) * CHOOSE(CONTROL!$C$21, $C$9, 100%, $E$9)</f>
        <v>10.586399999999999</v>
      </c>
      <c r="S201" s="14">
        <f>CHOOSE(CONTROL!$C$42, 8.9318, 8.9318) * CHOOSE(CONTROL!$C$21, $C$9, 100%, $E$9)</f>
        <v>8.9318000000000008</v>
      </c>
      <c r="T2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7">
        <f>(1000*CHOOSE(CONTROL!$C$42, 695, 695)*CHOOSE(CONTROL!$C$42, 0.5599, 0.5599)*CHOOSE(CONTROL!$C$42, 30, 30))/1000000</f>
        <v>11.673914999999997</v>
      </c>
      <c r="V201" s="57">
        <f>(1000*CHOOSE(CONTROL!$C$42, 500, 500)*CHOOSE(CONTROL!$C$42, 0.275, 0.275)*CHOOSE(CONTROL!$C$42, 30, 30))/1000000</f>
        <v>4.125</v>
      </c>
      <c r="W201" s="57">
        <f>(1000*CHOOSE(CONTROL!$C$42, 0.1146, 0.1146)*CHOOSE(CONTROL!$C$42, 121.5, 121.5)*CHOOSE(CONTROL!$C$42, 30, 30))/1000000</f>
        <v>0.417717</v>
      </c>
      <c r="X201" s="57">
        <f>(30*0.1790888*245000/1000000)+(30*0.2374*100000/1000000)</f>
        <v>2.0285026799999999</v>
      </c>
      <c r="Y201" s="57"/>
      <c r="Z201" s="14"/>
      <c r="AA201" s="56"/>
      <c r="AB201" s="50">
        <f>(B201*194.205+C201*267.466+D201*133.845+E201*53.484+F201*40+G201*185+H201*0+I201*100+J201*300)/(194.205+267.466+133.845+53.484+0+40+185+100+300)</f>
        <v>9.3483927880690736</v>
      </c>
      <c r="AC201" s="45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9.2002726618705033</v>
      </c>
    </row>
    <row r="202" spans="1:29" ht="15.75" x14ac:dyDescent="0.25">
      <c r="A202" s="13">
        <v>47027</v>
      </c>
      <c r="B202" s="14">
        <f>CHOOSE(CONTROL!$C$42, 9.1346, 9.1346) * CHOOSE(CONTROL!$C$21, $C$9, 100%, $E$9)</f>
        <v>9.1346000000000007</v>
      </c>
      <c r="C202" s="14">
        <f>CHOOSE(CONTROL!$C$42, 9.14, 9.14) * CHOOSE(CONTROL!$C$21, $C$9, 100%, $E$9)</f>
        <v>9.14</v>
      </c>
      <c r="D202" s="14">
        <f>CHOOSE(CONTROL!$C$42, 9.3785, 9.3785) * CHOOSE(CONTROL!$C$21, $C$9, 100%, $E$9)</f>
        <v>9.3785000000000007</v>
      </c>
      <c r="E202" s="14">
        <f>CHOOSE(CONTROL!$C$42, 9.4076, 9.4076) * CHOOSE(CONTROL!$C$21, $C$9, 100%, $E$9)</f>
        <v>9.4076000000000004</v>
      </c>
      <c r="F202" s="14">
        <f>CHOOSE(CONTROL!$C$42, 9.1347, 9.1347)*CHOOSE(CONTROL!$C$21, $C$9, 100%, $E$9)</f>
        <v>9.1347000000000005</v>
      </c>
      <c r="G202" s="14">
        <f>CHOOSE(CONTROL!$C$42, 9.1509, 9.1509)*CHOOSE(CONTROL!$C$21, $C$9, 100%, $E$9)</f>
        <v>9.1509</v>
      </c>
      <c r="H202" s="14">
        <f>CHOOSE(CONTROL!$C$42, 9.3981, 9.3981) * CHOOSE(CONTROL!$C$21, $C$9, 100%, $E$9)</f>
        <v>9.3980999999999995</v>
      </c>
      <c r="I202" s="14">
        <f>CHOOSE(CONTROL!$C$42, 9.1809, 9.1809)* CHOOSE(CONTROL!$C$21, $C$9, 100%, $E$9)</f>
        <v>9.1808999999999994</v>
      </c>
      <c r="J202" s="14">
        <f>CHOOSE(CONTROL!$C$42, 9.1277, 9.1277)* CHOOSE(CONTROL!$C$21, $C$9, 100%, $E$9)</f>
        <v>9.1277000000000008</v>
      </c>
      <c r="K202" s="53">
        <f>CHOOSE(CONTROL!$C$42, 9.177, 9.177) * CHOOSE(CONTROL!$C$21, $C$9, 100%, $E$9)</f>
        <v>9.1769999999999996</v>
      </c>
      <c r="L202" s="14">
        <f>CHOOSE(CONTROL!$C$42, 9.9851, 9.9851) * CHOOSE(CONTROL!$C$21, $C$9, 100%, $E$9)</f>
        <v>9.9850999999999992</v>
      </c>
      <c r="M202" s="14">
        <f>CHOOSE(CONTROL!$C$42, 8.9483, 8.9483) * CHOOSE(CONTROL!$C$21, $C$9, 100%, $E$9)</f>
        <v>8.9482999999999997</v>
      </c>
      <c r="N202" s="14">
        <f>CHOOSE(CONTROL!$C$42, 8.9643, 8.9643) * CHOOSE(CONTROL!$C$21, $C$9, 100%, $E$9)</f>
        <v>8.9642999999999997</v>
      </c>
      <c r="O202" s="14">
        <f>CHOOSE(CONTROL!$C$42, 9.2132, 9.2132) * CHOOSE(CONTROL!$C$21, $C$9, 100%, $E$9)</f>
        <v>9.2132000000000005</v>
      </c>
      <c r="P202" s="14">
        <f>CHOOSE(CONTROL!$C$42, 9, 9) * CHOOSE(CONTROL!$C$21, $C$9, 100%, $E$9)</f>
        <v>9</v>
      </c>
      <c r="Q202" s="14">
        <f>CHOOSE(CONTROL!$C$42, 9.8079, 9.8079) * CHOOSE(CONTROL!$C$21, $C$9, 100%, $E$9)</f>
        <v>9.8079000000000001</v>
      </c>
      <c r="R202" s="14">
        <f>CHOOSE(CONTROL!$C$42, 10.4195, 10.4195) * CHOOSE(CONTROL!$C$21, $C$9, 100%, $E$9)</f>
        <v>10.419499999999999</v>
      </c>
      <c r="S202" s="14">
        <f>CHOOSE(CONTROL!$C$42, 8.7685, 8.7685) * CHOOSE(CONTROL!$C$21, $C$9, 100%, $E$9)</f>
        <v>8.7684999999999995</v>
      </c>
      <c r="T2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7">
        <f>(1000*CHOOSE(CONTROL!$C$42, 695, 695)*CHOOSE(CONTROL!$C$42, 0.5599, 0.5599)*CHOOSE(CONTROL!$C$42, 31, 31))/1000000</f>
        <v>12.063045499999998</v>
      </c>
      <c r="V202" s="57">
        <f>(1000*CHOOSE(CONTROL!$C$42, 500, 500)*CHOOSE(CONTROL!$C$42, 0.275, 0.275)*CHOOSE(CONTROL!$C$42, 31, 31))/1000000</f>
        <v>4.2625000000000002</v>
      </c>
      <c r="W202" s="57">
        <f>(1000*CHOOSE(CONTROL!$C$42, 0.1146, 0.1146)*CHOOSE(CONTROL!$C$42, 121.5, 121.5)*CHOOSE(CONTROL!$C$42, 31, 31))/1000000</f>
        <v>0.43164089999999994</v>
      </c>
      <c r="X202" s="57">
        <f>(31*0.1790888*245000/1000000)+(31*0.2374*100000/1000000)</f>
        <v>2.0961194359999999</v>
      </c>
      <c r="Y202" s="57"/>
      <c r="Z202" s="14"/>
      <c r="AA202" s="56"/>
      <c r="AB202" s="50">
        <f>(B202*131.881+C202*277.167+D202*79.08+E202*125.872+F202*40+G202*185+H202*0+I202*100+J202*300)/(131.881+277.167+79.08+125.872+0+40+185+100+300)</f>
        <v>9.1836128085552886</v>
      </c>
      <c r="AC202" s="45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9.0337467625899279</v>
      </c>
    </row>
    <row r="203" spans="1:29" ht="15.75" x14ac:dyDescent="0.25">
      <c r="A203" s="13">
        <v>47058</v>
      </c>
      <c r="B203" s="14">
        <f>CHOOSE(CONTROL!$C$42, 9.3939, 9.3939) * CHOOSE(CONTROL!$C$21, $C$9, 100%, $E$9)</f>
        <v>9.3939000000000004</v>
      </c>
      <c r="C203" s="14">
        <f>CHOOSE(CONTROL!$C$42, 9.399, 9.399) * CHOOSE(CONTROL!$C$21, $C$9, 100%, $E$9)</f>
        <v>9.3989999999999991</v>
      </c>
      <c r="D203" s="14">
        <f>CHOOSE(CONTROL!$C$42, 9.4732, 9.4732) * CHOOSE(CONTROL!$C$21, $C$9, 100%, $E$9)</f>
        <v>9.4732000000000003</v>
      </c>
      <c r="E203" s="14">
        <f>CHOOSE(CONTROL!$C$42, 9.5073, 9.5073) * CHOOSE(CONTROL!$C$21, $C$9, 100%, $E$9)</f>
        <v>9.5073000000000008</v>
      </c>
      <c r="F203" s="14">
        <f>CHOOSE(CONTROL!$C$42, 9.4059, 9.4059)*CHOOSE(CONTROL!$C$21, $C$9, 100%, $E$9)</f>
        <v>9.4059000000000008</v>
      </c>
      <c r="G203" s="14">
        <f>CHOOSE(CONTROL!$C$42, 9.4225, 9.4225)*CHOOSE(CONTROL!$C$21, $C$9, 100%, $E$9)</f>
        <v>9.4224999999999994</v>
      </c>
      <c r="H203" s="14">
        <f>CHOOSE(CONTROL!$C$42, 9.4965, 9.4965) * CHOOSE(CONTROL!$C$21, $C$9, 100%, $E$9)</f>
        <v>9.4964999999999993</v>
      </c>
      <c r="I203" s="14">
        <f>CHOOSE(CONTROL!$C$42, 9.4476, 9.4476)* CHOOSE(CONTROL!$C$21, $C$9, 100%, $E$9)</f>
        <v>9.4475999999999996</v>
      </c>
      <c r="J203" s="14">
        <f>CHOOSE(CONTROL!$C$42, 9.3989, 9.3989)* CHOOSE(CONTROL!$C$21, $C$9, 100%, $E$9)</f>
        <v>9.3988999999999994</v>
      </c>
      <c r="K203" s="53">
        <f>CHOOSE(CONTROL!$C$42, 9.4437, 9.4437) * CHOOSE(CONTROL!$C$21, $C$9, 100%, $E$9)</f>
        <v>9.4436999999999998</v>
      </c>
      <c r="L203" s="14">
        <f>CHOOSE(CONTROL!$C$42, 10.0835, 10.0835) * CHOOSE(CONTROL!$C$21, $C$9, 100%, $E$9)</f>
        <v>10.083500000000001</v>
      </c>
      <c r="M203" s="14">
        <f>CHOOSE(CONTROL!$C$42, 9.2141, 9.2141) * CHOOSE(CONTROL!$C$21, $C$9, 100%, $E$9)</f>
        <v>9.2141000000000002</v>
      </c>
      <c r="N203" s="14">
        <f>CHOOSE(CONTROL!$C$42, 9.2303, 9.2303) * CHOOSE(CONTROL!$C$21, $C$9, 100%, $E$9)</f>
        <v>9.2302999999999997</v>
      </c>
      <c r="O203" s="14">
        <f>CHOOSE(CONTROL!$C$42, 9.3096, 9.3096) * CHOOSE(CONTROL!$C$21, $C$9, 100%, $E$9)</f>
        <v>9.3095999999999997</v>
      </c>
      <c r="P203" s="14">
        <f>CHOOSE(CONTROL!$C$42, 9.2612, 9.2612) * CHOOSE(CONTROL!$C$21, $C$9, 100%, $E$9)</f>
        <v>9.2612000000000005</v>
      </c>
      <c r="Q203" s="14">
        <f>CHOOSE(CONTROL!$C$42, 9.9043, 9.9043) * CHOOSE(CONTROL!$C$21, $C$9, 100%, $E$9)</f>
        <v>9.9042999999999992</v>
      </c>
      <c r="R203" s="14">
        <f>CHOOSE(CONTROL!$C$42, 10.5161, 10.5161) * CHOOSE(CONTROL!$C$21, $C$9, 100%, $E$9)</f>
        <v>10.5161</v>
      </c>
      <c r="S203" s="14">
        <f>CHOOSE(CONTROL!$C$42, 9.018, 9.018) * CHOOSE(CONTROL!$C$21, $C$9, 100%, $E$9)</f>
        <v>9.0180000000000007</v>
      </c>
      <c r="T2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7">
        <f>(1000*CHOOSE(CONTROL!$C$42, 695, 695)*CHOOSE(CONTROL!$C$42, 0.5599, 0.5599)*CHOOSE(CONTROL!$C$42, 30, 30))/1000000</f>
        <v>11.673914999999997</v>
      </c>
      <c r="V203" s="57">
        <f>(1000*CHOOSE(CONTROL!$C$42, 500, 500)*CHOOSE(CONTROL!$C$42, 0.275, 0.275)*CHOOSE(CONTROL!$C$42, 30, 30))/1000000</f>
        <v>4.125</v>
      </c>
      <c r="W203" s="57">
        <f>(1000*CHOOSE(CONTROL!$C$42, 0.1146, 0.1146)*CHOOSE(CONTROL!$C$42, 121.5, 121.5)*CHOOSE(CONTROL!$C$42, 30, 30))/1000000</f>
        <v>0.417717</v>
      </c>
      <c r="X203" s="57">
        <f>(30*0.1790888*100000/1000000)+(30*0.2374*100000/1000000)</f>
        <v>1.2494664</v>
      </c>
      <c r="Y203" s="57"/>
      <c r="Z203" s="14"/>
      <c r="AA203" s="56"/>
      <c r="AB203" s="50">
        <f>(B203*122.58+C203*297.941+D203*89.177+E203*40.302+F203*40+G203*160+H203*0+I203*100+J203*300)/(122.58+297.941+89.177+40.302+0+40+160+100+300)</f>
        <v>9.4157152017391308</v>
      </c>
      <c r="AC203" s="45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9.2650935251798554</v>
      </c>
    </row>
    <row r="204" spans="1:29" ht="15.75" x14ac:dyDescent="0.25">
      <c r="A204" s="13">
        <v>47088</v>
      </c>
      <c r="B204" s="14">
        <f>CHOOSE(CONTROL!$C$42, 10.0543, 10.0543) * CHOOSE(CONTROL!$C$21, $C$9, 100%, $E$9)</f>
        <v>10.0543</v>
      </c>
      <c r="C204" s="14">
        <f>CHOOSE(CONTROL!$C$42, 10.0594, 10.0594) * CHOOSE(CONTROL!$C$21, $C$9, 100%, $E$9)</f>
        <v>10.0594</v>
      </c>
      <c r="D204" s="14">
        <f>CHOOSE(CONTROL!$C$42, 10.1336, 10.1336) * CHOOSE(CONTROL!$C$21, $C$9, 100%, $E$9)</f>
        <v>10.133599999999999</v>
      </c>
      <c r="E204" s="14">
        <f>CHOOSE(CONTROL!$C$42, 10.1677, 10.1677) * CHOOSE(CONTROL!$C$21, $C$9, 100%, $E$9)</f>
        <v>10.1677</v>
      </c>
      <c r="F204" s="14">
        <f>CHOOSE(CONTROL!$C$42, 10.0686, 10.0686)*CHOOSE(CONTROL!$C$21, $C$9, 100%, $E$9)</f>
        <v>10.0686</v>
      </c>
      <c r="G204" s="14">
        <f>CHOOSE(CONTROL!$C$42, 10.0857, 10.0857)*CHOOSE(CONTROL!$C$21, $C$9, 100%, $E$9)</f>
        <v>10.085699999999999</v>
      </c>
      <c r="H204" s="14">
        <f>CHOOSE(CONTROL!$C$42, 10.1569, 10.1569) * CHOOSE(CONTROL!$C$21, $C$9, 100%, $E$9)</f>
        <v>10.1569</v>
      </c>
      <c r="I204" s="14">
        <f>CHOOSE(CONTROL!$C$42, 10.1102, 10.1102)* CHOOSE(CONTROL!$C$21, $C$9, 100%, $E$9)</f>
        <v>10.110200000000001</v>
      </c>
      <c r="J204" s="14">
        <f>CHOOSE(CONTROL!$C$42, 10.0616, 10.0616)* CHOOSE(CONTROL!$C$21, $C$9, 100%, $E$9)</f>
        <v>10.0616</v>
      </c>
      <c r="K204" s="53">
        <f>CHOOSE(CONTROL!$C$42, 10.1063, 10.1063) * CHOOSE(CONTROL!$C$21, $C$9, 100%, $E$9)</f>
        <v>10.106299999999999</v>
      </c>
      <c r="L204" s="14">
        <f>CHOOSE(CONTROL!$C$42, 10.7439, 10.7439) * CHOOSE(CONTROL!$C$21, $C$9, 100%, $E$9)</f>
        <v>10.7439</v>
      </c>
      <c r="M204" s="14">
        <f>CHOOSE(CONTROL!$C$42, 9.8631, 9.8631) * CHOOSE(CONTROL!$C$21, $C$9, 100%, $E$9)</f>
        <v>9.8630999999999993</v>
      </c>
      <c r="N204" s="14">
        <f>CHOOSE(CONTROL!$C$42, 9.8799, 9.8799) * CHOOSE(CONTROL!$C$21, $C$9, 100%, $E$9)</f>
        <v>9.8798999999999992</v>
      </c>
      <c r="O204" s="14">
        <f>CHOOSE(CONTROL!$C$42, 9.9565, 9.9565) * CHOOSE(CONTROL!$C$21, $C$9, 100%, $E$9)</f>
        <v>9.9565000000000001</v>
      </c>
      <c r="P204" s="14">
        <f>CHOOSE(CONTROL!$C$42, 9.9101, 9.9101) * CHOOSE(CONTROL!$C$21, $C$9, 100%, $E$9)</f>
        <v>9.9100999999999999</v>
      </c>
      <c r="Q204" s="14">
        <f>CHOOSE(CONTROL!$C$42, 10.5512, 10.5512) * CHOOSE(CONTROL!$C$21, $C$9, 100%, $E$9)</f>
        <v>10.5512</v>
      </c>
      <c r="R204" s="14">
        <f>CHOOSE(CONTROL!$C$42, 11.1646, 11.1646) * CHOOSE(CONTROL!$C$21, $C$9, 100%, $E$9)</f>
        <v>11.1646</v>
      </c>
      <c r="S204" s="14">
        <f>CHOOSE(CONTROL!$C$42, 9.6527, 9.6527) * CHOOSE(CONTROL!$C$21, $C$9, 100%, $E$9)</f>
        <v>9.6526999999999994</v>
      </c>
      <c r="T2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7">
        <f>(1000*CHOOSE(CONTROL!$C$42, 695, 695)*CHOOSE(CONTROL!$C$42, 0.5599, 0.5599)*CHOOSE(CONTROL!$C$42, 31, 31))/1000000</f>
        <v>12.063045499999998</v>
      </c>
      <c r="V204" s="57">
        <f>(1000*CHOOSE(CONTROL!$C$42, 500, 500)*CHOOSE(CONTROL!$C$42, 0.275, 0.275)*CHOOSE(CONTROL!$C$42, 31, 31))/1000000</f>
        <v>4.2625000000000002</v>
      </c>
      <c r="W204" s="57">
        <f>(1000*CHOOSE(CONTROL!$C$42, 0.1146, 0.1146)*CHOOSE(CONTROL!$C$42, 121.5, 121.5)*CHOOSE(CONTROL!$C$42, 31, 31))/1000000</f>
        <v>0.43164089999999994</v>
      </c>
      <c r="X204" s="57">
        <f>(31*0.1790888*100000/1000000)+(31*0.2374*100000/1000000)</f>
        <v>1.2911152800000001</v>
      </c>
      <c r="Y204" s="57"/>
      <c r="Z204" s="14"/>
      <c r="AA204" s="56"/>
      <c r="AB204" s="50">
        <f>(B204*122.58+C204*297.941+D204*89.177+E204*40.302+F204*40+G204*160+H204*0+I204*100+J204*300)/(122.58+297.941+89.177+40.302+0+40+160+100+300)</f>
        <v>10.077376071304347</v>
      </c>
      <c r="AC204" s="45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9.9131618705035969</v>
      </c>
    </row>
    <row r="205" spans="1:29" ht="15.75" x14ac:dyDescent="0.25">
      <c r="A205" s="13">
        <v>47119</v>
      </c>
      <c r="B205" s="14">
        <f>CHOOSE(CONTROL!$C$42, 10.5872, 10.5872) * CHOOSE(CONTROL!$C$21, $C$9, 100%, $E$9)</f>
        <v>10.587199999999999</v>
      </c>
      <c r="C205" s="14">
        <f>CHOOSE(CONTROL!$C$42, 10.5922, 10.5922) * CHOOSE(CONTROL!$C$21, $C$9, 100%, $E$9)</f>
        <v>10.5922</v>
      </c>
      <c r="D205" s="14">
        <f>CHOOSE(CONTROL!$C$42, 10.669, 10.669) * CHOOSE(CONTROL!$C$21, $C$9, 100%, $E$9)</f>
        <v>10.669</v>
      </c>
      <c r="E205" s="14">
        <f>CHOOSE(CONTROL!$C$42, 10.7032, 10.7032) * CHOOSE(CONTROL!$C$21, $C$9, 100%, $E$9)</f>
        <v>10.703200000000001</v>
      </c>
      <c r="F205" s="14">
        <f>CHOOSE(CONTROL!$C$42, 10.5874, 10.5874)*CHOOSE(CONTROL!$C$21, $C$9, 100%, $E$9)</f>
        <v>10.587400000000001</v>
      </c>
      <c r="G205" s="14">
        <f>CHOOSE(CONTROL!$C$42, 10.6036, 10.6036)*CHOOSE(CONTROL!$C$21, $C$9, 100%, $E$9)</f>
        <v>10.6036</v>
      </c>
      <c r="H205" s="14">
        <f>CHOOSE(CONTROL!$C$42, 10.6924, 10.6924) * CHOOSE(CONTROL!$C$21, $C$9, 100%, $E$9)</f>
        <v>10.692399999999999</v>
      </c>
      <c r="I205" s="14">
        <f>CHOOSE(CONTROL!$C$42, 10.6384, 10.6384)* CHOOSE(CONTROL!$C$21, $C$9, 100%, $E$9)</f>
        <v>10.638400000000001</v>
      </c>
      <c r="J205" s="14">
        <f>CHOOSE(CONTROL!$C$42, 10.5804, 10.5804)* CHOOSE(CONTROL!$C$21, $C$9, 100%, $E$9)</f>
        <v>10.580399999999999</v>
      </c>
      <c r="K205" s="53">
        <f>CHOOSE(CONTROL!$C$42, 10.6345, 10.6345) * CHOOSE(CONTROL!$C$21, $C$9, 100%, $E$9)</f>
        <v>10.634499999999999</v>
      </c>
      <c r="L205" s="14">
        <f>CHOOSE(CONTROL!$C$42, 11.2794, 11.2794) * CHOOSE(CONTROL!$C$21, $C$9, 100%, $E$9)</f>
        <v>11.279400000000001</v>
      </c>
      <c r="M205" s="14">
        <f>CHOOSE(CONTROL!$C$42, 10.3713, 10.3713) * CHOOSE(CONTROL!$C$21, $C$9, 100%, $E$9)</f>
        <v>10.3713</v>
      </c>
      <c r="N205" s="14">
        <f>CHOOSE(CONTROL!$C$42, 10.3872, 10.3872) * CHOOSE(CONTROL!$C$21, $C$9, 100%, $E$9)</f>
        <v>10.3872</v>
      </c>
      <c r="O205" s="14">
        <f>CHOOSE(CONTROL!$C$42, 10.481, 10.481) * CHOOSE(CONTROL!$C$21, $C$9, 100%, $E$9)</f>
        <v>10.481</v>
      </c>
      <c r="P205" s="14">
        <f>CHOOSE(CONTROL!$C$42, 10.4275, 10.4275) * CHOOSE(CONTROL!$C$21, $C$9, 100%, $E$9)</f>
        <v>10.4275</v>
      </c>
      <c r="Q205" s="14">
        <f>CHOOSE(CONTROL!$C$42, 11.0757, 11.0757) * CHOOSE(CONTROL!$C$21, $C$9, 100%, $E$9)</f>
        <v>11.075699999999999</v>
      </c>
      <c r="R205" s="14">
        <f>CHOOSE(CONTROL!$C$42, 11.6904, 11.6904) * CHOOSE(CONTROL!$C$21, $C$9, 100%, $E$9)</f>
        <v>11.6904</v>
      </c>
      <c r="S205" s="14">
        <f>CHOOSE(CONTROL!$C$42, 10.1647, 10.1647) * CHOOSE(CONTROL!$C$21, $C$9, 100%, $E$9)</f>
        <v>10.1647</v>
      </c>
      <c r="T2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7">
        <f>(1000*CHOOSE(CONTROL!$C$42, 695, 695)*CHOOSE(CONTROL!$C$42, 0.5599, 0.5599)*CHOOSE(CONTROL!$C$42, 31, 31))/1000000</f>
        <v>12.063045499999998</v>
      </c>
      <c r="V205" s="57">
        <f>(1000*CHOOSE(CONTROL!$C$42, 500, 500)*CHOOSE(CONTROL!$C$42, 0.275, 0.275)*CHOOSE(CONTROL!$C$42, 31, 31))/1000000</f>
        <v>4.2625000000000002</v>
      </c>
      <c r="W205" s="57">
        <f>(1000*CHOOSE(CONTROL!$C$42, 0.1146, 0.1146)*CHOOSE(CONTROL!$C$42, 121.5, 121.5)*CHOOSE(CONTROL!$C$42, 31, 31))/1000000</f>
        <v>0.43164089999999994</v>
      </c>
      <c r="X205" s="57">
        <f>(31*0.1790888*100000/1000000)+(31*0.2374*100000/1000000)</f>
        <v>1.2911152800000001</v>
      </c>
      <c r="Y205" s="57"/>
      <c r="Z205" s="14"/>
      <c r="AA205" s="56"/>
      <c r="AB205" s="50">
        <f>(B205*122.58+C205*297.941+D205*89.177+E205*40.302+F205*40+G205*160+H205*0+I205*100+J205*300)/(122.58+297.941+89.177+40.302+0+40+160+100+300)</f>
        <v>10.603870796173913</v>
      </c>
      <c r="AC205" s="45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10.430021582733813</v>
      </c>
    </row>
    <row r="206" spans="1:29" ht="15.75" x14ac:dyDescent="0.25">
      <c r="A206" s="13">
        <v>47150</v>
      </c>
      <c r="B206" s="14">
        <f>CHOOSE(CONTROL!$C$42, 10.7976, 10.7976) * CHOOSE(CONTROL!$C$21, $C$9, 100%, $E$9)</f>
        <v>10.797599999999999</v>
      </c>
      <c r="C206" s="14">
        <f>CHOOSE(CONTROL!$C$42, 10.8027, 10.8027) * CHOOSE(CONTROL!$C$21, $C$9, 100%, $E$9)</f>
        <v>10.8027</v>
      </c>
      <c r="D206" s="14">
        <f>CHOOSE(CONTROL!$C$42, 10.8795, 10.8795) * CHOOSE(CONTROL!$C$21, $C$9, 100%, $E$9)</f>
        <v>10.8795</v>
      </c>
      <c r="E206" s="14">
        <f>CHOOSE(CONTROL!$C$42, 10.9136, 10.9136) * CHOOSE(CONTROL!$C$21, $C$9, 100%, $E$9)</f>
        <v>10.913600000000001</v>
      </c>
      <c r="F206" s="14">
        <f>CHOOSE(CONTROL!$C$42, 10.7979, 10.7979)*CHOOSE(CONTROL!$C$21, $C$9, 100%, $E$9)</f>
        <v>10.7979</v>
      </c>
      <c r="G206" s="14">
        <f>CHOOSE(CONTROL!$C$42, 10.8141, 10.8141)*CHOOSE(CONTROL!$C$21, $C$9, 100%, $E$9)</f>
        <v>10.8141</v>
      </c>
      <c r="H206" s="14">
        <f>CHOOSE(CONTROL!$C$42, 10.9028, 10.9028) * CHOOSE(CONTROL!$C$21, $C$9, 100%, $E$9)</f>
        <v>10.902799999999999</v>
      </c>
      <c r="I206" s="14">
        <f>CHOOSE(CONTROL!$C$42, 10.8495, 10.8495)* CHOOSE(CONTROL!$C$21, $C$9, 100%, $E$9)</f>
        <v>10.849500000000001</v>
      </c>
      <c r="J206" s="14">
        <f>CHOOSE(CONTROL!$C$42, 10.7909, 10.7909)* CHOOSE(CONTROL!$C$21, $C$9, 100%, $E$9)</f>
        <v>10.790900000000001</v>
      </c>
      <c r="K206" s="53">
        <f>CHOOSE(CONTROL!$C$42, 10.8456, 10.8456) * CHOOSE(CONTROL!$C$21, $C$9, 100%, $E$9)</f>
        <v>10.845599999999999</v>
      </c>
      <c r="L206" s="14">
        <f>CHOOSE(CONTROL!$C$42, 11.4898, 11.4898) * CHOOSE(CONTROL!$C$21, $C$9, 100%, $E$9)</f>
        <v>11.489800000000001</v>
      </c>
      <c r="M206" s="14">
        <f>CHOOSE(CONTROL!$C$42, 10.5775, 10.5775) * CHOOSE(CONTROL!$C$21, $C$9, 100%, $E$9)</f>
        <v>10.577500000000001</v>
      </c>
      <c r="N206" s="14">
        <f>CHOOSE(CONTROL!$C$42, 10.5934, 10.5934) * CHOOSE(CONTROL!$C$21, $C$9, 100%, $E$9)</f>
        <v>10.593400000000001</v>
      </c>
      <c r="O206" s="14">
        <f>CHOOSE(CONTROL!$C$42, 10.6871, 10.6871) * CHOOSE(CONTROL!$C$21, $C$9, 100%, $E$9)</f>
        <v>10.687099999999999</v>
      </c>
      <c r="P206" s="14">
        <f>CHOOSE(CONTROL!$C$42, 10.6343, 10.6343) * CHOOSE(CONTROL!$C$21, $C$9, 100%, $E$9)</f>
        <v>10.6343</v>
      </c>
      <c r="Q206" s="14">
        <f>CHOOSE(CONTROL!$C$42, 11.2818, 11.2818) * CHOOSE(CONTROL!$C$21, $C$9, 100%, $E$9)</f>
        <v>11.2818</v>
      </c>
      <c r="R206" s="14">
        <f>CHOOSE(CONTROL!$C$42, 11.897, 11.897) * CHOOSE(CONTROL!$C$21, $C$9, 100%, $E$9)</f>
        <v>11.897</v>
      </c>
      <c r="S206" s="14">
        <f>CHOOSE(CONTROL!$C$42, 10.3669, 10.3669) * CHOOSE(CONTROL!$C$21, $C$9, 100%, $E$9)</f>
        <v>10.366899999999999</v>
      </c>
      <c r="T2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7">
        <f>(1000*CHOOSE(CONTROL!$C$42, 695, 695)*CHOOSE(CONTROL!$C$42, 0.5599, 0.5599)*CHOOSE(CONTROL!$C$42, 28, 28))/1000000</f>
        <v>10.895653999999999</v>
      </c>
      <c r="V206" s="57">
        <f>(1000*CHOOSE(CONTROL!$C$42, 500, 500)*CHOOSE(CONTROL!$C$42, 0.275, 0.275)*CHOOSE(CONTROL!$C$42, 28, 28))/1000000</f>
        <v>3.85</v>
      </c>
      <c r="W206" s="57">
        <f>(1000*CHOOSE(CONTROL!$C$42, 0.1146, 0.1146)*CHOOSE(CONTROL!$C$42, 121.5, 121.5)*CHOOSE(CONTROL!$C$42, 28, 28))/1000000</f>
        <v>0.38986920000000003</v>
      </c>
      <c r="X206" s="57">
        <f>(28*0.1790888*100000/1000000)+(28*0.2374*100000/1000000)</f>
        <v>1.16616864</v>
      </c>
      <c r="Y206" s="57"/>
      <c r="Z206" s="14"/>
      <c r="AA206" s="56"/>
      <c r="AB206" s="50">
        <f>(B206*122.58+C206*297.941+D206*89.177+E206*40.302+F206*40+G206*160+H206*0+I206*100+J206*300)/(122.58+297.941+89.177+40.302+0+40+160+100+300)</f>
        <v>10.814408806434782</v>
      </c>
      <c r="AC206" s="45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10.636262589928059</v>
      </c>
    </row>
    <row r="207" spans="1:29" ht="15.75" x14ac:dyDescent="0.25">
      <c r="A207" s="13">
        <v>47178</v>
      </c>
      <c r="B207" s="14">
        <f>CHOOSE(CONTROL!$C$42, 10.5129, 10.5129) * CHOOSE(CONTROL!$C$21, $C$9, 100%, $E$9)</f>
        <v>10.5129</v>
      </c>
      <c r="C207" s="14">
        <f>CHOOSE(CONTROL!$C$42, 10.518, 10.518) * CHOOSE(CONTROL!$C$21, $C$9, 100%, $E$9)</f>
        <v>10.518000000000001</v>
      </c>
      <c r="D207" s="14">
        <f>CHOOSE(CONTROL!$C$42, 10.5948, 10.5948) * CHOOSE(CONTROL!$C$21, $C$9, 100%, $E$9)</f>
        <v>10.594799999999999</v>
      </c>
      <c r="E207" s="14">
        <f>CHOOSE(CONTROL!$C$42, 10.6289, 10.6289) * CHOOSE(CONTROL!$C$21, $C$9, 100%, $E$9)</f>
        <v>10.6289</v>
      </c>
      <c r="F207" s="14">
        <f>CHOOSE(CONTROL!$C$42, 10.5127, 10.5127)*CHOOSE(CONTROL!$C$21, $C$9, 100%, $E$9)</f>
        <v>10.512700000000001</v>
      </c>
      <c r="G207" s="14">
        <f>CHOOSE(CONTROL!$C$42, 10.5288, 10.5288)*CHOOSE(CONTROL!$C$21, $C$9, 100%, $E$9)</f>
        <v>10.5288</v>
      </c>
      <c r="H207" s="14">
        <f>CHOOSE(CONTROL!$C$42, 10.6181, 10.6181) * CHOOSE(CONTROL!$C$21, $C$9, 100%, $E$9)</f>
        <v>10.6181</v>
      </c>
      <c r="I207" s="14">
        <f>CHOOSE(CONTROL!$C$42, 10.5639, 10.5639)* CHOOSE(CONTROL!$C$21, $C$9, 100%, $E$9)</f>
        <v>10.5639</v>
      </c>
      <c r="J207" s="14">
        <f>CHOOSE(CONTROL!$C$42, 10.5057, 10.5057)* CHOOSE(CONTROL!$C$21, $C$9, 100%, $E$9)</f>
        <v>10.505699999999999</v>
      </c>
      <c r="K207" s="53">
        <f>CHOOSE(CONTROL!$C$42, 10.56, 10.56) * CHOOSE(CONTROL!$C$21, $C$9, 100%, $E$9)</f>
        <v>10.56</v>
      </c>
      <c r="L207" s="14">
        <f>CHOOSE(CONTROL!$C$42, 11.2051, 11.2051) * CHOOSE(CONTROL!$C$21, $C$9, 100%, $E$9)</f>
        <v>11.2051</v>
      </c>
      <c r="M207" s="14">
        <f>CHOOSE(CONTROL!$C$42, 10.2982, 10.2982) * CHOOSE(CONTROL!$C$21, $C$9, 100%, $E$9)</f>
        <v>10.2982</v>
      </c>
      <c r="N207" s="14">
        <f>CHOOSE(CONTROL!$C$42, 10.314, 10.314) * CHOOSE(CONTROL!$C$21, $C$9, 100%, $E$9)</f>
        <v>10.314</v>
      </c>
      <c r="O207" s="14">
        <f>CHOOSE(CONTROL!$C$42, 10.4083, 10.4083) * CHOOSE(CONTROL!$C$21, $C$9, 100%, $E$9)</f>
        <v>10.408300000000001</v>
      </c>
      <c r="P207" s="14">
        <f>CHOOSE(CONTROL!$C$42, 10.3546, 10.3546) * CHOOSE(CONTROL!$C$21, $C$9, 100%, $E$9)</f>
        <v>10.3546</v>
      </c>
      <c r="Q207" s="14">
        <f>CHOOSE(CONTROL!$C$42, 11.003, 11.003) * CHOOSE(CONTROL!$C$21, $C$9, 100%, $E$9)</f>
        <v>11.003</v>
      </c>
      <c r="R207" s="14">
        <f>CHOOSE(CONTROL!$C$42, 11.6175, 11.6175) * CHOOSE(CONTROL!$C$21, $C$9, 100%, $E$9)</f>
        <v>11.6175</v>
      </c>
      <c r="S207" s="14">
        <f>CHOOSE(CONTROL!$C$42, 10.0933, 10.0933) * CHOOSE(CONTROL!$C$21, $C$9, 100%, $E$9)</f>
        <v>10.093299999999999</v>
      </c>
      <c r="T2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7">
        <f>(1000*CHOOSE(CONTROL!$C$42, 695, 695)*CHOOSE(CONTROL!$C$42, 0.5599, 0.5599)*CHOOSE(CONTROL!$C$42, 31, 31))/1000000</f>
        <v>12.063045499999998</v>
      </c>
      <c r="V207" s="57">
        <f>(1000*CHOOSE(CONTROL!$C$42, 500, 500)*CHOOSE(CONTROL!$C$42, 0.275, 0.275)*CHOOSE(CONTROL!$C$42, 31, 31))/1000000</f>
        <v>4.2625000000000002</v>
      </c>
      <c r="W207" s="57">
        <f>(1000*CHOOSE(CONTROL!$C$42, 0.1146, 0.1146)*CHOOSE(CONTROL!$C$42, 121.5, 121.5)*CHOOSE(CONTROL!$C$42, 31, 31))/1000000</f>
        <v>0.43164089999999994</v>
      </c>
      <c r="X207" s="57">
        <f>(31*0.1790888*100000/1000000)+(31*0.2374*100000/1000000)</f>
        <v>1.2911152800000001</v>
      </c>
      <c r="Y207" s="57"/>
      <c r="Z207" s="14"/>
      <c r="AA207" s="56"/>
      <c r="AB207" s="50">
        <f>(B207*122.58+C207*297.941+D207*89.177+E207*40.302+F207*40+G207*160+H207*0+I207*100+J207*300)/(122.58+297.941+89.177+40.302+0+40+160+100+300)</f>
        <v>10.529399241217389</v>
      </c>
      <c r="AC207" s="45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10.357125899280575</v>
      </c>
    </row>
    <row r="208" spans="1:29" ht="15.75" x14ac:dyDescent="0.25">
      <c r="A208" s="13">
        <v>47209</v>
      </c>
      <c r="B208" s="14">
        <f>CHOOSE(CONTROL!$C$42, 10.5043, 10.5043) * CHOOSE(CONTROL!$C$21, $C$9, 100%, $E$9)</f>
        <v>10.504300000000001</v>
      </c>
      <c r="C208" s="14">
        <f>CHOOSE(CONTROL!$C$42, 10.5088, 10.5088) * CHOOSE(CONTROL!$C$21, $C$9, 100%, $E$9)</f>
        <v>10.508800000000001</v>
      </c>
      <c r="D208" s="14">
        <f>CHOOSE(CONTROL!$C$42, 10.7455, 10.7455) * CHOOSE(CONTROL!$C$21, $C$9, 100%, $E$9)</f>
        <v>10.7455</v>
      </c>
      <c r="E208" s="14">
        <f>CHOOSE(CONTROL!$C$42, 10.7776, 10.7776) * CHOOSE(CONTROL!$C$21, $C$9, 100%, $E$9)</f>
        <v>10.7776</v>
      </c>
      <c r="F208" s="14">
        <f>CHOOSE(CONTROL!$C$42, 10.5023, 10.5023)*CHOOSE(CONTROL!$C$21, $C$9, 100%, $E$9)</f>
        <v>10.5023</v>
      </c>
      <c r="G208" s="14">
        <f>CHOOSE(CONTROL!$C$42, 10.5181, 10.5181)*CHOOSE(CONTROL!$C$21, $C$9, 100%, $E$9)</f>
        <v>10.5181</v>
      </c>
      <c r="H208" s="14">
        <f>CHOOSE(CONTROL!$C$42, 10.7674, 10.7674) * CHOOSE(CONTROL!$C$21, $C$9, 100%, $E$9)</f>
        <v>10.7674</v>
      </c>
      <c r="I208" s="14">
        <f>CHOOSE(CONTROL!$C$42, 10.5545, 10.5545)* CHOOSE(CONTROL!$C$21, $C$9, 100%, $E$9)</f>
        <v>10.554500000000001</v>
      </c>
      <c r="J208" s="14">
        <f>CHOOSE(CONTROL!$C$42, 10.4953, 10.4953)* CHOOSE(CONTROL!$C$21, $C$9, 100%, $E$9)</f>
        <v>10.4953</v>
      </c>
      <c r="K208" s="53">
        <f>CHOOSE(CONTROL!$C$42, 10.5506, 10.5506) * CHOOSE(CONTROL!$C$21, $C$9, 100%, $E$9)</f>
        <v>10.550599999999999</v>
      </c>
      <c r="L208" s="14">
        <f>CHOOSE(CONTROL!$C$42, 11.3544, 11.3544) * CHOOSE(CONTROL!$C$21, $C$9, 100%, $E$9)</f>
        <v>11.3544</v>
      </c>
      <c r="M208" s="14">
        <f>CHOOSE(CONTROL!$C$42, 10.2879, 10.2879) * CHOOSE(CONTROL!$C$21, $C$9, 100%, $E$9)</f>
        <v>10.2879</v>
      </c>
      <c r="N208" s="14">
        <f>CHOOSE(CONTROL!$C$42, 10.3034, 10.3034) * CHOOSE(CONTROL!$C$21, $C$9, 100%, $E$9)</f>
        <v>10.3034</v>
      </c>
      <c r="O208" s="14">
        <f>CHOOSE(CONTROL!$C$42, 10.5545, 10.5545) * CHOOSE(CONTROL!$C$21, $C$9, 100%, $E$9)</f>
        <v>10.554500000000001</v>
      </c>
      <c r="P208" s="14">
        <f>CHOOSE(CONTROL!$C$42, 10.3453, 10.3453) * CHOOSE(CONTROL!$C$21, $C$9, 100%, $E$9)</f>
        <v>10.3453</v>
      </c>
      <c r="Q208" s="14">
        <f>CHOOSE(CONTROL!$C$42, 11.1492, 11.1492) * CHOOSE(CONTROL!$C$21, $C$9, 100%, $E$9)</f>
        <v>11.1492</v>
      </c>
      <c r="R208" s="14">
        <f>CHOOSE(CONTROL!$C$42, 11.7641, 11.7641) * CHOOSE(CONTROL!$C$21, $C$9, 100%, $E$9)</f>
        <v>11.764099999999999</v>
      </c>
      <c r="S208" s="14">
        <f>CHOOSE(CONTROL!$C$42, 10.0843, 10.0843) * CHOOSE(CONTROL!$C$21, $C$9, 100%, $E$9)</f>
        <v>10.084300000000001</v>
      </c>
      <c r="T2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7">
        <f>(1000*CHOOSE(CONTROL!$C$42, 695, 695)*CHOOSE(CONTROL!$C$42, 0.5599, 0.5599)*CHOOSE(CONTROL!$C$42, 30, 30))/1000000</f>
        <v>11.673914999999997</v>
      </c>
      <c r="V208" s="57">
        <f>(1000*CHOOSE(CONTROL!$C$42, 500, 500)*CHOOSE(CONTROL!$C$42, 0.275, 0.275)*CHOOSE(CONTROL!$C$42, 30, 30))/1000000</f>
        <v>4.125</v>
      </c>
      <c r="W208" s="57">
        <f>(1000*CHOOSE(CONTROL!$C$42, 0.1146, 0.1146)*CHOOSE(CONTROL!$C$42, 121.5, 121.5)*CHOOSE(CONTROL!$C$42, 30, 30))/1000000</f>
        <v>0.417717</v>
      </c>
      <c r="X208" s="57">
        <f>(30*0.1790888*245000/1000000)+(30*0.2374*100000/1000000)</f>
        <v>2.0285026799999999</v>
      </c>
      <c r="Y208" s="57"/>
      <c r="Z208" s="14"/>
      <c r="AA208" s="56"/>
      <c r="AB208" s="50">
        <f>(B208*141.293+C208*267.993+D208*115.016+E208*89.698+F208*40+G208*185+H208*0+I208*100+J208*300)/(141.293+267.993+115.016+89.698+0+40+185+100+300)</f>
        <v>10.551317991202582</v>
      </c>
      <c r="AC208" s="45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10.374528776978417</v>
      </c>
    </row>
    <row r="209" spans="1:29" ht="15.75" x14ac:dyDescent="0.25">
      <c r="A209" s="13">
        <v>47239</v>
      </c>
      <c r="B209" s="14">
        <f>CHOOSE(CONTROL!$C$42, 10.6201, 10.6201) * CHOOSE(CONTROL!$C$21, $C$9, 100%, $E$9)</f>
        <v>10.620100000000001</v>
      </c>
      <c r="C209" s="14">
        <f>CHOOSE(CONTROL!$C$42, 10.6282, 10.6282) * CHOOSE(CONTROL!$C$21, $C$9, 100%, $E$9)</f>
        <v>10.6282</v>
      </c>
      <c r="D209" s="14">
        <f>CHOOSE(CONTROL!$C$42, 10.8617, 10.8617) * CHOOSE(CONTROL!$C$21, $C$9, 100%, $E$9)</f>
        <v>10.861700000000001</v>
      </c>
      <c r="E209" s="14">
        <f>CHOOSE(CONTROL!$C$42, 10.8932, 10.8932) * CHOOSE(CONTROL!$C$21, $C$9, 100%, $E$9)</f>
        <v>10.8932</v>
      </c>
      <c r="F209" s="14">
        <f>CHOOSE(CONTROL!$C$42, 10.6169, 10.6169)*CHOOSE(CONTROL!$C$21, $C$9, 100%, $E$9)</f>
        <v>10.616899999999999</v>
      </c>
      <c r="G209" s="14">
        <f>CHOOSE(CONTROL!$C$42, 10.6332, 10.6332)*CHOOSE(CONTROL!$C$21, $C$9, 100%, $E$9)</f>
        <v>10.6332</v>
      </c>
      <c r="H209" s="14">
        <f>CHOOSE(CONTROL!$C$42, 10.8818, 10.8818) * CHOOSE(CONTROL!$C$21, $C$9, 100%, $E$9)</f>
        <v>10.8818</v>
      </c>
      <c r="I209" s="14">
        <f>CHOOSE(CONTROL!$C$42, 10.6693, 10.6693)* CHOOSE(CONTROL!$C$21, $C$9, 100%, $E$9)</f>
        <v>10.6693</v>
      </c>
      <c r="J209" s="14">
        <f>CHOOSE(CONTROL!$C$42, 10.6099, 10.6099)* CHOOSE(CONTROL!$C$21, $C$9, 100%, $E$9)</f>
        <v>10.6099</v>
      </c>
      <c r="K209" s="53">
        <f>CHOOSE(CONTROL!$C$42, 10.6654, 10.6654) * CHOOSE(CONTROL!$C$21, $C$9, 100%, $E$9)</f>
        <v>10.6654</v>
      </c>
      <c r="L209" s="14">
        <f>CHOOSE(CONTROL!$C$42, 11.4688, 11.4688) * CHOOSE(CONTROL!$C$21, $C$9, 100%, $E$9)</f>
        <v>11.4688</v>
      </c>
      <c r="M209" s="14">
        <f>CHOOSE(CONTROL!$C$42, 10.4002, 10.4002) * CHOOSE(CONTROL!$C$21, $C$9, 100%, $E$9)</f>
        <v>10.4002</v>
      </c>
      <c r="N209" s="14">
        <f>CHOOSE(CONTROL!$C$42, 10.4162, 10.4162) * CHOOSE(CONTROL!$C$21, $C$9, 100%, $E$9)</f>
        <v>10.4162</v>
      </c>
      <c r="O209" s="14">
        <f>CHOOSE(CONTROL!$C$42, 10.6666, 10.6666) * CHOOSE(CONTROL!$C$21, $C$9, 100%, $E$9)</f>
        <v>10.666600000000001</v>
      </c>
      <c r="P209" s="14">
        <f>CHOOSE(CONTROL!$C$42, 10.4578, 10.4578) * CHOOSE(CONTROL!$C$21, $C$9, 100%, $E$9)</f>
        <v>10.457800000000001</v>
      </c>
      <c r="Q209" s="14">
        <f>CHOOSE(CONTROL!$C$42, 11.2613, 11.2613) * CHOOSE(CONTROL!$C$21, $C$9, 100%, $E$9)</f>
        <v>11.2613</v>
      </c>
      <c r="R209" s="14">
        <f>CHOOSE(CONTROL!$C$42, 11.8764, 11.8764) * CHOOSE(CONTROL!$C$21, $C$9, 100%, $E$9)</f>
        <v>11.8764</v>
      </c>
      <c r="S209" s="14">
        <f>CHOOSE(CONTROL!$C$42, 10.1942, 10.1942) * CHOOSE(CONTROL!$C$21, $C$9, 100%, $E$9)</f>
        <v>10.1942</v>
      </c>
      <c r="T2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7">
        <f>(1000*CHOOSE(CONTROL!$C$42, 695, 695)*CHOOSE(CONTROL!$C$42, 0.5599, 0.5599)*CHOOSE(CONTROL!$C$42, 31, 31))/1000000</f>
        <v>12.063045499999998</v>
      </c>
      <c r="V209" s="57">
        <f>(1000*CHOOSE(CONTROL!$C$42, 500, 500)*CHOOSE(CONTROL!$C$42, 0.275, 0.275)*CHOOSE(CONTROL!$C$42, 31, 31))/1000000</f>
        <v>4.2625000000000002</v>
      </c>
      <c r="W209" s="57">
        <f>(1000*CHOOSE(CONTROL!$C$42, 0.1146, 0.1146)*CHOOSE(CONTROL!$C$42, 121.5, 121.5)*CHOOSE(CONTROL!$C$42, 31, 31))/1000000</f>
        <v>0.43164089999999994</v>
      </c>
      <c r="X209" s="57">
        <f>(31*0.1790888*245000/1000000)+(31*0.2374*100000/1000000)</f>
        <v>2.0961194359999999</v>
      </c>
      <c r="Y209" s="57"/>
      <c r="Z209" s="14"/>
      <c r="AA209" s="56"/>
      <c r="AB209" s="50">
        <f>(B209*194.205+C209*267.466+D209*133.845+E209*53.484+F209*40+G209*185+H209*0+I209*100+J209*300)/(194.205+267.466+133.845+53.484+0+40+185+100+300)</f>
        <v>10.661909581632655</v>
      </c>
      <c r="AC209" s="45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10.486916546762588</v>
      </c>
    </row>
    <row r="210" spans="1:29" ht="15.75" x14ac:dyDescent="0.25">
      <c r="A210" s="13">
        <v>47270</v>
      </c>
      <c r="B210" s="14">
        <f>CHOOSE(CONTROL!$C$42, 10.9435, 10.9435) * CHOOSE(CONTROL!$C$21, $C$9, 100%, $E$9)</f>
        <v>10.9435</v>
      </c>
      <c r="C210" s="14">
        <f>CHOOSE(CONTROL!$C$42, 10.9515, 10.9515) * CHOOSE(CONTROL!$C$21, $C$9, 100%, $E$9)</f>
        <v>10.951499999999999</v>
      </c>
      <c r="D210" s="14">
        <f>CHOOSE(CONTROL!$C$42, 11.1851, 11.1851) * CHOOSE(CONTROL!$C$21, $C$9, 100%, $E$9)</f>
        <v>11.1851</v>
      </c>
      <c r="E210" s="14">
        <f>CHOOSE(CONTROL!$C$42, 11.2166, 11.2166) * CHOOSE(CONTROL!$C$21, $C$9, 100%, $E$9)</f>
        <v>11.2166</v>
      </c>
      <c r="F210" s="14">
        <f>CHOOSE(CONTROL!$C$42, 10.9408, 10.9408)*CHOOSE(CONTROL!$C$21, $C$9, 100%, $E$9)</f>
        <v>10.940799999999999</v>
      </c>
      <c r="G210" s="14">
        <f>CHOOSE(CONTROL!$C$42, 10.9572, 10.9572)*CHOOSE(CONTROL!$C$21, $C$9, 100%, $E$9)</f>
        <v>10.9572</v>
      </c>
      <c r="H210" s="14">
        <f>CHOOSE(CONTROL!$C$42, 11.2052, 11.2052) * CHOOSE(CONTROL!$C$21, $C$9, 100%, $E$9)</f>
        <v>11.2052</v>
      </c>
      <c r="I210" s="14">
        <f>CHOOSE(CONTROL!$C$42, 10.9936, 10.9936)* CHOOSE(CONTROL!$C$21, $C$9, 100%, $E$9)</f>
        <v>10.993600000000001</v>
      </c>
      <c r="J210" s="14">
        <f>CHOOSE(CONTROL!$C$42, 10.9338, 10.9338)* CHOOSE(CONTROL!$C$21, $C$9, 100%, $E$9)</f>
        <v>10.9338</v>
      </c>
      <c r="K210" s="53">
        <f>CHOOSE(CONTROL!$C$42, 10.9898, 10.9898) * CHOOSE(CONTROL!$C$21, $C$9, 100%, $E$9)</f>
        <v>10.989800000000001</v>
      </c>
      <c r="L210" s="14">
        <f>CHOOSE(CONTROL!$C$42, 11.7922, 11.7922) * CHOOSE(CONTROL!$C$21, $C$9, 100%, $E$9)</f>
        <v>11.792199999999999</v>
      </c>
      <c r="M210" s="14">
        <f>CHOOSE(CONTROL!$C$42, 10.7174, 10.7174) * CHOOSE(CONTROL!$C$21, $C$9, 100%, $E$9)</f>
        <v>10.7174</v>
      </c>
      <c r="N210" s="14">
        <f>CHOOSE(CONTROL!$C$42, 10.7336, 10.7336) * CHOOSE(CONTROL!$C$21, $C$9, 100%, $E$9)</f>
        <v>10.733599999999999</v>
      </c>
      <c r="O210" s="14">
        <f>CHOOSE(CONTROL!$C$42, 10.9833, 10.9833) * CHOOSE(CONTROL!$C$21, $C$9, 100%, $E$9)</f>
        <v>10.9833</v>
      </c>
      <c r="P210" s="14">
        <f>CHOOSE(CONTROL!$C$42, 10.7755, 10.7755) * CHOOSE(CONTROL!$C$21, $C$9, 100%, $E$9)</f>
        <v>10.775499999999999</v>
      </c>
      <c r="Q210" s="14">
        <f>CHOOSE(CONTROL!$C$42, 11.578, 11.578) * CHOOSE(CONTROL!$C$21, $C$9, 100%, $E$9)</f>
        <v>11.577999999999999</v>
      </c>
      <c r="R210" s="14">
        <f>CHOOSE(CONTROL!$C$42, 12.194, 12.194) * CHOOSE(CONTROL!$C$21, $C$9, 100%, $E$9)</f>
        <v>12.194000000000001</v>
      </c>
      <c r="S210" s="14">
        <f>CHOOSE(CONTROL!$C$42, 10.505, 10.505) * CHOOSE(CONTROL!$C$21, $C$9, 100%, $E$9)</f>
        <v>10.505000000000001</v>
      </c>
      <c r="T2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7">
        <f>(1000*CHOOSE(CONTROL!$C$42, 695, 695)*CHOOSE(CONTROL!$C$42, 0.5599, 0.5599)*CHOOSE(CONTROL!$C$42, 30, 30))/1000000</f>
        <v>11.673914999999997</v>
      </c>
      <c r="V210" s="57">
        <f>(1000*CHOOSE(CONTROL!$C$42, 500, 500)*CHOOSE(CONTROL!$C$42, 0.275, 0.275)*CHOOSE(CONTROL!$C$42, 30, 30))/1000000</f>
        <v>4.125</v>
      </c>
      <c r="W210" s="57">
        <f>(1000*CHOOSE(CONTROL!$C$42, 0.1146, 0.1146)*CHOOSE(CONTROL!$C$42, 121.5, 121.5)*CHOOSE(CONTROL!$C$42, 30, 30))/1000000</f>
        <v>0.417717</v>
      </c>
      <c r="X210" s="57">
        <f>(30*0.1790888*245000/1000000)+(30*0.2374*100000/1000000)</f>
        <v>2.0285026799999999</v>
      </c>
      <c r="Y210" s="57"/>
      <c r="Z210" s="14"/>
      <c r="AA210" s="56"/>
      <c r="AB210" s="50">
        <f>(B210*194.205+C210*267.466+D210*133.845+E210*53.484+F210*40+G210*185+H210*0+I210*100+J210*300)/(194.205+267.466+133.845+53.484+0+40+185+100+300)</f>
        <v>10.985579796232338</v>
      </c>
      <c r="AC210" s="45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10.804094244604316</v>
      </c>
    </row>
    <row r="211" spans="1:29" ht="15.75" x14ac:dyDescent="0.25">
      <c r="A211" s="13">
        <v>47300</v>
      </c>
      <c r="B211" s="14">
        <f>CHOOSE(CONTROL!$C$42, 10.7559, 10.7559) * CHOOSE(CONTROL!$C$21, $C$9, 100%, $E$9)</f>
        <v>10.7559</v>
      </c>
      <c r="C211" s="14">
        <f>CHOOSE(CONTROL!$C$42, 10.7639, 10.7639) * CHOOSE(CONTROL!$C$21, $C$9, 100%, $E$9)</f>
        <v>10.7639</v>
      </c>
      <c r="D211" s="14">
        <f>CHOOSE(CONTROL!$C$42, 10.9975, 10.9975) * CHOOSE(CONTROL!$C$21, $C$9, 100%, $E$9)</f>
        <v>10.9975</v>
      </c>
      <c r="E211" s="14">
        <f>CHOOSE(CONTROL!$C$42, 11.029, 11.029) * CHOOSE(CONTROL!$C$21, $C$9, 100%, $E$9)</f>
        <v>11.029</v>
      </c>
      <c r="F211" s="14">
        <f>CHOOSE(CONTROL!$C$42, 10.7537, 10.7537)*CHOOSE(CONTROL!$C$21, $C$9, 100%, $E$9)</f>
        <v>10.7537</v>
      </c>
      <c r="G211" s="14">
        <f>CHOOSE(CONTROL!$C$42, 10.7703, 10.7703)*CHOOSE(CONTROL!$C$21, $C$9, 100%, $E$9)</f>
        <v>10.770300000000001</v>
      </c>
      <c r="H211" s="14">
        <f>CHOOSE(CONTROL!$C$42, 11.0176, 11.0176) * CHOOSE(CONTROL!$C$21, $C$9, 100%, $E$9)</f>
        <v>11.0176</v>
      </c>
      <c r="I211" s="14">
        <f>CHOOSE(CONTROL!$C$42, 10.8054, 10.8054)* CHOOSE(CONTROL!$C$21, $C$9, 100%, $E$9)</f>
        <v>10.805400000000001</v>
      </c>
      <c r="J211" s="14">
        <f>CHOOSE(CONTROL!$C$42, 10.7467, 10.7467)* CHOOSE(CONTROL!$C$21, $C$9, 100%, $E$9)</f>
        <v>10.746700000000001</v>
      </c>
      <c r="K211" s="53">
        <f>CHOOSE(CONTROL!$C$42, 10.8015, 10.8015) * CHOOSE(CONTROL!$C$21, $C$9, 100%, $E$9)</f>
        <v>10.801500000000001</v>
      </c>
      <c r="L211" s="14">
        <f>CHOOSE(CONTROL!$C$42, 11.6046, 11.6046) * CHOOSE(CONTROL!$C$21, $C$9, 100%, $E$9)</f>
        <v>11.6046</v>
      </c>
      <c r="M211" s="14">
        <f>CHOOSE(CONTROL!$C$42, 10.5342, 10.5342) * CHOOSE(CONTROL!$C$21, $C$9, 100%, $E$9)</f>
        <v>10.5342</v>
      </c>
      <c r="N211" s="14">
        <f>CHOOSE(CONTROL!$C$42, 10.5504, 10.5504) * CHOOSE(CONTROL!$C$21, $C$9, 100%, $E$9)</f>
        <v>10.5504</v>
      </c>
      <c r="O211" s="14">
        <f>CHOOSE(CONTROL!$C$42, 10.7995, 10.7995) * CHOOSE(CONTROL!$C$21, $C$9, 100%, $E$9)</f>
        <v>10.7995</v>
      </c>
      <c r="P211" s="14">
        <f>CHOOSE(CONTROL!$C$42, 10.5911, 10.5911) * CHOOSE(CONTROL!$C$21, $C$9, 100%, $E$9)</f>
        <v>10.591100000000001</v>
      </c>
      <c r="Q211" s="14">
        <f>CHOOSE(CONTROL!$C$42, 11.3942, 11.3942) * CHOOSE(CONTROL!$C$21, $C$9, 100%, $E$9)</f>
        <v>11.3942</v>
      </c>
      <c r="R211" s="14">
        <f>CHOOSE(CONTROL!$C$42, 12.0097, 12.0097) * CHOOSE(CONTROL!$C$21, $C$9, 100%, $E$9)</f>
        <v>12.0097</v>
      </c>
      <c r="S211" s="14">
        <f>CHOOSE(CONTROL!$C$42, 10.3247, 10.3247) * CHOOSE(CONTROL!$C$21, $C$9, 100%, $E$9)</f>
        <v>10.3247</v>
      </c>
      <c r="T2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7">
        <f>(1000*CHOOSE(CONTROL!$C$42, 695, 695)*CHOOSE(CONTROL!$C$42, 0.5599, 0.5599)*CHOOSE(CONTROL!$C$42, 31, 31))/1000000</f>
        <v>12.063045499999998</v>
      </c>
      <c r="V211" s="57">
        <f>(1000*CHOOSE(CONTROL!$C$42, 500, 500)*CHOOSE(CONTROL!$C$42, 0.275, 0.275)*CHOOSE(CONTROL!$C$42, 31, 31))/1000000</f>
        <v>4.2625000000000002</v>
      </c>
      <c r="W211" s="57">
        <f>(1000*CHOOSE(CONTROL!$C$42, 0.1146, 0.1146)*CHOOSE(CONTROL!$C$42, 121.5, 121.5)*CHOOSE(CONTROL!$C$42, 31, 31))/1000000</f>
        <v>0.43164089999999994</v>
      </c>
      <c r="X211" s="57">
        <f>(31*0.1790888*245000/1000000)+(31*0.2374*100000/1000000)</f>
        <v>2.0961194359999999</v>
      </c>
      <c r="Y211" s="57"/>
      <c r="Z211" s="14"/>
      <c r="AA211" s="56"/>
      <c r="AB211" s="50">
        <f>(B211*194.205+C211*267.466+D211*133.845+E211*53.484+F211*40+G211*185+H211*0+I211*100+J211*300)/(194.205+267.466+133.845+53.484+0+40+185+100+300)</f>
        <v>10.798167786813188</v>
      </c>
      <c r="AC211" s="45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10.620553237410071</v>
      </c>
    </row>
    <row r="212" spans="1:29" ht="15.75" x14ac:dyDescent="0.25">
      <c r="A212" s="13">
        <v>47331</v>
      </c>
      <c r="B212" s="14">
        <f>CHOOSE(CONTROL!$C$42, 10.2462, 10.2462) * CHOOSE(CONTROL!$C$21, $C$9, 100%, $E$9)</f>
        <v>10.2462</v>
      </c>
      <c r="C212" s="14">
        <f>CHOOSE(CONTROL!$C$42, 10.2543, 10.2543) * CHOOSE(CONTROL!$C$21, $C$9, 100%, $E$9)</f>
        <v>10.254300000000001</v>
      </c>
      <c r="D212" s="14">
        <f>CHOOSE(CONTROL!$C$42, 10.4879, 10.4879) * CHOOSE(CONTROL!$C$21, $C$9, 100%, $E$9)</f>
        <v>10.4879</v>
      </c>
      <c r="E212" s="14">
        <f>CHOOSE(CONTROL!$C$42, 10.5193, 10.5193) * CHOOSE(CONTROL!$C$21, $C$9, 100%, $E$9)</f>
        <v>10.519299999999999</v>
      </c>
      <c r="F212" s="14">
        <f>CHOOSE(CONTROL!$C$42, 10.2442, 10.2442)*CHOOSE(CONTROL!$C$21, $C$9, 100%, $E$9)</f>
        <v>10.244199999999999</v>
      </c>
      <c r="G212" s="14">
        <f>CHOOSE(CONTROL!$C$42, 10.2609, 10.2609)*CHOOSE(CONTROL!$C$21, $C$9, 100%, $E$9)</f>
        <v>10.260899999999999</v>
      </c>
      <c r="H212" s="14">
        <f>CHOOSE(CONTROL!$C$42, 10.5079, 10.5079) * CHOOSE(CONTROL!$C$21, $C$9, 100%, $E$9)</f>
        <v>10.507899999999999</v>
      </c>
      <c r="I212" s="14">
        <f>CHOOSE(CONTROL!$C$42, 10.2942, 10.2942)* CHOOSE(CONTROL!$C$21, $C$9, 100%, $E$9)</f>
        <v>10.2942</v>
      </c>
      <c r="J212" s="14">
        <f>CHOOSE(CONTROL!$C$42, 10.2372, 10.2372)* CHOOSE(CONTROL!$C$21, $C$9, 100%, $E$9)</f>
        <v>10.2372</v>
      </c>
      <c r="K212" s="53">
        <f>CHOOSE(CONTROL!$C$42, 10.2903, 10.2903) * CHOOSE(CONTROL!$C$21, $C$9, 100%, $E$9)</f>
        <v>10.2903</v>
      </c>
      <c r="L212" s="14">
        <f>CHOOSE(CONTROL!$C$42, 11.0949, 11.0949) * CHOOSE(CONTROL!$C$21, $C$9, 100%, $E$9)</f>
        <v>11.094900000000001</v>
      </c>
      <c r="M212" s="14">
        <f>CHOOSE(CONTROL!$C$42, 10.0352, 10.0352) * CHOOSE(CONTROL!$C$21, $C$9, 100%, $E$9)</f>
        <v>10.0352</v>
      </c>
      <c r="N212" s="14">
        <f>CHOOSE(CONTROL!$C$42, 10.0515, 10.0515) * CHOOSE(CONTROL!$C$21, $C$9, 100%, $E$9)</f>
        <v>10.051500000000001</v>
      </c>
      <c r="O212" s="14">
        <f>CHOOSE(CONTROL!$C$42, 10.3003, 10.3003) * CHOOSE(CONTROL!$C$21, $C$9, 100%, $E$9)</f>
        <v>10.3003</v>
      </c>
      <c r="P212" s="14">
        <f>CHOOSE(CONTROL!$C$42, 10.0904, 10.0904) * CHOOSE(CONTROL!$C$21, $C$9, 100%, $E$9)</f>
        <v>10.090400000000001</v>
      </c>
      <c r="Q212" s="14">
        <f>CHOOSE(CONTROL!$C$42, 10.895, 10.895) * CHOOSE(CONTROL!$C$21, $C$9, 100%, $E$9)</f>
        <v>10.895</v>
      </c>
      <c r="R212" s="14">
        <f>CHOOSE(CONTROL!$C$42, 11.5093, 11.5093) * CHOOSE(CONTROL!$C$21, $C$9, 100%, $E$9)</f>
        <v>11.5093</v>
      </c>
      <c r="S212" s="14">
        <f>CHOOSE(CONTROL!$C$42, 9.835, 9.835) * CHOOSE(CONTROL!$C$21, $C$9, 100%, $E$9)</f>
        <v>9.8350000000000009</v>
      </c>
      <c r="T2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7">
        <f>(1000*CHOOSE(CONTROL!$C$42, 695, 695)*CHOOSE(CONTROL!$C$42, 0.5599, 0.5599)*CHOOSE(CONTROL!$C$42, 31, 31))/1000000</f>
        <v>12.063045499999998</v>
      </c>
      <c r="V212" s="57">
        <f>(1000*CHOOSE(CONTROL!$C$42, 500, 500)*CHOOSE(CONTROL!$C$42, 0.275, 0.275)*CHOOSE(CONTROL!$C$42, 31, 31))/1000000</f>
        <v>4.2625000000000002</v>
      </c>
      <c r="W212" s="57">
        <f>(1000*CHOOSE(CONTROL!$C$42, 0.1146, 0.1146)*CHOOSE(CONTROL!$C$42, 121.5, 121.5)*CHOOSE(CONTROL!$C$42, 31, 31))/1000000</f>
        <v>0.43164089999999994</v>
      </c>
      <c r="X212" s="57">
        <f>(31*0.1790888*245000/1000000)+(31*0.2374*100000/1000000)</f>
        <v>2.0961194359999999</v>
      </c>
      <c r="Y212" s="57"/>
      <c r="Z212" s="14"/>
      <c r="AA212" s="56"/>
      <c r="AB212" s="50">
        <f>(B212*194.205+C212*267.466+D212*133.845+E212*53.484+F212*40+G212*185+H212*0+I212*100+J212*300)/(194.205+267.466+133.845+53.484+0+40+185+100+300)</f>
        <v>10.288478486263736</v>
      </c>
      <c r="AC212" s="45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10.121275539568346</v>
      </c>
    </row>
    <row r="213" spans="1:29" ht="15.75" x14ac:dyDescent="0.25">
      <c r="A213" s="13">
        <v>47362</v>
      </c>
      <c r="B213" s="14">
        <f>CHOOSE(CONTROL!$C$42, 9.6158, 9.6158) * CHOOSE(CONTROL!$C$21, $C$9, 100%, $E$9)</f>
        <v>9.6158000000000001</v>
      </c>
      <c r="C213" s="14">
        <f>CHOOSE(CONTROL!$C$42, 9.6238, 9.6238) * CHOOSE(CONTROL!$C$21, $C$9, 100%, $E$9)</f>
        <v>9.6237999999999992</v>
      </c>
      <c r="D213" s="14">
        <f>CHOOSE(CONTROL!$C$42, 9.8574, 9.8574) * CHOOSE(CONTROL!$C$21, $C$9, 100%, $E$9)</f>
        <v>9.8574000000000002</v>
      </c>
      <c r="E213" s="14">
        <f>CHOOSE(CONTROL!$C$42, 9.8889, 9.8889) * CHOOSE(CONTROL!$C$21, $C$9, 100%, $E$9)</f>
        <v>9.8888999999999996</v>
      </c>
      <c r="F213" s="14">
        <f>CHOOSE(CONTROL!$C$42, 9.6138, 9.6138)*CHOOSE(CONTROL!$C$21, $C$9, 100%, $E$9)</f>
        <v>9.6137999999999995</v>
      </c>
      <c r="G213" s="14">
        <f>CHOOSE(CONTROL!$C$42, 9.6305, 9.6305)*CHOOSE(CONTROL!$C$21, $C$9, 100%, $E$9)</f>
        <v>9.6304999999999996</v>
      </c>
      <c r="H213" s="14">
        <f>CHOOSE(CONTROL!$C$42, 9.8775, 9.8775) * CHOOSE(CONTROL!$C$21, $C$9, 100%, $E$9)</f>
        <v>9.8774999999999995</v>
      </c>
      <c r="I213" s="14">
        <f>CHOOSE(CONTROL!$C$42, 9.6618, 9.6618)* CHOOSE(CONTROL!$C$21, $C$9, 100%, $E$9)</f>
        <v>9.6617999999999995</v>
      </c>
      <c r="J213" s="14">
        <f>CHOOSE(CONTROL!$C$42, 9.6068, 9.6068)* CHOOSE(CONTROL!$C$21, $C$9, 100%, $E$9)</f>
        <v>9.6067999999999998</v>
      </c>
      <c r="K213" s="53">
        <f>CHOOSE(CONTROL!$C$42, 9.6579, 9.6579) * CHOOSE(CONTROL!$C$21, $C$9, 100%, $E$9)</f>
        <v>9.6578999999999997</v>
      </c>
      <c r="L213" s="14">
        <f>CHOOSE(CONTROL!$C$42, 10.4645, 10.4645) * CHOOSE(CONTROL!$C$21, $C$9, 100%, $E$9)</f>
        <v>10.464499999999999</v>
      </c>
      <c r="M213" s="14">
        <f>CHOOSE(CONTROL!$C$42, 9.4177, 9.4177) * CHOOSE(CONTROL!$C$21, $C$9, 100%, $E$9)</f>
        <v>9.4177</v>
      </c>
      <c r="N213" s="14">
        <f>CHOOSE(CONTROL!$C$42, 9.434, 9.434) * CHOOSE(CONTROL!$C$21, $C$9, 100%, $E$9)</f>
        <v>9.4339999999999993</v>
      </c>
      <c r="O213" s="14">
        <f>CHOOSE(CONTROL!$C$42, 9.6828, 9.6828) * CHOOSE(CONTROL!$C$21, $C$9, 100%, $E$9)</f>
        <v>9.6828000000000003</v>
      </c>
      <c r="P213" s="14">
        <f>CHOOSE(CONTROL!$C$42, 9.471, 9.471) * CHOOSE(CONTROL!$C$21, $C$9, 100%, $E$9)</f>
        <v>9.4710000000000001</v>
      </c>
      <c r="Q213" s="14">
        <f>CHOOSE(CONTROL!$C$42, 10.2775, 10.2775) * CHOOSE(CONTROL!$C$21, $C$9, 100%, $E$9)</f>
        <v>10.2775</v>
      </c>
      <c r="R213" s="14">
        <f>CHOOSE(CONTROL!$C$42, 10.8902, 10.8902) * CHOOSE(CONTROL!$C$21, $C$9, 100%, $E$9)</f>
        <v>10.8902</v>
      </c>
      <c r="S213" s="14">
        <f>CHOOSE(CONTROL!$C$42, 9.2292, 9.2292) * CHOOSE(CONTROL!$C$21, $C$9, 100%, $E$9)</f>
        <v>9.2292000000000005</v>
      </c>
      <c r="T2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7">
        <f>(1000*CHOOSE(CONTROL!$C$42, 695, 695)*CHOOSE(CONTROL!$C$42, 0.5599, 0.5599)*CHOOSE(CONTROL!$C$42, 30, 30))/1000000</f>
        <v>11.673914999999997</v>
      </c>
      <c r="V213" s="57">
        <f>(1000*CHOOSE(CONTROL!$C$42, 500, 500)*CHOOSE(CONTROL!$C$42, 0.275, 0.275)*CHOOSE(CONTROL!$C$42, 30, 30))/1000000</f>
        <v>4.125</v>
      </c>
      <c r="W213" s="57">
        <f>(1000*CHOOSE(CONTROL!$C$42, 0.1146, 0.1146)*CHOOSE(CONTROL!$C$42, 121.5, 121.5)*CHOOSE(CONTROL!$C$42, 30, 30))/1000000</f>
        <v>0.417717</v>
      </c>
      <c r="X213" s="57">
        <f>(30*0.1790888*245000/1000000)+(30*0.2374*100000/1000000)</f>
        <v>2.0285026799999999</v>
      </c>
      <c r="Y213" s="57"/>
      <c r="Z213" s="14"/>
      <c r="AA213" s="56"/>
      <c r="AB213" s="50">
        <f>(B213*194.205+C213*267.466+D213*133.845+E213*53.484+F213*40+G213*185+H213*0+I213*100+J213*300)/(194.205+267.466+133.845+53.484+0+40+185+100+300)</f>
        <v>9.6578900003139729</v>
      </c>
      <c r="AC213" s="45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9.5035021582733812</v>
      </c>
    </row>
    <row r="214" spans="1:29" ht="15.75" x14ac:dyDescent="0.25">
      <c r="A214" s="13">
        <v>47392</v>
      </c>
      <c r="B214" s="14">
        <f>CHOOSE(CONTROL!$C$42, 9.4384, 9.4384) * CHOOSE(CONTROL!$C$21, $C$9, 100%, $E$9)</f>
        <v>9.4383999999999997</v>
      </c>
      <c r="C214" s="14">
        <f>CHOOSE(CONTROL!$C$42, 9.4437, 9.4437) * CHOOSE(CONTROL!$C$21, $C$9, 100%, $E$9)</f>
        <v>9.4436999999999998</v>
      </c>
      <c r="D214" s="14">
        <f>CHOOSE(CONTROL!$C$42, 9.6823, 9.6823) * CHOOSE(CONTROL!$C$21, $C$9, 100%, $E$9)</f>
        <v>9.6822999999999997</v>
      </c>
      <c r="E214" s="14">
        <f>CHOOSE(CONTROL!$C$42, 9.7114, 9.7114) * CHOOSE(CONTROL!$C$21, $C$9, 100%, $E$9)</f>
        <v>9.7113999999999994</v>
      </c>
      <c r="F214" s="14">
        <f>CHOOSE(CONTROL!$C$42, 9.4384, 9.4384)*CHOOSE(CONTROL!$C$21, $C$9, 100%, $E$9)</f>
        <v>9.4383999999999997</v>
      </c>
      <c r="G214" s="14">
        <f>CHOOSE(CONTROL!$C$42, 9.4547, 9.4547)*CHOOSE(CONTROL!$C$21, $C$9, 100%, $E$9)</f>
        <v>9.4547000000000008</v>
      </c>
      <c r="H214" s="14">
        <f>CHOOSE(CONTROL!$C$42, 9.7019, 9.7019) * CHOOSE(CONTROL!$C$21, $C$9, 100%, $E$9)</f>
        <v>9.7019000000000002</v>
      </c>
      <c r="I214" s="14">
        <f>CHOOSE(CONTROL!$C$42, 9.4856, 9.4856)* CHOOSE(CONTROL!$C$21, $C$9, 100%, $E$9)</f>
        <v>9.4855999999999998</v>
      </c>
      <c r="J214" s="14">
        <f>CHOOSE(CONTROL!$C$42, 9.4314, 9.4314)* CHOOSE(CONTROL!$C$21, $C$9, 100%, $E$9)</f>
        <v>9.4314</v>
      </c>
      <c r="K214" s="53">
        <f>CHOOSE(CONTROL!$C$42, 9.4817, 9.4817) * CHOOSE(CONTROL!$C$21, $C$9, 100%, $E$9)</f>
        <v>9.4817</v>
      </c>
      <c r="L214" s="14">
        <f>CHOOSE(CONTROL!$C$42, 10.2889, 10.2889) * CHOOSE(CONTROL!$C$21, $C$9, 100%, $E$9)</f>
        <v>10.2889</v>
      </c>
      <c r="M214" s="14">
        <f>CHOOSE(CONTROL!$C$42, 9.2459, 9.2459) * CHOOSE(CONTROL!$C$21, $C$9, 100%, $E$9)</f>
        <v>9.2459000000000007</v>
      </c>
      <c r="N214" s="14">
        <f>CHOOSE(CONTROL!$C$42, 9.2618, 9.2618) * CHOOSE(CONTROL!$C$21, $C$9, 100%, $E$9)</f>
        <v>9.2617999999999991</v>
      </c>
      <c r="O214" s="14">
        <f>CHOOSE(CONTROL!$C$42, 9.5108, 9.5108) * CHOOSE(CONTROL!$C$21, $C$9, 100%, $E$9)</f>
        <v>9.5107999999999997</v>
      </c>
      <c r="P214" s="14">
        <f>CHOOSE(CONTROL!$C$42, 9.2984, 9.2984) * CHOOSE(CONTROL!$C$21, $C$9, 100%, $E$9)</f>
        <v>9.2984000000000009</v>
      </c>
      <c r="Q214" s="14">
        <f>CHOOSE(CONTROL!$C$42, 10.1055, 10.1055) * CHOOSE(CONTROL!$C$21, $C$9, 100%, $E$9)</f>
        <v>10.105499999999999</v>
      </c>
      <c r="R214" s="14">
        <f>CHOOSE(CONTROL!$C$42, 10.7178, 10.7178) * CHOOSE(CONTROL!$C$21, $C$9, 100%, $E$9)</f>
        <v>10.7178</v>
      </c>
      <c r="S214" s="14">
        <f>CHOOSE(CONTROL!$C$42, 9.0604, 9.0604) * CHOOSE(CONTROL!$C$21, $C$9, 100%, $E$9)</f>
        <v>9.0603999999999996</v>
      </c>
      <c r="T2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7">
        <f>(1000*CHOOSE(CONTROL!$C$42, 695, 695)*CHOOSE(CONTROL!$C$42, 0.5599, 0.5599)*CHOOSE(CONTROL!$C$42, 31, 31))/1000000</f>
        <v>12.063045499999998</v>
      </c>
      <c r="V214" s="57">
        <f>(1000*CHOOSE(CONTROL!$C$42, 500, 500)*CHOOSE(CONTROL!$C$42, 0.275, 0.275)*CHOOSE(CONTROL!$C$42, 31, 31))/1000000</f>
        <v>4.2625000000000002</v>
      </c>
      <c r="W214" s="57">
        <f>(1000*CHOOSE(CONTROL!$C$42, 0.1146, 0.1146)*CHOOSE(CONTROL!$C$42, 121.5, 121.5)*CHOOSE(CONTROL!$C$42, 31, 31))/1000000</f>
        <v>0.43164089999999994</v>
      </c>
      <c r="X214" s="57">
        <f>(31*0.1790888*245000/1000000)+(31*0.2374*100000/1000000)</f>
        <v>2.0961194359999999</v>
      </c>
      <c r="Y214" s="57"/>
      <c r="Z214" s="14"/>
      <c r="AA214" s="56"/>
      <c r="AB214" s="50">
        <f>(B214*131.881+C214*277.167+D214*79.08+E214*125.872+F214*40+G214*185+H214*0+I214*100+J214*300)/(131.881+277.167+79.08+125.872+0+40+185+100+300)</f>
        <v>9.4874356360774819</v>
      </c>
      <c r="AC214" s="45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9.3314388489208646</v>
      </c>
    </row>
    <row r="215" spans="1:29" ht="15.75" x14ac:dyDescent="0.25">
      <c r="A215" s="13">
        <v>47423</v>
      </c>
      <c r="B215" s="14">
        <f>CHOOSE(CONTROL!$C$42, 9.7063, 9.7063) * CHOOSE(CONTROL!$C$21, $C$9, 100%, $E$9)</f>
        <v>9.7063000000000006</v>
      </c>
      <c r="C215" s="14">
        <f>CHOOSE(CONTROL!$C$42, 9.7114, 9.7114) * CHOOSE(CONTROL!$C$21, $C$9, 100%, $E$9)</f>
        <v>9.7113999999999994</v>
      </c>
      <c r="D215" s="14">
        <f>CHOOSE(CONTROL!$C$42, 9.7856, 9.7856) * CHOOSE(CONTROL!$C$21, $C$9, 100%, $E$9)</f>
        <v>9.7856000000000005</v>
      </c>
      <c r="E215" s="14">
        <f>CHOOSE(CONTROL!$C$42, 9.8197, 9.8197) * CHOOSE(CONTROL!$C$21, $C$9, 100%, $E$9)</f>
        <v>9.8196999999999992</v>
      </c>
      <c r="F215" s="14">
        <f>CHOOSE(CONTROL!$C$42, 9.7184, 9.7184)*CHOOSE(CONTROL!$C$21, $C$9, 100%, $E$9)</f>
        <v>9.7184000000000008</v>
      </c>
      <c r="G215" s="14">
        <f>CHOOSE(CONTROL!$C$42, 9.735, 9.735)*CHOOSE(CONTROL!$C$21, $C$9, 100%, $E$9)</f>
        <v>9.7349999999999994</v>
      </c>
      <c r="H215" s="14">
        <f>CHOOSE(CONTROL!$C$42, 9.8089, 9.8089) * CHOOSE(CONTROL!$C$21, $C$9, 100%, $E$9)</f>
        <v>9.8088999999999995</v>
      </c>
      <c r="I215" s="14">
        <f>CHOOSE(CONTROL!$C$42, 9.761, 9.761)* CHOOSE(CONTROL!$C$21, $C$9, 100%, $E$9)</f>
        <v>9.7609999999999992</v>
      </c>
      <c r="J215" s="14">
        <f>CHOOSE(CONTROL!$C$42, 9.7114, 9.7114)* CHOOSE(CONTROL!$C$21, $C$9, 100%, $E$9)</f>
        <v>9.7113999999999994</v>
      </c>
      <c r="K215" s="53">
        <f>CHOOSE(CONTROL!$C$42, 9.7571, 9.7571) * CHOOSE(CONTROL!$C$21, $C$9, 100%, $E$9)</f>
        <v>9.7570999999999994</v>
      </c>
      <c r="L215" s="14">
        <f>CHOOSE(CONTROL!$C$42, 10.3959, 10.3959) * CHOOSE(CONTROL!$C$21, $C$9, 100%, $E$9)</f>
        <v>10.395899999999999</v>
      </c>
      <c r="M215" s="14">
        <f>CHOOSE(CONTROL!$C$42, 9.5201, 9.5201) * CHOOSE(CONTROL!$C$21, $C$9, 100%, $E$9)</f>
        <v>9.5200999999999993</v>
      </c>
      <c r="N215" s="14">
        <f>CHOOSE(CONTROL!$C$42, 9.5363, 9.5363) * CHOOSE(CONTROL!$C$21, $C$9, 100%, $E$9)</f>
        <v>9.5363000000000007</v>
      </c>
      <c r="O215" s="14">
        <f>CHOOSE(CONTROL!$C$42, 9.6156, 9.6156) * CHOOSE(CONTROL!$C$21, $C$9, 100%, $E$9)</f>
        <v>9.6156000000000006</v>
      </c>
      <c r="P215" s="14">
        <f>CHOOSE(CONTROL!$C$42, 9.5682, 9.5682) * CHOOSE(CONTROL!$C$21, $C$9, 100%, $E$9)</f>
        <v>9.5681999999999992</v>
      </c>
      <c r="Q215" s="14">
        <f>CHOOSE(CONTROL!$C$42, 10.2103, 10.2103) * CHOOSE(CONTROL!$C$21, $C$9, 100%, $E$9)</f>
        <v>10.2103</v>
      </c>
      <c r="R215" s="14">
        <f>CHOOSE(CONTROL!$C$42, 10.8228, 10.8228) * CHOOSE(CONTROL!$C$21, $C$9, 100%, $E$9)</f>
        <v>10.822800000000001</v>
      </c>
      <c r="S215" s="14">
        <f>CHOOSE(CONTROL!$C$42, 9.3183, 9.3183) * CHOOSE(CONTROL!$C$21, $C$9, 100%, $E$9)</f>
        <v>9.3183000000000007</v>
      </c>
      <c r="T2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7">
        <f>(1000*CHOOSE(CONTROL!$C$42, 695, 695)*CHOOSE(CONTROL!$C$42, 0.5599, 0.5599)*CHOOSE(CONTROL!$C$42, 30, 30))/1000000</f>
        <v>11.673914999999997</v>
      </c>
      <c r="V215" s="57">
        <f>(1000*CHOOSE(CONTROL!$C$42, 500, 500)*CHOOSE(CONTROL!$C$42, 0.275, 0.275)*CHOOSE(CONTROL!$C$42, 30, 30))/1000000</f>
        <v>4.125</v>
      </c>
      <c r="W215" s="57">
        <f>(1000*CHOOSE(CONTROL!$C$42, 0.1146, 0.1146)*CHOOSE(CONTROL!$C$42, 121.5, 121.5)*CHOOSE(CONTROL!$C$42, 30, 30))/1000000</f>
        <v>0.417717</v>
      </c>
      <c r="X215" s="57">
        <f>(30*0.1790888*100000/1000000)+(30*0.2374*100000/1000000)</f>
        <v>1.2494664</v>
      </c>
      <c r="Y215" s="57"/>
      <c r="Z215" s="14"/>
      <c r="AA215" s="56"/>
      <c r="AB215" s="50">
        <f>(B215*122.58+C215*297.941+D215*89.177+E215*40.302+F215*40+G215*160+H215*0+I215*100+J215*300)/(122.58+297.941+89.177+40.302+0+40+160+100+300)</f>
        <v>9.7282456365217378</v>
      </c>
      <c r="AC215" s="45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9.5712374100719426</v>
      </c>
    </row>
    <row r="216" spans="1:29" ht="15.75" x14ac:dyDescent="0.25">
      <c r="A216" s="13">
        <v>47453</v>
      </c>
      <c r="B216" s="14">
        <f>CHOOSE(CONTROL!$C$42, 10.3888, 10.3888) * CHOOSE(CONTROL!$C$21, $C$9, 100%, $E$9)</f>
        <v>10.3888</v>
      </c>
      <c r="C216" s="14">
        <f>CHOOSE(CONTROL!$C$42, 10.3938, 10.3938) * CHOOSE(CONTROL!$C$21, $C$9, 100%, $E$9)</f>
        <v>10.393800000000001</v>
      </c>
      <c r="D216" s="14">
        <f>CHOOSE(CONTROL!$C$42, 10.468, 10.468) * CHOOSE(CONTROL!$C$21, $C$9, 100%, $E$9)</f>
        <v>10.468</v>
      </c>
      <c r="E216" s="14">
        <f>CHOOSE(CONTROL!$C$42, 10.5021, 10.5021) * CHOOSE(CONTROL!$C$21, $C$9, 100%, $E$9)</f>
        <v>10.5021</v>
      </c>
      <c r="F216" s="14">
        <f>CHOOSE(CONTROL!$C$42, 10.403, 10.403)*CHOOSE(CONTROL!$C$21, $C$9, 100%, $E$9)</f>
        <v>10.403</v>
      </c>
      <c r="G216" s="14">
        <f>CHOOSE(CONTROL!$C$42, 10.4202, 10.4202)*CHOOSE(CONTROL!$C$21, $C$9, 100%, $E$9)</f>
        <v>10.420199999999999</v>
      </c>
      <c r="H216" s="14">
        <f>CHOOSE(CONTROL!$C$42, 10.4913, 10.4913) * CHOOSE(CONTROL!$C$21, $C$9, 100%, $E$9)</f>
        <v>10.491300000000001</v>
      </c>
      <c r="I216" s="14">
        <f>CHOOSE(CONTROL!$C$42, 10.4456, 10.4456)* CHOOSE(CONTROL!$C$21, $C$9, 100%, $E$9)</f>
        <v>10.445600000000001</v>
      </c>
      <c r="J216" s="14">
        <f>CHOOSE(CONTROL!$C$42, 10.396, 10.396)* CHOOSE(CONTROL!$C$21, $C$9, 100%, $E$9)</f>
        <v>10.396000000000001</v>
      </c>
      <c r="K216" s="53">
        <f>CHOOSE(CONTROL!$C$42, 10.4417, 10.4417) * CHOOSE(CONTROL!$C$21, $C$9, 100%, $E$9)</f>
        <v>10.441700000000001</v>
      </c>
      <c r="L216" s="14">
        <f>CHOOSE(CONTROL!$C$42, 11.0783, 11.0783) * CHOOSE(CONTROL!$C$21, $C$9, 100%, $E$9)</f>
        <v>11.0783</v>
      </c>
      <c r="M216" s="14">
        <f>CHOOSE(CONTROL!$C$42, 10.1907, 10.1907) * CHOOSE(CONTROL!$C$21, $C$9, 100%, $E$9)</f>
        <v>10.1907</v>
      </c>
      <c r="N216" s="14">
        <f>CHOOSE(CONTROL!$C$42, 10.2075, 10.2075) * CHOOSE(CONTROL!$C$21, $C$9, 100%, $E$9)</f>
        <v>10.2075</v>
      </c>
      <c r="O216" s="14">
        <f>CHOOSE(CONTROL!$C$42, 10.2841, 10.2841) * CHOOSE(CONTROL!$C$21, $C$9, 100%, $E$9)</f>
        <v>10.2841</v>
      </c>
      <c r="P216" s="14">
        <f>CHOOSE(CONTROL!$C$42, 10.2387, 10.2387) * CHOOSE(CONTROL!$C$21, $C$9, 100%, $E$9)</f>
        <v>10.2387</v>
      </c>
      <c r="Q216" s="14">
        <f>CHOOSE(CONTROL!$C$42, 10.8788, 10.8788) * CHOOSE(CONTROL!$C$21, $C$9, 100%, $E$9)</f>
        <v>10.8788</v>
      </c>
      <c r="R216" s="14">
        <f>CHOOSE(CONTROL!$C$42, 11.493, 11.493) * CHOOSE(CONTROL!$C$21, $C$9, 100%, $E$9)</f>
        <v>11.493</v>
      </c>
      <c r="S216" s="14">
        <f>CHOOSE(CONTROL!$C$42, 9.974, 9.974) * CHOOSE(CONTROL!$C$21, $C$9, 100%, $E$9)</f>
        <v>9.9740000000000002</v>
      </c>
      <c r="T2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7">
        <f>(1000*CHOOSE(CONTROL!$C$42, 695, 695)*CHOOSE(CONTROL!$C$42, 0.5599, 0.5599)*CHOOSE(CONTROL!$C$42, 31, 31))/1000000</f>
        <v>12.063045499999998</v>
      </c>
      <c r="V216" s="57">
        <f>(1000*CHOOSE(CONTROL!$C$42, 500, 500)*CHOOSE(CONTROL!$C$42, 0.275, 0.275)*CHOOSE(CONTROL!$C$42, 31, 31))/1000000</f>
        <v>4.2625000000000002</v>
      </c>
      <c r="W216" s="57">
        <f>(1000*CHOOSE(CONTROL!$C$42, 0.1146, 0.1146)*CHOOSE(CONTROL!$C$42, 121.5, 121.5)*CHOOSE(CONTROL!$C$42, 31, 31))/1000000</f>
        <v>0.43164089999999994</v>
      </c>
      <c r="X216" s="57">
        <f>(31*0.1790888*100000/1000000)+(31*0.2374*100000/1000000)</f>
        <v>1.2911152800000001</v>
      </c>
      <c r="Y216" s="57"/>
      <c r="Z216" s="14"/>
      <c r="AA216" s="56"/>
      <c r="AB216" s="50">
        <f>(B216*122.58+C216*297.941+D216*89.177+E216*40.302+F216*40+G216*160+H216*0+I216*100+J216*300)/(122.58+297.941+89.177+40.302+0+40+160+100+300)</f>
        <v>10.411887599999998</v>
      </c>
      <c r="AC216" s="45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10.240905755395683</v>
      </c>
    </row>
    <row r="217" spans="1:29" ht="15.75" x14ac:dyDescent="0.25">
      <c r="A217" s="13">
        <v>47484</v>
      </c>
      <c r="B217" s="14">
        <f>CHOOSE(CONTROL!$C$42, 10.9212, 10.9212) * CHOOSE(CONTROL!$C$21, $C$9, 100%, $E$9)</f>
        <v>10.921200000000001</v>
      </c>
      <c r="C217" s="14">
        <f>CHOOSE(CONTROL!$C$42, 10.9263, 10.9263) * CHOOSE(CONTROL!$C$21, $C$9, 100%, $E$9)</f>
        <v>10.926299999999999</v>
      </c>
      <c r="D217" s="14">
        <f>CHOOSE(CONTROL!$C$42, 11.0031, 11.0031) * CHOOSE(CONTROL!$C$21, $C$9, 100%, $E$9)</f>
        <v>11.0031</v>
      </c>
      <c r="E217" s="14">
        <f>CHOOSE(CONTROL!$C$42, 11.0372, 11.0372) * CHOOSE(CONTROL!$C$21, $C$9, 100%, $E$9)</f>
        <v>11.0372</v>
      </c>
      <c r="F217" s="14">
        <f>CHOOSE(CONTROL!$C$42, 10.9214, 10.9214)*CHOOSE(CONTROL!$C$21, $C$9, 100%, $E$9)</f>
        <v>10.9214</v>
      </c>
      <c r="G217" s="14">
        <f>CHOOSE(CONTROL!$C$42, 10.9376, 10.9376)*CHOOSE(CONTROL!$C$21, $C$9, 100%, $E$9)</f>
        <v>10.9376</v>
      </c>
      <c r="H217" s="14">
        <f>CHOOSE(CONTROL!$C$42, 11.0264, 11.0264) * CHOOSE(CONTROL!$C$21, $C$9, 100%, $E$9)</f>
        <v>11.026400000000001</v>
      </c>
      <c r="I217" s="14">
        <f>CHOOSE(CONTROL!$C$42, 10.9735, 10.9735)* CHOOSE(CONTROL!$C$21, $C$9, 100%, $E$9)</f>
        <v>10.9735</v>
      </c>
      <c r="J217" s="14">
        <f>CHOOSE(CONTROL!$C$42, 10.9144, 10.9144)* CHOOSE(CONTROL!$C$21, $C$9, 100%, $E$9)</f>
        <v>10.914400000000001</v>
      </c>
      <c r="K217" s="53">
        <f>CHOOSE(CONTROL!$C$42, 10.9696, 10.9696) * CHOOSE(CONTROL!$C$21, $C$9, 100%, $E$9)</f>
        <v>10.9696</v>
      </c>
      <c r="L217" s="14">
        <f>CHOOSE(CONTROL!$C$42, 11.6134, 11.6134) * CHOOSE(CONTROL!$C$21, $C$9, 100%, $E$9)</f>
        <v>11.6134</v>
      </c>
      <c r="M217" s="14">
        <f>CHOOSE(CONTROL!$C$42, 10.6985, 10.6985) * CHOOSE(CONTROL!$C$21, $C$9, 100%, $E$9)</f>
        <v>10.698499999999999</v>
      </c>
      <c r="N217" s="14">
        <f>CHOOSE(CONTROL!$C$42, 10.7144, 10.7144) * CHOOSE(CONTROL!$C$21, $C$9, 100%, $E$9)</f>
        <v>10.714399999999999</v>
      </c>
      <c r="O217" s="14">
        <f>CHOOSE(CONTROL!$C$42, 10.8082, 10.8082) * CHOOSE(CONTROL!$C$21, $C$9, 100%, $E$9)</f>
        <v>10.808199999999999</v>
      </c>
      <c r="P217" s="14">
        <f>CHOOSE(CONTROL!$C$42, 10.7557, 10.7557) * CHOOSE(CONTROL!$C$21, $C$9, 100%, $E$9)</f>
        <v>10.755699999999999</v>
      </c>
      <c r="Q217" s="14">
        <f>CHOOSE(CONTROL!$C$42, 11.4029, 11.4029) * CHOOSE(CONTROL!$C$21, $C$9, 100%, $E$9)</f>
        <v>11.402900000000001</v>
      </c>
      <c r="R217" s="14">
        <f>CHOOSE(CONTROL!$C$42, 12.0184, 12.0184) * CHOOSE(CONTROL!$C$21, $C$9, 100%, $E$9)</f>
        <v>12.0184</v>
      </c>
      <c r="S217" s="14">
        <f>CHOOSE(CONTROL!$C$42, 10.4856, 10.4856) * CHOOSE(CONTROL!$C$21, $C$9, 100%, $E$9)</f>
        <v>10.4856</v>
      </c>
      <c r="T2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7">
        <f>(1000*CHOOSE(CONTROL!$C$42, 695, 695)*CHOOSE(CONTROL!$C$42, 0.5599, 0.5599)*CHOOSE(CONTROL!$C$42, 31, 31))/1000000</f>
        <v>12.063045499999998</v>
      </c>
      <c r="V217" s="57">
        <f>(1000*CHOOSE(CONTROL!$C$42, 500, 500)*CHOOSE(CONTROL!$C$42, 0.275, 0.275)*CHOOSE(CONTROL!$C$42, 31, 31))/1000000</f>
        <v>4.2625000000000002</v>
      </c>
      <c r="W217" s="57">
        <f>(1000*CHOOSE(CONTROL!$C$42, 0.1146, 0.1146)*CHOOSE(CONTROL!$C$42, 121.5, 121.5)*CHOOSE(CONTROL!$C$42, 31, 31))/1000000</f>
        <v>0.43164089999999994</v>
      </c>
      <c r="X217" s="57">
        <f>(31*0.1790888*100000/1000000)+(31*0.2374*100000/1000000)</f>
        <v>1.2911152800000001</v>
      </c>
      <c r="Y217" s="57"/>
      <c r="Z217" s="14"/>
      <c r="AA217" s="56"/>
      <c r="AB217" s="50">
        <f>(B217*122.58+C217*297.941+D217*89.177+E217*40.302+F217*40+G217*160+H217*0+I217*100+J217*300)/(122.58+297.941+89.177+40.302+0+40+160+100+300)</f>
        <v>10.938000110782609</v>
      </c>
      <c r="AC217" s="45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10.757365467625897</v>
      </c>
    </row>
    <row r="218" spans="1:29" ht="15.75" x14ac:dyDescent="0.25">
      <c r="A218" s="13">
        <v>47515</v>
      </c>
      <c r="B218" s="14">
        <f>CHOOSE(CONTROL!$C$42, 11.1383, 11.1383) * CHOOSE(CONTROL!$C$21, $C$9, 100%, $E$9)</f>
        <v>11.138299999999999</v>
      </c>
      <c r="C218" s="14">
        <f>CHOOSE(CONTROL!$C$42, 11.1434, 11.1434) * CHOOSE(CONTROL!$C$21, $C$9, 100%, $E$9)</f>
        <v>11.1434</v>
      </c>
      <c r="D218" s="14">
        <f>CHOOSE(CONTROL!$C$42, 11.2202, 11.2202) * CHOOSE(CONTROL!$C$21, $C$9, 100%, $E$9)</f>
        <v>11.2202</v>
      </c>
      <c r="E218" s="14">
        <f>CHOOSE(CONTROL!$C$42, 11.2543, 11.2543) * CHOOSE(CONTROL!$C$21, $C$9, 100%, $E$9)</f>
        <v>11.254300000000001</v>
      </c>
      <c r="F218" s="14">
        <f>CHOOSE(CONTROL!$C$42, 11.1386, 11.1386)*CHOOSE(CONTROL!$C$21, $C$9, 100%, $E$9)</f>
        <v>11.1386</v>
      </c>
      <c r="G218" s="14">
        <f>CHOOSE(CONTROL!$C$42, 11.1548, 11.1548)*CHOOSE(CONTROL!$C$21, $C$9, 100%, $E$9)</f>
        <v>11.1548</v>
      </c>
      <c r="H218" s="14">
        <f>CHOOSE(CONTROL!$C$42, 11.2435, 11.2435) * CHOOSE(CONTROL!$C$21, $C$9, 100%, $E$9)</f>
        <v>11.243499999999999</v>
      </c>
      <c r="I218" s="14">
        <f>CHOOSE(CONTROL!$C$42, 11.1913, 11.1913)* CHOOSE(CONTROL!$C$21, $C$9, 100%, $E$9)</f>
        <v>11.1913</v>
      </c>
      <c r="J218" s="14">
        <f>CHOOSE(CONTROL!$C$42, 11.1316, 11.1316)* CHOOSE(CONTROL!$C$21, $C$9, 100%, $E$9)</f>
        <v>11.131600000000001</v>
      </c>
      <c r="K218" s="53">
        <f>CHOOSE(CONTROL!$C$42, 11.1874, 11.1874) * CHOOSE(CONTROL!$C$21, $C$9, 100%, $E$9)</f>
        <v>11.1874</v>
      </c>
      <c r="L218" s="14">
        <f>CHOOSE(CONTROL!$C$42, 11.8305, 11.8305) * CHOOSE(CONTROL!$C$21, $C$9, 100%, $E$9)</f>
        <v>11.830500000000001</v>
      </c>
      <c r="M218" s="14">
        <f>CHOOSE(CONTROL!$C$42, 10.9112, 10.9112) * CHOOSE(CONTROL!$C$21, $C$9, 100%, $E$9)</f>
        <v>10.911199999999999</v>
      </c>
      <c r="N218" s="14">
        <f>CHOOSE(CONTROL!$C$42, 10.9271, 10.9271) * CHOOSE(CONTROL!$C$21, $C$9, 100%, $E$9)</f>
        <v>10.927099999999999</v>
      </c>
      <c r="O218" s="14">
        <f>CHOOSE(CONTROL!$C$42, 11.0208, 11.0208) * CHOOSE(CONTROL!$C$21, $C$9, 100%, $E$9)</f>
        <v>11.020799999999999</v>
      </c>
      <c r="P218" s="14">
        <f>CHOOSE(CONTROL!$C$42, 10.969, 10.969) * CHOOSE(CONTROL!$C$21, $C$9, 100%, $E$9)</f>
        <v>10.968999999999999</v>
      </c>
      <c r="Q218" s="14">
        <f>CHOOSE(CONTROL!$C$42, 11.6155, 11.6155) * CHOOSE(CONTROL!$C$21, $C$9, 100%, $E$9)</f>
        <v>11.615500000000001</v>
      </c>
      <c r="R218" s="14">
        <f>CHOOSE(CONTROL!$C$42, 12.2316, 12.2316) * CHOOSE(CONTROL!$C$21, $C$9, 100%, $E$9)</f>
        <v>12.2316</v>
      </c>
      <c r="S218" s="14">
        <f>CHOOSE(CONTROL!$C$42, 10.6943, 10.6943) * CHOOSE(CONTROL!$C$21, $C$9, 100%, $E$9)</f>
        <v>10.6943</v>
      </c>
      <c r="T2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7">
        <f>(1000*CHOOSE(CONTROL!$C$42, 695, 695)*CHOOSE(CONTROL!$C$42, 0.5599, 0.5599)*CHOOSE(CONTROL!$C$42, 28, 28))/1000000</f>
        <v>10.895653999999999</v>
      </c>
      <c r="V218" s="57">
        <f>(1000*CHOOSE(CONTROL!$C$42, 500, 500)*CHOOSE(CONTROL!$C$42, 0.275, 0.275)*CHOOSE(CONTROL!$C$42, 28, 28))/1000000</f>
        <v>3.85</v>
      </c>
      <c r="W218" s="57">
        <f>(1000*CHOOSE(CONTROL!$C$42, 0.1146, 0.1146)*CHOOSE(CONTROL!$C$42, 121.5, 121.5)*CHOOSE(CONTROL!$C$42, 28, 28))/1000000</f>
        <v>0.38986920000000003</v>
      </c>
      <c r="X218" s="57">
        <f>(28*0.1790888*100000/1000000)+(28*0.2374*100000/1000000)</f>
        <v>1.16616864</v>
      </c>
      <c r="Y218" s="57"/>
      <c r="Z218" s="14"/>
      <c r="AA218" s="56"/>
      <c r="AB218" s="50">
        <f>(B218*122.58+C218*297.941+D218*89.177+E218*40.302+F218*40+G218*160+H218*0+I218*100+J218*300)/(122.58+297.941+89.177+40.302+0+40+160+100+300)</f>
        <v>11.155204458608695</v>
      </c>
      <c r="AC218" s="45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10.970106474820142</v>
      </c>
    </row>
    <row r="219" spans="1:29" ht="15.75" x14ac:dyDescent="0.25">
      <c r="A219" s="13">
        <v>47543</v>
      </c>
      <c r="B219" s="14">
        <f>CHOOSE(CONTROL!$C$42, 10.8446, 10.8446) * CHOOSE(CONTROL!$C$21, $C$9, 100%, $E$9)</f>
        <v>10.8446</v>
      </c>
      <c r="C219" s="14">
        <f>CHOOSE(CONTROL!$C$42, 10.8497, 10.8497) * CHOOSE(CONTROL!$C$21, $C$9, 100%, $E$9)</f>
        <v>10.8497</v>
      </c>
      <c r="D219" s="14">
        <f>CHOOSE(CONTROL!$C$42, 10.9265, 10.9265) * CHOOSE(CONTROL!$C$21, $C$9, 100%, $E$9)</f>
        <v>10.926500000000001</v>
      </c>
      <c r="E219" s="14">
        <f>CHOOSE(CONTROL!$C$42, 10.9606, 10.9606) * CHOOSE(CONTROL!$C$21, $C$9, 100%, $E$9)</f>
        <v>10.960599999999999</v>
      </c>
      <c r="F219" s="14">
        <f>CHOOSE(CONTROL!$C$42, 10.8444, 10.8444)*CHOOSE(CONTROL!$C$21, $C$9, 100%, $E$9)</f>
        <v>10.8444</v>
      </c>
      <c r="G219" s="14">
        <f>CHOOSE(CONTROL!$C$42, 10.8605, 10.8605)*CHOOSE(CONTROL!$C$21, $C$9, 100%, $E$9)</f>
        <v>10.8605</v>
      </c>
      <c r="H219" s="14">
        <f>CHOOSE(CONTROL!$C$42, 10.9498, 10.9498) * CHOOSE(CONTROL!$C$21, $C$9, 100%, $E$9)</f>
        <v>10.9498</v>
      </c>
      <c r="I219" s="14">
        <f>CHOOSE(CONTROL!$C$42, 10.8967, 10.8967)* CHOOSE(CONTROL!$C$21, $C$9, 100%, $E$9)</f>
        <v>10.896699999999999</v>
      </c>
      <c r="J219" s="14">
        <f>CHOOSE(CONTROL!$C$42, 10.8374, 10.8374)* CHOOSE(CONTROL!$C$21, $C$9, 100%, $E$9)</f>
        <v>10.837400000000001</v>
      </c>
      <c r="K219" s="53">
        <f>CHOOSE(CONTROL!$C$42, 10.8928, 10.8928) * CHOOSE(CONTROL!$C$21, $C$9, 100%, $E$9)</f>
        <v>10.892799999999999</v>
      </c>
      <c r="L219" s="14">
        <f>CHOOSE(CONTROL!$C$42, 11.5368, 11.5368) * CHOOSE(CONTROL!$C$21, $C$9, 100%, $E$9)</f>
        <v>11.536799999999999</v>
      </c>
      <c r="M219" s="14">
        <f>CHOOSE(CONTROL!$C$42, 10.6231, 10.6231) * CHOOSE(CONTROL!$C$21, $C$9, 100%, $E$9)</f>
        <v>10.623100000000001</v>
      </c>
      <c r="N219" s="14">
        <f>CHOOSE(CONTROL!$C$42, 10.6389, 10.6389) * CHOOSE(CONTROL!$C$21, $C$9, 100%, $E$9)</f>
        <v>10.6389</v>
      </c>
      <c r="O219" s="14">
        <f>CHOOSE(CONTROL!$C$42, 10.7332, 10.7332) * CHOOSE(CONTROL!$C$21, $C$9, 100%, $E$9)</f>
        <v>10.7332</v>
      </c>
      <c r="P219" s="14">
        <f>CHOOSE(CONTROL!$C$42, 10.6805, 10.6805) * CHOOSE(CONTROL!$C$21, $C$9, 100%, $E$9)</f>
        <v>10.6805</v>
      </c>
      <c r="Q219" s="14">
        <f>CHOOSE(CONTROL!$C$42, 11.3279, 11.3279) * CHOOSE(CONTROL!$C$21, $C$9, 100%, $E$9)</f>
        <v>11.3279</v>
      </c>
      <c r="R219" s="14">
        <f>CHOOSE(CONTROL!$C$42, 11.9432, 11.9432) * CHOOSE(CONTROL!$C$21, $C$9, 100%, $E$9)</f>
        <v>11.943199999999999</v>
      </c>
      <c r="S219" s="14">
        <f>CHOOSE(CONTROL!$C$42, 10.4121, 10.4121) * CHOOSE(CONTROL!$C$21, $C$9, 100%, $E$9)</f>
        <v>10.412100000000001</v>
      </c>
      <c r="T2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7">
        <f>(1000*CHOOSE(CONTROL!$C$42, 695, 695)*CHOOSE(CONTROL!$C$42, 0.5599, 0.5599)*CHOOSE(CONTROL!$C$42, 31, 31))/1000000</f>
        <v>12.063045499999998</v>
      </c>
      <c r="V219" s="57">
        <f>(1000*CHOOSE(CONTROL!$C$42, 500, 500)*CHOOSE(CONTROL!$C$42, 0.275, 0.275)*CHOOSE(CONTROL!$C$42, 31, 31))/1000000</f>
        <v>4.2625000000000002</v>
      </c>
      <c r="W219" s="57">
        <f>(1000*CHOOSE(CONTROL!$C$42, 0.1146, 0.1146)*CHOOSE(CONTROL!$C$42, 121.5, 121.5)*CHOOSE(CONTROL!$C$42, 31, 31))/1000000</f>
        <v>0.43164089999999994</v>
      </c>
      <c r="X219" s="57">
        <f>(31*0.1790888*100000/1000000)+(31*0.2374*100000/1000000)</f>
        <v>1.2911152800000001</v>
      </c>
      <c r="Y219" s="57"/>
      <c r="Z219" s="14"/>
      <c r="AA219" s="56"/>
      <c r="AB219" s="50">
        <f>(B219*122.58+C219*297.941+D219*89.177+E219*40.302+F219*40+G219*160+H219*0+I219*100+J219*300)/(122.58+297.941+89.177+40.302+0+40+160+100+300)</f>
        <v>10.861194893391303</v>
      </c>
      <c r="AC219" s="45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10.682169784172663</v>
      </c>
    </row>
    <row r="220" spans="1:29" ht="15.75" x14ac:dyDescent="0.25">
      <c r="A220" s="13">
        <v>47574</v>
      </c>
      <c r="B220" s="14">
        <f>CHOOSE(CONTROL!$C$42, 10.8357, 10.8357) * CHOOSE(CONTROL!$C$21, $C$9, 100%, $E$9)</f>
        <v>10.835699999999999</v>
      </c>
      <c r="C220" s="14">
        <f>CHOOSE(CONTROL!$C$42, 10.8402, 10.8402) * CHOOSE(CONTROL!$C$21, $C$9, 100%, $E$9)</f>
        <v>10.840199999999999</v>
      </c>
      <c r="D220" s="14">
        <f>CHOOSE(CONTROL!$C$42, 11.0769, 11.0769) * CHOOSE(CONTROL!$C$21, $C$9, 100%, $E$9)</f>
        <v>11.0769</v>
      </c>
      <c r="E220" s="14">
        <f>CHOOSE(CONTROL!$C$42, 11.109, 11.109) * CHOOSE(CONTROL!$C$21, $C$9, 100%, $E$9)</f>
        <v>11.109</v>
      </c>
      <c r="F220" s="14">
        <f>CHOOSE(CONTROL!$C$42, 10.8336, 10.8336)*CHOOSE(CONTROL!$C$21, $C$9, 100%, $E$9)</f>
        <v>10.833600000000001</v>
      </c>
      <c r="G220" s="14">
        <f>CHOOSE(CONTROL!$C$42, 10.8495, 10.8495)*CHOOSE(CONTROL!$C$21, $C$9, 100%, $E$9)</f>
        <v>10.849500000000001</v>
      </c>
      <c r="H220" s="14">
        <f>CHOOSE(CONTROL!$C$42, 11.0988, 11.0988) * CHOOSE(CONTROL!$C$21, $C$9, 100%, $E$9)</f>
        <v>11.098800000000001</v>
      </c>
      <c r="I220" s="14">
        <f>CHOOSE(CONTROL!$C$42, 10.8869, 10.8869)* CHOOSE(CONTROL!$C$21, $C$9, 100%, $E$9)</f>
        <v>10.886900000000001</v>
      </c>
      <c r="J220" s="14">
        <f>CHOOSE(CONTROL!$C$42, 10.8266, 10.8266)* CHOOSE(CONTROL!$C$21, $C$9, 100%, $E$9)</f>
        <v>10.826599999999999</v>
      </c>
      <c r="K220" s="53">
        <f>CHOOSE(CONTROL!$C$42, 10.883, 10.883) * CHOOSE(CONTROL!$C$21, $C$9, 100%, $E$9)</f>
        <v>10.882999999999999</v>
      </c>
      <c r="L220" s="14">
        <f>CHOOSE(CONTROL!$C$42, 11.6858, 11.6858) * CHOOSE(CONTROL!$C$21, $C$9, 100%, $E$9)</f>
        <v>11.6858</v>
      </c>
      <c r="M220" s="14">
        <f>CHOOSE(CONTROL!$C$42, 10.6125, 10.6125) * CHOOSE(CONTROL!$C$21, $C$9, 100%, $E$9)</f>
        <v>10.612500000000001</v>
      </c>
      <c r="N220" s="14">
        <f>CHOOSE(CONTROL!$C$42, 10.628, 10.628) * CHOOSE(CONTROL!$C$21, $C$9, 100%, $E$9)</f>
        <v>10.628</v>
      </c>
      <c r="O220" s="14">
        <f>CHOOSE(CONTROL!$C$42, 10.8791, 10.8791) * CHOOSE(CONTROL!$C$21, $C$9, 100%, $E$9)</f>
        <v>10.879099999999999</v>
      </c>
      <c r="P220" s="14">
        <f>CHOOSE(CONTROL!$C$42, 10.6709, 10.6709) * CHOOSE(CONTROL!$C$21, $C$9, 100%, $E$9)</f>
        <v>10.6709</v>
      </c>
      <c r="Q220" s="14">
        <f>CHOOSE(CONTROL!$C$42, 11.4738, 11.4738) * CHOOSE(CONTROL!$C$21, $C$9, 100%, $E$9)</f>
        <v>11.473800000000001</v>
      </c>
      <c r="R220" s="14">
        <f>CHOOSE(CONTROL!$C$42, 12.0895, 12.0895) * CHOOSE(CONTROL!$C$21, $C$9, 100%, $E$9)</f>
        <v>12.089499999999999</v>
      </c>
      <c r="S220" s="14">
        <f>CHOOSE(CONTROL!$C$42, 10.4027, 10.4027) * CHOOSE(CONTROL!$C$21, $C$9, 100%, $E$9)</f>
        <v>10.402699999999999</v>
      </c>
      <c r="T2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7">
        <f>(1000*CHOOSE(CONTROL!$C$42, 695, 695)*CHOOSE(CONTROL!$C$42, 0.5599, 0.5599)*CHOOSE(CONTROL!$C$42, 30, 30))/1000000</f>
        <v>11.673914999999997</v>
      </c>
      <c r="V220" s="57">
        <f>(1000*CHOOSE(CONTROL!$C$42, 500, 500)*CHOOSE(CONTROL!$C$42, 0.275, 0.275)*CHOOSE(CONTROL!$C$42, 30, 30))/1000000</f>
        <v>4.125</v>
      </c>
      <c r="W220" s="57">
        <f>(1000*CHOOSE(CONTROL!$C$42, 0.1146, 0.1146)*CHOOSE(CONTROL!$C$42, 121.5, 121.5)*CHOOSE(CONTROL!$C$42, 30, 30))/1000000</f>
        <v>0.417717</v>
      </c>
      <c r="X220" s="57">
        <f>(30*0.1790888*245000/1000000)+(30*0.2374*100000/1000000)</f>
        <v>2.0285026799999999</v>
      </c>
      <c r="Y220" s="57"/>
      <c r="Z220" s="14"/>
      <c r="AA220" s="56"/>
      <c r="AB220" s="50">
        <f>(B220*141.293+C220*267.993+D220*115.016+E220*89.698+F220*40+G220*185+H220*0+I220*100+J220*300)/(141.293+267.993+115.016+89.698+0+40+185+100+300)</f>
        <v>10.882771259967717</v>
      </c>
      <c r="AC220" s="45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10.699272661870504</v>
      </c>
    </row>
    <row r="221" spans="1:29" ht="15.75" x14ac:dyDescent="0.25">
      <c r="A221" s="13">
        <v>47604</v>
      </c>
      <c r="B221" s="14">
        <f>CHOOSE(CONTROL!$C$42, 10.9551, 10.9551) * CHOOSE(CONTROL!$C$21, $C$9, 100%, $E$9)</f>
        <v>10.9551</v>
      </c>
      <c r="C221" s="14">
        <f>CHOOSE(CONTROL!$C$42, 10.9632, 10.9632) * CHOOSE(CONTROL!$C$21, $C$9, 100%, $E$9)</f>
        <v>10.963200000000001</v>
      </c>
      <c r="D221" s="14">
        <f>CHOOSE(CONTROL!$C$42, 11.1967, 11.1967) * CHOOSE(CONTROL!$C$21, $C$9, 100%, $E$9)</f>
        <v>11.1967</v>
      </c>
      <c r="E221" s="14">
        <f>CHOOSE(CONTROL!$C$42, 11.2282, 11.2282) * CHOOSE(CONTROL!$C$21, $C$9, 100%, $E$9)</f>
        <v>11.228199999999999</v>
      </c>
      <c r="F221" s="14">
        <f>CHOOSE(CONTROL!$C$42, 10.9519, 10.9519)*CHOOSE(CONTROL!$C$21, $C$9, 100%, $E$9)</f>
        <v>10.9519</v>
      </c>
      <c r="G221" s="14">
        <f>CHOOSE(CONTROL!$C$42, 10.9682, 10.9682)*CHOOSE(CONTROL!$C$21, $C$9, 100%, $E$9)</f>
        <v>10.9682</v>
      </c>
      <c r="H221" s="14">
        <f>CHOOSE(CONTROL!$C$42, 11.2168, 11.2168) * CHOOSE(CONTROL!$C$21, $C$9, 100%, $E$9)</f>
        <v>11.216799999999999</v>
      </c>
      <c r="I221" s="14">
        <f>CHOOSE(CONTROL!$C$42, 11.0053, 11.0053)* CHOOSE(CONTROL!$C$21, $C$9, 100%, $E$9)</f>
        <v>11.0053</v>
      </c>
      <c r="J221" s="14">
        <f>CHOOSE(CONTROL!$C$42, 10.9449, 10.9449)* CHOOSE(CONTROL!$C$21, $C$9, 100%, $E$9)</f>
        <v>10.944900000000001</v>
      </c>
      <c r="K221" s="53">
        <f>CHOOSE(CONTROL!$C$42, 11.0014, 11.0014) * CHOOSE(CONTROL!$C$21, $C$9, 100%, $E$9)</f>
        <v>11.0014</v>
      </c>
      <c r="L221" s="14">
        <f>CHOOSE(CONTROL!$C$42, 11.8038, 11.8038) * CHOOSE(CONTROL!$C$21, $C$9, 100%, $E$9)</f>
        <v>11.803800000000001</v>
      </c>
      <c r="M221" s="14">
        <f>CHOOSE(CONTROL!$C$42, 10.7283, 10.7283) * CHOOSE(CONTROL!$C$21, $C$9, 100%, $E$9)</f>
        <v>10.728300000000001</v>
      </c>
      <c r="N221" s="14">
        <f>CHOOSE(CONTROL!$C$42, 10.7443, 10.7443) * CHOOSE(CONTROL!$C$21, $C$9, 100%, $E$9)</f>
        <v>10.744300000000001</v>
      </c>
      <c r="O221" s="14">
        <f>CHOOSE(CONTROL!$C$42, 10.9947, 10.9947) * CHOOSE(CONTROL!$C$21, $C$9, 100%, $E$9)</f>
        <v>10.9947</v>
      </c>
      <c r="P221" s="14">
        <f>CHOOSE(CONTROL!$C$42, 10.7869, 10.7869) * CHOOSE(CONTROL!$C$21, $C$9, 100%, $E$9)</f>
        <v>10.786899999999999</v>
      </c>
      <c r="Q221" s="14">
        <f>CHOOSE(CONTROL!$C$42, 11.5894, 11.5894) * CHOOSE(CONTROL!$C$21, $C$9, 100%, $E$9)</f>
        <v>11.589399999999999</v>
      </c>
      <c r="R221" s="14">
        <f>CHOOSE(CONTROL!$C$42, 12.2054, 12.2054) * CHOOSE(CONTROL!$C$21, $C$9, 100%, $E$9)</f>
        <v>12.205399999999999</v>
      </c>
      <c r="S221" s="14">
        <f>CHOOSE(CONTROL!$C$42, 10.5161, 10.5161) * CHOOSE(CONTROL!$C$21, $C$9, 100%, $E$9)</f>
        <v>10.5161</v>
      </c>
      <c r="T2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7">
        <f>(1000*CHOOSE(CONTROL!$C$42, 695, 695)*CHOOSE(CONTROL!$C$42, 0.5599, 0.5599)*CHOOSE(CONTROL!$C$42, 31, 31))/1000000</f>
        <v>12.063045499999998</v>
      </c>
      <c r="V221" s="57">
        <f>(1000*CHOOSE(CONTROL!$C$42, 500, 500)*CHOOSE(CONTROL!$C$42, 0.275, 0.275)*CHOOSE(CONTROL!$C$42, 31, 31))/1000000</f>
        <v>4.2625000000000002</v>
      </c>
      <c r="W221" s="57">
        <f>(1000*CHOOSE(CONTROL!$C$42, 0.1146, 0.1146)*CHOOSE(CONTROL!$C$42, 121.5, 121.5)*CHOOSE(CONTROL!$C$42, 31, 31))/1000000</f>
        <v>0.43164089999999994</v>
      </c>
      <c r="X221" s="57">
        <f>(31*0.1790888*245000/1000000)+(31*0.2374*100000/1000000)</f>
        <v>2.0961194359999999</v>
      </c>
      <c r="Y221" s="57"/>
      <c r="Z221" s="14"/>
      <c r="AA221" s="56"/>
      <c r="AB221" s="50">
        <f>(B221*194.205+C221*267.466+D221*133.845+E221*53.484+F221*40+G221*185+H221*0+I221*100+J221*300)/(194.205+267.466+133.845+53.484+0+40+185+100+300)</f>
        <v>10.996988074568289</v>
      </c>
      <c r="AC221" s="45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10.815160431654677</v>
      </c>
    </row>
    <row r="222" spans="1:29" ht="15.75" x14ac:dyDescent="0.25">
      <c r="A222" s="13">
        <v>47635</v>
      </c>
      <c r="B222" s="14">
        <f>CHOOSE(CONTROL!$C$42, 11.2887, 11.2887) * CHOOSE(CONTROL!$C$21, $C$9, 100%, $E$9)</f>
        <v>11.2887</v>
      </c>
      <c r="C222" s="14">
        <f>CHOOSE(CONTROL!$C$42, 11.2967, 11.2967) * CHOOSE(CONTROL!$C$21, $C$9, 100%, $E$9)</f>
        <v>11.2967</v>
      </c>
      <c r="D222" s="14">
        <f>CHOOSE(CONTROL!$C$42, 11.5303, 11.5303) * CHOOSE(CONTROL!$C$21, $C$9, 100%, $E$9)</f>
        <v>11.5303</v>
      </c>
      <c r="E222" s="14">
        <f>CHOOSE(CONTROL!$C$42, 11.5618, 11.5618) * CHOOSE(CONTROL!$C$21, $C$9, 100%, $E$9)</f>
        <v>11.5618</v>
      </c>
      <c r="F222" s="14">
        <f>CHOOSE(CONTROL!$C$42, 11.286, 11.286)*CHOOSE(CONTROL!$C$21, $C$9, 100%, $E$9)</f>
        <v>11.286</v>
      </c>
      <c r="G222" s="14">
        <f>CHOOSE(CONTROL!$C$42, 11.3024, 11.3024)*CHOOSE(CONTROL!$C$21, $C$9, 100%, $E$9)</f>
        <v>11.3024</v>
      </c>
      <c r="H222" s="14">
        <f>CHOOSE(CONTROL!$C$42, 11.5504, 11.5504) * CHOOSE(CONTROL!$C$21, $C$9, 100%, $E$9)</f>
        <v>11.5504</v>
      </c>
      <c r="I222" s="14">
        <f>CHOOSE(CONTROL!$C$42, 11.3399, 11.3399)* CHOOSE(CONTROL!$C$21, $C$9, 100%, $E$9)</f>
        <v>11.3399</v>
      </c>
      <c r="J222" s="14">
        <f>CHOOSE(CONTROL!$C$42, 11.279, 11.279)* CHOOSE(CONTROL!$C$21, $C$9, 100%, $E$9)</f>
        <v>11.279</v>
      </c>
      <c r="K222" s="53">
        <f>CHOOSE(CONTROL!$C$42, 11.3361, 11.3361) * CHOOSE(CONTROL!$C$21, $C$9, 100%, $E$9)</f>
        <v>11.3361</v>
      </c>
      <c r="L222" s="14">
        <f>CHOOSE(CONTROL!$C$42, 12.1374, 12.1374) * CHOOSE(CONTROL!$C$21, $C$9, 100%, $E$9)</f>
        <v>12.1374</v>
      </c>
      <c r="M222" s="14">
        <f>CHOOSE(CONTROL!$C$42, 11.0556, 11.0556) * CHOOSE(CONTROL!$C$21, $C$9, 100%, $E$9)</f>
        <v>11.0556</v>
      </c>
      <c r="N222" s="14">
        <f>CHOOSE(CONTROL!$C$42, 11.0717, 11.0717) * CHOOSE(CONTROL!$C$21, $C$9, 100%, $E$9)</f>
        <v>11.0717</v>
      </c>
      <c r="O222" s="14">
        <f>CHOOSE(CONTROL!$C$42, 11.3215, 11.3215) * CHOOSE(CONTROL!$C$21, $C$9, 100%, $E$9)</f>
        <v>11.3215</v>
      </c>
      <c r="P222" s="14">
        <f>CHOOSE(CONTROL!$C$42, 11.1147, 11.1147) * CHOOSE(CONTROL!$C$21, $C$9, 100%, $E$9)</f>
        <v>11.114699999999999</v>
      </c>
      <c r="Q222" s="14">
        <f>CHOOSE(CONTROL!$C$42, 11.9162, 11.9162) * CHOOSE(CONTROL!$C$21, $C$9, 100%, $E$9)</f>
        <v>11.9162</v>
      </c>
      <c r="R222" s="14">
        <f>CHOOSE(CONTROL!$C$42, 12.5329, 12.5329) * CHOOSE(CONTROL!$C$21, $C$9, 100%, $E$9)</f>
        <v>12.5329</v>
      </c>
      <c r="S222" s="14">
        <f>CHOOSE(CONTROL!$C$42, 10.8367, 10.8367) * CHOOSE(CONTROL!$C$21, $C$9, 100%, $E$9)</f>
        <v>10.8367</v>
      </c>
      <c r="T2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7">
        <f>(1000*CHOOSE(CONTROL!$C$42, 695, 695)*CHOOSE(CONTROL!$C$42, 0.5599, 0.5599)*CHOOSE(CONTROL!$C$42, 30, 30))/1000000</f>
        <v>11.673914999999997</v>
      </c>
      <c r="V222" s="57">
        <f>(1000*CHOOSE(CONTROL!$C$42, 500, 500)*CHOOSE(CONTROL!$C$42, 0.275, 0.275)*CHOOSE(CONTROL!$C$42, 30, 30))/1000000</f>
        <v>4.125</v>
      </c>
      <c r="W222" s="57">
        <f>(1000*CHOOSE(CONTROL!$C$42, 0.1146, 0.1146)*CHOOSE(CONTROL!$C$42, 121.5, 121.5)*CHOOSE(CONTROL!$C$42, 30, 30))/1000000</f>
        <v>0.417717</v>
      </c>
      <c r="X222" s="57">
        <f>(30*0.1790888*245000/1000000)+(30*0.2374*100000/1000000)</f>
        <v>2.0285026799999999</v>
      </c>
      <c r="Y222" s="57"/>
      <c r="Z222" s="14"/>
      <c r="AA222" s="56"/>
      <c r="AB222" s="50">
        <f>(B222*194.205+C222*267.466+D222*133.845+E222*53.484+F222*40+G222*185+H222*0+I222*100+J222*300)/(194.205+267.466+133.845+53.484+0+40+185+100+300)</f>
        <v>11.330866138461538</v>
      </c>
      <c r="AC222" s="45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11.142415107913669</v>
      </c>
    </row>
    <row r="223" spans="1:29" ht="15.75" x14ac:dyDescent="0.25">
      <c r="A223" s="13">
        <v>47665</v>
      </c>
      <c r="B223" s="14">
        <f>CHOOSE(CONTROL!$C$42, 11.0952, 11.0952) * CHOOSE(CONTROL!$C$21, $C$9, 100%, $E$9)</f>
        <v>11.0952</v>
      </c>
      <c r="C223" s="14">
        <f>CHOOSE(CONTROL!$C$42, 11.1032, 11.1032) * CHOOSE(CONTROL!$C$21, $C$9, 100%, $E$9)</f>
        <v>11.103199999999999</v>
      </c>
      <c r="D223" s="14">
        <f>CHOOSE(CONTROL!$C$42, 11.3368, 11.3368) * CHOOSE(CONTROL!$C$21, $C$9, 100%, $E$9)</f>
        <v>11.3368</v>
      </c>
      <c r="E223" s="14">
        <f>CHOOSE(CONTROL!$C$42, 11.3682, 11.3682) * CHOOSE(CONTROL!$C$21, $C$9, 100%, $E$9)</f>
        <v>11.3682</v>
      </c>
      <c r="F223" s="14">
        <f>CHOOSE(CONTROL!$C$42, 11.0929, 11.0929)*CHOOSE(CONTROL!$C$21, $C$9, 100%, $E$9)</f>
        <v>11.0929</v>
      </c>
      <c r="G223" s="14">
        <f>CHOOSE(CONTROL!$C$42, 11.1095, 11.1095)*CHOOSE(CONTROL!$C$21, $C$9, 100%, $E$9)</f>
        <v>11.109500000000001</v>
      </c>
      <c r="H223" s="14">
        <f>CHOOSE(CONTROL!$C$42, 11.3569, 11.3569) * CHOOSE(CONTROL!$C$21, $C$9, 100%, $E$9)</f>
        <v>11.3569</v>
      </c>
      <c r="I223" s="14">
        <f>CHOOSE(CONTROL!$C$42, 11.1458, 11.1458)* CHOOSE(CONTROL!$C$21, $C$9, 100%, $E$9)</f>
        <v>11.145799999999999</v>
      </c>
      <c r="J223" s="14">
        <f>CHOOSE(CONTROL!$C$42, 11.0859, 11.0859)* CHOOSE(CONTROL!$C$21, $C$9, 100%, $E$9)</f>
        <v>11.085900000000001</v>
      </c>
      <c r="K223" s="53">
        <f>CHOOSE(CONTROL!$C$42, 11.1419, 11.1419) * CHOOSE(CONTROL!$C$21, $C$9, 100%, $E$9)</f>
        <v>11.1419</v>
      </c>
      <c r="L223" s="14">
        <f>CHOOSE(CONTROL!$C$42, 11.9439, 11.9439) * CHOOSE(CONTROL!$C$21, $C$9, 100%, $E$9)</f>
        <v>11.943899999999999</v>
      </c>
      <c r="M223" s="14">
        <f>CHOOSE(CONTROL!$C$42, 10.8665, 10.8665) * CHOOSE(CONTROL!$C$21, $C$9, 100%, $E$9)</f>
        <v>10.8665</v>
      </c>
      <c r="N223" s="14">
        <f>CHOOSE(CONTROL!$C$42, 10.8828, 10.8828) * CHOOSE(CONTROL!$C$21, $C$9, 100%, $E$9)</f>
        <v>10.8828</v>
      </c>
      <c r="O223" s="14">
        <f>CHOOSE(CONTROL!$C$42, 11.1319, 11.1319) * CHOOSE(CONTROL!$C$21, $C$9, 100%, $E$9)</f>
        <v>11.1319</v>
      </c>
      <c r="P223" s="14">
        <f>CHOOSE(CONTROL!$C$42, 10.9245, 10.9245) * CHOOSE(CONTROL!$C$21, $C$9, 100%, $E$9)</f>
        <v>10.9245</v>
      </c>
      <c r="Q223" s="14">
        <f>CHOOSE(CONTROL!$C$42, 11.7266, 11.7266) * CHOOSE(CONTROL!$C$21, $C$9, 100%, $E$9)</f>
        <v>11.726599999999999</v>
      </c>
      <c r="R223" s="14">
        <f>CHOOSE(CONTROL!$C$42, 12.3429, 12.3429) * CHOOSE(CONTROL!$C$21, $C$9, 100%, $E$9)</f>
        <v>12.3429</v>
      </c>
      <c r="S223" s="14">
        <f>CHOOSE(CONTROL!$C$42, 10.6507, 10.6507) * CHOOSE(CONTROL!$C$21, $C$9, 100%, $E$9)</f>
        <v>10.650700000000001</v>
      </c>
      <c r="T2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7">
        <f>(1000*CHOOSE(CONTROL!$C$42, 695, 695)*CHOOSE(CONTROL!$C$42, 0.5599, 0.5599)*CHOOSE(CONTROL!$C$42, 31, 31))/1000000</f>
        <v>12.063045499999998</v>
      </c>
      <c r="V223" s="57">
        <f>(1000*CHOOSE(CONTROL!$C$42, 500, 500)*CHOOSE(CONTROL!$C$42, 0.275, 0.275)*CHOOSE(CONTROL!$C$42, 31, 31))/1000000</f>
        <v>4.2625000000000002</v>
      </c>
      <c r="W223" s="57">
        <f>(1000*CHOOSE(CONTROL!$C$42, 0.1146, 0.1146)*CHOOSE(CONTROL!$C$42, 121.5, 121.5)*CHOOSE(CONTROL!$C$42, 31, 31))/1000000</f>
        <v>0.43164089999999994</v>
      </c>
      <c r="X223" s="57">
        <f>(31*0.1790888*245000/1000000)+(31*0.2374*100000/1000000)</f>
        <v>2.0961194359999999</v>
      </c>
      <c r="Y223" s="57"/>
      <c r="Z223" s="14"/>
      <c r="AA223" s="56"/>
      <c r="AB223" s="50">
        <f>(B223*194.205+C223*267.466+D223*133.845+E223*53.484+F223*40+G223*185+H223*0+I223*100+J223*300)/(194.205+267.466+133.845+53.484+0+40+185+100+300)</f>
        <v>11.137508722135008</v>
      </c>
      <c r="AC223" s="45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10.953062589928058</v>
      </c>
    </row>
    <row r="224" spans="1:29" ht="15.75" x14ac:dyDescent="0.25">
      <c r="A224" s="13">
        <v>47696</v>
      </c>
      <c r="B224" s="14">
        <f>CHOOSE(CONTROL!$C$42, 10.5477, 10.5477) * CHOOSE(CONTROL!$C$21, $C$9, 100%, $E$9)</f>
        <v>10.547700000000001</v>
      </c>
      <c r="C224" s="14">
        <f>CHOOSE(CONTROL!$C$42, 10.5558, 10.5558) * CHOOSE(CONTROL!$C$21, $C$9, 100%, $E$9)</f>
        <v>10.5558</v>
      </c>
      <c r="D224" s="14">
        <f>CHOOSE(CONTROL!$C$42, 10.7893, 10.7893) * CHOOSE(CONTROL!$C$21, $C$9, 100%, $E$9)</f>
        <v>10.789300000000001</v>
      </c>
      <c r="E224" s="14">
        <f>CHOOSE(CONTROL!$C$42, 10.8208, 10.8208) * CHOOSE(CONTROL!$C$21, $C$9, 100%, $E$9)</f>
        <v>10.8208</v>
      </c>
      <c r="F224" s="14">
        <f>CHOOSE(CONTROL!$C$42, 10.5457, 10.5457)*CHOOSE(CONTROL!$C$21, $C$9, 100%, $E$9)</f>
        <v>10.5457</v>
      </c>
      <c r="G224" s="14">
        <f>CHOOSE(CONTROL!$C$42, 10.5624, 10.5624)*CHOOSE(CONTROL!$C$21, $C$9, 100%, $E$9)</f>
        <v>10.5624</v>
      </c>
      <c r="H224" s="14">
        <f>CHOOSE(CONTROL!$C$42, 10.8094, 10.8094) * CHOOSE(CONTROL!$C$21, $C$9, 100%, $E$9)</f>
        <v>10.8094</v>
      </c>
      <c r="I224" s="14">
        <f>CHOOSE(CONTROL!$C$42, 10.5966, 10.5966)* CHOOSE(CONTROL!$C$21, $C$9, 100%, $E$9)</f>
        <v>10.5966</v>
      </c>
      <c r="J224" s="14">
        <f>CHOOSE(CONTROL!$C$42, 10.5387, 10.5387)* CHOOSE(CONTROL!$C$21, $C$9, 100%, $E$9)</f>
        <v>10.5387</v>
      </c>
      <c r="K224" s="53">
        <f>CHOOSE(CONTROL!$C$42, 10.5927, 10.5927) * CHOOSE(CONTROL!$C$21, $C$9, 100%, $E$9)</f>
        <v>10.592700000000001</v>
      </c>
      <c r="L224" s="14">
        <f>CHOOSE(CONTROL!$C$42, 11.3964, 11.3964) * CHOOSE(CONTROL!$C$21, $C$9, 100%, $E$9)</f>
        <v>11.3964</v>
      </c>
      <c r="M224" s="14">
        <f>CHOOSE(CONTROL!$C$42, 10.3305, 10.3305) * CHOOSE(CONTROL!$C$21, $C$9, 100%, $E$9)</f>
        <v>10.330500000000001</v>
      </c>
      <c r="N224" s="14">
        <f>CHOOSE(CONTROL!$C$42, 10.3468, 10.3468) * CHOOSE(CONTROL!$C$21, $C$9, 100%, $E$9)</f>
        <v>10.3468</v>
      </c>
      <c r="O224" s="14">
        <f>CHOOSE(CONTROL!$C$42, 10.5957, 10.5957) * CHOOSE(CONTROL!$C$21, $C$9, 100%, $E$9)</f>
        <v>10.595700000000001</v>
      </c>
      <c r="P224" s="14">
        <f>CHOOSE(CONTROL!$C$42, 10.3866, 10.3866) * CHOOSE(CONTROL!$C$21, $C$9, 100%, $E$9)</f>
        <v>10.3866</v>
      </c>
      <c r="Q224" s="14">
        <f>CHOOSE(CONTROL!$C$42, 11.1904, 11.1904) * CHOOSE(CONTROL!$C$21, $C$9, 100%, $E$9)</f>
        <v>11.1904</v>
      </c>
      <c r="R224" s="14">
        <f>CHOOSE(CONTROL!$C$42, 11.8053, 11.8053) * CHOOSE(CONTROL!$C$21, $C$9, 100%, $E$9)</f>
        <v>11.805300000000001</v>
      </c>
      <c r="S224" s="14">
        <f>CHOOSE(CONTROL!$C$42, 10.1247, 10.1247) * CHOOSE(CONTROL!$C$21, $C$9, 100%, $E$9)</f>
        <v>10.124700000000001</v>
      </c>
      <c r="T2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7">
        <f>(1000*CHOOSE(CONTROL!$C$42, 695, 695)*CHOOSE(CONTROL!$C$42, 0.5599, 0.5599)*CHOOSE(CONTROL!$C$42, 31, 31))/1000000</f>
        <v>12.063045499999998</v>
      </c>
      <c r="V224" s="57">
        <f>(1000*CHOOSE(CONTROL!$C$42, 500, 500)*CHOOSE(CONTROL!$C$42, 0.275, 0.275)*CHOOSE(CONTROL!$C$42, 31, 31))/1000000</f>
        <v>4.2625000000000002</v>
      </c>
      <c r="W224" s="57">
        <f>(1000*CHOOSE(CONTROL!$C$42, 0.1146, 0.1146)*CHOOSE(CONTROL!$C$42, 121.5, 121.5)*CHOOSE(CONTROL!$C$42, 31, 31))/1000000</f>
        <v>0.43164089999999994</v>
      </c>
      <c r="X224" s="57">
        <f>(31*0.1790888*245000/1000000)+(31*0.2374*100000/1000000)</f>
        <v>2.0961194359999999</v>
      </c>
      <c r="Y224" s="57"/>
      <c r="Z224" s="14"/>
      <c r="AA224" s="56"/>
      <c r="AB224" s="50">
        <f>(B224*194.205+C224*267.466+D224*133.845+E224*53.484+F224*40+G224*185+H224*0+I224*100+J224*300)/(194.205+267.466+133.845+53.484+0+40+185+100+300)</f>
        <v>10.590038624018838</v>
      </c>
      <c r="AC224" s="45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10.416733093525179</v>
      </c>
    </row>
    <row r="225" spans="1:29" ht="15.75" x14ac:dyDescent="0.25">
      <c r="A225" s="13">
        <v>47727</v>
      </c>
      <c r="B225" s="14">
        <f>CHOOSE(CONTROL!$C$42, 9.8784, 9.8784) * CHOOSE(CONTROL!$C$21, $C$9, 100%, $E$9)</f>
        <v>9.8783999999999992</v>
      </c>
      <c r="C225" s="14">
        <f>CHOOSE(CONTROL!$C$42, 9.8864, 9.8864) * CHOOSE(CONTROL!$C$21, $C$9, 100%, $E$9)</f>
        <v>9.8864000000000001</v>
      </c>
      <c r="D225" s="14">
        <f>CHOOSE(CONTROL!$C$42, 10.12, 10.12) * CHOOSE(CONTROL!$C$21, $C$9, 100%, $E$9)</f>
        <v>10.119999999999999</v>
      </c>
      <c r="E225" s="14">
        <f>CHOOSE(CONTROL!$C$42, 10.1515, 10.1515) * CHOOSE(CONTROL!$C$21, $C$9, 100%, $E$9)</f>
        <v>10.1515</v>
      </c>
      <c r="F225" s="14">
        <f>CHOOSE(CONTROL!$C$42, 9.8764, 9.8764)*CHOOSE(CONTROL!$C$21, $C$9, 100%, $E$9)</f>
        <v>9.8764000000000003</v>
      </c>
      <c r="G225" s="14">
        <f>CHOOSE(CONTROL!$C$42, 9.8931, 9.8931)*CHOOSE(CONTROL!$C$21, $C$9, 100%, $E$9)</f>
        <v>9.8931000000000004</v>
      </c>
      <c r="H225" s="14">
        <f>CHOOSE(CONTROL!$C$42, 10.1401, 10.1401) * CHOOSE(CONTROL!$C$21, $C$9, 100%, $E$9)</f>
        <v>10.1401</v>
      </c>
      <c r="I225" s="14">
        <f>CHOOSE(CONTROL!$C$42, 9.9252, 9.9252)* CHOOSE(CONTROL!$C$21, $C$9, 100%, $E$9)</f>
        <v>9.9252000000000002</v>
      </c>
      <c r="J225" s="14">
        <f>CHOOSE(CONTROL!$C$42, 9.8694, 9.8694)* CHOOSE(CONTROL!$C$21, $C$9, 100%, $E$9)</f>
        <v>9.8694000000000006</v>
      </c>
      <c r="K225" s="53">
        <f>CHOOSE(CONTROL!$C$42, 9.9213, 9.9213) * CHOOSE(CONTROL!$C$21, $C$9, 100%, $E$9)</f>
        <v>9.9213000000000005</v>
      </c>
      <c r="L225" s="14">
        <f>CHOOSE(CONTROL!$C$42, 10.7271, 10.7271) * CHOOSE(CONTROL!$C$21, $C$9, 100%, $E$9)</f>
        <v>10.7271</v>
      </c>
      <c r="M225" s="14">
        <f>CHOOSE(CONTROL!$C$42, 9.6749, 9.6749) * CHOOSE(CONTROL!$C$21, $C$9, 100%, $E$9)</f>
        <v>9.6748999999999992</v>
      </c>
      <c r="N225" s="14">
        <f>CHOOSE(CONTROL!$C$42, 9.6912, 9.6912) * CHOOSE(CONTROL!$C$21, $C$9, 100%, $E$9)</f>
        <v>9.6912000000000003</v>
      </c>
      <c r="O225" s="14">
        <f>CHOOSE(CONTROL!$C$42, 9.94, 9.94) * CHOOSE(CONTROL!$C$21, $C$9, 100%, $E$9)</f>
        <v>9.94</v>
      </c>
      <c r="P225" s="14">
        <f>CHOOSE(CONTROL!$C$42, 9.729, 9.729) * CHOOSE(CONTROL!$C$21, $C$9, 100%, $E$9)</f>
        <v>9.7289999999999992</v>
      </c>
      <c r="Q225" s="14">
        <f>CHOOSE(CONTROL!$C$42, 10.5347, 10.5347) * CHOOSE(CONTROL!$C$21, $C$9, 100%, $E$9)</f>
        <v>10.534700000000001</v>
      </c>
      <c r="R225" s="14">
        <f>CHOOSE(CONTROL!$C$42, 11.1481, 11.1481) * CHOOSE(CONTROL!$C$21, $C$9, 100%, $E$9)</f>
        <v>11.148099999999999</v>
      </c>
      <c r="S225" s="14">
        <f>CHOOSE(CONTROL!$C$42, 9.4815, 9.4815) * CHOOSE(CONTROL!$C$21, $C$9, 100%, $E$9)</f>
        <v>9.4815000000000005</v>
      </c>
      <c r="T2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7">
        <f>(1000*CHOOSE(CONTROL!$C$42, 695, 695)*CHOOSE(CONTROL!$C$42, 0.5599, 0.5599)*CHOOSE(CONTROL!$C$42, 30, 30))/1000000</f>
        <v>11.673914999999997</v>
      </c>
      <c r="V225" s="57">
        <f>(1000*CHOOSE(CONTROL!$C$42, 500, 500)*CHOOSE(CONTROL!$C$42, 0.275, 0.275)*CHOOSE(CONTROL!$C$42, 30, 30))/1000000</f>
        <v>4.125</v>
      </c>
      <c r="W225" s="57">
        <f>(1000*CHOOSE(CONTROL!$C$42, 0.1146, 0.1146)*CHOOSE(CONTROL!$C$42, 121.5, 121.5)*CHOOSE(CONTROL!$C$42, 30, 30))/1000000</f>
        <v>0.417717</v>
      </c>
      <c r="X225" s="57">
        <f>(30*0.1790888*245000/1000000)+(30*0.2374*100000/1000000)</f>
        <v>2.0285026799999999</v>
      </c>
      <c r="Y225" s="57"/>
      <c r="Z225" s="14"/>
      <c r="AA225" s="56"/>
      <c r="AB225" s="50">
        <f>(B225*194.205+C225*267.466+D225*133.845+E225*53.484+F225*40+G225*185+H225*0+I225*100+J225*300)/(194.205+267.466+133.845+53.484+0+40+185+100+300)</f>
        <v>9.9205527946624823</v>
      </c>
      <c r="AC225" s="45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9.7608172661870487</v>
      </c>
    </row>
    <row r="226" spans="1:29" ht="15.75" x14ac:dyDescent="0.25">
      <c r="A226" s="13">
        <v>47757</v>
      </c>
      <c r="B226" s="14">
        <f>CHOOSE(CONTROL!$C$42, 9.6763, 9.6763) * CHOOSE(CONTROL!$C$21, $C$9, 100%, $E$9)</f>
        <v>9.6762999999999995</v>
      </c>
      <c r="C226" s="14">
        <f>CHOOSE(CONTROL!$C$42, 9.6816, 9.6816) * CHOOSE(CONTROL!$C$21, $C$9, 100%, $E$9)</f>
        <v>9.6815999999999995</v>
      </c>
      <c r="D226" s="14">
        <f>CHOOSE(CONTROL!$C$42, 9.9202, 9.9202) * CHOOSE(CONTROL!$C$21, $C$9, 100%, $E$9)</f>
        <v>9.9201999999999995</v>
      </c>
      <c r="E226" s="14">
        <f>CHOOSE(CONTROL!$C$42, 9.9493, 9.9493) * CHOOSE(CONTROL!$C$21, $C$9, 100%, $E$9)</f>
        <v>9.9492999999999991</v>
      </c>
      <c r="F226" s="14">
        <f>CHOOSE(CONTROL!$C$42, 9.6763, 9.6763)*CHOOSE(CONTROL!$C$21, $C$9, 100%, $E$9)</f>
        <v>9.6762999999999995</v>
      </c>
      <c r="G226" s="14">
        <f>CHOOSE(CONTROL!$C$42, 9.6926, 9.6926)*CHOOSE(CONTROL!$C$21, $C$9, 100%, $E$9)</f>
        <v>9.6926000000000005</v>
      </c>
      <c r="H226" s="14">
        <f>CHOOSE(CONTROL!$C$42, 9.9398, 9.9398) * CHOOSE(CONTROL!$C$21, $C$9, 100%, $E$9)</f>
        <v>9.9398</v>
      </c>
      <c r="I226" s="14">
        <f>CHOOSE(CONTROL!$C$42, 9.7243, 9.7243)* CHOOSE(CONTROL!$C$21, $C$9, 100%, $E$9)</f>
        <v>9.7242999999999995</v>
      </c>
      <c r="J226" s="14">
        <f>CHOOSE(CONTROL!$C$42, 9.6693, 9.6693)* CHOOSE(CONTROL!$C$21, $C$9, 100%, $E$9)</f>
        <v>9.6692999999999998</v>
      </c>
      <c r="K226" s="53">
        <f>CHOOSE(CONTROL!$C$42, 9.7204, 9.7204) * CHOOSE(CONTROL!$C$21, $C$9, 100%, $E$9)</f>
        <v>9.7203999999999997</v>
      </c>
      <c r="L226" s="14">
        <f>CHOOSE(CONTROL!$C$42, 10.5268, 10.5268) * CHOOSE(CONTROL!$C$21, $C$9, 100%, $E$9)</f>
        <v>10.5268</v>
      </c>
      <c r="M226" s="14">
        <f>CHOOSE(CONTROL!$C$42, 9.4789, 9.4789) * CHOOSE(CONTROL!$C$21, $C$9, 100%, $E$9)</f>
        <v>9.4788999999999994</v>
      </c>
      <c r="N226" s="14">
        <f>CHOOSE(CONTROL!$C$42, 9.4949, 9.4949) * CHOOSE(CONTROL!$C$21, $C$9, 100%, $E$9)</f>
        <v>9.4948999999999995</v>
      </c>
      <c r="O226" s="14">
        <f>CHOOSE(CONTROL!$C$42, 9.7438, 9.7438) * CHOOSE(CONTROL!$C$21, $C$9, 100%, $E$9)</f>
        <v>9.7438000000000002</v>
      </c>
      <c r="P226" s="14">
        <f>CHOOSE(CONTROL!$C$42, 9.5322, 9.5322) * CHOOSE(CONTROL!$C$21, $C$9, 100%, $E$9)</f>
        <v>9.5321999999999996</v>
      </c>
      <c r="Q226" s="14">
        <f>CHOOSE(CONTROL!$C$42, 10.3385, 10.3385) * CHOOSE(CONTROL!$C$21, $C$9, 100%, $E$9)</f>
        <v>10.3385</v>
      </c>
      <c r="R226" s="14">
        <f>CHOOSE(CONTROL!$C$42, 10.9514, 10.9514) * CHOOSE(CONTROL!$C$21, $C$9, 100%, $E$9)</f>
        <v>10.9514</v>
      </c>
      <c r="S226" s="14">
        <f>CHOOSE(CONTROL!$C$42, 9.289, 9.289) * CHOOSE(CONTROL!$C$21, $C$9, 100%, $E$9)</f>
        <v>9.2889999999999997</v>
      </c>
      <c r="T2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7">
        <f>(1000*CHOOSE(CONTROL!$C$42, 695, 695)*CHOOSE(CONTROL!$C$42, 0.5599, 0.5599)*CHOOSE(CONTROL!$C$42, 31, 31))/1000000</f>
        <v>12.063045499999998</v>
      </c>
      <c r="V226" s="57">
        <f>(1000*CHOOSE(CONTROL!$C$42, 500, 500)*CHOOSE(CONTROL!$C$42, 0.275, 0.275)*CHOOSE(CONTROL!$C$42, 31, 31))/1000000</f>
        <v>4.2625000000000002</v>
      </c>
      <c r="W226" s="57">
        <f>(1000*CHOOSE(CONTROL!$C$42, 0.1146, 0.1146)*CHOOSE(CONTROL!$C$42, 121.5, 121.5)*CHOOSE(CONTROL!$C$42, 31, 31))/1000000</f>
        <v>0.43164089999999994</v>
      </c>
      <c r="X226" s="57">
        <f>(31*0.1790888*245000/1000000)+(31*0.2374*100000/1000000)</f>
        <v>2.0961194359999999</v>
      </c>
      <c r="Y226" s="57"/>
      <c r="Z226" s="14"/>
      <c r="AA226" s="56"/>
      <c r="AB226" s="50">
        <f>(B226*131.881+C226*277.167+D226*79.08+E226*125.872+F226*40+G226*185+H226*0+I226*100+J226*300)/(131.881+277.167+79.08+125.872+0+40+185+100+300)</f>
        <v>9.7254002042776424</v>
      </c>
      <c r="AC226" s="45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9.5645769784172661</v>
      </c>
    </row>
    <row r="227" spans="1:29" ht="15.75" x14ac:dyDescent="0.25">
      <c r="A227" s="13">
        <v>47788</v>
      </c>
      <c r="B227" s="14">
        <f>CHOOSE(CONTROL!$C$42, 9.9305, 9.9305) * CHOOSE(CONTROL!$C$21, $C$9, 100%, $E$9)</f>
        <v>9.9305000000000003</v>
      </c>
      <c r="C227" s="14">
        <f>CHOOSE(CONTROL!$C$42, 9.9356, 9.9356) * CHOOSE(CONTROL!$C$21, $C$9, 100%, $E$9)</f>
        <v>9.9356000000000009</v>
      </c>
      <c r="D227" s="14">
        <f>CHOOSE(CONTROL!$C$42, 10.0098, 10.0098) * CHOOSE(CONTROL!$C$21, $C$9, 100%, $E$9)</f>
        <v>10.0098</v>
      </c>
      <c r="E227" s="14">
        <f>CHOOSE(CONTROL!$C$42, 10.0439, 10.0439) * CHOOSE(CONTROL!$C$21, $C$9, 100%, $E$9)</f>
        <v>10.043900000000001</v>
      </c>
      <c r="F227" s="14">
        <f>CHOOSE(CONTROL!$C$42, 9.9426, 9.9426)*CHOOSE(CONTROL!$C$21, $C$9, 100%, $E$9)</f>
        <v>9.9426000000000005</v>
      </c>
      <c r="G227" s="14">
        <f>CHOOSE(CONTROL!$C$42, 9.9592, 9.9592)*CHOOSE(CONTROL!$C$21, $C$9, 100%, $E$9)</f>
        <v>9.9591999999999992</v>
      </c>
      <c r="H227" s="14">
        <f>CHOOSE(CONTROL!$C$42, 10.0331, 10.0331) * CHOOSE(CONTROL!$C$21, $C$9, 100%, $E$9)</f>
        <v>10.033099999999999</v>
      </c>
      <c r="I227" s="14">
        <f>CHOOSE(CONTROL!$C$42, 9.986, 9.986)* CHOOSE(CONTROL!$C$21, $C$9, 100%, $E$9)</f>
        <v>9.9860000000000007</v>
      </c>
      <c r="J227" s="14">
        <f>CHOOSE(CONTROL!$C$42, 9.9356, 9.9356)* CHOOSE(CONTROL!$C$21, $C$9, 100%, $E$9)</f>
        <v>9.9356000000000009</v>
      </c>
      <c r="K227" s="53">
        <f>CHOOSE(CONTROL!$C$42, 9.9821, 9.9821) * CHOOSE(CONTROL!$C$21, $C$9, 100%, $E$9)</f>
        <v>9.9821000000000009</v>
      </c>
      <c r="L227" s="14">
        <f>CHOOSE(CONTROL!$C$42, 10.6201, 10.6201) * CHOOSE(CONTROL!$C$21, $C$9, 100%, $E$9)</f>
        <v>10.620100000000001</v>
      </c>
      <c r="M227" s="14">
        <f>CHOOSE(CONTROL!$C$42, 9.7397, 9.7397) * CHOOSE(CONTROL!$C$21, $C$9, 100%, $E$9)</f>
        <v>9.7396999999999991</v>
      </c>
      <c r="N227" s="14">
        <f>CHOOSE(CONTROL!$C$42, 9.756, 9.756) * CHOOSE(CONTROL!$C$21, $C$9, 100%, $E$9)</f>
        <v>9.7560000000000002</v>
      </c>
      <c r="O227" s="14">
        <f>CHOOSE(CONTROL!$C$42, 9.8353, 9.8353) * CHOOSE(CONTROL!$C$21, $C$9, 100%, $E$9)</f>
        <v>9.8353000000000002</v>
      </c>
      <c r="P227" s="14">
        <f>CHOOSE(CONTROL!$C$42, 9.7885, 9.7885) * CHOOSE(CONTROL!$C$21, $C$9, 100%, $E$9)</f>
        <v>9.7885000000000009</v>
      </c>
      <c r="Q227" s="14">
        <f>CHOOSE(CONTROL!$C$42, 10.43, 10.43) * CHOOSE(CONTROL!$C$21, $C$9, 100%, $E$9)</f>
        <v>10.43</v>
      </c>
      <c r="R227" s="14">
        <f>CHOOSE(CONTROL!$C$42, 11.043, 11.043) * CHOOSE(CONTROL!$C$21, $C$9, 100%, $E$9)</f>
        <v>11.042999999999999</v>
      </c>
      <c r="S227" s="14">
        <f>CHOOSE(CONTROL!$C$42, 9.5337, 9.5337) * CHOOSE(CONTROL!$C$21, $C$9, 100%, $E$9)</f>
        <v>9.5336999999999996</v>
      </c>
      <c r="T2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7">
        <f>(1000*CHOOSE(CONTROL!$C$42, 695, 695)*CHOOSE(CONTROL!$C$42, 0.5599, 0.5599)*CHOOSE(CONTROL!$C$42, 30, 30))/1000000</f>
        <v>11.673914999999997</v>
      </c>
      <c r="V227" s="57">
        <f>(1000*CHOOSE(CONTROL!$C$42, 500, 500)*CHOOSE(CONTROL!$C$42, 0.275, 0.275)*CHOOSE(CONTROL!$C$42, 30, 30))/1000000</f>
        <v>4.125</v>
      </c>
      <c r="W227" s="57">
        <f>(1000*CHOOSE(CONTROL!$C$42, 0.1146, 0.1146)*CHOOSE(CONTROL!$C$42, 121.5, 121.5)*CHOOSE(CONTROL!$C$42, 30, 30))/1000000</f>
        <v>0.417717</v>
      </c>
      <c r="X227" s="57">
        <f>(30*0.1790888*100000/1000000)+(30*0.2374*100000/1000000)</f>
        <v>1.2494664</v>
      </c>
      <c r="Y227" s="57"/>
      <c r="Z227" s="14"/>
      <c r="AA227" s="56"/>
      <c r="AB227" s="50">
        <f>(B227*122.58+C227*297.941+D227*89.177+E227*40.302+F227*40+G227*160+H227*0+I227*100+J227*300)/(122.58+297.941+89.177+40.302+0+40+160+100+300)</f>
        <v>9.9525152017391303</v>
      </c>
      <c r="AC227" s="45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9.7909892086330945</v>
      </c>
    </row>
    <row r="228" spans="1:29" ht="15.75" x14ac:dyDescent="0.25">
      <c r="A228" s="13">
        <v>47818</v>
      </c>
      <c r="B228" s="14">
        <f>CHOOSE(CONTROL!$C$42, 10.6069, 10.6069) * CHOOSE(CONTROL!$C$21, $C$9, 100%, $E$9)</f>
        <v>10.6069</v>
      </c>
      <c r="C228" s="14">
        <f>CHOOSE(CONTROL!$C$42, 10.612, 10.612) * CHOOSE(CONTROL!$C$21, $C$9, 100%, $E$9)</f>
        <v>10.612</v>
      </c>
      <c r="D228" s="14">
        <f>CHOOSE(CONTROL!$C$42, 10.6862, 10.6862) * CHOOSE(CONTROL!$C$21, $C$9, 100%, $E$9)</f>
        <v>10.686199999999999</v>
      </c>
      <c r="E228" s="14">
        <f>CHOOSE(CONTROL!$C$42, 10.7203, 10.7203) * CHOOSE(CONTROL!$C$21, $C$9, 100%, $E$9)</f>
        <v>10.7203</v>
      </c>
      <c r="F228" s="14">
        <f>CHOOSE(CONTROL!$C$42, 10.6212, 10.6212)*CHOOSE(CONTROL!$C$21, $C$9, 100%, $E$9)</f>
        <v>10.6212</v>
      </c>
      <c r="G228" s="14">
        <f>CHOOSE(CONTROL!$C$42, 10.6383, 10.6383)*CHOOSE(CONTROL!$C$21, $C$9, 100%, $E$9)</f>
        <v>10.638299999999999</v>
      </c>
      <c r="H228" s="14">
        <f>CHOOSE(CONTROL!$C$42, 10.7095, 10.7095) * CHOOSE(CONTROL!$C$21, $C$9, 100%, $E$9)</f>
        <v>10.7095</v>
      </c>
      <c r="I228" s="14">
        <f>CHOOSE(CONTROL!$C$42, 10.6645, 10.6645)* CHOOSE(CONTROL!$C$21, $C$9, 100%, $E$9)</f>
        <v>10.6645</v>
      </c>
      <c r="J228" s="14">
        <f>CHOOSE(CONTROL!$C$42, 10.6142, 10.6142)* CHOOSE(CONTROL!$C$21, $C$9, 100%, $E$9)</f>
        <v>10.6142</v>
      </c>
      <c r="K228" s="53">
        <f>CHOOSE(CONTROL!$C$42, 10.6606, 10.6606) * CHOOSE(CONTROL!$C$21, $C$9, 100%, $E$9)</f>
        <v>10.660600000000001</v>
      </c>
      <c r="L228" s="14">
        <f>CHOOSE(CONTROL!$C$42, 11.2965, 11.2965) * CHOOSE(CONTROL!$C$21, $C$9, 100%, $E$9)</f>
        <v>11.2965</v>
      </c>
      <c r="M228" s="14">
        <f>CHOOSE(CONTROL!$C$42, 10.4044, 10.4044) * CHOOSE(CONTROL!$C$21, $C$9, 100%, $E$9)</f>
        <v>10.404400000000001</v>
      </c>
      <c r="N228" s="14">
        <f>CHOOSE(CONTROL!$C$42, 10.4212, 10.4212) * CHOOSE(CONTROL!$C$21, $C$9, 100%, $E$9)</f>
        <v>10.421200000000001</v>
      </c>
      <c r="O228" s="14">
        <f>CHOOSE(CONTROL!$C$42, 10.4978, 10.4978) * CHOOSE(CONTROL!$C$21, $C$9, 100%, $E$9)</f>
        <v>10.4978</v>
      </c>
      <c r="P228" s="14">
        <f>CHOOSE(CONTROL!$C$42, 10.4531, 10.4531) * CHOOSE(CONTROL!$C$21, $C$9, 100%, $E$9)</f>
        <v>10.453099999999999</v>
      </c>
      <c r="Q228" s="14">
        <f>CHOOSE(CONTROL!$C$42, 11.0925, 11.0925) * CHOOSE(CONTROL!$C$21, $C$9, 100%, $E$9)</f>
        <v>11.092499999999999</v>
      </c>
      <c r="R228" s="14">
        <f>CHOOSE(CONTROL!$C$42, 11.7072, 11.7072) * CHOOSE(CONTROL!$C$21, $C$9, 100%, $E$9)</f>
        <v>11.7072</v>
      </c>
      <c r="S228" s="14">
        <f>CHOOSE(CONTROL!$C$42, 10.1837, 10.1837) * CHOOSE(CONTROL!$C$21, $C$9, 100%, $E$9)</f>
        <v>10.1837</v>
      </c>
      <c r="T2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7">
        <f>(1000*CHOOSE(CONTROL!$C$42, 695, 695)*CHOOSE(CONTROL!$C$42, 0.5599, 0.5599)*CHOOSE(CONTROL!$C$42, 31, 31))/1000000</f>
        <v>12.063045499999998</v>
      </c>
      <c r="V228" s="57">
        <f>(1000*CHOOSE(CONTROL!$C$42, 500, 500)*CHOOSE(CONTROL!$C$42, 0.275, 0.275)*CHOOSE(CONTROL!$C$42, 31, 31))/1000000</f>
        <v>4.2625000000000002</v>
      </c>
      <c r="W228" s="57">
        <f>(1000*CHOOSE(CONTROL!$C$42, 0.1146, 0.1146)*CHOOSE(CONTROL!$C$42, 121.5, 121.5)*CHOOSE(CONTROL!$C$42, 31, 31))/1000000</f>
        <v>0.43164089999999994</v>
      </c>
      <c r="X228" s="57">
        <f>(31*0.1790888*100000/1000000)+(31*0.2374*100000/1000000)</f>
        <v>1.2911152800000001</v>
      </c>
      <c r="Y228" s="57"/>
      <c r="Z228" s="14"/>
      <c r="AA228" s="56"/>
      <c r="AB228" s="50">
        <f>(B228*122.58+C228*297.941+D228*89.177+E228*40.302+F228*40+G228*160+H228*0+I228*100+J228*300)/(122.58+297.941+89.177+40.302+0+40+160+100+300)</f>
        <v>10.630123897391304</v>
      </c>
      <c r="AC228" s="45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10.454706474820142</v>
      </c>
    </row>
    <row r="229" spans="1:29" ht="15.75" x14ac:dyDescent="0.25">
      <c r="A229" s="13">
        <v>47849</v>
      </c>
      <c r="B229" s="14">
        <f>CHOOSE(CONTROL!$C$42, 11.4855, 11.4855) * CHOOSE(CONTROL!$C$21, $C$9, 100%, $E$9)</f>
        <v>11.4855</v>
      </c>
      <c r="C229" s="14">
        <f>CHOOSE(CONTROL!$C$42, 11.4905, 11.4905) * CHOOSE(CONTROL!$C$21, $C$9, 100%, $E$9)</f>
        <v>11.490500000000001</v>
      </c>
      <c r="D229" s="14">
        <f>CHOOSE(CONTROL!$C$42, 11.5673, 11.5673) * CHOOSE(CONTROL!$C$21, $C$9, 100%, $E$9)</f>
        <v>11.567299999999999</v>
      </c>
      <c r="E229" s="14">
        <f>CHOOSE(CONTROL!$C$42, 11.6014, 11.6014) * CHOOSE(CONTROL!$C$21, $C$9, 100%, $E$9)</f>
        <v>11.6014</v>
      </c>
      <c r="F229" s="14">
        <f>CHOOSE(CONTROL!$C$42, 11.4857, 11.4857)*CHOOSE(CONTROL!$C$21, $C$9, 100%, $E$9)</f>
        <v>11.4857</v>
      </c>
      <c r="G229" s="14">
        <f>CHOOSE(CONTROL!$C$42, 11.5019, 11.5019)*CHOOSE(CONTROL!$C$21, $C$9, 100%, $E$9)</f>
        <v>11.501899999999999</v>
      </c>
      <c r="H229" s="14">
        <f>CHOOSE(CONTROL!$C$42, 11.5906, 11.5906) * CHOOSE(CONTROL!$C$21, $C$9, 100%, $E$9)</f>
        <v>11.5906</v>
      </c>
      <c r="I229" s="14">
        <f>CHOOSE(CONTROL!$C$42, 11.5395, 11.5395)* CHOOSE(CONTROL!$C$21, $C$9, 100%, $E$9)</f>
        <v>11.5395</v>
      </c>
      <c r="J229" s="14">
        <f>CHOOSE(CONTROL!$C$42, 11.4787, 11.4787)* CHOOSE(CONTROL!$C$21, $C$9, 100%, $E$9)</f>
        <v>11.4787</v>
      </c>
      <c r="K229" s="53">
        <f>CHOOSE(CONTROL!$C$42, 11.5356, 11.5356) * CHOOSE(CONTROL!$C$21, $C$9, 100%, $E$9)</f>
        <v>11.535600000000001</v>
      </c>
      <c r="L229" s="14">
        <f>CHOOSE(CONTROL!$C$42, 12.1776, 12.1776) * CHOOSE(CONTROL!$C$21, $C$9, 100%, $E$9)</f>
        <v>12.1776</v>
      </c>
      <c r="M229" s="14">
        <f>CHOOSE(CONTROL!$C$42, 11.2512, 11.2512) * CHOOSE(CONTROL!$C$21, $C$9, 100%, $E$9)</f>
        <v>11.251200000000001</v>
      </c>
      <c r="N229" s="14">
        <f>CHOOSE(CONTROL!$C$42, 11.267, 11.267) * CHOOSE(CONTROL!$C$21, $C$9, 100%, $E$9)</f>
        <v>11.266999999999999</v>
      </c>
      <c r="O229" s="14">
        <f>CHOOSE(CONTROL!$C$42, 11.3608, 11.3608) * CHOOSE(CONTROL!$C$21, $C$9, 100%, $E$9)</f>
        <v>11.360799999999999</v>
      </c>
      <c r="P229" s="14">
        <f>CHOOSE(CONTROL!$C$42, 11.3101, 11.3101) * CHOOSE(CONTROL!$C$21, $C$9, 100%, $E$9)</f>
        <v>11.3101</v>
      </c>
      <c r="Q229" s="14">
        <f>CHOOSE(CONTROL!$C$42, 11.9555, 11.9555) * CHOOSE(CONTROL!$C$21, $C$9, 100%, $E$9)</f>
        <v>11.955500000000001</v>
      </c>
      <c r="R229" s="14">
        <f>CHOOSE(CONTROL!$C$42, 12.5724, 12.5724) * CHOOSE(CONTROL!$C$21, $C$9, 100%, $E$9)</f>
        <v>12.5724</v>
      </c>
      <c r="S229" s="14">
        <f>CHOOSE(CONTROL!$C$42, 11.0278, 11.0278) * CHOOSE(CONTROL!$C$21, $C$9, 100%, $E$9)</f>
        <v>11.027799999999999</v>
      </c>
      <c r="T2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7">
        <f>(1000*CHOOSE(CONTROL!$C$42, 695, 695)*CHOOSE(CONTROL!$C$42, 0.5599, 0.5599)*CHOOSE(CONTROL!$C$42, 31, 31))/1000000</f>
        <v>12.063045499999998</v>
      </c>
      <c r="V229" s="57">
        <f>(1000*CHOOSE(CONTROL!$C$42, 500, 500)*CHOOSE(CONTROL!$C$42, 0.275, 0.275)*CHOOSE(CONTROL!$C$42, 31, 31))/1000000</f>
        <v>4.2625000000000002</v>
      </c>
      <c r="W229" s="57">
        <f>(1000*CHOOSE(CONTROL!$C$42, 0.1146, 0.1146)*CHOOSE(CONTROL!$C$42, 121.5, 121.5)*CHOOSE(CONTROL!$C$42, 31, 31))/1000000</f>
        <v>0.43164089999999994</v>
      </c>
      <c r="X229" s="57">
        <f>(31*0.1790888*100000/1000000)+(31*0.2374*100000/1000000)</f>
        <v>1.2911152800000001</v>
      </c>
      <c r="Y229" s="57"/>
      <c r="Z229" s="14"/>
      <c r="AA229" s="56"/>
      <c r="AB229" s="50">
        <f>(B229*122.58+C229*297.941+D229*89.177+E229*40.302+F229*40+G229*160+H229*0+I229*100+J229*300)/(122.58+297.941+89.177+40.302+0+40+160+100+300)</f>
        <v>11.502410769913045</v>
      </c>
      <c r="AC229" s="45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11.310258992805755</v>
      </c>
    </row>
    <row r="230" spans="1:29" ht="15.75" x14ac:dyDescent="0.25">
      <c r="A230" s="13">
        <v>47880</v>
      </c>
      <c r="B230" s="14">
        <f>CHOOSE(CONTROL!$C$42, 11.6897, 11.6897) * CHOOSE(CONTROL!$C$21, $C$9, 100%, $E$9)</f>
        <v>11.6897</v>
      </c>
      <c r="C230" s="14">
        <f>CHOOSE(CONTROL!$C$42, 11.6948, 11.6948) * CHOOSE(CONTROL!$C$21, $C$9, 100%, $E$9)</f>
        <v>11.694800000000001</v>
      </c>
      <c r="D230" s="14">
        <f>CHOOSE(CONTROL!$C$42, 11.7716, 11.7716) * CHOOSE(CONTROL!$C$21, $C$9, 100%, $E$9)</f>
        <v>11.771599999999999</v>
      </c>
      <c r="E230" s="14">
        <f>CHOOSE(CONTROL!$C$42, 11.8057, 11.8057) * CHOOSE(CONTROL!$C$21, $C$9, 100%, $E$9)</f>
        <v>11.8057</v>
      </c>
      <c r="F230" s="14">
        <f>CHOOSE(CONTROL!$C$42, 11.69, 11.69)*CHOOSE(CONTROL!$C$21, $C$9, 100%, $E$9)</f>
        <v>11.69</v>
      </c>
      <c r="G230" s="14">
        <f>CHOOSE(CONTROL!$C$42, 11.7062, 11.7062)*CHOOSE(CONTROL!$C$21, $C$9, 100%, $E$9)</f>
        <v>11.706200000000001</v>
      </c>
      <c r="H230" s="14">
        <f>CHOOSE(CONTROL!$C$42, 11.7949, 11.7949) * CHOOSE(CONTROL!$C$21, $C$9, 100%, $E$9)</f>
        <v>11.7949</v>
      </c>
      <c r="I230" s="14">
        <f>CHOOSE(CONTROL!$C$42, 11.7444, 11.7444)* CHOOSE(CONTROL!$C$21, $C$9, 100%, $E$9)</f>
        <v>11.744400000000001</v>
      </c>
      <c r="J230" s="14">
        <f>CHOOSE(CONTROL!$C$42, 11.683, 11.683)* CHOOSE(CONTROL!$C$21, $C$9, 100%, $E$9)</f>
        <v>11.683</v>
      </c>
      <c r="K230" s="53">
        <f>CHOOSE(CONTROL!$C$42, 11.7405, 11.7405) * CHOOSE(CONTROL!$C$21, $C$9, 100%, $E$9)</f>
        <v>11.740500000000001</v>
      </c>
      <c r="L230" s="14">
        <f>CHOOSE(CONTROL!$C$42, 12.3819, 12.3819) * CHOOSE(CONTROL!$C$21, $C$9, 100%, $E$9)</f>
        <v>12.3819</v>
      </c>
      <c r="M230" s="14">
        <f>CHOOSE(CONTROL!$C$42, 11.4513, 11.4513) * CHOOSE(CONTROL!$C$21, $C$9, 100%, $E$9)</f>
        <v>11.4513</v>
      </c>
      <c r="N230" s="14">
        <f>CHOOSE(CONTROL!$C$42, 11.4672, 11.4672) * CHOOSE(CONTROL!$C$21, $C$9, 100%, $E$9)</f>
        <v>11.4672</v>
      </c>
      <c r="O230" s="14">
        <f>CHOOSE(CONTROL!$C$42, 11.5609, 11.5609) * CHOOSE(CONTROL!$C$21, $C$9, 100%, $E$9)</f>
        <v>11.5609</v>
      </c>
      <c r="P230" s="14">
        <f>CHOOSE(CONTROL!$C$42, 11.5108, 11.5108) * CHOOSE(CONTROL!$C$21, $C$9, 100%, $E$9)</f>
        <v>11.5108</v>
      </c>
      <c r="Q230" s="14">
        <f>CHOOSE(CONTROL!$C$42, 12.1556, 12.1556) * CHOOSE(CONTROL!$C$21, $C$9, 100%, $E$9)</f>
        <v>12.1556</v>
      </c>
      <c r="R230" s="14">
        <f>CHOOSE(CONTROL!$C$42, 12.773, 12.773) * CHOOSE(CONTROL!$C$21, $C$9, 100%, $E$9)</f>
        <v>12.773</v>
      </c>
      <c r="S230" s="14">
        <f>CHOOSE(CONTROL!$C$42, 11.2241, 11.2241) * CHOOSE(CONTROL!$C$21, $C$9, 100%, $E$9)</f>
        <v>11.2241</v>
      </c>
      <c r="T2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7">
        <f>(1000*CHOOSE(CONTROL!$C$42, 695, 695)*CHOOSE(CONTROL!$C$42, 0.5599, 0.5599)*CHOOSE(CONTROL!$C$42, 28, 28))/1000000</f>
        <v>10.895653999999999</v>
      </c>
      <c r="V230" s="57">
        <f>(1000*CHOOSE(CONTROL!$C$42, 500, 500)*CHOOSE(CONTROL!$C$42, 0.275, 0.275)*CHOOSE(CONTROL!$C$42, 28, 28))/1000000</f>
        <v>3.85</v>
      </c>
      <c r="W230" s="57">
        <f>(1000*CHOOSE(CONTROL!$C$42, 0.1146, 0.1146)*CHOOSE(CONTROL!$C$42, 121.5, 121.5)*CHOOSE(CONTROL!$C$42, 28, 28))/1000000</f>
        <v>0.38986920000000003</v>
      </c>
      <c r="X230" s="57">
        <f>(28*0.1790888*100000/1000000)+(28*0.2374*100000/1000000)</f>
        <v>1.16616864</v>
      </c>
      <c r="Y230" s="57"/>
      <c r="Z230" s="14"/>
      <c r="AA230" s="56"/>
      <c r="AB230" s="50">
        <f>(B230*122.58+C230*297.941+D230*89.177+E230*40.302+F230*40+G230*160+H230*0+I230*100+J230*300)/(122.58+297.941+89.177+40.302+0+40+160+100+300)</f>
        <v>11.706752284695652</v>
      </c>
      <c r="AC230" s="45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11.51045107913669</v>
      </c>
    </row>
    <row r="231" spans="1:29" ht="15.75" x14ac:dyDescent="0.25">
      <c r="A231" s="13">
        <v>47908</v>
      </c>
      <c r="B231" s="14">
        <f>CHOOSE(CONTROL!$C$42, 11.3581, 11.3581) * CHOOSE(CONTROL!$C$21, $C$9, 100%, $E$9)</f>
        <v>11.3581</v>
      </c>
      <c r="C231" s="14">
        <f>CHOOSE(CONTROL!$C$42, 11.3632, 11.3632) * CHOOSE(CONTROL!$C$21, $C$9, 100%, $E$9)</f>
        <v>11.363200000000001</v>
      </c>
      <c r="D231" s="14">
        <f>CHOOSE(CONTROL!$C$42, 11.44, 11.44) * CHOOSE(CONTROL!$C$21, $C$9, 100%, $E$9)</f>
        <v>11.44</v>
      </c>
      <c r="E231" s="14">
        <f>CHOOSE(CONTROL!$C$42, 11.4741, 11.4741) * CHOOSE(CONTROL!$C$21, $C$9, 100%, $E$9)</f>
        <v>11.4741</v>
      </c>
      <c r="F231" s="14">
        <f>CHOOSE(CONTROL!$C$42, 11.3579, 11.3579)*CHOOSE(CONTROL!$C$21, $C$9, 100%, $E$9)</f>
        <v>11.357900000000001</v>
      </c>
      <c r="G231" s="14">
        <f>CHOOSE(CONTROL!$C$42, 11.374, 11.374)*CHOOSE(CONTROL!$C$21, $C$9, 100%, $E$9)</f>
        <v>11.374000000000001</v>
      </c>
      <c r="H231" s="14">
        <f>CHOOSE(CONTROL!$C$42, 11.4633, 11.4633) * CHOOSE(CONTROL!$C$21, $C$9, 100%, $E$9)</f>
        <v>11.4633</v>
      </c>
      <c r="I231" s="14">
        <f>CHOOSE(CONTROL!$C$42, 11.4118, 11.4118)* CHOOSE(CONTROL!$C$21, $C$9, 100%, $E$9)</f>
        <v>11.411799999999999</v>
      </c>
      <c r="J231" s="14">
        <f>CHOOSE(CONTROL!$C$42, 11.3509, 11.3509)* CHOOSE(CONTROL!$C$21, $C$9, 100%, $E$9)</f>
        <v>11.350899999999999</v>
      </c>
      <c r="K231" s="53">
        <f>CHOOSE(CONTROL!$C$42, 11.4079, 11.4079) * CHOOSE(CONTROL!$C$21, $C$9, 100%, $E$9)</f>
        <v>11.4079</v>
      </c>
      <c r="L231" s="14">
        <f>CHOOSE(CONTROL!$C$42, 12.0503, 12.0503) * CHOOSE(CONTROL!$C$21, $C$9, 100%, $E$9)</f>
        <v>12.0503</v>
      </c>
      <c r="M231" s="14">
        <f>CHOOSE(CONTROL!$C$42, 11.126, 11.126) * CHOOSE(CONTROL!$C$21, $C$9, 100%, $E$9)</f>
        <v>11.125999999999999</v>
      </c>
      <c r="N231" s="14">
        <f>CHOOSE(CONTROL!$C$42, 11.1418, 11.1418) * CHOOSE(CONTROL!$C$21, $C$9, 100%, $E$9)</f>
        <v>11.1418</v>
      </c>
      <c r="O231" s="14">
        <f>CHOOSE(CONTROL!$C$42, 11.2361, 11.2361) * CHOOSE(CONTROL!$C$21, $C$9, 100%, $E$9)</f>
        <v>11.2361</v>
      </c>
      <c r="P231" s="14">
        <f>CHOOSE(CONTROL!$C$42, 11.185, 11.185) * CHOOSE(CONTROL!$C$21, $C$9, 100%, $E$9)</f>
        <v>11.185</v>
      </c>
      <c r="Q231" s="14">
        <f>CHOOSE(CONTROL!$C$42, 11.8308, 11.8308) * CHOOSE(CONTROL!$C$21, $C$9, 100%, $E$9)</f>
        <v>11.8308</v>
      </c>
      <c r="R231" s="14">
        <f>CHOOSE(CONTROL!$C$42, 12.4474, 12.4474) * CHOOSE(CONTROL!$C$21, $C$9, 100%, $E$9)</f>
        <v>12.4474</v>
      </c>
      <c r="S231" s="14">
        <f>CHOOSE(CONTROL!$C$42, 10.9055, 10.9055) * CHOOSE(CONTROL!$C$21, $C$9, 100%, $E$9)</f>
        <v>10.9055</v>
      </c>
      <c r="T2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7">
        <f>(1000*CHOOSE(CONTROL!$C$42, 695, 695)*CHOOSE(CONTROL!$C$42, 0.5599, 0.5599)*CHOOSE(CONTROL!$C$42, 31, 31))/1000000</f>
        <v>12.063045499999998</v>
      </c>
      <c r="V231" s="57">
        <f>(1000*CHOOSE(CONTROL!$C$42, 500, 500)*CHOOSE(CONTROL!$C$42, 0.275, 0.275)*CHOOSE(CONTROL!$C$42, 31, 31))/1000000</f>
        <v>4.2625000000000002</v>
      </c>
      <c r="W231" s="57">
        <f>(1000*CHOOSE(CONTROL!$C$42, 0.1146, 0.1146)*CHOOSE(CONTROL!$C$42, 121.5, 121.5)*CHOOSE(CONTROL!$C$42, 31, 31))/1000000</f>
        <v>0.43164089999999994</v>
      </c>
      <c r="X231" s="57">
        <f>(31*0.1790888*100000/1000000)+(31*0.2374*100000/1000000)</f>
        <v>1.2911152800000001</v>
      </c>
      <c r="Y231" s="57"/>
      <c r="Z231" s="14"/>
      <c r="AA231" s="56"/>
      <c r="AB231" s="50">
        <f>(B231*122.58+C231*297.941+D231*89.177+E231*40.302+F231*40+G231*160+H231*0+I231*100+J231*300)/(122.58+297.941+89.177+40.302+0+40+160+100+300)</f>
        <v>11.374834023826088</v>
      </c>
      <c r="AC231" s="45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11.1853</v>
      </c>
    </row>
    <row r="232" spans="1:29" ht="15.75" x14ac:dyDescent="0.25">
      <c r="A232" s="13">
        <v>47939</v>
      </c>
      <c r="B232" s="14">
        <f>CHOOSE(CONTROL!$C$42, 11.3254, 11.3254) * CHOOSE(CONTROL!$C$21, $C$9, 100%, $E$9)</f>
        <v>11.3254</v>
      </c>
      <c r="C232" s="14">
        <f>CHOOSE(CONTROL!$C$42, 11.3299, 11.3299) * CHOOSE(CONTROL!$C$21, $C$9, 100%, $E$9)</f>
        <v>11.3299</v>
      </c>
      <c r="D232" s="14">
        <f>CHOOSE(CONTROL!$C$42, 11.5666, 11.5666) * CHOOSE(CONTROL!$C$21, $C$9, 100%, $E$9)</f>
        <v>11.566599999999999</v>
      </c>
      <c r="E232" s="14">
        <f>CHOOSE(CONTROL!$C$42, 11.5987, 11.5987) * CHOOSE(CONTROL!$C$21, $C$9, 100%, $E$9)</f>
        <v>11.598699999999999</v>
      </c>
      <c r="F232" s="14">
        <f>CHOOSE(CONTROL!$C$42, 11.3233, 11.3233)*CHOOSE(CONTROL!$C$21, $C$9, 100%, $E$9)</f>
        <v>11.3233</v>
      </c>
      <c r="G232" s="14">
        <f>CHOOSE(CONTROL!$C$42, 11.3392, 11.3392)*CHOOSE(CONTROL!$C$21, $C$9, 100%, $E$9)</f>
        <v>11.3392</v>
      </c>
      <c r="H232" s="14">
        <f>CHOOSE(CONTROL!$C$42, 11.5885, 11.5885) * CHOOSE(CONTROL!$C$21, $C$9, 100%, $E$9)</f>
        <v>11.5885</v>
      </c>
      <c r="I232" s="14">
        <f>CHOOSE(CONTROL!$C$42, 11.3781, 11.3781)* CHOOSE(CONTROL!$C$21, $C$9, 100%, $E$9)</f>
        <v>11.3781</v>
      </c>
      <c r="J232" s="14">
        <f>CHOOSE(CONTROL!$C$42, 11.3163, 11.3163)* CHOOSE(CONTROL!$C$21, $C$9, 100%, $E$9)</f>
        <v>11.3163</v>
      </c>
      <c r="K232" s="53">
        <f>CHOOSE(CONTROL!$C$42, 11.3743, 11.3743) * CHOOSE(CONTROL!$C$21, $C$9, 100%, $E$9)</f>
        <v>11.3743</v>
      </c>
      <c r="L232" s="14">
        <f>CHOOSE(CONTROL!$C$42, 12.1755, 12.1755) * CHOOSE(CONTROL!$C$21, $C$9, 100%, $E$9)</f>
        <v>12.1755</v>
      </c>
      <c r="M232" s="14">
        <f>CHOOSE(CONTROL!$C$42, 11.0922, 11.0922) * CHOOSE(CONTROL!$C$21, $C$9, 100%, $E$9)</f>
        <v>11.0922</v>
      </c>
      <c r="N232" s="14">
        <f>CHOOSE(CONTROL!$C$42, 11.1077, 11.1077) * CHOOSE(CONTROL!$C$21, $C$9, 100%, $E$9)</f>
        <v>11.107699999999999</v>
      </c>
      <c r="O232" s="14">
        <f>CHOOSE(CONTROL!$C$42, 11.3588, 11.3588) * CHOOSE(CONTROL!$C$21, $C$9, 100%, $E$9)</f>
        <v>11.3588</v>
      </c>
      <c r="P232" s="14">
        <f>CHOOSE(CONTROL!$C$42, 11.1521, 11.1521) * CHOOSE(CONTROL!$C$21, $C$9, 100%, $E$9)</f>
        <v>11.152100000000001</v>
      </c>
      <c r="Q232" s="14">
        <f>CHOOSE(CONTROL!$C$42, 11.9535, 11.9535) * CHOOSE(CONTROL!$C$21, $C$9, 100%, $E$9)</f>
        <v>11.9535</v>
      </c>
      <c r="R232" s="14">
        <f>CHOOSE(CONTROL!$C$42, 12.5703, 12.5703) * CHOOSE(CONTROL!$C$21, $C$9, 100%, $E$9)</f>
        <v>12.5703</v>
      </c>
      <c r="S232" s="14">
        <f>CHOOSE(CONTROL!$C$42, 10.8733, 10.8733) * CHOOSE(CONTROL!$C$21, $C$9, 100%, $E$9)</f>
        <v>10.8733</v>
      </c>
      <c r="T2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7">
        <f>(1000*CHOOSE(CONTROL!$C$42, 695, 695)*CHOOSE(CONTROL!$C$42, 0.5599, 0.5599)*CHOOSE(CONTROL!$C$42, 30, 30))/1000000</f>
        <v>11.673914999999997</v>
      </c>
      <c r="V232" s="57">
        <f>(1000*CHOOSE(CONTROL!$C$42, 500, 500)*CHOOSE(CONTROL!$C$42, 0.275, 0.275)*CHOOSE(CONTROL!$C$42, 30, 30))/1000000</f>
        <v>4.125</v>
      </c>
      <c r="W232" s="57">
        <f>(1000*CHOOSE(CONTROL!$C$42, 0.1146, 0.1146)*CHOOSE(CONTROL!$C$42, 121.5, 121.5)*CHOOSE(CONTROL!$C$42, 30, 30))/1000000</f>
        <v>0.417717</v>
      </c>
      <c r="X232" s="57">
        <f>(30*0.1790888*245000/1000000)+(30*0.2374*100000/1000000)</f>
        <v>2.0285026799999999</v>
      </c>
      <c r="Y232" s="57"/>
      <c r="Z232" s="14"/>
      <c r="AA232" s="56"/>
      <c r="AB232" s="50">
        <f>(B232*141.293+C232*267.993+D232*115.016+E232*89.698+F232*40+G232*185+H232*0+I232*100+J232*300)/(141.293+267.993+115.016+89.698+0+40+185+100+300)</f>
        <v>11.372592325343017</v>
      </c>
      <c r="AC232" s="45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11.179188489208634</v>
      </c>
    </row>
    <row r="233" spans="1:29" ht="15.75" x14ac:dyDescent="0.25">
      <c r="A233" s="13">
        <v>47969</v>
      </c>
      <c r="B233" s="14">
        <f>CHOOSE(CONTROL!$C$42, 11.4267, 11.4267) * CHOOSE(CONTROL!$C$21, $C$9, 100%, $E$9)</f>
        <v>11.4267</v>
      </c>
      <c r="C233" s="14">
        <f>CHOOSE(CONTROL!$C$42, 11.4347, 11.4347) * CHOOSE(CONTROL!$C$21, $C$9, 100%, $E$9)</f>
        <v>11.434699999999999</v>
      </c>
      <c r="D233" s="14">
        <f>CHOOSE(CONTROL!$C$42, 11.6683, 11.6683) * CHOOSE(CONTROL!$C$21, $C$9, 100%, $E$9)</f>
        <v>11.6683</v>
      </c>
      <c r="E233" s="14">
        <f>CHOOSE(CONTROL!$C$42, 11.6997, 11.6997) * CHOOSE(CONTROL!$C$21, $C$9, 100%, $E$9)</f>
        <v>11.6997</v>
      </c>
      <c r="F233" s="14">
        <f>CHOOSE(CONTROL!$C$42, 11.4234, 11.4234)*CHOOSE(CONTROL!$C$21, $C$9, 100%, $E$9)</f>
        <v>11.423400000000001</v>
      </c>
      <c r="G233" s="14">
        <f>CHOOSE(CONTROL!$C$42, 11.4398, 11.4398)*CHOOSE(CONTROL!$C$21, $C$9, 100%, $E$9)</f>
        <v>11.4398</v>
      </c>
      <c r="H233" s="14">
        <f>CHOOSE(CONTROL!$C$42, 11.6884, 11.6884) * CHOOSE(CONTROL!$C$21, $C$9, 100%, $E$9)</f>
        <v>11.6884</v>
      </c>
      <c r="I233" s="14">
        <f>CHOOSE(CONTROL!$C$42, 11.4783, 11.4783)* CHOOSE(CONTROL!$C$21, $C$9, 100%, $E$9)</f>
        <v>11.478300000000001</v>
      </c>
      <c r="J233" s="14">
        <f>CHOOSE(CONTROL!$C$42, 11.4164, 11.4164)* CHOOSE(CONTROL!$C$21, $C$9, 100%, $E$9)</f>
        <v>11.416399999999999</v>
      </c>
      <c r="K233" s="53">
        <f>CHOOSE(CONTROL!$C$42, 11.4744, 11.4744) * CHOOSE(CONTROL!$C$21, $C$9, 100%, $E$9)</f>
        <v>11.474399999999999</v>
      </c>
      <c r="L233" s="14">
        <f>CHOOSE(CONTROL!$C$42, 12.2754, 12.2754) * CHOOSE(CONTROL!$C$21, $C$9, 100%, $E$9)</f>
        <v>12.275399999999999</v>
      </c>
      <c r="M233" s="14">
        <f>CHOOSE(CONTROL!$C$42, 11.1902, 11.1902) * CHOOSE(CONTROL!$C$21, $C$9, 100%, $E$9)</f>
        <v>11.190200000000001</v>
      </c>
      <c r="N233" s="14">
        <f>CHOOSE(CONTROL!$C$42, 11.2062, 11.2062) * CHOOSE(CONTROL!$C$21, $C$9, 100%, $E$9)</f>
        <v>11.206200000000001</v>
      </c>
      <c r="O233" s="14">
        <f>CHOOSE(CONTROL!$C$42, 11.4566, 11.4566) * CHOOSE(CONTROL!$C$21, $C$9, 100%, $E$9)</f>
        <v>11.4566</v>
      </c>
      <c r="P233" s="14">
        <f>CHOOSE(CONTROL!$C$42, 11.2502, 11.2502) * CHOOSE(CONTROL!$C$21, $C$9, 100%, $E$9)</f>
        <v>11.2502</v>
      </c>
      <c r="Q233" s="14">
        <f>CHOOSE(CONTROL!$C$42, 12.0513, 12.0513) * CHOOSE(CONTROL!$C$21, $C$9, 100%, $E$9)</f>
        <v>12.051299999999999</v>
      </c>
      <c r="R233" s="14">
        <f>CHOOSE(CONTROL!$C$42, 12.6684, 12.6684) * CHOOSE(CONTROL!$C$21, $C$9, 100%, $E$9)</f>
        <v>12.6684</v>
      </c>
      <c r="S233" s="14">
        <f>CHOOSE(CONTROL!$C$42, 10.9692, 10.9692) * CHOOSE(CONTROL!$C$21, $C$9, 100%, $E$9)</f>
        <v>10.969200000000001</v>
      </c>
      <c r="T2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7">
        <f>(1000*CHOOSE(CONTROL!$C$42, 695, 695)*CHOOSE(CONTROL!$C$42, 0.5599, 0.5599)*CHOOSE(CONTROL!$C$42, 31, 31))/1000000</f>
        <v>12.063045499999998</v>
      </c>
      <c r="V233" s="57">
        <f>(1000*CHOOSE(CONTROL!$C$42, 500, 500)*CHOOSE(CONTROL!$C$42, 0.275, 0.275)*CHOOSE(CONTROL!$C$42, 31, 31))/1000000</f>
        <v>4.2625000000000002</v>
      </c>
      <c r="W233" s="57">
        <f>(1000*CHOOSE(CONTROL!$C$42, 0.1146, 0.1146)*CHOOSE(CONTROL!$C$42, 121.5, 121.5)*CHOOSE(CONTROL!$C$42, 31, 31))/1000000</f>
        <v>0.43164089999999994</v>
      </c>
      <c r="X233" s="57">
        <f>(31*0.1790888*245000/1000000)+(31*0.2374*100000/1000000)</f>
        <v>2.0961194359999999</v>
      </c>
      <c r="Y233" s="57"/>
      <c r="Z233" s="14"/>
      <c r="AA233" s="56"/>
      <c r="AB233" s="50">
        <f>(B233*194.205+C233*267.466+D233*133.845+E233*53.484+F233*40+G233*185+H233*0+I233*100+J233*300)/(194.205+267.466+133.845+53.484+0+40+185+100+300)</f>
        <v>11.46864608477237</v>
      </c>
      <c r="AC233" s="45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11.277261870503597</v>
      </c>
    </row>
    <row r="234" spans="1:29" ht="15.75" x14ac:dyDescent="0.25">
      <c r="A234" s="13">
        <v>48000</v>
      </c>
      <c r="B234" s="14">
        <f>CHOOSE(CONTROL!$C$42, 11.7504, 11.7504) * CHOOSE(CONTROL!$C$21, $C$9, 100%, $E$9)</f>
        <v>11.750400000000001</v>
      </c>
      <c r="C234" s="14">
        <f>CHOOSE(CONTROL!$C$42, 11.7585, 11.7585) * CHOOSE(CONTROL!$C$21, $C$9, 100%, $E$9)</f>
        <v>11.7585</v>
      </c>
      <c r="D234" s="14">
        <f>CHOOSE(CONTROL!$C$42, 11.9921, 11.9921) * CHOOSE(CONTROL!$C$21, $C$9, 100%, $E$9)</f>
        <v>11.992100000000001</v>
      </c>
      <c r="E234" s="14">
        <f>CHOOSE(CONTROL!$C$42, 12.0235, 12.0235) * CHOOSE(CONTROL!$C$21, $C$9, 100%, $E$9)</f>
        <v>12.0235</v>
      </c>
      <c r="F234" s="14">
        <f>CHOOSE(CONTROL!$C$42, 11.7477, 11.7477)*CHOOSE(CONTROL!$C$21, $C$9, 100%, $E$9)</f>
        <v>11.7477</v>
      </c>
      <c r="G234" s="14">
        <f>CHOOSE(CONTROL!$C$42, 11.7642, 11.7642)*CHOOSE(CONTROL!$C$21, $C$9, 100%, $E$9)</f>
        <v>11.764200000000001</v>
      </c>
      <c r="H234" s="14">
        <f>CHOOSE(CONTROL!$C$42, 12.0121, 12.0121) * CHOOSE(CONTROL!$C$21, $C$9, 100%, $E$9)</f>
        <v>12.0121</v>
      </c>
      <c r="I234" s="14">
        <f>CHOOSE(CONTROL!$C$42, 11.8031, 11.8031)* CHOOSE(CONTROL!$C$21, $C$9, 100%, $E$9)</f>
        <v>11.803100000000001</v>
      </c>
      <c r="J234" s="14">
        <f>CHOOSE(CONTROL!$C$42, 11.7407, 11.7407)* CHOOSE(CONTROL!$C$21, $C$9, 100%, $E$9)</f>
        <v>11.7407</v>
      </c>
      <c r="K234" s="53">
        <f>CHOOSE(CONTROL!$C$42, 11.7992, 11.7992) * CHOOSE(CONTROL!$C$21, $C$9, 100%, $E$9)</f>
        <v>11.799200000000001</v>
      </c>
      <c r="L234" s="14">
        <f>CHOOSE(CONTROL!$C$42, 12.5991, 12.5991) * CHOOSE(CONTROL!$C$21, $C$9, 100%, $E$9)</f>
        <v>12.5991</v>
      </c>
      <c r="M234" s="14">
        <f>CHOOSE(CONTROL!$C$42, 11.5078, 11.5078) * CHOOSE(CONTROL!$C$21, $C$9, 100%, $E$9)</f>
        <v>11.5078</v>
      </c>
      <c r="N234" s="14">
        <f>CHOOSE(CONTROL!$C$42, 11.524, 11.524) * CHOOSE(CONTROL!$C$21, $C$9, 100%, $E$9)</f>
        <v>11.523999999999999</v>
      </c>
      <c r="O234" s="14">
        <f>CHOOSE(CONTROL!$C$42, 11.7737, 11.7737) * CHOOSE(CONTROL!$C$21, $C$9, 100%, $E$9)</f>
        <v>11.7737</v>
      </c>
      <c r="P234" s="14">
        <f>CHOOSE(CONTROL!$C$42, 11.5683, 11.5683) * CHOOSE(CONTROL!$C$21, $C$9, 100%, $E$9)</f>
        <v>11.568300000000001</v>
      </c>
      <c r="Q234" s="14">
        <f>CHOOSE(CONTROL!$C$42, 12.3684, 12.3684) * CHOOSE(CONTROL!$C$21, $C$9, 100%, $E$9)</f>
        <v>12.368399999999999</v>
      </c>
      <c r="R234" s="14">
        <f>CHOOSE(CONTROL!$C$42, 12.9863, 12.9863) * CHOOSE(CONTROL!$C$21, $C$9, 100%, $E$9)</f>
        <v>12.9863</v>
      </c>
      <c r="S234" s="14">
        <f>CHOOSE(CONTROL!$C$42, 11.2804, 11.2804) * CHOOSE(CONTROL!$C$21, $C$9, 100%, $E$9)</f>
        <v>11.2804</v>
      </c>
      <c r="T2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7">
        <f>(1000*CHOOSE(CONTROL!$C$42, 695, 695)*CHOOSE(CONTROL!$C$42, 0.5599, 0.5599)*CHOOSE(CONTROL!$C$42, 30, 30))/1000000</f>
        <v>11.673914999999997</v>
      </c>
      <c r="V234" s="57">
        <f>(1000*CHOOSE(CONTROL!$C$42, 500, 500)*CHOOSE(CONTROL!$C$42, 0.275, 0.275)*CHOOSE(CONTROL!$C$42, 30, 30))/1000000</f>
        <v>4.125</v>
      </c>
      <c r="W234" s="57">
        <f>(1000*CHOOSE(CONTROL!$C$42, 0.1146, 0.1146)*CHOOSE(CONTROL!$C$42, 121.5, 121.5)*CHOOSE(CONTROL!$C$42, 30, 30))/1000000</f>
        <v>0.417717</v>
      </c>
      <c r="X234" s="57">
        <f>(30*0.1790888*245000/1000000)+(30*0.2374*100000/1000000)</f>
        <v>2.0285026799999999</v>
      </c>
      <c r="Y234" s="57"/>
      <c r="Z234" s="14"/>
      <c r="AA234" s="56"/>
      <c r="AB234" s="50">
        <f>(B234*194.205+C234*267.466+D234*133.845+E234*53.484+F234*40+G234*185+H234*0+I234*100+J234*300)/(194.205+267.466+133.845+53.484+0+40+185+100+300)</f>
        <v>11.792729899136578</v>
      </c>
      <c r="AC234" s="45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11.594839568345321</v>
      </c>
    </row>
    <row r="235" spans="1:29" ht="15.75" x14ac:dyDescent="0.25">
      <c r="A235" s="13">
        <v>48030</v>
      </c>
      <c r="B235" s="14">
        <f>CHOOSE(CONTROL!$C$42, 11.5252, 11.5252) * CHOOSE(CONTROL!$C$21, $C$9, 100%, $E$9)</f>
        <v>11.5252</v>
      </c>
      <c r="C235" s="14">
        <f>CHOOSE(CONTROL!$C$42, 11.5333, 11.5333) * CHOOSE(CONTROL!$C$21, $C$9, 100%, $E$9)</f>
        <v>11.533300000000001</v>
      </c>
      <c r="D235" s="14">
        <f>CHOOSE(CONTROL!$C$42, 11.7669, 11.7669) * CHOOSE(CONTROL!$C$21, $C$9, 100%, $E$9)</f>
        <v>11.7669</v>
      </c>
      <c r="E235" s="14">
        <f>CHOOSE(CONTROL!$C$42, 11.7983, 11.7983) * CHOOSE(CONTROL!$C$21, $C$9, 100%, $E$9)</f>
        <v>11.798299999999999</v>
      </c>
      <c r="F235" s="14">
        <f>CHOOSE(CONTROL!$C$42, 11.523, 11.523)*CHOOSE(CONTROL!$C$21, $C$9, 100%, $E$9)</f>
        <v>11.523</v>
      </c>
      <c r="G235" s="14">
        <f>CHOOSE(CONTROL!$C$42, 11.5396, 11.5396)*CHOOSE(CONTROL!$C$21, $C$9, 100%, $E$9)</f>
        <v>11.5396</v>
      </c>
      <c r="H235" s="14">
        <f>CHOOSE(CONTROL!$C$42, 11.787, 11.787) * CHOOSE(CONTROL!$C$21, $C$9, 100%, $E$9)</f>
        <v>11.787000000000001</v>
      </c>
      <c r="I235" s="14">
        <f>CHOOSE(CONTROL!$C$42, 11.5772, 11.5772)* CHOOSE(CONTROL!$C$21, $C$9, 100%, $E$9)</f>
        <v>11.577199999999999</v>
      </c>
      <c r="J235" s="14">
        <f>CHOOSE(CONTROL!$C$42, 11.516, 11.516)* CHOOSE(CONTROL!$C$21, $C$9, 100%, $E$9)</f>
        <v>11.516</v>
      </c>
      <c r="K235" s="53">
        <f>CHOOSE(CONTROL!$C$42, 11.5733, 11.5733) * CHOOSE(CONTROL!$C$21, $C$9, 100%, $E$9)</f>
        <v>11.5733</v>
      </c>
      <c r="L235" s="14">
        <f>CHOOSE(CONTROL!$C$42, 12.374, 12.374) * CHOOSE(CONTROL!$C$21, $C$9, 100%, $E$9)</f>
        <v>12.374000000000001</v>
      </c>
      <c r="M235" s="14">
        <f>CHOOSE(CONTROL!$C$42, 11.2878, 11.2878) * CHOOSE(CONTROL!$C$21, $C$9, 100%, $E$9)</f>
        <v>11.287800000000001</v>
      </c>
      <c r="N235" s="14">
        <f>CHOOSE(CONTROL!$C$42, 11.304, 11.304) * CHOOSE(CONTROL!$C$21, $C$9, 100%, $E$9)</f>
        <v>11.304</v>
      </c>
      <c r="O235" s="14">
        <f>CHOOSE(CONTROL!$C$42, 11.5531, 11.5531) * CHOOSE(CONTROL!$C$21, $C$9, 100%, $E$9)</f>
        <v>11.553100000000001</v>
      </c>
      <c r="P235" s="14">
        <f>CHOOSE(CONTROL!$C$42, 11.3471, 11.3471) * CHOOSE(CONTROL!$C$21, $C$9, 100%, $E$9)</f>
        <v>11.347099999999999</v>
      </c>
      <c r="Q235" s="14">
        <f>CHOOSE(CONTROL!$C$42, 12.1478, 12.1478) * CHOOSE(CONTROL!$C$21, $C$9, 100%, $E$9)</f>
        <v>12.1478</v>
      </c>
      <c r="R235" s="14">
        <f>CHOOSE(CONTROL!$C$42, 12.7652, 12.7652) * CHOOSE(CONTROL!$C$21, $C$9, 100%, $E$9)</f>
        <v>12.7652</v>
      </c>
      <c r="S235" s="14">
        <f>CHOOSE(CONTROL!$C$42, 11.064, 11.064) * CHOOSE(CONTROL!$C$21, $C$9, 100%, $E$9)</f>
        <v>11.064</v>
      </c>
      <c r="T2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7">
        <f>(1000*CHOOSE(CONTROL!$C$42, 695, 695)*CHOOSE(CONTROL!$C$42, 0.5599, 0.5599)*CHOOSE(CONTROL!$C$42, 31, 31))/1000000</f>
        <v>12.063045499999998</v>
      </c>
      <c r="V235" s="57">
        <f>(1000*CHOOSE(CONTROL!$C$42, 500, 500)*CHOOSE(CONTROL!$C$42, 0.275, 0.275)*CHOOSE(CONTROL!$C$42, 31, 31))/1000000</f>
        <v>4.2625000000000002</v>
      </c>
      <c r="W235" s="57">
        <f>(1000*CHOOSE(CONTROL!$C$42, 0.1146, 0.1146)*CHOOSE(CONTROL!$C$42, 121.5, 121.5)*CHOOSE(CONTROL!$C$42, 31, 31))/1000000</f>
        <v>0.43164089999999994</v>
      </c>
      <c r="X235" s="57">
        <f>(31*0.1790888*245000/1000000)+(31*0.2374*100000/1000000)</f>
        <v>2.0961194359999999</v>
      </c>
      <c r="Y235" s="57"/>
      <c r="Z235" s="14"/>
      <c r="AA235" s="56"/>
      <c r="AB235" s="50">
        <f>(B235*194.205+C235*267.466+D235*133.845+E235*53.484+F235*40+G235*185+H235*0+I235*100+J235*300)/(194.205+267.466+133.845+53.484+0+40+185+100+300)</f>
        <v>11.567695519230769</v>
      </c>
      <c r="AC235" s="45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11.37449856115108</v>
      </c>
    </row>
    <row r="236" spans="1:29" ht="15.75" x14ac:dyDescent="0.25">
      <c r="A236" s="13">
        <v>48061</v>
      </c>
      <c r="B236" s="14">
        <f>CHOOSE(CONTROL!$C$42, 10.9566, 10.9566) * CHOOSE(CONTROL!$C$21, $C$9, 100%, $E$9)</f>
        <v>10.9566</v>
      </c>
      <c r="C236" s="14">
        <f>CHOOSE(CONTROL!$C$42, 10.9646, 10.9646) * CHOOSE(CONTROL!$C$21, $C$9, 100%, $E$9)</f>
        <v>10.964600000000001</v>
      </c>
      <c r="D236" s="14">
        <f>CHOOSE(CONTROL!$C$42, 11.1982, 11.1982) * CHOOSE(CONTROL!$C$21, $C$9, 100%, $E$9)</f>
        <v>11.1982</v>
      </c>
      <c r="E236" s="14">
        <f>CHOOSE(CONTROL!$C$42, 11.2296, 11.2296) * CHOOSE(CONTROL!$C$21, $C$9, 100%, $E$9)</f>
        <v>11.2296</v>
      </c>
      <c r="F236" s="14">
        <f>CHOOSE(CONTROL!$C$42, 10.9545, 10.9545)*CHOOSE(CONTROL!$C$21, $C$9, 100%, $E$9)</f>
        <v>10.954499999999999</v>
      </c>
      <c r="G236" s="14">
        <f>CHOOSE(CONTROL!$C$42, 10.9712, 10.9712)*CHOOSE(CONTROL!$C$21, $C$9, 100%, $E$9)</f>
        <v>10.9712</v>
      </c>
      <c r="H236" s="14">
        <f>CHOOSE(CONTROL!$C$42, 11.2183, 11.2183) * CHOOSE(CONTROL!$C$21, $C$9, 100%, $E$9)</f>
        <v>11.218299999999999</v>
      </c>
      <c r="I236" s="14">
        <f>CHOOSE(CONTROL!$C$42, 11.0068, 11.0068)* CHOOSE(CONTROL!$C$21, $C$9, 100%, $E$9)</f>
        <v>11.0068</v>
      </c>
      <c r="J236" s="14">
        <f>CHOOSE(CONTROL!$C$42, 10.9475, 10.9475)* CHOOSE(CONTROL!$C$21, $C$9, 100%, $E$9)</f>
        <v>10.9475</v>
      </c>
      <c r="K236" s="53">
        <f>CHOOSE(CONTROL!$C$42, 11.0029, 11.0029) * CHOOSE(CONTROL!$C$21, $C$9, 100%, $E$9)</f>
        <v>11.0029</v>
      </c>
      <c r="L236" s="14">
        <f>CHOOSE(CONTROL!$C$42, 11.8053, 11.8053) * CHOOSE(CONTROL!$C$21, $C$9, 100%, $E$9)</f>
        <v>11.805300000000001</v>
      </c>
      <c r="M236" s="14">
        <f>CHOOSE(CONTROL!$C$42, 10.7309, 10.7309) * CHOOSE(CONTROL!$C$21, $C$9, 100%, $E$9)</f>
        <v>10.7309</v>
      </c>
      <c r="N236" s="14">
        <f>CHOOSE(CONTROL!$C$42, 10.7472, 10.7472) * CHOOSE(CONTROL!$C$21, $C$9, 100%, $E$9)</f>
        <v>10.747199999999999</v>
      </c>
      <c r="O236" s="14">
        <f>CHOOSE(CONTROL!$C$42, 10.9961, 10.9961) * CHOOSE(CONTROL!$C$21, $C$9, 100%, $E$9)</f>
        <v>10.9961</v>
      </c>
      <c r="P236" s="14">
        <f>CHOOSE(CONTROL!$C$42, 10.7883, 10.7883) * CHOOSE(CONTROL!$C$21, $C$9, 100%, $E$9)</f>
        <v>10.7883</v>
      </c>
      <c r="Q236" s="14">
        <f>CHOOSE(CONTROL!$C$42, 11.5908, 11.5908) * CHOOSE(CONTROL!$C$21, $C$9, 100%, $E$9)</f>
        <v>11.5908</v>
      </c>
      <c r="R236" s="14">
        <f>CHOOSE(CONTROL!$C$42, 12.2068, 12.2068) * CHOOSE(CONTROL!$C$21, $C$9, 100%, $E$9)</f>
        <v>12.206799999999999</v>
      </c>
      <c r="S236" s="14">
        <f>CHOOSE(CONTROL!$C$42, 10.5175, 10.5175) * CHOOSE(CONTROL!$C$21, $C$9, 100%, $E$9)</f>
        <v>10.5175</v>
      </c>
      <c r="T2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7">
        <f>(1000*CHOOSE(CONTROL!$C$42, 695, 695)*CHOOSE(CONTROL!$C$42, 0.5599, 0.5599)*CHOOSE(CONTROL!$C$42, 31, 31))/1000000</f>
        <v>12.063045499999998</v>
      </c>
      <c r="V236" s="57">
        <f>(1000*CHOOSE(CONTROL!$C$42, 500, 500)*CHOOSE(CONTROL!$C$42, 0.275, 0.275)*CHOOSE(CONTROL!$C$42, 31, 31))/1000000</f>
        <v>4.2625000000000002</v>
      </c>
      <c r="W236" s="57">
        <f>(1000*CHOOSE(CONTROL!$C$42, 0.1146, 0.1146)*CHOOSE(CONTROL!$C$42, 121.5, 121.5)*CHOOSE(CONTROL!$C$42, 31, 31))/1000000</f>
        <v>0.43164089999999994</v>
      </c>
      <c r="X236" s="57">
        <f>(31*0.1790888*245000/1000000)+(31*0.2374*100000/1000000)</f>
        <v>2.0961194359999999</v>
      </c>
      <c r="Y236" s="57"/>
      <c r="Z236" s="14"/>
      <c r="AA236" s="56"/>
      <c r="AB236" s="50">
        <f>(B236*194.205+C236*267.466+D236*133.845+E236*53.484+F236*40+G236*185+H236*0+I236*100+J236*300)/(194.205+267.466+133.845+53.484+0+40+185+100+300)</f>
        <v>10.998974263736264</v>
      </c>
      <c r="AC236" s="45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10.817320143884892</v>
      </c>
    </row>
    <row r="237" spans="1:29" ht="15.75" x14ac:dyDescent="0.25">
      <c r="A237" s="13">
        <v>48092</v>
      </c>
      <c r="B237" s="14">
        <f>CHOOSE(CONTROL!$C$42, 10.2613, 10.2613) * CHOOSE(CONTROL!$C$21, $C$9, 100%, $E$9)</f>
        <v>10.2613</v>
      </c>
      <c r="C237" s="14">
        <f>CHOOSE(CONTROL!$C$42, 10.2693, 10.2693) * CHOOSE(CONTROL!$C$21, $C$9, 100%, $E$9)</f>
        <v>10.269299999999999</v>
      </c>
      <c r="D237" s="14">
        <f>CHOOSE(CONTROL!$C$42, 10.5029, 10.5029) * CHOOSE(CONTROL!$C$21, $C$9, 100%, $E$9)</f>
        <v>10.5029</v>
      </c>
      <c r="E237" s="14">
        <f>CHOOSE(CONTROL!$C$42, 10.5344, 10.5344) * CHOOSE(CONTROL!$C$21, $C$9, 100%, $E$9)</f>
        <v>10.5344</v>
      </c>
      <c r="F237" s="14">
        <f>CHOOSE(CONTROL!$C$42, 10.2593, 10.2593)*CHOOSE(CONTROL!$C$21, $C$9, 100%, $E$9)</f>
        <v>10.2593</v>
      </c>
      <c r="G237" s="14">
        <f>CHOOSE(CONTROL!$C$42, 10.276, 10.276)*CHOOSE(CONTROL!$C$21, $C$9, 100%, $E$9)</f>
        <v>10.276</v>
      </c>
      <c r="H237" s="14">
        <f>CHOOSE(CONTROL!$C$42, 10.523, 10.523) * CHOOSE(CONTROL!$C$21, $C$9, 100%, $E$9)</f>
        <v>10.523</v>
      </c>
      <c r="I237" s="14">
        <f>CHOOSE(CONTROL!$C$42, 10.3093, 10.3093)* CHOOSE(CONTROL!$C$21, $C$9, 100%, $E$9)</f>
        <v>10.3093</v>
      </c>
      <c r="J237" s="14">
        <f>CHOOSE(CONTROL!$C$42, 10.2523, 10.2523)* CHOOSE(CONTROL!$C$21, $C$9, 100%, $E$9)</f>
        <v>10.2523</v>
      </c>
      <c r="K237" s="53">
        <f>CHOOSE(CONTROL!$C$42, 10.3054, 10.3054) * CHOOSE(CONTROL!$C$21, $C$9, 100%, $E$9)</f>
        <v>10.305400000000001</v>
      </c>
      <c r="L237" s="14">
        <f>CHOOSE(CONTROL!$C$42, 11.11, 11.11) * CHOOSE(CONTROL!$C$21, $C$9, 100%, $E$9)</f>
        <v>11.11</v>
      </c>
      <c r="M237" s="14">
        <f>CHOOSE(CONTROL!$C$42, 10.0499, 10.0499) * CHOOSE(CONTROL!$C$21, $C$9, 100%, $E$9)</f>
        <v>10.049899999999999</v>
      </c>
      <c r="N237" s="14">
        <f>CHOOSE(CONTROL!$C$42, 10.0662, 10.0662) * CHOOSE(CONTROL!$C$21, $C$9, 100%, $E$9)</f>
        <v>10.0662</v>
      </c>
      <c r="O237" s="14">
        <f>CHOOSE(CONTROL!$C$42, 10.3151, 10.3151) * CHOOSE(CONTROL!$C$21, $C$9, 100%, $E$9)</f>
        <v>10.315099999999999</v>
      </c>
      <c r="P237" s="14">
        <f>CHOOSE(CONTROL!$C$42, 10.1052, 10.1052) * CHOOSE(CONTROL!$C$21, $C$9, 100%, $E$9)</f>
        <v>10.1052</v>
      </c>
      <c r="Q237" s="14">
        <f>CHOOSE(CONTROL!$C$42, 10.9098, 10.9098) * CHOOSE(CONTROL!$C$21, $C$9, 100%, $E$9)</f>
        <v>10.909800000000001</v>
      </c>
      <c r="R237" s="14">
        <f>CHOOSE(CONTROL!$C$42, 11.5241, 11.5241) * CHOOSE(CONTROL!$C$21, $C$9, 100%, $E$9)</f>
        <v>11.524100000000001</v>
      </c>
      <c r="S237" s="14">
        <f>CHOOSE(CONTROL!$C$42, 9.8494, 9.8494) * CHOOSE(CONTROL!$C$21, $C$9, 100%, $E$9)</f>
        <v>9.8493999999999993</v>
      </c>
      <c r="T2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7">
        <f>(1000*CHOOSE(CONTROL!$C$42, 695, 695)*CHOOSE(CONTROL!$C$42, 0.5599, 0.5599)*CHOOSE(CONTROL!$C$42, 30, 30))/1000000</f>
        <v>11.673914999999997</v>
      </c>
      <c r="V237" s="57">
        <f>(1000*CHOOSE(CONTROL!$C$42, 500, 500)*CHOOSE(CONTROL!$C$42, 0.275, 0.275)*CHOOSE(CONTROL!$C$42, 30, 30))/1000000</f>
        <v>4.125</v>
      </c>
      <c r="W237" s="57">
        <f>(1000*CHOOSE(CONTROL!$C$42, 0.1146, 0.1146)*CHOOSE(CONTROL!$C$42, 121.5, 121.5)*CHOOSE(CONTROL!$C$42, 30, 30))/1000000</f>
        <v>0.417717</v>
      </c>
      <c r="X237" s="57">
        <f>(30*0.1790888*245000/1000000)+(30*0.2374*100000/1000000)</f>
        <v>2.0285026799999999</v>
      </c>
      <c r="Y237" s="57"/>
      <c r="Z237" s="14"/>
      <c r="AA237" s="56"/>
      <c r="AB237" s="50">
        <f>(B237*194.205+C237*267.466+D237*133.845+E237*53.484+F237*40+G237*185+H237*0+I237*100+J237*300)/(194.205+267.466+133.845+53.484+0+40+185+100+300)</f>
        <v>10.303546986185244</v>
      </c>
      <c r="AC237" s="45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10.13601798561151</v>
      </c>
    </row>
    <row r="238" spans="1:29" ht="15.75" x14ac:dyDescent="0.25">
      <c r="A238" s="13">
        <v>48122</v>
      </c>
      <c r="B238" s="14">
        <f>CHOOSE(CONTROL!$C$42, 10.0514, 10.0514) * CHOOSE(CONTROL!$C$21, $C$9, 100%, $E$9)</f>
        <v>10.051399999999999</v>
      </c>
      <c r="C238" s="14">
        <f>CHOOSE(CONTROL!$C$42, 10.0567, 10.0567) * CHOOSE(CONTROL!$C$21, $C$9, 100%, $E$9)</f>
        <v>10.056699999999999</v>
      </c>
      <c r="D238" s="14">
        <f>CHOOSE(CONTROL!$C$42, 10.2953, 10.2953) * CHOOSE(CONTROL!$C$21, $C$9, 100%, $E$9)</f>
        <v>10.295299999999999</v>
      </c>
      <c r="E238" s="14">
        <f>CHOOSE(CONTROL!$C$42, 10.3244, 10.3244) * CHOOSE(CONTROL!$C$21, $C$9, 100%, $E$9)</f>
        <v>10.324400000000001</v>
      </c>
      <c r="F238" s="14">
        <f>CHOOSE(CONTROL!$C$42, 10.0514, 10.0514)*CHOOSE(CONTROL!$C$21, $C$9, 100%, $E$9)</f>
        <v>10.051399999999999</v>
      </c>
      <c r="G238" s="14">
        <f>CHOOSE(CONTROL!$C$42, 10.0677, 10.0677)*CHOOSE(CONTROL!$C$21, $C$9, 100%, $E$9)</f>
        <v>10.0677</v>
      </c>
      <c r="H238" s="14">
        <f>CHOOSE(CONTROL!$C$42, 10.3149, 10.3149) * CHOOSE(CONTROL!$C$21, $C$9, 100%, $E$9)</f>
        <v>10.3149</v>
      </c>
      <c r="I238" s="14">
        <f>CHOOSE(CONTROL!$C$42, 10.1005, 10.1005)* CHOOSE(CONTROL!$C$21, $C$9, 100%, $E$9)</f>
        <v>10.1005</v>
      </c>
      <c r="J238" s="14">
        <f>CHOOSE(CONTROL!$C$42, 10.0444, 10.0444)* CHOOSE(CONTROL!$C$21, $C$9, 100%, $E$9)</f>
        <v>10.0444</v>
      </c>
      <c r="K238" s="53">
        <f>CHOOSE(CONTROL!$C$42, 10.0967, 10.0967) * CHOOSE(CONTROL!$C$21, $C$9, 100%, $E$9)</f>
        <v>10.0967</v>
      </c>
      <c r="L238" s="14">
        <f>CHOOSE(CONTROL!$C$42, 10.9019, 10.9019) * CHOOSE(CONTROL!$C$21, $C$9, 100%, $E$9)</f>
        <v>10.901899999999999</v>
      </c>
      <c r="M238" s="14">
        <f>CHOOSE(CONTROL!$C$42, 9.8463, 9.8463) * CHOOSE(CONTROL!$C$21, $C$9, 100%, $E$9)</f>
        <v>9.8462999999999994</v>
      </c>
      <c r="N238" s="14">
        <f>CHOOSE(CONTROL!$C$42, 9.8623, 9.8623) * CHOOSE(CONTROL!$C$21, $C$9, 100%, $E$9)</f>
        <v>9.8622999999999994</v>
      </c>
      <c r="O238" s="14">
        <f>CHOOSE(CONTROL!$C$42, 10.1112, 10.1112) * CHOOSE(CONTROL!$C$21, $C$9, 100%, $E$9)</f>
        <v>10.1112</v>
      </c>
      <c r="P238" s="14">
        <f>CHOOSE(CONTROL!$C$42, 9.9007, 9.9007) * CHOOSE(CONTROL!$C$21, $C$9, 100%, $E$9)</f>
        <v>9.9007000000000005</v>
      </c>
      <c r="Q238" s="14">
        <f>CHOOSE(CONTROL!$C$42, 10.7059, 10.7059) * CHOOSE(CONTROL!$C$21, $C$9, 100%, $E$9)</f>
        <v>10.7059</v>
      </c>
      <c r="R238" s="14">
        <f>CHOOSE(CONTROL!$C$42, 11.3197, 11.3197) * CHOOSE(CONTROL!$C$21, $C$9, 100%, $E$9)</f>
        <v>11.319699999999999</v>
      </c>
      <c r="S238" s="14">
        <f>CHOOSE(CONTROL!$C$42, 9.6495, 9.6495) * CHOOSE(CONTROL!$C$21, $C$9, 100%, $E$9)</f>
        <v>9.6494999999999997</v>
      </c>
      <c r="T2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7">
        <f>(1000*CHOOSE(CONTROL!$C$42, 695, 695)*CHOOSE(CONTROL!$C$42, 0.5599, 0.5599)*CHOOSE(CONTROL!$C$42, 31, 31))/1000000</f>
        <v>12.063045499999998</v>
      </c>
      <c r="V238" s="57">
        <f>(1000*CHOOSE(CONTROL!$C$42, 500, 500)*CHOOSE(CONTROL!$C$42, 0.275, 0.275)*CHOOSE(CONTROL!$C$42, 31, 31))/1000000</f>
        <v>4.2625000000000002</v>
      </c>
      <c r="W238" s="57">
        <f>(1000*CHOOSE(CONTROL!$C$42, 0.1146, 0.1146)*CHOOSE(CONTROL!$C$42, 121.5, 121.5)*CHOOSE(CONTROL!$C$42, 31, 31))/1000000</f>
        <v>0.43164089999999994</v>
      </c>
      <c r="X238" s="57">
        <f>(31*0.1790888*245000/1000000)+(31*0.2374*100000/1000000)</f>
        <v>2.0961194359999999</v>
      </c>
      <c r="Y238" s="57"/>
      <c r="Z238" s="14"/>
      <c r="AA238" s="56"/>
      <c r="AB238" s="50">
        <f>(B238*131.881+C238*277.167+D238*79.08+E238*125.872+F238*40+G238*185+H238*0+I238*100+J238*300)/(131.881+277.167+79.08+125.872+0+40+185+100+300)</f>
        <v>10.100588985552864</v>
      </c>
      <c r="AC238" s="45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9.9321352517985613</v>
      </c>
    </row>
    <row r="239" spans="1:29" ht="15.75" x14ac:dyDescent="0.25">
      <c r="A239" s="13">
        <v>48153</v>
      </c>
      <c r="B239" s="14">
        <f>CHOOSE(CONTROL!$C$42, 10.3155, 10.3155) * CHOOSE(CONTROL!$C$21, $C$9, 100%, $E$9)</f>
        <v>10.3155</v>
      </c>
      <c r="C239" s="14">
        <f>CHOOSE(CONTROL!$C$42, 10.3206, 10.3206) * CHOOSE(CONTROL!$C$21, $C$9, 100%, $E$9)</f>
        <v>10.320600000000001</v>
      </c>
      <c r="D239" s="14">
        <f>CHOOSE(CONTROL!$C$42, 10.3948, 10.3948) * CHOOSE(CONTROL!$C$21, $C$9, 100%, $E$9)</f>
        <v>10.3948</v>
      </c>
      <c r="E239" s="14">
        <f>CHOOSE(CONTROL!$C$42, 10.4289, 10.4289) * CHOOSE(CONTROL!$C$21, $C$9, 100%, $E$9)</f>
        <v>10.428900000000001</v>
      </c>
      <c r="F239" s="14">
        <f>CHOOSE(CONTROL!$C$42, 10.3276, 10.3276)*CHOOSE(CONTROL!$C$21, $C$9, 100%, $E$9)</f>
        <v>10.3276</v>
      </c>
      <c r="G239" s="14">
        <f>CHOOSE(CONTROL!$C$42, 10.3442, 10.3442)*CHOOSE(CONTROL!$C$21, $C$9, 100%, $E$9)</f>
        <v>10.344200000000001</v>
      </c>
      <c r="H239" s="14">
        <f>CHOOSE(CONTROL!$C$42, 10.4181, 10.4181) * CHOOSE(CONTROL!$C$21, $C$9, 100%, $E$9)</f>
        <v>10.418100000000001</v>
      </c>
      <c r="I239" s="14">
        <f>CHOOSE(CONTROL!$C$42, 10.3722, 10.3722)* CHOOSE(CONTROL!$C$21, $C$9, 100%, $E$9)</f>
        <v>10.372199999999999</v>
      </c>
      <c r="J239" s="14">
        <f>CHOOSE(CONTROL!$C$42, 10.3206, 10.3206)* CHOOSE(CONTROL!$C$21, $C$9, 100%, $E$9)</f>
        <v>10.320600000000001</v>
      </c>
      <c r="K239" s="53">
        <f>CHOOSE(CONTROL!$C$42, 10.3683, 10.3683) * CHOOSE(CONTROL!$C$21, $C$9, 100%, $E$9)</f>
        <v>10.3683</v>
      </c>
      <c r="L239" s="14">
        <f>CHOOSE(CONTROL!$C$42, 11.0051, 11.0051) * CHOOSE(CONTROL!$C$21, $C$9, 100%, $E$9)</f>
        <v>11.005100000000001</v>
      </c>
      <c r="M239" s="14">
        <f>CHOOSE(CONTROL!$C$42, 10.1168, 10.1168) * CHOOSE(CONTROL!$C$21, $C$9, 100%, $E$9)</f>
        <v>10.1168</v>
      </c>
      <c r="N239" s="14">
        <f>CHOOSE(CONTROL!$C$42, 10.1331, 10.1331) * CHOOSE(CONTROL!$C$21, $C$9, 100%, $E$9)</f>
        <v>10.133100000000001</v>
      </c>
      <c r="O239" s="14">
        <f>CHOOSE(CONTROL!$C$42, 10.2124, 10.2124) * CHOOSE(CONTROL!$C$21, $C$9, 100%, $E$9)</f>
        <v>10.212400000000001</v>
      </c>
      <c r="P239" s="14">
        <f>CHOOSE(CONTROL!$C$42, 10.1668, 10.1668) * CHOOSE(CONTROL!$C$21, $C$9, 100%, $E$9)</f>
        <v>10.1668</v>
      </c>
      <c r="Q239" s="14">
        <f>CHOOSE(CONTROL!$C$42, 10.8071, 10.8071) * CHOOSE(CONTROL!$C$21, $C$9, 100%, $E$9)</f>
        <v>10.8071</v>
      </c>
      <c r="R239" s="14">
        <f>CHOOSE(CONTROL!$C$42, 11.4211, 11.4211) * CHOOSE(CONTROL!$C$21, $C$9, 100%, $E$9)</f>
        <v>11.421099999999999</v>
      </c>
      <c r="S239" s="14">
        <f>CHOOSE(CONTROL!$C$42, 9.9037, 9.9037) * CHOOSE(CONTROL!$C$21, $C$9, 100%, $E$9)</f>
        <v>9.9037000000000006</v>
      </c>
      <c r="T2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7">
        <f>(1000*CHOOSE(CONTROL!$C$42, 695, 695)*CHOOSE(CONTROL!$C$42, 0.5599, 0.5599)*CHOOSE(CONTROL!$C$42, 30, 30))/1000000</f>
        <v>11.673914999999997</v>
      </c>
      <c r="V239" s="57">
        <f>(1000*CHOOSE(CONTROL!$C$42, 500, 500)*CHOOSE(CONTROL!$C$42, 0.275, 0.275)*CHOOSE(CONTROL!$C$42, 30, 30))/1000000</f>
        <v>4.125</v>
      </c>
      <c r="W239" s="57">
        <f>(1000*CHOOSE(CONTROL!$C$42, 0.1146, 0.1146)*CHOOSE(CONTROL!$C$42, 121.5, 121.5)*CHOOSE(CONTROL!$C$42, 30, 30))/1000000</f>
        <v>0.417717</v>
      </c>
      <c r="X239" s="57">
        <f>(30*0.1790888*100000/1000000)+(30*0.2374*100000/1000000)</f>
        <v>1.2494664</v>
      </c>
      <c r="Y239" s="57"/>
      <c r="Z239" s="14"/>
      <c r="AA239" s="56"/>
      <c r="AB239" s="50">
        <f>(B239*122.58+C239*297.941+D239*89.177+E239*40.302+F239*40+G239*160+H239*0+I239*100+J239*300)/(122.58+297.941+89.177+40.302+0+40+160+100+300)</f>
        <v>10.337619549565218</v>
      </c>
      <c r="AC239" s="45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10.168261870503599</v>
      </c>
    </row>
    <row r="240" spans="1:29" ht="15.75" x14ac:dyDescent="0.25">
      <c r="A240" s="13">
        <v>48183</v>
      </c>
      <c r="B240" s="14">
        <f>CHOOSE(CONTROL!$C$42, 11.0182, 11.0182) * CHOOSE(CONTROL!$C$21, $C$9, 100%, $E$9)</f>
        <v>11.0182</v>
      </c>
      <c r="C240" s="14">
        <f>CHOOSE(CONTROL!$C$42, 11.0232, 11.0232) * CHOOSE(CONTROL!$C$21, $C$9, 100%, $E$9)</f>
        <v>11.023199999999999</v>
      </c>
      <c r="D240" s="14">
        <f>CHOOSE(CONTROL!$C$42, 11.0975, 11.0975) * CHOOSE(CONTROL!$C$21, $C$9, 100%, $E$9)</f>
        <v>11.0975</v>
      </c>
      <c r="E240" s="14">
        <f>CHOOSE(CONTROL!$C$42, 11.1316, 11.1316) * CHOOSE(CONTROL!$C$21, $C$9, 100%, $E$9)</f>
        <v>11.131600000000001</v>
      </c>
      <c r="F240" s="14">
        <f>CHOOSE(CONTROL!$C$42, 11.0324, 11.0324)*CHOOSE(CONTROL!$C$21, $C$9, 100%, $E$9)</f>
        <v>11.032400000000001</v>
      </c>
      <c r="G240" s="14">
        <f>CHOOSE(CONTROL!$C$42, 11.0496, 11.0496)*CHOOSE(CONTROL!$C$21, $C$9, 100%, $E$9)</f>
        <v>11.0496</v>
      </c>
      <c r="H240" s="14">
        <f>CHOOSE(CONTROL!$C$42, 11.1208, 11.1208) * CHOOSE(CONTROL!$C$21, $C$9, 100%, $E$9)</f>
        <v>11.120799999999999</v>
      </c>
      <c r="I240" s="14">
        <f>CHOOSE(CONTROL!$C$42, 11.077, 11.077)* CHOOSE(CONTROL!$C$21, $C$9, 100%, $E$9)</f>
        <v>11.077</v>
      </c>
      <c r="J240" s="14">
        <f>CHOOSE(CONTROL!$C$42, 11.0254, 11.0254)* CHOOSE(CONTROL!$C$21, $C$9, 100%, $E$9)</f>
        <v>11.025399999999999</v>
      </c>
      <c r="K240" s="53">
        <f>CHOOSE(CONTROL!$C$42, 11.0731, 11.0731) * CHOOSE(CONTROL!$C$21, $C$9, 100%, $E$9)</f>
        <v>11.0731</v>
      </c>
      <c r="L240" s="14">
        <f>CHOOSE(CONTROL!$C$42, 11.7078, 11.7078) * CHOOSE(CONTROL!$C$21, $C$9, 100%, $E$9)</f>
        <v>11.707800000000001</v>
      </c>
      <c r="M240" s="14">
        <f>CHOOSE(CONTROL!$C$42, 10.8072, 10.8072) * CHOOSE(CONTROL!$C$21, $C$9, 100%, $E$9)</f>
        <v>10.8072</v>
      </c>
      <c r="N240" s="14">
        <f>CHOOSE(CONTROL!$C$42, 10.824, 10.824) * CHOOSE(CONTROL!$C$21, $C$9, 100%, $E$9)</f>
        <v>10.824</v>
      </c>
      <c r="O240" s="14">
        <f>CHOOSE(CONTROL!$C$42, 10.9006, 10.9006) * CHOOSE(CONTROL!$C$21, $C$9, 100%, $E$9)</f>
        <v>10.900600000000001</v>
      </c>
      <c r="P240" s="14">
        <f>CHOOSE(CONTROL!$C$42, 10.8571, 10.8571) * CHOOSE(CONTROL!$C$21, $C$9, 100%, $E$9)</f>
        <v>10.857100000000001</v>
      </c>
      <c r="Q240" s="14">
        <f>CHOOSE(CONTROL!$C$42, 11.4953, 11.4953) * CHOOSE(CONTROL!$C$21, $C$9, 100%, $E$9)</f>
        <v>11.4953</v>
      </c>
      <c r="R240" s="14">
        <f>CHOOSE(CONTROL!$C$42, 12.111, 12.111) * CHOOSE(CONTROL!$C$21, $C$9, 100%, $E$9)</f>
        <v>12.111000000000001</v>
      </c>
      <c r="S240" s="14">
        <f>CHOOSE(CONTROL!$C$42, 10.5788, 10.5788) * CHOOSE(CONTROL!$C$21, $C$9, 100%, $E$9)</f>
        <v>10.578799999999999</v>
      </c>
      <c r="T2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7">
        <f>(1000*CHOOSE(CONTROL!$C$42, 695, 695)*CHOOSE(CONTROL!$C$42, 0.5599, 0.5599)*CHOOSE(CONTROL!$C$42, 31, 31))/1000000</f>
        <v>12.063045499999998</v>
      </c>
      <c r="V240" s="57">
        <f>(1000*CHOOSE(CONTROL!$C$42, 500, 500)*CHOOSE(CONTROL!$C$42, 0.275, 0.275)*CHOOSE(CONTROL!$C$42, 31, 31))/1000000</f>
        <v>4.2625000000000002</v>
      </c>
      <c r="W240" s="57">
        <f>(1000*CHOOSE(CONTROL!$C$42, 0.1146, 0.1146)*CHOOSE(CONTROL!$C$42, 121.5, 121.5)*CHOOSE(CONTROL!$C$42, 31, 31))/1000000</f>
        <v>0.43164089999999994</v>
      </c>
      <c r="X240" s="57">
        <f>(31*0.1790888*100000/1000000)+(31*0.2374*100000/1000000)</f>
        <v>1.2911152800000001</v>
      </c>
      <c r="Y240" s="57"/>
      <c r="Z240" s="14"/>
      <c r="AA240" s="56"/>
      <c r="AB240" s="50">
        <f>(B240*122.58+C240*297.941+D240*89.177+E240*40.302+F240*40+G240*160+H240*0+I240*100+J240*300)/(122.58+297.941+89.177+40.302+0+40+160+100+300)</f>
        <v>11.041472772086955</v>
      </c>
      <c r="AC240" s="45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10.857679136690647</v>
      </c>
    </row>
    <row r="241" spans="1:29" ht="15.75" x14ac:dyDescent="0.25">
      <c r="A241" s="13">
        <v>48214</v>
      </c>
      <c r="B241" s="14">
        <f>CHOOSE(CONTROL!$C$42, 11.9308, 11.9308) * CHOOSE(CONTROL!$C$21, $C$9, 100%, $E$9)</f>
        <v>11.9308</v>
      </c>
      <c r="C241" s="14">
        <f>CHOOSE(CONTROL!$C$42, 11.9358, 11.9358) * CHOOSE(CONTROL!$C$21, $C$9, 100%, $E$9)</f>
        <v>11.9358</v>
      </c>
      <c r="D241" s="14">
        <f>CHOOSE(CONTROL!$C$42, 12.0127, 12.0127) * CHOOSE(CONTROL!$C$21, $C$9, 100%, $E$9)</f>
        <v>12.012700000000001</v>
      </c>
      <c r="E241" s="14">
        <f>CHOOSE(CONTROL!$C$42, 12.0468, 12.0468) * CHOOSE(CONTROL!$C$21, $C$9, 100%, $E$9)</f>
        <v>12.046799999999999</v>
      </c>
      <c r="F241" s="14">
        <f>CHOOSE(CONTROL!$C$42, 11.931, 11.931)*CHOOSE(CONTROL!$C$21, $C$9, 100%, $E$9)</f>
        <v>11.930999999999999</v>
      </c>
      <c r="G241" s="14">
        <f>CHOOSE(CONTROL!$C$42, 11.9472, 11.9472)*CHOOSE(CONTROL!$C$21, $C$9, 100%, $E$9)</f>
        <v>11.9472</v>
      </c>
      <c r="H241" s="14">
        <f>CHOOSE(CONTROL!$C$42, 12.036, 12.036) * CHOOSE(CONTROL!$C$21, $C$9, 100%, $E$9)</f>
        <v>12.036</v>
      </c>
      <c r="I241" s="14">
        <f>CHOOSE(CONTROL!$C$42, 11.9862, 11.9862)* CHOOSE(CONTROL!$C$21, $C$9, 100%, $E$9)</f>
        <v>11.9862</v>
      </c>
      <c r="J241" s="14">
        <f>CHOOSE(CONTROL!$C$42, 11.924, 11.924)* CHOOSE(CONTROL!$C$21, $C$9, 100%, $E$9)</f>
        <v>11.923999999999999</v>
      </c>
      <c r="K241" s="53">
        <f>CHOOSE(CONTROL!$C$42, 11.9823, 11.9823) * CHOOSE(CONTROL!$C$21, $C$9, 100%, $E$9)</f>
        <v>11.9823</v>
      </c>
      <c r="L241" s="14">
        <f>CHOOSE(CONTROL!$C$42, 12.623, 12.623) * CHOOSE(CONTROL!$C$21, $C$9, 100%, $E$9)</f>
        <v>12.622999999999999</v>
      </c>
      <c r="M241" s="14">
        <f>CHOOSE(CONTROL!$C$42, 11.6874, 11.6874) * CHOOSE(CONTROL!$C$21, $C$9, 100%, $E$9)</f>
        <v>11.6874</v>
      </c>
      <c r="N241" s="14">
        <f>CHOOSE(CONTROL!$C$42, 11.7033, 11.7033) * CHOOSE(CONTROL!$C$21, $C$9, 100%, $E$9)</f>
        <v>11.7033</v>
      </c>
      <c r="O241" s="14">
        <f>CHOOSE(CONTROL!$C$42, 11.7971, 11.7971) * CHOOSE(CONTROL!$C$21, $C$9, 100%, $E$9)</f>
        <v>11.7971</v>
      </c>
      <c r="P241" s="14">
        <f>CHOOSE(CONTROL!$C$42, 11.7476, 11.7476) * CHOOSE(CONTROL!$C$21, $C$9, 100%, $E$9)</f>
        <v>11.7476</v>
      </c>
      <c r="Q241" s="14">
        <f>CHOOSE(CONTROL!$C$42, 12.3918, 12.3918) * CHOOSE(CONTROL!$C$21, $C$9, 100%, $E$9)</f>
        <v>12.3918</v>
      </c>
      <c r="R241" s="14">
        <f>CHOOSE(CONTROL!$C$42, 13.0097, 13.0097) * CHOOSE(CONTROL!$C$21, $C$9, 100%, $E$9)</f>
        <v>13.0097</v>
      </c>
      <c r="S241" s="14">
        <f>CHOOSE(CONTROL!$C$42, 11.4557, 11.4557) * CHOOSE(CONTROL!$C$21, $C$9, 100%, $E$9)</f>
        <v>11.4557</v>
      </c>
      <c r="T2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7">
        <f>(1000*CHOOSE(CONTROL!$C$42, 695, 695)*CHOOSE(CONTROL!$C$42, 0.5599, 0.5599)*CHOOSE(CONTROL!$C$42, 31, 31))/1000000</f>
        <v>12.063045499999998</v>
      </c>
      <c r="V241" s="57">
        <f>(1000*CHOOSE(CONTROL!$C$42, 500, 500)*CHOOSE(CONTROL!$C$42, 0.275, 0.275)*CHOOSE(CONTROL!$C$42, 31, 31))/1000000</f>
        <v>4.2625000000000002</v>
      </c>
      <c r="W241" s="57">
        <f>(1000*CHOOSE(CONTROL!$C$42, 0.1146, 0.1146)*CHOOSE(CONTROL!$C$42, 121.5, 121.5)*CHOOSE(CONTROL!$C$42, 31, 31))/1000000</f>
        <v>0.43164089999999994</v>
      </c>
      <c r="X241" s="57">
        <f>(31*0.1790888*100000/1000000)+(31*0.2374*100000/1000000)</f>
        <v>1.2911152800000001</v>
      </c>
      <c r="Y241" s="57"/>
      <c r="Z241" s="14"/>
      <c r="AA241" s="56"/>
      <c r="AB241" s="50">
        <f>(B241*122.58+C241*297.941+D241*89.177+E241*40.302+F241*40+G241*160+H241*0+I241*100+J241*300)/(122.58+297.941+89.177+40.302+0+40+160+100+300)</f>
        <v>11.947843768086956</v>
      </c>
      <c r="AC241" s="45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11.746697122302159</v>
      </c>
    </row>
    <row r="242" spans="1:29" ht="15.75" x14ac:dyDescent="0.25">
      <c r="A242" s="13">
        <v>48245</v>
      </c>
      <c r="B242" s="14">
        <f>CHOOSE(CONTROL!$C$42, 12.143, 12.143) * CHOOSE(CONTROL!$C$21, $C$9, 100%, $E$9)</f>
        <v>12.143000000000001</v>
      </c>
      <c r="C242" s="14">
        <f>CHOOSE(CONTROL!$C$42, 12.1481, 12.1481) * CHOOSE(CONTROL!$C$21, $C$9, 100%, $E$9)</f>
        <v>12.148099999999999</v>
      </c>
      <c r="D242" s="14">
        <f>CHOOSE(CONTROL!$C$42, 12.2249, 12.2249) * CHOOSE(CONTROL!$C$21, $C$9, 100%, $E$9)</f>
        <v>12.2249</v>
      </c>
      <c r="E242" s="14">
        <f>CHOOSE(CONTROL!$C$42, 12.259, 12.259) * CHOOSE(CONTROL!$C$21, $C$9, 100%, $E$9)</f>
        <v>12.259</v>
      </c>
      <c r="F242" s="14">
        <f>CHOOSE(CONTROL!$C$42, 12.1433, 12.1433)*CHOOSE(CONTROL!$C$21, $C$9, 100%, $E$9)</f>
        <v>12.1433</v>
      </c>
      <c r="G242" s="14">
        <f>CHOOSE(CONTROL!$C$42, 12.1595, 12.1595)*CHOOSE(CONTROL!$C$21, $C$9, 100%, $E$9)</f>
        <v>12.1595</v>
      </c>
      <c r="H242" s="14">
        <f>CHOOSE(CONTROL!$C$42, 12.2482, 12.2482) * CHOOSE(CONTROL!$C$21, $C$9, 100%, $E$9)</f>
        <v>12.248200000000001</v>
      </c>
      <c r="I242" s="14">
        <f>CHOOSE(CONTROL!$C$42, 12.1991, 12.1991)* CHOOSE(CONTROL!$C$21, $C$9, 100%, $E$9)</f>
        <v>12.1991</v>
      </c>
      <c r="J242" s="14">
        <f>CHOOSE(CONTROL!$C$42, 12.1363, 12.1363)* CHOOSE(CONTROL!$C$21, $C$9, 100%, $E$9)</f>
        <v>12.1363</v>
      </c>
      <c r="K242" s="53">
        <f>CHOOSE(CONTROL!$C$42, 12.1952, 12.1952) * CHOOSE(CONTROL!$C$21, $C$9, 100%, $E$9)</f>
        <v>12.1952</v>
      </c>
      <c r="L242" s="14">
        <f>CHOOSE(CONTROL!$C$42, 12.8352, 12.8352) * CHOOSE(CONTROL!$C$21, $C$9, 100%, $E$9)</f>
        <v>12.8352</v>
      </c>
      <c r="M242" s="14">
        <f>CHOOSE(CONTROL!$C$42, 11.8953, 11.8953) * CHOOSE(CONTROL!$C$21, $C$9, 100%, $E$9)</f>
        <v>11.895300000000001</v>
      </c>
      <c r="N242" s="14">
        <f>CHOOSE(CONTROL!$C$42, 11.9112, 11.9112) * CHOOSE(CONTROL!$C$21, $C$9, 100%, $E$9)</f>
        <v>11.911199999999999</v>
      </c>
      <c r="O242" s="14">
        <f>CHOOSE(CONTROL!$C$42, 12.0049, 12.0049) * CHOOSE(CONTROL!$C$21, $C$9, 100%, $E$9)</f>
        <v>12.004899999999999</v>
      </c>
      <c r="P242" s="14">
        <f>CHOOSE(CONTROL!$C$42, 11.9561, 11.9561) * CHOOSE(CONTROL!$C$21, $C$9, 100%, $E$9)</f>
        <v>11.956099999999999</v>
      </c>
      <c r="Q242" s="14">
        <f>CHOOSE(CONTROL!$C$42, 12.5996, 12.5996) * CHOOSE(CONTROL!$C$21, $C$9, 100%, $E$9)</f>
        <v>12.599600000000001</v>
      </c>
      <c r="R242" s="14">
        <f>CHOOSE(CONTROL!$C$42, 13.2181, 13.2181) * CHOOSE(CONTROL!$C$21, $C$9, 100%, $E$9)</f>
        <v>13.2181</v>
      </c>
      <c r="S242" s="14">
        <f>CHOOSE(CONTROL!$C$42, 11.6597, 11.6597) * CHOOSE(CONTROL!$C$21, $C$9, 100%, $E$9)</f>
        <v>11.659700000000001</v>
      </c>
      <c r="T24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7">
        <f>(1000*CHOOSE(CONTROL!$C$42, 695, 695)*CHOOSE(CONTROL!$C$42, 0.5599, 0.5599)*CHOOSE(CONTROL!$C$42, 29, 29))/1000000</f>
        <v>11.284784499999999</v>
      </c>
      <c r="V242" s="57">
        <f>(1000*CHOOSE(CONTROL!$C$42, 500, 500)*CHOOSE(CONTROL!$C$42, 0.275, 0.275)*CHOOSE(CONTROL!$C$42, 29, 29))/1000000</f>
        <v>3.9874999999999998</v>
      </c>
      <c r="W242" s="57">
        <f>(1000*CHOOSE(CONTROL!$C$42, 0.1146, 0.1146)*CHOOSE(CONTROL!$C$42, 121.5, 121.5)*CHOOSE(CONTROL!$C$42, 29, 29))/1000000</f>
        <v>0.40379309999999996</v>
      </c>
      <c r="X242" s="57">
        <f>(29*0.1790888*100000/1000000)+(29*0.2374*100000/1000000)</f>
        <v>1.2078175199999999</v>
      </c>
      <c r="Y242" s="57"/>
      <c r="Z242" s="14"/>
      <c r="AA242" s="56"/>
      <c r="AB242" s="50">
        <f>(B242*122.58+C242*297.941+D242*89.177+E242*40.302+F242*40+G242*160+H242*0+I242*100+J242*300)/(122.58+297.941+89.177+40.302+0+40+160+100+300)</f>
        <v>12.160174023826087</v>
      </c>
      <c r="AC242" s="45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11.954638129496402</v>
      </c>
    </row>
    <row r="243" spans="1:29" ht="15.75" x14ac:dyDescent="0.25">
      <c r="A243" s="13">
        <v>48274</v>
      </c>
      <c r="B243" s="14">
        <f>CHOOSE(CONTROL!$C$42, 11.7985, 11.7985) * CHOOSE(CONTROL!$C$21, $C$9, 100%, $E$9)</f>
        <v>11.798500000000001</v>
      </c>
      <c r="C243" s="14">
        <f>CHOOSE(CONTROL!$C$42, 11.8036, 11.8036) * CHOOSE(CONTROL!$C$21, $C$9, 100%, $E$9)</f>
        <v>11.803599999999999</v>
      </c>
      <c r="D243" s="14">
        <f>CHOOSE(CONTROL!$C$42, 11.8804, 11.8804) * CHOOSE(CONTROL!$C$21, $C$9, 100%, $E$9)</f>
        <v>11.8804</v>
      </c>
      <c r="E243" s="14">
        <f>CHOOSE(CONTROL!$C$42, 11.9145, 11.9145) * CHOOSE(CONTROL!$C$21, $C$9, 100%, $E$9)</f>
        <v>11.9145</v>
      </c>
      <c r="F243" s="14">
        <f>CHOOSE(CONTROL!$C$42, 11.7983, 11.7983)*CHOOSE(CONTROL!$C$21, $C$9, 100%, $E$9)</f>
        <v>11.798299999999999</v>
      </c>
      <c r="G243" s="14">
        <f>CHOOSE(CONTROL!$C$42, 11.8144, 11.8144)*CHOOSE(CONTROL!$C$21, $C$9, 100%, $E$9)</f>
        <v>11.814399999999999</v>
      </c>
      <c r="H243" s="14">
        <f>CHOOSE(CONTROL!$C$42, 11.9037, 11.9037) * CHOOSE(CONTROL!$C$21, $C$9, 100%, $E$9)</f>
        <v>11.903700000000001</v>
      </c>
      <c r="I243" s="14">
        <f>CHOOSE(CONTROL!$C$42, 11.8535, 11.8535)* CHOOSE(CONTROL!$C$21, $C$9, 100%, $E$9)</f>
        <v>11.8535</v>
      </c>
      <c r="J243" s="14">
        <f>CHOOSE(CONTROL!$C$42, 11.7913, 11.7913)* CHOOSE(CONTROL!$C$21, $C$9, 100%, $E$9)</f>
        <v>11.7913</v>
      </c>
      <c r="K243" s="53">
        <f>CHOOSE(CONTROL!$C$42, 11.8496, 11.8496) * CHOOSE(CONTROL!$C$21, $C$9, 100%, $E$9)</f>
        <v>11.849600000000001</v>
      </c>
      <c r="L243" s="14">
        <f>CHOOSE(CONTROL!$C$42, 12.4907, 12.4907) * CHOOSE(CONTROL!$C$21, $C$9, 100%, $E$9)</f>
        <v>12.4907</v>
      </c>
      <c r="M243" s="14">
        <f>CHOOSE(CONTROL!$C$42, 11.5574, 11.5574) * CHOOSE(CONTROL!$C$21, $C$9, 100%, $E$9)</f>
        <v>11.557399999999999</v>
      </c>
      <c r="N243" s="14">
        <f>CHOOSE(CONTROL!$C$42, 11.5732, 11.5732) * CHOOSE(CONTROL!$C$21, $C$9, 100%, $E$9)</f>
        <v>11.5732</v>
      </c>
      <c r="O243" s="14">
        <f>CHOOSE(CONTROL!$C$42, 11.6675, 11.6675) * CHOOSE(CONTROL!$C$21, $C$9, 100%, $E$9)</f>
        <v>11.6675</v>
      </c>
      <c r="P243" s="14">
        <f>CHOOSE(CONTROL!$C$42, 11.6177, 11.6177) * CHOOSE(CONTROL!$C$21, $C$9, 100%, $E$9)</f>
        <v>11.617699999999999</v>
      </c>
      <c r="Q243" s="14">
        <f>CHOOSE(CONTROL!$C$42, 12.2622, 12.2622) * CHOOSE(CONTROL!$C$21, $C$9, 100%, $E$9)</f>
        <v>12.2622</v>
      </c>
      <c r="R243" s="14">
        <f>CHOOSE(CONTROL!$C$42, 12.8799, 12.8799) * CHOOSE(CONTROL!$C$21, $C$9, 100%, $E$9)</f>
        <v>12.879899999999999</v>
      </c>
      <c r="S243" s="14">
        <f>CHOOSE(CONTROL!$C$42, 11.3287, 11.3287) * CHOOSE(CONTROL!$C$21, $C$9, 100%, $E$9)</f>
        <v>11.3287</v>
      </c>
      <c r="T2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7">
        <f>(1000*CHOOSE(CONTROL!$C$42, 695, 695)*CHOOSE(CONTROL!$C$42, 0.5599, 0.5599)*CHOOSE(CONTROL!$C$42, 31, 31))/1000000</f>
        <v>12.063045499999998</v>
      </c>
      <c r="V243" s="57">
        <f>(1000*CHOOSE(CONTROL!$C$42, 500, 500)*CHOOSE(CONTROL!$C$42, 0.275, 0.275)*CHOOSE(CONTROL!$C$42, 31, 31))/1000000</f>
        <v>4.2625000000000002</v>
      </c>
      <c r="W243" s="57">
        <f>(1000*CHOOSE(CONTROL!$C$42, 0.1146, 0.1146)*CHOOSE(CONTROL!$C$42, 121.5, 121.5)*CHOOSE(CONTROL!$C$42, 31, 31))/1000000</f>
        <v>0.43164089999999994</v>
      </c>
      <c r="X243" s="57">
        <f>(31*0.1790888*100000/1000000)+(31*0.2374*100000/1000000)</f>
        <v>1.2911152800000001</v>
      </c>
      <c r="Y243" s="57"/>
      <c r="Z243" s="14"/>
      <c r="AA243" s="56"/>
      <c r="AB243" s="50">
        <f>(B243*122.58+C243*297.941+D243*89.177+E243*40.302+F243*40+G243*160+H243*0+I243*100+J243*300)/(122.58+297.941+89.177+40.302+0+40+160+100+300)</f>
        <v>11.815347067304346</v>
      </c>
      <c r="AC243" s="45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11.616887050359713</v>
      </c>
    </row>
    <row r="244" spans="1:29" ht="15.75" x14ac:dyDescent="0.25">
      <c r="A244" s="13">
        <v>48305</v>
      </c>
      <c r="B244" s="14">
        <f>CHOOSE(CONTROL!$C$42, 11.7645, 11.7645) * CHOOSE(CONTROL!$C$21, $C$9, 100%, $E$9)</f>
        <v>11.7645</v>
      </c>
      <c r="C244" s="14">
        <f>CHOOSE(CONTROL!$C$42, 11.7689, 11.7689) * CHOOSE(CONTROL!$C$21, $C$9, 100%, $E$9)</f>
        <v>11.7689</v>
      </c>
      <c r="D244" s="14">
        <f>CHOOSE(CONTROL!$C$42, 12.0057, 12.0057) * CHOOSE(CONTROL!$C$21, $C$9, 100%, $E$9)</f>
        <v>12.005699999999999</v>
      </c>
      <c r="E244" s="14">
        <f>CHOOSE(CONTROL!$C$42, 12.0378, 12.0378) * CHOOSE(CONTROL!$C$21, $C$9, 100%, $E$9)</f>
        <v>12.037800000000001</v>
      </c>
      <c r="F244" s="14">
        <f>CHOOSE(CONTROL!$C$42, 11.7624, 11.7624)*CHOOSE(CONTROL!$C$21, $C$9, 100%, $E$9)</f>
        <v>11.7624</v>
      </c>
      <c r="G244" s="14">
        <f>CHOOSE(CONTROL!$C$42, 11.7782, 11.7782)*CHOOSE(CONTROL!$C$21, $C$9, 100%, $E$9)</f>
        <v>11.7782</v>
      </c>
      <c r="H244" s="14">
        <f>CHOOSE(CONTROL!$C$42, 12.0276, 12.0276) * CHOOSE(CONTROL!$C$21, $C$9, 100%, $E$9)</f>
        <v>12.0276</v>
      </c>
      <c r="I244" s="14">
        <f>CHOOSE(CONTROL!$C$42, 11.8186, 11.8186)* CHOOSE(CONTROL!$C$21, $C$9, 100%, $E$9)</f>
        <v>11.8186</v>
      </c>
      <c r="J244" s="14">
        <f>CHOOSE(CONTROL!$C$42, 11.7554, 11.7554)* CHOOSE(CONTROL!$C$21, $C$9, 100%, $E$9)</f>
        <v>11.7554</v>
      </c>
      <c r="K244" s="53">
        <f>CHOOSE(CONTROL!$C$42, 11.8147, 11.8147) * CHOOSE(CONTROL!$C$21, $C$9, 100%, $E$9)</f>
        <v>11.8147</v>
      </c>
      <c r="L244" s="14">
        <f>CHOOSE(CONTROL!$C$42, 12.6146, 12.6146) * CHOOSE(CONTROL!$C$21, $C$9, 100%, $E$9)</f>
        <v>12.614599999999999</v>
      </c>
      <c r="M244" s="14">
        <f>CHOOSE(CONTROL!$C$42, 11.5222, 11.5222) * CHOOSE(CONTROL!$C$21, $C$9, 100%, $E$9)</f>
        <v>11.5222</v>
      </c>
      <c r="N244" s="14">
        <f>CHOOSE(CONTROL!$C$42, 11.5377, 11.5377) * CHOOSE(CONTROL!$C$21, $C$9, 100%, $E$9)</f>
        <v>11.537699999999999</v>
      </c>
      <c r="O244" s="14">
        <f>CHOOSE(CONTROL!$C$42, 11.7888, 11.7888) * CHOOSE(CONTROL!$C$21, $C$9, 100%, $E$9)</f>
        <v>11.7888</v>
      </c>
      <c r="P244" s="14">
        <f>CHOOSE(CONTROL!$C$42, 11.5835, 11.5835) * CHOOSE(CONTROL!$C$21, $C$9, 100%, $E$9)</f>
        <v>11.583500000000001</v>
      </c>
      <c r="Q244" s="14">
        <f>CHOOSE(CONTROL!$C$42, 12.3835, 12.3835) * CHOOSE(CONTROL!$C$21, $C$9, 100%, $E$9)</f>
        <v>12.3835</v>
      </c>
      <c r="R244" s="14">
        <f>CHOOSE(CONTROL!$C$42, 13.0015, 13.0015) * CHOOSE(CONTROL!$C$21, $C$9, 100%, $E$9)</f>
        <v>13.0015</v>
      </c>
      <c r="S244" s="14">
        <f>CHOOSE(CONTROL!$C$42, 11.2952, 11.2952) * CHOOSE(CONTROL!$C$21, $C$9, 100%, $E$9)</f>
        <v>11.295199999999999</v>
      </c>
      <c r="T2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7">
        <f>(1000*CHOOSE(CONTROL!$C$42, 695, 695)*CHOOSE(CONTROL!$C$42, 0.5599, 0.5599)*CHOOSE(CONTROL!$C$42, 30, 30))/1000000</f>
        <v>11.673914999999997</v>
      </c>
      <c r="V244" s="57">
        <f>(1000*CHOOSE(CONTROL!$C$42, 500, 500)*CHOOSE(CONTROL!$C$42, 0.275, 0.275)*CHOOSE(CONTROL!$C$42, 30, 30))/1000000</f>
        <v>4.125</v>
      </c>
      <c r="W244" s="57">
        <f>(1000*CHOOSE(CONTROL!$C$42, 0.1146, 0.1146)*CHOOSE(CONTROL!$C$42, 121.5, 121.5)*CHOOSE(CONTROL!$C$42, 30, 30))/1000000</f>
        <v>0.417717</v>
      </c>
      <c r="X244" s="57">
        <f>(30*0.1790888*245000/1000000)+(30*0.2374*100000/1000000)</f>
        <v>2.0285026799999999</v>
      </c>
      <c r="Y244" s="57"/>
      <c r="Z244" s="14"/>
      <c r="AA244" s="56"/>
      <c r="AB244" s="50">
        <f>(B244*141.293+C244*267.993+D244*115.016+E244*89.698+F244*40+G244*185+H244*0+I244*100+J244*300)/(141.293+267.993+115.016+89.698+0+40+185+100+300)</f>
        <v>11.811768758514932</v>
      </c>
      <c r="AC244" s="45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11.609389928057555</v>
      </c>
    </row>
    <row r="245" spans="1:29" ht="15.75" x14ac:dyDescent="0.25">
      <c r="A245" s="13">
        <v>48335</v>
      </c>
      <c r="B245" s="14">
        <f>CHOOSE(CONTROL!$C$42, 11.8696, 11.8696) * CHOOSE(CONTROL!$C$21, $C$9, 100%, $E$9)</f>
        <v>11.8696</v>
      </c>
      <c r="C245" s="14">
        <f>CHOOSE(CONTROL!$C$42, 11.8776, 11.8776) * CHOOSE(CONTROL!$C$21, $C$9, 100%, $E$9)</f>
        <v>11.877599999999999</v>
      </c>
      <c r="D245" s="14">
        <f>CHOOSE(CONTROL!$C$42, 12.1112, 12.1112) * CHOOSE(CONTROL!$C$21, $C$9, 100%, $E$9)</f>
        <v>12.1112</v>
      </c>
      <c r="E245" s="14">
        <f>CHOOSE(CONTROL!$C$42, 12.1427, 12.1427) * CHOOSE(CONTROL!$C$21, $C$9, 100%, $E$9)</f>
        <v>12.1427</v>
      </c>
      <c r="F245" s="14">
        <f>CHOOSE(CONTROL!$C$42, 11.8664, 11.8664)*CHOOSE(CONTROL!$C$21, $C$9, 100%, $E$9)</f>
        <v>11.866400000000001</v>
      </c>
      <c r="G245" s="14">
        <f>CHOOSE(CONTROL!$C$42, 11.8827, 11.8827)*CHOOSE(CONTROL!$C$21, $C$9, 100%, $E$9)</f>
        <v>11.8827</v>
      </c>
      <c r="H245" s="14">
        <f>CHOOSE(CONTROL!$C$42, 12.1313, 12.1313) * CHOOSE(CONTROL!$C$21, $C$9, 100%, $E$9)</f>
        <v>12.1313</v>
      </c>
      <c r="I245" s="14">
        <f>CHOOSE(CONTROL!$C$42, 11.9226, 11.9226)* CHOOSE(CONTROL!$C$21, $C$9, 100%, $E$9)</f>
        <v>11.922599999999999</v>
      </c>
      <c r="J245" s="14">
        <f>CHOOSE(CONTROL!$C$42, 11.8594, 11.8594)* CHOOSE(CONTROL!$C$21, $C$9, 100%, $E$9)</f>
        <v>11.859400000000001</v>
      </c>
      <c r="K245" s="53">
        <f>CHOOSE(CONTROL!$C$42, 11.9188, 11.9188) * CHOOSE(CONTROL!$C$21, $C$9, 100%, $E$9)</f>
        <v>11.918799999999999</v>
      </c>
      <c r="L245" s="14">
        <f>CHOOSE(CONTROL!$C$42, 12.7183, 12.7183) * CHOOSE(CONTROL!$C$21, $C$9, 100%, $E$9)</f>
        <v>12.718299999999999</v>
      </c>
      <c r="M245" s="14">
        <f>CHOOSE(CONTROL!$C$42, 11.6241, 11.6241) * CHOOSE(CONTROL!$C$21, $C$9, 100%, $E$9)</f>
        <v>11.6241</v>
      </c>
      <c r="N245" s="14">
        <f>CHOOSE(CONTROL!$C$42, 11.6401, 11.6401) * CHOOSE(CONTROL!$C$21, $C$9, 100%, $E$9)</f>
        <v>11.6401</v>
      </c>
      <c r="O245" s="14">
        <f>CHOOSE(CONTROL!$C$42, 11.8904, 11.8904) * CHOOSE(CONTROL!$C$21, $C$9, 100%, $E$9)</f>
        <v>11.8904</v>
      </c>
      <c r="P245" s="14">
        <f>CHOOSE(CONTROL!$C$42, 11.6854, 11.6854) * CHOOSE(CONTROL!$C$21, $C$9, 100%, $E$9)</f>
        <v>11.6854</v>
      </c>
      <c r="Q245" s="14">
        <f>CHOOSE(CONTROL!$C$42, 12.4851, 12.4851) * CHOOSE(CONTROL!$C$21, $C$9, 100%, $E$9)</f>
        <v>12.485099999999999</v>
      </c>
      <c r="R245" s="14">
        <f>CHOOSE(CONTROL!$C$42, 13.1034, 13.1034) * CHOOSE(CONTROL!$C$21, $C$9, 100%, $E$9)</f>
        <v>13.103400000000001</v>
      </c>
      <c r="S245" s="14">
        <f>CHOOSE(CONTROL!$C$42, 11.3949, 11.3949) * CHOOSE(CONTROL!$C$21, $C$9, 100%, $E$9)</f>
        <v>11.3949</v>
      </c>
      <c r="T2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7">
        <f>(1000*CHOOSE(CONTROL!$C$42, 695, 695)*CHOOSE(CONTROL!$C$42, 0.5599, 0.5599)*CHOOSE(CONTROL!$C$42, 31, 31))/1000000</f>
        <v>12.063045499999998</v>
      </c>
      <c r="V245" s="57">
        <f>(1000*CHOOSE(CONTROL!$C$42, 500, 500)*CHOOSE(CONTROL!$C$42, 0.275, 0.275)*CHOOSE(CONTROL!$C$42, 31, 31))/1000000</f>
        <v>4.2625000000000002</v>
      </c>
      <c r="W245" s="57">
        <f>(1000*CHOOSE(CONTROL!$C$42, 0.1146, 0.1146)*CHOOSE(CONTROL!$C$42, 121.5, 121.5)*CHOOSE(CONTROL!$C$42, 31, 31))/1000000</f>
        <v>0.43164089999999994</v>
      </c>
      <c r="X245" s="57">
        <f>(31*0.1790888*245000/1000000)+(31*0.2374*100000/1000000)</f>
        <v>2.0961194359999999</v>
      </c>
      <c r="Y245" s="57"/>
      <c r="Z245" s="14"/>
      <c r="AA245" s="56"/>
      <c r="AB245" s="50">
        <f>(B245*194.205+C245*267.466+D245*133.845+E245*53.484+F245*40+G245*185+H245*0+I245*100+J245*300)/(194.205+267.466+133.845+53.484+0+40+185+100+300)</f>
        <v>11.911686860596546</v>
      </c>
      <c r="AC245" s="45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11.711320863309354</v>
      </c>
    </row>
    <row r="246" spans="1:29" ht="15.75" x14ac:dyDescent="0.25">
      <c r="A246" s="13">
        <v>48366</v>
      </c>
      <c r="B246" s="14">
        <f>CHOOSE(CONTROL!$C$42, 12.2059, 12.2059) * CHOOSE(CONTROL!$C$21, $C$9, 100%, $E$9)</f>
        <v>12.2059</v>
      </c>
      <c r="C246" s="14">
        <f>CHOOSE(CONTROL!$C$42, 12.214, 12.214) * CHOOSE(CONTROL!$C$21, $C$9, 100%, $E$9)</f>
        <v>12.214</v>
      </c>
      <c r="D246" s="14">
        <f>CHOOSE(CONTROL!$C$42, 12.4476, 12.4476) * CHOOSE(CONTROL!$C$21, $C$9, 100%, $E$9)</f>
        <v>12.4476</v>
      </c>
      <c r="E246" s="14">
        <f>CHOOSE(CONTROL!$C$42, 12.479, 12.479) * CHOOSE(CONTROL!$C$21, $C$9, 100%, $E$9)</f>
        <v>12.478999999999999</v>
      </c>
      <c r="F246" s="14">
        <f>CHOOSE(CONTROL!$C$42, 12.2032, 12.2032)*CHOOSE(CONTROL!$C$21, $C$9, 100%, $E$9)</f>
        <v>12.203200000000001</v>
      </c>
      <c r="G246" s="14">
        <f>CHOOSE(CONTROL!$C$42, 12.2197, 12.2197)*CHOOSE(CONTROL!$C$21, $C$9, 100%, $E$9)</f>
        <v>12.2197</v>
      </c>
      <c r="H246" s="14">
        <f>CHOOSE(CONTROL!$C$42, 12.4677, 12.4677) * CHOOSE(CONTROL!$C$21, $C$9, 100%, $E$9)</f>
        <v>12.467700000000001</v>
      </c>
      <c r="I246" s="14">
        <f>CHOOSE(CONTROL!$C$42, 12.26, 12.26)* CHOOSE(CONTROL!$C$21, $C$9, 100%, $E$9)</f>
        <v>12.26</v>
      </c>
      <c r="J246" s="14">
        <f>CHOOSE(CONTROL!$C$42, 12.1962, 12.1962)* CHOOSE(CONTROL!$C$21, $C$9, 100%, $E$9)</f>
        <v>12.196199999999999</v>
      </c>
      <c r="K246" s="53">
        <f>CHOOSE(CONTROL!$C$42, 12.2562, 12.2562) * CHOOSE(CONTROL!$C$21, $C$9, 100%, $E$9)</f>
        <v>12.2562</v>
      </c>
      <c r="L246" s="14">
        <f>CHOOSE(CONTROL!$C$42, 13.0547, 13.0547) * CHOOSE(CONTROL!$C$21, $C$9, 100%, $E$9)</f>
        <v>13.0547</v>
      </c>
      <c r="M246" s="14">
        <f>CHOOSE(CONTROL!$C$42, 11.954, 11.954) * CHOOSE(CONTROL!$C$21, $C$9, 100%, $E$9)</f>
        <v>11.954000000000001</v>
      </c>
      <c r="N246" s="14">
        <f>CHOOSE(CONTROL!$C$42, 11.9701, 11.9701) * CHOOSE(CONTROL!$C$21, $C$9, 100%, $E$9)</f>
        <v>11.9701</v>
      </c>
      <c r="O246" s="14">
        <f>CHOOSE(CONTROL!$C$42, 12.2199, 12.2199) * CHOOSE(CONTROL!$C$21, $C$9, 100%, $E$9)</f>
        <v>12.219900000000001</v>
      </c>
      <c r="P246" s="14">
        <f>CHOOSE(CONTROL!$C$42, 12.0159, 12.0159) * CHOOSE(CONTROL!$C$21, $C$9, 100%, $E$9)</f>
        <v>12.0159</v>
      </c>
      <c r="Q246" s="14">
        <f>CHOOSE(CONTROL!$C$42, 12.8146, 12.8146) * CHOOSE(CONTROL!$C$21, $C$9, 100%, $E$9)</f>
        <v>12.8146</v>
      </c>
      <c r="R246" s="14">
        <f>CHOOSE(CONTROL!$C$42, 13.4336, 13.4336) * CHOOSE(CONTROL!$C$21, $C$9, 100%, $E$9)</f>
        <v>13.4336</v>
      </c>
      <c r="S246" s="14">
        <f>CHOOSE(CONTROL!$C$42, 11.7181, 11.7181) * CHOOSE(CONTROL!$C$21, $C$9, 100%, $E$9)</f>
        <v>11.7181</v>
      </c>
      <c r="T2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7">
        <f>(1000*CHOOSE(CONTROL!$C$42, 695, 695)*CHOOSE(CONTROL!$C$42, 0.5599, 0.5599)*CHOOSE(CONTROL!$C$42, 30, 30))/1000000</f>
        <v>11.673914999999997</v>
      </c>
      <c r="V246" s="57">
        <f>(1000*CHOOSE(CONTROL!$C$42, 500, 500)*CHOOSE(CONTROL!$C$42, 0.275, 0.275)*CHOOSE(CONTROL!$C$42, 30, 30))/1000000</f>
        <v>4.125</v>
      </c>
      <c r="W246" s="57">
        <f>(1000*CHOOSE(CONTROL!$C$42, 0.1146, 0.1146)*CHOOSE(CONTROL!$C$42, 121.5, 121.5)*CHOOSE(CONTROL!$C$42, 30, 30))/1000000</f>
        <v>0.417717</v>
      </c>
      <c r="X246" s="57">
        <f>(30*0.1790888*245000/1000000)+(30*0.2374*100000/1000000)</f>
        <v>2.0285026799999999</v>
      </c>
      <c r="Y246" s="57"/>
      <c r="Z246" s="14"/>
      <c r="AA246" s="56"/>
      <c r="AB246" s="50">
        <f>(B246*194.205+C246*267.466+D246*133.845+E246*53.484+F246*40+G246*185+H246*0+I246*100+J246*300)/(194.205+267.466+133.845+53.484+0+40+185+100+300)</f>
        <v>12.248339789246469</v>
      </c>
      <c r="AC246" s="45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12.041217985611512</v>
      </c>
    </row>
    <row r="247" spans="1:29" ht="15.75" x14ac:dyDescent="0.25">
      <c r="A247" s="13">
        <v>48396</v>
      </c>
      <c r="B247" s="14">
        <f>CHOOSE(CONTROL!$C$42, 11.972, 11.972) * CHOOSE(CONTROL!$C$21, $C$9, 100%, $E$9)</f>
        <v>11.972</v>
      </c>
      <c r="C247" s="14">
        <f>CHOOSE(CONTROL!$C$42, 11.98, 11.98) * CHOOSE(CONTROL!$C$21, $C$9, 100%, $E$9)</f>
        <v>11.98</v>
      </c>
      <c r="D247" s="14">
        <f>CHOOSE(CONTROL!$C$42, 12.2136, 12.2136) * CHOOSE(CONTROL!$C$21, $C$9, 100%, $E$9)</f>
        <v>12.2136</v>
      </c>
      <c r="E247" s="14">
        <f>CHOOSE(CONTROL!$C$42, 12.2451, 12.2451) * CHOOSE(CONTROL!$C$21, $C$9, 100%, $E$9)</f>
        <v>12.245100000000001</v>
      </c>
      <c r="F247" s="14">
        <f>CHOOSE(CONTROL!$C$42, 11.9698, 11.9698)*CHOOSE(CONTROL!$C$21, $C$9, 100%, $E$9)</f>
        <v>11.969799999999999</v>
      </c>
      <c r="G247" s="14">
        <f>CHOOSE(CONTROL!$C$42, 11.9864, 11.9864)*CHOOSE(CONTROL!$C$21, $C$9, 100%, $E$9)</f>
        <v>11.9864</v>
      </c>
      <c r="H247" s="14">
        <f>CHOOSE(CONTROL!$C$42, 12.2337, 12.2337) * CHOOSE(CONTROL!$C$21, $C$9, 100%, $E$9)</f>
        <v>12.233700000000001</v>
      </c>
      <c r="I247" s="14">
        <f>CHOOSE(CONTROL!$C$42, 12.0254, 12.0254)* CHOOSE(CONTROL!$C$21, $C$9, 100%, $E$9)</f>
        <v>12.025399999999999</v>
      </c>
      <c r="J247" s="14">
        <f>CHOOSE(CONTROL!$C$42, 11.9628, 11.9628)* CHOOSE(CONTROL!$C$21, $C$9, 100%, $E$9)</f>
        <v>11.9628</v>
      </c>
      <c r="K247" s="53">
        <f>CHOOSE(CONTROL!$C$42, 12.0215, 12.0215) * CHOOSE(CONTROL!$C$21, $C$9, 100%, $E$9)</f>
        <v>12.0215</v>
      </c>
      <c r="L247" s="14">
        <f>CHOOSE(CONTROL!$C$42, 12.8207, 12.8207) * CHOOSE(CONTROL!$C$21, $C$9, 100%, $E$9)</f>
        <v>12.8207</v>
      </c>
      <c r="M247" s="14">
        <f>CHOOSE(CONTROL!$C$42, 11.7254, 11.7254) * CHOOSE(CONTROL!$C$21, $C$9, 100%, $E$9)</f>
        <v>11.7254</v>
      </c>
      <c r="N247" s="14">
        <f>CHOOSE(CONTROL!$C$42, 11.7416, 11.7416) * CHOOSE(CONTROL!$C$21, $C$9, 100%, $E$9)</f>
        <v>11.7416</v>
      </c>
      <c r="O247" s="14">
        <f>CHOOSE(CONTROL!$C$42, 11.9908, 11.9908) * CHOOSE(CONTROL!$C$21, $C$9, 100%, $E$9)</f>
        <v>11.9908</v>
      </c>
      <c r="P247" s="14">
        <f>CHOOSE(CONTROL!$C$42, 11.786, 11.786) * CHOOSE(CONTROL!$C$21, $C$9, 100%, $E$9)</f>
        <v>11.786</v>
      </c>
      <c r="Q247" s="14">
        <f>CHOOSE(CONTROL!$C$42, 12.5855, 12.5855) * CHOOSE(CONTROL!$C$21, $C$9, 100%, $E$9)</f>
        <v>12.5855</v>
      </c>
      <c r="R247" s="14">
        <f>CHOOSE(CONTROL!$C$42, 13.2039, 13.2039) * CHOOSE(CONTROL!$C$21, $C$9, 100%, $E$9)</f>
        <v>13.203900000000001</v>
      </c>
      <c r="S247" s="14">
        <f>CHOOSE(CONTROL!$C$42, 11.4933, 11.4933) * CHOOSE(CONTROL!$C$21, $C$9, 100%, $E$9)</f>
        <v>11.4933</v>
      </c>
      <c r="T2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7">
        <f>(1000*CHOOSE(CONTROL!$C$42, 695, 695)*CHOOSE(CONTROL!$C$42, 0.5599, 0.5599)*CHOOSE(CONTROL!$C$42, 31, 31))/1000000</f>
        <v>12.063045499999998</v>
      </c>
      <c r="V247" s="57">
        <f>(1000*CHOOSE(CONTROL!$C$42, 500, 500)*CHOOSE(CONTROL!$C$42, 0.275, 0.275)*CHOOSE(CONTROL!$C$42, 31, 31))/1000000</f>
        <v>4.2625000000000002</v>
      </c>
      <c r="W247" s="57">
        <f>(1000*CHOOSE(CONTROL!$C$42, 0.1146, 0.1146)*CHOOSE(CONTROL!$C$42, 121.5, 121.5)*CHOOSE(CONTROL!$C$42, 31, 31))/1000000</f>
        <v>0.43164089999999994</v>
      </c>
      <c r="X247" s="57">
        <f>(31*0.1790888*245000/1000000)+(31*0.2374*100000/1000000)</f>
        <v>2.0961194359999999</v>
      </c>
      <c r="Y247" s="57"/>
      <c r="Z247" s="14"/>
      <c r="AA247" s="56"/>
      <c r="AB247" s="50">
        <f>(B247*194.205+C247*267.466+D247*133.845+E247*53.484+F247*40+G247*185+H247*0+I247*100+J247*300)/(194.205+267.466+133.845+53.484+0+40+185+100+300)</f>
        <v>12.014573909262168</v>
      </c>
      <c r="AC247" s="45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11.81231366906475</v>
      </c>
    </row>
    <row r="248" spans="1:29" ht="15.75" x14ac:dyDescent="0.25">
      <c r="A248" s="13">
        <v>48427</v>
      </c>
      <c r="B248" s="14">
        <f>CHOOSE(CONTROL!$C$42, 11.3813, 11.3813) * CHOOSE(CONTROL!$C$21, $C$9, 100%, $E$9)</f>
        <v>11.3813</v>
      </c>
      <c r="C248" s="14">
        <f>CHOOSE(CONTROL!$C$42, 11.3893, 11.3893) * CHOOSE(CONTROL!$C$21, $C$9, 100%, $E$9)</f>
        <v>11.3893</v>
      </c>
      <c r="D248" s="14">
        <f>CHOOSE(CONTROL!$C$42, 11.6229, 11.6229) * CHOOSE(CONTROL!$C$21, $C$9, 100%, $E$9)</f>
        <v>11.6229</v>
      </c>
      <c r="E248" s="14">
        <f>CHOOSE(CONTROL!$C$42, 11.6543, 11.6543) * CHOOSE(CONTROL!$C$21, $C$9, 100%, $E$9)</f>
        <v>11.654299999999999</v>
      </c>
      <c r="F248" s="14">
        <f>CHOOSE(CONTROL!$C$42, 11.3792, 11.3792)*CHOOSE(CONTROL!$C$21, $C$9, 100%, $E$9)</f>
        <v>11.379200000000001</v>
      </c>
      <c r="G248" s="14">
        <f>CHOOSE(CONTROL!$C$42, 11.3959, 11.3959)*CHOOSE(CONTROL!$C$21, $C$9, 100%, $E$9)</f>
        <v>11.395899999999999</v>
      </c>
      <c r="H248" s="14">
        <f>CHOOSE(CONTROL!$C$42, 11.643, 11.643) * CHOOSE(CONTROL!$C$21, $C$9, 100%, $E$9)</f>
        <v>11.643000000000001</v>
      </c>
      <c r="I248" s="14">
        <f>CHOOSE(CONTROL!$C$42, 11.4328, 11.4328)* CHOOSE(CONTROL!$C$21, $C$9, 100%, $E$9)</f>
        <v>11.4328</v>
      </c>
      <c r="J248" s="14">
        <f>CHOOSE(CONTROL!$C$42, 11.3722, 11.3722)* CHOOSE(CONTROL!$C$21, $C$9, 100%, $E$9)</f>
        <v>11.372199999999999</v>
      </c>
      <c r="K248" s="53">
        <f>CHOOSE(CONTROL!$C$42, 11.4289, 11.4289) * CHOOSE(CONTROL!$C$21, $C$9, 100%, $E$9)</f>
        <v>11.428900000000001</v>
      </c>
      <c r="L248" s="14">
        <f>CHOOSE(CONTROL!$C$42, 12.23, 12.23) * CHOOSE(CONTROL!$C$21, $C$9, 100%, $E$9)</f>
        <v>12.23</v>
      </c>
      <c r="M248" s="14">
        <f>CHOOSE(CONTROL!$C$42, 11.1469, 11.1469) * CHOOSE(CONTROL!$C$21, $C$9, 100%, $E$9)</f>
        <v>11.1469</v>
      </c>
      <c r="N248" s="14">
        <f>CHOOSE(CONTROL!$C$42, 11.1632, 11.1632) * CHOOSE(CONTROL!$C$21, $C$9, 100%, $E$9)</f>
        <v>11.1632</v>
      </c>
      <c r="O248" s="14">
        <f>CHOOSE(CONTROL!$C$42, 11.4121, 11.4121) * CHOOSE(CONTROL!$C$21, $C$9, 100%, $E$9)</f>
        <v>11.412100000000001</v>
      </c>
      <c r="P248" s="14">
        <f>CHOOSE(CONTROL!$C$42, 11.2056, 11.2056) * CHOOSE(CONTROL!$C$21, $C$9, 100%, $E$9)</f>
        <v>11.2056</v>
      </c>
      <c r="Q248" s="14">
        <f>CHOOSE(CONTROL!$C$42, 12.0068, 12.0068) * CHOOSE(CONTROL!$C$21, $C$9, 100%, $E$9)</f>
        <v>12.0068</v>
      </c>
      <c r="R248" s="14">
        <f>CHOOSE(CONTROL!$C$42, 12.6238, 12.6238) * CHOOSE(CONTROL!$C$21, $C$9, 100%, $E$9)</f>
        <v>12.623799999999999</v>
      </c>
      <c r="S248" s="14">
        <f>CHOOSE(CONTROL!$C$42, 10.9256, 10.9256) * CHOOSE(CONTROL!$C$21, $C$9, 100%, $E$9)</f>
        <v>10.925599999999999</v>
      </c>
      <c r="T2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7">
        <f>(1000*CHOOSE(CONTROL!$C$42, 695, 695)*CHOOSE(CONTROL!$C$42, 0.5599, 0.5599)*CHOOSE(CONTROL!$C$42, 31, 31))/1000000</f>
        <v>12.063045499999998</v>
      </c>
      <c r="V248" s="57">
        <f>(1000*CHOOSE(CONTROL!$C$42, 500, 500)*CHOOSE(CONTROL!$C$42, 0.275, 0.275)*CHOOSE(CONTROL!$C$42, 31, 31))/1000000</f>
        <v>4.2625000000000002</v>
      </c>
      <c r="W248" s="57">
        <f>(1000*CHOOSE(CONTROL!$C$42, 0.1146, 0.1146)*CHOOSE(CONTROL!$C$42, 121.5, 121.5)*CHOOSE(CONTROL!$C$42, 31, 31))/1000000</f>
        <v>0.43164089999999994</v>
      </c>
      <c r="X248" s="57">
        <f>(31*0.1790888*245000/1000000)+(31*0.2374*100000/1000000)</f>
        <v>2.0961194359999999</v>
      </c>
      <c r="Y248" s="57"/>
      <c r="Z248" s="14"/>
      <c r="AA248" s="56"/>
      <c r="AB248" s="50">
        <f>(B248*194.205+C248*267.466+D248*133.845+E248*53.484+F248*40+G248*185+H248*0+I248*100+J248*300)/(194.205+267.466+133.845+53.484+0+40+185+100+300)</f>
        <v>11.423776304552591</v>
      </c>
      <c r="AC248" s="45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11.233507194244606</v>
      </c>
    </row>
    <row r="249" spans="1:29" ht="15.75" x14ac:dyDescent="0.25">
      <c r="A249" s="13">
        <v>48458</v>
      </c>
      <c r="B249" s="14">
        <f>CHOOSE(CONTROL!$C$42, 10.659, 10.659) * CHOOSE(CONTROL!$C$21, $C$9, 100%, $E$9)</f>
        <v>10.659000000000001</v>
      </c>
      <c r="C249" s="14">
        <f>CHOOSE(CONTROL!$C$42, 10.667, 10.667) * CHOOSE(CONTROL!$C$21, $C$9, 100%, $E$9)</f>
        <v>10.667</v>
      </c>
      <c r="D249" s="14">
        <f>CHOOSE(CONTROL!$C$42, 10.9006, 10.9006) * CHOOSE(CONTROL!$C$21, $C$9, 100%, $E$9)</f>
        <v>10.900600000000001</v>
      </c>
      <c r="E249" s="14">
        <f>CHOOSE(CONTROL!$C$42, 10.9321, 10.9321) * CHOOSE(CONTROL!$C$21, $C$9, 100%, $E$9)</f>
        <v>10.9321</v>
      </c>
      <c r="F249" s="14">
        <f>CHOOSE(CONTROL!$C$42, 10.657, 10.657)*CHOOSE(CONTROL!$C$21, $C$9, 100%, $E$9)</f>
        <v>10.657</v>
      </c>
      <c r="G249" s="14">
        <f>CHOOSE(CONTROL!$C$42, 10.6737, 10.6737)*CHOOSE(CONTROL!$C$21, $C$9, 100%, $E$9)</f>
        <v>10.6737</v>
      </c>
      <c r="H249" s="14">
        <f>CHOOSE(CONTROL!$C$42, 10.9207, 10.9207) * CHOOSE(CONTROL!$C$21, $C$9, 100%, $E$9)</f>
        <v>10.9207</v>
      </c>
      <c r="I249" s="14">
        <f>CHOOSE(CONTROL!$C$42, 10.7083, 10.7083)* CHOOSE(CONTROL!$C$21, $C$9, 100%, $E$9)</f>
        <v>10.708299999999999</v>
      </c>
      <c r="J249" s="14">
        <f>CHOOSE(CONTROL!$C$42, 10.65, 10.65)* CHOOSE(CONTROL!$C$21, $C$9, 100%, $E$9)</f>
        <v>10.65</v>
      </c>
      <c r="K249" s="53">
        <f>CHOOSE(CONTROL!$C$42, 10.7044, 10.7044) * CHOOSE(CONTROL!$C$21, $C$9, 100%, $E$9)</f>
        <v>10.7044</v>
      </c>
      <c r="L249" s="14">
        <f>CHOOSE(CONTROL!$C$42, 11.5077, 11.5077) * CHOOSE(CONTROL!$C$21, $C$9, 100%, $E$9)</f>
        <v>11.5077</v>
      </c>
      <c r="M249" s="14">
        <f>CHOOSE(CONTROL!$C$42, 10.4395, 10.4395) * CHOOSE(CONTROL!$C$21, $C$9, 100%, $E$9)</f>
        <v>10.439500000000001</v>
      </c>
      <c r="N249" s="14">
        <f>CHOOSE(CONTROL!$C$42, 10.4558, 10.4558) * CHOOSE(CONTROL!$C$21, $C$9, 100%, $E$9)</f>
        <v>10.4558</v>
      </c>
      <c r="O249" s="14">
        <f>CHOOSE(CONTROL!$C$42, 10.7047, 10.7047) * CHOOSE(CONTROL!$C$21, $C$9, 100%, $E$9)</f>
        <v>10.704700000000001</v>
      </c>
      <c r="P249" s="14">
        <f>CHOOSE(CONTROL!$C$42, 10.496, 10.496) * CHOOSE(CONTROL!$C$21, $C$9, 100%, $E$9)</f>
        <v>10.496</v>
      </c>
      <c r="Q249" s="14">
        <f>CHOOSE(CONTROL!$C$42, 11.2994, 11.2994) * CHOOSE(CONTROL!$C$21, $C$9, 100%, $E$9)</f>
        <v>11.2994</v>
      </c>
      <c r="R249" s="14">
        <f>CHOOSE(CONTROL!$C$42, 11.9146, 11.9146) * CHOOSE(CONTROL!$C$21, $C$9, 100%, $E$9)</f>
        <v>11.9146</v>
      </c>
      <c r="S249" s="14">
        <f>CHOOSE(CONTROL!$C$42, 10.2316, 10.2316) * CHOOSE(CONTROL!$C$21, $C$9, 100%, $E$9)</f>
        <v>10.2316</v>
      </c>
      <c r="T2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7">
        <f>(1000*CHOOSE(CONTROL!$C$42, 695, 695)*CHOOSE(CONTROL!$C$42, 0.5599, 0.5599)*CHOOSE(CONTROL!$C$42, 30, 30))/1000000</f>
        <v>11.673914999999997</v>
      </c>
      <c r="V249" s="57">
        <f>(1000*CHOOSE(CONTROL!$C$42, 500, 500)*CHOOSE(CONTROL!$C$42, 0.275, 0.275)*CHOOSE(CONTROL!$C$42, 30, 30))/1000000</f>
        <v>4.125</v>
      </c>
      <c r="W249" s="57">
        <f>(1000*CHOOSE(CONTROL!$C$42, 0.1146, 0.1146)*CHOOSE(CONTROL!$C$42, 121.5, 121.5)*CHOOSE(CONTROL!$C$42, 30, 30))/1000000</f>
        <v>0.417717</v>
      </c>
      <c r="X249" s="57">
        <f>(30*0.1790888*245000/1000000)+(30*0.2374*100000/1000000)</f>
        <v>2.0285026799999999</v>
      </c>
      <c r="Y249" s="57"/>
      <c r="Z249" s="14"/>
      <c r="AA249" s="56"/>
      <c r="AB249" s="50">
        <f>(B249*194.205+C249*267.466+D249*133.845+E249*53.484+F249*40+G249*185+H249*0+I249*100+J249*300)/(194.205+267.466+133.845+53.484+0+40+185+100+300)</f>
        <v>10.701349027001569</v>
      </c>
      <c r="AC249" s="45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10.525790647482015</v>
      </c>
    </row>
    <row r="250" spans="1:29" ht="15.75" x14ac:dyDescent="0.25">
      <c r="A250" s="13">
        <v>48488</v>
      </c>
      <c r="B250" s="14">
        <f>CHOOSE(CONTROL!$C$42, 10.4411, 10.4411) * CHOOSE(CONTROL!$C$21, $C$9, 100%, $E$9)</f>
        <v>10.4411</v>
      </c>
      <c r="C250" s="14">
        <f>CHOOSE(CONTROL!$C$42, 10.4464, 10.4464) * CHOOSE(CONTROL!$C$21, $C$9, 100%, $E$9)</f>
        <v>10.446400000000001</v>
      </c>
      <c r="D250" s="14">
        <f>CHOOSE(CONTROL!$C$42, 10.685, 10.685) * CHOOSE(CONTROL!$C$21, $C$9, 100%, $E$9)</f>
        <v>10.685</v>
      </c>
      <c r="E250" s="14">
        <f>CHOOSE(CONTROL!$C$42, 10.7141, 10.7141) * CHOOSE(CONTROL!$C$21, $C$9, 100%, $E$9)</f>
        <v>10.7141</v>
      </c>
      <c r="F250" s="14">
        <f>CHOOSE(CONTROL!$C$42, 10.4411, 10.4411)*CHOOSE(CONTROL!$C$21, $C$9, 100%, $E$9)</f>
        <v>10.4411</v>
      </c>
      <c r="G250" s="14">
        <f>CHOOSE(CONTROL!$C$42, 10.4574, 10.4574)*CHOOSE(CONTROL!$C$21, $C$9, 100%, $E$9)</f>
        <v>10.4574</v>
      </c>
      <c r="H250" s="14">
        <f>CHOOSE(CONTROL!$C$42, 10.7046, 10.7046) * CHOOSE(CONTROL!$C$21, $C$9, 100%, $E$9)</f>
        <v>10.704599999999999</v>
      </c>
      <c r="I250" s="14">
        <f>CHOOSE(CONTROL!$C$42, 10.4914, 10.4914)* CHOOSE(CONTROL!$C$21, $C$9, 100%, $E$9)</f>
        <v>10.491400000000001</v>
      </c>
      <c r="J250" s="14">
        <f>CHOOSE(CONTROL!$C$42, 10.4341, 10.4341)* CHOOSE(CONTROL!$C$21, $C$9, 100%, $E$9)</f>
        <v>10.434100000000001</v>
      </c>
      <c r="K250" s="53">
        <f>CHOOSE(CONTROL!$C$42, 10.4875, 10.4875) * CHOOSE(CONTROL!$C$21, $C$9, 100%, $E$9)</f>
        <v>10.487500000000001</v>
      </c>
      <c r="L250" s="14">
        <f>CHOOSE(CONTROL!$C$42, 11.2916, 11.2916) * CHOOSE(CONTROL!$C$21, $C$9, 100%, $E$9)</f>
        <v>11.291600000000001</v>
      </c>
      <c r="M250" s="14">
        <f>CHOOSE(CONTROL!$C$42, 10.228, 10.228) * CHOOSE(CONTROL!$C$21, $C$9, 100%, $E$9)</f>
        <v>10.228</v>
      </c>
      <c r="N250" s="14">
        <f>CHOOSE(CONTROL!$C$42, 10.244, 10.244) * CHOOSE(CONTROL!$C$21, $C$9, 100%, $E$9)</f>
        <v>10.244</v>
      </c>
      <c r="O250" s="14">
        <f>CHOOSE(CONTROL!$C$42, 10.4929, 10.4929) * CHOOSE(CONTROL!$C$21, $C$9, 100%, $E$9)</f>
        <v>10.492900000000001</v>
      </c>
      <c r="P250" s="14">
        <f>CHOOSE(CONTROL!$C$42, 10.2836, 10.2836) * CHOOSE(CONTROL!$C$21, $C$9, 100%, $E$9)</f>
        <v>10.2836</v>
      </c>
      <c r="Q250" s="14">
        <f>CHOOSE(CONTROL!$C$42, 11.0876, 11.0876) * CHOOSE(CONTROL!$C$21, $C$9, 100%, $E$9)</f>
        <v>11.0876</v>
      </c>
      <c r="R250" s="14">
        <f>CHOOSE(CONTROL!$C$42, 11.7023, 11.7023) * CHOOSE(CONTROL!$C$21, $C$9, 100%, $E$9)</f>
        <v>11.702299999999999</v>
      </c>
      <c r="S250" s="14">
        <f>CHOOSE(CONTROL!$C$42, 10.0239, 10.0239) * CHOOSE(CONTROL!$C$21, $C$9, 100%, $E$9)</f>
        <v>10.023899999999999</v>
      </c>
      <c r="T2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7">
        <f>(1000*CHOOSE(CONTROL!$C$42, 695, 695)*CHOOSE(CONTROL!$C$42, 0.5599, 0.5599)*CHOOSE(CONTROL!$C$42, 31, 31))/1000000</f>
        <v>12.063045499999998</v>
      </c>
      <c r="V250" s="57">
        <f>(1000*CHOOSE(CONTROL!$C$42, 500, 500)*CHOOSE(CONTROL!$C$42, 0.275, 0.275)*CHOOSE(CONTROL!$C$42, 31, 31))/1000000</f>
        <v>4.2625000000000002</v>
      </c>
      <c r="W250" s="57">
        <f>(1000*CHOOSE(CONTROL!$C$42, 0.1146, 0.1146)*CHOOSE(CONTROL!$C$42, 121.5, 121.5)*CHOOSE(CONTROL!$C$42, 31, 31))/1000000</f>
        <v>0.43164089999999994</v>
      </c>
      <c r="X250" s="57">
        <f>(31*0.1790888*245000/1000000)+(31*0.2374*100000/1000000)</f>
        <v>2.0961194359999999</v>
      </c>
      <c r="Y250" s="57"/>
      <c r="Z250" s="14"/>
      <c r="AA250" s="56"/>
      <c r="AB250" s="50">
        <f>(B250*131.881+C250*277.167+D250*79.08+E250*125.872+F250*40+G250*185+H250*0+I250*100+J250*300)/(131.881+277.167+79.08+125.872+0+40+185+100+300)</f>
        <v>10.490385837853108</v>
      </c>
      <c r="AC250" s="45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10.314007913669064</v>
      </c>
    </row>
    <row r="251" spans="1:29" ht="15.75" x14ac:dyDescent="0.25">
      <c r="A251" s="13">
        <v>48519</v>
      </c>
      <c r="B251" s="14">
        <f>CHOOSE(CONTROL!$C$42, 10.7155, 10.7155) * CHOOSE(CONTROL!$C$21, $C$9, 100%, $E$9)</f>
        <v>10.7155</v>
      </c>
      <c r="C251" s="14">
        <f>CHOOSE(CONTROL!$C$42, 10.7205, 10.7205) * CHOOSE(CONTROL!$C$21, $C$9, 100%, $E$9)</f>
        <v>10.720499999999999</v>
      </c>
      <c r="D251" s="14">
        <f>CHOOSE(CONTROL!$C$42, 10.7948, 10.7948) * CHOOSE(CONTROL!$C$21, $C$9, 100%, $E$9)</f>
        <v>10.7948</v>
      </c>
      <c r="E251" s="14">
        <f>CHOOSE(CONTROL!$C$42, 10.8289, 10.8289) * CHOOSE(CONTROL!$C$21, $C$9, 100%, $E$9)</f>
        <v>10.828900000000001</v>
      </c>
      <c r="F251" s="14">
        <f>CHOOSE(CONTROL!$C$42, 10.7275, 10.7275)*CHOOSE(CONTROL!$C$21, $C$9, 100%, $E$9)</f>
        <v>10.727499999999999</v>
      </c>
      <c r="G251" s="14">
        <f>CHOOSE(CONTROL!$C$42, 10.7441, 10.7441)*CHOOSE(CONTROL!$C$21, $C$9, 100%, $E$9)</f>
        <v>10.7441</v>
      </c>
      <c r="H251" s="14">
        <f>CHOOSE(CONTROL!$C$42, 10.8181, 10.8181) * CHOOSE(CONTROL!$C$21, $C$9, 100%, $E$9)</f>
        <v>10.818099999999999</v>
      </c>
      <c r="I251" s="14">
        <f>CHOOSE(CONTROL!$C$42, 10.7734, 10.7734)* CHOOSE(CONTROL!$C$21, $C$9, 100%, $E$9)</f>
        <v>10.773400000000001</v>
      </c>
      <c r="J251" s="14">
        <f>CHOOSE(CONTROL!$C$42, 10.7205, 10.7205)* CHOOSE(CONTROL!$C$21, $C$9, 100%, $E$9)</f>
        <v>10.720499999999999</v>
      </c>
      <c r="K251" s="53">
        <f>CHOOSE(CONTROL!$C$42, 10.7695, 10.7695) * CHOOSE(CONTROL!$C$21, $C$9, 100%, $E$9)</f>
        <v>10.769500000000001</v>
      </c>
      <c r="L251" s="14">
        <f>CHOOSE(CONTROL!$C$42, 11.4051, 11.4051) * CHOOSE(CONTROL!$C$21, $C$9, 100%, $E$9)</f>
        <v>11.405099999999999</v>
      </c>
      <c r="M251" s="14">
        <f>CHOOSE(CONTROL!$C$42, 10.5086, 10.5086) * CHOOSE(CONTROL!$C$21, $C$9, 100%, $E$9)</f>
        <v>10.508599999999999</v>
      </c>
      <c r="N251" s="14">
        <f>CHOOSE(CONTROL!$C$42, 10.5248, 10.5248) * CHOOSE(CONTROL!$C$21, $C$9, 100%, $E$9)</f>
        <v>10.524800000000001</v>
      </c>
      <c r="O251" s="14">
        <f>CHOOSE(CONTROL!$C$42, 10.6041, 10.6041) * CHOOSE(CONTROL!$C$21, $C$9, 100%, $E$9)</f>
        <v>10.604100000000001</v>
      </c>
      <c r="P251" s="14">
        <f>CHOOSE(CONTROL!$C$42, 10.5597, 10.5597) * CHOOSE(CONTROL!$C$21, $C$9, 100%, $E$9)</f>
        <v>10.559699999999999</v>
      </c>
      <c r="Q251" s="14">
        <f>CHOOSE(CONTROL!$C$42, 11.1988, 11.1988) * CHOOSE(CONTROL!$C$21, $C$9, 100%, $E$9)</f>
        <v>11.1988</v>
      </c>
      <c r="R251" s="14">
        <f>CHOOSE(CONTROL!$C$42, 11.8138, 11.8138) * CHOOSE(CONTROL!$C$21, $C$9, 100%, $E$9)</f>
        <v>11.813800000000001</v>
      </c>
      <c r="S251" s="14">
        <f>CHOOSE(CONTROL!$C$42, 10.288, 10.288) * CHOOSE(CONTROL!$C$21, $C$9, 100%, $E$9)</f>
        <v>10.288</v>
      </c>
      <c r="T2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7">
        <f>(1000*CHOOSE(CONTROL!$C$42, 695, 695)*CHOOSE(CONTROL!$C$42, 0.5599, 0.5599)*CHOOSE(CONTROL!$C$42, 30, 30))/1000000</f>
        <v>11.673914999999997</v>
      </c>
      <c r="V251" s="57">
        <f>(1000*CHOOSE(CONTROL!$C$42, 500, 500)*CHOOSE(CONTROL!$C$42, 0.275, 0.275)*CHOOSE(CONTROL!$C$42, 30, 30))/1000000</f>
        <v>4.125</v>
      </c>
      <c r="W251" s="57">
        <f>(1000*CHOOSE(CONTROL!$C$42, 0.1146, 0.1146)*CHOOSE(CONTROL!$C$42, 121.5, 121.5)*CHOOSE(CONTROL!$C$42, 30, 30))/1000000</f>
        <v>0.417717</v>
      </c>
      <c r="X251" s="57">
        <f>(30*0.1790888*100000/1000000)+(30*0.2374*100000/1000000)</f>
        <v>1.2494664</v>
      </c>
      <c r="Y251" s="57"/>
      <c r="Z251" s="14"/>
      <c r="AA251" s="56"/>
      <c r="AB251" s="50">
        <f>(B251*122.58+C251*297.941+D251*89.177+E251*40.302+F251*40+G251*160+H251*0+I251*100+J251*300)/(122.58+297.941+89.177+40.302+0+40+160+100+300)</f>
        <v>10.737654511217391</v>
      </c>
      <c r="AC251" s="45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10.560169064748202</v>
      </c>
    </row>
    <row r="252" spans="1:29" ht="15.75" x14ac:dyDescent="0.25">
      <c r="A252" s="13">
        <v>48549</v>
      </c>
      <c r="B252" s="14">
        <f>CHOOSE(CONTROL!$C$42, 11.4454, 11.4454) * CHOOSE(CONTROL!$C$21, $C$9, 100%, $E$9)</f>
        <v>11.445399999999999</v>
      </c>
      <c r="C252" s="14">
        <f>CHOOSE(CONTROL!$C$42, 11.4504, 11.4504) * CHOOSE(CONTROL!$C$21, $C$9, 100%, $E$9)</f>
        <v>11.4504</v>
      </c>
      <c r="D252" s="14">
        <f>CHOOSE(CONTROL!$C$42, 11.5247, 11.5247) * CHOOSE(CONTROL!$C$21, $C$9, 100%, $E$9)</f>
        <v>11.524699999999999</v>
      </c>
      <c r="E252" s="14">
        <f>CHOOSE(CONTROL!$C$42, 11.5588, 11.5588) * CHOOSE(CONTROL!$C$21, $C$9, 100%, $E$9)</f>
        <v>11.5588</v>
      </c>
      <c r="F252" s="14">
        <f>CHOOSE(CONTROL!$C$42, 11.4596, 11.4596)*CHOOSE(CONTROL!$C$21, $C$9, 100%, $E$9)</f>
        <v>11.4596</v>
      </c>
      <c r="G252" s="14">
        <f>CHOOSE(CONTROL!$C$42, 11.4768, 11.4768)*CHOOSE(CONTROL!$C$21, $C$9, 100%, $E$9)</f>
        <v>11.476800000000001</v>
      </c>
      <c r="H252" s="14">
        <f>CHOOSE(CONTROL!$C$42, 11.548, 11.548) * CHOOSE(CONTROL!$C$21, $C$9, 100%, $E$9)</f>
        <v>11.548</v>
      </c>
      <c r="I252" s="14">
        <f>CHOOSE(CONTROL!$C$42, 11.5055, 11.5055)* CHOOSE(CONTROL!$C$21, $C$9, 100%, $E$9)</f>
        <v>11.5055</v>
      </c>
      <c r="J252" s="14">
        <f>CHOOSE(CONTROL!$C$42, 11.4526, 11.4526)* CHOOSE(CONTROL!$C$21, $C$9, 100%, $E$9)</f>
        <v>11.4526</v>
      </c>
      <c r="K252" s="53">
        <f>CHOOSE(CONTROL!$C$42, 11.5017, 11.5017) * CHOOSE(CONTROL!$C$21, $C$9, 100%, $E$9)</f>
        <v>11.5017</v>
      </c>
      <c r="L252" s="14">
        <f>CHOOSE(CONTROL!$C$42, 12.135, 12.135) * CHOOSE(CONTROL!$C$21, $C$9, 100%, $E$9)</f>
        <v>12.135</v>
      </c>
      <c r="M252" s="14">
        <f>CHOOSE(CONTROL!$C$42, 11.2256, 11.2256) * CHOOSE(CONTROL!$C$21, $C$9, 100%, $E$9)</f>
        <v>11.2256</v>
      </c>
      <c r="N252" s="14">
        <f>CHOOSE(CONTROL!$C$42, 11.2425, 11.2425) * CHOOSE(CONTROL!$C$21, $C$9, 100%, $E$9)</f>
        <v>11.2425</v>
      </c>
      <c r="O252" s="14">
        <f>CHOOSE(CONTROL!$C$42, 11.319, 11.319) * CHOOSE(CONTROL!$C$21, $C$9, 100%, $E$9)</f>
        <v>11.319000000000001</v>
      </c>
      <c r="P252" s="14">
        <f>CHOOSE(CONTROL!$C$42, 11.2769, 11.2769) * CHOOSE(CONTROL!$C$21, $C$9, 100%, $E$9)</f>
        <v>11.276899999999999</v>
      </c>
      <c r="Q252" s="14">
        <f>CHOOSE(CONTROL!$C$42, 11.9137, 11.9137) * CHOOSE(CONTROL!$C$21, $C$9, 100%, $E$9)</f>
        <v>11.9137</v>
      </c>
      <c r="R252" s="14">
        <f>CHOOSE(CONTROL!$C$42, 12.5305, 12.5305) * CHOOSE(CONTROL!$C$21, $C$9, 100%, $E$9)</f>
        <v>12.5305</v>
      </c>
      <c r="S252" s="14">
        <f>CHOOSE(CONTROL!$C$42, 10.9893, 10.9893) * CHOOSE(CONTROL!$C$21, $C$9, 100%, $E$9)</f>
        <v>10.9893</v>
      </c>
      <c r="T2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7">
        <f>(1000*CHOOSE(CONTROL!$C$42, 695, 695)*CHOOSE(CONTROL!$C$42, 0.5599, 0.5599)*CHOOSE(CONTROL!$C$42, 31, 31))/1000000</f>
        <v>12.063045499999998</v>
      </c>
      <c r="V252" s="57">
        <f>(1000*CHOOSE(CONTROL!$C$42, 500, 500)*CHOOSE(CONTROL!$C$42, 0.275, 0.275)*CHOOSE(CONTROL!$C$42, 31, 31))/1000000</f>
        <v>4.2625000000000002</v>
      </c>
      <c r="W252" s="57">
        <f>(1000*CHOOSE(CONTROL!$C$42, 0.1146, 0.1146)*CHOOSE(CONTROL!$C$42, 121.5, 121.5)*CHOOSE(CONTROL!$C$42, 31, 31))/1000000</f>
        <v>0.43164089999999994</v>
      </c>
      <c r="X252" s="57">
        <f>(31*0.1790888*100000/1000000)+(31*0.2374*100000/1000000)</f>
        <v>1.2911152800000001</v>
      </c>
      <c r="Y252" s="57"/>
      <c r="Z252" s="14"/>
      <c r="AA252" s="56"/>
      <c r="AB252" s="50">
        <f>(B252*122.58+C252*297.941+D252*89.177+E252*40.302+F252*40+G252*160+H252*0+I252*100+J252*300)/(122.58+297.941+89.177+40.302+0+40+160+100+300)</f>
        <v>11.468785815565218</v>
      </c>
      <c r="AC252" s="45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11.276286330935251</v>
      </c>
    </row>
    <row r="253" spans="1:29" ht="15.75" x14ac:dyDescent="0.25">
      <c r="A253" s="13">
        <v>48580</v>
      </c>
      <c r="B253" s="14">
        <f>CHOOSE(CONTROL!$C$42, 12.3934, 12.3934) * CHOOSE(CONTROL!$C$21, $C$9, 100%, $E$9)</f>
        <v>12.3934</v>
      </c>
      <c r="C253" s="14">
        <f>CHOOSE(CONTROL!$C$42, 12.3985, 12.3985) * CHOOSE(CONTROL!$C$21, $C$9, 100%, $E$9)</f>
        <v>12.3985</v>
      </c>
      <c r="D253" s="14">
        <f>CHOOSE(CONTROL!$C$42, 12.4753, 12.4753) * CHOOSE(CONTROL!$C$21, $C$9, 100%, $E$9)</f>
        <v>12.475300000000001</v>
      </c>
      <c r="E253" s="14">
        <f>CHOOSE(CONTROL!$C$42, 12.5094, 12.5094) * CHOOSE(CONTROL!$C$21, $C$9, 100%, $E$9)</f>
        <v>12.509399999999999</v>
      </c>
      <c r="F253" s="14">
        <f>CHOOSE(CONTROL!$C$42, 12.3936, 12.3936)*CHOOSE(CONTROL!$C$21, $C$9, 100%, $E$9)</f>
        <v>12.393599999999999</v>
      </c>
      <c r="G253" s="14">
        <f>CHOOSE(CONTROL!$C$42, 12.4098, 12.4098)*CHOOSE(CONTROL!$C$21, $C$9, 100%, $E$9)</f>
        <v>12.409800000000001</v>
      </c>
      <c r="H253" s="14">
        <f>CHOOSE(CONTROL!$C$42, 12.4986, 12.4986) * CHOOSE(CONTROL!$C$21, $C$9, 100%, $E$9)</f>
        <v>12.4986</v>
      </c>
      <c r="I253" s="14">
        <f>CHOOSE(CONTROL!$C$42, 12.4503, 12.4503)* CHOOSE(CONTROL!$C$21, $C$9, 100%, $E$9)</f>
        <v>12.4503</v>
      </c>
      <c r="J253" s="14">
        <f>CHOOSE(CONTROL!$C$42, 12.3866, 12.3866)* CHOOSE(CONTROL!$C$21, $C$9, 100%, $E$9)</f>
        <v>12.3866</v>
      </c>
      <c r="K253" s="53">
        <f>CHOOSE(CONTROL!$C$42, 12.4464, 12.4464) * CHOOSE(CONTROL!$C$21, $C$9, 100%, $E$9)</f>
        <v>12.446400000000001</v>
      </c>
      <c r="L253" s="14">
        <f>CHOOSE(CONTROL!$C$42, 13.0856, 13.0856) * CHOOSE(CONTROL!$C$21, $C$9, 100%, $E$9)</f>
        <v>13.085599999999999</v>
      </c>
      <c r="M253" s="14">
        <f>CHOOSE(CONTROL!$C$42, 12.1405, 12.1405) * CHOOSE(CONTROL!$C$21, $C$9, 100%, $E$9)</f>
        <v>12.140499999999999</v>
      </c>
      <c r="N253" s="14">
        <f>CHOOSE(CONTROL!$C$42, 12.1564, 12.1564) * CHOOSE(CONTROL!$C$21, $C$9, 100%, $E$9)</f>
        <v>12.1564</v>
      </c>
      <c r="O253" s="14">
        <f>CHOOSE(CONTROL!$C$42, 12.2502, 12.2502) * CHOOSE(CONTROL!$C$21, $C$9, 100%, $E$9)</f>
        <v>12.2502</v>
      </c>
      <c r="P253" s="14">
        <f>CHOOSE(CONTROL!$C$42, 12.2022, 12.2022) * CHOOSE(CONTROL!$C$21, $C$9, 100%, $E$9)</f>
        <v>12.202199999999999</v>
      </c>
      <c r="Q253" s="14">
        <f>CHOOSE(CONTROL!$C$42, 12.8449, 12.8449) * CHOOSE(CONTROL!$C$21, $C$9, 100%, $E$9)</f>
        <v>12.844900000000001</v>
      </c>
      <c r="R253" s="14">
        <f>CHOOSE(CONTROL!$C$42, 13.464, 13.464) * CHOOSE(CONTROL!$C$21, $C$9, 100%, $E$9)</f>
        <v>13.464</v>
      </c>
      <c r="S253" s="14">
        <f>CHOOSE(CONTROL!$C$42, 11.9003, 11.9003) * CHOOSE(CONTROL!$C$21, $C$9, 100%, $E$9)</f>
        <v>11.9003</v>
      </c>
      <c r="T2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7">
        <f>(1000*CHOOSE(CONTROL!$C$42, 695, 695)*CHOOSE(CONTROL!$C$42, 0.5599, 0.5599)*CHOOSE(CONTROL!$C$42, 31, 31))/1000000</f>
        <v>12.063045499999998</v>
      </c>
      <c r="V253" s="57">
        <f>(1000*CHOOSE(CONTROL!$C$42, 500, 500)*CHOOSE(CONTROL!$C$42, 0.275, 0.275)*CHOOSE(CONTROL!$C$42, 31, 31))/1000000</f>
        <v>4.2625000000000002</v>
      </c>
      <c r="W253" s="57">
        <f>(1000*CHOOSE(CONTROL!$C$42, 0.1146, 0.1146)*CHOOSE(CONTROL!$C$42, 121.5, 121.5)*CHOOSE(CONTROL!$C$42, 31, 31))/1000000</f>
        <v>0.43164089999999994</v>
      </c>
      <c r="X253" s="57">
        <f>(31*0.1790888*100000/1000000)+(31*0.2374*100000/1000000)</f>
        <v>1.2911152800000001</v>
      </c>
      <c r="Y253" s="57"/>
      <c r="Z253" s="14"/>
      <c r="AA253" s="56"/>
      <c r="AB253" s="50">
        <f>(B253*122.58+C253*297.941+D253*89.177+E253*40.302+F253*40+G253*160+H253*0+I253*100+J253*300)/(122.58+297.941+89.177+40.302+0+40+160+100+300)</f>
        <v>12.410600110782608</v>
      </c>
      <c r="AC253" s="45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12.200012949640286</v>
      </c>
    </row>
    <row r="254" spans="1:29" ht="15.75" x14ac:dyDescent="0.25">
      <c r="A254" s="13">
        <v>48611</v>
      </c>
      <c r="B254" s="14">
        <f>CHOOSE(CONTROL!$C$42, 12.6138, 12.6138) * CHOOSE(CONTROL!$C$21, $C$9, 100%, $E$9)</f>
        <v>12.613799999999999</v>
      </c>
      <c r="C254" s="14">
        <f>CHOOSE(CONTROL!$C$42, 12.6189, 12.6189) * CHOOSE(CONTROL!$C$21, $C$9, 100%, $E$9)</f>
        <v>12.6189</v>
      </c>
      <c r="D254" s="14">
        <f>CHOOSE(CONTROL!$C$42, 12.6957, 12.6957) * CHOOSE(CONTROL!$C$21, $C$9, 100%, $E$9)</f>
        <v>12.6957</v>
      </c>
      <c r="E254" s="14">
        <f>CHOOSE(CONTROL!$C$42, 12.7298, 12.7298) * CHOOSE(CONTROL!$C$21, $C$9, 100%, $E$9)</f>
        <v>12.729799999999999</v>
      </c>
      <c r="F254" s="14">
        <f>CHOOSE(CONTROL!$C$42, 12.6141, 12.6141)*CHOOSE(CONTROL!$C$21, $C$9, 100%, $E$9)</f>
        <v>12.614100000000001</v>
      </c>
      <c r="G254" s="14">
        <f>CHOOSE(CONTROL!$C$42, 12.6303, 12.6303)*CHOOSE(CONTROL!$C$21, $C$9, 100%, $E$9)</f>
        <v>12.6303</v>
      </c>
      <c r="H254" s="14">
        <f>CHOOSE(CONTROL!$C$42, 12.719, 12.719) * CHOOSE(CONTROL!$C$21, $C$9, 100%, $E$9)</f>
        <v>12.718999999999999</v>
      </c>
      <c r="I254" s="14">
        <f>CHOOSE(CONTROL!$C$42, 12.6714, 12.6714)* CHOOSE(CONTROL!$C$21, $C$9, 100%, $E$9)</f>
        <v>12.6714</v>
      </c>
      <c r="J254" s="14">
        <f>CHOOSE(CONTROL!$C$42, 12.6071, 12.6071)* CHOOSE(CONTROL!$C$21, $C$9, 100%, $E$9)</f>
        <v>12.607100000000001</v>
      </c>
      <c r="K254" s="53">
        <f>CHOOSE(CONTROL!$C$42, 12.6675, 12.6675) * CHOOSE(CONTROL!$C$21, $C$9, 100%, $E$9)</f>
        <v>12.6675</v>
      </c>
      <c r="L254" s="14">
        <f>CHOOSE(CONTROL!$C$42, 13.306, 13.306) * CHOOSE(CONTROL!$C$21, $C$9, 100%, $E$9)</f>
        <v>13.305999999999999</v>
      </c>
      <c r="M254" s="14">
        <f>CHOOSE(CONTROL!$C$42, 12.3565, 12.3565) * CHOOSE(CONTROL!$C$21, $C$9, 100%, $E$9)</f>
        <v>12.3565</v>
      </c>
      <c r="N254" s="14">
        <f>CHOOSE(CONTROL!$C$42, 12.3724, 12.3724) * CHOOSE(CONTROL!$C$21, $C$9, 100%, $E$9)</f>
        <v>12.372400000000001</v>
      </c>
      <c r="O254" s="14">
        <f>CHOOSE(CONTROL!$C$42, 12.4661, 12.4661) * CHOOSE(CONTROL!$C$21, $C$9, 100%, $E$9)</f>
        <v>12.466100000000001</v>
      </c>
      <c r="P254" s="14">
        <f>CHOOSE(CONTROL!$C$42, 12.4188, 12.4188) * CHOOSE(CONTROL!$C$21, $C$9, 100%, $E$9)</f>
        <v>12.418799999999999</v>
      </c>
      <c r="Q254" s="14">
        <f>CHOOSE(CONTROL!$C$42, 13.0608, 13.0608) * CHOOSE(CONTROL!$C$21, $C$9, 100%, $E$9)</f>
        <v>13.0608</v>
      </c>
      <c r="R254" s="14">
        <f>CHOOSE(CONTROL!$C$42, 13.6805, 13.6805) * CHOOSE(CONTROL!$C$21, $C$9, 100%, $E$9)</f>
        <v>13.6805</v>
      </c>
      <c r="S254" s="14">
        <f>CHOOSE(CONTROL!$C$42, 12.1121, 12.1121) * CHOOSE(CONTROL!$C$21, $C$9, 100%, $E$9)</f>
        <v>12.1121</v>
      </c>
      <c r="T2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7">
        <f>(1000*CHOOSE(CONTROL!$C$42, 695, 695)*CHOOSE(CONTROL!$C$42, 0.5599, 0.5599)*CHOOSE(CONTROL!$C$42, 28, 28))/1000000</f>
        <v>10.895653999999999</v>
      </c>
      <c r="V254" s="57">
        <f>(1000*CHOOSE(CONTROL!$C$42, 500, 500)*CHOOSE(CONTROL!$C$42, 0.275, 0.275)*CHOOSE(CONTROL!$C$42, 28, 28))/1000000</f>
        <v>3.85</v>
      </c>
      <c r="W254" s="57">
        <f>(1000*CHOOSE(CONTROL!$C$42, 0.1146, 0.1146)*CHOOSE(CONTROL!$C$42, 121.5, 121.5)*CHOOSE(CONTROL!$C$42, 28, 28))/1000000</f>
        <v>0.38986920000000003</v>
      </c>
      <c r="X254" s="57">
        <f>(28*0.1790888*100000/1000000)+(28*0.2374*100000/1000000)</f>
        <v>1.16616864</v>
      </c>
      <c r="Y254" s="57"/>
      <c r="Z254" s="14"/>
      <c r="AA254" s="56"/>
      <c r="AB254" s="50">
        <f>(B254*122.58+C254*297.941+D254*89.177+E254*40.302+F254*40+G254*160+H254*0+I254*100+J254*300)/(122.58+297.941+89.177+40.302+0+40+160+100+300)</f>
        <v>12.631104458608695</v>
      </c>
      <c r="AC254" s="45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12.416053956834531</v>
      </c>
    </row>
    <row r="255" spans="1:29" ht="15.75" x14ac:dyDescent="0.25">
      <c r="A255" s="13">
        <v>48639</v>
      </c>
      <c r="B255" s="14">
        <f>CHOOSE(CONTROL!$C$42, 12.256, 12.256) * CHOOSE(CONTROL!$C$21, $C$9, 100%, $E$9)</f>
        <v>12.256</v>
      </c>
      <c r="C255" s="14">
        <f>CHOOSE(CONTROL!$C$42, 12.2611, 12.2611) * CHOOSE(CONTROL!$C$21, $C$9, 100%, $E$9)</f>
        <v>12.261100000000001</v>
      </c>
      <c r="D255" s="14">
        <f>CHOOSE(CONTROL!$C$42, 12.3379, 12.3379) * CHOOSE(CONTROL!$C$21, $C$9, 100%, $E$9)</f>
        <v>12.337899999999999</v>
      </c>
      <c r="E255" s="14">
        <f>CHOOSE(CONTROL!$C$42, 12.372, 12.372) * CHOOSE(CONTROL!$C$21, $C$9, 100%, $E$9)</f>
        <v>12.372</v>
      </c>
      <c r="F255" s="14">
        <f>CHOOSE(CONTROL!$C$42, 12.2558, 12.2558)*CHOOSE(CONTROL!$C$21, $C$9, 100%, $E$9)</f>
        <v>12.255800000000001</v>
      </c>
      <c r="G255" s="14">
        <f>CHOOSE(CONTROL!$C$42, 12.2719, 12.2719)*CHOOSE(CONTROL!$C$21, $C$9, 100%, $E$9)</f>
        <v>12.2719</v>
      </c>
      <c r="H255" s="14">
        <f>CHOOSE(CONTROL!$C$42, 12.3612, 12.3612) * CHOOSE(CONTROL!$C$21, $C$9, 100%, $E$9)</f>
        <v>12.3612</v>
      </c>
      <c r="I255" s="14">
        <f>CHOOSE(CONTROL!$C$42, 12.3124, 12.3124)* CHOOSE(CONTROL!$C$21, $C$9, 100%, $E$9)</f>
        <v>12.3124</v>
      </c>
      <c r="J255" s="14">
        <f>CHOOSE(CONTROL!$C$42, 12.2488, 12.2488)* CHOOSE(CONTROL!$C$21, $C$9, 100%, $E$9)</f>
        <v>12.248799999999999</v>
      </c>
      <c r="K255" s="53">
        <f>CHOOSE(CONTROL!$C$42, 12.3086, 12.3086) * CHOOSE(CONTROL!$C$21, $C$9, 100%, $E$9)</f>
        <v>12.3086</v>
      </c>
      <c r="L255" s="14">
        <f>CHOOSE(CONTROL!$C$42, 12.9482, 12.9482) * CHOOSE(CONTROL!$C$21, $C$9, 100%, $E$9)</f>
        <v>12.9482</v>
      </c>
      <c r="M255" s="14">
        <f>CHOOSE(CONTROL!$C$42, 12.0055, 12.0055) * CHOOSE(CONTROL!$C$21, $C$9, 100%, $E$9)</f>
        <v>12.0055</v>
      </c>
      <c r="N255" s="14">
        <f>CHOOSE(CONTROL!$C$42, 12.0213, 12.0213) * CHOOSE(CONTROL!$C$21, $C$9, 100%, $E$9)</f>
        <v>12.0213</v>
      </c>
      <c r="O255" s="14">
        <f>CHOOSE(CONTROL!$C$42, 12.1156, 12.1156) * CHOOSE(CONTROL!$C$21, $C$9, 100%, $E$9)</f>
        <v>12.115600000000001</v>
      </c>
      <c r="P255" s="14">
        <f>CHOOSE(CONTROL!$C$42, 12.0672, 12.0672) * CHOOSE(CONTROL!$C$21, $C$9, 100%, $E$9)</f>
        <v>12.0672</v>
      </c>
      <c r="Q255" s="14">
        <f>CHOOSE(CONTROL!$C$42, 12.7103, 12.7103) * CHOOSE(CONTROL!$C$21, $C$9, 100%, $E$9)</f>
        <v>12.7103</v>
      </c>
      <c r="R255" s="14">
        <f>CHOOSE(CONTROL!$C$42, 13.3291, 13.3291) * CHOOSE(CONTROL!$C$21, $C$9, 100%, $E$9)</f>
        <v>13.3291</v>
      </c>
      <c r="S255" s="14">
        <f>CHOOSE(CONTROL!$C$42, 11.7682, 11.7682) * CHOOSE(CONTROL!$C$21, $C$9, 100%, $E$9)</f>
        <v>11.7682</v>
      </c>
      <c r="T2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7">
        <f>(1000*CHOOSE(CONTROL!$C$42, 695, 695)*CHOOSE(CONTROL!$C$42, 0.5599, 0.5599)*CHOOSE(CONTROL!$C$42, 31, 31))/1000000</f>
        <v>12.063045499999998</v>
      </c>
      <c r="V255" s="57">
        <f>(1000*CHOOSE(CONTROL!$C$42, 500, 500)*CHOOSE(CONTROL!$C$42, 0.275, 0.275)*CHOOSE(CONTROL!$C$42, 31, 31))/1000000</f>
        <v>4.2625000000000002</v>
      </c>
      <c r="W255" s="57">
        <f>(1000*CHOOSE(CONTROL!$C$42, 0.1146, 0.1146)*CHOOSE(CONTROL!$C$42, 121.5, 121.5)*CHOOSE(CONTROL!$C$42, 31, 31))/1000000</f>
        <v>0.43164089999999994</v>
      </c>
      <c r="X255" s="57">
        <f>(31*0.1790888*100000/1000000)+(31*0.2374*100000/1000000)</f>
        <v>1.2911152800000001</v>
      </c>
      <c r="Y255" s="57"/>
      <c r="Z255" s="14"/>
      <c r="AA255" s="56"/>
      <c r="AB255" s="50">
        <f>(B255*122.58+C255*297.941+D255*89.177+E255*40.302+F255*40+G255*160+H255*0+I255*100+J255*300)/(122.58+297.941+89.177+40.302+0+40+160+100+300)</f>
        <v>12.272968806434783</v>
      </c>
      <c r="AC255" s="45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12.065188489208632</v>
      </c>
    </row>
    <row r="256" spans="1:29" ht="15.75" x14ac:dyDescent="0.25">
      <c r="A256" s="13">
        <v>48670</v>
      </c>
      <c r="B256" s="14">
        <f>CHOOSE(CONTROL!$C$42, 12.2206, 12.2206) * CHOOSE(CONTROL!$C$21, $C$9, 100%, $E$9)</f>
        <v>12.220599999999999</v>
      </c>
      <c r="C256" s="14">
        <f>CHOOSE(CONTROL!$C$42, 12.2251, 12.2251) * CHOOSE(CONTROL!$C$21, $C$9, 100%, $E$9)</f>
        <v>12.225099999999999</v>
      </c>
      <c r="D256" s="14">
        <f>CHOOSE(CONTROL!$C$42, 12.4618, 12.4618) * CHOOSE(CONTROL!$C$21, $C$9, 100%, $E$9)</f>
        <v>12.4618</v>
      </c>
      <c r="E256" s="14">
        <f>CHOOSE(CONTROL!$C$42, 12.4939, 12.4939) * CHOOSE(CONTROL!$C$21, $C$9, 100%, $E$9)</f>
        <v>12.4939</v>
      </c>
      <c r="F256" s="14">
        <f>CHOOSE(CONTROL!$C$42, 12.2185, 12.2185)*CHOOSE(CONTROL!$C$21, $C$9, 100%, $E$9)</f>
        <v>12.218500000000001</v>
      </c>
      <c r="G256" s="14">
        <f>CHOOSE(CONTROL!$C$42, 12.2343, 12.2343)*CHOOSE(CONTROL!$C$21, $C$9, 100%, $E$9)</f>
        <v>12.234299999999999</v>
      </c>
      <c r="H256" s="14">
        <f>CHOOSE(CONTROL!$C$42, 12.4837, 12.4837) * CHOOSE(CONTROL!$C$21, $C$9, 100%, $E$9)</f>
        <v>12.483700000000001</v>
      </c>
      <c r="I256" s="14">
        <f>CHOOSE(CONTROL!$C$42, 12.2761, 12.2761)* CHOOSE(CONTROL!$C$21, $C$9, 100%, $E$9)</f>
        <v>12.2761</v>
      </c>
      <c r="J256" s="14">
        <f>CHOOSE(CONTROL!$C$42, 12.2115, 12.2115)* CHOOSE(CONTROL!$C$21, $C$9, 100%, $E$9)</f>
        <v>12.211499999999999</v>
      </c>
      <c r="K256" s="53">
        <f>CHOOSE(CONTROL!$C$42, 12.2722, 12.2722) * CHOOSE(CONTROL!$C$21, $C$9, 100%, $E$9)</f>
        <v>12.2722</v>
      </c>
      <c r="L256" s="14">
        <f>CHOOSE(CONTROL!$C$42, 13.0707, 13.0707) * CHOOSE(CONTROL!$C$21, $C$9, 100%, $E$9)</f>
        <v>13.0707</v>
      </c>
      <c r="M256" s="14">
        <f>CHOOSE(CONTROL!$C$42, 11.969, 11.969) * CHOOSE(CONTROL!$C$21, $C$9, 100%, $E$9)</f>
        <v>11.968999999999999</v>
      </c>
      <c r="N256" s="14">
        <f>CHOOSE(CONTROL!$C$42, 11.9845, 11.9845) * CHOOSE(CONTROL!$C$21, $C$9, 100%, $E$9)</f>
        <v>11.984500000000001</v>
      </c>
      <c r="O256" s="14">
        <f>CHOOSE(CONTROL!$C$42, 12.2356, 12.2356) * CHOOSE(CONTROL!$C$21, $C$9, 100%, $E$9)</f>
        <v>12.2356</v>
      </c>
      <c r="P256" s="14">
        <f>CHOOSE(CONTROL!$C$42, 12.0316, 12.0316) * CHOOSE(CONTROL!$C$21, $C$9, 100%, $E$9)</f>
        <v>12.031599999999999</v>
      </c>
      <c r="Q256" s="14">
        <f>CHOOSE(CONTROL!$C$42, 12.8303, 12.8303) * CHOOSE(CONTROL!$C$21, $C$9, 100%, $E$9)</f>
        <v>12.830299999999999</v>
      </c>
      <c r="R256" s="14">
        <f>CHOOSE(CONTROL!$C$42, 13.4494, 13.4494) * CHOOSE(CONTROL!$C$21, $C$9, 100%, $E$9)</f>
        <v>13.449400000000001</v>
      </c>
      <c r="S256" s="14">
        <f>CHOOSE(CONTROL!$C$42, 11.7335, 11.7335) * CHOOSE(CONTROL!$C$21, $C$9, 100%, $E$9)</f>
        <v>11.733499999999999</v>
      </c>
      <c r="T2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7">
        <f>(1000*CHOOSE(CONTROL!$C$42, 695, 695)*CHOOSE(CONTROL!$C$42, 0.5599, 0.5599)*CHOOSE(CONTROL!$C$42, 30, 30))/1000000</f>
        <v>11.673914999999997</v>
      </c>
      <c r="V256" s="57">
        <f>(1000*CHOOSE(CONTROL!$C$42, 500, 500)*CHOOSE(CONTROL!$C$42, 0.275, 0.275)*CHOOSE(CONTROL!$C$42, 30, 30))/1000000</f>
        <v>4.125</v>
      </c>
      <c r="W256" s="57">
        <f>(1000*CHOOSE(CONTROL!$C$42, 0.1146, 0.1146)*CHOOSE(CONTROL!$C$42, 121.5, 121.5)*CHOOSE(CONTROL!$C$42, 30, 30))/1000000</f>
        <v>0.417717</v>
      </c>
      <c r="X256" s="57">
        <f>(30*0.1790888*245000/1000000)+(30*0.2374*100000/1000000)</f>
        <v>2.0285026799999999</v>
      </c>
      <c r="Y256" s="57"/>
      <c r="Z256" s="14"/>
      <c r="AA256" s="56"/>
      <c r="AB256" s="50">
        <f>(B256*141.293+C256*267.993+D256*115.016+E256*89.698+F256*40+G256*185+H256*0+I256*100+J256*300)/(141.293+267.993+115.016+89.698+0+40+185+100+300)</f>
        <v>12.268003382647297</v>
      </c>
      <c r="AC256" s="45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12.056376978417267</v>
      </c>
    </row>
    <row r="257" spans="1:29" ht="15.75" x14ac:dyDescent="0.25">
      <c r="A257" s="13">
        <v>48700</v>
      </c>
      <c r="B257" s="14">
        <f>CHOOSE(CONTROL!$C$42, 12.3297, 12.3297) * CHOOSE(CONTROL!$C$21, $C$9, 100%, $E$9)</f>
        <v>12.329700000000001</v>
      </c>
      <c r="C257" s="14">
        <f>CHOOSE(CONTROL!$C$42, 12.3378, 12.3378) * CHOOSE(CONTROL!$C$21, $C$9, 100%, $E$9)</f>
        <v>12.3378</v>
      </c>
      <c r="D257" s="14">
        <f>CHOOSE(CONTROL!$C$42, 12.5714, 12.5714) * CHOOSE(CONTROL!$C$21, $C$9, 100%, $E$9)</f>
        <v>12.571400000000001</v>
      </c>
      <c r="E257" s="14">
        <f>CHOOSE(CONTROL!$C$42, 12.6028, 12.6028) * CHOOSE(CONTROL!$C$21, $C$9, 100%, $E$9)</f>
        <v>12.6028</v>
      </c>
      <c r="F257" s="14">
        <f>CHOOSE(CONTROL!$C$42, 12.3265, 12.3265)*CHOOSE(CONTROL!$C$21, $C$9, 100%, $E$9)</f>
        <v>12.326499999999999</v>
      </c>
      <c r="G257" s="14">
        <f>CHOOSE(CONTROL!$C$42, 12.3429, 12.3429)*CHOOSE(CONTROL!$C$21, $C$9, 100%, $E$9)</f>
        <v>12.3429</v>
      </c>
      <c r="H257" s="14">
        <f>CHOOSE(CONTROL!$C$42, 12.5914, 12.5914) * CHOOSE(CONTROL!$C$21, $C$9, 100%, $E$9)</f>
        <v>12.5914</v>
      </c>
      <c r="I257" s="14">
        <f>CHOOSE(CONTROL!$C$42, 12.3842, 12.3842)* CHOOSE(CONTROL!$C$21, $C$9, 100%, $E$9)</f>
        <v>12.3842</v>
      </c>
      <c r="J257" s="14">
        <f>CHOOSE(CONTROL!$C$42, 12.3195, 12.3195)* CHOOSE(CONTROL!$C$21, $C$9, 100%, $E$9)</f>
        <v>12.3195</v>
      </c>
      <c r="K257" s="53">
        <f>CHOOSE(CONTROL!$C$42, 12.3803, 12.3803) * CHOOSE(CONTROL!$C$21, $C$9, 100%, $E$9)</f>
        <v>12.3803</v>
      </c>
      <c r="L257" s="14">
        <f>CHOOSE(CONTROL!$C$42, 13.1784, 13.1784) * CHOOSE(CONTROL!$C$21, $C$9, 100%, $E$9)</f>
        <v>13.1784</v>
      </c>
      <c r="M257" s="14">
        <f>CHOOSE(CONTROL!$C$42, 12.0748, 12.0748) * CHOOSE(CONTROL!$C$21, $C$9, 100%, $E$9)</f>
        <v>12.0748</v>
      </c>
      <c r="N257" s="14">
        <f>CHOOSE(CONTROL!$C$42, 12.0908, 12.0908) * CHOOSE(CONTROL!$C$21, $C$9, 100%, $E$9)</f>
        <v>12.0908</v>
      </c>
      <c r="O257" s="14">
        <f>CHOOSE(CONTROL!$C$42, 12.3411, 12.3411) * CHOOSE(CONTROL!$C$21, $C$9, 100%, $E$9)</f>
        <v>12.341100000000001</v>
      </c>
      <c r="P257" s="14">
        <f>CHOOSE(CONTROL!$C$42, 12.1375, 12.1375) * CHOOSE(CONTROL!$C$21, $C$9, 100%, $E$9)</f>
        <v>12.137499999999999</v>
      </c>
      <c r="Q257" s="14">
        <f>CHOOSE(CONTROL!$C$42, 12.9358, 12.9358) * CHOOSE(CONTROL!$C$21, $C$9, 100%, $E$9)</f>
        <v>12.9358</v>
      </c>
      <c r="R257" s="14">
        <f>CHOOSE(CONTROL!$C$42, 13.5552, 13.5552) * CHOOSE(CONTROL!$C$21, $C$9, 100%, $E$9)</f>
        <v>13.555199999999999</v>
      </c>
      <c r="S257" s="14">
        <f>CHOOSE(CONTROL!$C$42, 11.837, 11.837) * CHOOSE(CONTROL!$C$21, $C$9, 100%, $E$9)</f>
        <v>11.837</v>
      </c>
      <c r="T2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7">
        <f>(1000*CHOOSE(CONTROL!$C$42, 695, 695)*CHOOSE(CONTROL!$C$42, 0.5599, 0.5599)*CHOOSE(CONTROL!$C$42, 31, 31))/1000000</f>
        <v>12.063045499999998</v>
      </c>
      <c r="V257" s="57">
        <f>(1000*CHOOSE(CONTROL!$C$42, 500, 500)*CHOOSE(CONTROL!$C$42, 0.275, 0.275)*CHOOSE(CONTROL!$C$42, 31, 31))/1000000</f>
        <v>4.2625000000000002</v>
      </c>
      <c r="W257" s="57">
        <f>(1000*CHOOSE(CONTROL!$C$42, 0.1146, 0.1146)*CHOOSE(CONTROL!$C$42, 121.5, 121.5)*CHOOSE(CONTROL!$C$42, 31, 31))/1000000</f>
        <v>0.43164089999999994</v>
      </c>
      <c r="X257" s="57">
        <f>(31*0.1790888*245000/1000000)+(31*0.2374*100000/1000000)</f>
        <v>2.0961194359999999</v>
      </c>
      <c r="Y257" s="57"/>
      <c r="Z257" s="14"/>
      <c r="AA257" s="56"/>
      <c r="AB257" s="50">
        <f>(B257*194.205+C257*267.466+D257*133.845+E257*53.484+F257*40+G257*185+H257*0+I257*100+J257*300)/(194.205+267.466+133.845+53.484+0+40+185+100+300)</f>
        <v>12.371950621271585</v>
      </c>
      <c r="AC257" s="45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12.162222302158275</v>
      </c>
    </row>
    <row r="258" spans="1:29" ht="15.75" x14ac:dyDescent="0.25">
      <c r="A258" s="13">
        <v>48731</v>
      </c>
      <c r="B258" s="14">
        <f>CHOOSE(CONTROL!$C$42, 12.6791, 12.6791) * CHOOSE(CONTROL!$C$21, $C$9, 100%, $E$9)</f>
        <v>12.6791</v>
      </c>
      <c r="C258" s="14">
        <f>CHOOSE(CONTROL!$C$42, 12.6872, 12.6872) * CHOOSE(CONTROL!$C$21, $C$9, 100%, $E$9)</f>
        <v>12.687200000000001</v>
      </c>
      <c r="D258" s="14">
        <f>CHOOSE(CONTROL!$C$42, 12.9207, 12.9207) * CHOOSE(CONTROL!$C$21, $C$9, 100%, $E$9)</f>
        <v>12.9207</v>
      </c>
      <c r="E258" s="14">
        <f>CHOOSE(CONTROL!$C$42, 12.9522, 12.9522) * CHOOSE(CONTROL!$C$21, $C$9, 100%, $E$9)</f>
        <v>12.952199999999999</v>
      </c>
      <c r="F258" s="14">
        <f>CHOOSE(CONTROL!$C$42, 12.6764, 12.6764)*CHOOSE(CONTROL!$C$21, $C$9, 100%, $E$9)</f>
        <v>12.676399999999999</v>
      </c>
      <c r="G258" s="14">
        <f>CHOOSE(CONTROL!$C$42, 12.6929, 12.6929)*CHOOSE(CONTROL!$C$21, $C$9, 100%, $E$9)</f>
        <v>12.6929</v>
      </c>
      <c r="H258" s="14">
        <f>CHOOSE(CONTROL!$C$42, 12.9408, 12.9408) * CHOOSE(CONTROL!$C$21, $C$9, 100%, $E$9)</f>
        <v>12.940799999999999</v>
      </c>
      <c r="I258" s="14">
        <f>CHOOSE(CONTROL!$C$42, 12.7347, 12.7347)* CHOOSE(CONTROL!$C$21, $C$9, 100%, $E$9)</f>
        <v>12.7347</v>
      </c>
      <c r="J258" s="14">
        <f>CHOOSE(CONTROL!$C$42, 12.6694, 12.6694)* CHOOSE(CONTROL!$C$21, $C$9, 100%, $E$9)</f>
        <v>12.6694</v>
      </c>
      <c r="K258" s="53">
        <f>CHOOSE(CONTROL!$C$42, 12.7308, 12.7308) * CHOOSE(CONTROL!$C$21, $C$9, 100%, $E$9)</f>
        <v>12.7308</v>
      </c>
      <c r="L258" s="14">
        <f>CHOOSE(CONTROL!$C$42, 13.5278, 13.5278) * CHOOSE(CONTROL!$C$21, $C$9, 100%, $E$9)</f>
        <v>13.527799999999999</v>
      </c>
      <c r="M258" s="14">
        <f>CHOOSE(CONTROL!$C$42, 12.4175, 12.4175) * CHOOSE(CONTROL!$C$21, $C$9, 100%, $E$9)</f>
        <v>12.4175</v>
      </c>
      <c r="N258" s="14">
        <f>CHOOSE(CONTROL!$C$42, 12.4336, 12.4336) * CHOOSE(CONTROL!$C$21, $C$9, 100%, $E$9)</f>
        <v>12.4336</v>
      </c>
      <c r="O258" s="14">
        <f>CHOOSE(CONTROL!$C$42, 12.6834, 12.6834) * CHOOSE(CONTROL!$C$21, $C$9, 100%, $E$9)</f>
        <v>12.683400000000001</v>
      </c>
      <c r="P258" s="14">
        <f>CHOOSE(CONTROL!$C$42, 12.4808, 12.4808) * CHOOSE(CONTROL!$C$21, $C$9, 100%, $E$9)</f>
        <v>12.4808</v>
      </c>
      <c r="Q258" s="14">
        <f>CHOOSE(CONTROL!$C$42, 13.2781, 13.2781) * CHOOSE(CONTROL!$C$21, $C$9, 100%, $E$9)</f>
        <v>13.2781</v>
      </c>
      <c r="R258" s="14">
        <f>CHOOSE(CONTROL!$C$42, 13.8983, 13.8983) * CHOOSE(CONTROL!$C$21, $C$9, 100%, $E$9)</f>
        <v>13.898300000000001</v>
      </c>
      <c r="S258" s="14">
        <f>CHOOSE(CONTROL!$C$42, 12.1727, 12.1727) * CHOOSE(CONTROL!$C$21, $C$9, 100%, $E$9)</f>
        <v>12.172700000000001</v>
      </c>
      <c r="T2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7">
        <f>(1000*CHOOSE(CONTROL!$C$42, 695, 695)*CHOOSE(CONTROL!$C$42, 0.5599, 0.5599)*CHOOSE(CONTROL!$C$42, 30, 30))/1000000</f>
        <v>11.673914999999997</v>
      </c>
      <c r="V258" s="57">
        <f>(1000*CHOOSE(CONTROL!$C$42, 500, 500)*CHOOSE(CONTROL!$C$42, 0.275, 0.275)*CHOOSE(CONTROL!$C$42, 30, 30))/1000000</f>
        <v>4.125</v>
      </c>
      <c r="W258" s="57">
        <f>(1000*CHOOSE(CONTROL!$C$42, 0.1146, 0.1146)*CHOOSE(CONTROL!$C$42, 121.5, 121.5)*CHOOSE(CONTROL!$C$42, 30, 30))/1000000</f>
        <v>0.417717</v>
      </c>
      <c r="X258" s="57">
        <f>(30*0.1790888*245000/1000000)+(30*0.2374*100000/1000000)</f>
        <v>2.0285026799999999</v>
      </c>
      <c r="Y258" s="57"/>
      <c r="Z258" s="14"/>
      <c r="AA258" s="56"/>
      <c r="AB258" s="50">
        <f>(B258*194.205+C258*267.466+D258*133.845+E258*53.484+F258*40+G258*185+H258*0+I258*100+J258*300)/(194.205+267.466+133.845+53.484+0+40+185+100+300)</f>
        <v>12.721647022762951</v>
      </c>
      <c r="AC258" s="45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12.504919424460432</v>
      </c>
    </row>
    <row r="259" spans="1:29" ht="15.75" x14ac:dyDescent="0.25">
      <c r="A259" s="13">
        <v>48761</v>
      </c>
      <c r="B259" s="14">
        <f>CHOOSE(CONTROL!$C$42, 12.4361, 12.4361) * CHOOSE(CONTROL!$C$21, $C$9, 100%, $E$9)</f>
        <v>12.4361</v>
      </c>
      <c r="C259" s="14">
        <f>CHOOSE(CONTROL!$C$42, 12.4441, 12.4441) * CHOOSE(CONTROL!$C$21, $C$9, 100%, $E$9)</f>
        <v>12.444100000000001</v>
      </c>
      <c r="D259" s="14">
        <f>CHOOSE(CONTROL!$C$42, 12.6777, 12.6777) * CHOOSE(CONTROL!$C$21, $C$9, 100%, $E$9)</f>
        <v>12.6777</v>
      </c>
      <c r="E259" s="14">
        <f>CHOOSE(CONTROL!$C$42, 12.7092, 12.7092) * CHOOSE(CONTROL!$C$21, $C$9, 100%, $E$9)</f>
        <v>12.709199999999999</v>
      </c>
      <c r="F259" s="14">
        <f>CHOOSE(CONTROL!$C$42, 12.4339, 12.4339)*CHOOSE(CONTROL!$C$21, $C$9, 100%, $E$9)</f>
        <v>12.4339</v>
      </c>
      <c r="G259" s="14">
        <f>CHOOSE(CONTROL!$C$42, 12.4505, 12.4505)*CHOOSE(CONTROL!$C$21, $C$9, 100%, $E$9)</f>
        <v>12.4505</v>
      </c>
      <c r="H259" s="14">
        <f>CHOOSE(CONTROL!$C$42, 12.6978, 12.6978) * CHOOSE(CONTROL!$C$21, $C$9, 100%, $E$9)</f>
        <v>12.697800000000001</v>
      </c>
      <c r="I259" s="14">
        <f>CHOOSE(CONTROL!$C$42, 12.4909, 12.4909)* CHOOSE(CONTROL!$C$21, $C$9, 100%, $E$9)</f>
        <v>12.4909</v>
      </c>
      <c r="J259" s="14">
        <f>CHOOSE(CONTROL!$C$42, 12.4269, 12.4269)* CHOOSE(CONTROL!$C$21, $C$9, 100%, $E$9)</f>
        <v>12.4269</v>
      </c>
      <c r="K259" s="53">
        <f>CHOOSE(CONTROL!$C$42, 12.4871, 12.4871) * CHOOSE(CONTROL!$C$21, $C$9, 100%, $E$9)</f>
        <v>12.4871</v>
      </c>
      <c r="L259" s="14">
        <f>CHOOSE(CONTROL!$C$42, 13.2848, 13.2848) * CHOOSE(CONTROL!$C$21, $C$9, 100%, $E$9)</f>
        <v>13.284800000000001</v>
      </c>
      <c r="M259" s="14">
        <f>CHOOSE(CONTROL!$C$42, 12.18, 12.18) * CHOOSE(CONTROL!$C$21, $C$9, 100%, $E$9)</f>
        <v>12.18</v>
      </c>
      <c r="N259" s="14">
        <f>CHOOSE(CONTROL!$C$42, 12.1962, 12.1962) * CHOOSE(CONTROL!$C$21, $C$9, 100%, $E$9)</f>
        <v>12.196199999999999</v>
      </c>
      <c r="O259" s="14">
        <f>CHOOSE(CONTROL!$C$42, 12.4454, 12.4454) * CHOOSE(CONTROL!$C$21, $C$9, 100%, $E$9)</f>
        <v>12.445399999999999</v>
      </c>
      <c r="P259" s="14">
        <f>CHOOSE(CONTROL!$C$42, 12.242, 12.242) * CHOOSE(CONTROL!$C$21, $C$9, 100%, $E$9)</f>
        <v>12.242000000000001</v>
      </c>
      <c r="Q259" s="14">
        <f>CHOOSE(CONTROL!$C$42, 13.0401, 13.0401) * CHOOSE(CONTROL!$C$21, $C$9, 100%, $E$9)</f>
        <v>13.040100000000001</v>
      </c>
      <c r="R259" s="14">
        <f>CHOOSE(CONTROL!$C$42, 13.6597, 13.6597) * CHOOSE(CONTROL!$C$21, $C$9, 100%, $E$9)</f>
        <v>13.659700000000001</v>
      </c>
      <c r="S259" s="14">
        <f>CHOOSE(CONTROL!$C$42, 11.9392, 11.9392) * CHOOSE(CONTROL!$C$21, $C$9, 100%, $E$9)</f>
        <v>11.9392</v>
      </c>
      <c r="T2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7">
        <f>(1000*CHOOSE(CONTROL!$C$42, 695, 695)*CHOOSE(CONTROL!$C$42, 0.5599, 0.5599)*CHOOSE(CONTROL!$C$42, 31, 31))/1000000</f>
        <v>12.063045499999998</v>
      </c>
      <c r="V259" s="57">
        <f>(1000*CHOOSE(CONTROL!$C$42, 500, 500)*CHOOSE(CONTROL!$C$42, 0.275, 0.275)*CHOOSE(CONTROL!$C$42, 31, 31))/1000000</f>
        <v>4.2625000000000002</v>
      </c>
      <c r="W259" s="57">
        <f>(1000*CHOOSE(CONTROL!$C$42, 0.1146, 0.1146)*CHOOSE(CONTROL!$C$42, 121.5, 121.5)*CHOOSE(CONTROL!$C$42, 31, 31))/1000000</f>
        <v>0.43164089999999994</v>
      </c>
      <c r="X259" s="57">
        <f>(31*0.1790888*245000/1000000)+(31*0.2374*100000/1000000)</f>
        <v>2.0961194359999999</v>
      </c>
      <c r="Y259" s="57"/>
      <c r="Z259" s="14"/>
      <c r="AA259" s="56"/>
      <c r="AB259" s="50">
        <f>(B259*194.205+C259*267.466+D259*133.845+E259*53.484+F259*40+G259*185+H259*0+I259*100+J259*300)/(194.205+267.466+133.845+53.484+0+40+185+100+300)</f>
        <v>12.478783799372057</v>
      </c>
      <c r="AC259" s="45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12.26711510791367</v>
      </c>
    </row>
    <row r="260" spans="1:29" ht="15.75" x14ac:dyDescent="0.25">
      <c r="A260" s="13">
        <v>48792</v>
      </c>
      <c r="B260" s="14">
        <f>CHOOSE(CONTROL!$C$42, 11.8225, 11.8225) * CHOOSE(CONTROL!$C$21, $C$9, 100%, $E$9)</f>
        <v>11.8225</v>
      </c>
      <c r="C260" s="14">
        <f>CHOOSE(CONTROL!$C$42, 11.8305, 11.8305) * CHOOSE(CONTROL!$C$21, $C$9, 100%, $E$9)</f>
        <v>11.830500000000001</v>
      </c>
      <c r="D260" s="14">
        <f>CHOOSE(CONTROL!$C$42, 12.0641, 12.0641) * CHOOSE(CONTROL!$C$21, $C$9, 100%, $E$9)</f>
        <v>12.0641</v>
      </c>
      <c r="E260" s="14">
        <f>CHOOSE(CONTROL!$C$42, 12.0955, 12.0955) * CHOOSE(CONTROL!$C$21, $C$9, 100%, $E$9)</f>
        <v>12.095499999999999</v>
      </c>
      <c r="F260" s="14">
        <f>CHOOSE(CONTROL!$C$42, 11.8204, 11.8204)*CHOOSE(CONTROL!$C$21, $C$9, 100%, $E$9)</f>
        <v>11.820399999999999</v>
      </c>
      <c r="G260" s="14">
        <f>CHOOSE(CONTROL!$C$42, 11.8371, 11.8371)*CHOOSE(CONTROL!$C$21, $C$9, 100%, $E$9)</f>
        <v>11.8371</v>
      </c>
      <c r="H260" s="14">
        <f>CHOOSE(CONTROL!$C$42, 12.0842, 12.0842) * CHOOSE(CONTROL!$C$21, $C$9, 100%, $E$9)</f>
        <v>12.084199999999999</v>
      </c>
      <c r="I260" s="14">
        <f>CHOOSE(CONTROL!$C$42, 11.8754, 11.8754)* CHOOSE(CONTROL!$C$21, $C$9, 100%, $E$9)</f>
        <v>11.875400000000001</v>
      </c>
      <c r="J260" s="14">
        <f>CHOOSE(CONTROL!$C$42, 11.8134, 11.8134)* CHOOSE(CONTROL!$C$21, $C$9, 100%, $E$9)</f>
        <v>11.8134</v>
      </c>
      <c r="K260" s="53">
        <f>CHOOSE(CONTROL!$C$42, 11.8715, 11.8715) * CHOOSE(CONTROL!$C$21, $C$9, 100%, $E$9)</f>
        <v>11.871499999999999</v>
      </c>
      <c r="L260" s="14">
        <f>CHOOSE(CONTROL!$C$42, 12.6712, 12.6712) * CHOOSE(CONTROL!$C$21, $C$9, 100%, $E$9)</f>
        <v>12.671200000000001</v>
      </c>
      <c r="M260" s="14">
        <f>CHOOSE(CONTROL!$C$42, 11.5791, 11.5791) * CHOOSE(CONTROL!$C$21, $C$9, 100%, $E$9)</f>
        <v>11.5791</v>
      </c>
      <c r="N260" s="14">
        <f>CHOOSE(CONTROL!$C$42, 11.5954, 11.5954) * CHOOSE(CONTROL!$C$21, $C$9, 100%, $E$9)</f>
        <v>11.5954</v>
      </c>
      <c r="O260" s="14">
        <f>CHOOSE(CONTROL!$C$42, 11.8443, 11.8443) * CHOOSE(CONTROL!$C$21, $C$9, 100%, $E$9)</f>
        <v>11.8443</v>
      </c>
      <c r="P260" s="14">
        <f>CHOOSE(CONTROL!$C$42, 11.6391, 11.6391) * CHOOSE(CONTROL!$C$21, $C$9, 100%, $E$9)</f>
        <v>11.639099999999999</v>
      </c>
      <c r="Q260" s="14">
        <f>CHOOSE(CONTROL!$C$42, 12.439, 12.439) * CHOOSE(CONTROL!$C$21, $C$9, 100%, $E$9)</f>
        <v>12.439</v>
      </c>
      <c r="R260" s="14">
        <f>CHOOSE(CONTROL!$C$42, 13.0571, 13.0571) * CHOOSE(CONTROL!$C$21, $C$9, 100%, $E$9)</f>
        <v>13.0571</v>
      </c>
      <c r="S260" s="14">
        <f>CHOOSE(CONTROL!$C$42, 11.3496, 11.3496) * CHOOSE(CONTROL!$C$21, $C$9, 100%, $E$9)</f>
        <v>11.349600000000001</v>
      </c>
      <c r="T2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7">
        <f>(1000*CHOOSE(CONTROL!$C$42, 695, 695)*CHOOSE(CONTROL!$C$42, 0.5599, 0.5599)*CHOOSE(CONTROL!$C$42, 31, 31))/1000000</f>
        <v>12.063045499999998</v>
      </c>
      <c r="V260" s="57">
        <f>(1000*CHOOSE(CONTROL!$C$42, 500, 500)*CHOOSE(CONTROL!$C$42, 0.275, 0.275)*CHOOSE(CONTROL!$C$42, 31, 31))/1000000</f>
        <v>4.2625000000000002</v>
      </c>
      <c r="W260" s="57">
        <f>(1000*CHOOSE(CONTROL!$C$42, 0.1146, 0.1146)*CHOOSE(CONTROL!$C$42, 121.5, 121.5)*CHOOSE(CONTROL!$C$42, 31, 31))/1000000</f>
        <v>0.43164089999999994</v>
      </c>
      <c r="X260" s="57">
        <f>(31*0.1790888*245000/1000000)+(31*0.2374*100000/1000000)</f>
        <v>2.0961194359999999</v>
      </c>
      <c r="Y260" s="57"/>
      <c r="Z260" s="14"/>
      <c r="AA260" s="56"/>
      <c r="AB260" s="50">
        <f>(B260*194.205+C260*267.466+D260*133.845+E260*53.484+F260*40+G260*185+H260*0+I260*100+J260*300)/(194.205+267.466+133.845+53.484+0+40+185+100+300)</f>
        <v>11.865086194662481</v>
      </c>
      <c r="AC260" s="45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11.665894244604315</v>
      </c>
    </row>
    <row r="261" spans="1:29" ht="15.75" x14ac:dyDescent="0.25">
      <c r="A261" s="13">
        <v>48823</v>
      </c>
      <c r="B261" s="14">
        <f>CHOOSE(CONTROL!$C$42, 11.0722, 11.0722) * CHOOSE(CONTROL!$C$21, $C$9, 100%, $E$9)</f>
        <v>11.0722</v>
      </c>
      <c r="C261" s="14">
        <f>CHOOSE(CONTROL!$C$42, 11.0802, 11.0802) * CHOOSE(CONTROL!$C$21, $C$9, 100%, $E$9)</f>
        <v>11.0802</v>
      </c>
      <c r="D261" s="14">
        <f>CHOOSE(CONTROL!$C$42, 11.3138, 11.3138) * CHOOSE(CONTROL!$C$21, $C$9, 100%, $E$9)</f>
        <v>11.313800000000001</v>
      </c>
      <c r="E261" s="14">
        <f>CHOOSE(CONTROL!$C$42, 11.3453, 11.3453) * CHOOSE(CONTROL!$C$21, $C$9, 100%, $E$9)</f>
        <v>11.3453</v>
      </c>
      <c r="F261" s="14">
        <f>CHOOSE(CONTROL!$C$42, 11.0702, 11.0702)*CHOOSE(CONTROL!$C$21, $C$9, 100%, $E$9)</f>
        <v>11.0702</v>
      </c>
      <c r="G261" s="14">
        <f>CHOOSE(CONTROL!$C$42, 11.0869, 11.0869)*CHOOSE(CONTROL!$C$21, $C$9, 100%, $E$9)</f>
        <v>11.0869</v>
      </c>
      <c r="H261" s="14">
        <f>CHOOSE(CONTROL!$C$42, 11.3339, 11.3339) * CHOOSE(CONTROL!$C$21, $C$9, 100%, $E$9)</f>
        <v>11.3339</v>
      </c>
      <c r="I261" s="14">
        <f>CHOOSE(CONTROL!$C$42, 11.1228, 11.1228)* CHOOSE(CONTROL!$C$21, $C$9, 100%, $E$9)</f>
        <v>11.1228</v>
      </c>
      <c r="J261" s="14">
        <f>CHOOSE(CONTROL!$C$42, 11.0632, 11.0632)* CHOOSE(CONTROL!$C$21, $C$9, 100%, $E$9)</f>
        <v>11.0632</v>
      </c>
      <c r="K261" s="53">
        <f>CHOOSE(CONTROL!$C$42, 11.1189, 11.1189) * CHOOSE(CONTROL!$C$21, $C$9, 100%, $E$9)</f>
        <v>11.1189</v>
      </c>
      <c r="L261" s="14">
        <f>CHOOSE(CONTROL!$C$42, 11.9209, 11.9209) * CHOOSE(CONTROL!$C$21, $C$9, 100%, $E$9)</f>
        <v>11.9209</v>
      </c>
      <c r="M261" s="14">
        <f>CHOOSE(CONTROL!$C$42, 10.8442, 10.8442) * CHOOSE(CONTROL!$C$21, $C$9, 100%, $E$9)</f>
        <v>10.844200000000001</v>
      </c>
      <c r="N261" s="14">
        <f>CHOOSE(CONTROL!$C$42, 10.8605, 10.8605) * CHOOSE(CONTROL!$C$21, $C$9, 100%, $E$9)</f>
        <v>10.8605</v>
      </c>
      <c r="O261" s="14">
        <f>CHOOSE(CONTROL!$C$42, 11.1094, 11.1094) * CHOOSE(CONTROL!$C$21, $C$9, 100%, $E$9)</f>
        <v>11.109400000000001</v>
      </c>
      <c r="P261" s="14">
        <f>CHOOSE(CONTROL!$C$42, 10.9019, 10.9019) * CHOOSE(CONTROL!$C$21, $C$9, 100%, $E$9)</f>
        <v>10.901899999999999</v>
      </c>
      <c r="Q261" s="14">
        <f>CHOOSE(CONTROL!$C$42, 11.7041, 11.7041) * CHOOSE(CONTROL!$C$21, $C$9, 100%, $E$9)</f>
        <v>11.7041</v>
      </c>
      <c r="R261" s="14">
        <f>CHOOSE(CONTROL!$C$42, 12.3203, 12.3203) * CHOOSE(CONTROL!$C$21, $C$9, 100%, $E$9)</f>
        <v>12.3203</v>
      </c>
      <c r="S261" s="14">
        <f>CHOOSE(CONTROL!$C$42, 10.6286, 10.6286) * CHOOSE(CONTROL!$C$21, $C$9, 100%, $E$9)</f>
        <v>10.6286</v>
      </c>
      <c r="T2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7">
        <f>(1000*CHOOSE(CONTROL!$C$42, 695, 695)*CHOOSE(CONTROL!$C$42, 0.5599, 0.5599)*CHOOSE(CONTROL!$C$42, 30, 30))/1000000</f>
        <v>11.673914999999997</v>
      </c>
      <c r="V261" s="57">
        <f>(1000*CHOOSE(CONTROL!$C$42, 500, 500)*CHOOSE(CONTROL!$C$42, 0.275, 0.275)*CHOOSE(CONTROL!$C$42, 30, 30))/1000000</f>
        <v>4.125</v>
      </c>
      <c r="W261" s="57">
        <f>(1000*CHOOSE(CONTROL!$C$42, 0.1146, 0.1146)*CHOOSE(CONTROL!$C$42, 121.5, 121.5)*CHOOSE(CONTROL!$C$42, 30, 30))/1000000</f>
        <v>0.417717</v>
      </c>
      <c r="X261" s="57">
        <f>(30*0.1790888*245000/1000000)+(30*0.2374*100000/1000000)</f>
        <v>2.0285026799999999</v>
      </c>
      <c r="Y261" s="57"/>
      <c r="Z261" s="14"/>
      <c r="AA261" s="56"/>
      <c r="AB261" s="50">
        <f>(B261*194.205+C261*267.466+D261*133.845+E261*53.484+F261*40+G261*185+H261*0+I261*100+J261*300)/(194.205+267.466+133.845+53.484+0+40+185+100+300)</f>
        <v>11.114651067817897</v>
      </c>
      <c r="AC261" s="45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10.93066330935252</v>
      </c>
    </row>
    <row r="262" spans="1:29" ht="15.75" x14ac:dyDescent="0.25">
      <c r="A262" s="13">
        <v>48853</v>
      </c>
      <c r="B262" s="14">
        <f>CHOOSE(CONTROL!$C$42, 10.8459, 10.8459) * CHOOSE(CONTROL!$C$21, $C$9, 100%, $E$9)</f>
        <v>10.8459</v>
      </c>
      <c r="C262" s="14">
        <f>CHOOSE(CONTROL!$C$42, 10.8512, 10.8512) * CHOOSE(CONTROL!$C$21, $C$9, 100%, $E$9)</f>
        <v>10.8512</v>
      </c>
      <c r="D262" s="14">
        <f>CHOOSE(CONTROL!$C$42, 11.0898, 11.0898) * CHOOSE(CONTROL!$C$21, $C$9, 100%, $E$9)</f>
        <v>11.0898</v>
      </c>
      <c r="E262" s="14">
        <f>CHOOSE(CONTROL!$C$42, 11.1189, 11.1189) * CHOOSE(CONTROL!$C$21, $C$9, 100%, $E$9)</f>
        <v>11.1189</v>
      </c>
      <c r="F262" s="14">
        <f>CHOOSE(CONTROL!$C$42, 10.8459, 10.8459)*CHOOSE(CONTROL!$C$21, $C$9, 100%, $E$9)</f>
        <v>10.8459</v>
      </c>
      <c r="G262" s="14">
        <f>CHOOSE(CONTROL!$C$42, 10.8622, 10.8622)*CHOOSE(CONTROL!$C$21, $C$9, 100%, $E$9)</f>
        <v>10.8622</v>
      </c>
      <c r="H262" s="14">
        <f>CHOOSE(CONTROL!$C$42, 11.1093, 11.1093) * CHOOSE(CONTROL!$C$21, $C$9, 100%, $E$9)</f>
        <v>11.109299999999999</v>
      </c>
      <c r="I262" s="14">
        <f>CHOOSE(CONTROL!$C$42, 10.8975, 10.8975)* CHOOSE(CONTROL!$C$21, $C$9, 100%, $E$9)</f>
        <v>10.897500000000001</v>
      </c>
      <c r="J262" s="14">
        <f>CHOOSE(CONTROL!$C$42, 10.8389, 10.8389)* CHOOSE(CONTROL!$C$21, $C$9, 100%, $E$9)</f>
        <v>10.838900000000001</v>
      </c>
      <c r="K262" s="53">
        <f>CHOOSE(CONTROL!$C$42, 10.8936, 10.8936) * CHOOSE(CONTROL!$C$21, $C$9, 100%, $E$9)</f>
        <v>10.893599999999999</v>
      </c>
      <c r="L262" s="14">
        <f>CHOOSE(CONTROL!$C$42, 11.6963, 11.6963) * CHOOSE(CONTROL!$C$21, $C$9, 100%, $E$9)</f>
        <v>11.696300000000001</v>
      </c>
      <c r="M262" s="14">
        <f>CHOOSE(CONTROL!$C$42, 10.6245, 10.6245) * CHOOSE(CONTROL!$C$21, $C$9, 100%, $E$9)</f>
        <v>10.624499999999999</v>
      </c>
      <c r="N262" s="14">
        <f>CHOOSE(CONTROL!$C$42, 10.6404, 10.6404) * CHOOSE(CONTROL!$C$21, $C$9, 100%, $E$9)</f>
        <v>10.6404</v>
      </c>
      <c r="O262" s="14">
        <f>CHOOSE(CONTROL!$C$42, 10.8894, 10.8894) * CHOOSE(CONTROL!$C$21, $C$9, 100%, $E$9)</f>
        <v>10.8894</v>
      </c>
      <c r="P262" s="14">
        <f>CHOOSE(CONTROL!$C$42, 10.6813, 10.6813) * CHOOSE(CONTROL!$C$21, $C$9, 100%, $E$9)</f>
        <v>10.6813</v>
      </c>
      <c r="Q262" s="14">
        <f>CHOOSE(CONTROL!$C$42, 11.4841, 11.4841) * CHOOSE(CONTROL!$C$21, $C$9, 100%, $E$9)</f>
        <v>11.4841</v>
      </c>
      <c r="R262" s="14">
        <f>CHOOSE(CONTROL!$C$42, 12.0998, 12.0998) * CHOOSE(CONTROL!$C$21, $C$9, 100%, $E$9)</f>
        <v>12.0998</v>
      </c>
      <c r="S262" s="14">
        <f>CHOOSE(CONTROL!$C$42, 10.4129, 10.4129) * CHOOSE(CONTROL!$C$21, $C$9, 100%, $E$9)</f>
        <v>10.4129</v>
      </c>
      <c r="T2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7">
        <f>(1000*CHOOSE(CONTROL!$C$42, 695, 695)*CHOOSE(CONTROL!$C$42, 0.5599, 0.5599)*CHOOSE(CONTROL!$C$42, 31, 31))/1000000</f>
        <v>12.063045499999998</v>
      </c>
      <c r="V262" s="57">
        <f>(1000*CHOOSE(CONTROL!$C$42, 500, 500)*CHOOSE(CONTROL!$C$42, 0.275, 0.275)*CHOOSE(CONTROL!$C$42, 31, 31))/1000000</f>
        <v>4.2625000000000002</v>
      </c>
      <c r="W262" s="57">
        <f>(1000*CHOOSE(CONTROL!$C$42, 0.1146, 0.1146)*CHOOSE(CONTROL!$C$42, 121.5, 121.5)*CHOOSE(CONTROL!$C$42, 31, 31))/1000000</f>
        <v>0.43164089999999994</v>
      </c>
      <c r="X262" s="57">
        <f>(31*0.1790888*245000/1000000)+(31*0.2374*100000/1000000)</f>
        <v>2.0961194359999999</v>
      </c>
      <c r="Y262" s="57"/>
      <c r="Z262" s="14"/>
      <c r="AA262" s="56"/>
      <c r="AB262" s="50">
        <f>(B262*131.881+C262*277.167+D262*79.08+E262*125.872+F262*40+G262*185+H262*0+I262*100+J262*300)/(131.881+277.167+79.08+125.872+0+40+185+100+300)</f>
        <v>10.895290761178369</v>
      </c>
      <c r="AC262" s="45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10.710657553956834</v>
      </c>
    </row>
    <row r="263" spans="1:29" ht="15.75" x14ac:dyDescent="0.25">
      <c r="A263" s="13">
        <v>48884</v>
      </c>
      <c r="B263" s="14">
        <f>CHOOSE(CONTROL!$C$42, 11.1309, 11.1309) * CHOOSE(CONTROL!$C$21, $C$9, 100%, $E$9)</f>
        <v>11.1309</v>
      </c>
      <c r="C263" s="14">
        <f>CHOOSE(CONTROL!$C$42, 11.136, 11.136) * CHOOSE(CONTROL!$C$21, $C$9, 100%, $E$9)</f>
        <v>11.135999999999999</v>
      </c>
      <c r="D263" s="14">
        <f>CHOOSE(CONTROL!$C$42, 11.2102, 11.2102) * CHOOSE(CONTROL!$C$21, $C$9, 100%, $E$9)</f>
        <v>11.2102</v>
      </c>
      <c r="E263" s="14">
        <f>CHOOSE(CONTROL!$C$42, 11.2443, 11.2443) * CHOOSE(CONTROL!$C$21, $C$9, 100%, $E$9)</f>
        <v>11.244300000000001</v>
      </c>
      <c r="F263" s="14">
        <f>CHOOSE(CONTROL!$C$42, 11.143, 11.143)*CHOOSE(CONTROL!$C$21, $C$9, 100%, $E$9)</f>
        <v>11.143000000000001</v>
      </c>
      <c r="G263" s="14">
        <f>CHOOSE(CONTROL!$C$42, 11.1596, 11.1596)*CHOOSE(CONTROL!$C$21, $C$9, 100%, $E$9)</f>
        <v>11.159599999999999</v>
      </c>
      <c r="H263" s="14">
        <f>CHOOSE(CONTROL!$C$42, 11.2335, 11.2335) * CHOOSE(CONTROL!$C$21, $C$9, 100%, $E$9)</f>
        <v>11.233499999999999</v>
      </c>
      <c r="I263" s="14">
        <f>CHOOSE(CONTROL!$C$42, 11.1901, 11.1901)* CHOOSE(CONTROL!$C$21, $C$9, 100%, $E$9)</f>
        <v>11.190099999999999</v>
      </c>
      <c r="J263" s="14">
        <f>CHOOSE(CONTROL!$C$42, 11.136, 11.136)* CHOOSE(CONTROL!$C$21, $C$9, 100%, $E$9)</f>
        <v>11.135999999999999</v>
      </c>
      <c r="K263" s="53">
        <f>CHOOSE(CONTROL!$C$42, 11.1862, 11.1862) * CHOOSE(CONTROL!$C$21, $C$9, 100%, $E$9)</f>
        <v>11.186199999999999</v>
      </c>
      <c r="L263" s="14">
        <f>CHOOSE(CONTROL!$C$42, 11.8205, 11.8205) * CHOOSE(CONTROL!$C$21, $C$9, 100%, $E$9)</f>
        <v>11.820499999999999</v>
      </c>
      <c r="M263" s="14">
        <f>CHOOSE(CONTROL!$C$42, 10.9155, 10.9155) * CHOOSE(CONTROL!$C$21, $C$9, 100%, $E$9)</f>
        <v>10.9155</v>
      </c>
      <c r="N263" s="14">
        <f>CHOOSE(CONTROL!$C$42, 10.9317, 10.9317) * CHOOSE(CONTROL!$C$21, $C$9, 100%, $E$9)</f>
        <v>10.931699999999999</v>
      </c>
      <c r="O263" s="14">
        <f>CHOOSE(CONTROL!$C$42, 11.011, 11.011) * CHOOSE(CONTROL!$C$21, $C$9, 100%, $E$9)</f>
        <v>11.010999999999999</v>
      </c>
      <c r="P263" s="14">
        <f>CHOOSE(CONTROL!$C$42, 10.9679, 10.9679) * CHOOSE(CONTROL!$C$21, $C$9, 100%, $E$9)</f>
        <v>10.9679</v>
      </c>
      <c r="Q263" s="14">
        <f>CHOOSE(CONTROL!$C$42, 11.6057, 11.6057) * CHOOSE(CONTROL!$C$21, $C$9, 100%, $E$9)</f>
        <v>11.605700000000001</v>
      </c>
      <c r="R263" s="14">
        <f>CHOOSE(CONTROL!$C$42, 12.2217, 12.2217) * CHOOSE(CONTROL!$C$21, $C$9, 100%, $E$9)</f>
        <v>12.2217</v>
      </c>
      <c r="S263" s="14">
        <f>CHOOSE(CONTROL!$C$42, 10.6872, 10.6872) * CHOOSE(CONTROL!$C$21, $C$9, 100%, $E$9)</f>
        <v>10.687200000000001</v>
      </c>
      <c r="T2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7">
        <f>(1000*CHOOSE(CONTROL!$C$42, 695, 695)*CHOOSE(CONTROL!$C$42, 0.5599, 0.5599)*CHOOSE(CONTROL!$C$42, 30, 30))/1000000</f>
        <v>11.673914999999997</v>
      </c>
      <c r="V263" s="57">
        <f>(1000*CHOOSE(CONTROL!$C$42, 500, 500)*CHOOSE(CONTROL!$C$42, 0.275, 0.275)*CHOOSE(CONTROL!$C$42, 30, 30))/1000000</f>
        <v>4.125</v>
      </c>
      <c r="W263" s="57">
        <f>(1000*CHOOSE(CONTROL!$C$42, 0.1146, 0.1146)*CHOOSE(CONTROL!$C$42, 121.5, 121.5)*CHOOSE(CONTROL!$C$42, 30, 30))/1000000</f>
        <v>0.417717</v>
      </c>
      <c r="X263" s="57">
        <f>(30*0.1790888*100000/1000000)+(30*0.2374*100000/1000000)</f>
        <v>1.2494664</v>
      </c>
      <c r="Y263" s="57"/>
      <c r="Z263" s="14"/>
      <c r="AA263" s="56"/>
      <c r="AB263" s="50">
        <f>(B263*122.58+C263*297.941+D263*89.177+E263*40.302+F263*40+G263*160+H263*0+I263*100+J263*300)/(122.58+297.941+89.177+40.302+0+40+160+100+300)</f>
        <v>11.153236940869565</v>
      </c>
      <c r="AC263" s="45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10.967256115107913</v>
      </c>
    </row>
    <row r="264" spans="1:29" ht="15.75" x14ac:dyDescent="0.25">
      <c r="A264" s="13">
        <v>48914</v>
      </c>
      <c r="B264" s="14">
        <f>CHOOSE(CONTROL!$C$42, 11.8891, 11.8891) * CHOOSE(CONTROL!$C$21, $C$9, 100%, $E$9)</f>
        <v>11.889099999999999</v>
      </c>
      <c r="C264" s="14">
        <f>CHOOSE(CONTROL!$C$42, 11.8942, 11.8942) * CHOOSE(CONTROL!$C$21, $C$9, 100%, $E$9)</f>
        <v>11.8942</v>
      </c>
      <c r="D264" s="14">
        <f>CHOOSE(CONTROL!$C$42, 11.9684, 11.9684) * CHOOSE(CONTROL!$C$21, $C$9, 100%, $E$9)</f>
        <v>11.968400000000001</v>
      </c>
      <c r="E264" s="14">
        <f>CHOOSE(CONTROL!$C$42, 12.0025, 12.0025) * CHOOSE(CONTROL!$C$21, $C$9, 100%, $E$9)</f>
        <v>12.0025</v>
      </c>
      <c r="F264" s="14">
        <f>CHOOSE(CONTROL!$C$42, 11.9034, 11.9034)*CHOOSE(CONTROL!$C$21, $C$9, 100%, $E$9)</f>
        <v>11.9034</v>
      </c>
      <c r="G264" s="14">
        <f>CHOOSE(CONTROL!$C$42, 11.9205, 11.9205)*CHOOSE(CONTROL!$C$21, $C$9, 100%, $E$9)</f>
        <v>11.920500000000001</v>
      </c>
      <c r="H264" s="14">
        <f>CHOOSE(CONTROL!$C$42, 11.9917, 11.9917) * CHOOSE(CONTROL!$C$21, $C$9, 100%, $E$9)</f>
        <v>11.9917</v>
      </c>
      <c r="I264" s="14">
        <f>CHOOSE(CONTROL!$C$42, 11.9507, 11.9507)* CHOOSE(CONTROL!$C$21, $C$9, 100%, $E$9)</f>
        <v>11.950699999999999</v>
      </c>
      <c r="J264" s="14">
        <f>CHOOSE(CONTROL!$C$42, 11.8964, 11.8964)* CHOOSE(CONTROL!$C$21, $C$9, 100%, $E$9)</f>
        <v>11.8964</v>
      </c>
      <c r="K264" s="53">
        <f>CHOOSE(CONTROL!$C$42, 11.9468, 11.9468) * CHOOSE(CONTROL!$C$21, $C$9, 100%, $E$9)</f>
        <v>11.9468</v>
      </c>
      <c r="L264" s="14">
        <f>CHOOSE(CONTROL!$C$42, 12.5787, 12.5787) * CHOOSE(CONTROL!$C$21, $C$9, 100%, $E$9)</f>
        <v>12.5787</v>
      </c>
      <c r="M264" s="14">
        <f>CHOOSE(CONTROL!$C$42, 11.6603, 11.6603) * CHOOSE(CONTROL!$C$21, $C$9, 100%, $E$9)</f>
        <v>11.660299999999999</v>
      </c>
      <c r="N264" s="14">
        <f>CHOOSE(CONTROL!$C$42, 11.6771, 11.6771) * CHOOSE(CONTROL!$C$21, $C$9, 100%, $E$9)</f>
        <v>11.677099999999999</v>
      </c>
      <c r="O264" s="14">
        <f>CHOOSE(CONTROL!$C$42, 11.7537, 11.7537) * CHOOSE(CONTROL!$C$21, $C$9, 100%, $E$9)</f>
        <v>11.7537</v>
      </c>
      <c r="P264" s="14">
        <f>CHOOSE(CONTROL!$C$42, 11.7129, 11.7129) * CHOOSE(CONTROL!$C$21, $C$9, 100%, $E$9)</f>
        <v>11.712899999999999</v>
      </c>
      <c r="Q264" s="14">
        <f>CHOOSE(CONTROL!$C$42, 12.3484, 12.3484) * CHOOSE(CONTROL!$C$21, $C$9, 100%, $E$9)</f>
        <v>12.3484</v>
      </c>
      <c r="R264" s="14">
        <f>CHOOSE(CONTROL!$C$42, 12.9663, 12.9663) * CHOOSE(CONTROL!$C$21, $C$9, 100%, $E$9)</f>
        <v>12.9663</v>
      </c>
      <c r="S264" s="14">
        <f>CHOOSE(CONTROL!$C$42, 11.4157, 11.4157) * CHOOSE(CONTROL!$C$21, $C$9, 100%, $E$9)</f>
        <v>11.415699999999999</v>
      </c>
      <c r="T2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7">
        <f>(1000*CHOOSE(CONTROL!$C$42, 695, 695)*CHOOSE(CONTROL!$C$42, 0.5599, 0.5599)*CHOOSE(CONTROL!$C$42, 31, 31))/1000000</f>
        <v>12.063045499999998</v>
      </c>
      <c r="V264" s="57">
        <f>(1000*CHOOSE(CONTROL!$C$42, 500, 500)*CHOOSE(CONTROL!$C$42, 0.275, 0.275)*CHOOSE(CONTROL!$C$42, 31, 31))/1000000</f>
        <v>4.2625000000000002</v>
      </c>
      <c r="W264" s="57">
        <f>(1000*CHOOSE(CONTROL!$C$42, 0.1146, 0.1146)*CHOOSE(CONTROL!$C$42, 121.5, 121.5)*CHOOSE(CONTROL!$C$42, 31, 31))/1000000</f>
        <v>0.43164089999999994</v>
      </c>
      <c r="X264" s="57">
        <f>(31*0.1790888*100000/1000000)+(31*0.2374*100000/1000000)</f>
        <v>1.2911152800000001</v>
      </c>
      <c r="Y264" s="57"/>
      <c r="Z264" s="14"/>
      <c r="AA264" s="56"/>
      <c r="AB264" s="50">
        <f>(B264*122.58+C264*297.941+D264*89.177+E264*40.302+F264*40+G264*160+H264*0+I264*100+J264*300)/(122.58+297.941+89.177+40.302+0+40+160+100+300)</f>
        <v>11.91267172347826</v>
      </c>
      <c r="AC264" s="45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11.711167625899281</v>
      </c>
    </row>
    <row r="265" spans="1:29" ht="15.75" x14ac:dyDescent="0.25">
      <c r="A265" s="13">
        <v>48945</v>
      </c>
      <c r="B265" s="14">
        <f>CHOOSE(CONTROL!$C$42, 12.874, 12.874) * CHOOSE(CONTROL!$C$21, $C$9, 100%, $E$9)</f>
        <v>12.874000000000001</v>
      </c>
      <c r="C265" s="14">
        <f>CHOOSE(CONTROL!$C$42, 12.879, 12.879) * CHOOSE(CONTROL!$C$21, $C$9, 100%, $E$9)</f>
        <v>12.879</v>
      </c>
      <c r="D265" s="14">
        <f>CHOOSE(CONTROL!$C$42, 12.9558, 12.9558) * CHOOSE(CONTROL!$C$21, $C$9, 100%, $E$9)</f>
        <v>12.9558</v>
      </c>
      <c r="E265" s="14">
        <f>CHOOSE(CONTROL!$C$42, 12.9899, 12.9899) * CHOOSE(CONTROL!$C$21, $C$9, 100%, $E$9)</f>
        <v>12.9899</v>
      </c>
      <c r="F265" s="14">
        <f>CHOOSE(CONTROL!$C$42, 12.8742, 12.8742)*CHOOSE(CONTROL!$C$21, $C$9, 100%, $E$9)</f>
        <v>12.8742</v>
      </c>
      <c r="G265" s="14">
        <f>CHOOSE(CONTROL!$C$42, 12.8904, 12.8904)*CHOOSE(CONTROL!$C$21, $C$9, 100%, $E$9)</f>
        <v>12.8904</v>
      </c>
      <c r="H265" s="14">
        <f>CHOOSE(CONTROL!$C$42, 12.9791, 12.9791) * CHOOSE(CONTROL!$C$21, $C$9, 100%, $E$9)</f>
        <v>12.979100000000001</v>
      </c>
      <c r="I265" s="14">
        <f>CHOOSE(CONTROL!$C$42, 12.9323, 12.9323)* CHOOSE(CONTROL!$C$21, $C$9, 100%, $E$9)</f>
        <v>12.9323</v>
      </c>
      <c r="J265" s="14">
        <f>CHOOSE(CONTROL!$C$42, 12.8672, 12.8672)* CHOOSE(CONTROL!$C$21, $C$9, 100%, $E$9)</f>
        <v>12.8672</v>
      </c>
      <c r="K265" s="53">
        <f>CHOOSE(CONTROL!$C$42, 12.9284, 12.9284) * CHOOSE(CONTROL!$C$21, $C$9, 100%, $E$9)</f>
        <v>12.9284</v>
      </c>
      <c r="L265" s="14">
        <f>CHOOSE(CONTROL!$C$42, 13.5661, 13.5661) * CHOOSE(CONTROL!$C$21, $C$9, 100%, $E$9)</f>
        <v>13.5661</v>
      </c>
      <c r="M265" s="14">
        <f>CHOOSE(CONTROL!$C$42, 12.6112, 12.6112) * CHOOSE(CONTROL!$C$21, $C$9, 100%, $E$9)</f>
        <v>12.6112</v>
      </c>
      <c r="N265" s="14">
        <f>CHOOSE(CONTROL!$C$42, 12.6271, 12.6271) * CHOOSE(CONTROL!$C$21, $C$9, 100%, $E$9)</f>
        <v>12.6271</v>
      </c>
      <c r="O265" s="14">
        <f>CHOOSE(CONTROL!$C$42, 12.7209, 12.7209) * CHOOSE(CONTROL!$C$21, $C$9, 100%, $E$9)</f>
        <v>12.7209</v>
      </c>
      <c r="P265" s="14">
        <f>CHOOSE(CONTROL!$C$42, 12.6743, 12.6743) * CHOOSE(CONTROL!$C$21, $C$9, 100%, $E$9)</f>
        <v>12.674300000000001</v>
      </c>
      <c r="Q265" s="14">
        <f>CHOOSE(CONTROL!$C$42, 13.3156, 13.3156) * CHOOSE(CONTROL!$C$21, $C$9, 100%, $E$9)</f>
        <v>13.3156</v>
      </c>
      <c r="R265" s="14">
        <f>CHOOSE(CONTROL!$C$42, 13.9359, 13.9359) * CHOOSE(CONTROL!$C$21, $C$9, 100%, $E$9)</f>
        <v>13.9359</v>
      </c>
      <c r="S265" s="14">
        <f>CHOOSE(CONTROL!$C$42, 12.362, 12.362) * CHOOSE(CONTROL!$C$21, $C$9, 100%, $E$9)</f>
        <v>12.362</v>
      </c>
      <c r="T2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7">
        <f>(1000*CHOOSE(CONTROL!$C$42, 695, 695)*CHOOSE(CONTROL!$C$42, 0.5599, 0.5599)*CHOOSE(CONTROL!$C$42, 31, 31))/1000000</f>
        <v>12.063045499999998</v>
      </c>
      <c r="V265" s="57">
        <f>(1000*CHOOSE(CONTROL!$C$42, 500, 500)*CHOOSE(CONTROL!$C$42, 0.275, 0.275)*CHOOSE(CONTROL!$C$42, 31, 31))/1000000</f>
        <v>4.2625000000000002</v>
      </c>
      <c r="W265" s="57">
        <f>(1000*CHOOSE(CONTROL!$C$42, 0.1146, 0.1146)*CHOOSE(CONTROL!$C$42, 121.5, 121.5)*CHOOSE(CONTROL!$C$42, 31, 31))/1000000</f>
        <v>0.43164089999999994</v>
      </c>
      <c r="X265" s="57">
        <f>(31*0.1790888*100000/1000000)+(31*0.2374*100000/1000000)</f>
        <v>1.2911152800000001</v>
      </c>
      <c r="Y265" s="57"/>
      <c r="Z265" s="14"/>
      <c r="AA265" s="56"/>
      <c r="AB265" s="50">
        <f>(B265*122.58+C265*297.941+D265*89.177+E265*40.302+F265*40+G265*160+H265*0+I265*100+J265*300)/(122.58+297.941+89.177+40.302+0+40+160+100+300)</f>
        <v>12.891284682956522</v>
      </c>
      <c r="AC265" s="45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12.670914388489209</v>
      </c>
    </row>
    <row r="266" spans="1:29" ht="15.75" x14ac:dyDescent="0.25">
      <c r="A266" s="13">
        <v>48976</v>
      </c>
      <c r="B266" s="14">
        <f>CHOOSE(CONTROL!$C$42, 13.103, 13.103) * CHOOSE(CONTROL!$C$21, $C$9, 100%, $E$9)</f>
        <v>13.103</v>
      </c>
      <c r="C266" s="14">
        <f>CHOOSE(CONTROL!$C$42, 13.108, 13.108) * CHOOSE(CONTROL!$C$21, $C$9, 100%, $E$9)</f>
        <v>13.108000000000001</v>
      </c>
      <c r="D266" s="14">
        <f>CHOOSE(CONTROL!$C$42, 13.1848, 13.1848) * CHOOSE(CONTROL!$C$21, $C$9, 100%, $E$9)</f>
        <v>13.184799999999999</v>
      </c>
      <c r="E266" s="14">
        <f>CHOOSE(CONTROL!$C$42, 13.2189, 13.2189) * CHOOSE(CONTROL!$C$21, $C$9, 100%, $E$9)</f>
        <v>13.2189</v>
      </c>
      <c r="F266" s="14">
        <f>CHOOSE(CONTROL!$C$42, 13.1032, 13.1032)*CHOOSE(CONTROL!$C$21, $C$9, 100%, $E$9)</f>
        <v>13.103199999999999</v>
      </c>
      <c r="G266" s="14">
        <f>CHOOSE(CONTROL!$C$42, 13.1194, 13.1194)*CHOOSE(CONTROL!$C$21, $C$9, 100%, $E$9)</f>
        <v>13.119400000000001</v>
      </c>
      <c r="H266" s="14">
        <f>CHOOSE(CONTROL!$C$42, 13.2081, 13.2081) * CHOOSE(CONTROL!$C$21, $C$9, 100%, $E$9)</f>
        <v>13.2081</v>
      </c>
      <c r="I266" s="14">
        <f>CHOOSE(CONTROL!$C$42, 13.1621, 13.1621)* CHOOSE(CONTROL!$C$21, $C$9, 100%, $E$9)</f>
        <v>13.162100000000001</v>
      </c>
      <c r="J266" s="14">
        <f>CHOOSE(CONTROL!$C$42, 13.0962, 13.0962)* CHOOSE(CONTROL!$C$21, $C$9, 100%, $E$9)</f>
        <v>13.0962</v>
      </c>
      <c r="K266" s="53">
        <f>CHOOSE(CONTROL!$C$42, 13.1582, 13.1582) * CHOOSE(CONTROL!$C$21, $C$9, 100%, $E$9)</f>
        <v>13.158200000000001</v>
      </c>
      <c r="L266" s="14">
        <f>CHOOSE(CONTROL!$C$42, 13.7951, 13.7951) * CHOOSE(CONTROL!$C$21, $C$9, 100%, $E$9)</f>
        <v>13.7951</v>
      </c>
      <c r="M266" s="14">
        <f>CHOOSE(CONTROL!$C$42, 12.8356, 12.8356) * CHOOSE(CONTROL!$C$21, $C$9, 100%, $E$9)</f>
        <v>12.835599999999999</v>
      </c>
      <c r="N266" s="14">
        <f>CHOOSE(CONTROL!$C$42, 12.8515, 12.8515) * CHOOSE(CONTROL!$C$21, $C$9, 100%, $E$9)</f>
        <v>12.8515</v>
      </c>
      <c r="O266" s="14">
        <f>CHOOSE(CONTROL!$C$42, 12.9452, 12.9452) * CHOOSE(CONTROL!$C$21, $C$9, 100%, $E$9)</f>
        <v>12.9452</v>
      </c>
      <c r="P266" s="14">
        <f>CHOOSE(CONTROL!$C$42, 12.8993, 12.8993) * CHOOSE(CONTROL!$C$21, $C$9, 100%, $E$9)</f>
        <v>12.8993</v>
      </c>
      <c r="Q266" s="14">
        <f>CHOOSE(CONTROL!$C$42, 13.5399, 13.5399) * CHOOSE(CONTROL!$C$21, $C$9, 100%, $E$9)</f>
        <v>13.539899999999999</v>
      </c>
      <c r="R266" s="14">
        <f>CHOOSE(CONTROL!$C$42, 14.1608, 14.1608) * CHOOSE(CONTROL!$C$21, $C$9, 100%, $E$9)</f>
        <v>14.1608</v>
      </c>
      <c r="S266" s="14">
        <f>CHOOSE(CONTROL!$C$42, 12.5821, 12.5821) * CHOOSE(CONTROL!$C$21, $C$9, 100%, $E$9)</f>
        <v>12.582100000000001</v>
      </c>
      <c r="T2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7">
        <f>(1000*CHOOSE(CONTROL!$C$42, 695, 695)*CHOOSE(CONTROL!$C$42, 0.5599, 0.5599)*CHOOSE(CONTROL!$C$42, 28, 28))/1000000</f>
        <v>10.895653999999999</v>
      </c>
      <c r="V266" s="57">
        <f>(1000*CHOOSE(CONTROL!$C$42, 500, 500)*CHOOSE(CONTROL!$C$42, 0.275, 0.275)*CHOOSE(CONTROL!$C$42, 28, 28))/1000000</f>
        <v>3.85</v>
      </c>
      <c r="W266" s="57">
        <f>(1000*CHOOSE(CONTROL!$C$42, 0.1146, 0.1146)*CHOOSE(CONTROL!$C$42, 121.5, 121.5)*CHOOSE(CONTROL!$C$42, 28, 28))/1000000</f>
        <v>0.38986920000000003</v>
      </c>
      <c r="X266" s="57">
        <f>(28*0.1790888*100000/1000000)+(28*0.2374*100000/1000000)</f>
        <v>1.16616864</v>
      </c>
      <c r="Y266" s="57"/>
      <c r="Z266" s="14"/>
      <c r="AA266" s="56"/>
      <c r="AB266" s="50">
        <f>(B266*122.58+C266*297.941+D266*89.177+E266*40.302+F266*40+G266*160+H266*0+I266*100+J266*300)/(122.58+297.941+89.177+40.302+0+40+160+100+300)</f>
        <v>13.120354248173914</v>
      </c>
      <c r="AC266" s="45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12.895355395683453</v>
      </c>
    </row>
    <row r="267" spans="1:29" ht="15.75" x14ac:dyDescent="0.25">
      <c r="A267" s="13">
        <v>49004</v>
      </c>
      <c r="B267" s="14">
        <f>CHOOSE(CONTROL!$C$42, 12.7312, 12.7312) * CHOOSE(CONTROL!$C$21, $C$9, 100%, $E$9)</f>
        <v>12.731199999999999</v>
      </c>
      <c r="C267" s="14">
        <f>CHOOSE(CONTROL!$C$42, 12.7363, 12.7363) * CHOOSE(CONTROL!$C$21, $C$9, 100%, $E$9)</f>
        <v>12.7363</v>
      </c>
      <c r="D267" s="14">
        <f>CHOOSE(CONTROL!$C$42, 12.8131, 12.8131) * CHOOSE(CONTROL!$C$21, $C$9, 100%, $E$9)</f>
        <v>12.8131</v>
      </c>
      <c r="E267" s="14">
        <f>CHOOSE(CONTROL!$C$42, 12.8472, 12.8472) * CHOOSE(CONTROL!$C$21, $C$9, 100%, $E$9)</f>
        <v>12.847200000000001</v>
      </c>
      <c r="F267" s="14">
        <f>CHOOSE(CONTROL!$C$42, 12.731, 12.731)*CHOOSE(CONTROL!$C$21, $C$9, 100%, $E$9)</f>
        <v>12.731</v>
      </c>
      <c r="G267" s="14">
        <f>CHOOSE(CONTROL!$C$42, 12.7471, 12.7471)*CHOOSE(CONTROL!$C$21, $C$9, 100%, $E$9)</f>
        <v>12.7471</v>
      </c>
      <c r="H267" s="14">
        <f>CHOOSE(CONTROL!$C$42, 12.8364, 12.8364) * CHOOSE(CONTROL!$C$21, $C$9, 100%, $E$9)</f>
        <v>12.836399999999999</v>
      </c>
      <c r="I267" s="14">
        <f>CHOOSE(CONTROL!$C$42, 12.7892, 12.7892)* CHOOSE(CONTROL!$C$21, $C$9, 100%, $E$9)</f>
        <v>12.789199999999999</v>
      </c>
      <c r="J267" s="14">
        <f>CHOOSE(CONTROL!$C$42, 12.724, 12.724)* CHOOSE(CONTROL!$C$21, $C$9, 100%, $E$9)</f>
        <v>12.724</v>
      </c>
      <c r="K267" s="53">
        <f>CHOOSE(CONTROL!$C$42, 12.7853, 12.7853) * CHOOSE(CONTROL!$C$21, $C$9, 100%, $E$9)</f>
        <v>12.785299999999999</v>
      </c>
      <c r="L267" s="14">
        <f>CHOOSE(CONTROL!$C$42, 13.4234, 13.4234) * CHOOSE(CONTROL!$C$21, $C$9, 100%, $E$9)</f>
        <v>13.423400000000001</v>
      </c>
      <c r="M267" s="14">
        <f>CHOOSE(CONTROL!$C$42, 12.471, 12.471) * CHOOSE(CONTROL!$C$21, $C$9, 100%, $E$9)</f>
        <v>12.471</v>
      </c>
      <c r="N267" s="14">
        <f>CHOOSE(CONTROL!$C$42, 12.4868, 12.4868) * CHOOSE(CONTROL!$C$21, $C$9, 100%, $E$9)</f>
        <v>12.486800000000001</v>
      </c>
      <c r="O267" s="14">
        <f>CHOOSE(CONTROL!$C$42, 12.5811, 12.5811) * CHOOSE(CONTROL!$C$21, $C$9, 100%, $E$9)</f>
        <v>12.581099999999999</v>
      </c>
      <c r="P267" s="14">
        <f>CHOOSE(CONTROL!$C$42, 12.5341, 12.5341) * CHOOSE(CONTROL!$C$21, $C$9, 100%, $E$9)</f>
        <v>12.5341</v>
      </c>
      <c r="Q267" s="14">
        <f>CHOOSE(CONTROL!$C$42, 13.1758, 13.1758) * CHOOSE(CONTROL!$C$21, $C$9, 100%, $E$9)</f>
        <v>13.175800000000001</v>
      </c>
      <c r="R267" s="14">
        <f>CHOOSE(CONTROL!$C$42, 13.7957, 13.7957) * CHOOSE(CONTROL!$C$21, $C$9, 100%, $E$9)</f>
        <v>13.7957</v>
      </c>
      <c r="S267" s="14">
        <f>CHOOSE(CONTROL!$C$42, 12.2249, 12.2249) * CHOOSE(CONTROL!$C$21, $C$9, 100%, $E$9)</f>
        <v>12.2249</v>
      </c>
      <c r="T2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7">
        <f>(1000*CHOOSE(CONTROL!$C$42, 695, 695)*CHOOSE(CONTROL!$C$42, 0.5599, 0.5599)*CHOOSE(CONTROL!$C$42, 31, 31))/1000000</f>
        <v>12.063045499999998</v>
      </c>
      <c r="V267" s="57">
        <f>(1000*CHOOSE(CONTROL!$C$42, 500, 500)*CHOOSE(CONTROL!$C$42, 0.275, 0.275)*CHOOSE(CONTROL!$C$42, 31, 31))/1000000</f>
        <v>4.2625000000000002</v>
      </c>
      <c r="W267" s="57">
        <f>(1000*CHOOSE(CONTROL!$C$42, 0.1146, 0.1146)*CHOOSE(CONTROL!$C$42, 121.5, 121.5)*CHOOSE(CONTROL!$C$42, 31, 31))/1000000</f>
        <v>0.43164089999999994</v>
      </c>
      <c r="X267" s="57">
        <f>(31*0.1790888*100000/1000000)+(31*0.2374*100000/1000000)</f>
        <v>1.2911152800000001</v>
      </c>
      <c r="Y267" s="57"/>
      <c r="Z267" s="14"/>
      <c r="AA267" s="56"/>
      <c r="AB267" s="50">
        <f>(B267*122.58+C267*297.941+D267*89.177+E267*40.302+F267*40+G267*160+H267*0+I267*100+J267*300)/(122.58+297.941+89.177+40.302+0+40+160+100+300)</f>
        <v>12.748307936869566</v>
      </c>
      <c r="AC267" s="45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12.530889928057555</v>
      </c>
    </row>
    <row r="268" spans="1:29" ht="15.75" x14ac:dyDescent="0.25">
      <c r="A268" s="13">
        <v>49035</v>
      </c>
      <c r="B268" s="14">
        <f>CHOOSE(CONTROL!$C$42, 12.6944, 12.6944) * CHOOSE(CONTROL!$C$21, $C$9, 100%, $E$9)</f>
        <v>12.6944</v>
      </c>
      <c r="C268" s="14">
        <f>CHOOSE(CONTROL!$C$42, 12.6989, 12.6989) * CHOOSE(CONTROL!$C$21, $C$9, 100%, $E$9)</f>
        <v>12.6989</v>
      </c>
      <c r="D268" s="14">
        <f>CHOOSE(CONTROL!$C$42, 12.9356, 12.9356) * CHOOSE(CONTROL!$C$21, $C$9, 100%, $E$9)</f>
        <v>12.935600000000001</v>
      </c>
      <c r="E268" s="14">
        <f>CHOOSE(CONTROL!$C$42, 12.9677, 12.9677) * CHOOSE(CONTROL!$C$21, $C$9, 100%, $E$9)</f>
        <v>12.967700000000001</v>
      </c>
      <c r="F268" s="14">
        <f>CHOOSE(CONTROL!$C$42, 12.6923, 12.6923)*CHOOSE(CONTROL!$C$21, $C$9, 100%, $E$9)</f>
        <v>12.692299999999999</v>
      </c>
      <c r="G268" s="14">
        <f>CHOOSE(CONTROL!$C$42, 12.7081, 12.7081)*CHOOSE(CONTROL!$C$21, $C$9, 100%, $E$9)</f>
        <v>12.7081</v>
      </c>
      <c r="H268" s="14">
        <f>CHOOSE(CONTROL!$C$42, 12.9575, 12.9575) * CHOOSE(CONTROL!$C$21, $C$9, 100%, $E$9)</f>
        <v>12.9575</v>
      </c>
      <c r="I268" s="14">
        <f>CHOOSE(CONTROL!$C$42, 12.7514, 12.7514)* CHOOSE(CONTROL!$C$21, $C$9, 100%, $E$9)</f>
        <v>12.7514</v>
      </c>
      <c r="J268" s="14">
        <f>CHOOSE(CONTROL!$C$42, 12.6853, 12.6853)* CHOOSE(CONTROL!$C$21, $C$9, 100%, $E$9)</f>
        <v>12.6853</v>
      </c>
      <c r="K268" s="53">
        <f>CHOOSE(CONTROL!$C$42, 12.7475, 12.7475) * CHOOSE(CONTROL!$C$21, $C$9, 100%, $E$9)</f>
        <v>12.7475</v>
      </c>
      <c r="L268" s="14">
        <f>CHOOSE(CONTROL!$C$42, 13.5445, 13.5445) * CHOOSE(CONTROL!$C$21, $C$9, 100%, $E$9)</f>
        <v>13.544499999999999</v>
      </c>
      <c r="M268" s="14">
        <f>CHOOSE(CONTROL!$C$42, 12.4331, 12.4331) * CHOOSE(CONTROL!$C$21, $C$9, 100%, $E$9)</f>
        <v>12.4331</v>
      </c>
      <c r="N268" s="14">
        <f>CHOOSE(CONTROL!$C$42, 12.4486, 12.4486) * CHOOSE(CONTROL!$C$21, $C$9, 100%, $E$9)</f>
        <v>12.448600000000001</v>
      </c>
      <c r="O268" s="14">
        <f>CHOOSE(CONTROL!$C$42, 12.6997, 12.6997) * CHOOSE(CONTROL!$C$21, $C$9, 100%, $E$9)</f>
        <v>12.6997</v>
      </c>
      <c r="P268" s="14">
        <f>CHOOSE(CONTROL!$C$42, 12.4971, 12.4971) * CHOOSE(CONTROL!$C$21, $C$9, 100%, $E$9)</f>
        <v>12.4971</v>
      </c>
      <c r="Q268" s="14">
        <f>CHOOSE(CONTROL!$C$42, 13.2944, 13.2944) * CHOOSE(CONTROL!$C$21, $C$9, 100%, $E$9)</f>
        <v>13.2944</v>
      </c>
      <c r="R268" s="14">
        <f>CHOOSE(CONTROL!$C$42, 13.9146, 13.9146) * CHOOSE(CONTROL!$C$21, $C$9, 100%, $E$9)</f>
        <v>13.9146</v>
      </c>
      <c r="S268" s="14">
        <f>CHOOSE(CONTROL!$C$42, 12.1887, 12.1887) * CHOOSE(CONTROL!$C$21, $C$9, 100%, $E$9)</f>
        <v>12.188700000000001</v>
      </c>
      <c r="T2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7">
        <f>(1000*CHOOSE(CONTROL!$C$42, 695, 695)*CHOOSE(CONTROL!$C$42, 0.5599, 0.5599)*CHOOSE(CONTROL!$C$42, 30, 30))/1000000</f>
        <v>11.673914999999997</v>
      </c>
      <c r="V268" s="57">
        <f>(1000*CHOOSE(CONTROL!$C$42, 500, 500)*CHOOSE(CONTROL!$C$42, 0.275, 0.275)*CHOOSE(CONTROL!$C$42, 30, 30))/1000000</f>
        <v>4.125</v>
      </c>
      <c r="W268" s="57">
        <f>(1000*CHOOSE(CONTROL!$C$42, 0.1146, 0.1146)*CHOOSE(CONTROL!$C$42, 121.5, 121.5)*CHOOSE(CONTROL!$C$42, 30, 30))/1000000</f>
        <v>0.417717</v>
      </c>
      <c r="X268" s="57">
        <f>(30*0.1790888*245000/1000000)+(30*0.2374*100000/1000000)</f>
        <v>2.0285026799999999</v>
      </c>
      <c r="Y268" s="57"/>
      <c r="Z268" s="14"/>
      <c r="AA268" s="56"/>
      <c r="AB268" s="50">
        <f>(B268*141.293+C268*267.993+D268*115.016+E268*89.698+F268*40+G268*185+H268*0+I268*100+J268*300)/(141.293+267.993+115.016+89.698+0+40+185+100+300)</f>
        <v>12.741924448022598</v>
      </c>
      <c r="AC268" s="45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12.520678417266188</v>
      </c>
    </row>
    <row r="269" spans="1:29" ht="15.75" x14ac:dyDescent="0.25">
      <c r="A269" s="13">
        <v>49065</v>
      </c>
      <c r="B269" s="14">
        <f>CHOOSE(CONTROL!$C$42, 12.8077, 12.8077) * CHOOSE(CONTROL!$C$21, $C$9, 100%, $E$9)</f>
        <v>12.807700000000001</v>
      </c>
      <c r="C269" s="14">
        <f>CHOOSE(CONTROL!$C$42, 12.8157, 12.8157) * CHOOSE(CONTROL!$C$21, $C$9, 100%, $E$9)</f>
        <v>12.8157</v>
      </c>
      <c r="D269" s="14">
        <f>CHOOSE(CONTROL!$C$42, 13.0493, 13.0493) * CHOOSE(CONTROL!$C$21, $C$9, 100%, $E$9)</f>
        <v>13.049300000000001</v>
      </c>
      <c r="E269" s="14">
        <f>CHOOSE(CONTROL!$C$42, 13.0808, 13.0808) * CHOOSE(CONTROL!$C$21, $C$9, 100%, $E$9)</f>
        <v>13.0808</v>
      </c>
      <c r="F269" s="14">
        <f>CHOOSE(CONTROL!$C$42, 12.8045, 12.8045)*CHOOSE(CONTROL!$C$21, $C$9, 100%, $E$9)</f>
        <v>12.804500000000001</v>
      </c>
      <c r="G269" s="14">
        <f>CHOOSE(CONTROL!$C$42, 12.8208, 12.8208)*CHOOSE(CONTROL!$C$21, $C$9, 100%, $E$9)</f>
        <v>12.8208</v>
      </c>
      <c r="H269" s="14">
        <f>CHOOSE(CONTROL!$C$42, 13.0694, 13.0694) * CHOOSE(CONTROL!$C$21, $C$9, 100%, $E$9)</f>
        <v>13.0694</v>
      </c>
      <c r="I269" s="14">
        <f>CHOOSE(CONTROL!$C$42, 12.8637, 12.8637)* CHOOSE(CONTROL!$C$21, $C$9, 100%, $E$9)</f>
        <v>12.8637</v>
      </c>
      <c r="J269" s="14">
        <f>CHOOSE(CONTROL!$C$42, 12.7975, 12.7975)* CHOOSE(CONTROL!$C$21, $C$9, 100%, $E$9)</f>
        <v>12.797499999999999</v>
      </c>
      <c r="K269" s="53">
        <f>CHOOSE(CONTROL!$C$42, 12.8598, 12.8598) * CHOOSE(CONTROL!$C$21, $C$9, 100%, $E$9)</f>
        <v>12.8598</v>
      </c>
      <c r="L269" s="14">
        <f>CHOOSE(CONTROL!$C$42, 13.6564, 13.6564) * CHOOSE(CONTROL!$C$21, $C$9, 100%, $E$9)</f>
        <v>13.6564</v>
      </c>
      <c r="M269" s="14">
        <f>CHOOSE(CONTROL!$C$42, 12.543, 12.543) * CHOOSE(CONTROL!$C$21, $C$9, 100%, $E$9)</f>
        <v>12.542999999999999</v>
      </c>
      <c r="N269" s="14">
        <f>CHOOSE(CONTROL!$C$42, 12.559, 12.559) * CHOOSE(CONTROL!$C$21, $C$9, 100%, $E$9)</f>
        <v>12.558999999999999</v>
      </c>
      <c r="O269" s="14">
        <f>CHOOSE(CONTROL!$C$42, 12.8093, 12.8093) * CHOOSE(CONTROL!$C$21, $C$9, 100%, $E$9)</f>
        <v>12.8093</v>
      </c>
      <c r="P269" s="14">
        <f>CHOOSE(CONTROL!$C$42, 12.6071, 12.6071) * CHOOSE(CONTROL!$C$21, $C$9, 100%, $E$9)</f>
        <v>12.607100000000001</v>
      </c>
      <c r="Q269" s="14">
        <f>CHOOSE(CONTROL!$C$42, 13.404, 13.404) * CHOOSE(CONTROL!$C$21, $C$9, 100%, $E$9)</f>
        <v>13.404</v>
      </c>
      <c r="R269" s="14">
        <f>CHOOSE(CONTROL!$C$42, 14.0246, 14.0246) * CHOOSE(CONTROL!$C$21, $C$9, 100%, $E$9)</f>
        <v>14.0246</v>
      </c>
      <c r="S269" s="14">
        <f>CHOOSE(CONTROL!$C$42, 12.2963, 12.2963) * CHOOSE(CONTROL!$C$21, $C$9, 100%, $E$9)</f>
        <v>12.2963</v>
      </c>
      <c r="T2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7">
        <f>(1000*CHOOSE(CONTROL!$C$42, 695, 695)*CHOOSE(CONTROL!$C$42, 0.5599, 0.5599)*CHOOSE(CONTROL!$C$42, 31, 31))/1000000</f>
        <v>12.063045499999998</v>
      </c>
      <c r="V269" s="57">
        <f>(1000*CHOOSE(CONTROL!$C$42, 500, 500)*CHOOSE(CONTROL!$C$42, 0.275, 0.275)*CHOOSE(CONTROL!$C$42, 31, 31))/1000000</f>
        <v>4.2625000000000002</v>
      </c>
      <c r="W269" s="57">
        <f>(1000*CHOOSE(CONTROL!$C$42, 0.1146, 0.1146)*CHOOSE(CONTROL!$C$42, 121.5, 121.5)*CHOOSE(CONTROL!$C$42, 31, 31))/1000000</f>
        <v>0.43164089999999994</v>
      </c>
      <c r="X269" s="57">
        <f>(31*0.1790888*245000/1000000)+(31*0.2374*100000/1000000)</f>
        <v>2.0961194359999999</v>
      </c>
      <c r="Y269" s="57"/>
      <c r="Z269" s="14"/>
      <c r="AA269" s="56"/>
      <c r="AB269" s="50">
        <f>(B269*194.205+C269*267.466+D269*133.845+E269*53.484+F269*40+G269*185+H269*0+I269*100+J269*300)/(194.205+267.466+133.845+53.484+0+40+185+100+300)</f>
        <v>12.850022339403452</v>
      </c>
      <c r="AC269" s="45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12.630623741007193</v>
      </c>
    </row>
    <row r="270" spans="1:29" ht="15.75" x14ac:dyDescent="0.25">
      <c r="A270" s="13">
        <v>49096</v>
      </c>
      <c r="B270" s="14">
        <f>CHOOSE(CONTROL!$C$42, 13.1707, 13.1707) * CHOOSE(CONTROL!$C$21, $C$9, 100%, $E$9)</f>
        <v>13.1707</v>
      </c>
      <c r="C270" s="14">
        <f>CHOOSE(CONTROL!$C$42, 13.1787, 13.1787) * CHOOSE(CONTROL!$C$21, $C$9, 100%, $E$9)</f>
        <v>13.178699999999999</v>
      </c>
      <c r="D270" s="14">
        <f>CHOOSE(CONTROL!$C$42, 13.4123, 13.4123) * CHOOSE(CONTROL!$C$21, $C$9, 100%, $E$9)</f>
        <v>13.4123</v>
      </c>
      <c r="E270" s="14">
        <f>CHOOSE(CONTROL!$C$42, 13.4438, 13.4438) * CHOOSE(CONTROL!$C$21, $C$9, 100%, $E$9)</f>
        <v>13.4438</v>
      </c>
      <c r="F270" s="14">
        <f>CHOOSE(CONTROL!$C$42, 13.1679, 13.1679)*CHOOSE(CONTROL!$C$21, $C$9, 100%, $E$9)</f>
        <v>13.167899999999999</v>
      </c>
      <c r="G270" s="14">
        <f>CHOOSE(CONTROL!$C$42, 13.1844, 13.1844)*CHOOSE(CONTROL!$C$21, $C$9, 100%, $E$9)</f>
        <v>13.1844</v>
      </c>
      <c r="H270" s="14">
        <f>CHOOSE(CONTROL!$C$42, 13.4324, 13.4324) * CHOOSE(CONTROL!$C$21, $C$9, 100%, $E$9)</f>
        <v>13.432399999999999</v>
      </c>
      <c r="I270" s="14">
        <f>CHOOSE(CONTROL!$C$42, 13.2278, 13.2278)* CHOOSE(CONTROL!$C$21, $C$9, 100%, $E$9)</f>
        <v>13.2278</v>
      </c>
      <c r="J270" s="14">
        <f>CHOOSE(CONTROL!$C$42, 13.1609, 13.1609)* CHOOSE(CONTROL!$C$21, $C$9, 100%, $E$9)</f>
        <v>13.1609</v>
      </c>
      <c r="K270" s="53">
        <f>CHOOSE(CONTROL!$C$42, 13.2239, 13.2239) * CHOOSE(CONTROL!$C$21, $C$9, 100%, $E$9)</f>
        <v>13.2239</v>
      </c>
      <c r="L270" s="14">
        <f>CHOOSE(CONTROL!$C$42, 14.0194, 14.0194) * CHOOSE(CONTROL!$C$21, $C$9, 100%, $E$9)</f>
        <v>14.019399999999999</v>
      </c>
      <c r="M270" s="14">
        <f>CHOOSE(CONTROL!$C$42, 12.899, 12.899) * CHOOSE(CONTROL!$C$21, $C$9, 100%, $E$9)</f>
        <v>12.898999999999999</v>
      </c>
      <c r="N270" s="14">
        <f>CHOOSE(CONTROL!$C$42, 12.9151, 12.9151) * CHOOSE(CONTROL!$C$21, $C$9, 100%, $E$9)</f>
        <v>12.915100000000001</v>
      </c>
      <c r="O270" s="14">
        <f>CHOOSE(CONTROL!$C$42, 13.1649, 13.1649) * CHOOSE(CONTROL!$C$21, $C$9, 100%, $E$9)</f>
        <v>13.164899999999999</v>
      </c>
      <c r="P270" s="14">
        <f>CHOOSE(CONTROL!$C$42, 12.9637, 12.9637) * CHOOSE(CONTROL!$C$21, $C$9, 100%, $E$9)</f>
        <v>12.963699999999999</v>
      </c>
      <c r="Q270" s="14">
        <f>CHOOSE(CONTROL!$C$42, 13.7596, 13.7596) * CHOOSE(CONTROL!$C$21, $C$9, 100%, $E$9)</f>
        <v>13.759600000000001</v>
      </c>
      <c r="R270" s="14">
        <f>CHOOSE(CONTROL!$C$42, 14.381, 14.381) * CHOOSE(CONTROL!$C$21, $C$9, 100%, $E$9)</f>
        <v>14.381</v>
      </c>
      <c r="S270" s="14">
        <f>CHOOSE(CONTROL!$C$42, 12.6451, 12.6451) * CHOOSE(CONTROL!$C$21, $C$9, 100%, $E$9)</f>
        <v>12.645099999999999</v>
      </c>
      <c r="T2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7">
        <f>(1000*CHOOSE(CONTROL!$C$42, 695, 695)*CHOOSE(CONTROL!$C$42, 0.5599, 0.5599)*CHOOSE(CONTROL!$C$42, 30, 30))/1000000</f>
        <v>11.673914999999997</v>
      </c>
      <c r="V270" s="57">
        <f>(1000*CHOOSE(CONTROL!$C$42, 500, 500)*CHOOSE(CONTROL!$C$42, 0.275, 0.275)*CHOOSE(CONTROL!$C$42, 30, 30))/1000000</f>
        <v>4.125</v>
      </c>
      <c r="W270" s="57">
        <f>(1000*CHOOSE(CONTROL!$C$42, 0.1146, 0.1146)*CHOOSE(CONTROL!$C$42, 121.5, 121.5)*CHOOSE(CONTROL!$C$42, 30, 30))/1000000</f>
        <v>0.417717</v>
      </c>
      <c r="X270" s="57">
        <f>(30*0.1790888*245000/1000000)+(30*0.2374*100000/1000000)</f>
        <v>2.0285026799999999</v>
      </c>
      <c r="Y270" s="57"/>
      <c r="Z270" s="14"/>
      <c r="AA270" s="56"/>
      <c r="AB270" s="50">
        <f>(B270*194.205+C270*267.466+D270*133.845+E270*53.484+F270*40+G270*185+H270*0+I270*100+J270*300)/(194.205+267.466+133.845+53.484+0+40+185+100+300)</f>
        <v>13.213302559183674</v>
      </c>
      <c r="AC270" s="45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12.986620863309351</v>
      </c>
    </row>
    <row r="271" spans="1:29" ht="15.75" x14ac:dyDescent="0.25">
      <c r="A271" s="13">
        <v>49126</v>
      </c>
      <c r="B271" s="14">
        <f>CHOOSE(CONTROL!$C$42, 12.9182, 12.9182) * CHOOSE(CONTROL!$C$21, $C$9, 100%, $E$9)</f>
        <v>12.918200000000001</v>
      </c>
      <c r="C271" s="14">
        <f>CHOOSE(CONTROL!$C$42, 12.9263, 12.9263) * CHOOSE(CONTROL!$C$21, $C$9, 100%, $E$9)</f>
        <v>12.926299999999999</v>
      </c>
      <c r="D271" s="14">
        <f>CHOOSE(CONTROL!$C$42, 13.1599, 13.1599) * CHOOSE(CONTROL!$C$21, $C$9, 100%, $E$9)</f>
        <v>13.1599</v>
      </c>
      <c r="E271" s="14">
        <f>CHOOSE(CONTROL!$C$42, 13.1913, 13.1913) * CHOOSE(CONTROL!$C$21, $C$9, 100%, $E$9)</f>
        <v>13.1913</v>
      </c>
      <c r="F271" s="14">
        <f>CHOOSE(CONTROL!$C$42, 12.916, 12.916)*CHOOSE(CONTROL!$C$21, $C$9, 100%, $E$9)</f>
        <v>12.916</v>
      </c>
      <c r="G271" s="14">
        <f>CHOOSE(CONTROL!$C$42, 12.9326, 12.9326)*CHOOSE(CONTROL!$C$21, $C$9, 100%, $E$9)</f>
        <v>12.932600000000001</v>
      </c>
      <c r="H271" s="14">
        <f>CHOOSE(CONTROL!$C$42, 13.18, 13.18) * CHOOSE(CONTROL!$C$21, $C$9, 100%, $E$9)</f>
        <v>13.18</v>
      </c>
      <c r="I271" s="14">
        <f>CHOOSE(CONTROL!$C$42, 12.9746, 12.9746)* CHOOSE(CONTROL!$C$21, $C$9, 100%, $E$9)</f>
        <v>12.974600000000001</v>
      </c>
      <c r="J271" s="14">
        <f>CHOOSE(CONTROL!$C$42, 12.909, 12.909)* CHOOSE(CONTROL!$C$21, $C$9, 100%, $E$9)</f>
        <v>12.909000000000001</v>
      </c>
      <c r="K271" s="53">
        <f>CHOOSE(CONTROL!$C$42, 12.9707, 12.9707) * CHOOSE(CONTROL!$C$21, $C$9, 100%, $E$9)</f>
        <v>12.970700000000001</v>
      </c>
      <c r="L271" s="14">
        <f>CHOOSE(CONTROL!$C$42, 13.767, 13.767) * CHOOSE(CONTROL!$C$21, $C$9, 100%, $E$9)</f>
        <v>13.766999999999999</v>
      </c>
      <c r="M271" s="14">
        <f>CHOOSE(CONTROL!$C$42, 12.6522, 12.6522) * CHOOSE(CONTROL!$C$21, $C$9, 100%, $E$9)</f>
        <v>12.652200000000001</v>
      </c>
      <c r="N271" s="14">
        <f>CHOOSE(CONTROL!$C$42, 12.6685, 12.6685) * CHOOSE(CONTROL!$C$21, $C$9, 100%, $E$9)</f>
        <v>12.6685</v>
      </c>
      <c r="O271" s="14">
        <f>CHOOSE(CONTROL!$C$42, 12.9176, 12.9176) * CHOOSE(CONTROL!$C$21, $C$9, 100%, $E$9)</f>
        <v>12.9176</v>
      </c>
      <c r="P271" s="14">
        <f>CHOOSE(CONTROL!$C$42, 12.7157, 12.7157) * CHOOSE(CONTROL!$C$21, $C$9, 100%, $E$9)</f>
        <v>12.7157</v>
      </c>
      <c r="Q271" s="14">
        <f>CHOOSE(CONTROL!$C$42, 13.5123, 13.5123) * CHOOSE(CONTROL!$C$21, $C$9, 100%, $E$9)</f>
        <v>13.5123</v>
      </c>
      <c r="R271" s="14">
        <f>CHOOSE(CONTROL!$C$42, 14.1331, 14.1331) * CHOOSE(CONTROL!$C$21, $C$9, 100%, $E$9)</f>
        <v>14.133100000000001</v>
      </c>
      <c r="S271" s="14">
        <f>CHOOSE(CONTROL!$C$42, 12.4025, 12.4025) * CHOOSE(CONTROL!$C$21, $C$9, 100%, $E$9)</f>
        <v>12.4025</v>
      </c>
      <c r="T2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7">
        <f>(1000*CHOOSE(CONTROL!$C$42, 695, 695)*CHOOSE(CONTROL!$C$42, 0.5599, 0.5599)*CHOOSE(CONTROL!$C$42, 31, 31))/1000000</f>
        <v>12.063045499999998</v>
      </c>
      <c r="V271" s="57">
        <f>(1000*CHOOSE(CONTROL!$C$42, 500, 500)*CHOOSE(CONTROL!$C$42, 0.275, 0.275)*CHOOSE(CONTROL!$C$42, 31, 31))/1000000</f>
        <v>4.2625000000000002</v>
      </c>
      <c r="W271" s="57">
        <f>(1000*CHOOSE(CONTROL!$C$42, 0.1146, 0.1146)*CHOOSE(CONTROL!$C$42, 121.5, 121.5)*CHOOSE(CONTROL!$C$42, 31, 31))/1000000</f>
        <v>0.43164089999999994</v>
      </c>
      <c r="X271" s="57">
        <f>(31*0.1790888*245000/1000000)+(31*0.2374*100000/1000000)</f>
        <v>2.0961194359999999</v>
      </c>
      <c r="Y271" s="57"/>
      <c r="Z271" s="14"/>
      <c r="AA271" s="56"/>
      <c r="AB271" s="50">
        <f>(B271*194.205+C271*267.466+D271*133.845+E271*53.484+F271*40+G271*185+H271*0+I271*100+J271*300)/(194.205+267.466+133.845+53.484+0+40+185+100+300)</f>
        <v>12.961040888147567</v>
      </c>
      <c r="AC271" s="45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12.739553956834532</v>
      </c>
    </row>
    <row r="272" spans="1:29" ht="15.75" x14ac:dyDescent="0.25">
      <c r="A272" s="13">
        <v>49157</v>
      </c>
      <c r="B272" s="14">
        <f>CHOOSE(CONTROL!$C$42, 12.2808, 12.2808) * CHOOSE(CONTROL!$C$21, $C$9, 100%, $E$9)</f>
        <v>12.280799999999999</v>
      </c>
      <c r="C272" s="14">
        <f>CHOOSE(CONTROL!$C$42, 12.2888, 12.2888) * CHOOSE(CONTROL!$C$21, $C$9, 100%, $E$9)</f>
        <v>12.2888</v>
      </c>
      <c r="D272" s="14">
        <f>CHOOSE(CONTROL!$C$42, 12.5224, 12.5224) * CHOOSE(CONTROL!$C$21, $C$9, 100%, $E$9)</f>
        <v>12.522399999999999</v>
      </c>
      <c r="E272" s="14">
        <f>CHOOSE(CONTROL!$C$42, 12.5538, 12.5538) * CHOOSE(CONTROL!$C$21, $C$9, 100%, $E$9)</f>
        <v>12.553800000000001</v>
      </c>
      <c r="F272" s="14">
        <f>CHOOSE(CONTROL!$C$42, 12.2787, 12.2787)*CHOOSE(CONTROL!$C$21, $C$9, 100%, $E$9)</f>
        <v>12.278700000000001</v>
      </c>
      <c r="G272" s="14">
        <f>CHOOSE(CONTROL!$C$42, 12.2954, 12.2954)*CHOOSE(CONTROL!$C$21, $C$9, 100%, $E$9)</f>
        <v>12.295400000000001</v>
      </c>
      <c r="H272" s="14">
        <f>CHOOSE(CONTROL!$C$42, 12.5425, 12.5425) * CHOOSE(CONTROL!$C$21, $C$9, 100%, $E$9)</f>
        <v>12.5425</v>
      </c>
      <c r="I272" s="14">
        <f>CHOOSE(CONTROL!$C$42, 12.3351, 12.3351)* CHOOSE(CONTROL!$C$21, $C$9, 100%, $E$9)</f>
        <v>12.335100000000001</v>
      </c>
      <c r="J272" s="14">
        <f>CHOOSE(CONTROL!$C$42, 12.2717, 12.2717)* CHOOSE(CONTROL!$C$21, $C$9, 100%, $E$9)</f>
        <v>12.271699999999999</v>
      </c>
      <c r="K272" s="53">
        <f>CHOOSE(CONTROL!$C$42, 12.3312, 12.3312) * CHOOSE(CONTROL!$C$21, $C$9, 100%, $E$9)</f>
        <v>12.331200000000001</v>
      </c>
      <c r="L272" s="14">
        <f>CHOOSE(CONTROL!$C$42, 13.1295, 13.1295) * CHOOSE(CONTROL!$C$21, $C$9, 100%, $E$9)</f>
        <v>13.1295</v>
      </c>
      <c r="M272" s="14">
        <f>CHOOSE(CONTROL!$C$42, 12.028, 12.028) * CHOOSE(CONTROL!$C$21, $C$9, 100%, $E$9)</f>
        <v>12.028</v>
      </c>
      <c r="N272" s="14">
        <f>CHOOSE(CONTROL!$C$42, 12.0443, 12.0443) * CHOOSE(CONTROL!$C$21, $C$9, 100%, $E$9)</f>
        <v>12.0443</v>
      </c>
      <c r="O272" s="14">
        <f>CHOOSE(CONTROL!$C$42, 12.2932, 12.2932) * CHOOSE(CONTROL!$C$21, $C$9, 100%, $E$9)</f>
        <v>12.293200000000001</v>
      </c>
      <c r="P272" s="14">
        <f>CHOOSE(CONTROL!$C$42, 12.0894, 12.0894) * CHOOSE(CONTROL!$C$21, $C$9, 100%, $E$9)</f>
        <v>12.089399999999999</v>
      </c>
      <c r="Q272" s="14">
        <f>CHOOSE(CONTROL!$C$42, 12.8879, 12.8879) * CHOOSE(CONTROL!$C$21, $C$9, 100%, $E$9)</f>
        <v>12.8879</v>
      </c>
      <c r="R272" s="14">
        <f>CHOOSE(CONTROL!$C$42, 13.5071, 13.5071) * CHOOSE(CONTROL!$C$21, $C$9, 100%, $E$9)</f>
        <v>13.507099999999999</v>
      </c>
      <c r="S272" s="14">
        <f>CHOOSE(CONTROL!$C$42, 11.7899, 11.7899) * CHOOSE(CONTROL!$C$21, $C$9, 100%, $E$9)</f>
        <v>11.789899999999999</v>
      </c>
      <c r="T2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7">
        <f>(1000*CHOOSE(CONTROL!$C$42, 695, 695)*CHOOSE(CONTROL!$C$42, 0.5599, 0.5599)*CHOOSE(CONTROL!$C$42, 31, 31))/1000000</f>
        <v>12.063045499999998</v>
      </c>
      <c r="V272" s="57">
        <f>(1000*CHOOSE(CONTROL!$C$42, 500, 500)*CHOOSE(CONTROL!$C$42, 0.275, 0.275)*CHOOSE(CONTROL!$C$42, 31, 31))/1000000</f>
        <v>4.2625000000000002</v>
      </c>
      <c r="W272" s="57">
        <f>(1000*CHOOSE(CONTROL!$C$42, 0.1146, 0.1146)*CHOOSE(CONTROL!$C$42, 121.5, 121.5)*CHOOSE(CONTROL!$C$42, 31, 31))/1000000</f>
        <v>0.43164089999999994</v>
      </c>
      <c r="X272" s="57">
        <f>(31*0.1790888*245000/1000000)+(31*0.2374*100000/1000000)</f>
        <v>2.0961194359999999</v>
      </c>
      <c r="Y272" s="57"/>
      <c r="Z272" s="14"/>
      <c r="AA272" s="56"/>
      <c r="AB272" s="50">
        <f>(B272*194.205+C272*267.466+D272*133.845+E272*53.484+F272*40+G272*185+H272*0+I272*100+J272*300)/(194.205+267.466+133.845+53.484+0+40+185+100+300)</f>
        <v>12.323496084772369</v>
      </c>
      <c r="AC272" s="45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12.114995683453238</v>
      </c>
    </row>
    <row r="273" spans="1:29" ht="15.75" x14ac:dyDescent="0.25">
      <c r="A273" s="13">
        <v>49188</v>
      </c>
      <c r="B273" s="14">
        <f>CHOOSE(CONTROL!$C$42, 11.5014, 11.5014) * CHOOSE(CONTROL!$C$21, $C$9, 100%, $E$9)</f>
        <v>11.5014</v>
      </c>
      <c r="C273" s="14">
        <f>CHOOSE(CONTROL!$C$42, 11.5094, 11.5094) * CHOOSE(CONTROL!$C$21, $C$9, 100%, $E$9)</f>
        <v>11.509399999999999</v>
      </c>
      <c r="D273" s="14">
        <f>CHOOSE(CONTROL!$C$42, 11.743, 11.743) * CHOOSE(CONTROL!$C$21, $C$9, 100%, $E$9)</f>
        <v>11.743</v>
      </c>
      <c r="E273" s="14">
        <f>CHOOSE(CONTROL!$C$42, 11.7745, 11.7745) * CHOOSE(CONTROL!$C$21, $C$9, 100%, $E$9)</f>
        <v>11.7745</v>
      </c>
      <c r="F273" s="14">
        <f>CHOOSE(CONTROL!$C$42, 11.4994, 11.4994)*CHOOSE(CONTROL!$C$21, $C$9, 100%, $E$9)</f>
        <v>11.4994</v>
      </c>
      <c r="G273" s="14">
        <f>CHOOSE(CONTROL!$C$42, 11.5161, 11.5161)*CHOOSE(CONTROL!$C$21, $C$9, 100%, $E$9)</f>
        <v>11.5161</v>
      </c>
      <c r="H273" s="14">
        <f>CHOOSE(CONTROL!$C$42, 11.7631, 11.7631) * CHOOSE(CONTROL!$C$21, $C$9, 100%, $E$9)</f>
        <v>11.7631</v>
      </c>
      <c r="I273" s="14">
        <f>CHOOSE(CONTROL!$C$42, 11.5533, 11.5533)* CHOOSE(CONTROL!$C$21, $C$9, 100%, $E$9)</f>
        <v>11.5533</v>
      </c>
      <c r="J273" s="14">
        <f>CHOOSE(CONTROL!$C$42, 11.4924, 11.4924)* CHOOSE(CONTROL!$C$21, $C$9, 100%, $E$9)</f>
        <v>11.4924</v>
      </c>
      <c r="K273" s="53">
        <f>CHOOSE(CONTROL!$C$42, 11.5494, 11.5494) * CHOOSE(CONTROL!$C$21, $C$9, 100%, $E$9)</f>
        <v>11.5494</v>
      </c>
      <c r="L273" s="14">
        <f>CHOOSE(CONTROL!$C$42, 12.3501, 12.3501) * CHOOSE(CONTROL!$C$21, $C$9, 100%, $E$9)</f>
        <v>12.350099999999999</v>
      </c>
      <c r="M273" s="14">
        <f>CHOOSE(CONTROL!$C$42, 11.2646, 11.2646) * CHOOSE(CONTROL!$C$21, $C$9, 100%, $E$9)</f>
        <v>11.2646</v>
      </c>
      <c r="N273" s="14">
        <f>CHOOSE(CONTROL!$C$42, 11.281, 11.281) * CHOOSE(CONTROL!$C$21, $C$9, 100%, $E$9)</f>
        <v>11.281000000000001</v>
      </c>
      <c r="O273" s="14">
        <f>CHOOSE(CONTROL!$C$42, 11.5298, 11.5298) * CHOOSE(CONTROL!$C$21, $C$9, 100%, $E$9)</f>
        <v>11.5298</v>
      </c>
      <c r="P273" s="14">
        <f>CHOOSE(CONTROL!$C$42, 11.3236, 11.3236) * CHOOSE(CONTROL!$C$21, $C$9, 100%, $E$9)</f>
        <v>11.323600000000001</v>
      </c>
      <c r="Q273" s="14">
        <f>CHOOSE(CONTROL!$C$42, 12.1245, 12.1245) * CHOOSE(CONTROL!$C$21, $C$9, 100%, $E$9)</f>
        <v>12.124499999999999</v>
      </c>
      <c r="R273" s="14">
        <f>CHOOSE(CONTROL!$C$42, 12.7418, 12.7418) * CHOOSE(CONTROL!$C$21, $C$9, 100%, $E$9)</f>
        <v>12.7418</v>
      </c>
      <c r="S273" s="14">
        <f>CHOOSE(CONTROL!$C$42, 11.0411, 11.0411) * CHOOSE(CONTROL!$C$21, $C$9, 100%, $E$9)</f>
        <v>11.0411</v>
      </c>
      <c r="T2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7">
        <f>(1000*CHOOSE(CONTROL!$C$42, 695, 695)*CHOOSE(CONTROL!$C$42, 0.5599, 0.5599)*CHOOSE(CONTROL!$C$42, 30, 30))/1000000</f>
        <v>11.673914999999997</v>
      </c>
      <c r="V273" s="57">
        <f>(1000*CHOOSE(CONTROL!$C$42, 500, 500)*CHOOSE(CONTROL!$C$42, 0.275, 0.275)*CHOOSE(CONTROL!$C$42, 30, 30))/1000000</f>
        <v>4.125</v>
      </c>
      <c r="W273" s="57">
        <f>(1000*CHOOSE(CONTROL!$C$42, 0.1146, 0.1146)*CHOOSE(CONTROL!$C$42, 121.5, 121.5)*CHOOSE(CONTROL!$C$42, 30, 30))/1000000</f>
        <v>0.417717</v>
      </c>
      <c r="X273" s="57">
        <f>(30*0.1790888*245000/1000000)+(30*0.2374*100000/1000000)</f>
        <v>2.0285026799999999</v>
      </c>
      <c r="Y273" s="57"/>
      <c r="Z273" s="14"/>
      <c r="AA273" s="56"/>
      <c r="AB273" s="50">
        <f>(B273*194.205+C273*267.466+D273*133.845+E273*53.484+F273*40+G273*185+H273*0+I273*100+J273*300)/(194.205+267.466+133.845+53.484+0+40+185+100+300)</f>
        <v>11.543953108634222</v>
      </c>
      <c r="AC273" s="45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11.351273381294964</v>
      </c>
    </row>
    <row r="274" spans="1:29" ht="15.75" x14ac:dyDescent="0.25">
      <c r="A274" s="13">
        <v>49218</v>
      </c>
      <c r="B274" s="14">
        <f>CHOOSE(CONTROL!$C$42, 11.2664, 11.2664) * CHOOSE(CONTROL!$C$21, $C$9, 100%, $E$9)</f>
        <v>11.266400000000001</v>
      </c>
      <c r="C274" s="14">
        <f>CHOOSE(CONTROL!$C$42, 11.2717, 11.2717) * CHOOSE(CONTROL!$C$21, $C$9, 100%, $E$9)</f>
        <v>11.271699999999999</v>
      </c>
      <c r="D274" s="14">
        <f>CHOOSE(CONTROL!$C$42, 11.5102, 11.5102) * CHOOSE(CONTROL!$C$21, $C$9, 100%, $E$9)</f>
        <v>11.510199999999999</v>
      </c>
      <c r="E274" s="14">
        <f>CHOOSE(CONTROL!$C$42, 11.5394, 11.5394) * CHOOSE(CONTROL!$C$21, $C$9, 100%, $E$9)</f>
        <v>11.539400000000001</v>
      </c>
      <c r="F274" s="14">
        <f>CHOOSE(CONTROL!$C$42, 11.2664, 11.2664)*CHOOSE(CONTROL!$C$21, $C$9, 100%, $E$9)</f>
        <v>11.266400000000001</v>
      </c>
      <c r="G274" s="14">
        <f>CHOOSE(CONTROL!$C$42, 11.2827, 11.2827)*CHOOSE(CONTROL!$C$21, $C$9, 100%, $E$9)</f>
        <v>11.2827</v>
      </c>
      <c r="H274" s="14">
        <f>CHOOSE(CONTROL!$C$42, 11.5298, 11.5298) * CHOOSE(CONTROL!$C$21, $C$9, 100%, $E$9)</f>
        <v>11.5298</v>
      </c>
      <c r="I274" s="14">
        <f>CHOOSE(CONTROL!$C$42, 11.3193, 11.3193)* CHOOSE(CONTROL!$C$21, $C$9, 100%, $E$9)</f>
        <v>11.3193</v>
      </c>
      <c r="J274" s="14">
        <f>CHOOSE(CONTROL!$C$42, 11.2594, 11.2594)* CHOOSE(CONTROL!$C$21, $C$9, 100%, $E$9)</f>
        <v>11.259399999999999</v>
      </c>
      <c r="K274" s="53">
        <f>CHOOSE(CONTROL!$C$42, 11.3154, 11.3154) * CHOOSE(CONTROL!$C$21, $C$9, 100%, $E$9)</f>
        <v>11.3154</v>
      </c>
      <c r="L274" s="14">
        <f>CHOOSE(CONTROL!$C$42, 12.1168, 12.1168) * CHOOSE(CONTROL!$C$21, $C$9, 100%, $E$9)</f>
        <v>12.1168</v>
      </c>
      <c r="M274" s="14">
        <f>CHOOSE(CONTROL!$C$42, 11.0364, 11.0364) * CHOOSE(CONTROL!$C$21, $C$9, 100%, $E$9)</f>
        <v>11.0364</v>
      </c>
      <c r="N274" s="14">
        <f>CHOOSE(CONTROL!$C$42, 11.0523, 11.0523) * CHOOSE(CONTROL!$C$21, $C$9, 100%, $E$9)</f>
        <v>11.052300000000001</v>
      </c>
      <c r="O274" s="14">
        <f>CHOOSE(CONTROL!$C$42, 11.3013, 11.3013) * CHOOSE(CONTROL!$C$21, $C$9, 100%, $E$9)</f>
        <v>11.301299999999999</v>
      </c>
      <c r="P274" s="14">
        <f>CHOOSE(CONTROL!$C$42, 11.0944, 11.0944) * CHOOSE(CONTROL!$C$21, $C$9, 100%, $E$9)</f>
        <v>11.0944</v>
      </c>
      <c r="Q274" s="14">
        <f>CHOOSE(CONTROL!$C$42, 11.896, 11.896) * CHOOSE(CONTROL!$C$21, $C$9, 100%, $E$9)</f>
        <v>11.896000000000001</v>
      </c>
      <c r="R274" s="14">
        <f>CHOOSE(CONTROL!$C$42, 12.5127, 12.5127) * CHOOSE(CONTROL!$C$21, $C$9, 100%, $E$9)</f>
        <v>12.512700000000001</v>
      </c>
      <c r="S274" s="14">
        <f>CHOOSE(CONTROL!$C$42, 10.8169, 10.8169) * CHOOSE(CONTROL!$C$21, $C$9, 100%, $E$9)</f>
        <v>10.8169</v>
      </c>
      <c r="T2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7">
        <f>(1000*CHOOSE(CONTROL!$C$42, 695, 695)*CHOOSE(CONTROL!$C$42, 0.5599, 0.5599)*CHOOSE(CONTROL!$C$42, 31, 31))/1000000</f>
        <v>12.063045499999998</v>
      </c>
      <c r="V274" s="57">
        <f>(1000*CHOOSE(CONTROL!$C$42, 500, 500)*CHOOSE(CONTROL!$C$42, 0.275, 0.275)*CHOOSE(CONTROL!$C$42, 31, 31))/1000000</f>
        <v>4.2625000000000002</v>
      </c>
      <c r="W274" s="57">
        <f>(1000*CHOOSE(CONTROL!$C$42, 0.1146, 0.1146)*CHOOSE(CONTROL!$C$42, 121.5, 121.5)*CHOOSE(CONTROL!$C$42, 31, 31))/1000000</f>
        <v>0.43164089999999994</v>
      </c>
      <c r="X274" s="57">
        <f>(31*0.1790888*245000/1000000)+(31*0.2374*100000/1000000)</f>
        <v>2.0961194359999999</v>
      </c>
      <c r="Y274" s="57"/>
      <c r="Z274" s="14"/>
      <c r="AA274" s="56"/>
      <c r="AB274" s="50">
        <f>(B274*131.881+C274*277.167+D274*79.08+E274*125.872+F274*40+G274*185+H274*0+I274*100+J274*300)/(131.881+277.167+79.08+125.872+0+40+185+100+300)</f>
        <v>11.315889301937046</v>
      </c>
      <c r="AC274" s="45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11.122730215827339</v>
      </c>
    </row>
    <row r="275" spans="1:29" ht="15.75" x14ac:dyDescent="0.25">
      <c r="A275" s="13">
        <v>49249</v>
      </c>
      <c r="B275" s="14">
        <f>CHOOSE(CONTROL!$C$42, 11.5625, 11.5625) * CHOOSE(CONTROL!$C$21, $C$9, 100%, $E$9)</f>
        <v>11.5625</v>
      </c>
      <c r="C275" s="14">
        <f>CHOOSE(CONTROL!$C$42, 11.5676, 11.5676) * CHOOSE(CONTROL!$C$21, $C$9, 100%, $E$9)</f>
        <v>11.567600000000001</v>
      </c>
      <c r="D275" s="14">
        <f>CHOOSE(CONTROL!$C$42, 11.6418, 11.6418) * CHOOSE(CONTROL!$C$21, $C$9, 100%, $E$9)</f>
        <v>11.6418</v>
      </c>
      <c r="E275" s="14">
        <f>CHOOSE(CONTROL!$C$42, 11.6759, 11.6759) * CHOOSE(CONTROL!$C$21, $C$9, 100%, $E$9)</f>
        <v>11.6759</v>
      </c>
      <c r="F275" s="14">
        <f>CHOOSE(CONTROL!$C$42, 11.5745, 11.5745)*CHOOSE(CONTROL!$C$21, $C$9, 100%, $E$9)</f>
        <v>11.5745</v>
      </c>
      <c r="G275" s="14">
        <f>CHOOSE(CONTROL!$C$42, 11.5911, 11.5911)*CHOOSE(CONTROL!$C$21, $C$9, 100%, $E$9)</f>
        <v>11.591100000000001</v>
      </c>
      <c r="H275" s="14">
        <f>CHOOSE(CONTROL!$C$42, 11.6651, 11.6651) * CHOOSE(CONTROL!$C$21, $C$9, 100%, $E$9)</f>
        <v>11.665100000000001</v>
      </c>
      <c r="I275" s="14">
        <f>CHOOSE(CONTROL!$C$42, 11.623, 11.623)* CHOOSE(CONTROL!$C$21, $C$9, 100%, $E$9)</f>
        <v>11.622999999999999</v>
      </c>
      <c r="J275" s="14">
        <f>CHOOSE(CONTROL!$C$42, 11.5675, 11.5675)* CHOOSE(CONTROL!$C$21, $C$9, 100%, $E$9)</f>
        <v>11.567500000000001</v>
      </c>
      <c r="K275" s="53">
        <f>CHOOSE(CONTROL!$C$42, 11.6191, 11.6191) * CHOOSE(CONTROL!$C$21, $C$9, 100%, $E$9)</f>
        <v>11.6191</v>
      </c>
      <c r="L275" s="14">
        <f>CHOOSE(CONTROL!$C$42, 12.2521, 12.2521) * CHOOSE(CONTROL!$C$21, $C$9, 100%, $E$9)</f>
        <v>12.2521</v>
      </c>
      <c r="M275" s="14">
        <f>CHOOSE(CONTROL!$C$42, 11.3382, 11.3382) * CHOOSE(CONTROL!$C$21, $C$9, 100%, $E$9)</f>
        <v>11.338200000000001</v>
      </c>
      <c r="N275" s="14">
        <f>CHOOSE(CONTROL!$C$42, 11.3545, 11.3545) * CHOOSE(CONTROL!$C$21, $C$9, 100%, $E$9)</f>
        <v>11.3545</v>
      </c>
      <c r="O275" s="14">
        <f>CHOOSE(CONTROL!$C$42, 11.4338, 11.4338) * CHOOSE(CONTROL!$C$21, $C$9, 100%, $E$9)</f>
        <v>11.4338</v>
      </c>
      <c r="P275" s="14">
        <f>CHOOSE(CONTROL!$C$42, 11.3919, 11.3919) * CHOOSE(CONTROL!$C$21, $C$9, 100%, $E$9)</f>
        <v>11.3919</v>
      </c>
      <c r="Q275" s="14">
        <f>CHOOSE(CONTROL!$C$42, 12.0285, 12.0285) * CHOOSE(CONTROL!$C$21, $C$9, 100%, $E$9)</f>
        <v>12.028499999999999</v>
      </c>
      <c r="R275" s="14">
        <f>CHOOSE(CONTROL!$C$42, 12.6455, 12.6455) * CHOOSE(CONTROL!$C$21, $C$9, 100%, $E$9)</f>
        <v>12.6455</v>
      </c>
      <c r="S275" s="14">
        <f>CHOOSE(CONTROL!$C$42, 11.1019, 11.1019) * CHOOSE(CONTROL!$C$21, $C$9, 100%, $E$9)</f>
        <v>11.101900000000001</v>
      </c>
      <c r="T2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7">
        <f>(1000*CHOOSE(CONTROL!$C$42, 695, 695)*CHOOSE(CONTROL!$C$42, 0.5599, 0.5599)*CHOOSE(CONTROL!$C$42, 30, 30))/1000000</f>
        <v>11.673914999999997</v>
      </c>
      <c r="V275" s="57">
        <f>(1000*CHOOSE(CONTROL!$C$42, 500, 500)*CHOOSE(CONTROL!$C$42, 0.275, 0.275)*CHOOSE(CONTROL!$C$42, 30, 30))/1000000</f>
        <v>4.125</v>
      </c>
      <c r="W275" s="57">
        <f>(1000*CHOOSE(CONTROL!$C$42, 0.1146, 0.1146)*CHOOSE(CONTROL!$C$42, 121.5, 121.5)*CHOOSE(CONTROL!$C$42, 30, 30))/1000000</f>
        <v>0.417717</v>
      </c>
      <c r="X275" s="57">
        <f>(30*0.1790888*100000/1000000)+(30*0.2374*100000/1000000)</f>
        <v>1.2494664</v>
      </c>
      <c r="Y275" s="57"/>
      <c r="Z275" s="14"/>
      <c r="AA275" s="56"/>
      <c r="AB275" s="50">
        <f>(B275*122.58+C275*297.941+D275*89.177+E275*40.302+F275*40+G275*160+H275*0+I275*100+J275*300)/(122.58+297.941+89.177+40.302+0+40+160+100+300)</f>
        <v>11.584906506086956</v>
      </c>
      <c r="AC275" s="45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11.390194244604317</v>
      </c>
    </row>
    <row r="276" spans="1:29" ht="15.75" x14ac:dyDescent="0.25">
      <c r="A276" s="13">
        <v>49279</v>
      </c>
      <c r="B276" s="14">
        <f>CHOOSE(CONTROL!$C$42, 12.3501, 12.3501) * CHOOSE(CONTROL!$C$21, $C$9, 100%, $E$9)</f>
        <v>12.350099999999999</v>
      </c>
      <c r="C276" s="14">
        <f>CHOOSE(CONTROL!$C$42, 12.3552, 12.3552) * CHOOSE(CONTROL!$C$21, $C$9, 100%, $E$9)</f>
        <v>12.3552</v>
      </c>
      <c r="D276" s="14">
        <f>CHOOSE(CONTROL!$C$42, 12.4294, 12.4294) * CHOOSE(CONTROL!$C$21, $C$9, 100%, $E$9)</f>
        <v>12.429399999999999</v>
      </c>
      <c r="E276" s="14">
        <f>CHOOSE(CONTROL!$C$42, 12.4635, 12.4635) * CHOOSE(CONTROL!$C$21, $C$9, 100%, $E$9)</f>
        <v>12.4635</v>
      </c>
      <c r="F276" s="14">
        <f>CHOOSE(CONTROL!$C$42, 12.3644, 12.3644)*CHOOSE(CONTROL!$C$21, $C$9, 100%, $E$9)</f>
        <v>12.3644</v>
      </c>
      <c r="G276" s="14">
        <f>CHOOSE(CONTROL!$C$42, 12.3815, 12.3815)*CHOOSE(CONTROL!$C$21, $C$9, 100%, $E$9)</f>
        <v>12.381500000000001</v>
      </c>
      <c r="H276" s="14">
        <f>CHOOSE(CONTROL!$C$42, 12.4527, 12.4527) * CHOOSE(CONTROL!$C$21, $C$9, 100%, $E$9)</f>
        <v>12.4527</v>
      </c>
      <c r="I276" s="14">
        <f>CHOOSE(CONTROL!$C$42, 12.4131, 12.4131)* CHOOSE(CONTROL!$C$21, $C$9, 100%, $E$9)</f>
        <v>12.4131</v>
      </c>
      <c r="J276" s="14">
        <f>CHOOSE(CONTROL!$C$42, 12.3574, 12.3574)* CHOOSE(CONTROL!$C$21, $C$9, 100%, $E$9)</f>
        <v>12.3574</v>
      </c>
      <c r="K276" s="53">
        <f>CHOOSE(CONTROL!$C$42, 12.4093, 12.4093) * CHOOSE(CONTROL!$C$21, $C$9, 100%, $E$9)</f>
        <v>12.4093</v>
      </c>
      <c r="L276" s="14">
        <f>CHOOSE(CONTROL!$C$42, 13.0397, 13.0397) * CHOOSE(CONTROL!$C$21, $C$9, 100%, $E$9)</f>
        <v>13.0397</v>
      </c>
      <c r="M276" s="14">
        <f>CHOOSE(CONTROL!$C$42, 12.1119, 12.1119) * CHOOSE(CONTROL!$C$21, $C$9, 100%, $E$9)</f>
        <v>12.1119</v>
      </c>
      <c r="N276" s="14">
        <f>CHOOSE(CONTROL!$C$42, 12.1287, 12.1287) * CHOOSE(CONTROL!$C$21, $C$9, 100%, $E$9)</f>
        <v>12.1287</v>
      </c>
      <c r="O276" s="14">
        <f>CHOOSE(CONTROL!$C$42, 12.2053, 12.2053) * CHOOSE(CONTROL!$C$21, $C$9, 100%, $E$9)</f>
        <v>12.205299999999999</v>
      </c>
      <c r="P276" s="14">
        <f>CHOOSE(CONTROL!$C$42, 12.1658, 12.1658) * CHOOSE(CONTROL!$C$21, $C$9, 100%, $E$9)</f>
        <v>12.165800000000001</v>
      </c>
      <c r="Q276" s="14">
        <f>CHOOSE(CONTROL!$C$42, 12.8, 12.8) * CHOOSE(CONTROL!$C$21, $C$9, 100%, $E$9)</f>
        <v>12.8</v>
      </c>
      <c r="R276" s="14">
        <f>CHOOSE(CONTROL!$C$42, 13.419, 13.419) * CHOOSE(CONTROL!$C$21, $C$9, 100%, $E$9)</f>
        <v>13.419</v>
      </c>
      <c r="S276" s="14">
        <f>CHOOSE(CONTROL!$C$42, 11.8587, 11.8587) * CHOOSE(CONTROL!$C$21, $C$9, 100%, $E$9)</f>
        <v>11.858700000000001</v>
      </c>
      <c r="T2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7">
        <f>(1000*CHOOSE(CONTROL!$C$42, 695, 695)*CHOOSE(CONTROL!$C$42, 0.5599, 0.5599)*CHOOSE(CONTROL!$C$42, 31, 31))/1000000</f>
        <v>12.063045499999998</v>
      </c>
      <c r="V276" s="57">
        <f>(1000*CHOOSE(CONTROL!$C$42, 500, 500)*CHOOSE(CONTROL!$C$42, 0.275, 0.275)*CHOOSE(CONTROL!$C$42, 31, 31))/1000000</f>
        <v>4.2625000000000002</v>
      </c>
      <c r="W276" s="57">
        <f>(1000*CHOOSE(CONTROL!$C$42, 0.1146, 0.1146)*CHOOSE(CONTROL!$C$42, 121.5, 121.5)*CHOOSE(CONTROL!$C$42, 31, 31))/1000000</f>
        <v>0.43164089999999994</v>
      </c>
      <c r="X276" s="57">
        <f>(31*0.1790888*100000/1000000)+(31*0.2374*100000/1000000)</f>
        <v>1.2911152800000001</v>
      </c>
      <c r="Y276" s="57"/>
      <c r="Z276" s="14"/>
      <c r="AA276" s="56"/>
      <c r="AB276" s="50">
        <f>(B276*122.58+C276*297.941+D276*89.177+E276*40.302+F276*40+G276*160+H276*0+I276*100+J276*300)/(122.58+297.941+89.177+40.302+0+40+160+100+300)</f>
        <v>12.373793462608695</v>
      </c>
      <c r="AC276" s="45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12.162954676258995</v>
      </c>
    </row>
    <row r="277" spans="1:29" ht="15.75" x14ac:dyDescent="0.25">
      <c r="A277" s="13">
        <v>49310</v>
      </c>
      <c r="B277" s="14">
        <f>CHOOSE(CONTROL!$C$42, 13.3732, 13.3732) * CHOOSE(CONTROL!$C$21, $C$9, 100%, $E$9)</f>
        <v>13.373200000000001</v>
      </c>
      <c r="C277" s="14">
        <f>CHOOSE(CONTROL!$C$42, 13.3782, 13.3782) * CHOOSE(CONTROL!$C$21, $C$9, 100%, $E$9)</f>
        <v>13.3782</v>
      </c>
      <c r="D277" s="14">
        <f>CHOOSE(CONTROL!$C$42, 13.4551, 13.4551) * CHOOSE(CONTROL!$C$21, $C$9, 100%, $E$9)</f>
        <v>13.4551</v>
      </c>
      <c r="E277" s="14">
        <f>CHOOSE(CONTROL!$C$42, 13.4892, 13.4892) * CHOOSE(CONTROL!$C$21, $C$9, 100%, $E$9)</f>
        <v>13.4892</v>
      </c>
      <c r="F277" s="14">
        <f>CHOOSE(CONTROL!$C$42, 13.3734, 13.3734)*CHOOSE(CONTROL!$C$21, $C$9, 100%, $E$9)</f>
        <v>13.3734</v>
      </c>
      <c r="G277" s="14">
        <f>CHOOSE(CONTROL!$C$42, 13.3896, 13.3896)*CHOOSE(CONTROL!$C$21, $C$9, 100%, $E$9)</f>
        <v>13.3896</v>
      </c>
      <c r="H277" s="14">
        <f>CHOOSE(CONTROL!$C$42, 13.4784, 13.4784) * CHOOSE(CONTROL!$C$21, $C$9, 100%, $E$9)</f>
        <v>13.478400000000001</v>
      </c>
      <c r="I277" s="14">
        <f>CHOOSE(CONTROL!$C$42, 13.4331, 13.4331)* CHOOSE(CONTROL!$C$21, $C$9, 100%, $E$9)</f>
        <v>13.4331</v>
      </c>
      <c r="J277" s="14">
        <f>CHOOSE(CONTROL!$C$42, 13.3664, 13.3664)* CHOOSE(CONTROL!$C$21, $C$9, 100%, $E$9)</f>
        <v>13.366400000000001</v>
      </c>
      <c r="K277" s="53">
        <f>CHOOSE(CONTROL!$C$42, 13.4292, 13.4292) * CHOOSE(CONTROL!$C$21, $C$9, 100%, $E$9)</f>
        <v>13.4292</v>
      </c>
      <c r="L277" s="14">
        <f>CHOOSE(CONTROL!$C$42, 14.0654, 14.0654) * CHOOSE(CONTROL!$C$21, $C$9, 100%, $E$9)</f>
        <v>14.0654</v>
      </c>
      <c r="M277" s="14">
        <f>CHOOSE(CONTROL!$C$42, 13.1002, 13.1002) * CHOOSE(CONTROL!$C$21, $C$9, 100%, $E$9)</f>
        <v>13.100199999999999</v>
      </c>
      <c r="N277" s="14">
        <f>CHOOSE(CONTROL!$C$42, 13.1161, 13.1161) * CHOOSE(CONTROL!$C$21, $C$9, 100%, $E$9)</f>
        <v>13.116099999999999</v>
      </c>
      <c r="O277" s="14">
        <f>CHOOSE(CONTROL!$C$42, 13.2099, 13.2099) * CHOOSE(CONTROL!$C$21, $C$9, 100%, $E$9)</f>
        <v>13.209899999999999</v>
      </c>
      <c r="P277" s="14">
        <f>CHOOSE(CONTROL!$C$42, 13.1648, 13.1648) * CHOOSE(CONTROL!$C$21, $C$9, 100%, $E$9)</f>
        <v>13.1648</v>
      </c>
      <c r="Q277" s="14">
        <f>CHOOSE(CONTROL!$C$42, 13.8046, 13.8046) * CHOOSE(CONTROL!$C$21, $C$9, 100%, $E$9)</f>
        <v>13.804600000000001</v>
      </c>
      <c r="R277" s="14">
        <f>CHOOSE(CONTROL!$C$42, 14.4261, 14.4261) * CHOOSE(CONTROL!$C$21, $C$9, 100%, $E$9)</f>
        <v>14.4261</v>
      </c>
      <c r="S277" s="14">
        <f>CHOOSE(CONTROL!$C$42, 12.8417, 12.8417) * CHOOSE(CONTROL!$C$21, $C$9, 100%, $E$9)</f>
        <v>12.841699999999999</v>
      </c>
      <c r="T2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7">
        <f>(1000*CHOOSE(CONTROL!$C$42, 695, 695)*CHOOSE(CONTROL!$C$42, 0.5599, 0.5599)*CHOOSE(CONTROL!$C$42, 31, 31))/1000000</f>
        <v>12.063045499999998</v>
      </c>
      <c r="V277" s="57">
        <f>(1000*CHOOSE(CONTROL!$C$42, 500, 500)*CHOOSE(CONTROL!$C$42, 0.275, 0.275)*CHOOSE(CONTROL!$C$42, 31, 31))/1000000</f>
        <v>4.2625000000000002</v>
      </c>
      <c r="W277" s="57">
        <f>(1000*CHOOSE(CONTROL!$C$42, 0.1146, 0.1146)*CHOOSE(CONTROL!$C$42, 121.5, 121.5)*CHOOSE(CONTROL!$C$42, 31, 31))/1000000</f>
        <v>0.43164089999999994</v>
      </c>
      <c r="X277" s="57">
        <f>(31*0.1790888*100000/1000000)+(31*0.2374*100000/1000000)</f>
        <v>1.2911152800000001</v>
      </c>
      <c r="Y277" s="57"/>
      <c r="Z277" s="14"/>
      <c r="AA277" s="56"/>
      <c r="AB277" s="50">
        <f>(B277*122.58+C277*297.941+D277*89.177+E277*40.302+F277*40+G277*160+H277*0+I277*100+J277*300)/(122.58+297.941+89.177+40.302+0+40+160+100+300)</f>
        <v>13.390635072434781</v>
      </c>
      <c r="AC277" s="45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13.160130215827337</v>
      </c>
    </row>
    <row r="278" spans="1:29" ht="15.75" x14ac:dyDescent="0.25">
      <c r="A278" s="13">
        <v>49341</v>
      </c>
      <c r="B278" s="14">
        <f>CHOOSE(CONTROL!$C$42, 13.6111, 13.6111) * CHOOSE(CONTROL!$C$21, $C$9, 100%, $E$9)</f>
        <v>13.6111</v>
      </c>
      <c r="C278" s="14">
        <f>CHOOSE(CONTROL!$C$42, 13.6161, 13.6161) * CHOOSE(CONTROL!$C$21, $C$9, 100%, $E$9)</f>
        <v>13.616099999999999</v>
      </c>
      <c r="D278" s="14">
        <f>CHOOSE(CONTROL!$C$42, 13.6929, 13.6929) * CHOOSE(CONTROL!$C$21, $C$9, 100%, $E$9)</f>
        <v>13.6929</v>
      </c>
      <c r="E278" s="14">
        <f>CHOOSE(CONTROL!$C$42, 13.727, 13.727) * CHOOSE(CONTROL!$C$21, $C$9, 100%, $E$9)</f>
        <v>13.727</v>
      </c>
      <c r="F278" s="14">
        <f>CHOOSE(CONTROL!$C$42, 13.6113, 13.6113)*CHOOSE(CONTROL!$C$21, $C$9, 100%, $E$9)</f>
        <v>13.6113</v>
      </c>
      <c r="G278" s="14">
        <f>CHOOSE(CONTROL!$C$42, 13.6275, 13.6275)*CHOOSE(CONTROL!$C$21, $C$9, 100%, $E$9)</f>
        <v>13.6275</v>
      </c>
      <c r="H278" s="14">
        <f>CHOOSE(CONTROL!$C$42, 13.7162, 13.7162) * CHOOSE(CONTROL!$C$21, $C$9, 100%, $E$9)</f>
        <v>13.716200000000001</v>
      </c>
      <c r="I278" s="14">
        <f>CHOOSE(CONTROL!$C$42, 13.6717, 13.6717)* CHOOSE(CONTROL!$C$21, $C$9, 100%, $E$9)</f>
        <v>13.6717</v>
      </c>
      <c r="J278" s="14">
        <f>CHOOSE(CONTROL!$C$42, 13.6043, 13.6043)* CHOOSE(CONTROL!$C$21, $C$9, 100%, $E$9)</f>
        <v>13.6043</v>
      </c>
      <c r="K278" s="53">
        <f>CHOOSE(CONTROL!$C$42, 13.6679, 13.6679) * CHOOSE(CONTROL!$C$21, $C$9, 100%, $E$9)</f>
        <v>13.667899999999999</v>
      </c>
      <c r="L278" s="14">
        <f>CHOOSE(CONTROL!$C$42, 14.3032, 14.3032) * CHOOSE(CONTROL!$C$21, $C$9, 100%, $E$9)</f>
        <v>14.3032</v>
      </c>
      <c r="M278" s="14">
        <f>CHOOSE(CONTROL!$C$42, 13.3333, 13.3333) * CHOOSE(CONTROL!$C$21, $C$9, 100%, $E$9)</f>
        <v>13.333299999999999</v>
      </c>
      <c r="N278" s="14">
        <f>CHOOSE(CONTROL!$C$42, 13.3492, 13.3492) * CHOOSE(CONTROL!$C$21, $C$9, 100%, $E$9)</f>
        <v>13.3492</v>
      </c>
      <c r="O278" s="14">
        <f>CHOOSE(CONTROL!$C$42, 13.4429, 13.4429) * CHOOSE(CONTROL!$C$21, $C$9, 100%, $E$9)</f>
        <v>13.4429</v>
      </c>
      <c r="P278" s="14">
        <f>CHOOSE(CONTROL!$C$42, 13.3985, 13.3985) * CHOOSE(CONTROL!$C$21, $C$9, 100%, $E$9)</f>
        <v>13.3985</v>
      </c>
      <c r="Q278" s="14">
        <f>CHOOSE(CONTROL!$C$42, 14.0376, 14.0376) * CHOOSE(CONTROL!$C$21, $C$9, 100%, $E$9)</f>
        <v>14.037599999999999</v>
      </c>
      <c r="R278" s="14">
        <f>CHOOSE(CONTROL!$C$42, 14.6597, 14.6597) * CHOOSE(CONTROL!$C$21, $C$9, 100%, $E$9)</f>
        <v>14.659700000000001</v>
      </c>
      <c r="S278" s="14">
        <f>CHOOSE(CONTROL!$C$42, 13.0703, 13.0703) * CHOOSE(CONTROL!$C$21, $C$9, 100%, $E$9)</f>
        <v>13.0703</v>
      </c>
      <c r="T2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7">
        <f>(1000*CHOOSE(CONTROL!$C$42, 695, 695)*CHOOSE(CONTROL!$C$42, 0.5599, 0.5599)*CHOOSE(CONTROL!$C$42, 28, 28))/1000000</f>
        <v>10.895653999999999</v>
      </c>
      <c r="V278" s="57">
        <f>(1000*CHOOSE(CONTROL!$C$42, 500, 500)*CHOOSE(CONTROL!$C$42, 0.275, 0.275)*CHOOSE(CONTROL!$C$42, 28, 28))/1000000</f>
        <v>3.85</v>
      </c>
      <c r="W278" s="57">
        <f>(1000*CHOOSE(CONTROL!$C$42, 0.1146, 0.1146)*CHOOSE(CONTROL!$C$42, 121.5, 121.5)*CHOOSE(CONTROL!$C$42, 28, 28))/1000000</f>
        <v>0.38986920000000003</v>
      </c>
      <c r="X278" s="57">
        <f>(28*0.1790888*100000/1000000)+(28*0.2374*100000/1000000)</f>
        <v>1.16616864</v>
      </c>
      <c r="Y278" s="57"/>
      <c r="Z278" s="14"/>
      <c r="AA278" s="56"/>
      <c r="AB278" s="50">
        <f>(B278*122.58+C278*297.941+D278*89.177+E278*40.302+F278*40+G278*160+H278*0+I278*100+J278*300)/(122.58+297.941+89.177+40.302+0+40+160+100+300)</f>
        <v>13.62858468295652</v>
      </c>
      <c r="AC278" s="45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13.393271223021584</v>
      </c>
    </row>
    <row r="279" spans="1:29" ht="15.75" x14ac:dyDescent="0.25">
      <c r="A279" s="13">
        <v>49369</v>
      </c>
      <c r="B279" s="14">
        <f>CHOOSE(CONTROL!$C$42, 13.2249, 13.2249) * CHOOSE(CONTROL!$C$21, $C$9, 100%, $E$9)</f>
        <v>13.2249</v>
      </c>
      <c r="C279" s="14">
        <f>CHOOSE(CONTROL!$C$42, 13.23, 13.23) * CHOOSE(CONTROL!$C$21, $C$9, 100%, $E$9)</f>
        <v>13.23</v>
      </c>
      <c r="D279" s="14">
        <f>CHOOSE(CONTROL!$C$42, 13.3068, 13.3068) * CHOOSE(CONTROL!$C$21, $C$9, 100%, $E$9)</f>
        <v>13.306800000000001</v>
      </c>
      <c r="E279" s="14">
        <f>CHOOSE(CONTROL!$C$42, 13.3409, 13.3409) * CHOOSE(CONTROL!$C$21, $C$9, 100%, $E$9)</f>
        <v>13.3409</v>
      </c>
      <c r="F279" s="14">
        <f>CHOOSE(CONTROL!$C$42, 13.2247, 13.2247)*CHOOSE(CONTROL!$C$21, $C$9, 100%, $E$9)</f>
        <v>13.2247</v>
      </c>
      <c r="G279" s="14">
        <f>CHOOSE(CONTROL!$C$42, 13.2408, 13.2408)*CHOOSE(CONTROL!$C$21, $C$9, 100%, $E$9)</f>
        <v>13.2408</v>
      </c>
      <c r="H279" s="14">
        <f>CHOOSE(CONTROL!$C$42, 13.3301, 13.3301) * CHOOSE(CONTROL!$C$21, $C$9, 100%, $E$9)</f>
        <v>13.3301</v>
      </c>
      <c r="I279" s="14">
        <f>CHOOSE(CONTROL!$C$42, 13.2844, 13.2844)* CHOOSE(CONTROL!$C$21, $C$9, 100%, $E$9)</f>
        <v>13.2844</v>
      </c>
      <c r="J279" s="14">
        <f>CHOOSE(CONTROL!$C$42, 13.2177, 13.2177)* CHOOSE(CONTROL!$C$21, $C$9, 100%, $E$9)</f>
        <v>13.217700000000001</v>
      </c>
      <c r="K279" s="53">
        <f>CHOOSE(CONTROL!$C$42, 13.2805, 13.2805) * CHOOSE(CONTROL!$C$21, $C$9, 100%, $E$9)</f>
        <v>13.2805</v>
      </c>
      <c r="L279" s="14">
        <f>CHOOSE(CONTROL!$C$42, 13.9171, 13.9171) * CHOOSE(CONTROL!$C$21, $C$9, 100%, $E$9)</f>
        <v>13.9171</v>
      </c>
      <c r="M279" s="14">
        <f>CHOOSE(CONTROL!$C$42, 12.9546, 12.9546) * CHOOSE(CONTROL!$C$21, $C$9, 100%, $E$9)</f>
        <v>12.954599999999999</v>
      </c>
      <c r="N279" s="14">
        <f>CHOOSE(CONTROL!$C$42, 12.9703, 12.9703) * CHOOSE(CONTROL!$C$21, $C$9, 100%, $E$9)</f>
        <v>12.9703</v>
      </c>
      <c r="O279" s="14">
        <f>CHOOSE(CONTROL!$C$42, 13.0647, 13.0647) * CHOOSE(CONTROL!$C$21, $C$9, 100%, $E$9)</f>
        <v>13.0647</v>
      </c>
      <c r="P279" s="14">
        <f>CHOOSE(CONTROL!$C$42, 13.0191, 13.0191) * CHOOSE(CONTROL!$C$21, $C$9, 100%, $E$9)</f>
        <v>13.0191</v>
      </c>
      <c r="Q279" s="14">
        <f>CHOOSE(CONTROL!$C$42, 13.6594, 13.6594) * CHOOSE(CONTROL!$C$21, $C$9, 100%, $E$9)</f>
        <v>13.6594</v>
      </c>
      <c r="R279" s="14">
        <f>CHOOSE(CONTROL!$C$42, 14.2805, 14.2805) * CHOOSE(CONTROL!$C$21, $C$9, 100%, $E$9)</f>
        <v>14.2805</v>
      </c>
      <c r="S279" s="14">
        <f>CHOOSE(CONTROL!$C$42, 12.6993, 12.6993) * CHOOSE(CONTROL!$C$21, $C$9, 100%, $E$9)</f>
        <v>12.699299999999999</v>
      </c>
      <c r="T2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7">
        <f>(1000*CHOOSE(CONTROL!$C$42, 695, 695)*CHOOSE(CONTROL!$C$42, 0.5599, 0.5599)*CHOOSE(CONTROL!$C$42, 31, 31))/1000000</f>
        <v>12.063045499999998</v>
      </c>
      <c r="V279" s="57">
        <f>(1000*CHOOSE(CONTROL!$C$42, 500, 500)*CHOOSE(CONTROL!$C$42, 0.275, 0.275)*CHOOSE(CONTROL!$C$42, 31, 31))/1000000</f>
        <v>4.2625000000000002</v>
      </c>
      <c r="W279" s="57">
        <f>(1000*CHOOSE(CONTROL!$C$42, 0.1146, 0.1146)*CHOOSE(CONTROL!$C$42, 121.5, 121.5)*CHOOSE(CONTROL!$C$42, 31, 31))/1000000</f>
        <v>0.43164089999999994</v>
      </c>
      <c r="X279" s="57">
        <f>(31*0.1790888*100000/1000000)+(31*0.2374*100000/1000000)</f>
        <v>1.2911152800000001</v>
      </c>
      <c r="Y279" s="57"/>
      <c r="Z279" s="14"/>
      <c r="AA279" s="56"/>
      <c r="AB279" s="50">
        <f>(B279*122.58+C279*297.941+D279*89.177+E279*40.302+F279*40+G279*160+H279*0+I279*100+J279*300)/(122.58+297.941+89.177+40.302+0+40+160+100+300)</f>
        <v>13.242138371652175</v>
      </c>
      <c r="AC279" s="45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13.014685611510792</v>
      </c>
    </row>
    <row r="280" spans="1:29" ht="15.75" x14ac:dyDescent="0.25">
      <c r="A280" s="13">
        <v>49400</v>
      </c>
      <c r="B280" s="14">
        <f>CHOOSE(CONTROL!$C$42, 13.1866, 13.1866) * CHOOSE(CONTROL!$C$21, $C$9, 100%, $E$9)</f>
        <v>13.1866</v>
      </c>
      <c r="C280" s="14">
        <f>CHOOSE(CONTROL!$C$42, 13.1911, 13.1911) * CHOOSE(CONTROL!$C$21, $C$9, 100%, $E$9)</f>
        <v>13.1911</v>
      </c>
      <c r="D280" s="14">
        <f>CHOOSE(CONTROL!$C$42, 13.4278, 13.4278) * CHOOSE(CONTROL!$C$21, $C$9, 100%, $E$9)</f>
        <v>13.4278</v>
      </c>
      <c r="E280" s="14">
        <f>CHOOSE(CONTROL!$C$42, 13.4599, 13.4599) * CHOOSE(CONTROL!$C$21, $C$9, 100%, $E$9)</f>
        <v>13.459899999999999</v>
      </c>
      <c r="F280" s="14">
        <f>CHOOSE(CONTROL!$C$42, 13.1845, 13.1845)*CHOOSE(CONTROL!$C$21, $C$9, 100%, $E$9)</f>
        <v>13.1845</v>
      </c>
      <c r="G280" s="14">
        <f>CHOOSE(CONTROL!$C$42, 13.2003, 13.2003)*CHOOSE(CONTROL!$C$21, $C$9, 100%, $E$9)</f>
        <v>13.2003</v>
      </c>
      <c r="H280" s="14">
        <f>CHOOSE(CONTROL!$C$42, 13.4497, 13.4497) * CHOOSE(CONTROL!$C$21, $C$9, 100%, $E$9)</f>
        <v>13.4497</v>
      </c>
      <c r="I280" s="14">
        <f>CHOOSE(CONTROL!$C$42, 13.2452, 13.2452)* CHOOSE(CONTROL!$C$21, $C$9, 100%, $E$9)</f>
        <v>13.245200000000001</v>
      </c>
      <c r="J280" s="14">
        <f>CHOOSE(CONTROL!$C$42, 13.1775, 13.1775)* CHOOSE(CONTROL!$C$21, $C$9, 100%, $E$9)</f>
        <v>13.1775</v>
      </c>
      <c r="K280" s="53">
        <f>CHOOSE(CONTROL!$C$42, 13.2413, 13.2413) * CHOOSE(CONTROL!$C$21, $C$9, 100%, $E$9)</f>
        <v>13.241300000000001</v>
      </c>
      <c r="L280" s="14">
        <f>CHOOSE(CONTROL!$C$42, 14.0367, 14.0367) * CHOOSE(CONTROL!$C$21, $C$9, 100%, $E$9)</f>
        <v>14.0367</v>
      </c>
      <c r="M280" s="14">
        <f>CHOOSE(CONTROL!$C$42, 12.9152, 12.9152) * CHOOSE(CONTROL!$C$21, $C$9, 100%, $E$9)</f>
        <v>12.9152</v>
      </c>
      <c r="N280" s="14">
        <f>CHOOSE(CONTROL!$C$42, 12.9307, 12.9307) * CHOOSE(CONTROL!$C$21, $C$9, 100%, $E$9)</f>
        <v>12.9307</v>
      </c>
      <c r="O280" s="14">
        <f>CHOOSE(CONTROL!$C$42, 13.1818, 13.1818) * CHOOSE(CONTROL!$C$21, $C$9, 100%, $E$9)</f>
        <v>13.181800000000001</v>
      </c>
      <c r="P280" s="14">
        <f>CHOOSE(CONTROL!$C$42, 12.9807, 12.9807) * CHOOSE(CONTROL!$C$21, $C$9, 100%, $E$9)</f>
        <v>12.980700000000001</v>
      </c>
      <c r="Q280" s="14">
        <f>CHOOSE(CONTROL!$C$42, 13.7765, 13.7765) * CHOOSE(CONTROL!$C$21, $C$9, 100%, $E$9)</f>
        <v>13.7765</v>
      </c>
      <c r="R280" s="14">
        <f>CHOOSE(CONTROL!$C$42, 14.3979, 14.3979) * CHOOSE(CONTROL!$C$21, $C$9, 100%, $E$9)</f>
        <v>14.3979</v>
      </c>
      <c r="S280" s="14">
        <f>CHOOSE(CONTROL!$C$42, 12.6617, 12.6617) * CHOOSE(CONTROL!$C$21, $C$9, 100%, $E$9)</f>
        <v>12.6617</v>
      </c>
      <c r="T2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7">
        <f>(1000*CHOOSE(CONTROL!$C$42, 695, 695)*CHOOSE(CONTROL!$C$42, 0.5599, 0.5599)*CHOOSE(CONTROL!$C$42, 30, 30))/1000000</f>
        <v>11.673914999999997</v>
      </c>
      <c r="V280" s="57">
        <f>(1000*CHOOSE(CONTROL!$C$42, 500, 500)*CHOOSE(CONTROL!$C$42, 0.275, 0.275)*CHOOSE(CONTROL!$C$42, 30, 30))/1000000</f>
        <v>4.125</v>
      </c>
      <c r="W280" s="57">
        <f>(1000*CHOOSE(CONTROL!$C$42, 0.1146, 0.1146)*CHOOSE(CONTROL!$C$42, 121.5, 121.5)*CHOOSE(CONTROL!$C$42, 30, 30))/1000000</f>
        <v>0.417717</v>
      </c>
      <c r="X280" s="57">
        <f>(30*0.1790888*245000/1000000)+(30*0.2374*100000/1000000)</f>
        <v>2.0285026799999999</v>
      </c>
      <c r="Y280" s="57"/>
      <c r="Z280" s="14"/>
      <c r="AA280" s="56"/>
      <c r="AB280" s="50">
        <f>(B280*141.293+C280*267.993+D280*115.016+E280*89.698+F280*40+G280*185+H280*0+I280*100+J280*300)/(141.293+267.993+115.016+89.698+0+40+185+100+300)</f>
        <v>13.23425358442292</v>
      </c>
      <c r="AC280" s="45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13.002994244604317</v>
      </c>
    </row>
    <row r="281" spans="1:29" ht="15.75" x14ac:dyDescent="0.25">
      <c r="A281" s="13">
        <v>49430</v>
      </c>
      <c r="B281" s="14">
        <f>CHOOSE(CONTROL!$C$42, 13.3043, 13.3043) * CHOOSE(CONTROL!$C$21, $C$9, 100%, $E$9)</f>
        <v>13.3043</v>
      </c>
      <c r="C281" s="14">
        <f>CHOOSE(CONTROL!$C$42, 13.3123, 13.3123) * CHOOSE(CONTROL!$C$21, $C$9, 100%, $E$9)</f>
        <v>13.3123</v>
      </c>
      <c r="D281" s="14">
        <f>CHOOSE(CONTROL!$C$42, 13.5459, 13.5459) * CHOOSE(CONTROL!$C$21, $C$9, 100%, $E$9)</f>
        <v>13.5459</v>
      </c>
      <c r="E281" s="14">
        <f>CHOOSE(CONTROL!$C$42, 13.5773, 13.5773) * CHOOSE(CONTROL!$C$21, $C$9, 100%, $E$9)</f>
        <v>13.577299999999999</v>
      </c>
      <c r="F281" s="14">
        <f>CHOOSE(CONTROL!$C$42, 13.301, 13.301)*CHOOSE(CONTROL!$C$21, $C$9, 100%, $E$9)</f>
        <v>13.301</v>
      </c>
      <c r="G281" s="14">
        <f>CHOOSE(CONTROL!$C$42, 13.3174, 13.3174)*CHOOSE(CONTROL!$C$21, $C$9, 100%, $E$9)</f>
        <v>13.317399999999999</v>
      </c>
      <c r="H281" s="14">
        <f>CHOOSE(CONTROL!$C$42, 13.566, 13.566) * CHOOSE(CONTROL!$C$21, $C$9, 100%, $E$9)</f>
        <v>13.566000000000001</v>
      </c>
      <c r="I281" s="14">
        <f>CHOOSE(CONTROL!$C$42, 13.3618, 13.3618)* CHOOSE(CONTROL!$C$21, $C$9, 100%, $E$9)</f>
        <v>13.361800000000001</v>
      </c>
      <c r="J281" s="14">
        <f>CHOOSE(CONTROL!$C$42, 13.294, 13.294)* CHOOSE(CONTROL!$C$21, $C$9, 100%, $E$9)</f>
        <v>13.294</v>
      </c>
      <c r="K281" s="53">
        <f>CHOOSE(CONTROL!$C$42, 13.3579, 13.3579) * CHOOSE(CONTROL!$C$21, $C$9, 100%, $E$9)</f>
        <v>13.357900000000001</v>
      </c>
      <c r="L281" s="14">
        <f>CHOOSE(CONTROL!$C$42, 14.153, 14.153) * CHOOSE(CONTROL!$C$21, $C$9, 100%, $E$9)</f>
        <v>14.153</v>
      </c>
      <c r="M281" s="14">
        <f>CHOOSE(CONTROL!$C$42, 13.0293, 13.0293) * CHOOSE(CONTROL!$C$21, $C$9, 100%, $E$9)</f>
        <v>13.029299999999999</v>
      </c>
      <c r="N281" s="14">
        <f>CHOOSE(CONTROL!$C$42, 13.0454, 13.0454) * CHOOSE(CONTROL!$C$21, $C$9, 100%, $E$9)</f>
        <v>13.045400000000001</v>
      </c>
      <c r="O281" s="14">
        <f>CHOOSE(CONTROL!$C$42, 13.2957, 13.2957) * CHOOSE(CONTROL!$C$21, $C$9, 100%, $E$9)</f>
        <v>13.2957</v>
      </c>
      <c r="P281" s="14">
        <f>CHOOSE(CONTROL!$C$42, 13.095, 13.095) * CHOOSE(CONTROL!$C$21, $C$9, 100%, $E$9)</f>
        <v>13.095000000000001</v>
      </c>
      <c r="Q281" s="14">
        <f>CHOOSE(CONTROL!$C$42, 13.8904, 13.8904) * CHOOSE(CONTROL!$C$21, $C$9, 100%, $E$9)</f>
        <v>13.8904</v>
      </c>
      <c r="R281" s="14">
        <f>CHOOSE(CONTROL!$C$42, 14.5121, 14.5121) * CHOOSE(CONTROL!$C$21, $C$9, 100%, $E$9)</f>
        <v>14.5121</v>
      </c>
      <c r="S281" s="14">
        <f>CHOOSE(CONTROL!$C$42, 12.7734, 12.7734) * CHOOSE(CONTROL!$C$21, $C$9, 100%, $E$9)</f>
        <v>12.773400000000001</v>
      </c>
      <c r="T2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7">
        <f>(1000*CHOOSE(CONTROL!$C$42, 695, 695)*CHOOSE(CONTROL!$C$42, 0.5599, 0.5599)*CHOOSE(CONTROL!$C$42, 31, 31))/1000000</f>
        <v>12.063045499999998</v>
      </c>
      <c r="V281" s="57">
        <f>(1000*CHOOSE(CONTROL!$C$42, 500, 500)*CHOOSE(CONTROL!$C$42, 0.275, 0.275)*CHOOSE(CONTROL!$C$42, 31, 31))/1000000</f>
        <v>4.2625000000000002</v>
      </c>
      <c r="W281" s="57">
        <f>(1000*CHOOSE(CONTROL!$C$42, 0.1146, 0.1146)*CHOOSE(CONTROL!$C$42, 121.5, 121.5)*CHOOSE(CONTROL!$C$42, 31, 31))/1000000</f>
        <v>0.43164089999999994</v>
      </c>
      <c r="X281" s="57">
        <f>(31*0.1790888*245000/1000000)+(31*0.2374*100000/1000000)</f>
        <v>2.0961194359999999</v>
      </c>
      <c r="Y281" s="57"/>
      <c r="Z281" s="14"/>
      <c r="AA281" s="56"/>
      <c r="AB281" s="50">
        <f>(B281*194.205+C281*267.466+D281*133.845+E281*53.484+F281*40+G281*185+H281*0+I281*100+J281*300)/(194.205+267.466+133.845+53.484+0+40+185+100+300)</f>
        <v>13.346709193092622</v>
      </c>
      <c r="AC281" s="45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13.117205035971224</v>
      </c>
    </row>
    <row r="282" spans="1:29" ht="15.75" x14ac:dyDescent="0.25">
      <c r="A282" s="34">
        <v>49461</v>
      </c>
      <c r="B282" s="14">
        <f>CHOOSE(CONTROL!$C$42, 13.6813, 13.6813) * CHOOSE(CONTROL!$C$21, $C$9, 100%, $E$9)</f>
        <v>13.6813</v>
      </c>
      <c r="C282" s="14">
        <f>CHOOSE(CONTROL!$C$42, 13.6893, 13.6893) * CHOOSE(CONTROL!$C$21, $C$9, 100%, $E$9)</f>
        <v>13.689299999999999</v>
      </c>
      <c r="D282" s="14">
        <f>CHOOSE(CONTROL!$C$42, 13.9229, 13.9229) * CHOOSE(CONTROL!$C$21, $C$9, 100%, $E$9)</f>
        <v>13.9229</v>
      </c>
      <c r="E282" s="14">
        <f>CHOOSE(CONTROL!$C$42, 13.9544, 13.9544) * CHOOSE(CONTROL!$C$21, $C$9, 100%, $E$9)</f>
        <v>13.9544</v>
      </c>
      <c r="F282" s="14">
        <f>CHOOSE(CONTROL!$C$42, 13.6786, 13.6786)*CHOOSE(CONTROL!$C$21, $C$9, 100%, $E$9)</f>
        <v>13.678599999999999</v>
      </c>
      <c r="G282" s="14">
        <f>CHOOSE(CONTROL!$C$42, 13.695, 13.695)*CHOOSE(CONTROL!$C$21, $C$9, 100%, $E$9)</f>
        <v>13.695</v>
      </c>
      <c r="H282" s="14">
        <f>CHOOSE(CONTROL!$C$42, 13.943, 13.943) * CHOOSE(CONTROL!$C$21, $C$9, 100%, $E$9)</f>
        <v>13.943</v>
      </c>
      <c r="I282" s="14">
        <f>CHOOSE(CONTROL!$C$42, 13.74, 13.74)* CHOOSE(CONTROL!$C$21, $C$9, 100%, $E$9)</f>
        <v>13.74</v>
      </c>
      <c r="J282" s="14">
        <f>CHOOSE(CONTROL!$C$42, 13.6716, 13.6716)* CHOOSE(CONTROL!$C$21, $C$9, 100%, $E$9)</f>
        <v>13.6716</v>
      </c>
      <c r="K282" s="53">
        <f>CHOOSE(CONTROL!$C$42, 13.7361, 13.7361) * CHOOSE(CONTROL!$C$21, $C$9, 100%, $E$9)</f>
        <v>13.7361</v>
      </c>
      <c r="L282" s="14">
        <f>CHOOSE(CONTROL!$C$42, 14.53, 14.53) * CHOOSE(CONTROL!$C$21, $C$9, 100%, $E$9)</f>
        <v>14.53</v>
      </c>
      <c r="M282" s="14">
        <f>CHOOSE(CONTROL!$C$42, 13.3991, 13.3991) * CHOOSE(CONTROL!$C$21, $C$9, 100%, $E$9)</f>
        <v>13.399100000000001</v>
      </c>
      <c r="N282" s="14">
        <f>CHOOSE(CONTROL!$C$42, 13.4153, 13.4153) * CHOOSE(CONTROL!$C$21, $C$9, 100%, $E$9)</f>
        <v>13.4153</v>
      </c>
      <c r="O282" s="14">
        <f>CHOOSE(CONTROL!$C$42, 13.665, 13.665) * CHOOSE(CONTROL!$C$21, $C$9, 100%, $E$9)</f>
        <v>13.664999999999999</v>
      </c>
      <c r="P282" s="14">
        <f>CHOOSE(CONTROL!$C$42, 13.4654, 13.4654) * CHOOSE(CONTROL!$C$21, $C$9, 100%, $E$9)</f>
        <v>13.465400000000001</v>
      </c>
      <c r="Q282" s="14">
        <f>CHOOSE(CONTROL!$C$42, 14.2597, 14.2597) * CHOOSE(CONTROL!$C$21, $C$9, 100%, $E$9)</f>
        <v>14.2597</v>
      </c>
      <c r="R282" s="14">
        <f>CHOOSE(CONTROL!$C$42, 14.8824, 14.8824) * CHOOSE(CONTROL!$C$21, $C$9, 100%, $E$9)</f>
        <v>14.882400000000001</v>
      </c>
      <c r="S282" s="14">
        <f>CHOOSE(CONTROL!$C$42, 13.1357, 13.1357) * CHOOSE(CONTROL!$C$21, $C$9, 100%, $E$9)</f>
        <v>13.1357</v>
      </c>
      <c r="T2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7">
        <f>(1000*CHOOSE(CONTROL!$C$42, 695, 695)*CHOOSE(CONTROL!$C$42, 0.5599, 0.5599)*CHOOSE(CONTROL!$C$42, 30, 30))/1000000</f>
        <v>11.673914999999997</v>
      </c>
      <c r="V282" s="57">
        <f>(1000*CHOOSE(CONTROL!$C$42, 500, 500)*CHOOSE(CONTROL!$C$42, 0.275, 0.275)*CHOOSE(CONTROL!$C$42, 30, 30))/1000000</f>
        <v>4.125</v>
      </c>
      <c r="W282" s="57">
        <f>(1000*CHOOSE(CONTROL!$C$42, 0.1146, 0.1146)*CHOOSE(CONTROL!$C$42, 121.5, 121.5)*CHOOSE(CONTROL!$C$42, 30, 30))/1000000</f>
        <v>0.417717</v>
      </c>
      <c r="X282" s="57">
        <f>(30*0.1790888*245000/1000000)+(30*0.2374*100000/1000000)</f>
        <v>2.0285026799999999</v>
      </c>
      <c r="Y282" s="57"/>
      <c r="Z282" s="14"/>
      <c r="AA282" s="56"/>
      <c r="AB282" s="50">
        <f>(B282*194.205+C282*267.466+D282*133.845+E282*53.484+F282*40+G282*185+H282*0+I282*100+J282*300)/(194.205+267.466+133.845+53.484+0+40+185+100+300)</f>
        <v>13.724054835478809</v>
      </c>
      <c r="AC282" s="45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13.486974100719424</v>
      </c>
    </row>
    <row r="283" spans="1:29" ht="15.75" x14ac:dyDescent="0.25">
      <c r="A283" s="34">
        <v>49491</v>
      </c>
      <c r="B283" s="14">
        <f>CHOOSE(CONTROL!$C$42, 13.4191, 13.4191) * CHOOSE(CONTROL!$C$21, $C$9, 100%, $E$9)</f>
        <v>13.4191</v>
      </c>
      <c r="C283" s="14">
        <f>CHOOSE(CONTROL!$C$42, 13.4271, 13.4271) * CHOOSE(CONTROL!$C$21, $C$9, 100%, $E$9)</f>
        <v>13.427099999999999</v>
      </c>
      <c r="D283" s="14">
        <f>CHOOSE(CONTROL!$C$42, 13.6607, 13.6607) * CHOOSE(CONTROL!$C$21, $C$9, 100%, $E$9)</f>
        <v>13.6607</v>
      </c>
      <c r="E283" s="14">
        <f>CHOOSE(CONTROL!$C$42, 13.6922, 13.6922) * CHOOSE(CONTROL!$C$21, $C$9, 100%, $E$9)</f>
        <v>13.6922</v>
      </c>
      <c r="F283" s="14">
        <f>CHOOSE(CONTROL!$C$42, 13.4168, 13.4168)*CHOOSE(CONTROL!$C$21, $C$9, 100%, $E$9)</f>
        <v>13.4168</v>
      </c>
      <c r="G283" s="14">
        <f>CHOOSE(CONTROL!$C$42, 13.4335, 13.4335)*CHOOSE(CONTROL!$C$21, $C$9, 100%, $E$9)</f>
        <v>13.4335</v>
      </c>
      <c r="H283" s="14">
        <f>CHOOSE(CONTROL!$C$42, 13.6808, 13.6808) * CHOOSE(CONTROL!$C$21, $C$9, 100%, $E$9)</f>
        <v>13.6808</v>
      </c>
      <c r="I283" s="14">
        <f>CHOOSE(CONTROL!$C$42, 13.477, 13.477)* CHOOSE(CONTROL!$C$21, $C$9, 100%, $E$9)</f>
        <v>13.477</v>
      </c>
      <c r="J283" s="14">
        <f>CHOOSE(CONTROL!$C$42, 13.4098, 13.4098)* CHOOSE(CONTROL!$C$21, $C$9, 100%, $E$9)</f>
        <v>13.409800000000001</v>
      </c>
      <c r="K283" s="53">
        <f>CHOOSE(CONTROL!$C$42, 13.4731, 13.4731) * CHOOSE(CONTROL!$C$21, $C$9, 100%, $E$9)</f>
        <v>13.473100000000001</v>
      </c>
      <c r="L283" s="14">
        <f>CHOOSE(CONTROL!$C$42, 14.2678, 14.2678) * CHOOSE(CONTROL!$C$21, $C$9, 100%, $E$9)</f>
        <v>14.267799999999999</v>
      </c>
      <c r="M283" s="14">
        <f>CHOOSE(CONTROL!$C$42, 13.1428, 13.1428) * CHOOSE(CONTROL!$C$21, $C$9, 100%, $E$9)</f>
        <v>13.142799999999999</v>
      </c>
      <c r="N283" s="14">
        <f>CHOOSE(CONTROL!$C$42, 13.1591, 13.1591) * CHOOSE(CONTROL!$C$21, $C$9, 100%, $E$9)</f>
        <v>13.1591</v>
      </c>
      <c r="O283" s="14">
        <f>CHOOSE(CONTROL!$C$42, 13.4082, 13.4082) * CHOOSE(CONTROL!$C$21, $C$9, 100%, $E$9)</f>
        <v>13.408200000000001</v>
      </c>
      <c r="P283" s="14">
        <f>CHOOSE(CONTROL!$C$42, 13.2078, 13.2078) * CHOOSE(CONTROL!$C$21, $C$9, 100%, $E$9)</f>
        <v>13.207800000000001</v>
      </c>
      <c r="Q283" s="14">
        <f>CHOOSE(CONTROL!$C$42, 14.0029, 14.0029) * CHOOSE(CONTROL!$C$21, $C$9, 100%, $E$9)</f>
        <v>14.0029</v>
      </c>
      <c r="R283" s="14">
        <f>CHOOSE(CONTROL!$C$42, 14.6249, 14.6249) * CHOOSE(CONTROL!$C$21, $C$9, 100%, $E$9)</f>
        <v>14.6249</v>
      </c>
      <c r="S283" s="14">
        <f>CHOOSE(CONTROL!$C$42, 12.8838, 12.8838) * CHOOSE(CONTROL!$C$21, $C$9, 100%, $E$9)</f>
        <v>12.883800000000001</v>
      </c>
      <c r="T2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7">
        <f>(1000*CHOOSE(CONTROL!$C$42, 695, 695)*CHOOSE(CONTROL!$C$42, 0.5599, 0.5599)*CHOOSE(CONTROL!$C$42, 31, 31))/1000000</f>
        <v>12.063045499999998</v>
      </c>
      <c r="V283" s="57">
        <f>(1000*CHOOSE(CONTROL!$C$42, 500, 500)*CHOOSE(CONTROL!$C$42, 0.275, 0.275)*CHOOSE(CONTROL!$C$42, 31, 31))/1000000</f>
        <v>4.2625000000000002</v>
      </c>
      <c r="W283" s="57">
        <f>(1000*CHOOSE(CONTROL!$C$42, 0.1146, 0.1146)*CHOOSE(CONTROL!$C$42, 121.5, 121.5)*CHOOSE(CONTROL!$C$42, 31, 31))/1000000</f>
        <v>0.43164089999999994</v>
      </c>
      <c r="X283" s="57">
        <f>(31*0.1790888*245000/1000000)+(31*0.2374*100000/1000000)</f>
        <v>2.0961194359999999</v>
      </c>
      <c r="Y283" s="57"/>
      <c r="Z283" s="14"/>
      <c r="AA283" s="56"/>
      <c r="AB283" s="50">
        <f>(B283*194.205+C283*267.466+D283*133.845+E283*53.484+F283*40+G283*185+H283*0+I283*100+J283*300)/(194.205+267.466+133.845+53.484+0+40+185+100+300)</f>
        <v>13.46200043987441</v>
      </c>
      <c r="AC283" s="45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13.230369784172662</v>
      </c>
    </row>
    <row r="284" spans="1:29" ht="15.75" x14ac:dyDescent="0.25">
      <c r="A284" s="34">
        <v>49522</v>
      </c>
      <c r="B284" s="14">
        <f>CHOOSE(CONTROL!$C$42, 12.7568, 12.7568) * CHOOSE(CONTROL!$C$21, $C$9, 100%, $E$9)</f>
        <v>12.7568</v>
      </c>
      <c r="C284" s="14">
        <f>CHOOSE(CONTROL!$C$42, 12.7649, 12.7649) * CHOOSE(CONTROL!$C$21, $C$9, 100%, $E$9)</f>
        <v>12.764900000000001</v>
      </c>
      <c r="D284" s="14">
        <f>CHOOSE(CONTROL!$C$42, 12.9985, 12.9985) * CHOOSE(CONTROL!$C$21, $C$9, 100%, $E$9)</f>
        <v>12.9985</v>
      </c>
      <c r="E284" s="14">
        <f>CHOOSE(CONTROL!$C$42, 13.0299, 13.0299) * CHOOSE(CONTROL!$C$21, $C$9, 100%, $E$9)</f>
        <v>13.0299</v>
      </c>
      <c r="F284" s="14">
        <f>CHOOSE(CONTROL!$C$42, 12.7548, 12.7548)*CHOOSE(CONTROL!$C$21, $C$9, 100%, $E$9)</f>
        <v>12.754799999999999</v>
      </c>
      <c r="G284" s="14">
        <f>CHOOSE(CONTROL!$C$42, 12.7715, 12.7715)*CHOOSE(CONTROL!$C$21, $C$9, 100%, $E$9)</f>
        <v>12.7715</v>
      </c>
      <c r="H284" s="14">
        <f>CHOOSE(CONTROL!$C$42, 13.0186, 13.0186) * CHOOSE(CONTROL!$C$21, $C$9, 100%, $E$9)</f>
        <v>13.018599999999999</v>
      </c>
      <c r="I284" s="14">
        <f>CHOOSE(CONTROL!$C$42, 12.8127, 12.8127)* CHOOSE(CONTROL!$C$21, $C$9, 100%, $E$9)</f>
        <v>12.8127</v>
      </c>
      <c r="J284" s="14">
        <f>CHOOSE(CONTROL!$C$42, 12.7478, 12.7478)* CHOOSE(CONTROL!$C$21, $C$9, 100%, $E$9)</f>
        <v>12.7478</v>
      </c>
      <c r="K284" s="53">
        <f>CHOOSE(CONTROL!$C$42, 12.8088, 12.8088) * CHOOSE(CONTROL!$C$21, $C$9, 100%, $E$9)</f>
        <v>12.8088</v>
      </c>
      <c r="L284" s="14">
        <f>CHOOSE(CONTROL!$C$42, 13.6056, 13.6056) * CHOOSE(CONTROL!$C$21, $C$9, 100%, $E$9)</f>
        <v>13.605600000000001</v>
      </c>
      <c r="M284" s="14">
        <f>CHOOSE(CONTROL!$C$42, 12.4943, 12.4943) * CHOOSE(CONTROL!$C$21, $C$9, 100%, $E$9)</f>
        <v>12.494300000000001</v>
      </c>
      <c r="N284" s="14">
        <f>CHOOSE(CONTROL!$C$42, 12.5106, 12.5106) * CHOOSE(CONTROL!$C$21, $C$9, 100%, $E$9)</f>
        <v>12.5106</v>
      </c>
      <c r="O284" s="14">
        <f>CHOOSE(CONTROL!$C$42, 12.7595, 12.7595) * CHOOSE(CONTROL!$C$21, $C$9, 100%, $E$9)</f>
        <v>12.759499999999999</v>
      </c>
      <c r="P284" s="14">
        <f>CHOOSE(CONTROL!$C$42, 12.5571, 12.5571) * CHOOSE(CONTROL!$C$21, $C$9, 100%, $E$9)</f>
        <v>12.5571</v>
      </c>
      <c r="Q284" s="14">
        <f>CHOOSE(CONTROL!$C$42, 13.3542, 13.3542) * CHOOSE(CONTROL!$C$21, $C$9, 100%, $E$9)</f>
        <v>13.354200000000001</v>
      </c>
      <c r="R284" s="14">
        <f>CHOOSE(CONTROL!$C$42, 13.9746, 13.9746) * CHOOSE(CONTROL!$C$21, $C$9, 100%, $E$9)</f>
        <v>13.974600000000001</v>
      </c>
      <c r="S284" s="14">
        <f>CHOOSE(CONTROL!$C$42, 12.2474, 12.2474) * CHOOSE(CONTROL!$C$21, $C$9, 100%, $E$9)</f>
        <v>12.247400000000001</v>
      </c>
      <c r="T2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7">
        <f>(1000*CHOOSE(CONTROL!$C$42, 695, 695)*CHOOSE(CONTROL!$C$42, 0.5599, 0.5599)*CHOOSE(CONTROL!$C$42, 31, 31))/1000000</f>
        <v>12.063045499999998</v>
      </c>
      <c r="V284" s="57">
        <f>(1000*CHOOSE(CONTROL!$C$42, 500, 500)*CHOOSE(CONTROL!$C$42, 0.275, 0.275)*CHOOSE(CONTROL!$C$42, 31, 31))/1000000</f>
        <v>4.2625000000000002</v>
      </c>
      <c r="W284" s="57">
        <f>(1000*CHOOSE(CONTROL!$C$42, 0.1146, 0.1146)*CHOOSE(CONTROL!$C$42, 121.5, 121.5)*CHOOSE(CONTROL!$C$42, 31, 31))/1000000</f>
        <v>0.43164089999999994</v>
      </c>
      <c r="X284" s="57">
        <f>(31*0.1790888*245000/1000000)+(31*0.2374*100000/1000000)</f>
        <v>2.0961194359999999</v>
      </c>
      <c r="Y284" s="57"/>
      <c r="Z284" s="14"/>
      <c r="AA284" s="56"/>
      <c r="AB284" s="50">
        <f>(B284*194.205+C284*267.466+D284*133.845+E284*53.484+F284*40+G284*185+H284*0+I284*100+J284*300)/(194.205+267.466+133.845+53.484+0+40+185+100+300)</f>
        <v>12.799698580455262</v>
      </c>
      <c r="AC284" s="45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12.581497122302158</v>
      </c>
    </row>
    <row r="285" spans="1:29" ht="15.75" x14ac:dyDescent="0.25">
      <c r="A285" s="34">
        <v>49553</v>
      </c>
      <c r="B285" s="14">
        <f>CHOOSE(CONTROL!$C$42, 11.9473, 11.9473) * CHOOSE(CONTROL!$C$21, $C$9, 100%, $E$9)</f>
        <v>11.9473</v>
      </c>
      <c r="C285" s="14">
        <f>CHOOSE(CONTROL!$C$42, 11.9553, 11.9553) * CHOOSE(CONTROL!$C$21, $C$9, 100%, $E$9)</f>
        <v>11.955299999999999</v>
      </c>
      <c r="D285" s="14">
        <f>CHOOSE(CONTROL!$C$42, 12.1889, 12.1889) * CHOOSE(CONTROL!$C$21, $C$9, 100%, $E$9)</f>
        <v>12.1889</v>
      </c>
      <c r="E285" s="14">
        <f>CHOOSE(CONTROL!$C$42, 12.2204, 12.2204) * CHOOSE(CONTROL!$C$21, $C$9, 100%, $E$9)</f>
        <v>12.2204</v>
      </c>
      <c r="F285" s="14">
        <f>CHOOSE(CONTROL!$C$42, 11.9453, 11.9453)*CHOOSE(CONTROL!$C$21, $C$9, 100%, $E$9)</f>
        <v>11.9453</v>
      </c>
      <c r="G285" s="14">
        <f>CHOOSE(CONTROL!$C$42, 11.9619, 11.9619)*CHOOSE(CONTROL!$C$21, $C$9, 100%, $E$9)</f>
        <v>11.9619</v>
      </c>
      <c r="H285" s="14">
        <f>CHOOSE(CONTROL!$C$42, 12.209, 12.209) * CHOOSE(CONTROL!$C$21, $C$9, 100%, $E$9)</f>
        <v>12.209</v>
      </c>
      <c r="I285" s="14">
        <f>CHOOSE(CONTROL!$C$42, 12.0006, 12.0006)* CHOOSE(CONTROL!$C$21, $C$9, 100%, $E$9)</f>
        <v>12.0006</v>
      </c>
      <c r="J285" s="14">
        <f>CHOOSE(CONTROL!$C$42, 11.9383, 11.9383)* CHOOSE(CONTROL!$C$21, $C$9, 100%, $E$9)</f>
        <v>11.9383</v>
      </c>
      <c r="K285" s="53">
        <f>CHOOSE(CONTROL!$C$42, 11.9967, 11.9967) * CHOOSE(CONTROL!$C$21, $C$9, 100%, $E$9)</f>
        <v>11.996700000000001</v>
      </c>
      <c r="L285" s="14">
        <f>CHOOSE(CONTROL!$C$42, 12.796, 12.796) * CHOOSE(CONTROL!$C$21, $C$9, 100%, $E$9)</f>
        <v>12.795999999999999</v>
      </c>
      <c r="M285" s="14">
        <f>CHOOSE(CONTROL!$C$42, 11.7014, 11.7014) * CHOOSE(CONTROL!$C$21, $C$9, 100%, $E$9)</f>
        <v>11.7014</v>
      </c>
      <c r="N285" s="14">
        <f>CHOOSE(CONTROL!$C$42, 11.7177, 11.7177) * CHOOSE(CONTROL!$C$21, $C$9, 100%, $E$9)</f>
        <v>11.717700000000001</v>
      </c>
      <c r="O285" s="14">
        <f>CHOOSE(CONTROL!$C$42, 11.9665, 11.9665) * CHOOSE(CONTROL!$C$21, $C$9, 100%, $E$9)</f>
        <v>11.9665</v>
      </c>
      <c r="P285" s="14">
        <f>CHOOSE(CONTROL!$C$42, 11.7617, 11.7617) * CHOOSE(CONTROL!$C$21, $C$9, 100%, $E$9)</f>
        <v>11.761699999999999</v>
      </c>
      <c r="Q285" s="14">
        <f>CHOOSE(CONTROL!$C$42, 12.5612, 12.5612) * CHOOSE(CONTROL!$C$21, $C$9, 100%, $E$9)</f>
        <v>12.561199999999999</v>
      </c>
      <c r="R285" s="14">
        <f>CHOOSE(CONTROL!$C$42, 13.1796, 13.1796) * CHOOSE(CONTROL!$C$21, $C$9, 100%, $E$9)</f>
        <v>13.179600000000001</v>
      </c>
      <c r="S285" s="14">
        <f>CHOOSE(CONTROL!$C$42, 11.4695, 11.4695) * CHOOSE(CONTROL!$C$21, $C$9, 100%, $E$9)</f>
        <v>11.4695</v>
      </c>
      <c r="T2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7">
        <f>(1000*CHOOSE(CONTROL!$C$42, 695, 695)*CHOOSE(CONTROL!$C$42, 0.5599, 0.5599)*CHOOSE(CONTROL!$C$42, 30, 30))/1000000</f>
        <v>11.673914999999997</v>
      </c>
      <c r="V285" s="57">
        <f>(1000*CHOOSE(CONTROL!$C$42, 500, 500)*CHOOSE(CONTROL!$C$42, 0.275, 0.275)*CHOOSE(CONTROL!$C$42, 30, 30))/1000000</f>
        <v>4.125</v>
      </c>
      <c r="W285" s="57">
        <f>(1000*CHOOSE(CONTROL!$C$42, 0.1146, 0.1146)*CHOOSE(CONTROL!$C$42, 121.5, 121.5)*CHOOSE(CONTROL!$C$42, 30, 30))/1000000</f>
        <v>0.417717</v>
      </c>
      <c r="X285" s="57">
        <f>(30*0.1790888*245000/1000000)+(30*0.2374*100000/1000000)</f>
        <v>2.0285026799999999</v>
      </c>
      <c r="Y285" s="57"/>
      <c r="Z285" s="14"/>
      <c r="AA285" s="56"/>
      <c r="AB285" s="50">
        <f>(B285*194.205+C285*267.466+D285*133.845+E285*53.484+F285*40+G285*185+H285*0+I285*100+J285*300)/(194.205+267.466+133.845+53.484+0+40+185+100+300)</f>
        <v>11.989948477551021</v>
      </c>
      <c r="AC285" s="45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11.788209352517987</v>
      </c>
    </row>
    <row r="286" spans="1:29" ht="15.75" x14ac:dyDescent="0.25">
      <c r="A286" s="34">
        <v>49583</v>
      </c>
      <c r="B286" s="14">
        <f>CHOOSE(CONTROL!$C$42, 11.7032, 11.7032) * CHOOSE(CONTROL!$C$21, $C$9, 100%, $E$9)</f>
        <v>11.703200000000001</v>
      </c>
      <c r="C286" s="14">
        <f>CHOOSE(CONTROL!$C$42, 11.7085, 11.7085) * CHOOSE(CONTROL!$C$21, $C$9, 100%, $E$9)</f>
        <v>11.708500000000001</v>
      </c>
      <c r="D286" s="14">
        <f>CHOOSE(CONTROL!$C$42, 11.9471, 11.9471) * CHOOSE(CONTROL!$C$21, $C$9, 100%, $E$9)</f>
        <v>11.947100000000001</v>
      </c>
      <c r="E286" s="14">
        <f>CHOOSE(CONTROL!$C$42, 11.9762, 11.9762) * CHOOSE(CONTROL!$C$21, $C$9, 100%, $E$9)</f>
        <v>11.9762</v>
      </c>
      <c r="F286" s="14">
        <f>CHOOSE(CONTROL!$C$42, 11.7032, 11.7032)*CHOOSE(CONTROL!$C$21, $C$9, 100%, $E$9)</f>
        <v>11.703200000000001</v>
      </c>
      <c r="G286" s="14">
        <f>CHOOSE(CONTROL!$C$42, 11.7195, 11.7195)*CHOOSE(CONTROL!$C$21, $C$9, 100%, $E$9)</f>
        <v>11.7195</v>
      </c>
      <c r="H286" s="14">
        <f>CHOOSE(CONTROL!$C$42, 11.9666, 11.9666) * CHOOSE(CONTROL!$C$21, $C$9, 100%, $E$9)</f>
        <v>11.9666</v>
      </c>
      <c r="I286" s="14">
        <f>CHOOSE(CONTROL!$C$42, 11.7575, 11.7575)* CHOOSE(CONTROL!$C$21, $C$9, 100%, $E$9)</f>
        <v>11.7575</v>
      </c>
      <c r="J286" s="14">
        <f>CHOOSE(CONTROL!$C$42, 11.6962, 11.6962)* CHOOSE(CONTROL!$C$21, $C$9, 100%, $E$9)</f>
        <v>11.696199999999999</v>
      </c>
      <c r="K286" s="53">
        <f>CHOOSE(CONTROL!$C$42, 11.7536, 11.7536) * CHOOSE(CONTROL!$C$21, $C$9, 100%, $E$9)</f>
        <v>11.7536</v>
      </c>
      <c r="L286" s="14">
        <f>CHOOSE(CONTROL!$C$42, 12.5536, 12.5536) * CHOOSE(CONTROL!$C$21, $C$9, 100%, $E$9)</f>
        <v>12.553599999999999</v>
      </c>
      <c r="M286" s="14">
        <f>CHOOSE(CONTROL!$C$42, 11.4642, 11.4642) * CHOOSE(CONTROL!$C$21, $C$9, 100%, $E$9)</f>
        <v>11.4642</v>
      </c>
      <c r="N286" s="14">
        <f>CHOOSE(CONTROL!$C$42, 11.4802, 11.4802) * CHOOSE(CONTROL!$C$21, $C$9, 100%, $E$9)</f>
        <v>11.4802</v>
      </c>
      <c r="O286" s="14">
        <f>CHOOSE(CONTROL!$C$42, 11.7292, 11.7292) * CHOOSE(CONTROL!$C$21, $C$9, 100%, $E$9)</f>
        <v>11.729200000000001</v>
      </c>
      <c r="P286" s="14">
        <f>CHOOSE(CONTROL!$C$42, 11.5236, 11.5236) * CHOOSE(CONTROL!$C$21, $C$9, 100%, $E$9)</f>
        <v>11.5236</v>
      </c>
      <c r="Q286" s="14">
        <f>CHOOSE(CONTROL!$C$42, 12.3239, 12.3239) * CHOOSE(CONTROL!$C$21, $C$9, 100%, $E$9)</f>
        <v>12.3239</v>
      </c>
      <c r="R286" s="14">
        <f>CHOOSE(CONTROL!$C$42, 12.9417, 12.9417) * CHOOSE(CONTROL!$C$21, $C$9, 100%, $E$9)</f>
        <v>12.941700000000001</v>
      </c>
      <c r="S286" s="14">
        <f>CHOOSE(CONTROL!$C$42, 11.2366, 11.2366) * CHOOSE(CONTROL!$C$21, $C$9, 100%, $E$9)</f>
        <v>11.236599999999999</v>
      </c>
      <c r="T2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7">
        <f>(1000*CHOOSE(CONTROL!$C$42, 695, 695)*CHOOSE(CONTROL!$C$42, 0.5599, 0.5599)*CHOOSE(CONTROL!$C$42, 31, 31))/1000000</f>
        <v>12.063045499999998</v>
      </c>
      <c r="V286" s="57">
        <f>(1000*CHOOSE(CONTROL!$C$42, 500, 500)*CHOOSE(CONTROL!$C$42, 0.275, 0.275)*CHOOSE(CONTROL!$C$42, 31, 31))/1000000</f>
        <v>4.2625000000000002</v>
      </c>
      <c r="W286" s="57">
        <f>(1000*CHOOSE(CONTROL!$C$42, 0.1146, 0.1146)*CHOOSE(CONTROL!$C$42, 121.5, 121.5)*CHOOSE(CONTROL!$C$42, 31, 31))/1000000</f>
        <v>0.43164089999999994</v>
      </c>
      <c r="X286" s="57">
        <f>(31*0.1790888*245000/1000000)+(31*0.2374*100000/1000000)</f>
        <v>2.0961194359999999</v>
      </c>
      <c r="Y286" s="57"/>
      <c r="Z286" s="14"/>
      <c r="AA286" s="56"/>
      <c r="AB286" s="50">
        <f>(B286*131.881+C286*277.167+D286*79.08+E286*125.872+F286*40+G286*185+H286*0+I286*100+J286*300)/(131.881+277.167+79.08+125.872+0+40+185+100+300)</f>
        <v>11.752808678853913</v>
      </c>
      <c r="AC286" s="45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11.550782733812948</v>
      </c>
    </row>
    <row r="287" spans="1:29" ht="15.75" x14ac:dyDescent="0.25">
      <c r="A287" s="34">
        <v>49614</v>
      </c>
      <c r="B287" s="14">
        <f>CHOOSE(CONTROL!$C$42, 12.0108, 12.0108) * CHOOSE(CONTROL!$C$21, $C$9, 100%, $E$9)</f>
        <v>12.0108</v>
      </c>
      <c r="C287" s="14">
        <f>CHOOSE(CONTROL!$C$42, 12.0159, 12.0159) * CHOOSE(CONTROL!$C$21, $C$9, 100%, $E$9)</f>
        <v>12.0159</v>
      </c>
      <c r="D287" s="14">
        <f>CHOOSE(CONTROL!$C$42, 12.0901, 12.0901) * CHOOSE(CONTROL!$C$21, $C$9, 100%, $E$9)</f>
        <v>12.0901</v>
      </c>
      <c r="E287" s="14">
        <f>CHOOSE(CONTROL!$C$42, 12.1242, 12.1242) * CHOOSE(CONTROL!$C$21, $C$9, 100%, $E$9)</f>
        <v>12.1242</v>
      </c>
      <c r="F287" s="14">
        <f>CHOOSE(CONTROL!$C$42, 12.0229, 12.0229)*CHOOSE(CONTROL!$C$21, $C$9, 100%, $E$9)</f>
        <v>12.0229</v>
      </c>
      <c r="G287" s="14">
        <f>CHOOSE(CONTROL!$C$42, 12.0394, 12.0394)*CHOOSE(CONTROL!$C$21, $C$9, 100%, $E$9)</f>
        <v>12.039400000000001</v>
      </c>
      <c r="H287" s="14">
        <f>CHOOSE(CONTROL!$C$42, 12.1134, 12.1134) * CHOOSE(CONTROL!$C$21, $C$9, 100%, $E$9)</f>
        <v>12.1134</v>
      </c>
      <c r="I287" s="14">
        <f>CHOOSE(CONTROL!$C$42, 12.0727, 12.0727)* CHOOSE(CONTROL!$C$21, $C$9, 100%, $E$9)</f>
        <v>12.072699999999999</v>
      </c>
      <c r="J287" s="14">
        <f>CHOOSE(CONTROL!$C$42, 12.0159, 12.0159)* CHOOSE(CONTROL!$C$21, $C$9, 100%, $E$9)</f>
        <v>12.0159</v>
      </c>
      <c r="K287" s="53">
        <f>CHOOSE(CONTROL!$C$42, 12.0689, 12.0689) * CHOOSE(CONTROL!$C$21, $C$9, 100%, $E$9)</f>
        <v>12.068899999999999</v>
      </c>
      <c r="L287" s="14">
        <f>CHOOSE(CONTROL!$C$42, 12.7004, 12.7004) * CHOOSE(CONTROL!$C$21, $C$9, 100%, $E$9)</f>
        <v>12.7004</v>
      </c>
      <c r="M287" s="14">
        <f>CHOOSE(CONTROL!$C$42, 11.7774, 11.7774) * CHOOSE(CONTROL!$C$21, $C$9, 100%, $E$9)</f>
        <v>11.7774</v>
      </c>
      <c r="N287" s="14">
        <f>CHOOSE(CONTROL!$C$42, 11.7936, 11.7936) * CHOOSE(CONTROL!$C$21, $C$9, 100%, $E$9)</f>
        <v>11.7936</v>
      </c>
      <c r="O287" s="14">
        <f>CHOOSE(CONTROL!$C$42, 11.8729, 11.8729) * CHOOSE(CONTROL!$C$21, $C$9, 100%, $E$9)</f>
        <v>11.8729</v>
      </c>
      <c r="P287" s="14">
        <f>CHOOSE(CONTROL!$C$42, 11.8324, 11.8324) * CHOOSE(CONTROL!$C$21, $C$9, 100%, $E$9)</f>
        <v>11.8324</v>
      </c>
      <c r="Q287" s="14">
        <f>CHOOSE(CONTROL!$C$42, 12.4676, 12.4676) * CHOOSE(CONTROL!$C$21, $C$9, 100%, $E$9)</f>
        <v>12.467599999999999</v>
      </c>
      <c r="R287" s="14">
        <f>CHOOSE(CONTROL!$C$42, 13.0858, 13.0858) * CHOOSE(CONTROL!$C$21, $C$9, 100%, $E$9)</f>
        <v>13.085800000000001</v>
      </c>
      <c r="S287" s="14">
        <f>CHOOSE(CONTROL!$C$42, 11.5326, 11.5326) * CHOOSE(CONTROL!$C$21, $C$9, 100%, $E$9)</f>
        <v>11.5326</v>
      </c>
      <c r="T2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7">
        <f>(1000*CHOOSE(CONTROL!$C$42, 695, 695)*CHOOSE(CONTROL!$C$42, 0.5599, 0.5599)*CHOOSE(CONTROL!$C$42, 30, 30))/1000000</f>
        <v>11.673914999999997</v>
      </c>
      <c r="V287" s="57">
        <f>(1000*CHOOSE(CONTROL!$C$42, 500, 500)*CHOOSE(CONTROL!$C$42, 0.275, 0.275)*CHOOSE(CONTROL!$C$42, 30, 30))/1000000</f>
        <v>4.125</v>
      </c>
      <c r="W287" s="57">
        <f>(1000*CHOOSE(CONTROL!$C$42, 0.1146, 0.1146)*CHOOSE(CONTROL!$C$42, 121.5, 121.5)*CHOOSE(CONTROL!$C$42, 30, 30))/1000000</f>
        <v>0.417717</v>
      </c>
      <c r="X287" s="57">
        <f>(30*0.1790888*100000/1000000)+(30*0.2374*100000/1000000)</f>
        <v>1.2494664</v>
      </c>
      <c r="Y287" s="57"/>
      <c r="Z287" s="14"/>
      <c r="AA287" s="56"/>
      <c r="AB287" s="50">
        <f>(B287*122.58+C287*297.941+D287*89.177+E287*40.302+F287*40+G287*160+H287*0+I287*100+J287*300)/(122.58+297.941+89.177+40.302+0+40+160+100+300)</f>
        <v>12.033357810434785</v>
      </c>
      <c r="AC287" s="45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11.829530215827337</v>
      </c>
    </row>
    <row r="288" spans="1:29" ht="15.75" x14ac:dyDescent="0.25">
      <c r="A288" s="34">
        <v>49644</v>
      </c>
      <c r="B288" s="14">
        <f>CHOOSE(CONTROL!$C$42, 12.829, 12.829) * CHOOSE(CONTROL!$C$21, $C$9, 100%, $E$9)</f>
        <v>12.829000000000001</v>
      </c>
      <c r="C288" s="14">
        <f>CHOOSE(CONTROL!$C$42, 12.8341, 12.8341) * CHOOSE(CONTROL!$C$21, $C$9, 100%, $E$9)</f>
        <v>12.834099999999999</v>
      </c>
      <c r="D288" s="14">
        <f>CHOOSE(CONTROL!$C$42, 12.9083, 12.9083) * CHOOSE(CONTROL!$C$21, $C$9, 100%, $E$9)</f>
        <v>12.908300000000001</v>
      </c>
      <c r="E288" s="14">
        <f>CHOOSE(CONTROL!$C$42, 12.9424, 12.9424) * CHOOSE(CONTROL!$C$21, $C$9, 100%, $E$9)</f>
        <v>12.942399999999999</v>
      </c>
      <c r="F288" s="14">
        <f>CHOOSE(CONTROL!$C$42, 12.8433, 12.8433)*CHOOSE(CONTROL!$C$21, $C$9, 100%, $E$9)</f>
        <v>12.843299999999999</v>
      </c>
      <c r="G288" s="14">
        <f>CHOOSE(CONTROL!$C$42, 12.8604, 12.8604)*CHOOSE(CONTROL!$C$21, $C$9, 100%, $E$9)</f>
        <v>12.8604</v>
      </c>
      <c r="H288" s="14">
        <f>CHOOSE(CONTROL!$C$42, 12.9316, 12.9316) * CHOOSE(CONTROL!$C$21, $C$9, 100%, $E$9)</f>
        <v>12.9316</v>
      </c>
      <c r="I288" s="14">
        <f>CHOOSE(CONTROL!$C$42, 12.8935, 12.8935)* CHOOSE(CONTROL!$C$21, $C$9, 100%, $E$9)</f>
        <v>12.8935</v>
      </c>
      <c r="J288" s="14">
        <f>CHOOSE(CONTROL!$C$42, 12.8363, 12.8363)* CHOOSE(CONTROL!$C$21, $C$9, 100%, $E$9)</f>
        <v>12.8363</v>
      </c>
      <c r="K288" s="53">
        <f>CHOOSE(CONTROL!$C$42, 12.8896, 12.8896) * CHOOSE(CONTROL!$C$21, $C$9, 100%, $E$9)</f>
        <v>12.8896</v>
      </c>
      <c r="L288" s="14">
        <f>CHOOSE(CONTROL!$C$42, 13.5186, 13.5186) * CHOOSE(CONTROL!$C$21, $C$9, 100%, $E$9)</f>
        <v>13.518599999999999</v>
      </c>
      <c r="M288" s="14">
        <f>CHOOSE(CONTROL!$C$42, 12.5809, 12.5809) * CHOOSE(CONTROL!$C$21, $C$9, 100%, $E$9)</f>
        <v>12.5809</v>
      </c>
      <c r="N288" s="14">
        <f>CHOOSE(CONTROL!$C$42, 12.5978, 12.5978) * CHOOSE(CONTROL!$C$21, $C$9, 100%, $E$9)</f>
        <v>12.597799999999999</v>
      </c>
      <c r="O288" s="14">
        <f>CHOOSE(CONTROL!$C$42, 12.6743, 12.6743) * CHOOSE(CONTROL!$C$21, $C$9, 100%, $E$9)</f>
        <v>12.674300000000001</v>
      </c>
      <c r="P288" s="14">
        <f>CHOOSE(CONTROL!$C$42, 12.6363, 12.6363) * CHOOSE(CONTROL!$C$21, $C$9, 100%, $E$9)</f>
        <v>12.6363</v>
      </c>
      <c r="Q288" s="14">
        <f>CHOOSE(CONTROL!$C$42, 13.269, 13.269) * CHOOSE(CONTROL!$C$21, $C$9, 100%, $E$9)</f>
        <v>13.269</v>
      </c>
      <c r="R288" s="14">
        <f>CHOOSE(CONTROL!$C$42, 13.8892, 13.8892) * CHOOSE(CONTROL!$C$21, $C$9, 100%, $E$9)</f>
        <v>13.889200000000001</v>
      </c>
      <c r="S288" s="14">
        <f>CHOOSE(CONTROL!$C$42, 12.3189, 12.3189) * CHOOSE(CONTROL!$C$21, $C$9, 100%, $E$9)</f>
        <v>12.318899999999999</v>
      </c>
      <c r="T2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7">
        <f>(1000*CHOOSE(CONTROL!$C$42, 695, 695)*CHOOSE(CONTROL!$C$42, 0.5599, 0.5599)*CHOOSE(CONTROL!$C$42, 31, 31))/1000000</f>
        <v>12.063045499999998</v>
      </c>
      <c r="V288" s="57">
        <f>(1000*CHOOSE(CONTROL!$C$42, 500, 500)*CHOOSE(CONTROL!$C$42, 0.275, 0.275)*CHOOSE(CONTROL!$C$42, 31, 31))/1000000</f>
        <v>4.2625000000000002</v>
      </c>
      <c r="W288" s="57">
        <f>(1000*CHOOSE(CONTROL!$C$42, 0.1146, 0.1146)*CHOOSE(CONTROL!$C$42, 121.5, 121.5)*CHOOSE(CONTROL!$C$42, 31, 31))/1000000</f>
        <v>0.43164089999999994</v>
      </c>
      <c r="X288" s="57">
        <f>(31*0.1790888*100000/1000000)+(31*0.2374*100000/1000000)</f>
        <v>1.2911152800000001</v>
      </c>
      <c r="Y288" s="57"/>
      <c r="Z288" s="14"/>
      <c r="AA288" s="56"/>
      <c r="AB288" s="50">
        <f>(B288*122.58+C288*297.941+D288*89.177+E288*40.302+F288*40+G288*160+H288*0+I288*100+J288*300)/(122.58+297.941+89.177+40.302+0+40+160+100+300)</f>
        <v>12.852823897391303</v>
      </c>
      <c r="AC288" s="45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12.632176258992805</v>
      </c>
    </row>
    <row r="289" spans="1:29" ht="15.75" x14ac:dyDescent="0.25">
      <c r="A289" s="34">
        <v>49675</v>
      </c>
      <c r="B289" s="14">
        <f>CHOOSE(CONTROL!$C$42, 13.8918, 13.8918) * CHOOSE(CONTROL!$C$21, $C$9, 100%, $E$9)</f>
        <v>13.8918</v>
      </c>
      <c r="C289" s="14">
        <f>CHOOSE(CONTROL!$C$42, 13.8968, 13.8968) * CHOOSE(CONTROL!$C$21, $C$9, 100%, $E$9)</f>
        <v>13.896800000000001</v>
      </c>
      <c r="D289" s="14">
        <f>CHOOSE(CONTROL!$C$42, 13.9736, 13.9736) * CHOOSE(CONTROL!$C$21, $C$9, 100%, $E$9)</f>
        <v>13.973599999999999</v>
      </c>
      <c r="E289" s="14">
        <f>CHOOSE(CONTROL!$C$42, 14.0077, 14.0077) * CHOOSE(CONTROL!$C$21, $C$9, 100%, $E$9)</f>
        <v>14.0077</v>
      </c>
      <c r="F289" s="14">
        <f>CHOOSE(CONTROL!$C$42, 13.892, 13.892)*CHOOSE(CONTROL!$C$21, $C$9, 100%, $E$9)</f>
        <v>13.891999999999999</v>
      </c>
      <c r="G289" s="14">
        <f>CHOOSE(CONTROL!$C$42, 13.9082, 13.9082)*CHOOSE(CONTROL!$C$21, $C$9, 100%, $E$9)</f>
        <v>13.908200000000001</v>
      </c>
      <c r="H289" s="14">
        <f>CHOOSE(CONTROL!$C$42, 13.9969, 13.9969) * CHOOSE(CONTROL!$C$21, $C$9, 100%, $E$9)</f>
        <v>13.9969</v>
      </c>
      <c r="I289" s="14">
        <f>CHOOSE(CONTROL!$C$42, 13.9533, 13.9533)* CHOOSE(CONTROL!$C$21, $C$9, 100%, $E$9)</f>
        <v>13.9533</v>
      </c>
      <c r="J289" s="14">
        <f>CHOOSE(CONTROL!$C$42, 13.885, 13.885)* CHOOSE(CONTROL!$C$21, $C$9, 100%, $E$9)</f>
        <v>13.885</v>
      </c>
      <c r="K289" s="53">
        <f>CHOOSE(CONTROL!$C$42, 13.9494, 13.9494) * CHOOSE(CONTROL!$C$21, $C$9, 100%, $E$9)</f>
        <v>13.949400000000001</v>
      </c>
      <c r="L289" s="14">
        <f>CHOOSE(CONTROL!$C$42, 14.5839, 14.5839) * CHOOSE(CONTROL!$C$21, $C$9, 100%, $E$9)</f>
        <v>14.5839</v>
      </c>
      <c r="M289" s="14">
        <f>CHOOSE(CONTROL!$C$42, 13.6082, 13.6082) * CHOOSE(CONTROL!$C$21, $C$9, 100%, $E$9)</f>
        <v>13.6082</v>
      </c>
      <c r="N289" s="14">
        <f>CHOOSE(CONTROL!$C$42, 13.624, 13.624) * CHOOSE(CONTROL!$C$21, $C$9, 100%, $E$9)</f>
        <v>13.624000000000001</v>
      </c>
      <c r="O289" s="14">
        <f>CHOOSE(CONTROL!$C$42, 13.7178, 13.7178) * CHOOSE(CONTROL!$C$21, $C$9, 100%, $E$9)</f>
        <v>13.7178</v>
      </c>
      <c r="P289" s="14">
        <f>CHOOSE(CONTROL!$C$42, 13.6743, 13.6743) * CHOOSE(CONTROL!$C$21, $C$9, 100%, $E$9)</f>
        <v>13.674300000000001</v>
      </c>
      <c r="Q289" s="14">
        <f>CHOOSE(CONTROL!$C$42, 14.3125, 14.3125) * CHOOSE(CONTROL!$C$21, $C$9, 100%, $E$9)</f>
        <v>14.3125</v>
      </c>
      <c r="R289" s="14">
        <f>CHOOSE(CONTROL!$C$42, 14.9353, 14.9353) * CHOOSE(CONTROL!$C$21, $C$9, 100%, $E$9)</f>
        <v>14.9353</v>
      </c>
      <c r="S289" s="14">
        <f>CHOOSE(CONTROL!$C$42, 13.34, 13.34) * CHOOSE(CONTROL!$C$21, $C$9, 100%, $E$9)</f>
        <v>13.34</v>
      </c>
      <c r="T2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7">
        <f>(1000*CHOOSE(CONTROL!$C$42, 695, 695)*CHOOSE(CONTROL!$C$42, 0.5599, 0.5599)*CHOOSE(CONTROL!$C$42, 31, 31))/1000000</f>
        <v>12.063045499999998</v>
      </c>
      <c r="V289" s="57">
        <f>(1000*CHOOSE(CONTROL!$C$42, 500, 500)*CHOOSE(CONTROL!$C$42, 0.275, 0.275)*CHOOSE(CONTROL!$C$42, 31, 31))/1000000</f>
        <v>4.2625000000000002</v>
      </c>
      <c r="W289" s="57">
        <f>(1000*CHOOSE(CONTROL!$C$42, 0.1146, 0.1146)*CHOOSE(CONTROL!$C$42, 121.5, 121.5)*CHOOSE(CONTROL!$C$42, 31, 31))/1000000</f>
        <v>0.43164089999999994</v>
      </c>
      <c r="X289" s="57">
        <f>(31*0.1790888*100000/1000000)+(31*0.2374*100000/1000000)</f>
        <v>1.2911152800000001</v>
      </c>
      <c r="Y289" s="57"/>
      <c r="Z289" s="14"/>
      <c r="AA289" s="56"/>
      <c r="AB289" s="50">
        <f>(B289*122.58+C289*297.941+D289*89.177+E289*40.302+F289*40+G289*160+H289*0+I289*100+J289*300)/(122.58+297.941+89.177+40.302+0+40+160+100+300)</f>
        <v>13.909362943826086</v>
      </c>
      <c r="AC289" s="45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13.668294964028776</v>
      </c>
    </row>
    <row r="290" spans="1:29" ht="15.75" x14ac:dyDescent="0.25">
      <c r="A290" s="34">
        <v>49706</v>
      </c>
      <c r="B290" s="14">
        <f>CHOOSE(CONTROL!$C$42, 14.1389, 14.1389) * CHOOSE(CONTROL!$C$21, $C$9, 100%, $E$9)</f>
        <v>14.1389</v>
      </c>
      <c r="C290" s="14">
        <f>CHOOSE(CONTROL!$C$42, 14.1439, 14.1439) * CHOOSE(CONTROL!$C$21, $C$9, 100%, $E$9)</f>
        <v>14.1439</v>
      </c>
      <c r="D290" s="14">
        <f>CHOOSE(CONTROL!$C$42, 14.2208, 14.2208) * CHOOSE(CONTROL!$C$21, $C$9, 100%, $E$9)</f>
        <v>14.220800000000001</v>
      </c>
      <c r="E290" s="14">
        <f>CHOOSE(CONTROL!$C$42, 14.2549, 14.2549) * CHOOSE(CONTROL!$C$21, $C$9, 100%, $E$9)</f>
        <v>14.254899999999999</v>
      </c>
      <c r="F290" s="14">
        <f>CHOOSE(CONTROL!$C$42, 14.1391, 14.1391)*CHOOSE(CONTROL!$C$21, $C$9, 100%, $E$9)</f>
        <v>14.139099999999999</v>
      </c>
      <c r="G290" s="14">
        <f>CHOOSE(CONTROL!$C$42, 14.1554, 14.1554)*CHOOSE(CONTROL!$C$21, $C$9, 100%, $E$9)</f>
        <v>14.1554</v>
      </c>
      <c r="H290" s="14">
        <f>CHOOSE(CONTROL!$C$42, 14.2441, 14.2441) * CHOOSE(CONTROL!$C$21, $C$9, 100%, $E$9)</f>
        <v>14.2441</v>
      </c>
      <c r="I290" s="14">
        <f>CHOOSE(CONTROL!$C$42, 14.2012, 14.2012)* CHOOSE(CONTROL!$C$21, $C$9, 100%, $E$9)</f>
        <v>14.2012</v>
      </c>
      <c r="J290" s="14">
        <f>CHOOSE(CONTROL!$C$42, 14.1321, 14.1321)* CHOOSE(CONTROL!$C$21, $C$9, 100%, $E$9)</f>
        <v>14.132099999999999</v>
      </c>
      <c r="K290" s="53">
        <f>CHOOSE(CONTROL!$C$42, 14.1973, 14.1973) * CHOOSE(CONTROL!$C$21, $C$9, 100%, $E$9)</f>
        <v>14.1973</v>
      </c>
      <c r="L290" s="14">
        <f>CHOOSE(CONTROL!$C$42, 14.8311, 14.8311) * CHOOSE(CONTROL!$C$21, $C$9, 100%, $E$9)</f>
        <v>14.831099999999999</v>
      </c>
      <c r="M290" s="14">
        <f>CHOOSE(CONTROL!$C$42, 13.8503, 13.8503) * CHOOSE(CONTROL!$C$21, $C$9, 100%, $E$9)</f>
        <v>13.850300000000001</v>
      </c>
      <c r="N290" s="14">
        <f>CHOOSE(CONTROL!$C$42, 13.8662, 13.8662) * CHOOSE(CONTROL!$C$21, $C$9, 100%, $E$9)</f>
        <v>13.866199999999999</v>
      </c>
      <c r="O290" s="14">
        <f>CHOOSE(CONTROL!$C$42, 13.9599, 13.9599) * CHOOSE(CONTROL!$C$21, $C$9, 100%, $E$9)</f>
        <v>13.959899999999999</v>
      </c>
      <c r="P290" s="14">
        <f>CHOOSE(CONTROL!$C$42, 13.9171, 13.9171) * CHOOSE(CONTROL!$C$21, $C$9, 100%, $E$9)</f>
        <v>13.9171</v>
      </c>
      <c r="Q290" s="14">
        <f>CHOOSE(CONTROL!$C$42, 14.5546, 14.5546) * CHOOSE(CONTROL!$C$21, $C$9, 100%, $E$9)</f>
        <v>14.554600000000001</v>
      </c>
      <c r="R290" s="14">
        <f>CHOOSE(CONTROL!$C$42, 15.178, 15.178) * CHOOSE(CONTROL!$C$21, $C$9, 100%, $E$9)</f>
        <v>15.178000000000001</v>
      </c>
      <c r="S290" s="14">
        <f>CHOOSE(CONTROL!$C$42, 13.5775, 13.5775) * CHOOSE(CONTROL!$C$21, $C$9, 100%, $E$9)</f>
        <v>13.577500000000001</v>
      </c>
      <c r="T29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7">
        <f>(1000*CHOOSE(CONTROL!$C$42, 695, 695)*CHOOSE(CONTROL!$C$42, 0.5599, 0.5599)*CHOOSE(CONTROL!$C$42, 29, 29))/1000000</f>
        <v>11.284784499999999</v>
      </c>
      <c r="V290" s="57">
        <f>(1000*CHOOSE(CONTROL!$C$42, 500, 500)*CHOOSE(CONTROL!$C$42, 0.275, 0.275)*CHOOSE(CONTROL!$C$42, 29, 29))/1000000</f>
        <v>3.9874999999999998</v>
      </c>
      <c r="W290" s="57">
        <f>(1000*CHOOSE(CONTROL!$C$42, 0.1146, 0.1146)*CHOOSE(CONTROL!$C$42, 121.5, 121.5)*CHOOSE(CONTROL!$C$42, 29, 29))/1000000</f>
        <v>0.40379309999999996</v>
      </c>
      <c r="X290" s="57">
        <f>(29*0.1790888*100000/1000000)+(29*0.2374*100000/1000000)</f>
        <v>1.2078175199999999</v>
      </c>
      <c r="Y290" s="57"/>
      <c r="Z290" s="14"/>
      <c r="AA290" s="56"/>
      <c r="AB290" s="50">
        <f>(B290*122.58+C290*297.941+D290*89.177+E290*40.302+F290*40+G290*160+H290*0+I290*100+J290*300)/(122.58+297.941+89.177+40.302+0+40+160+100+300)</f>
        <v>14.156557681130435</v>
      </c>
      <c r="AC290" s="45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13.910501438848922</v>
      </c>
    </row>
    <row r="291" spans="1:29" ht="15.75" x14ac:dyDescent="0.25">
      <c r="A291" s="34">
        <v>49735</v>
      </c>
      <c r="B291" s="14">
        <f>CHOOSE(CONTROL!$C$42, 13.7377, 13.7377) * CHOOSE(CONTROL!$C$21, $C$9, 100%, $E$9)</f>
        <v>13.7377</v>
      </c>
      <c r="C291" s="14">
        <f>CHOOSE(CONTROL!$C$42, 13.7428, 13.7428) * CHOOSE(CONTROL!$C$21, $C$9, 100%, $E$9)</f>
        <v>13.742800000000001</v>
      </c>
      <c r="D291" s="14">
        <f>CHOOSE(CONTROL!$C$42, 13.8196, 13.8196) * CHOOSE(CONTROL!$C$21, $C$9, 100%, $E$9)</f>
        <v>13.819599999999999</v>
      </c>
      <c r="E291" s="14">
        <f>CHOOSE(CONTROL!$C$42, 13.8537, 13.8537) * CHOOSE(CONTROL!$C$21, $C$9, 100%, $E$9)</f>
        <v>13.8537</v>
      </c>
      <c r="F291" s="14">
        <f>CHOOSE(CONTROL!$C$42, 13.7375, 13.7375)*CHOOSE(CONTROL!$C$21, $C$9, 100%, $E$9)</f>
        <v>13.737500000000001</v>
      </c>
      <c r="G291" s="14">
        <f>CHOOSE(CONTROL!$C$42, 13.7536, 13.7536)*CHOOSE(CONTROL!$C$21, $C$9, 100%, $E$9)</f>
        <v>13.7536</v>
      </c>
      <c r="H291" s="14">
        <f>CHOOSE(CONTROL!$C$42, 13.8429, 13.8429) * CHOOSE(CONTROL!$C$21, $C$9, 100%, $E$9)</f>
        <v>13.8429</v>
      </c>
      <c r="I291" s="14">
        <f>CHOOSE(CONTROL!$C$42, 13.7988, 13.7988)* CHOOSE(CONTROL!$C$21, $C$9, 100%, $E$9)</f>
        <v>13.7988</v>
      </c>
      <c r="J291" s="14">
        <f>CHOOSE(CONTROL!$C$42, 13.7305, 13.7305)* CHOOSE(CONTROL!$C$21, $C$9, 100%, $E$9)</f>
        <v>13.730499999999999</v>
      </c>
      <c r="K291" s="53">
        <f>CHOOSE(CONTROL!$C$42, 13.7949, 13.7949) * CHOOSE(CONTROL!$C$21, $C$9, 100%, $E$9)</f>
        <v>13.7949</v>
      </c>
      <c r="L291" s="14">
        <f>CHOOSE(CONTROL!$C$42, 14.4299, 14.4299) * CHOOSE(CONTROL!$C$21, $C$9, 100%, $E$9)</f>
        <v>14.4299</v>
      </c>
      <c r="M291" s="14">
        <f>CHOOSE(CONTROL!$C$42, 13.4569, 13.4569) * CHOOSE(CONTROL!$C$21, $C$9, 100%, $E$9)</f>
        <v>13.456899999999999</v>
      </c>
      <c r="N291" s="14">
        <f>CHOOSE(CONTROL!$C$42, 13.4727, 13.4727) * CHOOSE(CONTROL!$C$21, $C$9, 100%, $E$9)</f>
        <v>13.4727</v>
      </c>
      <c r="O291" s="14">
        <f>CHOOSE(CONTROL!$C$42, 13.567, 13.567) * CHOOSE(CONTROL!$C$21, $C$9, 100%, $E$9)</f>
        <v>13.567</v>
      </c>
      <c r="P291" s="14">
        <f>CHOOSE(CONTROL!$C$42, 13.523, 13.523) * CHOOSE(CONTROL!$C$21, $C$9, 100%, $E$9)</f>
        <v>13.523</v>
      </c>
      <c r="Q291" s="14">
        <f>CHOOSE(CONTROL!$C$42, 14.1617, 14.1617) * CHOOSE(CONTROL!$C$21, $C$9, 100%, $E$9)</f>
        <v>14.1617</v>
      </c>
      <c r="R291" s="14">
        <f>CHOOSE(CONTROL!$C$42, 14.7841, 14.7841) * CHOOSE(CONTROL!$C$21, $C$9, 100%, $E$9)</f>
        <v>14.7841</v>
      </c>
      <c r="S291" s="14">
        <f>CHOOSE(CONTROL!$C$42, 13.1921, 13.1921) * CHOOSE(CONTROL!$C$21, $C$9, 100%, $E$9)</f>
        <v>13.1921</v>
      </c>
      <c r="T2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7">
        <f>(1000*CHOOSE(CONTROL!$C$42, 695, 695)*CHOOSE(CONTROL!$C$42, 0.5599, 0.5599)*CHOOSE(CONTROL!$C$42, 31, 31))/1000000</f>
        <v>12.063045499999998</v>
      </c>
      <c r="V291" s="57">
        <f>(1000*CHOOSE(CONTROL!$C$42, 500, 500)*CHOOSE(CONTROL!$C$42, 0.275, 0.275)*CHOOSE(CONTROL!$C$42, 31, 31))/1000000</f>
        <v>4.2625000000000002</v>
      </c>
      <c r="W291" s="57">
        <f>(1000*CHOOSE(CONTROL!$C$42, 0.1146, 0.1146)*CHOOSE(CONTROL!$C$42, 121.5, 121.5)*CHOOSE(CONTROL!$C$42, 31, 31))/1000000</f>
        <v>0.43164089999999994</v>
      </c>
      <c r="X291" s="57">
        <f>(31*0.1790888*100000/1000000)+(31*0.2374*100000/1000000)</f>
        <v>1.2911152800000001</v>
      </c>
      <c r="Y291" s="57"/>
      <c r="Z291" s="14"/>
      <c r="AA291" s="56"/>
      <c r="AB291" s="50">
        <f>(B291*122.58+C291*297.941+D291*89.177+E291*40.302+F291*40+G291*160+H291*0+I291*100+J291*300)/(122.58+297.941+89.177+40.302+0+40+160+100+300)</f>
        <v>13.755077502086957</v>
      </c>
      <c r="AC291" s="45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13.517221582733812</v>
      </c>
    </row>
    <row r="292" spans="1:29" ht="15.75" x14ac:dyDescent="0.25">
      <c r="A292" s="34">
        <v>49766</v>
      </c>
      <c r="B292" s="14">
        <f>CHOOSE(CONTROL!$C$42, 13.6979, 13.6979) * CHOOSE(CONTROL!$C$21, $C$9, 100%, $E$9)</f>
        <v>13.697900000000001</v>
      </c>
      <c r="C292" s="14">
        <f>CHOOSE(CONTROL!$C$42, 13.7024, 13.7024) * CHOOSE(CONTROL!$C$21, $C$9, 100%, $E$9)</f>
        <v>13.702400000000001</v>
      </c>
      <c r="D292" s="14">
        <f>CHOOSE(CONTROL!$C$42, 13.9391, 13.9391) * CHOOSE(CONTROL!$C$21, $C$9, 100%, $E$9)</f>
        <v>13.9391</v>
      </c>
      <c r="E292" s="14">
        <f>CHOOSE(CONTROL!$C$42, 13.9712, 13.9712) * CHOOSE(CONTROL!$C$21, $C$9, 100%, $E$9)</f>
        <v>13.9712</v>
      </c>
      <c r="F292" s="14">
        <f>CHOOSE(CONTROL!$C$42, 13.6958, 13.6958)*CHOOSE(CONTROL!$C$21, $C$9, 100%, $E$9)</f>
        <v>13.6958</v>
      </c>
      <c r="G292" s="14">
        <f>CHOOSE(CONTROL!$C$42, 13.7116, 13.7116)*CHOOSE(CONTROL!$C$21, $C$9, 100%, $E$9)</f>
        <v>13.711600000000001</v>
      </c>
      <c r="H292" s="14">
        <f>CHOOSE(CONTROL!$C$42, 13.961, 13.961) * CHOOSE(CONTROL!$C$21, $C$9, 100%, $E$9)</f>
        <v>13.961</v>
      </c>
      <c r="I292" s="14">
        <f>CHOOSE(CONTROL!$C$42, 13.7581, 13.7581)* CHOOSE(CONTROL!$C$21, $C$9, 100%, $E$9)</f>
        <v>13.758100000000001</v>
      </c>
      <c r="J292" s="14">
        <f>CHOOSE(CONTROL!$C$42, 13.6888, 13.6888)* CHOOSE(CONTROL!$C$21, $C$9, 100%, $E$9)</f>
        <v>13.688800000000001</v>
      </c>
      <c r="K292" s="53">
        <f>CHOOSE(CONTROL!$C$42, 13.7542, 13.7542) * CHOOSE(CONTROL!$C$21, $C$9, 100%, $E$9)</f>
        <v>13.754200000000001</v>
      </c>
      <c r="L292" s="14">
        <f>CHOOSE(CONTROL!$C$42, 14.548, 14.548) * CHOOSE(CONTROL!$C$21, $C$9, 100%, $E$9)</f>
        <v>14.548</v>
      </c>
      <c r="M292" s="14">
        <f>CHOOSE(CONTROL!$C$42, 13.416, 13.416) * CHOOSE(CONTROL!$C$21, $C$9, 100%, $E$9)</f>
        <v>13.416</v>
      </c>
      <c r="N292" s="14">
        <f>CHOOSE(CONTROL!$C$42, 13.4315, 13.4315) * CHOOSE(CONTROL!$C$21, $C$9, 100%, $E$9)</f>
        <v>13.4315</v>
      </c>
      <c r="O292" s="14">
        <f>CHOOSE(CONTROL!$C$42, 13.6826, 13.6826) * CHOOSE(CONTROL!$C$21, $C$9, 100%, $E$9)</f>
        <v>13.682600000000001</v>
      </c>
      <c r="P292" s="14">
        <f>CHOOSE(CONTROL!$C$42, 13.4831, 13.4831) * CHOOSE(CONTROL!$C$21, $C$9, 100%, $E$9)</f>
        <v>13.4831</v>
      </c>
      <c r="Q292" s="14">
        <f>CHOOSE(CONTROL!$C$42, 14.2773, 14.2773) * CHOOSE(CONTROL!$C$21, $C$9, 100%, $E$9)</f>
        <v>14.2773</v>
      </c>
      <c r="R292" s="14">
        <f>CHOOSE(CONTROL!$C$42, 14.9, 14.9) * CHOOSE(CONTROL!$C$21, $C$9, 100%, $E$9)</f>
        <v>14.9</v>
      </c>
      <c r="S292" s="14">
        <f>CHOOSE(CONTROL!$C$42, 13.153, 13.153) * CHOOSE(CONTROL!$C$21, $C$9, 100%, $E$9)</f>
        <v>13.153</v>
      </c>
      <c r="T2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7">
        <f>(1000*CHOOSE(CONTROL!$C$42, 695, 695)*CHOOSE(CONTROL!$C$42, 0.5599, 0.5599)*CHOOSE(CONTROL!$C$42, 30, 30))/1000000</f>
        <v>11.673914999999997</v>
      </c>
      <c r="V292" s="57">
        <f>(1000*CHOOSE(CONTROL!$C$42, 500, 500)*CHOOSE(CONTROL!$C$42, 0.275, 0.275)*CHOOSE(CONTROL!$C$42, 30, 30))/1000000</f>
        <v>4.125</v>
      </c>
      <c r="W292" s="57">
        <f>(1000*CHOOSE(CONTROL!$C$42, 0.1146, 0.1146)*CHOOSE(CONTROL!$C$42, 121.5, 121.5)*CHOOSE(CONTROL!$C$42, 30, 30))/1000000</f>
        <v>0.417717</v>
      </c>
      <c r="X292" s="57">
        <f>(30*0.1790888*245000/1000000)+(30*0.2374*100000/1000000)</f>
        <v>2.0285026799999999</v>
      </c>
      <c r="Y292" s="57"/>
      <c r="Z292" s="14"/>
      <c r="AA292" s="56"/>
      <c r="AB292" s="50">
        <f>(B292*141.293+C292*267.993+D292*115.016+E292*89.698+F292*40+G292*185+H292*0+I292*100+J292*300)/(141.293+267.993+115.016+89.698+0+40+185+100+300)</f>
        <v>13.745682720823247</v>
      </c>
      <c r="AC292" s="45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13.504024460431655</v>
      </c>
    </row>
    <row r="293" spans="1:29" ht="15.75" x14ac:dyDescent="0.25">
      <c r="A293" s="34">
        <v>49796</v>
      </c>
      <c r="B293" s="14">
        <f>CHOOSE(CONTROL!$C$42, 13.8201, 13.8201) * CHOOSE(CONTROL!$C$21, $C$9, 100%, $E$9)</f>
        <v>13.8201</v>
      </c>
      <c r="C293" s="14">
        <f>CHOOSE(CONTROL!$C$42, 13.8281, 13.8281) * CHOOSE(CONTROL!$C$21, $C$9, 100%, $E$9)</f>
        <v>13.828099999999999</v>
      </c>
      <c r="D293" s="14">
        <f>CHOOSE(CONTROL!$C$42, 14.0617, 14.0617) * CHOOSE(CONTROL!$C$21, $C$9, 100%, $E$9)</f>
        <v>14.0617</v>
      </c>
      <c r="E293" s="14">
        <f>CHOOSE(CONTROL!$C$42, 14.0932, 14.0932) * CHOOSE(CONTROL!$C$21, $C$9, 100%, $E$9)</f>
        <v>14.0932</v>
      </c>
      <c r="F293" s="14">
        <f>CHOOSE(CONTROL!$C$42, 13.8168, 13.8168)*CHOOSE(CONTROL!$C$21, $C$9, 100%, $E$9)</f>
        <v>13.816800000000001</v>
      </c>
      <c r="G293" s="14">
        <f>CHOOSE(CONTROL!$C$42, 13.8332, 13.8332)*CHOOSE(CONTROL!$C$21, $C$9, 100%, $E$9)</f>
        <v>13.8332</v>
      </c>
      <c r="H293" s="14">
        <f>CHOOSE(CONTROL!$C$42, 14.0818, 14.0818) * CHOOSE(CONTROL!$C$21, $C$9, 100%, $E$9)</f>
        <v>14.081799999999999</v>
      </c>
      <c r="I293" s="14">
        <f>CHOOSE(CONTROL!$C$42, 13.8792, 13.8792)* CHOOSE(CONTROL!$C$21, $C$9, 100%, $E$9)</f>
        <v>13.879200000000001</v>
      </c>
      <c r="J293" s="14">
        <f>CHOOSE(CONTROL!$C$42, 13.8098, 13.8098)* CHOOSE(CONTROL!$C$21, $C$9, 100%, $E$9)</f>
        <v>13.809799999999999</v>
      </c>
      <c r="K293" s="53">
        <f>CHOOSE(CONTROL!$C$42, 13.8753, 13.8753) * CHOOSE(CONTROL!$C$21, $C$9, 100%, $E$9)</f>
        <v>13.875299999999999</v>
      </c>
      <c r="L293" s="14">
        <f>CHOOSE(CONTROL!$C$42, 14.6688, 14.6688) * CHOOSE(CONTROL!$C$21, $C$9, 100%, $E$9)</f>
        <v>14.668799999999999</v>
      </c>
      <c r="M293" s="14">
        <f>CHOOSE(CONTROL!$C$42, 13.5346, 13.5346) * CHOOSE(CONTROL!$C$21, $C$9, 100%, $E$9)</f>
        <v>13.534599999999999</v>
      </c>
      <c r="N293" s="14">
        <f>CHOOSE(CONTROL!$C$42, 13.5506, 13.5506) * CHOOSE(CONTROL!$C$21, $C$9, 100%, $E$9)</f>
        <v>13.550599999999999</v>
      </c>
      <c r="O293" s="14">
        <f>CHOOSE(CONTROL!$C$42, 13.801, 13.801) * CHOOSE(CONTROL!$C$21, $C$9, 100%, $E$9)</f>
        <v>13.801</v>
      </c>
      <c r="P293" s="14">
        <f>CHOOSE(CONTROL!$C$42, 13.6018, 13.6018) * CHOOSE(CONTROL!$C$21, $C$9, 100%, $E$9)</f>
        <v>13.601800000000001</v>
      </c>
      <c r="Q293" s="14">
        <f>CHOOSE(CONTROL!$C$42, 14.3957, 14.3957) * CHOOSE(CONTROL!$C$21, $C$9, 100%, $E$9)</f>
        <v>14.3957</v>
      </c>
      <c r="R293" s="14">
        <f>CHOOSE(CONTROL!$C$42, 15.0186, 15.0186) * CHOOSE(CONTROL!$C$21, $C$9, 100%, $E$9)</f>
        <v>15.018599999999999</v>
      </c>
      <c r="S293" s="14">
        <f>CHOOSE(CONTROL!$C$42, 13.2691, 13.2691) * CHOOSE(CONTROL!$C$21, $C$9, 100%, $E$9)</f>
        <v>13.2691</v>
      </c>
      <c r="T2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7">
        <f>(1000*CHOOSE(CONTROL!$C$42, 695, 695)*CHOOSE(CONTROL!$C$42, 0.5599, 0.5599)*CHOOSE(CONTROL!$C$42, 31, 31))/1000000</f>
        <v>12.063045499999998</v>
      </c>
      <c r="V293" s="57">
        <f>(1000*CHOOSE(CONTROL!$C$42, 500, 500)*CHOOSE(CONTROL!$C$42, 0.275, 0.275)*CHOOSE(CONTROL!$C$42, 31, 31))/1000000</f>
        <v>4.2625000000000002</v>
      </c>
      <c r="W293" s="57">
        <f>(1000*CHOOSE(CONTROL!$C$42, 0.1146, 0.1146)*CHOOSE(CONTROL!$C$42, 121.5, 121.5)*CHOOSE(CONTROL!$C$42, 31, 31))/1000000</f>
        <v>0.43164089999999994</v>
      </c>
      <c r="X293" s="57">
        <f>(31*0.1790888*245000/1000000)+(31*0.2374*100000/1000000)</f>
        <v>2.0961194359999999</v>
      </c>
      <c r="Y293" s="57"/>
      <c r="Z293" s="14"/>
      <c r="AA293" s="56"/>
      <c r="AB293" s="50">
        <f>(B293*194.205+C293*267.466+D293*133.845+E293*53.484+F293*40+G293*185+H293*0+I293*100+J293*300)/(194.205+267.466+133.845+53.484+0+40+185+100+300)</f>
        <v>13.86263897990581</v>
      </c>
      <c r="AC293" s="45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13.622697841726618</v>
      </c>
    </row>
    <row r="294" spans="1:29" ht="15.75" x14ac:dyDescent="0.25">
      <c r="A294" s="34">
        <v>49827</v>
      </c>
      <c r="B294" s="14">
        <f>CHOOSE(CONTROL!$C$42, 14.2117, 14.2117) * CHOOSE(CONTROL!$C$21, $C$9, 100%, $E$9)</f>
        <v>14.2117</v>
      </c>
      <c r="C294" s="14">
        <f>CHOOSE(CONTROL!$C$42, 14.2198, 14.2198) * CHOOSE(CONTROL!$C$21, $C$9, 100%, $E$9)</f>
        <v>14.219799999999999</v>
      </c>
      <c r="D294" s="14">
        <f>CHOOSE(CONTROL!$C$42, 14.4534, 14.4534) * CHOOSE(CONTROL!$C$21, $C$9, 100%, $E$9)</f>
        <v>14.4534</v>
      </c>
      <c r="E294" s="14">
        <f>CHOOSE(CONTROL!$C$42, 14.4848, 14.4848) * CHOOSE(CONTROL!$C$21, $C$9, 100%, $E$9)</f>
        <v>14.4848</v>
      </c>
      <c r="F294" s="14">
        <f>CHOOSE(CONTROL!$C$42, 14.209, 14.209)*CHOOSE(CONTROL!$C$21, $C$9, 100%, $E$9)</f>
        <v>14.209</v>
      </c>
      <c r="G294" s="14">
        <f>CHOOSE(CONTROL!$C$42, 14.2255, 14.2255)*CHOOSE(CONTROL!$C$21, $C$9, 100%, $E$9)</f>
        <v>14.2255</v>
      </c>
      <c r="H294" s="14">
        <f>CHOOSE(CONTROL!$C$42, 14.4735, 14.4735) * CHOOSE(CONTROL!$C$21, $C$9, 100%, $E$9)</f>
        <v>14.4735</v>
      </c>
      <c r="I294" s="14">
        <f>CHOOSE(CONTROL!$C$42, 14.2721, 14.2721)* CHOOSE(CONTROL!$C$21, $C$9, 100%, $E$9)</f>
        <v>14.2721</v>
      </c>
      <c r="J294" s="14">
        <f>CHOOSE(CONTROL!$C$42, 14.202, 14.202)* CHOOSE(CONTROL!$C$21, $C$9, 100%, $E$9)</f>
        <v>14.202</v>
      </c>
      <c r="K294" s="53">
        <f>CHOOSE(CONTROL!$C$42, 14.2682, 14.2682) * CHOOSE(CONTROL!$C$21, $C$9, 100%, $E$9)</f>
        <v>14.2682</v>
      </c>
      <c r="L294" s="14">
        <f>CHOOSE(CONTROL!$C$42, 15.0605, 15.0605) * CHOOSE(CONTROL!$C$21, $C$9, 100%, $E$9)</f>
        <v>15.060499999999999</v>
      </c>
      <c r="M294" s="14">
        <f>CHOOSE(CONTROL!$C$42, 13.9187, 13.9187) * CHOOSE(CONTROL!$C$21, $C$9, 100%, $E$9)</f>
        <v>13.918699999999999</v>
      </c>
      <c r="N294" s="14">
        <f>CHOOSE(CONTROL!$C$42, 13.9348, 13.9348) * CHOOSE(CONTROL!$C$21, $C$9, 100%, $E$9)</f>
        <v>13.934799999999999</v>
      </c>
      <c r="O294" s="14">
        <f>CHOOSE(CONTROL!$C$42, 14.1846, 14.1846) * CHOOSE(CONTROL!$C$21, $C$9, 100%, $E$9)</f>
        <v>14.1846</v>
      </c>
      <c r="P294" s="14">
        <f>CHOOSE(CONTROL!$C$42, 13.9866, 13.9866) * CHOOSE(CONTROL!$C$21, $C$9, 100%, $E$9)</f>
        <v>13.986599999999999</v>
      </c>
      <c r="Q294" s="14">
        <f>CHOOSE(CONTROL!$C$42, 14.7793, 14.7793) * CHOOSE(CONTROL!$C$21, $C$9, 100%, $E$9)</f>
        <v>14.779299999999999</v>
      </c>
      <c r="R294" s="14">
        <f>CHOOSE(CONTROL!$C$42, 15.4033, 15.4033) * CHOOSE(CONTROL!$C$21, $C$9, 100%, $E$9)</f>
        <v>15.4033</v>
      </c>
      <c r="S294" s="14">
        <f>CHOOSE(CONTROL!$C$42, 13.6454, 13.6454) * CHOOSE(CONTROL!$C$21, $C$9, 100%, $E$9)</f>
        <v>13.6454</v>
      </c>
      <c r="T2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7">
        <f>(1000*CHOOSE(CONTROL!$C$42, 695, 695)*CHOOSE(CONTROL!$C$42, 0.5599, 0.5599)*CHOOSE(CONTROL!$C$42, 30, 30))/1000000</f>
        <v>11.673914999999997</v>
      </c>
      <c r="V294" s="57">
        <f>(1000*CHOOSE(CONTROL!$C$42, 500, 500)*CHOOSE(CONTROL!$C$42, 0.275, 0.275)*CHOOSE(CONTROL!$C$42, 30, 30))/1000000</f>
        <v>4.125</v>
      </c>
      <c r="W294" s="57">
        <f>(1000*CHOOSE(CONTROL!$C$42, 0.1146, 0.1146)*CHOOSE(CONTROL!$C$42, 121.5, 121.5)*CHOOSE(CONTROL!$C$42, 30, 30))/1000000</f>
        <v>0.417717</v>
      </c>
      <c r="X294" s="57">
        <f>(30*0.1790888*245000/1000000)+(30*0.2374*100000/1000000)</f>
        <v>2.0285026799999999</v>
      </c>
      <c r="Y294" s="57"/>
      <c r="Z294" s="14"/>
      <c r="AA294" s="56"/>
      <c r="AB294" s="50">
        <f>(B294*194.205+C294*267.466+D294*133.845+E294*53.484+F294*40+G294*185+H294*0+I294*100+J294*300)/(194.205+267.466+133.845+53.484+0+40+185+100+300)</f>
        <v>14.254634294740974</v>
      </c>
      <c r="AC294" s="45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14.006781294964028</v>
      </c>
    </row>
    <row r="295" spans="1:29" ht="15.75" x14ac:dyDescent="0.25">
      <c r="A295" s="34">
        <v>49857</v>
      </c>
      <c r="B295" s="14">
        <f>CHOOSE(CONTROL!$C$42, 13.9393, 13.9393) * CHOOSE(CONTROL!$C$21, $C$9, 100%, $E$9)</f>
        <v>13.939299999999999</v>
      </c>
      <c r="C295" s="14">
        <f>CHOOSE(CONTROL!$C$42, 13.9474, 13.9474) * CHOOSE(CONTROL!$C$21, $C$9, 100%, $E$9)</f>
        <v>13.9474</v>
      </c>
      <c r="D295" s="14">
        <f>CHOOSE(CONTROL!$C$42, 14.181, 14.181) * CHOOSE(CONTROL!$C$21, $C$9, 100%, $E$9)</f>
        <v>14.180999999999999</v>
      </c>
      <c r="E295" s="14">
        <f>CHOOSE(CONTROL!$C$42, 14.2124, 14.2124) * CHOOSE(CONTROL!$C$21, $C$9, 100%, $E$9)</f>
        <v>14.212400000000001</v>
      </c>
      <c r="F295" s="14">
        <f>CHOOSE(CONTROL!$C$42, 13.9371, 13.9371)*CHOOSE(CONTROL!$C$21, $C$9, 100%, $E$9)</f>
        <v>13.937099999999999</v>
      </c>
      <c r="G295" s="14">
        <f>CHOOSE(CONTROL!$C$42, 13.9537, 13.9537)*CHOOSE(CONTROL!$C$21, $C$9, 100%, $E$9)</f>
        <v>13.9537</v>
      </c>
      <c r="H295" s="14">
        <f>CHOOSE(CONTROL!$C$42, 14.201, 14.201) * CHOOSE(CONTROL!$C$21, $C$9, 100%, $E$9)</f>
        <v>14.201000000000001</v>
      </c>
      <c r="I295" s="14">
        <f>CHOOSE(CONTROL!$C$42, 13.9989, 13.9989)* CHOOSE(CONTROL!$C$21, $C$9, 100%, $E$9)</f>
        <v>13.998900000000001</v>
      </c>
      <c r="J295" s="14">
        <f>CHOOSE(CONTROL!$C$42, 13.9301, 13.9301)* CHOOSE(CONTROL!$C$21, $C$9, 100%, $E$9)</f>
        <v>13.930099999999999</v>
      </c>
      <c r="K295" s="53">
        <f>CHOOSE(CONTROL!$C$42, 13.995, 13.995) * CHOOSE(CONTROL!$C$21, $C$9, 100%, $E$9)</f>
        <v>13.994999999999999</v>
      </c>
      <c r="L295" s="14">
        <f>CHOOSE(CONTROL!$C$42, 14.788, 14.788) * CHOOSE(CONTROL!$C$21, $C$9, 100%, $E$9)</f>
        <v>14.788</v>
      </c>
      <c r="M295" s="14">
        <f>CHOOSE(CONTROL!$C$42, 13.6524, 13.6524) * CHOOSE(CONTROL!$C$21, $C$9, 100%, $E$9)</f>
        <v>13.6524</v>
      </c>
      <c r="N295" s="14">
        <f>CHOOSE(CONTROL!$C$42, 13.6687, 13.6687) * CHOOSE(CONTROL!$C$21, $C$9, 100%, $E$9)</f>
        <v>13.668699999999999</v>
      </c>
      <c r="O295" s="14">
        <f>CHOOSE(CONTROL!$C$42, 13.9178, 13.9178) * CHOOSE(CONTROL!$C$21, $C$9, 100%, $E$9)</f>
        <v>13.9178</v>
      </c>
      <c r="P295" s="14">
        <f>CHOOSE(CONTROL!$C$42, 13.7189, 13.7189) * CHOOSE(CONTROL!$C$21, $C$9, 100%, $E$9)</f>
        <v>13.7189</v>
      </c>
      <c r="Q295" s="14">
        <f>CHOOSE(CONTROL!$C$42, 14.5125, 14.5125) * CHOOSE(CONTROL!$C$21, $C$9, 100%, $E$9)</f>
        <v>14.512499999999999</v>
      </c>
      <c r="R295" s="14">
        <f>CHOOSE(CONTROL!$C$42, 15.1358, 15.1358) * CHOOSE(CONTROL!$C$21, $C$9, 100%, $E$9)</f>
        <v>15.1358</v>
      </c>
      <c r="S295" s="14">
        <f>CHOOSE(CONTROL!$C$42, 13.3837, 13.3837) * CHOOSE(CONTROL!$C$21, $C$9, 100%, $E$9)</f>
        <v>13.383699999999999</v>
      </c>
      <c r="T2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7">
        <f>(1000*CHOOSE(CONTROL!$C$42, 695, 695)*CHOOSE(CONTROL!$C$42, 0.5599, 0.5599)*CHOOSE(CONTROL!$C$42, 31, 31))/1000000</f>
        <v>12.063045499999998</v>
      </c>
      <c r="V295" s="57">
        <f>(1000*CHOOSE(CONTROL!$C$42, 500, 500)*CHOOSE(CONTROL!$C$42, 0.275, 0.275)*CHOOSE(CONTROL!$C$42, 31, 31))/1000000</f>
        <v>4.2625000000000002</v>
      </c>
      <c r="W295" s="57">
        <f>(1000*CHOOSE(CONTROL!$C$42, 0.1146, 0.1146)*CHOOSE(CONTROL!$C$42, 121.5, 121.5)*CHOOSE(CONTROL!$C$42, 31, 31))/1000000</f>
        <v>0.43164089999999994</v>
      </c>
      <c r="X295" s="57">
        <f>(31*0.1790888*245000/1000000)+(31*0.2374*100000/1000000)</f>
        <v>2.0961194359999999</v>
      </c>
      <c r="Y295" s="57"/>
      <c r="Z295" s="14"/>
      <c r="AA295" s="56"/>
      <c r="AB295" s="50">
        <f>(B295*194.205+C295*267.466+D295*133.845+E295*53.484+F295*40+G295*185+H295*0+I295*100+J295*300)/(194.205+267.466+133.845+53.484+0+40+185+100+300)</f>
        <v>13.9823920655416</v>
      </c>
      <c r="AC295" s="45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13.740185611510789</v>
      </c>
    </row>
    <row r="296" spans="1:29" ht="15.75" x14ac:dyDescent="0.25">
      <c r="A296" s="34">
        <v>49888</v>
      </c>
      <c r="B296" s="14">
        <f>CHOOSE(CONTROL!$C$42, 13.2514, 13.2514) * CHOOSE(CONTROL!$C$21, $C$9, 100%, $E$9)</f>
        <v>13.2514</v>
      </c>
      <c r="C296" s="14">
        <f>CHOOSE(CONTROL!$C$42, 13.2594, 13.2594) * CHOOSE(CONTROL!$C$21, $C$9, 100%, $E$9)</f>
        <v>13.259399999999999</v>
      </c>
      <c r="D296" s="14">
        <f>CHOOSE(CONTROL!$C$42, 13.493, 13.493) * CHOOSE(CONTROL!$C$21, $C$9, 100%, $E$9)</f>
        <v>13.493</v>
      </c>
      <c r="E296" s="14">
        <f>CHOOSE(CONTROL!$C$42, 13.5245, 13.5245) * CHOOSE(CONTROL!$C$21, $C$9, 100%, $E$9)</f>
        <v>13.5245</v>
      </c>
      <c r="F296" s="14">
        <f>CHOOSE(CONTROL!$C$42, 13.2494, 13.2494)*CHOOSE(CONTROL!$C$21, $C$9, 100%, $E$9)</f>
        <v>13.2494</v>
      </c>
      <c r="G296" s="14">
        <f>CHOOSE(CONTROL!$C$42, 13.2661, 13.2661)*CHOOSE(CONTROL!$C$21, $C$9, 100%, $E$9)</f>
        <v>13.2661</v>
      </c>
      <c r="H296" s="14">
        <f>CHOOSE(CONTROL!$C$42, 13.5131, 13.5131) * CHOOSE(CONTROL!$C$21, $C$9, 100%, $E$9)</f>
        <v>13.5131</v>
      </c>
      <c r="I296" s="14">
        <f>CHOOSE(CONTROL!$C$42, 13.3088, 13.3088)* CHOOSE(CONTROL!$C$21, $C$9, 100%, $E$9)</f>
        <v>13.3088</v>
      </c>
      <c r="J296" s="14">
        <f>CHOOSE(CONTROL!$C$42, 13.2424, 13.2424)* CHOOSE(CONTROL!$C$21, $C$9, 100%, $E$9)</f>
        <v>13.2424</v>
      </c>
      <c r="K296" s="53">
        <f>CHOOSE(CONTROL!$C$42, 13.3049, 13.3049) * CHOOSE(CONTROL!$C$21, $C$9, 100%, $E$9)</f>
        <v>13.3049</v>
      </c>
      <c r="L296" s="14">
        <f>CHOOSE(CONTROL!$C$42, 14.1001, 14.1001) * CHOOSE(CONTROL!$C$21, $C$9, 100%, $E$9)</f>
        <v>14.100099999999999</v>
      </c>
      <c r="M296" s="14">
        <f>CHOOSE(CONTROL!$C$42, 12.9788, 12.9788) * CHOOSE(CONTROL!$C$21, $C$9, 100%, $E$9)</f>
        <v>12.9788</v>
      </c>
      <c r="N296" s="14">
        <f>CHOOSE(CONTROL!$C$42, 12.9951, 12.9951) * CHOOSE(CONTROL!$C$21, $C$9, 100%, $E$9)</f>
        <v>12.995100000000001</v>
      </c>
      <c r="O296" s="14">
        <f>CHOOSE(CONTROL!$C$42, 13.2439, 13.2439) * CHOOSE(CONTROL!$C$21, $C$9, 100%, $E$9)</f>
        <v>13.2439</v>
      </c>
      <c r="P296" s="14">
        <f>CHOOSE(CONTROL!$C$42, 13.043, 13.043) * CHOOSE(CONTROL!$C$21, $C$9, 100%, $E$9)</f>
        <v>13.042999999999999</v>
      </c>
      <c r="Q296" s="14">
        <f>CHOOSE(CONTROL!$C$42, 13.8386, 13.8386) * CHOOSE(CONTROL!$C$21, $C$9, 100%, $E$9)</f>
        <v>13.8386</v>
      </c>
      <c r="R296" s="14">
        <f>CHOOSE(CONTROL!$C$42, 14.4602, 14.4602) * CHOOSE(CONTROL!$C$21, $C$9, 100%, $E$9)</f>
        <v>14.4602</v>
      </c>
      <c r="S296" s="14">
        <f>CHOOSE(CONTROL!$C$42, 12.7226, 12.7226) * CHOOSE(CONTROL!$C$21, $C$9, 100%, $E$9)</f>
        <v>12.7226</v>
      </c>
      <c r="T2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7">
        <f>(1000*CHOOSE(CONTROL!$C$42, 695, 695)*CHOOSE(CONTROL!$C$42, 0.5599, 0.5599)*CHOOSE(CONTROL!$C$42, 31, 31))/1000000</f>
        <v>12.063045499999998</v>
      </c>
      <c r="V296" s="57">
        <f>(1000*CHOOSE(CONTROL!$C$42, 500, 500)*CHOOSE(CONTROL!$C$42, 0.275, 0.275)*CHOOSE(CONTROL!$C$42, 31, 31))/1000000</f>
        <v>4.2625000000000002</v>
      </c>
      <c r="W296" s="57">
        <f>(1000*CHOOSE(CONTROL!$C$42, 0.1146, 0.1146)*CHOOSE(CONTROL!$C$42, 121.5, 121.5)*CHOOSE(CONTROL!$C$42, 31, 31))/1000000</f>
        <v>0.43164089999999994</v>
      </c>
      <c r="X296" s="57">
        <f>(31*0.1790888*245000/1000000)+(31*0.2374*100000/1000000)</f>
        <v>2.0961194359999999</v>
      </c>
      <c r="Y296" s="57"/>
      <c r="Z296" s="14"/>
      <c r="AA296" s="56"/>
      <c r="AB296" s="50">
        <f>(B296*194.205+C296*267.466+D296*133.845+E296*53.484+F296*40+G296*185+H296*0+I296*100+J296*300)/(194.205+267.466+133.845+53.484+0+40+185+100+300)</f>
        <v>13.294384819780218</v>
      </c>
      <c r="AC296" s="45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13.066170503597121</v>
      </c>
    </row>
    <row r="297" spans="1:29" ht="15.75" x14ac:dyDescent="0.25">
      <c r="A297" s="34">
        <v>49919</v>
      </c>
      <c r="B297" s="14">
        <f>CHOOSE(CONTROL!$C$42, 12.4104, 12.4104) * CHOOSE(CONTROL!$C$21, $C$9, 100%, $E$9)</f>
        <v>12.410399999999999</v>
      </c>
      <c r="C297" s="14">
        <f>CHOOSE(CONTROL!$C$42, 12.4185, 12.4185) * CHOOSE(CONTROL!$C$21, $C$9, 100%, $E$9)</f>
        <v>12.4185</v>
      </c>
      <c r="D297" s="14">
        <f>CHOOSE(CONTROL!$C$42, 12.6521, 12.6521) * CHOOSE(CONTROL!$C$21, $C$9, 100%, $E$9)</f>
        <v>12.652100000000001</v>
      </c>
      <c r="E297" s="14">
        <f>CHOOSE(CONTROL!$C$42, 12.6835, 12.6835) * CHOOSE(CONTROL!$C$21, $C$9, 100%, $E$9)</f>
        <v>12.6835</v>
      </c>
      <c r="F297" s="14">
        <f>CHOOSE(CONTROL!$C$42, 12.4084, 12.4084)*CHOOSE(CONTROL!$C$21, $C$9, 100%, $E$9)</f>
        <v>12.4084</v>
      </c>
      <c r="G297" s="14">
        <f>CHOOSE(CONTROL!$C$42, 12.4251, 12.4251)*CHOOSE(CONTROL!$C$21, $C$9, 100%, $E$9)</f>
        <v>12.4251</v>
      </c>
      <c r="H297" s="14">
        <f>CHOOSE(CONTROL!$C$42, 12.6722, 12.6722) * CHOOSE(CONTROL!$C$21, $C$9, 100%, $E$9)</f>
        <v>12.6722</v>
      </c>
      <c r="I297" s="14">
        <f>CHOOSE(CONTROL!$C$42, 12.4652, 12.4652)* CHOOSE(CONTROL!$C$21, $C$9, 100%, $E$9)</f>
        <v>12.465199999999999</v>
      </c>
      <c r="J297" s="14">
        <f>CHOOSE(CONTROL!$C$42, 12.4014, 12.4014)* CHOOSE(CONTROL!$C$21, $C$9, 100%, $E$9)</f>
        <v>12.401400000000001</v>
      </c>
      <c r="K297" s="53">
        <f>CHOOSE(CONTROL!$C$42, 12.4613, 12.4613) * CHOOSE(CONTROL!$C$21, $C$9, 100%, $E$9)</f>
        <v>12.4613</v>
      </c>
      <c r="L297" s="14">
        <f>CHOOSE(CONTROL!$C$42, 13.2592, 13.2592) * CHOOSE(CONTROL!$C$21, $C$9, 100%, $E$9)</f>
        <v>13.2592</v>
      </c>
      <c r="M297" s="14">
        <f>CHOOSE(CONTROL!$C$42, 12.155, 12.155) * CHOOSE(CONTROL!$C$21, $C$9, 100%, $E$9)</f>
        <v>12.154999999999999</v>
      </c>
      <c r="N297" s="14">
        <f>CHOOSE(CONTROL!$C$42, 12.1714, 12.1714) * CHOOSE(CONTROL!$C$21, $C$9, 100%, $E$9)</f>
        <v>12.1714</v>
      </c>
      <c r="O297" s="14">
        <f>CHOOSE(CONTROL!$C$42, 12.4202, 12.4202) * CHOOSE(CONTROL!$C$21, $C$9, 100%, $E$9)</f>
        <v>12.420199999999999</v>
      </c>
      <c r="P297" s="14">
        <f>CHOOSE(CONTROL!$C$42, 12.2168, 12.2168) * CHOOSE(CONTROL!$C$21, $C$9, 100%, $E$9)</f>
        <v>12.216799999999999</v>
      </c>
      <c r="Q297" s="14">
        <f>CHOOSE(CONTROL!$C$42, 13.0149, 13.0149) * CHOOSE(CONTROL!$C$21, $C$9, 100%, $E$9)</f>
        <v>13.014900000000001</v>
      </c>
      <c r="R297" s="14">
        <f>CHOOSE(CONTROL!$C$42, 13.6344, 13.6344) * CHOOSE(CONTROL!$C$21, $C$9, 100%, $E$9)</f>
        <v>13.634399999999999</v>
      </c>
      <c r="S297" s="14">
        <f>CHOOSE(CONTROL!$C$42, 11.9146, 11.9146) * CHOOSE(CONTROL!$C$21, $C$9, 100%, $E$9)</f>
        <v>11.9146</v>
      </c>
      <c r="T2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7">
        <f>(1000*CHOOSE(CONTROL!$C$42, 695, 695)*CHOOSE(CONTROL!$C$42, 0.5599, 0.5599)*CHOOSE(CONTROL!$C$42, 30, 30))/1000000</f>
        <v>11.673914999999997</v>
      </c>
      <c r="V297" s="57">
        <f>(1000*CHOOSE(CONTROL!$C$42, 500, 500)*CHOOSE(CONTROL!$C$42, 0.275, 0.275)*CHOOSE(CONTROL!$C$42, 30, 30))/1000000</f>
        <v>4.125</v>
      </c>
      <c r="W297" s="57">
        <f>(1000*CHOOSE(CONTROL!$C$42, 0.1146, 0.1146)*CHOOSE(CONTROL!$C$42, 121.5, 121.5)*CHOOSE(CONTROL!$C$42, 30, 30))/1000000</f>
        <v>0.417717</v>
      </c>
      <c r="X297" s="57">
        <f>(30*0.1790888*245000/1000000)+(30*0.2374*100000/1000000)</f>
        <v>2.0285026799999999</v>
      </c>
      <c r="Y297" s="57"/>
      <c r="Z297" s="14"/>
      <c r="AA297" s="56"/>
      <c r="AB297" s="50">
        <f>(B297*194.205+C297*267.466+D297*133.845+E297*53.484+F297*40+G297*185+H297*0+I297*100+J297*300)/(194.205+267.466+133.845+53.484+0+40+185+100+300)</f>
        <v>12.45321223822606</v>
      </c>
      <c r="AC297" s="45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12.242076258992807</v>
      </c>
    </row>
    <row r="298" spans="1:29" ht="15.75" x14ac:dyDescent="0.25">
      <c r="A298" s="34">
        <v>49949</v>
      </c>
      <c r="B298" s="14">
        <f>CHOOSE(CONTROL!$C$42, 12.1569, 12.1569) * CHOOSE(CONTROL!$C$21, $C$9, 100%, $E$9)</f>
        <v>12.1569</v>
      </c>
      <c r="C298" s="14">
        <f>CHOOSE(CONTROL!$C$42, 12.1623, 12.1623) * CHOOSE(CONTROL!$C$21, $C$9, 100%, $E$9)</f>
        <v>12.1623</v>
      </c>
      <c r="D298" s="14">
        <f>CHOOSE(CONTROL!$C$42, 12.4008, 12.4008) * CHOOSE(CONTROL!$C$21, $C$9, 100%, $E$9)</f>
        <v>12.4008</v>
      </c>
      <c r="E298" s="14">
        <f>CHOOSE(CONTROL!$C$42, 12.4299, 12.4299) * CHOOSE(CONTROL!$C$21, $C$9, 100%, $E$9)</f>
        <v>12.4299</v>
      </c>
      <c r="F298" s="14">
        <f>CHOOSE(CONTROL!$C$42, 12.157, 12.157)*CHOOSE(CONTROL!$C$21, $C$9, 100%, $E$9)</f>
        <v>12.157</v>
      </c>
      <c r="G298" s="14">
        <f>CHOOSE(CONTROL!$C$42, 12.1732, 12.1732)*CHOOSE(CONTROL!$C$21, $C$9, 100%, $E$9)</f>
        <v>12.1732</v>
      </c>
      <c r="H298" s="14">
        <f>CHOOSE(CONTROL!$C$42, 12.4204, 12.4204) * CHOOSE(CONTROL!$C$21, $C$9, 100%, $E$9)</f>
        <v>12.420400000000001</v>
      </c>
      <c r="I298" s="14">
        <f>CHOOSE(CONTROL!$C$42, 12.2127, 12.2127)* CHOOSE(CONTROL!$C$21, $C$9, 100%, $E$9)</f>
        <v>12.2127</v>
      </c>
      <c r="J298" s="14">
        <f>CHOOSE(CONTROL!$C$42, 12.15, 12.15)* CHOOSE(CONTROL!$C$21, $C$9, 100%, $E$9)</f>
        <v>12.15</v>
      </c>
      <c r="K298" s="53">
        <f>CHOOSE(CONTROL!$C$42, 12.2088, 12.2088) * CHOOSE(CONTROL!$C$21, $C$9, 100%, $E$9)</f>
        <v>12.2088</v>
      </c>
      <c r="L298" s="14">
        <f>CHOOSE(CONTROL!$C$42, 13.0074, 13.0074) * CHOOSE(CONTROL!$C$21, $C$9, 100%, $E$9)</f>
        <v>13.007400000000001</v>
      </c>
      <c r="M298" s="14">
        <f>CHOOSE(CONTROL!$C$42, 11.9087, 11.9087) * CHOOSE(CONTROL!$C$21, $C$9, 100%, $E$9)</f>
        <v>11.9087</v>
      </c>
      <c r="N298" s="14">
        <f>CHOOSE(CONTROL!$C$42, 11.9246, 11.9246) * CHOOSE(CONTROL!$C$21, $C$9, 100%, $E$9)</f>
        <v>11.9246</v>
      </c>
      <c r="O298" s="14">
        <f>CHOOSE(CONTROL!$C$42, 12.1736, 12.1736) * CHOOSE(CONTROL!$C$21, $C$9, 100%, $E$9)</f>
        <v>12.1736</v>
      </c>
      <c r="P298" s="14">
        <f>CHOOSE(CONTROL!$C$42, 11.9694, 11.9694) * CHOOSE(CONTROL!$C$21, $C$9, 100%, $E$9)</f>
        <v>11.9694</v>
      </c>
      <c r="Q298" s="14">
        <f>CHOOSE(CONTROL!$C$42, 12.7683, 12.7683) * CHOOSE(CONTROL!$C$21, $C$9, 100%, $E$9)</f>
        <v>12.7683</v>
      </c>
      <c r="R298" s="14">
        <f>CHOOSE(CONTROL!$C$42, 13.3872, 13.3872) * CHOOSE(CONTROL!$C$21, $C$9, 100%, $E$9)</f>
        <v>13.3872</v>
      </c>
      <c r="S298" s="14">
        <f>CHOOSE(CONTROL!$C$42, 11.6727, 11.6727) * CHOOSE(CONTROL!$C$21, $C$9, 100%, $E$9)</f>
        <v>11.672700000000001</v>
      </c>
      <c r="T2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7">
        <f>(1000*CHOOSE(CONTROL!$C$42, 695, 695)*CHOOSE(CONTROL!$C$42, 0.5599, 0.5599)*CHOOSE(CONTROL!$C$42, 31, 31))/1000000</f>
        <v>12.063045499999998</v>
      </c>
      <c r="V298" s="57">
        <f>(1000*CHOOSE(CONTROL!$C$42, 500, 500)*CHOOSE(CONTROL!$C$42, 0.275, 0.275)*CHOOSE(CONTROL!$C$42, 31, 31))/1000000</f>
        <v>4.2625000000000002</v>
      </c>
      <c r="W298" s="57">
        <f>(1000*CHOOSE(CONTROL!$C$42, 0.1146, 0.1146)*CHOOSE(CONTROL!$C$42, 121.5, 121.5)*CHOOSE(CONTROL!$C$42, 31, 31))/1000000</f>
        <v>0.43164089999999994</v>
      </c>
      <c r="X298" s="57">
        <f>(31*0.1790888*245000/1000000)+(31*0.2374*100000/1000000)</f>
        <v>2.0961194359999999</v>
      </c>
      <c r="Y298" s="57"/>
      <c r="Z298" s="14"/>
      <c r="AA298" s="56"/>
      <c r="AB298" s="50">
        <f>(B298*131.881+C298*277.167+D298*79.08+E298*125.872+F298*40+G298*185+H298*0+I298*100+J298*300)/(131.881+277.167+79.08+125.872+0+40+185+100+300)</f>
        <v>12.206679555932203</v>
      </c>
      <c r="AC298" s="45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11.99541870503597</v>
      </c>
    </row>
    <row r="299" spans="1:29" ht="15.75" x14ac:dyDescent="0.25">
      <c r="A299" s="34">
        <v>49980</v>
      </c>
      <c r="B299" s="14">
        <f>CHOOSE(CONTROL!$C$42, 12.4765, 12.4765) * CHOOSE(CONTROL!$C$21, $C$9, 100%, $E$9)</f>
        <v>12.4765</v>
      </c>
      <c r="C299" s="14">
        <f>CHOOSE(CONTROL!$C$42, 12.4816, 12.4816) * CHOOSE(CONTROL!$C$21, $C$9, 100%, $E$9)</f>
        <v>12.4816</v>
      </c>
      <c r="D299" s="14">
        <f>CHOOSE(CONTROL!$C$42, 12.5558, 12.5558) * CHOOSE(CONTROL!$C$21, $C$9, 100%, $E$9)</f>
        <v>12.5558</v>
      </c>
      <c r="E299" s="14">
        <f>CHOOSE(CONTROL!$C$42, 12.5899, 12.5899) * CHOOSE(CONTROL!$C$21, $C$9, 100%, $E$9)</f>
        <v>12.5899</v>
      </c>
      <c r="F299" s="14">
        <f>CHOOSE(CONTROL!$C$42, 12.4886, 12.4886)*CHOOSE(CONTROL!$C$21, $C$9, 100%, $E$9)</f>
        <v>12.4886</v>
      </c>
      <c r="G299" s="14">
        <f>CHOOSE(CONTROL!$C$42, 12.5052, 12.5052)*CHOOSE(CONTROL!$C$21, $C$9, 100%, $E$9)</f>
        <v>12.5052</v>
      </c>
      <c r="H299" s="14">
        <f>CHOOSE(CONTROL!$C$42, 12.5791, 12.5791) * CHOOSE(CONTROL!$C$21, $C$9, 100%, $E$9)</f>
        <v>12.5791</v>
      </c>
      <c r="I299" s="14">
        <f>CHOOSE(CONTROL!$C$42, 12.5399, 12.5399)* CHOOSE(CONTROL!$C$21, $C$9, 100%, $E$9)</f>
        <v>12.539899999999999</v>
      </c>
      <c r="J299" s="14">
        <f>CHOOSE(CONTROL!$C$42, 12.4816, 12.4816)* CHOOSE(CONTROL!$C$21, $C$9, 100%, $E$9)</f>
        <v>12.4816</v>
      </c>
      <c r="K299" s="53">
        <f>CHOOSE(CONTROL!$C$42, 12.536, 12.536) * CHOOSE(CONTROL!$C$21, $C$9, 100%, $E$9)</f>
        <v>12.536</v>
      </c>
      <c r="L299" s="14">
        <f>CHOOSE(CONTROL!$C$42, 13.1661, 13.1661) * CHOOSE(CONTROL!$C$21, $C$9, 100%, $E$9)</f>
        <v>13.1661</v>
      </c>
      <c r="M299" s="14">
        <f>CHOOSE(CONTROL!$C$42, 12.2335, 12.2335) * CHOOSE(CONTROL!$C$21, $C$9, 100%, $E$9)</f>
        <v>12.233499999999999</v>
      </c>
      <c r="N299" s="14">
        <f>CHOOSE(CONTROL!$C$42, 12.2498, 12.2498) * CHOOSE(CONTROL!$C$21, $C$9, 100%, $E$9)</f>
        <v>12.2498</v>
      </c>
      <c r="O299" s="14">
        <f>CHOOSE(CONTROL!$C$42, 12.3291, 12.3291) * CHOOSE(CONTROL!$C$21, $C$9, 100%, $E$9)</f>
        <v>12.3291</v>
      </c>
      <c r="P299" s="14">
        <f>CHOOSE(CONTROL!$C$42, 12.29, 12.29) * CHOOSE(CONTROL!$C$21, $C$9, 100%, $E$9)</f>
        <v>12.29</v>
      </c>
      <c r="Q299" s="14">
        <f>CHOOSE(CONTROL!$C$42, 12.9238, 12.9238) * CHOOSE(CONTROL!$C$21, $C$9, 100%, $E$9)</f>
        <v>12.9238</v>
      </c>
      <c r="R299" s="14">
        <f>CHOOSE(CONTROL!$C$42, 13.5431, 13.5431) * CHOOSE(CONTROL!$C$21, $C$9, 100%, $E$9)</f>
        <v>13.543100000000001</v>
      </c>
      <c r="S299" s="14">
        <f>CHOOSE(CONTROL!$C$42, 11.9801, 11.9801) * CHOOSE(CONTROL!$C$21, $C$9, 100%, $E$9)</f>
        <v>11.9801</v>
      </c>
      <c r="T2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7">
        <f>(1000*CHOOSE(CONTROL!$C$42, 695, 695)*CHOOSE(CONTROL!$C$42, 0.5599, 0.5599)*CHOOSE(CONTROL!$C$42, 30, 30))/1000000</f>
        <v>11.673914999999997</v>
      </c>
      <c r="V299" s="57">
        <f>(1000*CHOOSE(CONTROL!$C$42, 500, 500)*CHOOSE(CONTROL!$C$42, 0.275, 0.275)*CHOOSE(CONTROL!$C$42, 30, 30))/1000000</f>
        <v>4.125</v>
      </c>
      <c r="W299" s="57">
        <f>(1000*CHOOSE(CONTROL!$C$42, 0.1146, 0.1146)*CHOOSE(CONTROL!$C$42, 121.5, 121.5)*CHOOSE(CONTROL!$C$42, 30, 30))/1000000</f>
        <v>0.417717</v>
      </c>
      <c r="X299" s="57">
        <f>(30*0.1790888*100000/1000000)+(30*0.2374*100000/1000000)</f>
        <v>1.2494664</v>
      </c>
      <c r="Y299" s="57"/>
      <c r="Z299" s="14"/>
      <c r="AA299" s="56"/>
      <c r="AB299" s="50">
        <f>(B299*122.58+C299*297.941+D299*89.177+E299*40.302+F299*40+G299*160+H299*0+I299*100+J299*300)/(122.58+297.941+89.177+40.302+0+40+160+100+300)</f>
        <v>12.499202158260868</v>
      </c>
      <c r="AC299" s="45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12.285897122302158</v>
      </c>
    </row>
    <row r="300" spans="1:29" ht="15.75" x14ac:dyDescent="0.25">
      <c r="A300" s="34">
        <v>50010</v>
      </c>
      <c r="B300" s="14">
        <f>CHOOSE(CONTROL!$C$42, 13.3265, 13.3265) * CHOOSE(CONTROL!$C$21, $C$9, 100%, $E$9)</f>
        <v>13.326499999999999</v>
      </c>
      <c r="C300" s="14">
        <f>CHOOSE(CONTROL!$C$42, 13.3316, 13.3316) * CHOOSE(CONTROL!$C$21, $C$9, 100%, $E$9)</f>
        <v>13.3316</v>
      </c>
      <c r="D300" s="14">
        <f>CHOOSE(CONTROL!$C$42, 13.4058, 13.4058) * CHOOSE(CONTROL!$C$21, $C$9, 100%, $E$9)</f>
        <v>13.405799999999999</v>
      </c>
      <c r="E300" s="14">
        <f>CHOOSE(CONTROL!$C$42, 13.4399, 13.4399) * CHOOSE(CONTROL!$C$21, $C$9, 100%, $E$9)</f>
        <v>13.4399</v>
      </c>
      <c r="F300" s="14">
        <f>CHOOSE(CONTROL!$C$42, 13.3407, 13.3407)*CHOOSE(CONTROL!$C$21, $C$9, 100%, $E$9)</f>
        <v>13.3407</v>
      </c>
      <c r="G300" s="14">
        <f>CHOOSE(CONTROL!$C$42, 13.3579, 13.3579)*CHOOSE(CONTROL!$C$21, $C$9, 100%, $E$9)</f>
        <v>13.357900000000001</v>
      </c>
      <c r="H300" s="14">
        <f>CHOOSE(CONTROL!$C$42, 13.4291, 13.4291) * CHOOSE(CONTROL!$C$21, $C$9, 100%, $E$9)</f>
        <v>13.4291</v>
      </c>
      <c r="I300" s="14">
        <f>CHOOSE(CONTROL!$C$42, 13.3926, 13.3926)* CHOOSE(CONTROL!$C$21, $C$9, 100%, $E$9)</f>
        <v>13.3926</v>
      </c>
      <c r="J300" s="14">
        <f>CHOOSE(CONTROL!$C$42, 13.3337, 13.3337)* CHOOSE(CONTROL!$C$21, $C$9, 100%, $E$9)</f>
        <v>13.3337</v>
      </c>
      <c r="K300" s="53">
        <f>CHOOSE(CONTROL!$C$42, 13.3887, 13.3887) * CHOOSE(CONTROL!$C$21, $C$9, 100%, $E$9)</f>
        <v>13.3887</v>
      </c>
      <c r="L300" s="14">
        <f>CHOOSE(CONTROL!$C$42, 14.0161, 14.0161) * CHOOSE(CONTROL!$C$21, $C$9, 100%, $E$9)</f>
        <v>14.0161</v>
      </c>
      <c r="M300" s="14">
        <f>CHOOSE(CONTROL!$C$42, 13.0682, 13.0682) * CHOOSE(CONTROL!$C$21, $C$9, 100%, $E$9)</f>
        <v>13.068199999999999</v>
      </c>
      <c r="N300" s="14">
        <f>CHOOSE(CONTROL!$C$42, 13.085, 13.085) * CHOOSE(CONTROL!$C$21, $C$9, 100%, $E$9)</f>
        <v>13.085000000000001</v>
      </c>
      <c r="O300" s="14">
        <f>CHOOSE(CONTROL!$C$42, 13.1616, 13.1616) * CHOOSE(CONTROL!$C$21, $C$9, 100%, $E$9)</f>
        <v>13.1616</v>
      </c>
      <c r="P300" s="14">
        <f>CHOOSE(CONTROL!$C$42, 13.1251, 13.1251) * CHOOSE(CONTROL!$C$21, $C$9, 100%, $E$9)</f>
        <v>13.1251</v>
      </c>
      <c r="Q300" s="14">
        <f>CHOOSE(CONTROL!$C$42, 13.7563, 13.7563) * CHOOSE(CONTROL!$C$21, $C$9, 100%, $E$9)</f>
        <v>13.7563</v>
      </c>
      <c r="R300" s="14">
        <f>CHOOSE(CONTROL!$C$42, 14.3777, 14.3777) * CHOOSE(CONTROL!$C$21, $C$9, 100%, $E$9)</f>
        <v>14.377700000000001</v>
      </c>
      <c r="S300" s="14">
        <f>CHOOSE(CONTROL!$C$42, 12.7969, 12.7969) * CHOOSE(CONTROL!$C$21, $C$9, 100%, $E$9)</f>
        <v>12.796900000000001</v>
      </c>
      <c r="T3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7">
        <f>(1000*CHOOSE(CONTROL!$C$42, 695, 695)*CHOOSE(CONTROL!$C$42, 0.5599, 0.5599)*CHOOSE(CONTROL!$C$42, 31, 31))/1000000</f>
        <v>12.063045499999998</v>
      </c>
      <c r="V300" s="57">
        <f>(1000*CHOOSE(CONTROL!$C$42, 500, 500)*CHOOSE(CONTROL!$C$42, 0.275, 0.275)*CHOOSE(CONTROL!$C$42, 31, 31))/1000000</f>
        <v>4.2625000000000002</v>
      </c>
      <c r="W300" s="57">
        <f>(1000*CHOOSE(CONTROL!$C$42, 0.1146, 0.1146)*CHOOSE(CONTROL!$C$42, 121.5, 121.5)*CHOOSE(CONTROL!$C$42, 31, 31))/1000000</f>
        <v>0.43164089999999994</v>
      </c>
      <c r="X300" s="57">
        <f>(31*0.1790888*100000/1000000)+(31*0.2374*100000/1000000)</f>
        <v>1.2911152800000001</v>
      </c>
      <c r="Y300" s="57"/>
      <c r="Z300" s="14"/>
      <c r="AA300" s="56"/>
      <c r="AB300" s="50">
        <f>(B300*122.58+C300*297.941+D300*89.177+E300*40.302+F300*40+G300*160+H300*0+I300*100+J300*300)/(122.58+297.941+89.177+40.302+0+40+160+100+300)</f>
        <v>13.350433462608697</v>
      </c>
      <c r="AC300" s="45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13.11968633093525</v>
      </c>
    </row>
    <row r="301" spans="1:29" ht="15.75" x14ac:dyDescent="0.25">
      <c r="A301" s="34">
        <v>50041</v>
      </c>
      <c r="B301" s="14">
        <f>CHOOSE(CONTROL!$C$42, 14.4305, 14.4305) * CHOOSE(CONTROL!$C$21, $C$9, 100%, $E$9)</f>
        <v>14.4305</v>
      </c>
      <c r="C301" s="14">
        <f>CHOOSE(CONTROL!$C$42, 14.4355, 14.4355) * CHOOSE(CONTROL!$C$21, $C$9, 100%, $E$9)</f>
        <v>14.435499999999999</v>
      </c>
      <c r="D301" s="14">
        <f>CHOOSE(CONTROL!$C$42, 14.5123, 14.5123) * CHOOSE(CONTROL!$C$21, $C$9, 100%, $E$9)</f>
        <v>14.5123</v>
      </c>
      <c r="E301" s="14">
        <f>CHOOSE(CONTROL!$C$42, 14.5465, 14.5465) * CHOOSE(CONTROL!$C$21, $C$9, 100%, $E$9)</f>
        <v>14.5465</v>
      </c>
      <c r="F301" s="14">
        <f>CHOOSE(CONTROL!$C$42, 14.4307, 14.4307)*CHOOSE(CONTROL!$C$21, $C$9, 100%, $E$9)</f>
        <v>14.4307</v>
      </c>
      <c r="G301" s="14">
        <f>CHOOSE(CONTROL!$C$42, 14.4469, 14.4469)*CHOOSE(CONTROL!$C$21, $C$9, 100%, $E$9)</f>
        <v>14.446899999999999</v>
      </c>
      <c r="H301" s="14">
        <f>CHOOSE(CONTROL!$C$42, 14.5356, 14.5356) * CHOOSE(CONTROL!$C$21, $C$9, 100%, $E$9)</f>
        <v>14.535600000000001</v>
      </c>
      <c r="I301" s="14">
        <f>CHOOSE(CONTROL!$C$42, 14.4937, 14.4937)* CHOOSE(CONTROL!$C$21, $C$9, 100%, $E$9)</f>
        <v>14.4937</v>
      </c>
      <c r="J301" s="14">
        <f>CHOOSE(CONTROL!$C$42, 14.4237, 14.4237)* CHOOSE(CONTROL!$C$21, $C$9, 100%, $E$9)</f>
        <v>14.4237</v>
      </c>
      <c r="K301" s="53">
        <f>CHOOSE(CONTROL!$C$42, 14.4898, 14.4898) * CHOOSE(CONTROL!$C$21, $C$9, 100%, $E$9)</f>
        <v>14.489800000000001</v>
      </c>
      <c r="L301" s="14">
        <f>CHOOSE(CONTROL!$C$42, 15.1226, 15.1226) * CHOOSE(CONTROL!$C$21, $C$9, 100%, $E$9)</f>
        <v>15.1226</v>
      </c>
      <c r="M301" s="14">
        <f>CHOOSE(CONTROL!$C$42, 14.1358, 14.1358) * CHOOSE(CONTROL!$C$21, $C$9, 100%, $E$9)</f>
        <v>14.1358</v>
      </c>
      <c r="N301" s="14">
        <f>CHOOSE(CONTROL!$C$42, 14.1517, 14.1517) * CHOOSE(CONTROL!$C$21, $C$9, 100%, $E$9)</f>
        <v>14.1517</v>
      </c>
      <c r="O301" s="14">
        <f>CHOOSE(CONTROL!$C$42, 14.2455, 14.2455) * CHOOSE(CONTROL!$C$21, $C$9, 100%, $E$9)</f>
        <v>14.2455</v>
      </c>
      <c r="P301" s="14">
        <f>CHOOSE(CONTROL!$C$42, 14.2036, 14.2036) * CHOOSE(CONTROL!$C$21, $C$9, 100%, $E$9)</f>
        <v>14.2036</v>
      </c>
      <c r="Q301" s="14">
        <f>CHOOSE(CONTROL!$C$42, 14.8402, 14.8402) * CHOOSE(CONTROL!$C$21, $C$9, 100%, $E$9)</f>
        <v>14.840199999999999</v>
      </c>
      <c r="R301" s="14">
        <f>CHOOSE(CONTROL!$C$42, 15.4643, 15.4643) * CHOOSE(CONTROL!$C$21, $C$9, 100%, $E$9)</f>
        <v>15.4643</v>
      </c>
      <c r="S301" s="14">
        <f>CHOOSE(CONTROL!$C$42, 13.8577, 13.8577) * CHOOSE(CONTROL!$C$21, $C$9, 100%, $E$9)</f>
        <v>13.857699999999999</v>
      </c>
      <c r="T3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7">
        <f>(1000*CHOOSE(CONTROL!$C$42, 695, 695)*CHOOSE(CONTROL!$C$42, 0.5599, 0.5599)*CHOOSE(CONTROL!$C$42, 31, 31))/1000000</f>
        <v>12.063045499999998</v>
      </c>
      <c r="V301" s="57">
        <f>(1000*CHOOSE(CONTROL!$C$42, 500, 500)*CHOOSE(CONTROL!$C$42, 0.275, 0.275)*CHOOSE(CONTROL!$C$42, 31, 31))/1000000</f>
        <v>4.2625000000000002</v>
      </c>
      <c r="W301" s="57">
        <f>(1000*CHOOSE(CONTROL!$C$42, 0.1146, 0.1146)*CHOOSE(CONTROL!$C$42, 121.5, 121.5)*CHOOSE(CONTROL!$C$42, 31, 31))/1000000</f>
        <v>0.43164089999999994</v>
      </c>
      <c r="X301" s="57">
        <f>(31*0.1790888*100000/1000000)+(31*0.2374*100000/1000000)</f>
        <v>1.2911152800000001</v>
      </c>
      <c r="Y301" s="57"/>
      <c r="Z301" s="14"/>
      <c r="AA301" s="56"/>
      <c r="AB301" s="50">
        <f>(B301*122.58+C301*297.941+D301*89.177+E301*40.302+F301*40+G301*160+H301*0+I301*100+J301*300)/(122.58+297.941+89.177+40.302+0+40+160+100+300)</f>
        <v>14.448214274434783</v>
      </c>
      <c r="AC301" s="45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14.196190647482016</v>
      </c>
    </row>
    <row r="302" spans="1:29" ht="15.75" x14ac:dyDescent="0.25">
      <c r="A302" s="34">
        <v>50072</v>
      </c>
      <c r="B302" s="14">
        <f>CHOOSE(CONTROL!$C$42, 14.6872, 14.6872) * CHOOSE(CONTROL!$C$21, $C$9, 100%, $E$9)</f>
        <v>14.687200000000001</v>
      </c>
      <c r="C302" s="14">
        <f>CHOOSE(CONTROL!$C$42, 14.6922, 14.6922) * CHOOSE(CONTROL!$C$21, $C$9, 100%, $E$9)</f>
        <v>14.6922</v>
      </c>
      <c r="D302" s="14">
        <f>CHOOSE(CONTROL!$C$42, 14.7691, 14.7691) * CHOOSE(CONTROL!$C$21, $C$9, 100%, $E$9)</f>
        <v>14.7691</v>
      </c>
      <c r="E302" s="14">
        <f>CHOOSE(CONTROL!$C$42, 14.8032, 14.8032) * CHOOSE(CONTROL!$C$21, $C$9, 100%, $E$9)</f>
        <v>14.8032</v>
      </c>
      <c r="F302" s="14">
        <f>CHOOSE(CONTROL!$C$42, 14.6874, 14.6874)*CHOOSE(CONTROL!$C$21, $C$9, 100%, $E$9)</f>
        <v>14.6874</v>
      </c>
      <c r="G302" s="14">
        <f>CHOOSE(CONTROL!$C$42, 14.7037, 14.7037)*CHOOSE(CONTROL!$C$21, $C$9, 100%, $E$9)</f>
        <v>14.7037</v>
      </c>
      <c r="H302" s="14">
        <f>CHOOSE(CONTROL!$C$42, 14.7924, 14.7924) * CHOOSE(CONTROL!$C$21, $C$9, 100%, $E$9)</f>
        <v>14.792400000000001</v>
      </c>
      <c r="I302" s="14">
        <f>CHOOSE(CONTROL!$C$42, 14.7512, 14.7512)* CHOOSE(CONTROL!$C$21, $C$9, 100%, $E$9)</f>
        <v>14.751200000000001</v>
      </c>
      <c r="J302" s="14">
        <f>CHOOSE(CONTROL!$C$42, 14.6804, 14.6804)* CHOOSE(CONTROL!$C$21, $C$9, 100%, $E$9)</f>
        <v>14.680400000000001</v>
      </c>
      <c r="K302" s="53">
        <f>CHOOSE(CONTROL!$C$42, 14.7473, 14.7473) * CHOOSE(CONTROL!$C$21, $C$9, 100%, $E$9)</f>
        <v>14.747299999999999</v>
      </c>
      <c r="L302" s="14">
        <f>CHOOSE(CONTROL!$C$42, 15.3794, 15.3794) * CHOOSE(CONTROL!$C$21, $C$9, 100%, $E$9)</f>
        <v>15.3794</v>
      </c>
      <c r="M302" s="14">
        <f>CHOOSE(CONTROL!$C$42, 14.3873, 14.3873) * CHOOSE(CONTROL!$C$21, $C$9, 100%, $E$9)</f>
        <v>14.3873</v>
      </c>
      <c r="N302" s="14">
        <f>CHOOSE(CONTROL!$C$42, 14.4032, 14.4032) * CHOOSE(CONTROL!$C$21, $C$9, 100%, $E$9)</f>
        <v>14.4032</v>
      </c>
      <c r="O302" s="14">
        <f>CHOOSE(CONTROL!$C$42, 14.497, 14.497) * CHOOSE(CONTROL!$C$21, $C$9, 100%, $E$9)</f>
        <v>14.497</v>
      </c>
      <c r="P302" s="14">
        <f>CHOOSE(CONTROL!$C$42, 14.4558, 14.4558) * CHOOSE(CONTROL!$C$21, $C$9, 100%, $E$9)</f>
        <v>14.4558</v>
      </c>
      <c r="Q302" s="14">
        <f>CHOOSE(CONTROL!$C$42, 15.0917, 15.0917) * CHOOSE(CONTROL!$C$21, $C$9, 100%, $E$9)</f>
        <v>15.091699999999999</v>
      </c>
      <c r="R302" s="14">
        <f>CHOOSE(CONTROL!$C$42, 15.7164, 15.7164) * CHOOSE(CONTROL!$C$21, $C$9, 100%, $E$9)</f>
        <v>15.7164</v>
      </c>
      <c r="S302" s="14">
        <f>CHOOSE(CONTROL!$C$42, 14.1044, 14.1044) * CHOOSE(CONTROL!$C$21, $C$9, 100%, $E$9)</f>
        <v>14.1044</v>
      </c>
      <c r="T3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7">
        <f>(1000*CHOOSE(CONTROL!$C$42, 695, 695)*CHOOSE(CONTROL!$C$42, 0.5599, 0.5599)*CHOOSE(CONTROL!$C$42, 28, 28))/1000000</f>
        <v>10.895653999999999</v>
      </c>
      <c r="V302" s="57">
        <f>(1000*CHOOSE(CONTROL!$C$42, 500, 500)*CHOOSE(CONTROL!$C$42, 0.275, 0.275)*CHOOSE(CONTROL!$C$42, 28, 28))/1000000</f>
        <v>3.85</v>
      </c>
      <c r="W302" s="57">
        <f>(1000*CHOOSE(CONTROL!$C$42, 0.1146, 0.1146)*CHOOSE(CONTROL!$C$42, 121.5, 121.5)*CHOOSE(CONTROL!$C$42, 28, 28))/1000000</f>
        <v>0.38986920000000003</v>
      </c>
      <c r="X302" s="57">
        <f>(28*0.1790888*100000/1000000)+(28*0.2374*100000/1000000)</f>
        <v>1.16616864</v>
      </c>
      <c r="Y302" s="57"/>
      <c r="Z302" s="14"/>
      <c r="AA302" s="56"/>
      <c r="AB302" s="50">
        <f>(B302*122.58+C302*297.941+D302*89.177+E302*40.302+F302*40+G302*160+H302*0+I302*100+J302*300)/(122.58+297.941+89.177+40.302+0+40+160+100+300)</f>
        <v>14.705005507217392</v>
      </c>
      <c r="AC302" s="45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14.447791366906475</v>
      </c>
    </row>
    <row r="303" spans="1:29" ht="15.75" x14ac:dyDescent="0.25">
      <c r="A303" s="34">
        <v>50100</v>
      </c>
      <c r="B303" s="14">
        <f>CHOOSE(CONTROL!$C$42, 14.2705, 14.2705) * CHOOSE(CONTROL!$C$21, $C$9, 100%, $E$9)</f>
        <v>14.2705</v>
      </c>
      <c r="C303" s="14">
        <f>CHOOSE(CONTROL!$C$42, 14.2755, 14.2755) * CHOOSE(CONTROL!$C$21, $C$9, 100%, $E$9)</f>
        <v>14.275499999999999</v>
      </c>
      <c r="D303" s="14">
        <f>CHOOSE(CONTROL!$C$42, 14.3524, 14.3524) * CHOOSE(CONTROL!$C$21, $C$9, 100%, $E$9)</f>
        <v>14.352399999999999</v>
      </c>
      <c r="E303" s="14">
        <f>CHOOSE(CONTROL!$C$42, 14.3865, 14.3865) * CHOOSE(CONTROL!$C$21, $C$9, 100%, $E$9)</f>
        <v>14.3865</v>
      </c>
      <c r="F303" s="14">
        <f>CHOOSE(CONTROL!$C$42, 14.2703, 14.2703)*CHOOSE(CONTROL!$C$21, $C$9, 100%, $E$9)</f>
        <v>14.270300000000001</v>
      </c>
      <c r="G303" s="14">
        <f>CHOOSE(CONTROL!$C$42, 14.2864, 14.2864)*CHOOSE(CONTROL!$C$21, $C$9, 100%, $E$9)</f>
        <v>14.2864</v>
      </c>
      <c r="H303" s="14">
        <f>CHOOSE(CONTROL!$C$42, 14.3757, 14.3757) * CHOOSE(CONTROL!$C$21, $C$9, 100%, $E$9)</f>
        <v>14.3757</v>
      </c>
      <c r="I303" s="14">
        <f>CHOOSE(CONTROL!$C$42, 14.3332, 14.3332)* CHOOSE(CONTROL!$C$21, $C$9, 100%, $E$9)</f>
        <v>14.3332</v>
      </c>
      <c r="J303" s="14">
        <f>CHOOSE(CONTROL!$C$42, 14.2633, 14.2633)* CHOOSE(CONTROL!$C$21, $C$9, 100%, $E$9)</f>
        <v>14.263299999999999</v>
      </c>
      <c r="K303" s="53">
        <f>CHOOSE(CONTROL!$C$42, 14.3293, 14.3293) * CHOOSE(CONTROL!$C$21, $C$9, 100%, $E$9)</f>
        <v>14.3293</v>
      </c>
      <c r="L303" s="14">
        <f>CHOOSE(CONTROL!$C$42, 14.9627, 14.9627) * CHOOSE(CONTROL!$C$21, $C$9, 100%, $E$9)</f>
        <v>14.9627</v>
      </c>
      <c r="M303" s="14">
        <f>CHOOSE(CONTROL!$C$42, 13.9787, 13.9787) * CHOOSE(CONTROL!$C$21, $C$9, 100%, $E$9)</f>
        <v>13.9787</v>
      </c>
      <c r="N303" s="14">
        <f>CHOOSE(CONTROL!$C$42, 13.9945, 13.9945) * CHOOSE(CONTROL!$C$21, $C$9, 100%, $E$9)</f>
        <v>13.9945</v>
      </c>
      <c r="O303" s="14">
        <f>CHOOSE(CONTROL!$C$42, 14.0888, 14.0888) * CHOOSE(CONTROL!$C$21, $C$9, 100%, $E$9)</f>
        <v>14.088800000000001</v>
      </c>
      <c r="P303" s="14">
        <f>CHOOSE(CONTROL!$C$42, 14.0464, 14.0464) * CHOOSE(CONTROL!$C$21, $C$9, 100%, $E$9)</f>
        <v>14.0464</v>
      </c>
      <c r="Q303" s="14">
        <f>CHOOSE(CONTROL!$C$42, 14.6835, 14.6835) * CHOOSE(CONTROL!$C$21, $C$9, 100%, $E$9)</f>
        <v>14.6835</v>
      </c>
      <c r="R303" s="14">
        <f>CHOOSE(CONTROL!$C$42, 15.3072, 15.3072) * CHOOSE(CONTROL!$C$21, $C$9, 100%, $E$9)</f>
        <v>15.3072</v>
      </c>
      <c r="S303" s="14">
        <f>CHOOSE(CONTROL!$C$42, 13.704, 13.704) * CHOOSE(CONTROL!$C$21, $C$9, 100%, $E$9)</f>
        <v>13.704000000000001</v>
      </c>
      <c r="T3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7">
        <f>(1000*CHOOSE(CONTROL!$C$42, 695, 695)*CHOOSE(CONTROL!$C$42, 0.5599, 0.5599)*CHOOSE(CONTROL!$C$42, 31, 31))/1000000</f>
        <v>12.063045499999998</v>
      </c>
      <c r="V303" s="57">
        <f>(1000*CHOOSE(CONTROL!$C$42, 500, 500)*CHOOSE(CONTROL!$C$42, 0.275, 0.275)*CHOOSE(CONTROL!$C$42, 31, 31))/1000000</f>
        <v>4.2625000000000002</v>
      </c>
      <c r="W303" s="57">
        <f>(1000*CHOOSE(CONTROL!$C$42, 0.1146, 0.1146)*CHOOSE(CONTROL!$C$42, 121.5, 121.5)*CHOOSE(CONTROL!$C$42, 31, 31))/1000000</f>
        <v>0.43164089999999994</v>
      </c>
      <c r="X303" s="57">
        <f>(31*0.1790888*100000/1000000)+(31*0.2374*100000/1000000)</f>
        <v>1.2911152800000001</v>
      </c>
      <c r="Y303" s="57"/>
      <c r="Z303" s="14"/>
      <c r="AA303" s="56"/>
      <c r="AB303" s="50">
        <f>(B303*122.58+C303*297.941+D303*89.177+E303*40.302+F303*40+G303*160+H303*0+I303*100+J303*300)/(122.58+297.941+89.177+40.302+0+40+160+100+300)</f>
        <v>14.287990724608695</v>
      </c>
      <c r="AC303" s="45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14.03925179856115</v>
      </c>
    </row>
    <row r="304" spans="1:29" ht="15.75" x14ac:dyDescent="0.25">
      <c r="A304" s="34">
        <v>50131</v>
      </c>
      <c r="B304" s="14">
        <f>CHOOSE(CONTROL!$C$42, 14.229, 14.229) * CHOOSE(CONTROL!$C$21, $C$9, 100%, $E$9)</f>
        <v>14.228999999999999</v>
      </c>
      <c r="C304" s="14">
        <f>CHOOSE(CONTROL!$C$42, 14.2335, 14.2335) * CHOOSE(CONTROL!$C$21, $C$9, 100%, $E$9)</f>
        <v>14.233499999999999</v>
      </c>
      <c r="D304" s="14">
        <f>CHOOSE(CONTROL!$C$42, 14.4702, 14.4702) * CHOOSE(CONTROL!$C$21, $C$9, 100%, $E$9)</f>
        <v>14.4702</v>
      </c>
      <c r="E304" s="14">
        <f>CHOOSE(CONTROL!$C$42, 14.5023, 14.5023) * CHOOSE(CONTROL!$C$21, $C$9, 100%, $E$9)</f>
        <v>14.5023</v>
      </c>
      <c r="F304" s="14">
        <f>CHOOSE(CONTROL!$C$42, 14.227, 14.227)*CHOOSE(CONTROL!$C$21, $C$9, 100%, $E$9)</f>
        <v>14.227</v>
      </c>
      <c r="G304" s="14">
        <f>CHOOSE(CONTROL!$C$42, 14.2428, 14.2428)*CHOOSE(CONTROL!$C$21, $C$9, 100%, $E$9)</f>
        <v>14.242800000000001</v>
      </c>
      <c r="H304" s="14">
        <f>CHOOSE(CONTROL!$C$42, 14.4921, 14.4921) * CHOOSE(CONTROL!$C$21, $C$9, 100%, $E$9)</f>
        <v>14.492100000000001</v>
      </c>
      <c r="I304" s="14">
        <f>CHOOSE(CONTROL!$C$42, 14.2909, 14.2909)* CHOOSE(CONTROL!$C$21, $C$9, 100%, $E$9)</f>
        <v>14.290900000000001</v>
      </c>
      <c r="J304" s="14">
        <f>CHOOSE(CONTROL!$C$42, 14.22, 14.22)* CHOOSE(CONTROL!$C$21, $C$9, 100%, $E$9)</f>
        <v>14.22</v>
      </c>
      <c r="K304" s="53">
        <f>CHOOSE(CONTROL!$C$42, 14.287, 14.287) * CHOOSE(CONTROL!$C$21, $C$9, 100%, $E$9)</f>
        <v>14.287000000000001</v>
      </c>
      <c r="L304" s="14">
        <f>CHOOSE(CONTROL!$C$42, 15.0791, 15.0791) * CHOOSE(CONTROL!$C$21, $C$9, 100%, $E$9)</f>
        <v>15.0791</v>
      </c>
      <c r="M304" s="14">
        <f>CHOOSE(CONTROL!$C$42, 13.9363, 13.9363) * CHOOSE(CONTROL!$C$21, $C$9, 100%, $E$9)</f>
        <v>13.936299999999999</v>
      </c>
      <c r="N304" s="14">
        <f>CHOOSE(CONTROL!$C$42, 13.9518, 13.9518) * CHOOSE(CONTROL!$C$21, $C$9, 100%, $E$9)</f>
        <v>13.9518</v>
      </c>
      <c r="O304" s="14">
        <f>CHOOSE(CONTROL!$C$42, 14.2029, 14.2029) * CHOOSE(CONTROL!$C$21, $C$9, 100%, $E$9)</f>
        <v>14.2029</v>
      </c>
      <c r="P304" s="14">
        <f>CHOOSE(CONTROL!$C$42, 14.0049, 14.0049) * CHOOSE(CONTROL!$C$21, $C$9, 100%, $E$9)</f>
        <v>14.004899999999999</v>
      </c>
      <c r="Q304" s="14">
        <f>CHOOSE(CONTROL!$C$42, 14.7976, 14.7976) * CHOOSE(CONTROL!$C$21, $C$9, 100%, $E$9)</f>
        <v>14.797599999999999</v>
      </c>
      <c r="R304" s="14">
        <f>CHOOSE(CONTROL!$C$42, 15.4216, 15.4216) * CHOOSE(CONTROL!$C$21, $C$9, 100%, $E$9)</f>
        <v>15.4216</v>
      </c>
      <c r="S304" s="14">
        <f>CHOOSE(CONTROL!$C$42, 13.6634, 13.6634) * CHOOSE(CONTROL!$C$21, $C$9, 100%, $E$9)</f>
        <v>13.663399999999999</v>
      </c>
      <c r="T3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7">
        <f>(1000*CHOOSE(CONTROL!$C$42, 695, 695)*CHOOSE(CONTROL!$C$42, 0.5599, 0.5599)*CHOOSE(CONTROL!$C$42, 30, 30))/1000000</f>
        <v>11.673914999999997</v>
      </c>
      <c r="V304" s="57">
        <f>(1000*CHOOSE(CONTROL!$C$42, 500, 500)*CHOOSE(CONTROL!$C$42, 0.275, 0.275)*CHOOSE(CONTROL!$C$42, 30, 30))/1000000</f>
        <v>4.125</v>
      </c>
      <c r="W304" s="57">
        <f>(1000*CHOOSE(CONTROL!$C$42, 0.1146, 0.1146)*CHOOSE(CONTROL!$C$42, 121.5, 121.5)*CHOOSE(CONTROL!$C$42, 30, 30))/1000000</f>
        <v>0.417717</v>
      </c>
      <c r="X304" s="57">
        <f>(30*0.1790888*245000/1000000)+(30*0.2374*100000/1000000)</f>
        <v>2.0285026799999999</v>
      </c>
      <c r="Y304" s="57"/>
      <c r="Z304" s="14"/>
      <c r="AA304" s="56"/>
      <c r="AB304" s="50">
        <f>(B304*141.293+C304*267.993+D304*115.016+E304*89.698+F304*40+G304*185+H304*0+I304*100+J304*300)/(141.293+267.993+115.016+89.698+0+40+185+100+300)</f>
        <v>14.276962301129943</v>
      </c>
      <c r="AC304" s="45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14.024540287769785</v>
      </c>
    </row>
    <row r="305" spans="1:29" ht="15.75" x14ac:dyDescent="0.25">
      <c r="A305" s="34">
        <v>50161</v>
      </c>
      <c r="B305" s="14">
        <f>CHOOSE(CONTROL!$C$42, 14.3559, 14.3559) * CHOOSE(CONTROL!$C$21, $C$9, 100%, $E$9)</f>
        <v>14.3559</v>
      </c>
      <c r="C305" s="14">
        <f>CHOOSE(CONTROL!$C$42, 14.3639, 14.3639) * CHOOSE(CONTROL!$C$21, $C$9, 100%, $E$9)</f>
        <v>14.363899999999999</v>
      </c>
      <c r="D305" s="14">
        <f>CHOOSE(CONTROL!$C$42, 14.5975, 14.5975) * CHOOSE(CONTROL!$C$21, $C$9, 100%, $E$9)</f>
        <v>14.5975</v>
      </c>
      <c r="E305" s="14">
        <f>CHOOSE(CONTROL!$C$42, 14.629, 14.629) * CHOOSE(CONTROL!$C$21, $C$9, 100%, $E$9)</f>
        <v>14.629</v>
      </c>
      <c r="F305" s="14">
        <f>CHOOSE(CONTROL!$C$42, 14.3527, 14.3527)*CHOOSE(CONTROL!$C$21, $C$9, 100%, $E$9)</f>
        <v>14.3527</v>
      </c>
      <c r="G305" s="14">
        <f>CHOOSE(CONTROL!$C$42, 14.369, 14.369)*CHOOSE(CONTROL!$C$21, $C$9, 100%, $E$9)</f>
        <v>14.369</v>
      </c>
      <c r="H305" s="14">
        <f>CHOOSE(CONTROL!$C$42, 14.6176, 14.6176) * CHOOSE(CONTROL!$C$21, $C$9, 100%, $E$9)</f>
        <v>14.617599999999999</v>
      </c>
      <c r="I305" s="14">
        <f>CHOOSE(CONTROL!$C$42, 14.4167, 14.4167)* CHOOSE(CONTROL!$C$21, $C$9, 100%, $E$9)</f>
        <v>14.416700000000001</v>
      </c>
      <c r="J305" s="14">
        <f>CHOOSE(CONTROL!$C$42, 14.3457, 14.3457)* CHOOSE(CONTROL!$C$21, $C$9, 100%, $E$9)</f>
        <v>14.345700000000001</v>
      </c>
      <c r="K305" s="53">
        <f>CHOOSE(CONTROL!$C$42, 14.4128, 14.4128) * CHOOSE(CONTROL!$C$21, $C$9, 100%, $E$9)</f>
        <v>14.412800000000001</v>
      </c>
      <c r="L305" s="14">
        <f>CHOOSE(CONTROL!$C$42, 15.2046, 15.2046) * CHOOSE(CONTROL!$C$21, $C$9, 100%, $E$9)</f>
        <v>15.204599999999999</v>
      </c>
      <c r="M305" s="14">
        <f>CHOOSE(CONTROL!$C$42, 14.0594, 14.0594) * CHOOSE(CONTROL!$C$21, $C$9, 100%, $E$9)</f>
        <v>14.0594</v>
      </c>
      <c r="N305" s="14">
        <f>CHOOSE(CONTROL!$C$42, 14.0754, 14.0754) * CHOOSE(CONTROL!$C$21, $C$9, 100%, $E$9)</f>
        <v>14.0754</v>
      </c>
      <c r="O305" s="14">
        <f>CHOOSE(CONTROL!$C$42, 14.3258, 14.3258) * CHOOSE(CONTROL!$C$21, $C$9, 100%, $E$9)</f>
        <v>14.325799999999999</v>
      </c>
      <c r="P305" s="14">
        <f>CHOOSE(CONTROL!$C$42, 14.1282, 14.1282) * CHOOSE(CONTROL!$C$21, $C$9, 100%, $E$9)</f>
        <v>14.1282</v>
      </c>
      <c r="Q305" s="14">
        <f>CHOOSE(CONTROL!$C$42, 14.9205, 14.9205) * CHOOSE(CONTROL!$C$21, $C$9, 100%, $E$9)</f>
        <v>14.920500000000001</v>
      </c>
      <c r="R305" s="14">
        <f>CHOOSE(CONTROL!$C$42, 15.5448, 15.5448) * CHOOSE(CONTROL!$C$21, $C$9, 100%, $E$9)</f>
        <v>15.5448</v>
      </c>
      <c r="S305" s="14">
        <f>CHOOSE(CONTROL!$C$42, 13.7839, 13.7839) * CHOOSE(CONTROL!$C$21, $C$9, 100%, $E$9)</f>
        <v>13.783899999999999</v>
      </c>
      <c r="T3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7">
        <f>(1000*CHOOSE(CONTROL!$C$42, 695, 695)*CHOOSE(CONTROL!$C$42, 0.5599, 0.5599)*CHOOSE(CONTROL!$C$42, 31, 31))/1000000</f>
        <v>12.063045499999998</v>
      </c>
      <c r="V305" s="57">
        <f>(1000*CHOOSE(CONTROL!$C$42, 500, 500)*CHOOSE(CONTROL!$C$42, 0.275, 0.275)*CHOOSE(CONTROL!$C$42, 31, 31))/1000000</f>
        <v>4.2625000000000002</v>
      </c>
      <c r="W305" s="57">
        <f>(1000*CHOOSE(CONTROL!$C$42, 0.1146, 0.1146)*CHOOSE(CONTROL!$C$42, 121.5, 121.5)*CHOOSE(CONTROL!$C$42, 31, 31))/1000000</f>
        <v>0.43164089999999994</v>
      </c>
      <c r="X305" s="57">
        <f>(31*0.1790888*245000/1000000)+(31*0.2374*100000/1000000)</f>
        <v>2.0961194359999999</v>
      </c>
      <c r="Y305" s="57"/>
      <c r="Z305" s="14"/>
      <c r="AA305" s="56"/>
      <c r="AB305" s="50">
        <f>(B305*194.205+C305*267.466+D305*133.845+E305*53.484+F305*40+G305*185+H305*0+I305*100+J305*300)/(194.205+267.466+133.845+53.484+0+40+185+100+300)</f>
        <v>14.398599105494505</v>
      </c>
      <c r="AC305" s="45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14.147728057553955</v>
      </c>
    </row>
    <row r="306" spans="1:29" ht="15.75" x14ac:dyDescent="0.25">
      <c r="A306" s="34">
        <v>50192</v>
      </c>
      <c r="B306" s="14">
        <f>CHOOSE(CONTROL!$C$42, 14.7628, 14.7628) * CHOOSE(CONTROL!$C$21, $C$9, 100%, $E$9)</f>
        <v>14.7628</v>
      </c>
      <c r="C306" s="14">
        <f>CHOOSE(CONTROL!$C$42, 14.7708, 14.7708) * CHOOSE(CONTROL!$C$21, $C$9, 100%, $E$9)</f>
        <v>14.770799999999999</v>
      </c>
      <c r="D306" s="14">
        <f>CHOOSE(CONTROL!$C$42, 15.0044, 15.0044) * CHOOSE(CONTROL!$C$21, $C$9, 100%, $E$9)</f>
        <v>15.0044</v>
      </c>
      <c r="E306" s="14">
        <f>CHOOSE(CONTROL!$C$42, 15.0359, 15.0359) * CHOOSE(CONTROL!$C$21, $C$9, 100%, $E$9)</f>
        <v>15.0359</v>
      </c>
      <c r="F306" s="14">
        <f>CHOOSE(CONTROL!$C$42, 14.76, 14.76)*CHOOSE(CONTROL!$C$21, $C$9, 100%, $E$9)</f>
        <v>14.76</v>
      </c>
      <c r="G306" s="14">
        <f>CHOOSE(CONTROL!$C$42, 14.7765, 14.7765)*CHOOSE(CONTROL!$C$21, $C$9, 100%, $E$9)</f>
        <v>14.7765</v>
      </c>
      <c r="H306" s="14">
        <f>CHOOSE(CONTROL!$C$42, 15.0245, 15.0245) * CHOOSE(CONTROL!$C$21, $C$9, 100%, $E$9)</f>
        <v>15.0245</v>
      </c>
      <c r="I306" s="14">
        <f>CHOOSE(CONTROL!$C$42, 14.8249, 14.8249)* CHOOSE(CONTROL!$C$21, $C$9, 100%, $E$9)</f>
        <v>14.8249</v>
      </c>
      <c r="J306" s="14">
        <f>CHOOSE(CONTROL!$C$42, 14.753, 14.753)* CHOOSE(CONTROL!$C$21, $C$9, 100%, $E$9)</f>
        <v>14.753</v>
      </c>
      <c r="K306" s="53">
        <f>CHOOSE(CONTROL!$C$42, 14.821, 14.821) * CHOOSE(CONTROL!$C$21, $C$9, 100%, $E$9)</f>
        <v>14.821</v>
      </c>
      <c r="L306" s="14">
        <f>CHOOSE(CONTROL!$C$42, 15.6115, 15.6115) * CHOOSE(CONTROL!$C$21, $C$9, 100%, $E$9)</f>
        <v>15.611499999999999</v>
      </c>
      <c r="M306" s="14">
        <f>CHOOSE(CONTROL!$C$42, 14.4584, 14.4584) * CHOOSE(CONTROL!$C$21, $C$9, 100%, $E$9)</f>
        <v>14.458399999999999</v>
      </c>
      <c r="N306" s="14">
        <f>CHOOSE(CONTROL!$C$42, 14.4746, 14.4746) * CHOOSE(CONTROL!$C$21, $C$9, 100%, $E$9)</f>
        <v>14.474600000000001</v>
      </c>
      <c r="O306" s="14">
        <f>CHOOSE(CONTROL!$C$42, 14.7243, 14.7243) * CHOOSE(CONTROL!$C$21, $C$9, 100%, $E$9)</f>
        <v>14.724299999999999</v>
      </c>
      <c r="P306" s="14">
        <f>CHOOSE(CONTROL!$C$42, 14.528, 14.528) * CHOOSE(CONTROL!$C$21, $C$9, 100%, $E$9)</f>
        <v>14.528</v>
      </c>
      <c r="Q306" s="14">
        <f>CHOOSE(CONTROL!$C$42, 15.319, 15.319) * CHOOSE(CONTROL!$C$21, $C$9, 100%, $E$9)</f>
        <v>15.319000000000001</v>
      </c>
      <c r="R306" s="14">
        <f>CHOOSE(CONTROL!$C$42, 15.9443, 15.9443) * CHOOSE(CONTROL!$C$21, $C$9, 100%, $E$9)</f>
        <v>15.9443</v>
      </c>
      <c r="S306" s="14">
        <f>CHOOSE(CONTROL!$C$42, 14.1749, 14.1749) * CHOOSE(CONTROL!$C$21, $C$9, 100%, $E$9)</f>
        <v>14.174899999999999</v>
      </c>
      <c r="T3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7">
        <f>(1000*CHOOSE(CONTROL!$C$42, 695, 695)*CHOOSE(CONTROL!$C$42, 0.5599, 0.5599)*CHOOSE(CONTROL!$C$42, 30, 30))/1000000</f>
        <v>11.673914999999997</v>
      </c>
      <c r="V306" s="57">
        <f>(1000*CHOOSE(CONTROL!$C$42, 500, 500)*CHOOSE(CONTROL!$C$42, 0.275, 0.275)*CHOOSE(CONTROL!$C$42, 30, 30))/1000000</f>
        <v>4.125</v>
      </c>
      <c r="W306" s="57">
        <f>(1000*CHOOSE(CONTROL!$C$42, 0.1146, 0.1146)*CHOOSE(CONTROL!$C$42, 121.5, 121.5)*CHOOSE(CONTROL!$C$42, 30, 30))/1000000</f>
        <v>0.417717</v>
      </c>
      <c r="X306" s="57">
        <f>(30*0.1790888*245000/1000000)+(30*0.2374*100000/1000000)</f>
        <v>2.0285026799999999</v>
      </c>
      <c r="Y306" s="57"/>
      <c r="Z306" s="14"/>
      <c r="AA306" s="56"/>
      <c r="AB306" s="50">
        <f>(B306*194.205+C306*267.466+D306*133.845+E306*53.484+F306*40+G306*185+H306*0+I306*100+J306*300)/(194.205+267.466+133.845+53.484+0+40+185+100+300)</f>
        <v>14.805795023861851</v>
      </c>
      <c r="AC306" s="45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14.546748920863307</v>
      </c>
    </row>
    <row r="307" spans="1:29" ht="15.75" x14ac:dyDescent="0.25">
      <c r="A307" s="34">
        <v>50222</v>
      </c>
      <c r="B307" s="14">
        <f>CHOOSE(CONTROL!$C$42, 14.4798, 14.4798) * CHOOSE(CONTROL!$C$21, $C$9, 100%, $E$9)</f>
        <v>14.479799999999999</v>
      </c>
      <c r="C307" s="14">
        <f>CHOOSE(CONTROL!$C$42, 14.4878, 14.4878) * CHOOSE(CONTROL!$C$21, $C$9, 100%, $E$9)</f>
        <v>14.4878</v>
      </c>
      <c r="D307" s="14">
        <f>CHOOSE(CONTROL!$C$42, 14.7214, 14.7214) * CHOOSE(CONTROL!$C$21, $C$9, 100%, $E$9)</f>
        <v>14.721399999999999</v>
      </c>
      <c r="E307" s="14">
        <f>CHOOSE(CONTROL!$C$42, 14.7529, 14.7529) * CHOOSE(CONTROL!$C$21, $C$9, 100%, $E$9)</f>
        <v>14.7529</v>
      </c>
      <c r="F307" s="14">
        <f>CHOOSE(CONTROL!$C$42, 14.4776, 14.4776)*CHOOSE(CONTROL!$C$21, $C$9, 100%, $E$9)</f>
        <v>14.477600000000001</v>
      </c>
      <c r="G307" s="14">
        <f>CHOOSE(CONTROL!$C$42, 14.4942, 14.4942)*CHOOSE(CONTROL!$C$21, $C$9, 100%, $E$9)</f>
        <v>14.494199999999999</v>
      </c>
      <c r="H307" s="14">
        <f>CHOOSE(CONTROL!$C$42, 14.7415, 14.7415) * CHOOSE(CONTROL!$C$21, $C$9, 100%, $E$9)</f>
        <v>14.7415</v>
      </c>
      <c r="I307" s="14">
        <f>CHOOSE(CONTROL!$C$42, 14.541, 14.541)* CHOOSE(CONTROL!$C$21, $C$9, 100%, $E$9)</f>
        <v>14.541</v>
      </c>
      <c r="J307" s="14">
        <f>CHOOSE(CONTROL!$C$42, 14.4706, 14.4706)* CHOOSE(CONTROL!$C$21, $C$9, 100%, $E$9)</f>
        <v>14.470599999999999</v>
      </c>
      <c r="K307" s="53">
        <f>CHOOSE(CONTROL!$C$42, 14.5371, 14.5371) * CHOOSE(CONTROL!$C$21, $C$9, 100%, $E$9)</f>
        <v>14.537100000000001</v>
      </c>
      <c r="L307" s="14">
        <f>CHOOSE(CONTROL!$C$42, 15.3285, 15.3285) * CHOOSE(CONTROL!$C$21, $C$9, 100%, $E$9)</f>
        <v>15.3285</v>
      </c>
      <c r="M307" s="14">
        <f>CHOOSE(CONTROL!$C$42, 14.1818, 14.1818) * CHOOSE(CONTROL!$C$21, $C$9, 100%, $E$9)</f>
        <v>14.181800000000001</v>
      </c>
      <c r="N307" s="14">
        <f>CHOOSE(CONTROL!$C$42, 14.198, 14.198) * CHOOSE(CONTROL!$C$21, $C$9, 100%, $E$9)</f>
        <v>14.198</v>
      </c>
      <c r="O307" s="14">
        <f>CHOOSE(CONTROL!$C$42, 14.4472, 14.4472) * CHOOSE(CONTROL!$C$21, $C$9, 100%, $E$9)</f>
        <v>14.4472</v>
      </c>
      <c r="P307" s="14">
        <f>CHOOSE(CONTROL!$C$42, 14.2499, 14.2499) * CHOOSE(CONTROL!$C$21, $C$9, 100%, $E$9)</f>
        <v>14.2499</v>
      </c>
      <c r="Q307" s="14">
        <f>CHOOSE(CONTROL!$C$42, 15.0419, 15.0419) * CHOOSE(CONTROL!$C$21, $C$9, 100%, $E$9)</f>
        <v>15.0419</v>
      </c>
      <c r="R307" s="14">
        <f>CHOOSE(CONTROL!$C$42, 15.6665, 15.6665) * CHOOSE(CONTROL!$C$21, $C$9, 100%, $E$9)</f>
        <v>15.666499999999999</v>
      </c>
      <c r="S307" s="14">
        <f>CHOOSE(CONTROL!$C$42, 13.903, 13.903) * CHOOSE(CONTROL!$C$21, $C$9, 100%, $E$9)</f>
        <v>13.903</v>
      </c>
      <c r="T3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7">
        <f>(1000*CHOOSE(CONTROL!$C$42, 695, 695)*CHOOSE(CONTROL!$C$42, 0.5599, 0.5599)*CHOOSE(CONTROL!$C$42, 31, 31))/1000000</f>
        <v>12.063045499999998</v>
      </c>
      <c r="V307" s="57">
        <f>(1000*CHOOSE(CONTROL!$C$42, 500, 500)*CHOOSE(CONTROL!$C$42, 0.275, 0.275)*CHOOSE(CONTROL!$C$42, 31, 31))/1000000</f>
        <v>4.2625000000000002</v>
      </c>
      <c r="W307" s="57">
        <f>(1000*CHOOSE(CONTROL!$C$42, 0.1146, 0.1146)*CHOOSE(CONTROL!$C$42, 121.5, 121.5)*CHOOSE(CONTROL!$C$42, 31, 31))/1000000</f>
        <v>0.43164089999999994</v>
      </c>
      <c r="X307" s="57">
        <f>(31*0.1790888*245000/1000000)+(31*0.2374*100000/1000000)</f>
        <v>2.0961194359999999</v>
      </c>
      <c r="Y307" s="57"/>
      <c r="Z307" s="14"/>
      <c r="AA307" s="56"/>
      <c r="AB307" s="50">
        <f>(B307*194.205+C307*267.466+D307*133.845+E307*53.484+F307*40+G307*185+H307*0+I307*100+J307*300)/(194.205+267.466+133.845+53.484+0+40+185+100+300)</f>
        <v>14.522986154160124</v>
      </c>
      <c r="AC307" s="45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14.269792805755396</v>
      </c>
    </row>
    <row r="308" spans="1:29" ht="15.75" x14ac:dyDescent="0.25">
      <c r="A308" s="34">
        <v>50253</v>
      </c>
      <c r="B308" s="14">
        <f>CHOOSE(CONTROL!$C$42, 13.7652, 13.7652) * CHOOSE(CONTROL!$C$21, $C$9, 100%, $E$9)</f>
        <v>13.7652</v>
      </c>
      <c r="C308" s="14">
        <f>CHOOSE(CONTROL!$C$42, 13.7732, 13.7732) * CHOOSE(CONTROL!$C$21, $C$9, 100%, $E$9)</f>
        <v>13.773199999999999</v>
      </c>
      <c r="D308" s="14">
        <f>CHOOSE(CONTROL!$C$42, 14.0068, 14.0068) * CHOOSE(CONTROL!$C$21, $C$9, 100%, $E$9)</f>
        <v>14.0068</v>
      </c>
      <c r="E308" s="14">
        <f>CHOOSE(CONTROL!$C$42, 14.0383, 14.0383) * CHOOSE(CONTROL!$C$21, $C$9, 100%, $E$9)</f>
        <v>14.0383</v>
      </c>
      <c r="F308" s="14">
        <f>CHOOSE(CONTROL!$C$42, 13.7631, 13.7631)*CHOOSE(CONTROL!$C$21, $C$9, 100%, $E$9)</f>
        <v>13.7631</v>
      </c>
      <c r="G308" s="14">
        <f>CHOOSE(CONTROL!$C$42, 13.7798, 13.7798)*CHOOSE(CONTROL!$C$21, $C$9, 100%, $E$9)</f>
        <v>13.7798</v>
      </c>
      <c r="H308" s="14">
        <f>CHOOSE(CONTROL!$C$42, 14.0269, 14.0269) * CHOOSE(CONTROL!$C$21, $C$9, 100%, $E$9)</f>
        <v>14.026899999999999</v>
      </c>
      <c r="I308" s="14">
        <f>CHOOSE(CONTROL!$C$42, 13.8242, 13.8242)* CHOOSE(CONTROL!$C$21, $C$9, 100%, $E$9)</f>
        <v>13.824199999999999</v>
      </c>
      <c r="J308" s="14">
        <f>CHOOSE(CONTROL!$C$42, 13.7561, 13.7561)* CHOOSE(CONTROL!$C$21, $C$9, 100%, $E$9)</f>
        <v>13.7561</v>
      </c>
      <c r="K308" s="53">
        <f>CHOOSE(CONTROL!$C$42, 13.8203, 13.8203) * CHOOSE(CONTROL!$C$21, $C$9, 100%, $E$9)</f>
        <v>13.8203</v>
      </c>
      <c r="L308" s="14">
        <f>CHOOSE(CONTROL!$C$42, 14.6139, 14.6139) * CHOOSE(CONTROL!$C$21, $C$9, 100%, $E$9)</f>
        <v>14.613899999999999</v>
      </c>
      <c r="M308" s="14">
        <f>CHOOSE(CONTROL!$C$42, 13.482, 13.482) * CHOOSE(CONTROL!$C$21, $C$9, 100%, $E$9)</f>
        <v>13.481999999999999</v>
      </c>
      <c r="N308" s="14">
        <f>CHOOSE(CONTROL!$C$42, 13.4983, 13.4983) * CHOOSE(CONTROL!$C$21, $C$9, 100%, $E$9)</f>
        <v>13.4983</v>
      </c>
      <c r="O308" s="14">
        <f>CHOOSE(CONTROL!$C$42, 13.7472, 13.7472) * CHOOSE(CONTROL!$C$21, $C$9, 100%, $E$9)</f>
        <v>13.747199999999999</v>
      </c>
      <c r="P308" s="14">
        <f>CHOOSE(CONTROL!$C$42, 13.5478, 13.5478) * CHOOSE(CONTROL!$C$21, $C$9, 100%, $E$9)</f>
        <v>13.547800000000001</v>
      </c>
      <c r="Q308" s="14">
        <f>CHOOSE(CONTROL!$C$42, 14.3419, 14.3419) * CHOOSE(CONTROL!$C$21, $C$9, 100%, $E$9)</f>
        <v>14.341900000000001</v>
      </c>
      <c r="R308" s="14">
        <f>CHOOSE(CONTROL!$C$42, 14.9647, 14.9647) * CHOOSE(CONTROL!$C$21, $C$9, 100%, $E$9)</f>
        <v>14.964700000000001</v>
      </c>
      <c r="S308" s="14">
        <f>CHOOSE(CONTROL!$C$42, 13.2163, 13.2163) * CHOOSE(CONTROL!$C$21, $C$9, 100%, $E$9)</f>
        <v>13.2163</v>
      </c>
      <c r="T3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7">
        <f>(1000*CHOOSE(CONTROL!$C$42, 695, 695)*CHOOSE(CONTROL!$C$42, 0.5599, 0.5599)*CHOOSE(CONTROL!$C$42, 31, 31))/1000000</f>
        <v>12.063045499999998</v>
      </c>
      <c r="V308" s="57">
        <f>(1000*CHOOSE(CONTROL!$C$42, 500, 500)*CHOOSE(CONTROL!$C$42, 0.275, 0.275)*CHOOSE(CONTROL!$C$42, 31, 31))/1000000</f>
        <v>4.2625000000000002</v>
      </c>
      <c r="W308" s="57">
        <f>(1000*CHOOSE(CONTROL!$C$42, 0.1146, 0.1146)*CHOOSE(CONTROL!$C$42, 121.5, 121.5)*CHOOSE(CONTROL!$C$42, 31, 31))/1000000</f>
        <v>0.43164089999999994</v>
      </c>
      <c r="X308" s="57">
        <f>(31*0.1790888*245000/1000000)+(31*0.2374*100000/1000000)</f>
        <v>2.0961194359999999</v>
      </c>
      <c r="Y308" s="57"/>
      <c r="Z308" s="14"/>
      <c r="AA308" s="56"/>
      <c r="AB308" s="50">
        <f>(B308*194.205+C308*267.466+D308*133.845+E308*53.484+F308*40+G308*185+H308*0+I308*100+J308*300)/(194.205+267.466+133.845+53.484+0+40+185+100+300)</f>
        <v>13.808269199686029</v>
      </c>
      <c r="AC308" s="45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13.569628776978417</v>
      </c>
    </row>
    <row r="309" spans="1:29" ht="15.75" x14ac:dyDescent="0.25">
      <c r="A309" s="34">
        <v>50284</v>
      </c>
      <c r="B309" s="14">
        <f>CHOOSE(CONTROL!$C$42, 12.8916, 12.8916) * CHOOSE(CONTROL!$C$21, $C$9, 100%, $E$9)</f>
        <v>12.8916</v>
      </c>
      <c r="C309" s="14">
        <f>CHOOSE(CONTROL!$C$42, 12.8996, 12.8996) * CHOOSE(CONTROL!$C$21, $C$9, 100%, $E$9)</f>
        <v>12.8996</v>
      </c>
      <c r="D309" s="14">
        <f>CHOOSE(CONTROL!$C$42, 13.1332, 13.1332) * CHOOSE(CONTROL!$C$21, $C$9, 100%, $E$9)</f>
        <v>13.1332</v>
      </c>
      <c r="E309" s="14">
        <f>CHOOSE(CONTROL!$C$42, 13.1647, 13.1647) * CHOOSE(CONTROL!$C$21, $C$9, 100%, $E$9)</f>
        <v>13.1647</v>
      </c>
      <c r="F309" s="14">
        <f>CHOOSE(CONTROL!$C$42, 12.8896, 12.8896)*CHOOSE(CONTROL!$C$21, $C$9, 100%, $E$9)</f>
        <v>12.8896</v>
      </c>
      <c r="G309" s="14">
        <f>CHOOSE(CONTROL!$C$42, 12.9063, 12.9063)*CHOOSE(CONTROL!$C$21, $C$9, 100%, $E$9)</f>
        <v>12.9063</v>
      </c>
      <c r="H309" s="14">
        <f>CHOOSE(CONTROL!$C$42, 13.1533, 13.1533) * CHOOSE(CONTROL!$C$21, $C$9, 100%, $E$9)</f>
        <v>13.1533</v>
      </c>
      <c r="I309" s="14">
        <f>CHOOSE(CONTROL!$C$42, 12.9478, 12.9478)* CHOOSE(CONTROL!$C$21, $C$9, 100%, $E$9)</f>
        <v>12.947800000000001</v>
      </c>
      <c r="J309" s="14">
        <f>CHOOSE(CONTROL!$C$42, 12.8826, 12.8826)* CHOOSE(CONTROL!$C$21, $C$9, 100%, $E$9)</f>
        <v>12.8826</v>
      </c>
      <c r="K309" s="53">
        <f>CHOOSE(CONTROL!$C$42, 12.9439, 12.9439) * CHOOSE(CONTROL!$C$21, $C$9, 100%, $E$9)</f>
        <v>12.943899999999999</v>
      </c>
      <c r="L309" s="14">
        <f>CHOOSE(CONTROL!$C$42, 13.7403, 13.7403) * CHOOSE(CONTROL!$C$21, $C$9, 100%, $E$9)</f>
        <v>13.7403</v>
      </c>
      <c r="M309" s="14">
        <f>CHOOSE(CONTROL!$C$42, 12.6263, 12.6263) * CHOOSE(CONTROL!$C$21, $C$9, 100%, $E$9)</f>
        <v>12.626300000000001</v>
      </c>
      <c r="N309" s="14">
        <f>CHOOSE(CONTROL!$C$42, 12.6426, 12.6426) * CHOOSE(CONTROL!$C$21, $C$9, 100%, $E$9)</f>
        <v>12.6426</v>
      </c>
      <c r="O309" s="14">
        <f>CHOOSE(CONTROL!$C$42, 12.8915, 12.8915) * CHOOSE(CONTROL!$C$21, $C$9, 100%, $E$9)</f>
        <v>12.891500000000001</v>
      </c>
      <c r="P309" s="14">
        <f>CHOOSE(CONTROL!$C$42, 12.6895, 12.6895) * CHOOSE(CONTROL!$C$21, $C$9, 100%, $E$9)</f>
        <v>12.689500000000001</v>
      </c>
      <c r="Q309" s="14">
        <f>CHOOSE(CONTROL!$C$42, 13.4862, 13.4862) * CHOOSE(CONTROL!$C$21, $C$9, 100%, $E$9)</f>
        <v>13.4862</v>
      </c>
      <c r="R309" s="14">
        <f>CHOOSE(CONTROL!$C$42, 14.1069, 14.1069) * CHOOSE(CONTROL!$C$21, $C$9, 100%, $E$9)</f>
        <v>14.1069</v>
      </c>
      <c r="S309" s="14">
        <f>CHOOSE(CONTROL!$C$42, 12.3769, 12.3769) * CHOOSE(CONTROL!$C$21, $C$9, 100%, $E$9)</f>
        <v>12.376899999999999</v>
      </c>
      <c r="T3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7">
        <f>(1000*CHOOSE(CONTROL!$C$42, 695, 695)*CHOOSE(CONTROL!$C$42, 0.5599, 0.5599)*CHOOSE(CONTROL!$C$42, 30, 30))/1000000</f>
        <v>11.673914999999997</v>
      </c>
      <c r="V309" s="57">
        <f>(1000*CHOOSE(CONTROL!$C$42, 500, 500)*CHOOSE(CONTROL!$C$42, 0.275, 0.275)*CHOOSE(CONTROL!$C$42, 30, 30))/1000000</f>
        <v>4.125</v>
      </c>
      <c r="W309" s="57">
        <f>(1000*CHOOSE(CONTROL!$C$42, 0.1146, 0.1146)*CHOOSE(CONTROL!$C$42, 121.5, 121.5)*CHOOSE(CONTROL!$C$42, 30, 30))/1000000</f>
        <v>0.417717</v>
      </c>
      <c r="X309" s="57">
        <f>(30*0.1790888*245000/1000000)+(30*0.2374*100000/1000000)</f>
        <v>2.0285026799999999</v>
      </c>
      <c r="Y309" s="57"/>
      <c r="Z309" s="14"/>
      <c r="AA309" s="56"/>
      <c r="AB309" s="50">
        <f>(B309*194.205+C309*267.466+D309*133.845+E309*53.484+F309*40+G309*185+H309*0+I309*100+J309*300)/(194.205+267.466+133.845+53.484+0+40+185+100+300)</f>
        <v>12.934490628257459</v>
      </c>
      <c r="AC309" s="45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12.713554676258994</v>
      </c>
    </row>
    <row r="310" spans="1:29" ht="15.75" x14ac:dyDescent="0.25">
      <c r="A310" s="34">
        <v>50314</v>
      </c>
      <c r="B310" s="14">
        <f>CHOOSE(CONTROL!$C$42, 12.6283, 12.6283) * CHOOSE(CONTROL!$C$21, $C$9, 100%, $E$9)</f>
        <v>12.628299999999999</v>
      </c>
      <c r="C310" s="14">
        <f>CHOOSE(CONTROL!$C$42, 12.6336, 12.6336) * CHOOSE(CONTROL!$C$21, $C$9, 100%, $E$9)</f>
        <v>12.633599999999999</v>
      </c>
      <c r="D310" s="14">
        <f>CHOOSE(CONTROL!$C$42, 12.8722, 12.8722) * CHOOSE(CONTROL!$C$21, $C$9, 100%, $E$9)</f>
        <v>12.872199999999999</v>
      </c>
      <c r="E310" s="14">
        <f>CHOOSE(CONTROL!$C$42, 12.9013, 12.9013) * CHOOSE(CONTROL!$C$21, $C$9, 100%, $E$9)</f>
        <v>12.901300000000001</v>
      </c>
      <c r="F310" s="14">
        <f>CHOOSE(CONTROL!$C$42, 12.6283, 12.6283)*CHOOSE(CONTROL!$C$21, $C$9, 100%, $E$9)</f>
        <v>12.628299999999999</v>
      </c>
      <c r="G310" s="14">
        <f>CHOOSE(CONTROL!$C$42, 12.6446, 12.6446)*CHOOSE(CONTROL!$C$21, $C$9, 100%, $E$9)</f>
        <v>12.644600000000001</v>
      </c>
      <c r="H310" s="14">
        <f>CHOOSE(CONTROL!$C$42, 12.8918, 12.8918) * CHOOSE(CONTROL!$C$21, $C$9, 100%, $E$9)</f>
        <v>12.8918</v>
      </c>
      <c r="I310" s="14">
        <f>CHOOSE(CONTROL!$C$42, 12.6855, 12.6855)* CHOOSE(CONTROL!$C$21, $C$9, 100%, $E$9)</f>
        <v>12.685499999999999</v>
      </c>
      <c r="J310" s="14">
        <f>CHOOSE(CONTROL!$C$42, 12.6213, 12.6213)* CHOOSE(CONTROL!$C$21, $C$9, 100%, $E$9)</f>
        <v>12.6213</v>
      </c>
      <c r="K310" s="53">
        <f>CHOOSE(CONTROL!$C$42, 12.6816, 12.6816) * CHOOSE(CONTROL!$C$21, $C$9, 100%, $E$9)</f>
        <v>12.6816</v>
      </c>
      <c r="L310" s="14">
        <f>CHOOSE(CONTROL!$C$42, 13.4788, 13.4788) * CHOOSE(CONTROL!$C$21, $C$9, 100%, $E$9)</f>
        <v>13.4788</v>
      </c>
      <c r="M310" s="14">
        <f>CHOOSE(CONTROL!$C$42, 12.3704, 12.3704) * CHOOSE(CONTROL!$C$21, $C$9, 100%, $E$9)</f>
        <v>12.3704</v>
      </c>
      <c r="N310" s="14">
        <f>CHOOSE(CONTROL!$C$42, 12.3864, 12.3864) * CHOOSE(CONTROL!$C$21, $C$9, 100%, $E$9)</f>
        <v>12.3864</v>
      </c>
      <c r="O310" s="14">
        <f>CHOOSE(CONTROL!$C$42, 12.6353, 12.6353) * CHOOSE(CONTROL!$C$21, $C$9, 100%, $E$9)</f>
        <v>12.635300000000001</v>
      </c>
      <c r="P310" s="14">
        <f>CHOOSE(CONTROL!$C$42, 12.4326, 12.4326) * CHOOSE(CONTROL!$C$21, $C$9, 100%, $E$9)</f>
        <v>12.432600000000001</v>
      </c>
      <c r="Q310" s="14">
        <f>CHOOSE(CONTROL!$C$42, 13.23, 13.23) * CHOOSE(CONTROL!$C$21, $C$9, 100%, $E$9)</f>
        <v>13.23</v>
      </c>
      <c r="R310" s="14">
        <f>CHOOSE(CONTROL!$C$42, 13.8501, 13.8501) * CHOOSE(CONTROL!$C$21, $C$9, 100%, $E$9)</f>
        <v>13.850099999999999</v>
      </c>
      <c r="S310" s="14">
        <f>CHOOSE(CONTROL!$C$42, 12.1256, 12.1256) * CHOOSE(CONTROL!$C$21, $C$9, 100%, $E$9)</f>
        <v>12.1256</v>
      </c>
      <c r="T3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7">
        <f>(1000*CHOOSE(CONTROL!$C$42, 695, 695)*CHOOSE(CONTROL!$C$42, 0.5599, 0.5599)*CHOOSE(CONTROL!$C$42, 31, 31))/1000000</f>
        <v>12.063045499999998</v>
      </c>
      <c r="V310" s="57">
        <f>(1000*CHOOSE(CONTROL!$C$42, 500, 500)*CHOOSE(CONTROL!$C$42, 0.275, 0.275)*CHOOSE(CONTROL!$C$42, 31, 31))/1000000</f>
        <v>4.2625000000000002</v>
      </c>
      <c r="W310" s="57">
        <f>(1000*CHOOSE(CONTROL!$C$42, 0.1146, 0.1146)*CHOOSE(CONTROL!$C$42, 121.5, 121.5)*CHOOSE(CONTROL!$C$42, 31, 31))/1000000</f>
        <v>0.43164089999999994</v>
      </c>
      <c r="X310" s="57">
        <f>(31*0.1790888*245000/1000000)+(31*0.2374*100000/1000000)</f>
        <v>2.0961194359999999</v>
      </c>
      <c r="Y310" s="57"/>
      <c r="Z310" s="14"/>
      <c r="AA310" s="56"/>
      <c r="AB310" s="50">
        <f>(B310*131.881+C310*277.167+D310*79.08+E310*125.872+F310*40+G310*185+H310*0+I310*100+J310*300)/(131.881+277.167+79.08+125.872+0+40+185+100+300)</f>
        <v>12.678142738579497</v>
      </c>
      <c r="AC310" s="45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12.457357553956836</v>
      </c>
    </row>
    <row r="311" spans="1:29" ht="15.75" x14ac:dyDescent="0.25">
      <c r="A311" s="34">
        <v>50345</v>
      </c>
      <c r="B311" s="14">
        <f>CHOOSE(CONTROL!$C$42, 12.9603, 12.9603) * CHOOSE(CONTROL!$C$21, $C$9, 100%, $E$9)</f>
        <v>12.9603</v>
      </c>
      <c r="C311" s="14">
        <f>CHOOSE(CONTROL!$C$42, 12.9654, 12.9654) * CHOOSE(CONTROL!$C$21, $C$9, 100%, $E$9)</f>
        <v>12.965400000000001</v>
      </c>
      <c r="D311" s="14">
        <f>CHOOSE(CONTROL!$C$42, 13.0396, 13.0396) * CHOOSE(CONTROL!$C$21, $C$9, 100%, $E$9)</f>
        <v>13.0396</v>
      </c>
      <c r="E311" s="14">
        <f>CHOOSE(CONTROL!$C$42, 13.0737, 13.0737) * CHOOSE(CONTROL!$C$21, $C$9, 100%, $E$9)</f>
        <v>13.073700000000001</v>
      </c>
      <c r="F311" s="14">
        <f>CHOOSE(CONTROL!$C$42, 12.9724, 12.9724)*CHOOSE(CONTROL!$C$21, $C$9, 100%, $E$9)</f>
        <v>12.9724</v>
      </c>
      <c r="G311" s="14">
        <f>CHOOSE(CONTROL!$C$42, 12.989, 12.989)*CHOOSE(CONTROL!$C$21, $C$9, 100%, $E$9)</f>
        <v>12.989000000000001</v>
      </c>
      <c r="H311" s="14">
        <f>CHOOSE(CONTROL!$C$42, 13.0629, 13.0629) * CHOOSE(CONTROL!$C$21, $C$9, 100%, $E$9)</f>
        <v>13.062900000000001</v>
      </c>
      <c r="I311" s="14">
        <f>CHOOSE(CONTROL!$C$42, 13.0252, 13.0252)* CHOOSE(CONTROL!$C$21, $C$9, 100%, $E$9)</f>
        <v>13.0252</v>
      </c>
      <c r="J311" s="14">
        <f>CHOOSE(CONTROL!$C$42, 12.9654, 12.9654)* CHOOSE(CONTROL!$C$21, $C$9, 100%, $E$9)</f>
        <v>12.965400000000001</v>
      </c>
      <c r="K311" s="53">
        <f>CHOOSE(CONTROL!$C$42, 13.0213, 13.0213) * CHOOSE(CONTROL!$C$21, $C$9, 100%, $E$9)</f>
        <v>13.0213</v>
      </c>
      <c r="L311" s="14">
        <f>CHOOSE(CONTROL!$C$42, 13.6499, 13.6499) * CHOOSE(CONTROL!$C$21, $C$9, 100%, $E$9)</f>
        <v>13.649900000000001</v>
      </c>
      <c r="M311" s="14">
        <f>CHOOSE(CONTROL!$C$42, 12.7074, 12.7074) * CHOOSE(CONTROL!$C$21, $C$9, 100%, $E$9)</f>
        <v>12.7074</v>
      </c>
      <c r="N311" s="14">
        <f>CHOOSE(CONTROL!$C$42, 12.7237, 12.7237) * CHOOSE(CONTROL!$C$21, $C$9, 100%, $E$9)</f>
        <v>12.723699999999999</v>
      </c>
      <c r="O311" s="14">
        <f>CHOOSE(CONTROL!$C$42, 12.8029, 12.8029) * CHOOSE(CONTROL!$C$21, $C$9, 100%, $E$9)</f>
        <v>12.802899999999999</v>
      </c>
      <c r="P311" s="14">
        <f>CHOOSE(CONTROL!$C$42, 12.7653, 12.7653) * CHOOSE(CONTROL!$C$21, $C$9, 100%, $E$9)</f>
        <v>12.7653</v>
      </c>
      <c r="Q311" s="14">
        <f>CHOOSE(CONTROL!$C$42, 13.3976, 13.3976) * CHOOSE(CONTROL!$C$21, $C$9, 100%, $E$9)</f>
        <v>13.397600000000001</v>
      </c>
      <c r="R311" s="14">
        <f>CHOOSE(CONTROL!$C$42, 14.0181, 14.0181) * CHOOSE(CONTROL!$C$21, $C$9, 100%, $E$9)</f>
        <v>14.0181</v>
      </c>
      <c r="S311" s="14">
        <f>CHOOSE(CONTROL!$C$42, 12.445, 12.445) * CHOOSE(CONTROL!$C$21, $C$9, 100%, $E$9)</f>
        <v>12.445</v>
      </c>
      <c r="T3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7">
        <f>(1000*CHOOSE(CONTROL!$C$42, 695, 695)*CHOOSE(CONTROL!$C$42, 0.5599, 0.5599)*CHOOSE(CONTROL!$C$42, 30, 30))/1000000</f>
        <v>11.673914999999997</v>
      </c>
      <c r="V311" s="57">
        <f>(1000*CHOOSE(CONTROL!$C$42, 500, 500)*CHOOSE(CONTROL!$C$42, 0.275, 0.275)*CHOOSE(CONTROL!$C$42, 30, 30))/1000000</f>
        <v>4.125</v>
      </c>
      <c r="W311" s="57">
        <f>(1000*CHOOSE(CONTROL!$C$42, 0.1146, 0.1146)*CHOOSE(CONTROL!$C$42, 121.5, 121.5)*CHOOSE(CONTROL!$C$42, 30, 30))/1000000</f>
        <v>0.417717</v>
      </c>
      <c r="X311" s="57">
        <f>(30*0.1790888*100000/1000000)+(30*0.2374*100000/1000000)</f>
        <v>1.2494664</v>
      </c>
      <c r="Y311" s="57"/>
      <c r="Z311" s="14"/>
      <c r="AA311" s="56"/>
      <c r="AB311" s="50">
        <f>(B311*122.58+C311*297.941+D311*89.177+E311*40.302+F311*40+G311*160+H311*0+I311*100+J311*300)/(122.58+297.941+89.177+40.302+0+40+160+100+300)</f>
        <v>12.98313259304348</v>
      </c>
      <c r="AC311" s="45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12.759953237410071</v>
      </c>
    </row>
    <row r="312" spans="1:29" ht="15.75" x14ac:dyDescent="0.25">
      <c r="A312" s="34">
        <v>50375</v>
      </c>
      <c r="B312" s="14">
        <f>CHOOSE(CONTROL!$C$42, 13.8433, 13.8433) * CHOOSE(CONTROL!$C$21, $C$9, 100%, $E$9)</f>
        <v>13.843299999999999</v>
      </c>
      <c r="C312" s="14">
        <f>CHOOSE(CONTROL!$C$42, 13.8483, 13.8483) * CHOOSE(CONTROL!$C$21, $C$9, 100%, $E$9)</f>
        <v>13.8483</v>
      </c>
      <c r="D312" s="14">
        <f>CHOOSE(CONTROL!$C$42, 13.9226, 13.9226) * CHOOSE(CONTROL!$C$21, $C$9, 100%, $E$9)</f>
        <v>13.922599999999999</v>
      </c>
      <c r="E312" s="14">
        <f>CHOOSE(CONTROL!$C$42, 13.9567, 13.9567) * CHOOSE(CONTROL!$C$21, $C$9, 100%, $E$9)</f>
        <v>13.9567</v>
      </c>
      <c r="F312" s="14">
        <f>CHOOSE(CONTROL!$C$42, 13.8575, 13.8575)*CHOOSE(CONTROL!$C$21, $C$9, 100%, $E$9)</f>
        <v>13.8575</v>
      </c>
      <c r="G312" s="14">
        <f>CHOOSE(CONTROL!$C$42, 13.8747, 13.8747)*CHOOSE(CONTROL!$C$21, $C$9, 100%, $E$9)</f>
        <v>13.874700000000001</v>
      </c>
      <c r="H312" s="14">
        <f>CHOOSE(CONTROL!$C$42, 13.9459, 13.9459) * CHOOSE(CONTROL!$C$21, $C$9, 100%, $E$9)</f>
        <v>13.9459</v>
      </c>
      <c r="I312" s="14">
        <f>CHOOSE(CONTROL!$C$42, 13.911, 13.911)* CHOOSE(CONTROL!$C$21, $C$9, 100%, $E$9)</f>
        <v>13.911</v>
      </c>
      <c r="J312" s="14">
        <f>CHOOSE(CONTROL!$C$42, 13.8505, 13.8505)* CHOOSE(CONTROL!$C$21, $C$9, 100%, $E$9)</f>
        <v>13.8505</v>
      </c>
      <c r="K312" s="53">
        <f>CHOOSE(CONTROL!$C$42, 13.9071, 13.9071) * CHOOSE(CONTROL!$C$21, $C$9, 100%, $E$9)</f>
        <v>13.9071</v>
      </c>
      <c r="L312" s="14">
        <f>CHOOSE(CONTROL!$C$42, 14.5329, 14.5329) * CHOOSE(CONTROL!$C$21, $C$9, 100%, $E$9)</f>
        <v>14.5329</v>
      </c>
      <c r="M312" s="14">
        <f>CHOOSE(CONTROL!$C$42, 13.5744, 13.5744) * CHOOSE(CONTROL!$C$21, $C$9, 100%, $E$9)</f>
        <v>13.574400000000001</v>
      </c>
      <c r="N312" s="14">
        <f>CHOOSE(CONTROL!$C$42, 13.5912, 13.5912) * CHOOSE(CONTROL!$C$21, $C$9, 100%, $E$9)</f>
        <v>13.591200000000001</v>
      </c>
      <c r="O312" s="14">
        <f>CHOOSE(CONTROL!$C$42, 13.6678, 13.6678) * CHOOSE(CONTROL!$C$21, $C$9, 100%, $E$9)</f>
        <v>13.6678</v>
      </c>
      <c r="P312" s="14">
        <f>CHOOSE(CONTROL!$C$42, 13.6328, 13.6328) * CHOOSE(CONTROL!$C$21, $C$9, 100%, $E$9)</f>
        <v>13.6328</v>
      </c>
      <c r="Q312" s="14">
        <f>CHOOSE(CONTROL!$C$42, 14.2625, 14.2625) * CHOOSE(CONTROL!$C$21, $C$9, 100%, $E$9)</f>
        <v>14.262499999999999</v>
      </c>
      <c r="R312" s="14">
        <f>CHOOSE(CONTROL!$C$42, 14.8852, 14.8852) * CHOOSE(CONTROL!$C$21, $C$9, 100%, $E$9)</f>
        <v>14.885199999999999</v>
      </c>
      <c r="S312" s="14">
        <f>CHOOSE(CONTROL!$C$42, 13.2935, 13.2935) * CHOOSE(CONTROL!$C$21, $C$9, 100%, $E$9)</f>
        <v>13.2935</v>
      </c>
      <c r="T3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7">
        <f>(1000*CHOOSE(CONTROL!$C$42, 695, 695)*CHOOSE(CONTROL!$C$42, 0.5599, 0.5599)*CHOOSE(CONTROL!$C$42, 31, 31))/1000000</f>
        <v>12.063045499999998</v>
      </c>
      <c r="V312" s="57">
        <f>(1000*CHOOSE(CONTROL!$C$42, 500, 500)*CHOOSE(CONTROL!$C$42, 0.275, 0.275)*CHOOSE(CONTROL!$C$42, 31, 31))/1000000</f>
        <v>4.2625000000000002</v>
      </c>
      <c r="W312" s="57">
        <f>(1000*CHOOSE(CONTROL!$C$42, 0.1146, 0.1146)*CHOOSE(CONTROL!$C$42, 121.5, 121.5)*CHOOSE(CONTROL!$C$42, 31, 31))/1000000</f>
        <v>0.43164089999999994</v>
      </c>
      <c r="X312" s="57">
        <f>(31*0.1790888*100000/1000000)+(31*0.2374*100000/1000000)</f>
        <v>1.2911152800000001</v>
      </c>
      <c r="Y312" s="57"/>
      <c r="Z312" s="14"/>
      <c r="AA312" s="56"/>
      <c r="AB312" s="50">
        <f>(B312*122.58+C312*297.941+D312*89.177+E312*40.302+F312*40+G312*160+H312*0+I312*100+J312*300)/(122.58+297.941+89.177+40.302+0+40+160+100+300)</f>
        <v>13.867346685130434</v>
      </c>
      <c r="AC312" s="45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13.626102158273383</v>
      </c>
    </row>
    <row r="313" spans="1:29" ht="15.75" x14ac:dyDescent="0.25">
      <c r="A313" s="33">
        <v>50436</v>
      </c>
      <c r="B313" s="14">
        <f>CHOOSE(CONTROL!$C$42, 14.9901, 14.9901) * CHOOSE(CONTROL!$C$21, $C$9, 100%, $E$9)</f>
        <v>14.9901</v>
      </c>
      <c r="C313" s="14">
        <f>CHOOSE(CONTROL!$C$42, 14.9951, 14.9951) * CHOOSE(CONTROL!$C$21, $C$9, 100%, $E$9)</f>
        <v>14.995100000000001</v>
      </c>
      <c r="D313" s="14">
        <f>CHOOSE(CONTROL!$C$42, 15.072, 15.072) * CHOOSE(CONTROL!$C$21, $C$9, 100%, $E$9)</f>
        <v>15.071999999999999</v>
      </c>
      <c r="E313" s="14">
        <f>CHOOSE(CONTROL!$C$42, 15.1061, 15.1061) * CHOOSE(CONTROL!$C$21, $C$9, 100%, $E$9)</f>
        <v>15.1061</v>
      </c>
      <c r="F313" s="14">
        <f>CHOOSE(CONTROL!$C$42, 14.9903, 14.9903)*CHOOSE(CONTROL!$C$21, $C$9, 100%, $E$9)</f>
        <v>14.9903</v>
      </c>
      <c r="G313" s="14">
        <f>CHOOSE(CONTROL!$C$42, 15.0065, 15.0065)*CHOOSE(CONTROL!$C$21, $C$9, 100%, $E$9)</f>
        <v>15.006500000000001</v>
      </c>
      <c r="H313" s="14">
        <f>CHOOSE(CONTROL!$C$42, 15.0953, 15.0953) * CHOOSE(CONTROL!$C$21, $C$9, 100%, $E$9)</f>
        <v>15.0953</v>
      </c>
      <c r="I313" s="14">
        <f>CHOOSE(CONTROL!$C$42, 15.0551, 15.0551)* CHOOSE(CONTROL!$C$21, $C$9, 100%, $E$9)</f>
        <v>15.055099999999999</v>
      </c>
      <c r="J313" s="14">
        <f>CHOOSE(CONTROL!$C$42, 14.9833, 14.9833)* CHOOSE(CONTROL!$C$21, $C$9, 100%, $E$9)</f>
        <v>14.9833</v>
      </c>
      <c r="K313" s="53">
        <f>CHOOSE(CONTROL!$C$42, 15.0512, 15.0512) * CHOOSE(CONTROL!$C$21, $C$9, 100%, $E$9)</f>
        <v>15.0512</v>
      </c>
      <c r="L313" s="14">
        <f>CHOOSE(CONTROL!$C$42, 15.6823, 15.6823) * CHOOSE(CONTROL!$C$21, $C$9, 100%, $E$9)</f>
        <v>15.6823</v>
      </c>
      <c r="M313" s="14">
        <f>CHOOSE(CONTROL!$C$42, 14.684, 14.684) * CHOOSE(CONTROL!$C$21, $C$9, 100%, $E$9)</f>
        <v>14.683999999999999</v>
      </c>
      <c r="N313" s="14">
        <f>CHOOSE(CONTROL!$C$42, 14.6999, 14.6999) * CHOOSE(CONTROL!$C$21, $C$9, 100%, $E$9)</f>
        <v>14.6999</v>
      </c>
      <c r="O313" s="14">
        <f>CHOOSE(CONTROL!$C$42, 14.7937, 14.7937) * CHOOSE(CONTROL!$C$21, $C$9, 100%, $E$9)</f>
        <v>14.793699999999999</v>
      </c>
      <c r="P313" s="14">
        <f>CHOOSE(CONTROL!$C$42, 14.7534, 14.7534) * CHOOSE(CONTROL!$C$21, $C$9, 100%, $E$9)</f>
        <v>14.753399999999999</v>
      </c>
      <c r="Q313" s="14">
        <f>CHOOSE(CONTROL!$C$42, 15.3884, 15.3884) * CHOOSE(CONTROL!$C$21, $C$9, 100%, $E$9)</f>
        <v>15.388400000000001</v>
      </c>
      <c r="R313" s="14">
        <f>CHOOSE(CONTROL!$C$42, 16.0138, 16.0138) * CHOOSE(CONTROL!$C$21, $C$9, 100%, $E$9)</f>
        <v>16.0138</v>
      </c>
      <c r="S313" s="14">
        <f>CHOOSE(CONTROL!$C$42, 14.3954, 14.3954) * CHOOSE(CONTROL!$C$21, $C$9, 100%, $E$9)</f>
        <v>14.3954</v>
      </c>
      <c r="T3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7">
        <f>(1000*CHOOSE(CONTROL!$C$42, 695, 695)*CHOOSE(CONTROL!$C$42, 0.5599, 0.5599)*CHOOSE(CONTROL!$C$42, 31, 31))/1000000</f>
        <v>12.063045499999998</v>
      </c>
      <c r="V313" s="57">
        <f>(1000*CHOOSE(CONTROL!$C$42, 500, 500)*CHOOSE(CONTROL!$C$42, 0.275, 0.275)*CHOOSE(CONTROL!$C$42, 31, 31))/1000000</f>
        <v>4.2625000000000002</v>
      </c>
      <c r="W313" s="57">
        <f>(1000*CHOOSE(CONTROL!$C$42, 0.1146, 0.1146)*CHOOSE(CONTROL!$C$42, 121.5, 121.5)*CHOOSE(CONTROL!$C$42, 31, 31))/1000000</f>
        <v>0.43164089999999994</v>
      </c>
      <c r="X313" s="57">
        <f>(31*0.1790888*100000/1000000)+(31*0.2374*100000/1000000)</f>
        <v>1.2911152800000001</v>
      </c>
      <c r="Y313" s="57"/>
      <c r="Z313" s="14"/>
      <c r="AA313" s="56"/>
      <c r="AB313" s="50">
        <f>(B313*122.58+C313*297.941+D313*89.177+E313*40.302+F313*40+G313*160+H313*0+I313*100+J313*300)/(122.58+297.941+89.177+40.302+0+40+160+100+300)</f>
        <v>15.00797855069565</v>
      </c>
      <c r="AC313" s="45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14.744620863309354</v>
      </c>
    </row>
    <row r="314" spans="1:29" ht="15.75" x14ac:dyDescent="0.25">
      <c r="A314" s="33">
        <v>50464</v>
      </c>
      <c r="B314" s="14">
        <f>CHOOSE(CONTROL!$C$42, 15.2567, 15.2567) * CHOOSE(CONTROL!$C$21, $C$9, 100%, $E$9)</f>
        <v>15.2567</v>
      </c>
      <c r="C314" s="14">
        <f>CHOOSE(CONTROL!$C$42, 15.2618, 15.2618) * CHOOSE(CONTROL!$C$21, $C$9, 100%, $E$9)</f>
        <v>15.261799999999999</v>
      </c>
      <c r="D314" s="14">
        <f>CHOOSE(CONTROL!$C$42, 15.3386, 15.3386) * CHOOSE(CONTROL!$C$21, $C$9, 100%, $E$9)</f>
        <v>15.3386</v>
      </c>
      <c r="E314" s="14">
        <f>CHOOSE(CONTROL!$C$42, 15.3727, 15.3727) * CHOOSE(CONTROL!$C$21, $C$9, 100%, $E$9)</f>
        <v>15.3727</v>
      </c>
      <c r="F314" s="14">
        <f>CHOOSE(CONTROL!$C$42, 15.257, 15.257)*CHOOSE(CONTROL!$C$21, $C$9, 100%, $E$9)</f>
        <v>15.257</v>
      </c>
      <c r="G314" s="14">
        <f>CHOOSE(CONTROL!$C$42, 15.2732, 15.2732)*CHOOSE(CONTROL!$C$21, $C$9, 100%, $E$9)</f>
        <v>15.273199999999999</v>
      </c>
      <c r="H314" s="14">
        <f>CHOOSE(CONTROL!$C$42, 15.3619, 15.3619) * CHOOSE(CONTROL!$C$21, $C$9, 100%, $E$9)</f>
        <v>15.3619</v>
      </c>
      <c r="I314" s="14">
        <f>CHOOSE(CONTROL!$C$42, 15.3226, 15.3226)* CHOOSE(CONTROL!$C$21, $C$9, 100%, $E$9)</f>
        <v>15.3226</v>
      </c>
      <c r="J314" s="14">
        <f>CHOOSE(CONTROL!$C$42, 15.25, 15.25)* CHOOSE(CONTROL!$C$21, $C$9, 100%, $E$9)</f>
        <v>15.25</v>
      </c>
      <c r="K314" s="53">
        <f>CHOOSE(CONTROL!$C$42, 15.3187, 15.3187) * CHOOSE(CONTROL!$C$21, $C$9, 100%, $E$9)</f>
        <v>15.3187</v>
      </c>
      <c r="L314" s="14">
        <f>CHOOSE(CONTROL!$C$42, 15.9489, 15.9489) * CHOOSE(CONTROL!$C$21, $C$9, 100%, $E$9)</f>
        <v>15.9489</v>
      </c>
      <c r="M314" s="14">
        <f>CHOOSE(CONTROL!$C$42, 14.9452, 14.9452) * CHOOSE(CONTROL!$C$21, $C$9, 100%, $E$9)</f>
        <v>14.9452</v>
      </c>
      <c r="N314" s="14">
        <f>CHOOSE(CONTROL!$C$42, 14.9611, 14.9611) * CHOOSE(CONTROL!$C$21, $C$9, 100%, $E$9)</f>
        <v>14.9611</v>
      </c>
      <c r="O314" s="14">
        <f>CHOOSE(CONTROL!$C$42, 15.0549, 15.0549) * CHOOSE(CONTROL!$C$21, $C$9, 100%, $E$9)</f>
        <v>15.0549</v>
      </c>
      <c r="P314" s="14">
        <f>CHOOSE(CONTROL!$C$42, 15.0155, 15.0155) * CHOOSE(CONTROL!$C$21, $C$9, 100%, $E$9)</f>
        <v>15.015499999999999</v>
      </c>
      <c r="Q314" s="14">
        <f>CHOOSE(CONTROL!$C$42, 15.6496, 15.6496) * CHOOSE(CONTROL!$C$21, $C$9, 100%, $E$9)</f>
        <v>15.6496</v>
      </c>
      <c r="R314" s="14">
        <f>CHOOSE(CONTROL!$C$42, 16.2757, 16.2757) * CHOOSE(CONTROL!$C$21, $C$9, 100%, $E$9)</f>
        <v>16.275700000000001</v>
      </c>
      <c r="S314" s="14">
        <f>CHOOSE(CONTROL!$C$42, 14.6517, 14.6517) * CHOOSE(CONTROL!$C$21, $C$9, 100%, $E$9)</f>
        <v>14.6517</v>
      </c>
      <c r="T3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7">
        <f>(1000*CHOOSE(CONTROL!$C$42, 695, 695)*CHOOSE(CONTROL!$C$42, 0.5599, 0.5599)*CHOOSE(CONTROL!$C$42, 28, 28))/1000000</f>
        <v>10.895653999999999</v>
      </c>
      <c r="V314" s="57">
        <f>(1000*CHOOSE(CONTROL!$C$42, 500, 500)*CHOOSE(CONTROL!$C$42, 0.275, 0.275)*CHOOSE(CONTROL!$C$42, 28, 28))/1000000</f>
        <v>3.85</v>
      </c>
      <c r="W314" s="57">
        <f>(1000*CHOOSE(CONTROL!$C$42, 0.1146, 0.1146)*CHOOSE(CONTROL!$C$42, 121.5, 121.5)*CHOOSE(CONTROL!$C$42, 28, 28))/1000000</f>
        <v>0.38986920000000003</v>
      </c>
      <c r="X314" s="57">
        <f>(28*0.1790888*100000/1000000)+(28*0.2374*100000/1000000)</f>
        <v>1.16616864</v>
      </c>
      <c r="Y314" s="57"/>
      <c r="Z314" s="14"/>
      <c r="AA314" s="56"/>
      <c r="AB314" s="50">
        <f>(B314*122.58+C314*297.941+D314*89.177+E314*40.302+F314*40+G314*160+H314*0+I314*100+J314*300)/(122.58+297.941+89.177+40.302+0+40+160+100+300)</f>
        <v>15.274726197739131</v>
      </c>
      <c r="AC314" s="45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15.005950359712228</v>
      </c>
    </row>
    <row r="315" spans="1:29" ht="15.75" x14ac:dyDescent="0.25">
      <c r="A315" s="33">
        <v>50495</v>
      </c>
      <c r="B315" s="14">
        <f>CHOOSE(CONTROL!$C$42, 14.8239, 14.8239) * CHOOSE(CONTROL!$C$21, $C$9, 100%, $E$9)</f>
        <v>14.8239</v>
      </c>
      <c r="C315" s="14">
        <f>CHOOSE(CONTROL!$C$42, 14.8289, 14.8289) * CHOOSE(CONTROL!$C$21, $C$9, 100%, $E$9)</f>
        <v>14.828900000000001</v>
      </c>
      <c r="D315" s="14">
        <f>CHOOSE(CONTROL!$C$42, 14.9058, 14.9058) * CHOOSE(CONTROL!$C$21, $C$9, 100%, $E$9)</f>
        <v>14.905799999999999</v>
      </c>
      <c r="E315" s="14">
        <f>CHOOSE(CONTROL!$C$42, 14.9399, 14.9399) * CHOOSE(CONTROL!$C$21, $C$9, 100%, $E$9)</f>
        <v>14.9399</v>
      </c>
      <c r="F315" s="14">
        <f>CHOOSE(CONTROL!$C$42, 14.8237, 14.8237)*CHOOSE(CONTROL!$C$21, $C$9, 100%, $E$9)</f>
        <v>14.823700000000001</v>
      </c>
      <c r="G315" s="14">
        <f>CHOOSE(CONTROL!$C$42, 14.8398, 14.8398)*CHOOSE(CONTROL!$C$21, $C$9, 100%, $E$9)</f>
        <v>14.8398</v>
      </c>
      <c r="H315" s="14">
        <f>CHOOSE(CONTROL!$C$42, 14.9291, 14.9291) * CHOOSE(CONTROL!$C$21, $C$9, 100%, $E$9)</f>
        <v>14.9291</v>
      </c>
      <c r="I315" s="14">
        <f>CHOOSE(CONTROL!$C$42, 14.8884, 14.8884)* CHOOSE(CONTROL!$C$21, $C$9, 100%, $E$9)</f>
        <v>14.888400000000001</v>
      </c>
      <c r="J315" s="14">
        <f>CHOOSE(CONTROL!$C$42, 14.8167, 14.8167)* CHOOSE(CONTROL!$C$21, $C$9, 100%, $E$9)</f>
        <v>14.816700000000001</v>
      </c>
      <c r="K315" s="53">
        <f>CHOOSE(CONTROL!$C$42, 14.8845, 14.8845) * CHOOSE(CONTROL!$C$21, $C$9, 100%, $E$9)</f>
        <v>14.884499999999999</v>
      </c>
      <c r="L315" s="14">
        <f>CHOOSE(CONTROL!$C$42, 15.5161, 15.5161) * CHOOSE(CONTROL!$C$21, $C$9, 100%, $E$9)</f>
        <v>15.5161</v>
      </c>
      <c r="M315" s="14">
        <f>CHOOSE(CONTROL!$C$42, 14.5208, 14.5208) * CHOOSE(CONTROL!$C$21, $C$9, 100%, $E$9)</f>
        <v>14.520799999999999</v>
      </c>
      <c r="N315" s="14">
        <f>CHOOSE(CONTROL!$C$42, 14.5366, 14.5366) * CHOOSE(CONTROL!$C$21, $C$9, 100%, $E$9)</f>
        <v>14.5366</v>
      </c>
      <c r="O315" s="14">
        <f>CHOOSE(CONTROL!$C$42, 14.6309, 14.6309) * CHOOSE(CONTROL!$C$21, $C$9, 100%, $E$9)</f>
        <v>14.6309</v>
      </c>
      <c r="P315" s="14">
        <f>CHOOSE(CONTROL!$C$42, 14.5901, 14.5901) * CHOOSE(CONTROL!$C$21, $C$9, 100%, $E$9)</f>
        <v>14.5901</v>
      </c>
      <c r="Q315" s="14">
        <f>CHOOSE(CONTROL!$C$42, 15.2256, 15.2256) * CHOOSE(CONTROL!$C$21, $C$9, 100%, $E$9)</f>
        <v>15.2256</v>
      </c>
      <c r="R315" s="14">
        <f>CHOOSE(CONTROL!$C$42, 15.8506, 15.8506) * CHOOSE(CONTROL!$C$21, $C$9, 100%, $E$9)</f>
        <v>15.8506</v>
      </c>
      <c r="S315" s="14">
        <f>CHOOSE(CONTROL!$C$42, 14.2357, 14.2357) * CHOOSE(CONTROL!$C$21, $C$9, 100%, $E$9)</f>
        <v>14.2357</v>
      </c>
      <c r="T3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7">
        <f>(1000*CHOOSE(CONTROL!$C$42, 695, 695)*CHOOSE(CONTROL!$C$42, 0.5599, 0.5599)*CHOOSE(CONTROL!$C$42, 31, 31))/1000000</f>
        <v>12.063045499999998</v>
      </c>
      <c r="V315" s="57">
        <f>(1000*CHOOSE(CONTROL!$C$42, 500, 500)*CHOOSE(CONTROL!$C$42, 0.275, 0.275)*CHOOSE(CONTROL!$C$42, 31, 31))/1000000</f>
        <v>4.2625000000000002</v>
      </c>
      <c r="W315" s="57">
        <f>(1000*CHOOSE(CONTROL!$C$42, 0.1146, 0.1146)*CHOOSE(CONTROL!$C$42, 121.5, 121.5)*CHOOSE(CONTROL!$C$42, 31, 31))/1000000</f>
        <v>0.43164089999999994</v>
      </c>
      <c r="X315" s="57">
        <f>(31*0.1790888*100000/1000000)+(31*0.2374*100000/1000000)</f>
        <v>1.2911152800000001</v>
      </c>
      <c r="Y315" s="57"/>
      <c r="Z315" s="14"/>
      <c r="AA315" s="56"/>
      <c r="AB315" s="50">
        <f>(B315*122.58+C315*297.941+D315*89.177+E315*40.302+F315*40+G315*160+H315*0+I315*100+J315*300)/(122.58+297.941+89.177+40.302+0+40+160+100+300)</f>
        <v>14.841547246347826</v>
      </c>
      <c r="AC315" s="45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14.58158201438849</v>
      </c>
    </row>
    <row r="316" spans="1:29" ht="15.75" x14ac:dyDescent="0.25">
      <c r="A316" s="33">
        <v>50525</v>
      </c>
      <c r="B316" s="14">
        <f>CHOOSE(CONTROL!$C$42, 14.7808, 14.7808) * CHOOSE(CONTROL!$C$21, $C$9, 100%, $E$9)</f>
        <v>14.780799999999999</v>
      </c>
      <c r="C316" s="14">
        <f>CHOOSE(CONTROL!$C$42, 14.7852, 14.7852) * CHOOSE(CONTROL!$C$21, $C$9, 100%, $E$9)</f>
        <v>14.7852</v>
      </c>
      <c r="D316" s="14">
        <f>CHOOSE(CONTROL!$C$42, 15.022, 15.022) * CHOOSE(CONTROL!$C$21, $C$9, 100%, $E$9)</f>
        <v>15.022</v>
      </c>
      <c r="E316" s="14">
        <f>CHOOSE(CONTROL!$C$42, 15.0541, 15.0541) * CHOOSE(CONTROL!$C$21, $C$9, 100%, $E$9)</f>
        <v>15.0541</v>
      </c>
      <c r="F316" s="14">
        <f>CHOOSE(CONTROL!$C$42, 14.7787, 14.7787)*CHOOSE(CONTROL!$C$21, $C$9, 100%, $E$9)</f>
        <v>14.778700000000001</v>
      </c>
      <c r="G316" s="14">
        <f>CHOOSE(CONTROL!$C$42, 14.7945, 14.7945)*CHOOSE(CONTROL!$C$21, $C$9, 100%, $E$9)</f>
        <v>14.794499999999999</v>
      </c>
      <c r="H316" s="14">
        <f>CHOOSE(CONTROL!$C$42, 15.0439, 15.0439) * CHOOSE(CONTROL!$C$21, $C$9, 100%, $E$9)</f>
        <v>15.043900000000001</v>
      </c>
      <c r="I316" s="14">
        <f>CHOOSE(CONTROL!$C$42, 14.8443, 14.8443)* CHOOSE(CONTROL!$C$21, $C$9, 100%, $E$9)</f>
        <v>14.8443</v>
      </c>
      <c r="J316" s="14">
        <f>CHOOSE(CONTROL!$C$42, 14.7717, 14.7717)* CHOOSE(CONTROL!$C$21, $C$9, 100%, $E$9)</f>
        <v>14.771699999999999</v>
      </c>
      <c r="K316" s="53">
        <f>CHOOSE(CONTROL!$C$42, 14.8404, 14.8404) * CHOOSE(CONTROL!$C$21, $C$9, 100%, $E$9)</f>
        <v>14.840400000000001</v>
      </c>
      <c r="L316" s="14">
        <f>CHOOSE(CONTROL!$C$42, 15.6309, 15.6309) * CHOOSE(CONTROL!$C$21, $C$9, 100%, $E$9)</f>
        <v>15.6309</v>
      </c>
      <c r="M316" s="14">
        <f>CHOOSE(CONTROL!$C$42, 14.4767, 14.4767) * CHOOSE(CONTROL!$C$21, $C$9, 100%, $E$9)</f>
        <v>14.476699999999999</v>
      </c>
      <c r="N316" s="14">
        <f>CHOOSE(CONTROL!$C$42, 14.4922, 14.4922) * CHOOSE(CONTROL!$C$21, $C$9, 100%, $E$9)</f>
        <v>14.4922</v>
      </c>
      <c r="O316" s="14">
        <f>CHOOSE(CONTROL!$C$42, 14.7433, 14.7433) * CHOOSE(CONTROL!$C$21, $C$9, 100%, $E$9)</f>
        <v>14.7433</v>
      </c>
      <c r="P316" s="14">
        <f>CHOOSE(CONTROL!$C$42, 14.547, 14.547) * CHOOSE(CONTROL!$C$21, $C$9, 100%, $E$9)</f>
        <v>14.547000000000001</v>
      </c>
      <c r="Q316" s="14">
        <f>CHOOSE(CONTROL!$C$42, 15.338, 15.338) * CHOOSE(CONTROL!$C$21, $C$9, 100%, $E$9)</f>
        <v>15.337999999999999</v>
      </c>
      <c r="R316" s="14">
        <f>CHOOSE(CONTROL!$C$42, 15.9634, 15.9634) * CHOOSE(CONTROL!$C$21, $C$9, 100%, $E$9)</f>
        <v>15.9634</v>
      </c>
      <c r="S316" s="14">
        <f>CHOOSE(CONTROL!$C$42, 14.1935, 14.1935) * CHOOSE(CONTROL!$C$21, $C$9, 100%, $E$9)</f>
        <v>14.1935</v>
      </c>
      <c r="T3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7">
        <f>(1000*CHOOSE(CONTROL!$C$42, 695, 695)*CHOOSE(CONTROL!$C$42, 0.5599, 0.5599)*CHOOSE(CONTROL!$C$42, 30, 30))/1000000</f>
        <v>11.673914999999997</v>
      </c>
      <c r="V316" s="57">
        <f>(1000*CHOOSE(CONTROL!$C$42, 500, 500)*CHOOSE(CONTROL!$C$42, 0.275, 0.275)*CHOOSE(CONTROL!$C$42, 30, 30))/1000000</f>
        <v>4.125</v>
      </c>
      <c r="W316" s="57">
        <f>(1000*CHOOSE(CONTROL!$C$42, 0.1146, 0.1146)*CHOOSE(CONTROL!$C$42, 121.5, 121.5)*CHOOSE(CONTROL!$C$42, 30, 30))/1000000</f>
        <v>0.417717</v>
      </c>
      <c r="X316" s="57">
        <f>(30*0.1790888*245000/1000000)+(30*0.2374*100000/1000000)</f>
        <v>2.0285026799999999</v>
      </c>
      <c r="Y316" s="57"/>
      <c r="Z316" s="14"/>
      <c r="AA316" s="56"/>
      <c r="AB316" s="50">
        <f>(B316*141.293+C316*267.993+D316*115.016+E316*89.698+F316*40+G316*185+H316*0+I316*100+J316*300)/(141.293+267.993+115.016+89.698+0+40+185+100+300)</f>
        <v>14.828827434866824</v>
      </c>
      <c r="AC316" s="45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14.56518489208633</v>
      </c>
    </row>
    <row r="317" spans="1:29" ht="15.75" x14ac:dyDescent="0.25">
      <c r="A317" s="33">
        <v>50556</v>
      </c>
      <c r="B317" s="14">
        <f>CHOOSE(CONTROL!$C$42, 14.9125, 14.9125) * CHOOSE(CONTROL!$C$21, $C$9, 100%, $E$9)</f>
        <v>14.9125</v>
      </c>
      <c r="C317" s="14">
        <f>CHOOSE(CONTROL!$C$42, 14.9205, 14.9205) * CHOOSE(CONTROL!$C$21, $C$9, 100%, $E$9)</f>
        <v>14.920500000000001</v>
      </c>
      <c r="D317" s="14">
        <f>CHOOSE(CONTROL!$C$42, 15.1541, 15.1541) * CHOOSE(CONTROL!$C$21, $C$9, 100%, $E$9)</f>
        <v>15.1541</v>
      </c>
      <c r="E317" s="14">
        <f>CHOOSE(CONTROL!$C$42, 15.1856, 15.1856) * CHOOSE(CONTROL!$C$21, $C$9, 100%, $E$9)</f>
        <v>15.185600000000001</v>
      </c>
      <c r="F317" s="14">
        <f>CHOOSE(CONTROL!$C$42, 14.9093, 14.9093)*CHOOSE(CONTROL!$C$21, $C$9, 100%, $E$9)</f>
        <v>14.9093</v>
      </c>
      <c r="G317" s="14">
        <f>CHOOSE(CONTROL!$C$42, 14.9256, 14.9256)*CHOOSE(CONTROL!$C$21, $C$9, 100%, $E$9)</f>
        <v>14.925599999999999</v>
      </c>
      <c r="H317" s="14">
        <f>CHOOSE(CONTROL!$C$42, 15.1742, 15.1742) * CHOOSE(CONTROL!$C$21, $C$9, 100%, $E$9)</f>
        <v>15.174200000000001</v>
      </c>
      <c r="I317" s="14">
        <f>CHOOSE(CONTROL!$C$42, 14.9751, 14.9751)* CHOOSE(CONTROL!$C$21, $C$9, 100%, $E$9)</f>
        <v>14.975099999999999</v>
      </c>
      <c r="J317" s="14">
        <f>CHOOSE(CONTROL!$C$42, 14.9023, 14.9023)* CHOOSE(CONTROL!$C$21, $C$9, 100%, $E$9)</f>
        <v>14.9023</v>
      </c>
      <c r="K317" s="53">
        <f>CHOOSE(CONTROL!$C$42, 14.9712, 14.9712) * CHOOSE(CONTROL!$C$21, $C$9, 100%, $E$9)</f>
        <v>14.9712</v>
      </c>
      <c r="L317" s="14">
        <f>CHOOSE(CONTROL!$C$42, 15.7612, 15.7612) * CHOOSE(CONTROL!$C$21, $C$9, 100%, $E$9)</f>
        <v>15.761200000000001</v>
      </c>
      <c r="M317" s="14">
        <f>CHOOSE(CONTROL!$C$42, 14.6046, 14.6046) * CHOOSE(CONTROL!$C$21, $C$9, 100%, $E$9)</f>
        <v>14.6046</v>
      </c>
      <c r="N317" s="14">
        <f>CHOOSE(CONTROL!$C$42, 14.6207, 14.6207) * CHOOSE(CONTROL!$C$21, $C$9, 100%, $E$9)</f>
        <v>14.620699999999999</v>
      </c>
      <c r="O317" s="14">
        <f>CHOOSE(CONTROL!$C$42, 14.871, 14.871) * CHOOSE(CONTROL!$C$21, $C$9, 100%, $E$9)</f>
        <v>14.871</v>
      </c>
      <c r="P317" s="14">
        <f>CHOOSE(CONTROL!$C$42, 14.6751, 14.6751) * CHOOSE(CONTROL!$C$21, $C$9, 100%, $E$9)</f>
        <v>14.6751</v>
      </c>
      <c r="Q317" s="14">
        <f>CHOOSE(CONTROL!$C$42, 15.4657, 15.4657) * CHOOSE(CONTROL!$C$21, $C$9, 100%, $E$9)</f>
        <v>15.4657</v>
      </c>
      <c r="R317" s="14">
        <f>CHOOSE(CONTROL!$C$42, 16.0914, 16.0914) * CHOOSE(CONTROL!$C$21, $C$9, 100%, $E$9)</f>
        <v>16.0914</v>
      </c>
      <c r="S317" s="14">
        <f>CHOOSE(CONTROL!$C$42, 14.3188, 14.3188) * CHOOSE(CONTROL!$C$21, $C$9, 100%, $E$9)</f>
        <v>14.3188</v>
      </c>
      <c r="T3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7">
        <f>(1000*CHOOSE(CONTROL!$C$42, 695, 695)*CHOOSE(CONTROL!$C$42, 0.5599, 0.5599)*CHOOSE(CONTROL!$C$42, 31, 31))/1000000</f>
        <v>12.063045499999998</v>
      </c>
      <c r="V317" s="57">
        <f>(1000*CHOOSE(CONTROL!$C$42, 500, 500)*CHOOSE(CONTROL!$C$42, 0.275, 0.275)*CHOOSE(CONTROL!$C$42, 31, 31))/1000000</f>
        <v>4.2625000000000002</v>
      </c>
      <c r="W317" s="57">
        <f>(1000*CHOOSE(CONTROL!$C$42, 0.1146, 0.1146)*CHOOSE(CONTROL!$C$42, 121.5, 121.5)*CHOOSE(CONTROL!$C$42, 31, 31))/1000000</f>
        <v>0.43164089999999994</v>
      </c>
      <c r="X317" s="57">
        <f>(31*0.1790888*245000/1000000)+(31*0.2374*100000/1000000)</f>
        <v>2.0961194359999999</v>
      </c>
      <c r="Y317" s="57"/>
      <c r="Z317" s="14"/>
      <c r="AA317" s="56"/>
      <c r="AB317" s="50">
        <f>(B317*194.205+C317*267.466+D317*133.845+E317*53.484+F317*40+G317*185+H317*0+I317*100+J317*300)/(194.205+267.466+133.845+53.484+0+40+185+100+300)</f>
        <v>14.95534039277865</v>
      </c>
      <c r="AC317" s="45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14.693195683453236</v>
      </c>
    </row>
    <row r="318" spans="1:29" ht="15.75" x14ac:dyDescent="0.25">
      <c r="A318" s="33">
        <v>50586</v>
      </c>
      <c r="B318" s="14">
        <f>CHOOSE(CONTROL!$C$42, 15.3352, 15.3352) * CHOOSE(CONTROL!$C$21, $C$9, 100%, $E$9)</f>
        <v>15.3352</v>
      </c>
      <c r="C318" s="14">
        <f>CHOOSE(CONTROL!$C$42, 15.3432, 15.3432) * CHOOSE(CONTROL!$C$21, $C$9, 100%, $E$9)</f>
        <v>15.3432</v>
      </c>
      <c r="D318" s="14">
        <f>CHOOSE(CONTROL!$C$42, 15.5768, 15.5768) * CHOOSE(CONTROL!$C$21, $C$9, 100%, $E$9)</f>
        <v>15.5768</v>
      </c>
      <c r="E318" s="14">
        <f>CHOOSE(CONTROL!$C$42, 15.6083, 15.6083) * CHOOSE(CONTROL!$C$21, $C$9, 100%, $E$9)</f>
        <v>15.6083</v>
      </c>
      <c r="F318" s="14">
        <f>CHOOSE(CONTROL!$C$42, 15.3324, 15.3324)*CHOOSE(CONTROL!$C$21, $C$9, 100%, $E$9)</f>
        <v>15.3324</v>
      </c>
      <c r="G318" s="14">
        <f>CHOOSE(CONTROL!$C$42, 15.3489, 15.3489)*CHOOSE(CONTROL!$C$21, $C$9, 100%, $E$9)</f>
        <v>15.3489</v>
      </c>
      <c r="H318" s="14">
        <f>CHOOSE(CONTROL!$C$42, 15.5969, 15.5969) * CHOOSE(CONTROL!$C$21, $C$9, 100%, $E$9)</f>
        <v>15.5969</v>
      </c>
      <c r="I318" s="14">
        <f>CHOOSE(CONTROL!$C$42, 15.3991, 15.3991)* CHOOSE(CONTROL!$C$21, $C$9, 100%, $E$9)</f>
        <v>15.399100000000001</v>
      </c>
      <c r="J318" s="14">
        <f>CHOOSE(CONTROL!$C$42, 15.3254, 15.3254)* CHOOSE(CONTROL!$C$21, $C$9, 100%, $E$9)</f>
        <v>15.3254</v>
      </c>
      <c r="K318" s="53">
        <f>CHOOSE(CONTROL!$C$42, 15.3952, 15.3952) * CHOOSE(CONTROL!$C$21, $C$9, 100%, $E$9)</f>
        <v>15.395200000000001</v>
      </c>
      <c r="L318" s="14">
        <f>CHOOSE(CONTROL!$C$42, 16.1839, 16.1839) * CHOOSE(CONTROL!$C$21, $C$9, 100%, $E$9)</f>
        <v>16.183900000000001</v>
      </c>
      <c r="M318" s="14">
        <f>CHOOSE(CONTROL!$C$42, 15.0191, 15.0191) * CHOOSE(CONTROL!$C$21, $C$9, 100%, $E$9)</f>
        <v>15.0191</v>
      </c>
      <c r="N318" s="14">
        <f>CHOOSE(CONTROL!$C$42, 15.0353, 15.0353) * CHOOSE(CONTROL!$C$21, $C$9, 100%, $E$9)</f>
        <v>15.035299999999999</v>
      </c>
      <c r="O318" s="14">
        <f>CHOOSE(CONTROL!$C$42, 15.285, 15.285) * CHOOSE(CONTROL!$C$21, $C$9, 100%, $E$9)</f>
        <v>15.285</v>
      </c>
      <c r="P318" s="14">
        <f>CHOOSE(CONTROL!$C$42, 15.0904, 15.0904) * CHOOSE(CONTROL!$C$21, $C$9, 100%, $E$9)</f>
        <v>15.090400000000001</v>
      </c>
      <c r="Q318" s="14">
        <f>CHOOSE(CONTROL!$C$42, 15.8797, 15.8797) * CHOOSE(CONTROL!$C$21, $C$9, 100%, $E$9)</f>
        <v>15.8797</v>
      </c>
      <c r="R318" s="14">
        <f>CHOOSE(CONTROL!$C$42, 16.5064, 16.5064) * CHOOSE(CONTROL!$C$21, $C$9, 100%, $E$9)</f>
        <v>16.506399999999999</v>
      </c>
      <c r="S318" s="14">
        <f>CHOOSE(CONTROL!$C$42, 14.7249, 14.7249) * CHOOSE(CONTROL!$C$21, $C$9, 100%, $E$9)</f>
        <v>14.7249</v>
      </c>
      <c r="T3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7">
        <f>(1000*CHOOSE(CONTROL!$C$42, 695, 695)*CHOOSE(CONTROL!$C$42, 0.5599, 0.5599)*CHOOSE(CONTROL!$C$42, 30, 30))/1000000</f>
        <v>11.673914999999997</v>
      </c>
      <c r="V318" s="57">
        <f>(1000*CHOOSE(CONTROL!$C$42, 500, 500)*CHOOSE(CONTROL!$C$42, 0.275, 0.275)*CHOOSE(CONTROL!$C$42, 30, 30))/1000000</f>
        <v>4.125</v>
      </c>
      <c r="W318" s="57">
        <f>(1000*CHOOSE(CONTROL!$C$42, 0.1146, 0.1146)*CHOOSE(CONTROL!$C$42, 121.5, 121.5)*CHOOSE(CONTROL!$C$42, 30, 30))/1000000</f>
        <v>0.417717</v>
      </c>
      <c r="X318" s="57">
        <f>(30*0.1790888*245000/1000000)+(30*0.2374*100000/1000000)</f>
        <v>2.0285026799999999</v>
      </c>
      <c r="Y318" s="57"/>
      <c r="Z318" s="14"/>
      <c r="AA318" s="56"/>
      <c r="AB318" s="50">
        <f>(B318*194.205+C318*267.466+D318*133.845+E318*53.484+F318*40+G318*185+H318*0+I318*100+J318*300)/(194.205+267.466+133.845+53.484+0+40+185+100+300)</f>
        <v>15.378336311145995</v>
      </c>
      <c r="AC318" s="45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15.107693525179858</v>
      </c>
    </row>
    <row r="319" spans="1:29" ht="15.75" x14ac:dyDescent="0.25">
      <c r="A319" s="33">
        <v>50617</v>
      </c>
      <c r="B319" s="14">
        <f>CHOOSE(CONTROL!$C$42, 15.0412, 15.0412) * CHOOSE(CONTROL!$C$21, $C$9, 100%, $E$9)</f>
        <v>15.0412</v>
      </c>
      <c r="C319" s="14">
        <f>CHOOSE(CONTROL!$C$42, 15.0492, 15.0492) * CHOOSE(CONTROL!$C$21, $C$9, 100%, $E$9)</f>
        <v>15.049200000000001</v>
      </c>
      <c r="D319" s="14">
        <f>CHOOSE(CONTROL!$C$42, 15.2828, 15.2828) * CHOOSE(CONTROL!$C$21, $C$9, 100%, $E$9)</f>
        <v>15.2828</v>
      </c>
      <c r="E319" s="14">
        <f>CHOOSE(CONTROL!$C$42, 15.3143, 15.3143) * CHOOSE(CONTROL!$C$21, $C$9, 100%, $E$9)</f>
        <v>15.314299999999999</v>
      </c>
      <c r="F319" s="14">
        <f>CHOOSE(CONTROL!$C$42, 15.039, 15.039)*CHOOSE(CONTROL!$C$21, $C$9, 100%, $E$9)</f>
        <v>15.039</v>
      </c>
      <c r="G319" s="14">
        <f>CHOOSE(CONTROL!$C$42, 15.0556, 15.0556)*CHOOSE(CONTROL!$C$21, $C$9, 100%, $E$9)</f>
        <v>15.0556</v>
      </c>
      <c r="H319" s="14">
        <f>CHOOSE(CONTROL!$C$42, 15.3029, 15.3029) * CHOOSE(CONTROL!$C$21, $C$9, 100%, $E$9)</f>
        <v>15.302899999999999</v>
      </c>
      <c r="I319" s="14">
        <f>CHOOSE(CONTROL!$C$42, 15.1042, 15.1042)* CHOOSE(CONTROL!$C$21, $C$9, 100%, $E$9)</f>
        <v>15.104200000000001</v>
      </c>
      <c r="J319" s="14">
        <f>CHOOSE(CONTROL!$C$42, 15.032, 15.032)* CHOOSE(CONTROL!$C$21, $C$9, 100%, $E$9)</f>
        <v>15.032</v>
      </c>
      <c r="K319" s="53">
        <f>CHOOSE(CONTROL!$C$42, 15.1003, 15.1003) * CHOOSE(CONTROL!$C$21, $C$9, 100%, $E$9)</f>
        <v>15.100300000000001</v>
      </c>
      <c r="L319" s="14">
        <f>CHOOSE(CONTROL!$C$42, 15.8899, 15.8899) * CHOOSE(CONTROL!$C$21, $C$9, 100%, $E$9)</f>
        <v>15.889900000000001</v>
      </c>
      <c r="M319" s="14">
        <f>CHOOSE(CONTROL!$C$42, 14.7317, 14.7317) * CHOOSE(CONTROL!$C$21, $C$9, 100%, $E$9)</f>
        <v>14.7317</v>
      </c>
      <c r="N319" s="14">
        <f>CHOOSE(CONTROL!$C$42, 14.748, 14.748) * CHOOSE(CONTROL!$C$21, $C$9, 100%, $E$9)</f>
        <v>14.747999999999999</v>
      </c>
      <c r="O319" s="14">
        <f>CHOOSE(CONTROL!$C$42, 14.9971, 14.9971) * CHOOSE(CONTROL!$C$21, $C$9, 100%, $E$9)</f>
        <v>14.9971</v>
      </c>
      <c r="P319" s="14">
        <f>CHOOSE(CONTROL!$C$42, 14.8015, 14.8015) * CHOOSE(CONTROL!$C$21, $C$9, 100%, $E$9)</f>
        <v>14.801500000000001</v>
      </c>
      <c r="Q319" s="14">
        <f>CHOOSE(CONTROL!$C$42, 15.5918, 15.5918) * CHOOSE(CONTROL!$C$21, $C$9, 100%, $E$9)</f>
        <v>15.591799999999999</v>
      </c>
      <c r="R319" s="14">
        <f>CHOOSE(CONTROL!$C$42, 16.2178, 16.2178) * CHOOSE(CONTROL!$C$21, $C$9, 100%, $E$9)</f>
        <v>16.2178</v>
      </c>
      <c r="S319" s="14">
        <f>CHOOSE(CONTROL!$C$42, 14.4425, 14.4425) * CHOOSE(CONTROL!$C$21, $C$9, 100%, $E$9)</f>
        <v>14.442500000000001</v>
      </c>
      <c r="T3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7">
        <f>(1000*CHOOSE(CONTROL!$C$42, 695, 695)*CHOOSE(CONTROL!$C$42, 0.5599, 0.5599)*CHOOSE(CONTROL!$C$42, 31, 31))/1000000</f>
        <v>12.063045499999998</v>
      </c>
      <c r="V319" s="57">
        <f>(1000*CHOOSE(CONTROL!$C$42, 500, 500)*CHOOSE(CONTROL!$C$42, 0.275, 0.275)*CHOOSE(CONTROL!$C$42, 31, 31))/1000000</f>
        <v>4.2625000000000002</v>
      </c>
      <c r="W319" s="57">
        <f>(1000*CHOOSE(CONTROL!$C$42, 0.1146, 0.1146)*CHOOSE(CONTROL!$C$42, 121.5, 121.5)*CHOOSE(CONTROL!$C$42, 31, 31))/1000000</f>
        <v>0.43164089999999994</v>
      </c>
      <c r="X319" s="57">
        <f>(31*0.1790888*245000/1000000)+(31*0.2374*100000/1000000)</f>
        <v>2.0961194359999999</v>
      </c>
      <c r="Y319" s="57"/>
      <c r="Z319" s="14"/>
      <c r="AA319" s="56"/>
      <c r="AB319" s="50">
        <f>(B319*194.205+C319*267.466+D319*133.845+E319*53.484+F319*40+G319*185+H319*0+I319*100+J319*300)/(194.205+267.466+133.845+53.484+0+40+185+100+300)</f>
        <v>15.084527441444269</v>
      </c>
      <c r="AC319" s="45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14.819960431654675</v>
      </c>
    </row>
    <row r="320" spans="1:29" ht="15.75" x14ac:dyDescent="0.25">
      <c r="A320" s="33">
        <v>50648</v>
      </c>
      <c r="B320" s="14">
        <f>CHOOSE(CONTROL!$C$42, 14.2989, 14.2989) * CHOOSE(CONTROL!$C$21, $C$9, 100%, $E$9)</f>
        <v>14.2989</v>
      </c>
      <c r="C320" s="14">
        <f>CHOOSE(CONTROL!$C$42, 14.3069, 14.3069) * CHOOSE(CONTROL!$C$21, $C$9, 100%, $E$9)</f>
        <v>14.306900000000001</v>
      </c>
      <c r="D320" s="14">
        <f>CHOOSE(CONTROL!$C$42, 14.5405, 14.5405) * CHOOSE(CONTROL!$C$21, $C$9, 100%, $E$9)</f>
        <v>14.5405</v>
      </c>
      <c r="E320" s="14">
        <f>CHOOSE(CONTROL!$C$42, 14.5719, 14.5719) * CHOOSE(CONTROL!$C$21, $C$9, 100%, $E$9)</f>
        <v>14.571899999999999</v>
      </c>
      <c r="F320" s="14">
        <f>CHOOSE(CONTROL!$C$42, 14.2968, 14.2968)*CHOOSE(CONTROL!$C$21, $C$9, 100%, $E$9)</f>
        <v>14.296799999999999</v>
      </c>
      <c r="G320" s="14">
        <f>CHOOSE(CONTROL!$C$42, 14.3135, 14.3135)*CHOOSE(CONTROL!$C$21, $C$9, 100%, $E$9)</f>
        <v>14.313499999999999</v>
      </c>
      <c r="H320" s="14">
        <f>CHOOSE(CONTROL!$C$42, 14.5606, 14.5606) * CHOOSE(CONTROL!$C$21, $C$9, 100%, $E$9)</f>
        <v>14.560600000000001</v>
      </c>
      <c r="I320" s="14">
        <f>CHOOSE(CONTROL!$C$42, 14.3595, 14.3595)* CHOOSE(CONTROL!$C$21, $C$9, 100%, $E$9)</f>
        <v>14.359500000000001</v>
      </c>
      <c r="J320" s="14">
        <f>CHOOSE(CONTROL!$C$42, 14.2898, 14.2898)* CHOOSE(CONTROL!$C$21, $C$9, 100%, $E$9)</f>
        <v>14.2898</v>
      </c>
      <c r="K320" s="53">
        <f>CHOOSE(CONTROL!$C$42, 14.3556, 14.3556) * CHOOSE(CONTROL!$C$21, $C$9, 100%, $E$9)</f>
        <v>14.355600000000001</v>
      </c>
      <c r="L320" s="14">
        <f>CHOOSE(CONTROL!$C$42, 15.1476, 15.1476) * CHOOSE(CONTROL!$C$21, $C$9, 100%, $E$9)</f>
        <v>15.147600000000001</v>
      </c>
      <c r="M320" s="14">
        <f>CHOOSE(CONTROL!$C$42, 14.0047, 14.0047) * CHOOSE(CONTROL!$C$21, $C$9, 100%, $E$9)</f>
        <v>14.0047</v>
      </c>
      <c r="N320" s="14">
        <f>CHOOSE(CONTROL!$C$42, 14.0211, 14.0211) * CHOOSE(CONTROL!$C$21, $C$9, 100%, $E$9)</f>
        <v>14.021100000000001</v>
      </c>
      <c r="O320" s="14">
        <f>CHOOSE(CONTROL!$C$42, 14.2699, 14.2699) * CHOOSE(CONTROL!$C$21, $C$9, 100%, $E$9)</f>
        <v>14.2699</v>
      </c>
      <c r="P320" s="14">
        <f>CHOOSE(CONTROL!$C$42, 14.0722, 14.0722) * CHOOSE(CONTROL!$C$21, $C$9, 100%, $E$9)</f>
        <v>14.0722</v>
      </c>
      <c r="Q320" s="14">
        <f>CHOOSE(CONTROL!$C$42, 14.8646, 14.8646) * CHOOSE(CONTROL!$C$21, $C$9, 100%, $E$9)</f>
        <v>14.864599999999999</v>
      </c>
      <c r="R320" s="14">
        <f>CHOOSE(CONTROL!$C$42, 15.4888, 15.4888) * CHOOSE(CONTROL!$C$21, $C$9, 100%, $E$9)</f>
        <v>15.488799999999999</v>
      </c>
      <c r="S320" s="14">
        <f>CHOOSE(CONTROL!$C$42, 13.7291, 13.7291) * CHOOSE(CONTROL!$C$21, $C$9, 100%, $E$9)</f>
        <v>13.729100000000001</v>
      </c>
      <c r="T3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7">
        <f>(1000*CHOOSE(CONTROL!$C$42, 695, 695)*CHOOSE(CONTROL!$C$42, 0.5599, 0.5599)*CHOOSE(CONTROL!$C$42, 31, 31))/1000000</f>
        <v>12.063045499999998</v>
      </c>
      <c r="V320" s="57">
        <f>(1000*CHOOSE(CONTROL!$C$42, 500, 500)*CHOOSE(CONTROL!$C$42, 0.275, 0.275)*CHOOSE(CONTROL!$C$42, 31, 31))/1000000</f>
        <v>4.2625000000000002</v>
      </c>
      <c r="W320" s="57">
        <f>(1000*CHOOSE(CONTROL!$C$42, 0.1146, 0.1146)*CHOOSE(CONTROL!$C$42, 121.5, 121.5)*CHOOSE(CONTROL!$C$42, 31, 31))/1000000</f>
        <v>0.43164089999999994</v>
      </c>
      <c r="X320" s="57">
        <f>(31*0.1790888*245000/1000000)+(31*0.2374*100000/1000000)</f>
        <v>2.0961194359999999</v>
      </c>
      <c r="Y320" s="57"/>
      <c r="Z320" s="14"/>
      <c r="AA320" s="56"/>
      <c r="AB320" s="50">
        <f>(B320*194.205+C320*267.466+D320*133.845+E320*53.484+F320*40+G320*185+H320*0+I320*100+J320*300)/(194.205+267.466+133.845+53.484+0+40+185+100+300)</f>
        <v>14.342090590266874</v>
      </c>
      <c r="AC320" s="45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14.092596402877698</v>
      </c>
    </row>
    <row r="321" spans="1:29" ht="15.75" x14ac:dyDescent="0.25">
      <c r="A321" s="33">
        <v>50678</v>
      </c>
      <c r="B321" s="14">
        <f>CHOOSE(CONTROL!$C$42, 13.3914, 13.3914) * CHOOSE(CONTROL!$C$21, $C$9, 100%, $E$9)</f>
        <v>13.391400000000001</v>
      </c>
      <c r="C321" s="14">
        <f>CHOOSE(CONTROL!$C$42, 13.3994, 13.3994) * CHOOSE(CONTROL!$C$21, $C$9, 100%, $E$9)</f>
        <v>13.3994</v>
      </c>
      <c r="D321" s="14">
        <f>CHOOSE(CONTROL!$C$42, 13.633, 13.633) * CHOOSE(CONTROL!$C$21, $C$9, 100%, $E$9)</f>
        <v>13.632999999999999</v>
      </c>
      <c r="E321" s="14">
        <f>CHOOSE(CONTROL!$C$42, 13.6645, 13.6645) * CHOOSE(CONTROL!$C$21, $C$9, 100%, $E$9)</f>
        <v>13.6645</v>
      </c>
      <c r="F321" s="14">
        <f>CHOOSE(CONTROL!$C$42, 13.3894, 13.3894)*CHOOSE(CONTROL!$C$21, $C$9, 100%, $E$9)</f>
        <v>13.3894</v>
      </c>
      <c r="G321" s="14">
        <f>CHOOSE(CONTROL!$C$42, 13.4061, 13.4061)*CHOOSE(CONTROL!$C$21, $C$9, 100%, $E$9)</f>
        <v>13.4061</v>
      </c>
      <c r="H321" s="14">
        <f>CHOOSE(CONTROL!$C$42, 13.6531, 13.6531) * CHOOSE(CONTROL!$C$21, $C$9, 100%, $E$9)</f>
        <v>13.6531</v>
      </c>
      <c r="I321" s="14">
        <f>CHOOSE(CONTROL!$C$42, 13.4492, 13.4492)* CHOOSE(CONTROL!$C$21, $C$9, 100%, $E$9)</f>
        <v>13.449199999999999</v>
      </c>
      <c r="J321" s="14">
        <f>CHOOSE(CONTROL!$C$42, 13.3824, 13.3824)* CHOOSE(CONTROL!$C$21, $C$9, 100%, $E$9)</f>
        <v>13.382400000000001</v>
      </c>
      <c r="K321" s="53">
        <f>CHOOSE(CONTROL!$C$42, 13.4453, 13.4453) * CHOOSE(CONTROL!$C$21, $C$9, 100%, $E$9)</f>
        <v>13.4453</v>
      </c>
      <c r="L321" s="14">
        <f>CHOOSE(CONTROL!$C$42, 14.2401, 14.2401) * CHOOSE(CONTROL!$C$21, $C$9, 100%, $E$9)</f>
        <v>14.2401</v>
      </c>
      <c r="M321" s="14">
        <f>CHOOSE(CONTROL!$C$42, 13.1159, 13.1159) * CHOOSE(CONTROL!$C$21, $C$9, 100%, $E$9)</f>
        <v>13.1159</v>
      </c>
      <c r="N321" s="14">
        <f>CHOOSE(CONTROL!$C$42, 13.1322, 13.1322) * CHOOSE(CONTROL!$C$21, $C$9, 100%, $E$9)</f>
        <v>13.132199999999999</v>
      </c>
      <c r="O321" s="14">
        <f>CHOOSE(CONTROL!$C$42, 13.3811, 13.3811) * CHOOSE(CONTROL!$C$21, $C$9, 100%, $E$9)</f>
        <v>13.3811</v>
      </c>
      <c r="P321" s="14">
        <f>CHOOSE(CONTROL!$C$42, 13.1806, 13.1806) * CHOOSE(CONTROL!$C$21, $C$9, 100%, $E$9)</f>
        <v>13.1806</v>
      </c>
      <c r="Q321" s="14">
        <f>CHOOSE(CONTROL!$C$42, 13.9758, 13.9758) * CHOOSE(CONTROL!$C$21, $C$9, 100%, $E$9)</f>
        <v>13.9758</v>
      </c>
      <c r="R321" s="14">
        <f>CHOOSE(CONTROL!$C$42, 14.5977, 14.5977) * CHOOSE(CONTROL!$C$21, $C$9, 100%, $E$9)</f>
        <v>14.5977</v>
      </c>
      <c r="S321" s="14">
        <f>CHOOSE(CONTROL!$C$42, 12.8572, 12.8572) * CHOOSE(CONTROL!$C$21, $C$9, 100%, $E$9)</f>
        <v>12.857200000000001</v>
      </c>
      <c r="T3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7">
        <f>(1000*CHOOSE(CONTROL!$C$42, 695, 695)*CHOOSE(CONTROL!$C$42, 0.5599, 0.5599)*CHOOSE(CONTROL!$C$42, 30, 30))/1000000</f>
        <v>11.673914999999997</v>
      </c>
      <c r="V321" s="57">
        <f>(1000*CHOOSE(CONTROL!$C$42, 500, 500)*CHOOSE(CONTROL!$C$42, 0.275, 0.275)*CHOOSE(CONTROL!$C$42, 30, 30))/1000000</f>
        <v>4.125</v>
      </c>
      <c r="W321" s="57">
        <f>(1000*CHOOSE(CONTROL!$C$42, 0.1146, 0.1146)*CHOOSE(CONTROL!$C$42, 121.5, 121.5)*CHOOSE(CONTROL!$C$42, 30, 30))/1000000</f>
        <v>0.417717</v>
      </c>
      <c r="X321" s="57">
        <f>(30*0.1790888*245000/1000000)+(30*0.2374*100000/1000000)</f>
        <v>2.0285026799999999</v>
      </c>
      <c r="Y321" s="57"/>
      <c r="Z321" s="14"/>
      <c r="AA321" s="56"/>
      <c r="AB321" s="50">
        <f>(B321*194.205+C321*267.466+D321*133.845+E321*53.484+F321*40+G321*185+H321*0+I321*100+J321*300)/(194.205+267.466+133.845+53.484+0+40+185+100+300)</f>
        <v>13.434416216954476</v>
      </c>
      <c r="AC321" s="45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13.203370503597121</v>
      </c>
    </row>
    <row r="322" spans="1:29" ht="15.75" x14ac:dyDescent="0.25">
      <c r="A322" s="33">
        <v>50709</v>
      </c>
      <c r="B322" s="14">
        <f>CHOOSE(CONTROL!$C$42, 13.118, 13.118) * CHOOSE(CONTROL!$C$21, $C$9, 100%, $E$9)</f>
        <v>13.118</v>
      </c>
      <c r="C322" s="14">
        <f>CHOOSE(CONTROL!$C$42, 13.1233, 13.1233) * CHOOSE(CONTROL!$C$21, $C$9, 100%, $E$9)</f>
        <v>13.1233</v>
      </c>
      <c r="D322" s="14">
        <f>CHOOSE(CONTROL!$C$42, 13.3619, 13.3619) * CHOOSE(CONTROL!$C$21, $C$9, 100%, $E$9)</f>
        <v>13.3619</v>
      </c>
      <c r="E322" s="14">
        <f>CHOOSE(CONTROL!$C$42, 13.391, 13.391) * CHOOSE(CONTROL!$C$21, $C$9, 100%, $E$9)</f>
        <v>13.391</v>
      </c>
      <c r="F322" s="14">
        <f>CHOOSE(CONTROL!$C$42, 13.118, 13.118)*CHOOSE(CONTROL!$C$21, $C$9, 100%, $E$9)</f>
        <v>13.118</v>
      </c>
      <c r="G322" s="14">
        <f>CHOOSE(CONTROL!$C$42, 13.1343, 13.1343)*CHOOSE(CONTROL!$C$21, $C$9, 100%, $E$9)</f>
        <v>13.1343</v>
      </c>
      <c r="H322" s="14">
        <f>CHOOSE(CONTROL!$C$42, 13.3814, 13.3814) * CHOOSE(CONTROL!$C$21, $C$9, 100%, $E$9)</f>
        <v>13.381399999999999</v>
      </c>
      <c r="I322" s="14">
        <f>CHOOSE(CONTROL!$C$42, 13.1767, 13.1767)* CHOOSE(CONTROL!$C$21, $C$9, 100%, $E$9)</f>
        <v>13.1767</v>
      </c>
      <c r="J322" s="14">
        <f>CHOOSE(CONTROL!$C$42, 13.111, 13.111)* CHOOSE(CONTROL!$C$21, $C$9, 100%, $E$9)</f>
        <v>13.111000000000001</v>
      </c>
      <c r="K322" s="53">
        <f>CHOOSE(CONTROL!$C$42, 13.1728, 13.1728) * CHOOSE(CONTROL!$C$21, $C$9, 100%, $E$9)</f>
        <v>13.172800000000001</v>
      </c>
      <c r="L322" s="14">
        <f>CHOOSE(CONTROL!$C$42, 13.9684, 13.9684) * CHOOSE(CONTROL!$C$21, $C$9, 100%, $E$9)</f>
        <v>13.968400000000001</v>
      </c>
      <c r="M322" s="14">
        <f>CHOOSE(CONTROL!$C$42, 12.85, 12.85) * CHOOSE(CONTROL!$C$21, $C$9, 100%, $E$9)</f>
        <v>12.85</v>
      </c>
      <c r="N322" s="14">
        <f>CHOOSE(CONTROL!$C$42, 12.866, 12.866) * CHOOSE(CONTROL!$C$21, $C$9, 100%, $E$9)</f>
        <v>12.866</v>
      </c>
      <c r="O322" s="14">
        <f>CHOOSE(CONTROL!$C$42, 13.115, 13.115) * CHOOSE(CONTROL!$C$21, $C$9, 100%, $E$9)</f>
        <v>13.115</v>
      </c>
      <c r="P322" s="14">
        <f>CHOOSE(CONTROL!$C$42, 12.9137, 12.9137) * CHOOSE(CONTROL!$C$21, $C$9, 100%, $E$9)</f>
        <v>12.9137</v>
      </c>
      <c r="Q322" s="14">
        <f>CHOOSE(CONTROL!$C$42, 13.7097, 13.7097) * CHOOSE(CONTROL!$C$21, $C$9, 100%, $E$9)</f>
        <v>13.7097</v>
      </c>
      <c r="R322" s="14">
        <f>CHOOSE(CONTROL!$C$42, 14.3309, 14.3309) * CHOOSE(CONTROL!$C$21, $C$9, 100%, $E$9)</f>
        <v>14.3309</v>
      </c>
      <c r="S322" s="14">
        <f>CHOOSE(CONTROL!$C$42, 12.5961, 12.5961) * CHOOSE(CONTROL!$C$21, $C$9, 100%, $E$9)</f>
        <v>12.5961</v>
      </c>
      <c r="T3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7">
        <f>(1000*CHOOSE(CONTROL!$C$42, 695, 695)*CHOOSE(CONTROL!$C$42, 0.5599, 0.5599)*CHOOSE(CONTROL!$C$42, 31, 31))/1000000</f>
        <v>12.063045499999998</v>
      </c>
      <c r="V322" s="57">
        <f>(1000*CHOOSE(CONTROL!$C$42, 500, 500)*CHOOSE(CONTROL!$C$42, 0.275, 0.275)*CHOOSE(CONTROL!$C$42, 31, 31))/1000000</f>
        <v>4.2625000000000002</v>
      </c>
      <c r="W322" s="57">
        <f>(1000*CHOOSE(CONTROL!$C$42, 0.1146, 0.1146)*CHOOSE(CONTROL!$C$42, 121.5, 121.5)*CHOOSE(CONTROL!$C$42, 31, 31))/1000000</f>
        <v>0.43164089999999994</v>
      </c>
      <c r="X322" s="57">
        <f>(31*0.1790888*245000/1000000)+(31*0.2374*100000/1000000)</f>
        <v>2.0961194359999999</v>
      </c>
      <c r="Y322" s="57"/>
      <c r="Z322" s="14"/>
      <c r="AA322" s="56"/>
      <c r="AB322" s="50">
        <f>(B322*131.881+C322*277.167+D322*79.08+E322*125.872+F322*40+G322*185+H322*0+I322*100+J322*300)/(131.881+277.167+79.08+125.872+0+40+185+100+300)</f>
        <v>13.1679638039548</v>
      </c>
      <c r="AC322" s="45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12.93720143884892</v>
      </c>
    </row>
    <row r="323" spans="1:29" ht="15.75" x14ac:dyDescent="0.25">
      <c r="A323" s="33">
        <v>50739</v>
      </c>
      <c r="B323" s="14">
        <f>CHOOSE(CONTROL!$C$42, 13.4629, 13.4629) * CHOOSE(CONTROL!$C$21, $C$9, 100%, $E$9)</f>
        <v>13.462899999999999</v>
      </c>
      <c r="C323" s="14">
        <f>CHOOSE(CONTROL!$C$42, 13.4679, 13.4679) * CHOOSE(CONTROL!$C$21, $C$9, 100%, $E$9)</f>
        <v>13.4679</v>
      </c>
      <c r="D323" s="14">
        <f>CHOOSE(CONTROL!$C$42, 13.5422, 13.5422) * CHOOSE(CONTROL!$C$21, $C$9, 100%, $E$9)</f>
        <v>13.542199999999999</v>
      </c>
      <c r="E323" s="14">
        <f>CHOOSE(CONTROL!$C$42, 13.5763, 13.5763) * CHOOSE(CONTROL!$C$21, $C$9, 100%, $E$9)</f>
        <v>13.5763</v>
      </c>
      <c r="F323" s="14">
        <f>CHOOSE(CONTROL!$C$42, 13.4749, 13.4749)*CHOOSE(CONTROL!$C$21, $C$9, 100%, $E$9)</f>
        <v>13.4749</v>
      </c>
      <c r="G323" s="14">
        <f>CHOOSE(CONTROL!$C$42, 13.4915, 13.4915)*CHOOSE(CONTROL!$C$21, $C$9, 100%, $E$9)</f>
        <v>13.4915</v>
      </c>
      <c r="H323" s="14">
        <f>CHOOSE(CONTROL!$C$42, 13.5655, 13.5655) * CHOOSE(CONTROL!$C$21, $C$9, 100%, $E$9)</f>
        <v>13.5655</v>
      </c>
      <c r="I323" s="14">
        <f>CHOOSE(CONTROL!$C$42, 13.5294, 13.5294)* CHOOSE(CONTROL!$C$21, $C$9, 100%, $E$9)</f>
        <v>13.529400000000001</v>
      </c>
      <c r="J323" s="14">
        <f>CHOOSE(CONTROL!$C$42, 13.4679, 13.4679)* CHOOSE(CONTROL!$C$21, $C$9, 100%, $E$9)</f>
        <v>13.4679</v>
      </c>
      <c r="K323" s="53">
        <f>CHOOSE(CONTROL!$C$42, 13.5255, 13.5255) * CHOOSE(CONTROL!$C$21, $C$9, 100%, $E$9)</f>
        <v>13.525499999999999</v>
      </c>
      <c r="L323" s="14">
        <f>CHOOSE(CONTROL!$C$42, 14.1525, 14.1525) * CHOOSE(CONTROL!$C$21, $C$9, 100%, $E$9)</f>
        <v>14.1525</v>
      </c>
      <c r="M323" s="14">
        <f>CHOOSE(CONTROL!$C$42, 13.1997, 13.1997) * CHOOSE(CONTROL!$C$21, $C$9, 100%, $E$9)</f>
        <v>13.1997</v>
      </c>
      <c r="N323" s="14">
        <f>CHOOSE(CONTROL!$C$42, 13.2159, 13.2159) * CHOOSE(CONTROL!$C$21, $C$9, 100%, $E$9)</f>
        <v>13.2159</v>
      </c>
      <c r="O323" s="14">
        <f>CHOOSE(CONTROL!$C$42, 13.2952, 13.2952) * CHOOSE(CONTROL!$C$21, $C$9, 100%, $E$9)</f>
        <v>13.295199999999999</v>
      </c>
      <c r="P323" s="14">
        <f>CHOOSE(CONTROL!$C$42, 13.2591, 13.2591) * CHOOSE(CONTROL!$C$21, $C$9, 100%, $E$9)</f>
        <v>13.2591</v>
      </c>
      <c r="Q323" s="14">
        <f>CHOOSE(CONTROL!$C$42, 13.8899, 13.8899) * CHOOSE(CONTROL!$C$21, $C$9, 100%, $E$9)</f>
        <v>13.889900000000001</v>
      </c>
      <c r="R323" s="14">
        <f>CHOOSE(CONTROL!$C$42, 14.5116, 14.5116) * CHOOSE(CONTROL!$C$21, $C$9, 100%, $E$9)</f>
        <v>14.5116</v>
      </c>
      <c r="S323" s="14">
        <f>CHOOSE(CONTROL!$C$42, 12.9279, 12.9279) * CHOOSE(CONTROL!$C$21, $C$9, 100%, $E$9)</f>
        <v>12.927899999999999</v>
      </c>
      <c r="T3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7">
        <f>(1000*CHOOSE(CONTROL!$C$42, 695, 695)*CHOOSE(CONTROL!$C$42, 0.5599, 0.5599)*CHOOSE(CONTROL!$C$42, 30, 30))/1000000</f>
        <v>11.673914999999997</v>
      </c>
      <c r="V323" s="57">
        <f>(1000*CHOOSE(CONTROL!$C$42, 500, 500)*CHOOSE(CONTROL!$C$42, 0.275, 0.275)*CHOOSE(CONTROL!$C$42, 30, 30))/1000000</f>
        <v>4.125</v>
      </c>
      <c r="W323" s="57">
        <f>(1000*CHOOSE(CONTROL!$C$42, 0.1146, 0.1146)*CHOOSE(CONTROL!$C$42, 121.5, 121.5)*CHOOSE(CONTROL!$C$42, 30, 30))/1000000</f>
        <v>0.417717</v>
      </c>
      <c r="X323" s="57">
        <f>(30*0.1790888*100000/1000000)+(30*0.2374*100000/1000000)</f>
        <v>1.2494664</v>
      </c>
      <c r="Y323" s="57"/>
      <c r="Z323" s="14"/>
      <c r="AA323" s="56"/>
      <c r="AB323" s="50">
        <f>(B323*122.58+C323*297.941+D323*89.177+E323*40.302+F323*40+G323*160+H323*0+I323*100+J323*300)/(122.58+297.941+89.177+40.302+0+40+160+100+300)</f>
        <v>13.485802337304346</v>
      </c>
      <c r="AC323" s="45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13.252463309352517</v>
      </c>
    </row>
    <row r="324" spans="1:29" ht="15.75" x14ac:dyDescent="0.25">
      <c r="A324" s="33">
        <v>50770</v>
      </c>
      <c r="B324" s="14">
        <f>CHOOSE(CONTROL!$C$42, 14.3801, 14.3801) * CHOOSE(CONTROL!$C$21, $C$9, 100%, $E$9)</f>
        <v>14.380100000000001</v>
      </c>
      <c r="C324" s="14">
        <f>CHOOSE(CONTROL!$C$42, 14.3852, 14.3852) * CHOOSE(CONTROL!$C$21, $C$9, 100%, $E$9)</f>
        <v>14.385199999999999</v>
      </c>
      <c r="D324" s="14">
        <f>CHOOSE(CONTROL!$C$42, 14.4594, 14.4594) * CHOOSE(CONTROL!$C$21, $C$9, 100%, $E$9)</f>
        <v>14.4594</v>
      </c>
      <c r="E324" s="14">
        <f>CHOOSE(CONTROL!$C$42, 14.4935, 14.4935) * CHOOSE(CONTROL!$C$21, $C$9, 100%, $E$9)</f>
        <v>14.493499999999999</v>
      </c>
      <c r="F324" s="14">
        <f>CHOOSE(CONTROL!$C$42, 14.3943, 14.3943)*CHOOSE(CONTROL!$C$21, $C$9, 100%, $E$9)</f>
        <v>14.394299999999999</v>
      </c>
      <c r="G324" s="14">
        <f>CHOOSE(CONTROL!$C$42, 14.4115, 14.4115)*CHOOSE(CONTROL!$C$21, $C$9, 100%, $E$9)</f>
        <v>14.4115</v>
      </c>
      <c r="H324" s="14">
        <f>CHOOSE(CONTROL!$C$42, 14.4827, 14.4827) * CHOOSE(CONTROL!$C$21, $C$9, 100%, $E$9)</f>
        <v>14.482699999999999</v>
      </c>
      <c r="I324" s="14">
        <f>CHOOSE(CONTROL!$C$42, 14.4495, 14.4495)* CHOOSE(CONTROL!$C$21, $C$9, 100%, $E$9)</f>
        <v>14.4495</v>
      </c>
      <c r="J324" s="14">
        <f>CHOOSE(CONTROL!$C$42, 14.3873, 14.3873)* CHOOSE(CONTROL!$C$21, $C$9, 100%, $E$9)</f>
        <v>14.3873</v>
      </c>
      <c r="K324" s="53">
        <f>CHOOSE(CONTROL!$C$42, 14.4456, 14.4456) * CHOOSE(CONTROL!$C$21, $C$9, 100%, $E$9)</f>
        <v>14.445600000000001</v>
      </c>
      <c r="L324" s="14">
        <f>CHOOSE(CONTROL!$C$42, 15.0697, 15.0697) * CHOOSE(CONTROL!$C$21, $C$9, 100%, $E$9)</f>
        <v>15.069699999999999</v>
      </c>
      <c r="M324" s="14">
        <f>CHOOSE(CONTROL!$C$42, 14.1002, 14.1002) * CHOOSE(CONTROL!$C$21, $C$9, 100%, $E$9)</f>
        <v>14.100199999999999</v>
      </c>
      <c r="N324" s="14">
        <f>CHOOSE(CONTROL!$C$42, 14.1171, 14.1171) * CHOOSE(CONTROL!$C$21, $C$9, 100%, $E$9)</f>
        <v>14.117100000000001</v>
      </c>
      <c r="O324" s="14">
        <f>CHOOSE(CONTROL!$C$42, 14.1936, 14.1936) * CHOOSE(CONTROL!$C$21, $C$9, 100%, $E$9)</f>
        <v>14.1936</v>
      </c>
      <c r="P324" s="14">
        <f>CHOOSE(CONTROL!$C$42, 14.1603, 14.1603) * CHOOSE(CONTROL!$C$21, $C$9, 100%, $E$9)</f>
        <v>14.160299999999999</v>
      </c>
      <c r="Q324" s="14">
        <f>CHOOSE(CONTROL!$C$42, 14.7883, 14.7883) * CHOOSE(CONTROL!$C$21, $C$9, 100%, $E$9)</f>
        <v>14.7883</v>
      </c>
      <c r="R324" s="14">
        <f>CHOOSE(CONTROL!$C$42, 15.4123, 15.4123) * CHOOSE(CONTROL!$C$21, $C$9, 100%, $E$9)</f>
        <v>15.4123</v>
      </c>
      <c r="S324" s="14">
        <f>CHOOSE(CONTROL!$C$42, 13.8093, 13.8093) * CHOOSE(CONTROL!$C$21, $C$9, 100%, $E$9)</f>
        <v>13.8093</v>
      </c>
      <c r="T3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7">
        <f>(1000*CHOOSE(CONTROL!$C$42, 695, 695)*CHOOSE(CONTROL!$C$42, 0.5599, 0.5599)*CHOOSE(CONTROL!$C$42, 31, 31))/1000000</f>
        <v>12.063045499999998</v>
      </c>
      <c r="V324" s="57">
        <f>(1000*CHOOSE(CONTROL!$C$42, 500, 500)*CHOOSE(CONTROL!$C$42, 0.275, 0.275)*CHOOSE(CONTROL!$C$42, 31, 31))/1000000</f>
        <v>4.2625000000000002</v>
      </c>
      <c r="W324" s="57">
        <f>(1000*CHOOSE(CONTROL!$C$42, 0.1146, 0.1146)*CHOOSE(CONTROL!$C$42, 121.5, 121.5)*CHOOSE(CONTROL!$C$42, 31, 31))/1000000</f>
        <v>0.43164089999999994</v>
      </c>
      <c r="X324" s="57">
        <f>(31*0.1790888*100000/1000000)+(31*0.2374*100000/1000000)</f>
        <v>1.2911152800000001</v>
      </c>
      <c r="Y324" s="57"/>
      <c r="Z324" s="14"/>
      <c r="AA324" s="56"/>
      <c r="AB324" s="50">
        <f>(B324*122.58+C324*297.941+D324*89.177+E324*40.302+F324*40+G324*160+H324*0+I324*100+J324*300)/(122.58+297.941+89.177+40.302+0+40+160+100+300)</f>
        <v>14.404320419130435</v>
      </c>
      <c r="AC324" s="45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14.152152517985613</v>
      </c>
    </row>
    <row r="325" spans="1:29" ht="15.75" x14ac:dyDescent="0.25">
      <c r="A325" s="33">
        <v>50801</v>
      </c>
      <c r="B325" s="14">
        <f>CHOOSE(CONTROL!$C$42, 15.5714, 15.5714) * CHOOSE(CONTROL!$C$21, $C$9, 100%, $E$9)</f>
        <v>15.571400000000001</v>
      </c>
      <c r="C325" s="14">
        <f>CHOOSE(CONTROL!$C$42, 15.5765, 15.5765) * CHOOSE(CONTROL!$C$21, $C$9, 100%, $E$9)</f>
        <v>15.576499999999999</v>
      </c>
      <c r="D325" s="14">
        <f>CHOOSE(CONTROL!$C$42, 15.6533, 15.6533) * CHOOSE(CONTROL!$C$21, $C$9, 100%, $E$9)</f>
        <v>15.6533</v>
      </c>
      <c r="E325" s="14">
        <f>CHOOSE(CONTROL!$C$42, 15.6874, 15.6874) * CHOOSE(CONTROL!$C$21, $C$9, 100%, $E$9)</f>
        <v>15.6874</v>
      </c>
      <c r="F325" s="14">
        <f>CHOOSE(CONTROL!$C$42, 15.5716, 15.5716)*CHOOSE(CONTROL!$C$21, $C$9, 100%, $E$9)</f>
        <v>15.5716</v>
      </c>
      <c r="G325" s="14">
        <f>CHOOSE(CONTROL!$C$42, 15.5878, 15.5878)*CHOOSE(CONTROL!$C$21, $C$9, 100%, $E$9)</f>
        <v>15.5878</v>
      </c>
      <c r="H325" s="14">
        <f>CHOOSE(CONTROL!$C$42, 15.6766, 15.6766) * CHOOSE(CONTROL!$C$21, $C$9, 100%, $E$9)</f>
        <v>15.676600000000001</v>
      </c>
      <c r="I325" s="14">
        <f>CHOOSE(CONTROL!$C$42, 15.6382, 15.6382)* CHOOSE(CONTROL!$C$21, $C$9, 100%, $E$9)</f>
        <v>15.638199999999999</v>
      </c>
      <c r="J325" s="14">
        <f>CHOOSE(CONTROL!$C$42, 15.5646, 15.5646)* CHOOSE(CONTROL!$C$21, $C$9, 100%, $E$9)</f>
        <v>15.5646</v>
      </c>
      <c r="K325" s="53">
        <f>CHOOSE(CONTROL!$C$42, 15.6343, 15.6343) * CHOOSE(CONTROL!$C$21, $C$9, 100%, $E$9)</f>
        <v>15.6343</v>
      </c>
      <c r="L325" s="14">
        <f>CHOOSE(CONTROL!$C$42, 16.2636, 16.2636) * CHOOSE(CONTROL!$C$21, $C$9, 100%, $E$9)</f>
        <v>16.2636</v>
      </c>
      <c r="M325" s="14">
        <f>CHOOSE(CONTROL!$C$42, 15.2534, 15.2534) * CHOOSE(CONTROL!$C$21, $C$9, 100%, $E$9)</f>
        <v>15.253399999999999</v>
      </c>
      <c r="N325" s="14">
        <f>CHOOSE(CONTROL!$C$42, 15.2693, 15.2693) * CHOOSE(CONTROL!$C$21, $C$9, 100%, $E$9)</f>
        <v>15.269299999999999</v>
      </c>
      <c r="O325" s="14">
        <f>CHOOSE(CONTROL!$C$42, 15.3631, 15.3631) * CHOOSE(CONTROL!$C$21, $C$9, 100%, $E$9)</f>
        <v>15.363099999999999</v>
      </c>
      <c r="P325" s="14">
        <f>CHOOSE(CONTROL!$C$42, 15.3246, 15.3246) * CHOOSE(CONTROL!$C$21, $C$9, 100%, $E$9)</f>
        <v>15.3246</v>
      </c>
      <c r="Q325" s="14">
        <f>CHOOSE(CONTROL!$C$42, 15.9578, 15.9578) * CHOOSE(CONTROL!$C$21, $C$9, 100%, $E$9)</f>
        <v>15.957800000000001</v>
      </c>
      <c r="R325" s="14">
        <f>CHOOSE(CONTROL!$C$42, 16.5847, 16.5847) * CHOOSE(CONTROL!$C$21, $C$9, 100%, $E$9)</f>
        <v>16.584700000000002</v>
      </c>
      <c r="S325" s="14">
        <f>CHOOSE(CONTROL!$C$42, 14.954, 14.954) * CHOOSE(CONTROL!$C$21, $C$9, 100%, $E$9)</f>
        <v>14.954000000000001</v>
      </c>
      <c r="T3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7">
        <f>(1000*CHOOSE(CONTROL!$C$42, 695, 695)*CHOOSE(CONTROL!$C$42, 0.5599, 0.5599)*CHOOSE(CONTROL!$C$42, 31, 31))/1000000</f>
        <v>12.063045499999998</v>
      </c>
      <c r="V325" s="57">
        <f>(1000*CHOOSE(CONTROL!$C$42, 500, 500)*CHOOSE(CONTROL!$C$42, 0.275, 0.275)*CHOOSE(CONTROL!$C$42, 31, 31))/1000000</f>
        <v>4.2625000000000002</v>
      </c>
      <c r="W325" s="57">
        <f>(1000*CHOOSE(CONTROL!$C$42, 0.1146, 0.1146)*CHOOSE(CONTROL!$C$42, 121.5, 121.5)*CHOOSE(CONTROL!$C$42, 31, 31))/1000000</f>
        <v>0.43164089999999994</v>
      </c>
      <c r="X325" s="57">
        <f>(31*0.1790888*100000/1000000)+(31*0.2374*100000/1000000)</f>
        <v>1.2911152800000001</v>
      </c>
      <c r="Y325" s="57"/>
      <c r="Z325" s="14"/>
      <c r="AA325" s="56"/>
      <c r="AB325" s="50">
        <f>(B325*122.58+C325*297.941+D325*89.177+E325*40.302+F325*40+G325*160+H325*0+I325*100+J325*300)/(122.58+297.941+89.177+40.302+0+40+160+100+300)</f>
        <v>15.589460980347825</v>
      </c>
      <c r="AC325" s="45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15.314279856115103</v>
      </c>
    </row>
    <row r="326" spans="1:29" ht="15.75" x14ac:dyDescent="0.25">
      <c r="A326" s="33">
        <v>50829</v>
      </c>
      <c r="B326" s="14">
        <f>CHOOSE(CONTROL!$C$42, 15.8484, 15.8484) * CHOOSE(CONTROL!$C$21, $C$9, 100%, $E$9)</f>
        <v>15.8484</v>
      </c>
      <c r="C326" s="14">
        <f>CHOOSE(CONTROL!$C$42, 15.8535, 15.8535) * CHOOSE(CONTROL!$C$21, $C$9, 100%, $E$9)</f>
        <v>15.8535</v>
      </c>
      <c r="D326" s="14">
        <f>CHOOSE(CONTROL!$C$42, 15.9303, 15.9303) * CHOOSE(CONTROL!$C$21, $C$9, 100%, $E$9)</f>
        <v>15.930300000000001</v>
      </c>
      <c r="E326" s="14">
        <f>CHOOSE(CONTROL!$C$42, 15.9644, 15.9644) * CHOOSE(CONTROL!$C$21, $C$9, 100%, $E$9)</f>
        <v>15.964399999999999</v>
      </c>
      <c r="F326" s="14">
        <f>CHOOSE(CONTROL!$C$42, 15.8487, 15.8487)*CHOOSE(CONTROL!$C$21, $C$9, 100%, $E$9)</f>
        <v>15.848699999999999</v>
      </c>
      <c r="G326" s="14">
        <f>CHOOSE(CONTROL!$C$42, 15.8649, 15.8649)*CHOOSE(CONTROL!$C$21, $C$9, 100%, $E$9)</f>
        <v>15.8649</v>
      </c>
      <c r="H326" s="14">
        <f>CHOOSE(CONTROL!$C$42, 15.9536, 15.9536) * CHOOSE(CONTROL!$C$21, $C$9, 100%, $E$9)</f>
        <v>15.9536</v>
      </c>
      <c r="I326" s="14">
        <f>CHOOSE(CONTROL!$C$42, 15.9161, 15.9161)* CHOOSE(CONTROL!$C$21, $C$9, 100%, $E$9)</f>
        <v>15.9161</v>
      </c>
      <c r="J326" s="14">
        <f>CHOOSE(CONTROL!$C$42, 15.8417, 15.8417)* CHOOSE(CONTROL!$C$21, $C$9, 100%, $E$9)</f>
        <v>15.841699999999999</v>
      </c>
      <c r="K326" s="53">
        <f>CHOOSE(CONTROL!$C$42, 15.9122, 15.9122) * CHOOSE(CONTROL!$C$21, $C$9, 100%, $E$9)</f>
        <v>15.9122</v>
      </c>
      <c r="L326" s="14">
        <f>CHOOSE(CONTROL!$C$42, 16.5406, 16.5406) * CHOOSE(CONTROL!$C$21, $C$9, 100%, $E$9)</f>
        <v>16.540600000000001</v>
      </c>
      <c r="M326" s="14">
        <f>CHOOSE(CONTROL!$C$42, 15.5248, 15.5248) * CHOOSE(CONTROL!$C$21, $C$9, 100%, $E$9)</f>
        <v>15.524800000000001</v>
      </c>
      <c r="N326" s="14">
        <f>CHOOSE(CONTROL!$C$42, 15.5407, 15.5407) * CHOOSE(CONTROL!$C$21, $C$9, 100%, $E$9)</f>
        <v>15.540699999999999</v>
      </c>
      <c r="O326" s="14">
        <f>CHOOSE(CONTROL!$C$42, 15.6344, 15.6344) * CHOOSE(CONTROL!$C$21, $C$9, 100%, $E$9)</f>
        <v>15.634399999999999</v>
      </c>
      <c r="P326" s="14">
        <f>CHOOSE(CONTROL!$C$42, 15.5968, 15.5968) * CHOOSE(CONTROL!$C$21, $C$9, 100%, $E$9)</f>
        <v>15.5968</v>
      </c>
      <c r="Q326" s="14">
        <f>CHOOSE(CONTROL!$C$42, 16.2291, 16.2291) * CHOOSE(CONTROL!$C$21, $C$9, 100%, $E$9)</f>
        <v>16.229099999999999</v>
      </c>
      <c r="R326" s="14">
        <f>CHOOSE(CONTROL!$C$42, 16.8567, 16.8567) * CHOOSE(CONTROL!$C$21, $C$9, 100%, $E$9)</f>
        <v>16.8567</v>
      </c>
      <c r="S326" s="14">
        <f>CHOOSE(CONTROL!$C$42, 15.2202, 15.2202) * CHOOSE(CONTROL!$C$21, $C$9, 100%, $E$9)</f>
        <v>15.2202</v>
      </c>
      <c r="T3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7">
        <f>(1000*CHOOSE(CONTROL!$C$42, 695, 695)*CHOOSE(CONTROL!$C$42, 0.5599, 0.5599)*CHOOSE(CONTROL!$C$42, 28, 28))/1000000</f>
        <v>10.895653999999999</v>
      </c>
      <c r="V326" s="57">
        <f>(1000*CHOOSE(CONTROL!$C$42, 500, 500)*CHOOSE(CONTROL!$C$42, 0.275, 0.275)*CHOOSE(CONTROL!$C$42, 28, 28))/1000000</f>
        <v>3.85</v>
      </c>
      <c r="W326" s="57">
        <f>(1000*CHOOSE(CONTROL!$C$42, 0.1146, 0.1146)*CHOOSE(CONTROL!$C$42, 121.5, 121.5)*CHOOSE(CONTROL!$C$42, 28, 28))/1000000</f>
        <v>0.38986920000000003</v>
      </c>
      <c r="X326" s="57">
        <f>(28*0.1790888*100000/1000000)+(28*0.2374*100000/1000000)</f>
        <v>1.16616864</v>
      </c>
      <c r="Y326" s="57"/>
      <c r="Z326" s="14"/>
      <c r="AA326" s="56"/>
      <c r="AB326" s="50">
        <f>(B326*122.58+C326*297.941+D326*89.177+E326*40.302+F326*40+G326*160+H326*0+I326*100+J326*300)/(122.58+297.941+89.177+40.302+0+40+160+100+300)</f>
        <v>15.866582719478263</v>
      </c>
      <c r="AC326" s="45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15.585749640287771</v>
      </c>
    </row>
    <row r="327" spans="1:29" ht="15.75" x14ac:dyDescent="0.25">
      <c r="A327" s="33">
        <v>50860</v>
      </c>
      <c r="B327" s="14">
        <f>CHOOSE(CONTROL!$C$42, 15.3988, 15.3988) * CHOOSE(CONTROL!$C$21, $C$9, 100%, $E$9)</f>
        <v>15.3988</v>
      </c>
      <c r="C327" s="14">
        <f>CHOOSE(CONTROL!$C$42, 15.4038, 15.4038) * CHOOSE(CONTROL!$C$21, $C$9, 100%, $E$9)</f>
        <v>15.4038</v>
      </c>
      <c r="D327" s="14">
        <f>CHOOSE(CONTROL!$C$42, 15.4806, 15.4806) * CHOOSE(CONTROL!$C$21, $C$9, 100%, $E$9)</f>
        <v>15.480600000000001</v>
      </c>
      <c r="E327" s="14">
        <f>CHOOSE(CONTROL!$C$42, 15.5147, 15.5147) * CHOOSE(CONTROL!$C$21, $C$9, 100%, $E$9)</f>
        <v>15.514699999999999</v>
      </c>
      <c r="F327" s="14">
        <f>CHOOSE(CONTROL!$C$42, 15.3986, 15.3986)*CHOOSE(CONTROL!$C$21, $C$9, 100%, $E$9)</f>
        <v>15.3986</v>
      </c>
      <c r="G327" s="14">
        <f>CHOOSE(CONTROL!$C$42, 15.4147, 15.4147)*CHOOSE(CONTROL!$C$21, $C$9, 100%, $E$9)</f>
        <v>15.4147</v>
      </c>
      <c r="H327" s="14">
        <f>CHOOSE(CONTROL!$C$42, 15.5039, 15.5039) * CHOOSE(CONTROL!$C$21, $C$9, 100%, $E$9)</f>
        <v>15.5039</v>
      </c>
      <c r="I327" s="14">
        <f>CHOOSE(CONTROL!$C$42, 15.465, 15.465)* CHOOSE(CONTROL!$C$21, $C$9, 100%, $E$9)</f>
        <v>15.465</v>
      </c>
      <c r="J327" s="14">
        <f>CHOOSE(CONTROL!$C$42, 15.3916, 15.3916)* CHOOSE(CONTROL!$C$21, $C$9, 100%, $E$9)</f>
        <v>15.3916</v>
      </c>
      <c r="K327" s="53">
        <f>CHOOSE(CONTROL!$C$42, 15.4612, 15.4612) * CHOOSE(CONTROL!$C$21, $C$9, 100%, $E$9)</f>
        <v>15.4612</v>
      </c>
      <c r="L327" s="14">
        <f>CHOOSE(CONTROL!$C$42, 16.0909, 16.0909) * CHOOSE(CONTROL!$C$21, $C$9, 100%, $E$9)</f>
        <v>16.090900000000001</v>
      </c>
      <c r="M327" s="14">
        <f>CHOOSE(CONTROL!$C$42, 15.0839, 15.0839) * CHOOSE(CONTROL!$C$21, $C$9, 100%, $E$9)</f>
        <v>15.0839</v>
      </c>
      <c r="N327" s="14">
        <f>CHOOSE(CONTROL!$C$42, 15.0997, 15.0997) * CHOOSE(CONTROL!$C$21, $C$9, 100%, $E$9)</f>
        <v>15.0997</v>
      </c>
      <c r="O327" s="14">
        <f>CHOOSE(CONTROL!$C$42, 15.194, 15.194) * CHOOSE(CONTROL!$C$21, $C$9, 100%, $E$9)</f>
        <v>15.194000000000001</v>
      </c>
      <c r="P327" s="14">
        <f>CHOOSE(CONTROL!$C$42, 15.155, 15.155) * CHOOSE(CONTROL!$C$21, $C$9, 100%, $E$9)</f>
        <v>15.154999999999999</v>
      </c>
      <c r="Q327" s="14">
        <f>CHOOSE(CONTROL!$C$42, 15.7887, 15.7887) * CHOOSE(CONTROL!$C$21, $C$9, 100%, $E$9)</f>
        <v>15.7887</v>
      </c>
      <c r="R327" s="14">
        <f>CHOOSE(CONTROL!$C$42, 16.4151, 16.4151) * CHOOSE(CONTROL!$C$21, $C$9, 100%, $E$9)</f>
        <v>16.415099999999999</v>
      </c>
      <c r="S327" s="14">
        <f>CHOOSE(CONTROL!$C$42, 14.7881, 14.7881) * CHOOSE(CONTROL!$C$21, $C$9, 100%, $E$9)</f>
        <v>14.7881</v>
      </c>
      <c r="T3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7">
        <f>(1000*CHOOSE(CONTROL!$C$42, 695, 695)*CHOOSE(CONTROL!$C$42, 0.5599, 0.5599)*CHOOSE(CONTROL!$C$42, 31, 31))/1000000</f>
        <v>12.063045499999998</v>
      </c>
      <c r="V327" s="57">
        <f>(1000*CHOOSE(CONTROL!$C$42, 500, 500)*CHOOSE(CONTROL!$C$42, 0.275, 0.275)*CHOOSE(CONTROL!$C$42, 31, 31))/1000000</f>
        <v>4.2625000000000002</v>
      </c>
      <c r="W327" s="57">
        <f>(1000*CHOOSE(CONTROL!$C$42, 0.1146, 0.1146)*CHOOSE(CONTROL!$C$42, 121.5, 121.5)*CHOOSE(CONTROL!$C$42, 31, 31))/1000000</f>
        <v>0.43164089999999994</v>
      </c>
      <c r="X327" s="57">
        <f>(31*0.1790888*100000/1000000)+(31*0.2374*100000/1000000)</f>
        <v>1.2911152800000001</v>
      </c>
      <c r="Y327" s="57"/>
      <c r="Z327" s="14"/>
      <c r="AA327" s="56"/>
      <c r="AB327" s="50">
        <f>(B327*122.58+C327*297.941+D327*89.177+E327*40.302+F327*40+G327*160+H327*0+I327*100+J327*300)/(122.58+297.941+89.177+40.302+0+40+160+100+300)</f>
        <v>15.416583813391304</v>
      </c>
      <c r="AC327" s="45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15.144941007194245</v>
      </c>
    </row>
    <row r="328" spans="1:29" ht="15.75" x14ac:dyDescent="0.25">
      <c r="A328" s="33">
        <v>50890</v>
      </c>
      <c r="B328" s="14">
        <f>CHOOSE(CONTROL!$C$42, 15.3539, 15.3539) * CHOOSE(CONTROL!$C$21, $C$9, 100%, $E$9)</f>
        <v>15.353899999999999</v>
      </c>
      <c r="C328" s="14">
        <f>CHOOSE(CONTROL!$C$42, 15.3584, 15.3584) * CHOOSE(CONTROL!$C$21, $C$9, 100%, $E$9)</f>
        <v>15.3584</v>
      </c>
      <c r="D328" s="14">
        <f>CHOOSE(CONTROL!$C$42, 15.5951, 15.5951) * CHOOSE(CONTROL!$C$21, $C$9, 100%, $E$9)</f>
        <v>15.5951</v>
      </c>
      <c r="E328" s="14">
        <f>CHOOSE(CONTROL!$C$42, 15.6272, 15.6272) * CHOOSE(CONTROL!$C$21, $C$9, 100%, $E$9)</f>
        <v>15.6272</v>
      </c>
      <c r="F328" s="14">
        <f>CHOOSE(CONTROL!$C$42, 15.3519, 15.3519)*CHOOSE(CONTROL!$C$21, $C$9, 100%, $E$9)</f>
        <v>15.351900000000001</v>
      </c>
      <c r="G328" s="14">
        <f>CHOOSE(CONTROL!$C$42, 15.3677, 15.3677)*CHOOSE(CONTROL!$C$21, $C$9, 100%, $E$9)</f>
        <v>15.367699999999999</v>
      </c>
      <c r="H328" s="14">
        <f>CHOOSE(CONTROL!$C$42, 15.617, 15.617) * CHOOSE(CONTROL!$C$21, $C$9, 100%, $E$9)</f>
        <v>15.617000000000001</v>
      </c>
      <c r="I328" s="14">
        <f>CHOOSE(CONTROL!$C$42, 15.4193, 15.4193)* CHOOSE(CONTROL!$C$21, $C$9, 100%, $E$9)</f>
        <v>15.4193</v>
      </c>
      <c r="J328" s="14">
        <f>CHOOSE(CONTROL!$C$42, 15.3449, 15.3449)* CHOOSE(CONTROL!$C$21, $C$9, 100%, $E$9)</f>
        <v>15.344900000000001</v>
      </c>
      <c r="K328" s="53">
        <f>CHOOSE(CONTROL!$C$42, 15.4154, 15.4154) * CHOOSE(CONTROL!$C$21, $C$9, 100%, $E$9)</f>
        <v>15.4154</v>
      </c>
      <c r="L328" s="14">
        <f>CHOOSE(CONTROL!$C$42, 16.204, 16.204) * CHOOSE(CONTROL!$C$21, $C$9, 100%, $E$9)</f>
        <v>16.204000000000001</v>
      </c>
      <c r="M328" s="14">
        <f>CHOOSE(CONTROL!$C$42, 15.0382, 15.0382) * CHOOSE(CONTROL!$C$21, $C$9, 100%, $E$9)</f>
        <v>15.0382</v>
      </c>
      <c r="N328" s="14">
        <f>CHOOSE(CONTROL!$C$42, 15.0537, 15.0537) * CHOOSE(CONTROL!$C$21, $C$9, 100%, $E$9)</f>
        <v>15.053699999999999</v>
      </c>
      <c r="O328" s="14">
        <f>CHOOSE(CONTROL!$C$42, 15.3047, 15.3047) * CHOOSE(CONTROL!$C$21, $C$9, 100%, $E$9)</f>
        <v>15.3047</v>
      </c>
      <c r="P328" s="14">
        <f>CHOOSE(CONTROL!$C$42, 15.1102, 15.1102) * CHOOSE(CONTROL!$C$21, $C$9, 100%, $E$9)</f>
        <v>15.110200000000001</v>
      </c>
      <c r="Q328" s="14">
        <f>CHOOSE(CONTROL!$C$42, 15.8994, 15.8994) * CHOOSE(CONTROL!$C$21, $C$9, 100%, $E$9)</f>
        <v>15.8994</v>
      </c>
      <c r="R328" s="14">
        <f>CHOOSE(CONTROL!$C$42, 16.5262, 16.5262) * CHOOSE(CONTROL!$C$21, $C$9, 100%, $E$9)</f>
        <v>16.526199999999999</v>
      </c>
      <c r="S328" s="14">
        <f>CHOOSE(CONTROL!$C$42, 14.7443, 14.7443) * CHOOSE(CONTROL!$C$21, $C$9, 100%, $E$9)</f>
        <v>14.744300000000001</v>
      </c>
      <c r="T3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7">
        <f>(1000*CHOOSE(CONTROL!$C$42, 695, 695)*CHOOSE(CONTROL!$C$42, 0.5599, 0.5599)*CHOOSE(CONTROL!$C$42, 30, 30))/1000000</f>
        <v>11.673914999999997</v>
      </c>
      <c r="V328" s="57">
        <f>(1000*CHOOSE(CONTROL!$C$42, 500, 500)*CHOOSE(CONTROL!$C$42, 0.275, 0.275)*CHOOSE(CONTROL!$C$42, 30, 30))/1000000</f>
        <v>4.125</v>
      </c>
      <c r="W328" s="57">
        <f>(1000*CHOOSE(CONTROL!$C$42, 0.1146, 0.1146)*CHOOSE(CONTROL!$C$42, 121.5, 121.5)*CHOOSE(CONTROL!$C$42, 30, 30))/1000000</f>
        <v>0.417717</v>
      </c>
      <c r="X328" s="57">
        <f>(30*0.1790888*245000/1000000)+(30*0.2374*100000/1000000)</f>
        <v>2.0285026799999999</v>
      </c>
      <c r="Y328" s="57"/>
      <c r="Z328" s="14"/>
      <c r="AA328" s="56"/>
      <c r="AB328" s="50">
        <f>(B328*141.293+C328*267.993+D328*115.016+E328*89.698+F328*40+G328*185+H328*0+I328*100+J328*300)/(141.293+267.993+115.016+89.698+0+40+185+100+300)</f>
        <v>15.40214478700565</v>
      </c>
      <c r="AC328" s="45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15.126901438848924</v>
      </c>
    </row>
    <row r="329" spans="1:29" ht="15.75" x14ac:dyDescent="0.25">
      <c r="A329" s="33">
        <v>50921</v>
      </c>
      <c r="B329" s="14">
        <f>CHOOSE(CONTROL!$C$42, 15.4907, 15.4907) * CHOOSE(CONTROL!$C$21, $C$9, 100%, $E$9)</f>
        <v>15.4907</v>
      </c>
      <c r="C329" s="14">
        <f>CHOOSE(CONTROL!$C$42, 15.4988, 15.4988) * CHOOSE(CONTROL!$C$21, $C$9, 100%, $E$9)</f>
        <v>15.498799999999999</v>
      </c>
      <c r="D329" s="14">
        <f>CHOOSE(CONTROL!$C$42, 15.7324, 15.7324) * CHOOSE(CONTROL!$C$21, $C$9, 100%, $E$9)</f>
        <v>15.7324</v>
      </c>
      <c r="E329" s="14">
        <f>CHOOSE(CONTROL!$C$42, 15.7638, 15.7638) * CHOOSE(CONTROL!$C$21, $C$9, 100%, $E$9)</f>
        <v>15.7638</v>
      </c>
      <c r="F329" s="14">
        <f>CHOOSE(CONTROL!$C$42, 15.4875, 15.4875)*CHOOSE(CONTROL!$C$21, $C$9, 100%, $E$9)</f>
        <v>15.487500000000001</v>
      </c>
      <c r="G329" s="14">
        <f>CHOOSE(CONTROL!$C$42, 15.5039, 15.5039)*CHOOSE(CONTROL!$C$21, $C$9, 100%, $E$9)</f>
        <v>15.5039</v>
      </c>
      <c r="H329" s="14">
        <f>CHOOSE(CONTROL!$C$42, 15.7525, 15.7525) * CHOOSE(CONTROL!$C$21, $C$9, 100%, $E$9)</f>
        <v>15.7525</v>
      </c>
      <c r="I329" s="14">
        <f>CHOOSE(CONTROL!$C$42, 15.5551, 15.5551)* CHOOSE(CONTROL!$C$21, $C$9, 100%, $E$9)</f>
        <v>15.555099999999999</v>
      </c>
      <c r="J329" s="14">
        <f>CHOOSE(CONTROL!$C$42, 15.4805, 15.4805)* CHOOSE(CONTROL!$C$21, $C$9, 100%, $E$9)</f>
        <v>15.480499999999999</v>
      </c>
      <c r="K329" s="53">
        <f>CHOOSE(CONTROL!$C$42, 15.5512, 15.5512) * CHOOSE(CONTROL!$C$21, $C$9, 100%, $E$9)</f>
        <v>15.5512</v>
      </c>
      <c r="L329" s="14">
        <f>CHOOSE(CONTROL!$C$42, 16.3395, 16.3395) * CHOOSE(CONTROL!$C$21, $C$9, 100%, $E$9)</f>
        <v>16.339500000000001</v>
      </c>
      <c r="M329" s="14">
        <f>CHOOSE(CONTROL!$C$42, 15.171, 15.171) * CHOOSE(CONTROL!$C$21, $C$9, 100%, $E$9)</f>
        <v>15.170999999999999</v>
      </c>
      <c r="N329" s="14">
        <f>CHOOSE(CONTROL!$C$42, 15.187, 15.187) * CHOOSE(CONTROL!$C$21, $C$9, 100%, $E$9)</f>
        <v>15.186999999999999</v>
      </c>
      <c r="O329" s="14">
        <f>CHOOSE(CONTROL!$C$42, 15.4374, 15.4374) * CHOOSE(CONTROL!$C$21, $C$9, 100%, $E$9)</f>
        <v>15.4374</v>
      </c>
      <c r="P329" s="14">
        <f>CHOOSE(CONTROL!$C$42, 15.2432, 15.2432) * CHOOSE(CONTROL!$C$21, $C$9, 100%, $E$9)</f>
        <v>15.2432</v>
      </c>
      <c r="Q329" s="14">
        <f>CHOOSE(CONTROL!$C$42, 16.0321, 16.0321) * CHOOSE(CONTROL!$C$21, $C$9, 100%, $E$9)</f>
        <v>16.0321</v>
      </c>
      <c r="R329" s="14">
        <f>CHOOSE(CONTROL!$C$42, 16.6592, 16.6592) * CHOOSE(CONTROL!$C$21, $C$9, 100%, $E$9)</f>
        <v>16.659199999999998</v>
      </c>
      <c r="S329" s="14">
        <f>CHOOSE(CONTROL!$C$42, 14.8744, 14.8744) * CHOOSE(CONTROL!$C$21, $C$9, 100%, $E$9)</f>
        <v>14.8744</v>
      </c>
      <c r="T3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7">
        <f>(1000*CHOOSE(CONTROL!$C$42, 695, 695)*CHOOSE(CONTROL!$C$42, 0.5599, 0.5599)*CHOOSE(CONTROL!$C$42, 31, 31))/1000000</f>
        <v>12.063045499999998</v>
      </c>
      <c r="V329" s="57">
        <f>(1000*CHOOSE(CONTROL!$C$42, 500, 500)*CHOOSE(CONTROL!$C$42, 0.275, 0.275)*CHOOSE(CONTROL!$C$42, 31, 31))/1000000</f>
        <v>4.2625000000000002</v>
      </c>
      <c r="W329" s="57">
        <f>(1000*CHOOSE(CONTROL!$C$42, 0.1146, 0.1146)*CHOOSE(CONTROL!$C$42, 121.5, 121.5)*CHOOSE(CONTROL!$C$42, 31, 31))/1000000</f>
        <v>0.43164089999999994</v>
      </c>
      <c r="X329" s="57">
        <f>(31*0.1790888*245000/1000000)+(31*0.2374*100000/1000000)</f>
        <v>2.0961194359999999</v>
      </c>
      <c r="Y329" s="57"/>
      <c r="Z329" s="14"/>
      <c r="AA329" s="56"/>
      <c r="AB329" s="50">
        <f>(B329*194.205+C329*267.466+D329*133.845+E329*53.484+F329*40+G329*185+H329*0+I329*100+J329*300)/(194.205+267.466+133.845+53.484+0+40+185+100+300)</f>
        <v>15.53372770133438</v>
      </c>
      <c r="AC329" s="45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15.259817266187051</v>
      </c>
    </row>
    <row r="330" spans="1:29" ht="15.75" x14ac:dyDescent="0.25">
      <c r="A330" s="33">
        <v>50951</v>
      </c>
      <c r="B330" s="14">
        <f>CHOOSE(CONTROL!$C$42, 15.9298, 15.9298) * CHOOSE(CONTROL!$C$21, $C$9, 100%, $E$9)</f>
        <v>15.9298</v>
      </c>
      <c r="C330" s="14">
        <f>CHOOSE(CONTROL!$C$42, 15.9378, 15.9378) * CHOOSE(CONTROL!$C$21, $C$9, 100%, $E$9)</f>
        <v>15.937799999999999</v>
      </c>
      <c r="D330" s="14">
        <f>CHOOSE(CONTROL!$C$42, 16.1714, 16.1714) * CHOOSE(CONTROL!$C$21, $C$9, 100%, $E$9)</f>
        <v>16.171399999999998</v>
      </c>
      <c r="E330" s="14">
        <f>CHOOSE(CONTROL!$C$42, 16.2029, 16.2029) * CHOOSE(CONTROL!$C$21, $C$9, 100%, $E$9)</f>
        <v>16.2029</v>
      </c>
      <c r="F330" s="14">
        <f>CHOOSE(CONTROL!$C$42, 15.9271, 15.9271)*CHOOSE(CONTROL!$C$21, $C$9, 100%, $E$9)</f>
        <v>15.927099999999999</v>
      </c>
      <c r="G330" s="14">
        <f>CHOOSE(CONTROL!$C$42, 15.9435, 15.9435)*CHOOSE(CONTROL!$C$21, $C$9, 100%, $E$9)</f>
        <v>15.9435</v>
      </c>
      <c r="H330" s="14">
        <f>CHOOSE(CONTROL!$C$42, 16.1915, 16.1915) * CHOOSE(CONTROL!$C$21, $C$9, 100%, $E$9)</f>
        <v>16.191500000000001</v>
      </c>
      <c r="I330" s="14">
        <f>CHOOSE(CONTROL!$C$42, 15.9956, 15.9956)* CHOOSE(CONTROL!$C$21, $C$9, 100%, $E$9)</f>
        <v>15.9956</v>
      </c>
      <c r="J330" s="14">
        <f>CHOOSE(CONTROL!$C$42, 15.9201, 15.9201)* CHOOSE(CONTROL!$C$21, $C$9, 100%, $E$9)</f>
        <v>15.9201</v>
      </c>
      <c r="K330" s="53">
        <f>CHOOSE(CONTROL!$C$42, 15.9917, 15.9917) * CHOOSE(CONTROL!$C$21, $C$9, 100%, $E$9)</f>
        <v>15.9917</v>
      </c>
      <c r="L330" s="14">
        <f>CHOOSE(CONTROL!$C$42, 16.7785, 16.7785) * CHOOSE(CONTROL!$C$21, $C$9, 100%, $E$9)</f>
        <v>16.778500000000001</v>
      </c>
      <c r="M330" s="14">
        <f>CHOOSE(CONTROL!$C$42, 15.6016, 15.6016) * CHOOSE(CONTROL!$C$21, $C$9, 100%, $E$9)</f>
        <v>15.601599999999999</v>
      </c>
      <c r="N330" s="14">
        <f>CHOOSE(CONTROL!$C$42, 15.6177, 15.6177) * CHOOSE(CONTROL!$C$21, $C$9, 100%, $E$9)</f>
        <v>15.617699999999999</v>
      </c>
      <c r="O330" s="14">
        <f>CHOOSE(CONTROL!$C$42, 15.8675, 15.8675) * CHOOSE(CONTROL!$C$21, $C$9, 100%, $E$9)</f>
        <v>15.8675</v>
      </c>
      <c r="P330" s="14">
        <f>CHOOSE(CONTROL!$C$42, 15.6746, 15.6746) * CHOOSE(CONTROL!$C$21, $C$9, 100%, $E$9)</f>
        <v>15.6746</v>
      </c>
      <c r="Q330" s="14">
        <f>CHOOSE(CONTROL!$C$42, 16.4622, 16.4622) * CHOOSE(CONTROL!$C$21, $C$9, 100%, $E$9)</f>
        <v>16.462199999999999</v>
      </c>
      <c r="R330" s="14">
        <f>CHOOSE(CONTROL!$C$42, 17.0903, 17.0903) * CHOOSE(CONTROL!$C$21, $C$9, 100%, $E$9)</f>
        <v>17.090299999999999</v>
      </c>
      <c r="S330" s="14">
        <f>CHOOSE(CONTROL!$C$42, 15.2963, 15.2963) * CHOOSE(CONTROL!$C$21, $C$9, 100%, $E$9)</f>
        <v>15.2963</v>
      </c>
      <c r="T3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7">
        <f>(1000*CHOOSE(CONTROL!$C$42, 695, 695)*CHOOSE(CONTROL!$C$42, 0.5599, 0.5599)*CHOOSE(CONTROL!$C$42, 30, 30))/1000000</f>
        <v>11.673914999999997</v>
      </c>
      <c r="V330" s="57">
        <f>(1000*CHOOSE(CONTROL!$C$42, 500, 500)*CHOOSE(CONTROL!$C$42, 0.275, 0.275)*CHOOSE(CONTROL!$C$42, 30, 30))/1000000</f>
        <v>4.125</v>
      </c>
      <c r="W330" s="57">
        <f>(1000*CHOOSE(CONTROL!$C$42, 0.1146, 0.1146)*CHOOSE(CONTROL!$C$42, 121.5, 121.5)*CHOOSE(CONTROL!$C$42, 30, 30))/1000000</f>
        <v>0.417717</v>
      </c>
      <c r="X330" s="57">
        <f>(30*0.1790888*245000/1000000)+(30*0.2374*100000/1000000)</f>
        <v>2.0285026799999999</v>
      </c>
      <c r="Y330" s="57"/>
      <c r="Z330" s="14"/>
      <c r="AA330" s="56"/>
      <c r="AB330" s="50">
        <f>(B330*194.205+C330*267.466+D330*133.845+E330*53.484+F330*40+G330*185+H330*0+I330*100+J330*300)/(194.205+267.466+133.845+53.484+0+40+185+100+300)</f>
        <v>15.973112135321822</v>
      </c>
      <c r="AC330" s="45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15.690415107913671</v>
      </c>
    </row>
    <row r="331" spans="1:29" ht="15.75" x14ac:dyDescent="0.25">
      <c r="A331" s="33">
        <v>50982</v>
      </c>
      <c r="B331" s="14">
        <f>CHOOSE(CONTROL!$C$42, 15.6244, 15.6244) * CHOOSE(CONTROL!$C$21, $C$9, 100%, $E$9)</f>
        <v>15.6244</v>
      </c>
      <c r="C331" s="14">
        <f>CHOOSE(CONTROL!$C$42, 15.6325, 15.6325) * CHOOSE(CONTROL!$C$21, $C$9, 100%, $E$9)</f>
        <v>15.6325</v>
      </c>
      <c r="D331" s="14">
        <f>CHOOSE(CONTROL!$C$42, 15.866, 15.866) * CHOOSE(CONTROL!$C$21, $C$9, 100%, $E$9)</f>
        <v>15.866</v>
      </c>
      <c r="E331" s="14">
        <f>CHOOSE(CONTROL!$C$42, 15.8975, 15.8975) * CHOOSE(CONTROL!$C$21, $C$9, 100%, $E$9)</f>
        <v>15.897500000000001</v>
      </c>
      <c r="F331" s="14">
        <f>CHOOSE(CONTROL!$C$42, 15.6222, 15.6222)*CHOOSE(CONTROL!$C$21, $C$9, 100%, $E$9)</f>
        <v>15.622199999999999</v>
      </c>
      <c r="G331" s="14">
        <f>CHOOSE(CONTROL!$C$42, 15.6388, 15.6388)*CHOOSE(CONTROL!$C$21, $C$9, 100%, $E$9)</f>
        <v>15.6388</v>
      </c>
      <c r="H331" s="14">
        <f>CHOOSE(CONTROL!$C$42, 15.8861, 15.8861) * CHOOSE(CONTROL!$C$21, $C$9, 100%, $E$9)</f>
        <v>15.886100000000001</v>
      </c>
      <c r="I331" s="14">
        <f>CHOOSE(CONTROL!$C$42, 15.6892, 15.6892)* CHOOSE(CONTROL!$C$21, $C$9, 100%, $E$9)</f>
        <v>15.6892</v>
      </c>
      <c r="J331" s="14">
        <f>CHOOSE(CONTROL!$C$42, 15.6152, 15.6152)* CHOOSE(CONTROL!$C$21, $C$9, 100%, $E$9)</f>
        <v>15.6152</v>
      </c>
      <c r="K331" s="53">
        <f>CHOOSE(CONTROL!$C$42, 15.6854, 15.6854) * CHOOSE(CONTROL!$C$21, $C$9, 100%, $E$9)</f>
        <v>15.6854</v>
      </c>
      <c r="L331" s="14">
        <f>CHOOSE(CONTROL!$C$42, 16.4731, 16.4731) * CHOOSE(CONTROL!$C$21, $C$9, 100%, $E$9)</f>
        <v>16.473099999999999</v>
      </c>
      <c r="M331" s="14">
        <f>CHOOSE(CONTROL!$C$42, 15.303, 15.303) * CHOOSE(CONTROL!$C$21, $C$9, 100%, $E$9)</f>
        <v>15.303000000000001</v>
      </c>
      <c r="N331" s="14">
        <f>CHOOSE(CONTROL!$C$42, 15.3192, 15.3192) * CHOOSE(CONTROL!$C$21, $C$9, 100%, $E$9)</f>
        <v>15.3192</v>
      </c>
      <c r="O331" s="14">
        <f>CHOOSE(CONTROL!$C$42, 15.5683, 15.5683) * CHOOSE(CONTROL!$C$21, $C$9, 100%, $E$9)</f>
        <v>15.568300000000001</v>
      </c>
      <c r="P331" s="14">
        <f>CHOOSE(CONTROL!$C$42, 15.3746, 15.3746) * CHOOSE(CONTROL!$C$21, $C$9, 100%, $E$9)</f>
        <v>15.374599999999999</v>
      </c>
      <c r="Q331" s="14">
        <f>CHOOSE(CONTROL!$C$42, 16.163, 16.163) * CHOOSE(CONTROL!$C$21, $C$9, 100%, $E$9)</f>
        <v>16.163</v>
      </c>
      <c r="R331" s="14">
        <f>CHOOSE(CONTROL!$C$42, 16.7904, 16.7904) * CHOOSE(CONTROL!$C$21, $C$9, 100%, $E$9)</f>
        <v>16.790400000000002</v>
      </c>
      <c r="S331" s="14">
        <f>CHOOSE(CONTROL!$C$42, 15.0029, 15.0029) * CHOOSE(CONTROL!$C$21, $C$9, 100%, $E$9)</f>
        <v>15.0029</v>
      </c>
      <c r="T3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7">
        <f>(1000*CHOOSE(CONTROL!$C$42, 695, 695)*CHOOSE(CONTROL!$C$42, 0.5599, 0.5599)*CHOOSE(CONTROL!$C$42, 31, 31))/1000000</f>
        <v>12.063045499999998</v>
      </c>
      <c r="V331" s="57">
        <f>(1000*CHOOSE(CONTROL!$C$42, 500, 500)*CHOOSE(CONTROL!$C$42, 0.275, 0.275)*CHOOSE(CONTROL!$C$42, 31, 31))/1000000</f>
        <v>4.2625000000000002</v>
      </c>
      <c r="W331" s="57">
        <f>(1000*CHOOSE(CONTROL!$C$42, 0.1146, 0.1146)*CHOOSE(CONTROL!$C$42, 121.5, 121.5)*CHOOSE(CONTROL!$C$42, 31, 31))/1000000</f>
        <v>0.43164089999999994</v>
      </c>
      <c r="X331" s="57">
        <f>(31*0.1790888*245000/1000000)+(31*0.2374*100000/1000000)</f>
        <v>2.0961194359999999</v>
      </c>
      <c r="Y331" s="57"/>
      <c r="Z331" s="14"/>
      <c r="AA331" s="56"/>
      <c r="AB331" s="50">
        <f>(B331*194.205+C331*267.466+D331*133.845+E331*53.484+F331*40+G331*185+H331*0+I331*100+J331*300)/(194.205+267.466+133.845+53.484+0+40+185+100+300)</f>
        <v>15.667889722919938</v>
      </c>
      <c r="AC331" s="45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15.391468345323741</v>
      </c>
    </row>
    <row r="332" spans="1:29" ht="15.75" x14ac:dyDescent="0.25">
      <c r="A332" s="33">
        <v>51013</v>
      </c>
      <c r="B332" s="14">
        <f>CHOOSE(CONTROL!$C$42, 14.8533, 14.8533) * CHOOSE(CONTROL!$C$21, $C$9, 100%, $E$9)</f>
        <v>14.853300000000001</v>
      </c>
      <c r="C332" s="14">
        <f>CHOOSE(CONTROL!$C$42, 14.8613, 14.8613) * CHOOSE(CONTROL!$C$21, $C$9, 100%, $E$9)</f>
        <v>14.8613</v>
      </c>
      <c r="D332" s="14">
        <f>CHOOSE(CONTROL!$C$42, 15.0949, 15.0949) * CHOOSE(CONTROL!$C$21, $C$9, 100%, $E$9)</f>
        <v>15.094900000000001</v>
      </c>
      <c r="E332" s="14">
        <f>CHOOSE(CONTROL!$C$42, 15.1264, 15.1264) * CHOOSE(CONTROL!$C$21, $C$9, 100%, $E$9)</f>
        <v>15.1264</v>
      </c>
      <c r="F332" s="14">
        <f>CHOOSE(CONTROL!$C$42, 14.8512, 14.8512)*CHOOSE(CONTROL!$C$21, $C$9, 100%, $E$9)</f>
        <v>14.8512</v>
      </c>
      <c r="G332" s="14">
        <f>CHOOSE(CONTROL!$C$42, 14.8679, 14.8679)*CHOOSE(CONTROL!$C$21, $C$9, 100%, $E$9)</f>
        <v>14.867900000000001</v>
      </c>
      <c r="H332" s="14">
        <f>CHOOSE(CONTROL!$C$42, 15.115, 15.115) * CHOOSE(CONTROL!$C$21, $C$9, 100%, $E$9)</f>
        <v>15.115</v>
      </c>
      <c r="I332" s="14">
        <f>CHOOSE(CONTROL!$C$42, 14.9157, 14.9157)* CHOOSE(CONTROL!$C$21, $C$9, 100%, $E$9)</f>
        <v>14.915699999999999</v>
      </c>
      <c r="J332" s="14">
        <f>CHOOSE(CONTROL!$C$42, 14.8442, 14.8442)* CHOOSE(CONTROL!$C$21, $C$9, 100%, $E$9)</f>
        <v>14.844200000000001</v>
      </c>
      <c r="K332" s="53">
        <f>CHOOSE(CONTROL!$C$42, 14.9118, 14.9118) * CHOOSE(CONTROL!$C$21, $C$9, 100%, $E$9)</f>
        <v>14.911799999999999</v>
      </c>
      <c r="L332" s="14">
        <f>CHOOSE(CONTROL!$C$42, 15.702, 15.702) * CHOOSE(CONTROL!$C$21, $C$9, 100%, $E$9)</f>
        <v>15.702</v>
      </c>
      <c r="M332" s="14">
        <f>CHOOSE(CONTROL!$C$42, 14.5478, 14.5478) * CHOOSE(CONTROL!$C$21, $C$9, 100%, $E$9)</f>
        <v>14.547800000000001</v>
      </c>
      <c r="N332" s="14">
        <f>CHOOSE(CONTROL!$C$42, 14.5641, 14.5641) * CHOOSE(CONTROL!$C$21, $C$9, 100%, $E$9)</f>
        <v>14.5641</v>
      </c>
      <c r="O332" s="14">
        <f>CHOOSE(CONTROL!$C$42, 14.813, 14.813) * CHOOSE(CONTROL!$C$21, $C$9, 100%, $E$9)</f>
        <v>14.813000000000001</v>
      </c>
      <c r="P332" s="14">
        <f>CHOOSE(CONTROL!$C$42, 14.6169, 14.6169) * CHOOSE(CONTROL!$C$21, $C$9, 100%, $E$9)</f>
        <v>14.616899999999999</v>
      </c>
      <c r="Q332" s="14">
        <f>CHOOSE(CONTROL!$C$42, 15.4077, 15.4077) * CHOOSE(CONTROL!$C$21, $C$9, 100%, $E$9)</f>
        <v>15.4077</v>
      </c>
      <c r="R332" s="14">
        <f>CHOOSE(CONTROL!$C$42, 16.0332, 16.0332) * CHOOSE(CONTROL!$C$21, $C$9, 100%, $E$9)</f>
        <v>16.033200000000001</v>
      </c>
      <c r="S332" s="14">
        <f>CHOOSE(CONTROL!$C$42, 14.2619, 14.2619) * CHOOSE(CONTROL!$C$21, $C$9, 100%, $E$9)</f>
        <v>14.261900000000001</v>
      </c>
      <c r="T3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7">
        <f>(1000*CHOOSE(CONTROL!$C$42, 695, 695)*CHOOSE(CONTROL!$C$42, 0.5599, 0.5599)*CHOOSE(CONTROL!$C$42, 31, 31))/1000000</f>
        <v>12.063045499999998</v>
      </c>
      <c r="V332" s="57">
        <f>(1000*CHOOSE(CONTROL!$C$42, 500, 500)*CHOOSE(CONTROL!$C$42, 0.275, 0.275)*CHOOSE(CONTROL!$C$42, 31, 31))/1000000</f>
        <v>4.2625000000000002</v>
      </c>
      <c r="W332" s="57">
        <f>(1000*CHOOSE(CONTROL!$C$42, 0.1146, 0.1146)*CHOOSE(CONTROL!$C$42, 121.5, 121.5)*CHOOSE(CONTROL!$C$42, 31, 31))/1000000</f>
        <v>0.43164089999999994</v>
      </c>
      <c r="X332" s="57">
        <f>(31*0.1790888*245000/1000000)+(31*0.2374*100000/1000000)</f>
        <v>2.0961194359999999</v>
      </c>
      <c r="Y332" s="57"/>
      <c r="Z332" s="14"/>
      <c r="AA332" s="56"/>
      <c r="AB332" s="50">
        <f>(B332*194.205+C332*267.466+D332*133.845+E332*53.484+F332*40+G332*185+H332*0+I332*100+J332*300)/(194.205+267.466+133.845+53.484+0+40+185+100+300)</f>
        <v>14.896636075667189</v>
      </c>
      <c r="AC332" s="45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14.635903597122304</v>
      </c>
    </row>
    <row r="333" spans="1:29" ht="15.75" x14ac:dyDescent="0.25">
      <c r="A333" s="33">
        <v>51043</v>
      </c>
      <c r="B333" s="14">
        <f>CHOOSE(CONTROL!$C$42, 13.9106, 13.9106) * CHOOSE(CONTROL!$C$21, $C$9, 100%, $E$9)</f>
        <v>13.910600000000001</v>
      </c>
      <c r="C333" s="14">
        <f>CHOOSE(CONTROL!$C$42, 13.9186, 13.9186) * CHOOSE(CONTROL!$C$21, $C$9, 100%, $E$9)</f>
        <v>13.9186</v>
      </c>
      <c r="D333" s="14">
        <f>CHOOSE(CONTROL!$C$42, 14.1522, 14.1522) * CHOOSE(CONTROL!$C$21, $C$9, 100%, $E$9)</f>
        <v>14.152200000000001</v>
      </c>
      <c r="E333" s="14">
        <f>CHOOSE(CONTROL!$C$42, 14.1837, 14.1837) * CHOOSE(CONTROL!$C$21, $C$9, 100%, $E$9)</f>
        <v>14.1837</v>
      </c>
      <c r="F333" s="14">
        <f>CHOOSE(CONTROL!$C$42, 13.9086, 13.9086)*CHOOSE(CONTROL!$C$21, $C$9, 100%, $E$9)</f>
        <v>13.9086</v>
      </c>
      <c r="G333" s="14">
        <f>CHOOSE(CONTROL!$C$42, 13.9253, 13.9253)*CHOOSE(CONTROL!$C$21, $C$9, 100%, $E$9)</f>
        <v>13.9253</v>
      </c>
      <c r="H333" s="14">
        <f>CHOOSE(CONTROL!$C$42, 14.1723, 14.1723) * CHOOSE(CONTROL!$C$21, $C$9, 100%, $E$9)</f>
        <v>14.1723</v>
      </c>
      <c r="I333" s="14">
        <f>CHOOSE(CONTROL!$C$42, 13.97, 13.97)* CHOOSE(CONTROL!$C$21, $C$9, 100%, $E$9)</f>
        <v>13.97</v>
      </c>
      <c r="J333" s="14">
        <f>CHOOSE(CONTROL!$C$42, 13.9016, 13.9016)* CHOOSE(CONTROL!$C$21, $C$9, 100%, $E$9)</f>
        <v>13.9016</v>
      </c>
      <c r="K333" s="53">
        <f>CHOOSE(CONTROL!$C$42, 13.9661, 13.9661) * CHOOSE(CONTROL!$C$21, $C$9, 100%, $E$9)</f>
        <v>13.966100000000001</v>
      </c>
      <c r="L333" s="14">
        <f>CHOOSE(CONTROL!$C$42, 14.7593, 14.7593) * CHOOSE(CONTROL!$C$21, $C$9, 100%, $E$9)</f>
        <v>14.7593</v>
      </c>
      <c r="M333" s="14">
        <f>CHOOSE(CONTROL!$C$42, 13.6245, 13.6245) * CHOOSE(CONTROL!$C$21, $C$9, 100%, $E$9)</f>
        <v>13.624499999999999</v>
      </c>
      <c r="N333" s="14">
        <f>CHOOSE(CONTROL!$C$42, 13.6408, 13.6408) * CHOOSE(CONTROL!$C$21, $C$9, 100%, $E$9)</f>
        <v>13.6408</v>
      </c>
      <c r="O333" s="14">
        <f>CHOOSE(CONTROL!$C$42, 13.8896, 13.8896) * CHOOSE(CONTROL!$C$21, $C$9, 100%, $E$9)</f>
        <v>13.8896</v>
      </c>
      <c r="P333" s="14">
        <f>CHOOSE(CONTROL!$C$42, 13.6907, 13.6907) * CHOOSE(CONTROL!$C$21, $C$9, 100%, $E$9)</f>
        <v>13.6907</v>
      </c>
      <c r="Q333" s="14">
        <f>CHOOSE(CONTROL!$C$42, 14.4843, 14.4843) * CHOOSE(CONTROL!$C$21, $C$9, 100%, $E$9)</f>
        <v>14.484299999999999</v>
      </c>
      <c r="R333" s="14">
        <f>CHOOSE(CONTROL!$C$42, 15.1075, 15.1075) * CHOOSE(CONTROL!$C$21, $C$9, 100%, $E$9)</f>
        <v>15.1075</v>
      </c>
      <c r="S333" s="14">
        <f>CHOOSE(CONTROL!$C$42, 13.3561, 13.3561) * CHOOSE(CONTROL!$C$21, $C$9, 100%, $E$9)</f>
        <v>13.3561</v>
      </c>
      <c r="T3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7">
        <f>(1000*CHOOSE(CONTROL!$C$42, 695, 695)*CHOOSE(CONTROL!$C$42, 0.5599, 0.5599)*CHOOSE(CONTROL!$C$42, 30, 30))/1000000</f>
        <v>11.673914999999997</v>
      </c>
      <c r="V333" s="57">
        <f>(1000*CHOOSE(CONTROL!$C$42, 500, 500)*CHOOSE(CONTROL!$C$42, 0.275, 0.275)*CHOOSE(CONTROL!$C$42, 30, 30))/1000000</f>
        <v>4.125</v>
      </c>
      <c r="W333" s="57">
        <f>(1000*CHOOSE(CONTROL!$C$42, 0.1146, 0.1146)*CHOOSE(CONTROL!$C$42, 121.5, 121.5)*CHOOSE(CONTROL!$C$42, 30, 30))/1000000</f>
        <v>0.417717</v>
      </c>
      <c r="X333" s="57">
        <f>(30*0.1790888*245000/1000000)+(30*0.2374*100000/1000000)</f>
        <v>2.0285026799999999</v>
      </c>
      <c r="Y333" s="57"/>
      <c r="Z333" s="14"/>
      <c r="AA333" s="56"/>
      <c r="AB333" s="50">
        <f>(B333*194.205+C333*267.466+D333*133.845+E333*53.484+F333*40+G333*185+H333*0+I333*100+J333*300)/(194.205+267.466+133.845+53.484+0+40+185+100+300)</f>
        <v>13.953741805651495</v>
      </c>
      <c r="AC333" s="45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13.712158273381293</v>
      </c>
    </row>
    <row r="334" spans="1:29" ht="15.75" x14ac:dyDescent="0.25">
      <c r="A334" s="33">
        <v>51074</v>
      </c>
      <c r="B334" s="14">
        <f>CHOOSE(CONTROL!$C$42, 13.6266, 13.6266) * CHOOSE(CONTROL!$C$21, $C$9, 100%, $E$9)</f>
        <v>13.6266</v>
      </c>
      <c r="C334" s="14">
        <f>CHOOSE(CONTROL!$C$42, 13.632, 13.632) * CHOOSE(CONTROL!$C$21, $C$9, 100%, $E$9)</f>
        <v>13.632</v>
      </c>
      <c r="D334" s="14">
        <f>CHOOSE(CONTROL!$C$42, 13.8705, 13.8705) * CHOOSE(CONTROL!$C$21, $C$9, 100%, $E$9)</f>
        <v>13.8705</v>
      </c>
      <c r="E334" s="14">
        <f>CHOOSE(CONTROL!$C$42, 13.8996, 13.8996) * CHOOSE(CONTROL!$C$21, $C$9, 100%, $E$9)</f>
        <v>13.8996</v>
      </c>
      <c r="F334" s="14">
        <f>CHOOSE(CONTROL!$C$42, 13.6267, 13.6267)*CHOOSE(CONTROL!$C$21, $C$9, 100%, $E$9)</f>
        <v>13.6267</v>
      </c>
      <c r="G334" s="14">
        <f>CHOOSE(CONTROL!$C$42, 13.6429, 13.6429)*CHOOSE(CONTROL!$C$21, $C$9, 100%, $E$9)</f>
        <v>13.642899999999999</v>
      </c>
      <c r="H334" s="14">
        <f>CHOOSE(CONTROL!$C$42, 13.8901, 13.8901) * CHOOSE(CONTROL!$C$21, $C$9, 100%, $E$9)</f>
        <v>13.8901</v>
      </c>
      <c r="I334" s="14">
        <f>CHOOSE(CONTROL!$C$42, 13.687, 13.687)* CHOOSE(CONTROL!$C$21, $C$9, 100%, $E$9)</f>
        <v>13.686999999999999</v>
      </c>
      <c r="J334" s="14">
        <f>CHOOSE(CONTROL!$C$42, 13.6197, 13.6197)* CHOOSE(CONTROL!$C$21, $C$9, 100%, $E$9)</f>
        <v>13.6197</v>
      </c>
      <c r="K334" s="53">
        <f>CHOOSE(CONTROL!$C$42, 13.6831, 13.6831) * CHOOSE(CONTROL!$C$21, $C$9, 100%, $E$9)</f>
        <v>13.6831</v>
      </c>
      <c r="L334" s="14">
        <f>CHOOSE(CONTROL!$C$42, 14.4771, 14.4771) * CHOOSE(CONTROL!$C$21, $C$9, 100%, $E$9)</f>
        <v>14.4771</v>
      </c>
      <c r="M334" s="14">
        <f>CHOOSE(CONTROL!$C$42, 13.3483, 13.3483) * CHOOSE(CONTROL!$C$21, $C$9, 100%, $E$9)</f>
        <v>13.3483</v>
      </c>
      <c r="N334" s="14">
        <f>CHOOSE(CONTROL!$C$42, 13.3642, 13.3642) * CHOOSE(CONTROL!$C$21, $C$9, 100%, $E$9)</f>
        <v>13.3642</v>
      </c>
      <c r="O334" s="14">
        <f>CHOOSE(CONTROL!$C$42, 13.6132, 13.6132) * CHOOSE(CONTROL!$C$21, $C$9, 100%, $E$9)</f>
        <v>13.613200000000001</v>
      </c>
      <c r="P334" s="14">
        <f>CHOOSE(CONTROL!$C$42, 13.4134, 13.4134) * CHOOSE(CONTROL!$C$21, $C$9, 100%, $E$9)</f>
        <v>13.413399999999999</v>
      </c>
      <c r="Q334" s="14">
        <f>CHOOSE(CONTROL!$C$42, 14.2079, 14.2079) * CHOOSE(CONTROL!$C$21, $C$9, 100%, $E$9)</f>
        <v>14.2079</v>
      </c>
      <c r="R334" s="14">
        <f>CHOOSE(CONTROL!$C$42, 14.8304, 14.8304) * CHOOSE(CONTROL!$C$21, $C$9, 100%, $E$9)</f>
        <v>14.830399999999999</v>
      </c>
      <c r="S334" s="14">
        <f>CHOOSE(CONTROL!$C$42, 13.0849, 13.0849) * CHOOSE(CONTROL!$C$21, $C$9, 100%, $E$9)</f>
        <v>13.084899999999999</v>
      </c>
      <c r="T3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7">
        <f>(1000*CHOOSE(CONTROL!$C$42, 695, 695)*CHOOSE(CONTROL!$C$42, 0.5599, 0.5599)*CHOOSE(CONTROL!$C$42, 31, 31))/1000000</f>
        <v>12.063045499999998</v>
      </c>
      <c r="V334" s="57">
        <f>(1000*CHOOSE(CONTROL!$C$42, 500, 500)*CHOOSE(CONTROL!$C$42, 0.275, 0.275)*CHOOSE(CONTROL!$C$42, 31, 31))/1000000</f>
        <v>4.2625000000000002</v>
      </c>
      <c r="W334" s="57">
        <f>(1000*CHOOSE(CONTROL!$C$42, 0.1146, 0.1146)*CHOOSE(CONTROL!$C$42, 121.5, 121.5)*CHOOSE(CONTROL!$C$42, 31, 31))/1000000</f>
        <v>0.43164089999999994</v>
      </c>
      <c r="X334" s="57">
        <f>(31*0.1790888*245000/1000000)+(31*0.2374*100000/1000000)</f>
        <v>2.0961194359999999</v>
      </c>
      <c r="Y334" s="57"/>
      <c r="Z334" s="14"/>
      <c r="AA334" s="56"/>
      <c r="AB334" s="50">
        <f>(B334*131.881+C334*277.167+D334*79.08+E334*125.872+F334*40+G334*185+H334*0+I334*100+J334*300)/(131.881+277.167+79.08+125.872+0+40+185+100+300)</f>
        <v>13.676750823083133</v>
      </c>
      <c r="AC334" s="45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13.435651798561151</v>
      </c>
    </row>
    <row r="335" spans="1:29" ht="15.75" x14ac:dyDescent="0.25">
      <c r="A335" s="33">
        <v>51104</v>
      </c>
      <c r="B335" s="14">
        <f>CHOOSE(CONTROL!$C$42, 13.9849, 13.9849) * CHOOSE(CONTROL!$C$21, $C$9, 100%, $E$9)</f>
        <v>13.9849</v>
      </c>
      <c r="C335" s="14">
        <f>CHOOSE(CONTROL!$C$42, 13.99, 13.99) * CHOOSE(CONTROL!$C$21, $C$9, 100%, $E$9)</f>
        <v>13.99</v>
      </c>
      <c r="D335" s="14">
        <f>CHOOSE(CONTROL!$C$42, 14.0642, 14.0642) * CHOOSE(CONTROL!$C$21, $C$9, 100%, $E$9)</f>
        <v>14.0642</v>
      </c>
      <c r="E335" s="14">
        <f>CHOOSE(CONTROL!$C$42, 14.0983, 14.0983) * CHOOSE(CONTROL!$C$21, $C$9, 100%, $E$9)</f>
        <v>14.0983</v>
      </c>
      <c r="F335" s="14">
        <f>CHOOSE(CONTROL!$C$42, 13.997, 13.997)*CHOOSE(CONTROL!$C$21, $C$9, 100%, $E$9)</f>
        <v>13.997</v>
      </c>
      <c r="G335" s="14">
        <f>CHOOSE(CONTROL!$C$42, 14.0136, 14.0136)*CHOOSE(CONTROL!$C$21, $C$9, 100%, $E$9)</f>
        <v>14.0136</v>
      </c>
      <c r="H335" s="14">
        <f>CHOOSE(CONTROL!$C$42, 14.0875, 14.0875) * CHOOSE(CONTROL!$C$21, $C$9, 100%, $E$9)</f>
        <v>14.0875</v>
      </c>
      <c r="I335" s="14">
        <f>CHOOSE(CONTROL!$C$42, 14.0531, 14.0531)* CHOOSE(CONTROL!$C$21, $C$9, 100%, $E$9)</f>
        <v>14.053100000000001</v>
      </c>
      <c r="J335" s="14">
        <f>CHOOSE(CONTROL!$C$42, 13.99, 13.99)* CHOOSE(CONTROL!$C$21, $C$9, 100%, $E$9)</f>
        <v>13.99</v>
      </c>
      <c r="K335" s="53">
        <f>CHOOSE(CONTROL!$C$42, 14.0492, 14.0492) * CHOOSE(CONTROL!$C$21, $C$9, 100%, $E$9)</f>
        <v>14.049200000000001</v>
      </c>
      <c r="L335" s="14">
        <f>CHOOSE(CONTROL!$C$42, 14.6745, 14.6745) * CHOOSE(CONTROL!$C$21, $C$9, 100%, $E$9)</f>
        <v>14.6745</v>
      </c>
      <c r="M335" s="14">
        <f>CHOOSE(CONTROL!$C$42, 13.711, 13.711) * CHOOSE(CONTROL!$C$21, $C$9, 100%, $E$9)</f>
        <v>13.711</v>
      </c>
      <c r="N335" s="14">
        <f>CHOOSE(CONTROL!$C$42, 13.7273, 13.7273) * CHOOSE(CONTROL!$C$21, $C$9, 100%, $E$9)</f>
        <v>13.7273</v>
      </c>
      <c r="O335" s="14">
        <f>CHOOSE(CONTROL!$C$42, 13.8066, 13.8066) * CHOOSE(CONTROL!$C$21, $C$9, 100%, $E$9)</f>
        <v>13.8066</v>
      </c>
      <c r="P335" s="14">
        <f>CHOOSE(CONTROL!$C$42, 13.772, 13.772) * CHOOSE(CONTROL!$C$21, $C$9, 100%, $E$9)</f>
        <v>13.772</v>
      </c>
      <c r="Q335" s="14">
        <f>CHOOSE(CONTROL!$C$42, 14.4013, 14.4013) * CHOOSE(CONTROL!$C$21, $C$9, 100%, $E$9)</f>
        <v>14.401300000000001</v>
      </c>
      <c r="R335" s="14">
        <f>CHOOSE(CONTROL!$C$42, 15.0243, 15.0243) * CHOOSE(CONTROL!$C$21, $C$9, 100%, $E$9)</f>
        <v>15.0243</v>
      </c>
      <c r="S335" s="14">
        <f>CHOOSE(CONTROL!$C$42, 13.4296, 13.4296) * CHOOSE(CONTROL!$C$21, $C$9, 100%, $E$9)</f>
        <v>13.429600000000001</v>
      </c>
      <c r="T3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7">
        <f>(1000*CHOOSE(CONTROL!$C$42, 695, 695)*CHOOSE(CONTROL!$C$42, 0.5599, 0.5599)*CHOOSE(CONTROL!$C$42, 30, 30))/1000000</f>
        <v>11.673914999999997</v>
      </c>
      <c r="V335" s="57">
        <f>(1000*CHOOSE(CONTROL!$C$42, 500, 500)*CHOOSE(CONTROL!$C$42, 0.275, 0.275)*CHOOSE(CONTROL!$C$42, 30, 30))/1000000</f>
        <v>4.125</v>
      </c>
      <c r="W335" s="57">
        <f>(1000*CHOOSE(CONTROL!$C$42, 0.1146, 0.1146)*CHOOSE(CONTROL!$C$42, 121.5, 121.5)*CHOOSE(CONTROL!$C$42, 30, 30))/1000000</f>
        <v>0.417717</v>
      </c>
      <c r="X335" s="57">
        <f>(30*0.1790888*100000/1000000)+(30*0.2374*100000/1000000)</f>
        <v>1.2494664</v>
      </c>
      <c r="Y335" s="57"/>
      <c r="Z335" s="14"/>
      <c r="AA335" s="56"/>
      <c r="AB335" s="50">
        <f>(B335*122.58+C335*297.941+D335*89.177+E335*40.302+F335*40+G335*160+H335*0+I335*100+J335*300)/(122.58+297.941+89.177+40.302+0+40+160+100+300)</f>
        <v>14.008019549565217</v>
      </c>
      <c r="AC335" s="45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13.764044604316547</v>
      </c>
    </row>
    <row r="336" spans="1:29" ht="15.75" x14ac:dyDescent="0.25">
      <c r="A336" s="33">
        <v>51135</v>
      </c>
      <c r="B336" s="14">
        <f>CHOOSE(CONTROL!$C$42, 14.9378, 14.9378) * CHOOSE(CONTROL!$C$21, $C$9, 100%, $E$9)</f>
        <v>14.937799999999999</v>
      </c>
      <c r="C336" s="14">
        <f>CHOOSE(CONTROL!$C$42, 14.9428, 14.9428) * CHOOSE(CONTROL!$C$21, $C$9, 100%, $E$9)</f>
        <v>14.9428</v>
      </c>
      <c r="D336" s="14">
        <f>CHOOSE(CONTROL!$C$42, 15.017, 15.017) * CHOOSE(CONTROL!$C$21, $C$9, 100%, $E$9)</f>
        <v>15.016999999999999</v>
      </c>
      <c r="E336" s="14">
        <f>CHOOSE(CONTROL!$C$42, 15.0512, 15.0512) * CHOOSE(CONTROL!$C$21, $C$9, 100%, $E$9)</f>
        <v>15.0512</v>
      </c>
      <c r="F336" s="14">
        <f>CHOOSE(CONTROL!$C$42, 14.952, 14.952)*CHOOSE(CONTROL!$C$21, $C$9, 100%, $E$9)</f>
        <v>14.952</v>
      </c>
      <c r="G336" s="14">
        <f>CHOOSE(CONTROL!$C$42, 14.9692, 14.9692)*CHOOSE(CONTROL!$C$21, $C$9, 100%, $E$9)</f>
        <v>14.969200000000001</v>
      </c>
      <c r="H336" s="14">
        <f>CHOOSE(CONTROL!$C$42, 15.0403, 15.0403) * CHOOSE(CONTROL!$C$21, $C$9, 100%, $E$9)</f>
        <v>15.0403</v>
      </c>
      <c r="I336" s="14">
        <f>CHOOSE(CONTROL!$C$42, 15.0089, 15.0089)* CHOOSE(CONTROL!$C$21, $C$9, 100%, $E$9)</f>
        <v>15.008900000000001</v>
      </c>
      <c r="J336" s="14">
        <f>CHOOSE(CONTROL!$C$42, 14.945, 14.945)* CHOOSE(CONTROL!$C$21, $C$9, 100%, $E$9)</f>
        <v>14.945</v>
      </c>
      <c r="K336" s="53">
        <f>CHOOSE(CONTROL!$C$42, 15.005, 15.005) * CHOOSE(CONTROL!$C$21, $C$9, 100%, $E$9)</f>
        <v>15.005000000000001</v>
      </c>
      <c r="L336" s="14">
        <f>CHOOSE(CONTROL!$C$42, 15.6273, 15.6273) * CHOOSE(CONTROL!$C$21, $C$9, 100%, $E$9)</f>
        <v>15.6273</v>
      </c>
      <c r="M336" s="14">
        <f>CHOOSE(CONTROL!$C$42, 14.6465, 14.6465) * CHOOSE(CONTROL!$C$21, $C$9, 100%, $E$9)</f>
        <v>14.6465</v>
      </c>
      <c r="N336" s="14">
        <f>CHOOSE(CONTROL!$C$42, 14.6633, 14.6633) * CHOOSE(CONTROL!$C$21, $C$9, 100%, $E$9)</f>
        <v>14.6633</v>
      </c>
      <c r="O336" s="14">
        <f>CHOOSE(CONTROL!$C$42, 14.7399, 14.7399) * CHOOSE(CONTROL!$C$21, $C$9, 100%, $E$9)</f>
        <v>14.7399</v>
      </c>
      <c r="P336" s="14">
        <f>CHOOSE(CONTROL!$C$42, 14.7082, 14.7082) * CHOOSE(CONTROL!$C$21, $C$9, 100%, $E$9)</f>
        <v>14.7082</v>
      </c>
      <c r="Q336" s="14">
        <f>CHOOSE(CONTROL!$C$42, 15.3346, 15.3346) * CHOOSE(CONTROL!$C$21, $C$9, 100%, $E$9)</f>
        <v>15.3346</v>
      </c>
      <c r="R336" s="14">
        <f>CHOOSE(CONTROL!$C$42, 15.9599, 15.9599) * CHOOSE(CONTROL!$C$21, $C$9, 100%, $E$9)</f>
        <v>15.959899999999999</v>
      </c>
      <c r="S336" s="14">
        <f>CHOOSE(CONTROL!$C$42, 14.3452, 14.3452) * CHOOSE(CONTROL!$C$21, $C$9, 100%, $E$9)</f>
        <v>14.3452</v>
      </c>
      <c r="T3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7">
        <f>(1000*CHOOSE(CONTROL!$C$42, 695, 695)*CHOOSE(CONTROL!$C$42, 0.5599, 0.5599)*CHOOSE(CONTROL!$C$42, 31, 31))/1000000</f>
        <v>12.063045499999998</v>
      </c>
      <c r="V336" s="57">
        <f>(1000*CHOOSE(CONTROL!$C$42, 500, 500)*CHOOSE(CONTROL!$C$42, 0.275, 0.275)*CHOOSE(CONTROL!$C$42, 31, 31))/1000000</f>
        <v>4.2625000000000002</v>
      </c>
      <c r="W336" s="57">
        <f>(1000*CHOOSE(CONTROL!$C$42, 0.1146, 0.1146)*CHOOSE(CONTROL!$C$42, 121.5, 121.5)*CHOOSE(CONTROL!$C$42, 31, 31))/1000000</f>
        <v>0.43164089999999994</v>
      </c>
      <c r="X336" s="57">
        <f>(31*0.1790888*100000/1000000)+(31*0.2374*100000/1000000)</f>
        <v>1.2911152800000001</v>
      </c>
      <c r="Y336" s="57"/>
      <c r="Z336" s="14"/>
      <c r="AA336" s="56"/>
      <c r="AB336" s="50">
        <f>(B336*122.58+C336*297.941+D336*89.177+E336*40.302+F336*40+G336*160+H336*0+I336*100+J336*300)/(122.58+297.941+89.177+40.302+0+40+160+100+300)</f>
        <v>14.962134582782607</v>
      </c>
      <c r="AC336" s="45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14.698676978417266</v>
      </c>
    </row>
    <row r="337" spans="1:29" ht="15.75" x14ac:dyDescent="0.25">
      <c r="A337" s="33">
        <v>51166</v>
      </c>
      <c r="B337" s="14">
        <f>CHOOSE(CONTROL!$C$42, 16.1753, 16.1753) * CHOOSE(CONTROL!$C$21, $C$9, 100%, $E$9)</f>
        <v>16.1753</v>
      </c>
      <c r="C337" s="14">
        <f>CHOOSE(CONTROL!$C$42, 16.1804, 16.1804) * CHOOSE(CONTROL!$C$21, $C$9, 100%, $E$9)</f>
        <v>16.180399999999999</v>
      </c>
      <c r="D337" s="14">
        <f>CHOOSE(CONTROL!$C$42, 16.2572, 16.2572) * CHOOSE(CONTROL!$C$21, $C$9, 100%, $E$9)</f>
        <v>16.257200000000001</v>
      </c>
      <c r="E337" s="14">
        <f>CHOOSE(CONTROL!$C$42, 16.2913, 16.2913) * CHOOSE(CONTROL!$C$21, $C$9, 100%, $E$9)</f>
        <v>16.2913</v>
      </c>
      <c r="F337" s="14">
        <f>CHOOSE(CONTROL!$C$42, 16.1755, 16.1755)*CHOOSE(CONTROL!$C$21, $C$9, 100%, $E$9)</f>
        <v>16.1755</v>
      </c>
      <c r="G337" s="14">
        <f>CHOOSE(CONTROL!$C$42, 16.1917, 16.1917)*CHOOSE(CONTROL!$C$21, $C$9, 100%, $E$9)</f>
        <v>16.191700000000001</v>
      </c>
      <c r="H337" s="14">
        <f>CHOOSE(CONTROL!$C$42, 16.2805, 16.2805) * CHOOSE(CONTROL!$C$21, $C$9, 100%, $E$9)</f>
        <v>16.2805</v>
      </c>
      <c r="I337" s="14">
        <f>CHOOSE(CONTROL!$C$42, 16.244, 16.244)* CHOOSE(CONTROL!$C$21, $C$9, 100%, $E$9)</f>
        <v>16.244</v>
      </c>
      <c r="J337" s="14">
        <f>CHOOSE(CONTROL!$C$42, 16.1685, 16.1685)* CHOOSE(CONTROL!$C$21, $C$9, 100%, $E$9)</f>
        <v>16.168500000000002</v>
      </c>
      <c r="K337" s="53">
        <f>CHOOSE(CONTROL!$C$42, 16.2401, 16.2401) * CHOOSE(CONTROL!$C$21, $C$9, 100%, $E$9)</f>
        <v>16.240100000000002</v>
      </c>
      <c r="L337" s="14">
        <f>CHOOSE(CONTROL!$C$42, 16.8675, 16.8675) * CHOOSE(CONTROL!$C$21, $C$9, 100%, $E$9)</f>
        <v>16.8675</v>
      </c>
      <c r="M337" s="14">
        <f>CHOOSE(CONTROL!$C$42, 15.8449, 15.8449) * CHOOSE(CONTROL!$C$21, $C$9, 100%, $E$9)</f>
        <v>15.844900000000001</v>
      </c>
      <c r="N337" s="14">
        <f>CHOOSE(CONTROL!$C$42, 15.8608, 15.8608) * CHOOSE(CONTROL!$C$21, $C$9, 100%, $E$9)</f>
        <v>15.860799999999999</v>
      </c>
      <c r="O337" s="14">
        <f>CHOOSE(CONTROL!$C$42, 15.9546, 15.9546) * CHOOSE(CONTROL!$C$21, $C$9, 100%, $E$9)</f>
        <v>15.954599999999999</v>
      </c>
      <c r="P337" s="14">
        <f>CHOOSE(CONTROL!$C$42, 15.9179, 15.9179) * CHOOSE(CONTROL!$C$21, $C$9, 100%, $E$9)</f>
        <v>15.917899999999999</v>
      </c>
      <c r="Q337" s="14">
        <f>CHOOSE(CONTROL!$C$42, 16.5493, 16.5493) * CHOOSE(CONTROL!$C$21, $C$9, 100%, $E$9)</f>
        <v>16.549299999999999</v>
      </c>
      <c r="R337" s="14">
        <f>CHOOSE(CONTROL!$C$42, 17.1777, 17.1777) * CHOOSE(CONTROL!$C$21, $C$9, 100%, $E$9)</f>
        <v>17.177700000000002</v>
      </c>
      <c r="S337" s="14">
        <f>CHOOSE(CONTROL!$C$42, 15.5343, 15.5343) * CHOOSE(CONTROL!$C$21, $C$9, 100%, $E$9)</f>
        <v>15.5343</v>
      </c>
      <c r="T3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7">
        <f>(1000*CHOOSE(CONTROL!$C$42, 695, 695)*CHOOSE(CONTROL!$C$42, 0.5599, 0.5599)*CHOOSE(CONTROL!$C$42, 31, 31))/1000000</f>
        <v>12.063045499999998</v>
      </c>
      <c r="V337" s="57">
        <f>(1000*CHOOSE(CONTROL!$C$42, 500, 500)*CHOOSE(CONTROL!$C$42, 0.275, 0.275)*CHOOSE(CONTROL!$C$42, 31, 31))/1000000</f>
        <v>4.2625000000000002</v>
      </c>
      <c r="W337" s="57">
        <f>(1000*CHOOSE(CONTROL!$C$42, 0.1146, 0.1146)*CHOOSE(CONTROL!$C$42, 121.5, 121.5)*CHOOSE(CONTROL!$C$42, 31, 31))/1000000</f>
        <v>0.43164089999999994</v>
      </c>
      <c r="X337" s="57">
        <f>(31*0.1790888*100000/1000000)+(31*0.2374*100000/1000000)</f>
        <v>1.2911152800000001</v>
      </c>
      <c r="Y337" s="57"/>
      <c r="Z337" s="14"/>
      <c r="AA337" s="56"/>
      <c r="AB337" s="50">
        <f>(B337*122.58+C337*297.941+D337*89.177+E337*40.302+F337*40+G337*160+H337*0+I337*100+J337*300)/(122.58+297.941+89.177+40.302+0+40+160+100+300)</f>
        <v>16.193526197739132</v>
      </c>
      <c r="AC337" s="45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15.906038848920863</v>
      </c>
    </row>
    <row r="338" spans="1:29" ht="15.75" x14ac:dyDescent="0.25">
      <c r="A338" s="33">
        <v>51194</v>
      </c>
      <c r="B338" s="14">
        <f>CHOOSE(CONTROL!$C$42, 16.4631, 16.4631) * CHOOSE(CONTROL!$C$21, $C$9, 100%, $E$9)</f>
        <v>16.463100000000001</v>
      </c>
      <c r="C338" s="14">
        <f>CHOOSE(CONTROL!$C$42, 16.4681, 16.4681) * CHOOSE(CONTROL!$C$21, $C$9, 100%, $E$9)</f>
        <v>16.4681</v>
      </c>
      <c r="D338" s="14">
        <f>CHOOSE(CONTROL!$C$42, 16.545, 16.545) * CHOOSE(CONTROL!$C$21, $C$9, 100%, $E$9)</f>
        <v>16.545000000000002</v>
      </c>
      <c r="E338" s="14">
        <f>CHOOSE(CONTROL!$C$42, 16.5791, 16.5791) * CHOOSE(CONTROL!$C$21, $C$9, 100%, $E$9)</f>
        <v>16.5791</v>
      </c>
      <c r="F338" s="14">
        <f>CHOOSE(CONTROL!$C$42, 16.4633, 16.4633)*CHOOSE(CONTROL!$C$21, $C$9, 100%, $E$9)</f>
        <v>16.4633</v>
      </c>
      <c r="G338" s="14">
        <f>CHOOSE(CONTROL!$C$42, 16.4796, 16.4796)*CHOOSE(CONTROL!$C$21, $C$9, 100%, $E$9)</f>
        <v>16.479600000000001</v>
      </c>
      <c r="H338" s="14">
        <f>CHOOSE(CONTROL!$C$42, 16.5683, 16.5683) * CHOOSE(CONTROL!$C$21, $C$9, 100%, $E$9)</f>
        <v>16.568300000000001</v>
      </c>
      <c r="I338" s="14">
        <f>CHOOSE(CONTROL!$C$42, 16.5327, 16.5327)* CHOOSE(CONTROL!$C$21, $C$9, 100%, $E$9)</f>
        <v>16.532699999999998</v>
      </c>
      <c r="J338" s="14">
        <f>CHOOSE(CONTROL!$C$42, 16.4563, 16.4563)* CHOOSE(CONTROL!$C$21, $C$9, 100%, $E$9)</f>
        <v>16.456299999999999</v>
      </c>
      <c r="K338" s="53">
        <f>CHOOSE(CONTROL!$C$42, 16.5288, 16.5288) * CHOOSE(CONTROL!$C$21, $C$9, 100%, $E$9)</f>
        <v>16.5288</v>
      </c>
      <c r="L338" s="14">
        <f>CHOOSE(CONTROL!$C$42, 17.1553, 17.1553) * CHOOSE(CONTROL!$C$21, $C$9, 100%, $E$9)</f>
        <v>17.1553</v>
      </c>
      <c r="M338" s="14">
        <f>CHOOSE(CONTROL!$C$42, 16.1268, 16.1268) * CHOOSE(CONTROL!$C$21, $C$9, 100%, $E$9)</f>
        <v>16.126799999999999</v>
      </c>
      <c r="N338" s="14">
        <f>CHOOSE(CONTROL!$C$42, 16.1427, 16.1427) * CHOOSE(CONTROL!$C$21, $C$9, 100%, $E$9)</f>
        <v>16.142700000000001</v>
      </c>
      <c r="O338" s="14">
        <f>CHOOSE(CONTROL!$C$42, 16.2365, 16.2365) * CHOOSE(CONTROL!$C$21, $C$9, 100%, $E$9)</f>
        <v>16.236499999999999</v>
      </c>
      <c r="P338" s="14">
        <f>CHOOSE(CONTROL!$C$42, 16.2007, 16.2007) * CHOOSE(CONTROL!$C$21, $C$9, 100%, $E$9)</f>
        <v>16.200700000000001</v>
      </c>
      <c r="Q338" s="14">
        <f>CHOOSE(CONTROL!$C$42, 16.8312, 16.8312) * CHOOSE(CONTROL!$C$21, $C$9, 100%, $E$9)</f>
        <v>16.831199999999999</v>
      </c>
      <c r="R338" s="14">
        <f>CHOOSE(CONTROL!$C$42, 17.4603, 17.4603) * CHOOSE(CONTROL!$C$21, $C$9, 100%, $E$9)</f>
        <v>17.4603</v>
      </c>
      <c r="S338" s="14">
        <f>CHOOSE(CONTROL!$C$42, 15.8108, 15.8108) * CHOOSE(CONTROL!$C$21, $C$9, 100%, $E$9)</f>
        <v>15.8108</v>
      </c>
      <c r="T33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7">
        <f>(1000*CHOOSE(CONTROL!$C$42, 695, 695)*CHOOSE(CONTROL!$C$42, 0.5599, 0.5599)*CHOOSE(CONTROL!$C$42, 29, 29))/1000000</f>
        <v>11.284784499999999</v>
      </c>
      <c r="V338" s="57">
        <f>(1000*CHOOSE(CONTROL!$C$42, 500, 500)*CHOOSE(CONTROL!$C$42, 0.275, 0.275)*CHOOSE(CONTROL!$C$42, 29, 29))/1000000</f>
        <v>3.9874999999999998</v>
      </c>
      <c r="W338" s="57">
        <f>(1000*CHOOSE(CONTROL!$C$42, 0.1146, 0.1146)*CHOOSE(CONTROL!$C$42, 121.5, 121.5)*CHOOSE(CONTROL!$C$42, 29, 29))/1000000</f>
        <v>0.40379309999999996</v>
      </c>
      <c r="X338" s="57">
        <f>(29*0.1790888*100000/1000000)+(29*0.2374*100000/1000000)</f>
        <v>1.2078175199999999</v>
      </c>
      <c r="Y338" s="57"/>
      <c r="Z338" s="14"/>
      <c r="AA338" s="56"/>
      <c r="AB338" s="50">
        <f>(B338*122.58+C338*297.941+D338*89.177+E338*40.302+F338*40+G338*160+H338*0+I338*100+J338*300)/(122.58+297.941+89.177+40.302+0+40+160+100+300)</f>
        <v>16.48139246373913</v>
      </c>
      <c r="AC338" s="45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16.188068345323739</v>
      </c>
    </row>
    <row r="339" spans="1:29" ht="15.75" x14ac:dyDescent="0.25">
      <c r="A339" s="33">
        <v>51226</v>
      </c>
      <c r="B339" s="14">
        <f>CHOOSE(CONTROL!$C$42, 15.996, 15.996) * CHOOSE(CONTROL!$C$21, $C$9, 100%, $E$9)</f>
        <v>15.996</v>
      </c>
      <c r="C339" s="14">
        <f>CHOOSE(CONTROL!$C$42, 16.001, 16.001) * CHOOSE(CONTROL!$C$21, $C$9, 100%, $E$9)</f>
        <v>16.001000000000001</v>
      </c>
      <c r="D339" s="14">
        <f>CHOOSE(CONTROL!$C$42, 16.0778, 16.0778) * CHOOSE(CONTROL!$C$21, $C$9, 100%, $E$9)</f>
        <v>16.0778</v>
      </c>
      <c r="E339" s="14">
        <f>CHOOSE(CONTROL!$C$42, 16.1119, 16.1119) * CHOOSE(CONTROL!$C$21, $C$9, 100%, $E$9)</f>
        <v>16.111899999999999</v>
      </c>
      <c r="F339" s="14">
        <f>CHOOSE(CONTROL!$C$42, 15.9957, 15.9957)*CHOOSE(CONTROL!$C$21, $C$9, 100%, $E$9)</f>
        <v>15.995699999999999</v>
      </c>
      <c r="G339" s="14">
        <f>CHOOSE(CONTROL!$C$42, 16.0119, 16.0119)*CHOOSE(CONTROL!$C$21, $C$9, 100%, $E$9)</f>
        <v>16.011900000000001</v>
      </c>
      <c r="H339" s="14">
        <f>CHOOSE(CONTROL!$C$42, 16.1011, 16.1011) * CHOOSE(CONTROL!$C$21, $C$9, 100%, $E$9)</f>
        <v>16.101099999999999</v>
      </c>
      <c r="I339" s="14">
        <f>CHOOSE(CONTROL!$C$42, 16.0641, 16.0641)* CHOOSE(CONTROL!$C$21, $C$9, 100%, $E$9)</f>
        <v>16.0641</v>
      </c>
      <c r="J339" s="14">
        <f>CHOOSE(CONTROL!$C$42, 15.9887, 15.9887)* CHOOSE(CONTROL!$C$21, $C$9, 100%, $E$9)</f>
        <v>15.9887</v>
      </c>
      <c r="K339" s="53">
        <f>CHOOSE(CONTROL!$C$42, 16.0602, 16.0602) * CHOOSE(CONTROL!$C$21, $C$9, 100%, $E$9)</f>
        <v>16.060199999999998</v>
      </c>
      <c r="L339" s="14">
        <f>CHOOSE(CONTROL!$C$42, 16.6881, 16.6881) * CHOOSE(CONTROL!$C$21, $C$9, 100%, $E$9)</f>
        <v>16.688099999999999</v>
      </c>
      <c r="M339" s="14">
        <f>CHOOSE(CONTROL!$C$42, 15.6688, 15.6688) * CHOOSE(CONTROL!$C$21, $C$9, 100%, $E$9)</f>
        <v>15.668799999999999</v>
      </c>
      <c r="N339" s="14">
        <f>CHOOSE(CONTROL!$C$42, 15.6846, 15.6846) * CHOOSE(CONTROL!$C$21, $C$9, 100%, $E$9)</f>
        <v>15.6846</v>
      </c>
      <c r="O339" s="14">
        <f>CHOOSE(CONTROL!$C$42, 15.7789, 15.7789) * CHOOSE(CONTROL!$C$21, $C$9, 100%, $E$9)</f>
        <v>15.7789</v>
      </c>
      <c r="P339" s="14">
        <f>CHOOSE(CONTROL!$C$42, 15.7417, 15.7417) * CHOOSE(CONTROL!$C$21, $C$9, 100%, $E$9)</f>
        <v>15.7417</v>
      </c>
      <c r="Q339" s="14">
        <f>CHOOSE(CONTROL!$C$42, 16.3736, 16.3736) * CHOOSE(CONTROL!$C$21, $C$9, 100%, $E$9)</f>
        <v>16.3736</v>
      </c>
      <c r="R339" s="14">
        <f>CHOOSE(CONTROL!$C$42, 17.0016, 17.0016) * CHOOSE(CONTROL!$C$21, $C$9, 100%, $E$9)</f>
        <v>17.0016</v>
      </c>
      <c r="S339" s="14">
        <f>CHOOSE(CONTROL!$C$42, 15.362, 15.362) * CHOOSE(CONTROL!$C$21, $C$9, 100%, $E$9)</f>
        <v>15.362</v>
      </c>
      <c r="T3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7">
        <f>(1000*CHOOSE(CONTROL!$C$42, 695, 695)*CHOOSE(CONTROL!$C$42, 0.5599, 0.5599)*CHOOSE(CONTROL!$C$42, 31, 31))/1000000</f>
        <v>12.063045499999998</v>
      </c>
      <c r="V339" s="57">
        <f>(1000*CHOOSE(CONTROL!$C$42, 500, 500)*CHOOSE(CONTROL!$C$42, 0.275, 0.275)*CHOOSE(CONTROL!$C$42, 31, 31))/1000000</f>
        <v>4.2625000000000002</v>
      </c>
      <c r="W339" s="57">
        <f>(1000*CHOOSE(CONTROL!$C$42, 0.1146, 0.1146)*CHOOSE(CONTROL!$C$42, 121.5, 121.5)*CHOOSE(CONTROL!$C$42, 31, 31))/1000000</f>
        <v>0.43164089999999994</v>
      </c>
      <c r="X339" s="57">
        <f>(31*0.1790888*100000/1000000)+(31*0.2374*100000/1000000)</f>
        <v>1.2911152800000001</v>
      </c>
      <c r="Y339" s="57"/>
      <c r="Z339" s="14"/>
      <c r="AA339" s="56"/>
      <c r="AB339" s="50">
        <f>(B339*122.58+C339*297.941+D339*89.177+E339*40.302+F339*40+G339*160+H339*0+I339*100+J339*300)/(122.58+297.941+89.177+40.302+0+40+160+100+300)</f>
        <v>16.013919465565216</v>
      </c>
      <c r="AC339" s="45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15.7301</v>
      </c>
    </row>
    <row r="340" spans="1:29" ht="15.75" x14ac:dyDescent="0.25">
      <c r="A340" s="33">
        <v>51256</v>
      </c>
      <c r="B340" s="14">
        <f>CHOOSE(CONTROL!$C$42, 15.9493, 15.9493) * CHOOSE(CONTROL!$C$21, $C$9, 100%, $E$9)</f>
        <v>15.949299999999999</v>
      </c>
      <c r="C340" s="14">
        <f>CHOOSE(CONTROL!$C$42, 15.9538, 15.9538) * CHOOSE(CONTROL!$C$21, $C$9, 100%, $E$9)</f>
        <v>15.953799999999999</v>
      </c>
      <c r="D340" s="14">
        <f>CHOOSE(CONTROL!$C$42, 16.1905, 16.1905) * CHOOSE(CONTROL!$C$21, $C$9, 100%, $E$9)</f>
        <v>16.1905</v>
      </c>
      <c r="E340" s="14">
        <f>CHOOSE(CONTROL!$C$42, 16.2227, 16.2227) * CHOOSE(CONTROL!$C$21, $C$9, 100%, $E$9)</f>
        <v>16.2227</v>
      </c>
      <c r="F340" s="14">
        <f>CHOOSE(CONTROL!$C$42, 15.9473, 15.9473)*CHOOSE(CONTROL!$C$21, $C$9, 100%, $E$9)</f>
        <v>15.9473</v>
      </c>
      <c r="G340" s="14">
        <f>CHOOSE(CONTROL!$C$42, 15.9631, 15.9631)*CHOOSE(CONTROL!$C$21, $C$9, 100%, $E$9)</f>
        <v>15.963100000000001</v>
      </c>
      <c r="H340" s="14">
        <f>CHOOSE(CONTROL!$C$42, 16.2124, 16.2124) * CHOOSE(CONTROL!$C$21, $C$9, 100%, $E$9)</f>
        <v>16.212399999999999</v>
      </c>
      <c r="I340" s="14">
        <f>CHOOSE(CONTROL!$C$42, 16.0166, 16.0166)* CHOOSE(CONTROL!$C$21, $C$9, 100%, $E$9)</f>
        <v>16.0166</v>
      </c>
      <c r="J340" s="14">
        <f>CHOOSE(CONTROL!$C$42, 15.9403, 15.9403)* CHOOSE(CONTROL!$C$21, $C$9, 100%, $E$9)</f>
        <v>15.940300000000001</v>
      </c>
      <c r="K340" s="53">
        <f>CHOOSE(CONTROL!$C$42, 16.0127, 16.0127) * CHOOSE(CONTROL!$C$21, $C$9, 100%, $E$9)</f>
        <v>16.012699999999999</v>
      </c>
      <c r="L340" s="14">
        <f>CHOOSE(CONTROL!$C$42, 16.7994, 16.7994) * CHOOSE(CONTROL!$C$21, $C$9, 100%, $E$9)</f>
        <v>16.799399999999999</v>
      </c>
      <c r="M340" s="14">
        <f>CHOOSE(CONTROL!$C$42, 15.6214, 15.6214) * CHOOSE(CONTROL!$C$21, $C$9, 100%, $E$9)</f>
        <v>15.6214</v>
      </c>
      <c r="N340" s="14">
        <f>CHOOSE(CONTROL!$C$42, 15.6369, 15.6369) * CHOOSE(CONTROL!$C$21, $C$9, 100%, $E$9)</f>
        <v>15.636900000000001</v>
      </c>
      <c r="O340" s="14">
        <f>CHOOSE(CONTROL!$C$42, 15.8879, 15.8879) * CHOOSE(CONTROL!$C$21, $C$9, 100%, $E$9)</f>
        <v>15.8879</v>
      </c>
      <c r="P340" s="14">
        <f>CHOOSE(CONTROL!$C$42, 15.6952, 15.6952) * CHOOSE(CONTROL!$C$21, $C$9, 100%, $E$9)</f>
        <v>15.6952</v>
      </c>
      <c r="Q340" s="14">
        <f>CHOOSE(CONTROL!$C$42, 16.4826, 16.4826) * CHOOSE(CONTROL!$C$21, $C$9, 100%, $E$9)</f>
        <v>16.482600000000001</v>
      </c>
      <c r="R340" s="14">
        <f>CHOOSE(CONTROL!$C$42, 17.1109, 17.1109) * CHOOSE(CONTROL!$C$21, $C$9, 100%, $E$9)</f>
        <v>17.110900000000001</v>
      </c>
      <c r="S340" s="14">
        <f>CHOOSE(CONTROL!$C$42, 15.3164, 15.3164) * CHOOSE(CONTROL!$C$21, $C$9, 100%, $E$9)</f>
        <v>15.3164</v>
      </c>
      <c r="T3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7">
        <f>(1000*CHOOSE(CONTROL!$C$42, 695, 695)*CHOOSE(CONTROL!$C$42, 0.5599, 0.5599)*CHOOSE(CONTROL!$C$42, 30, 30))/1000000</f>
        <v>11.673914999999997</v>
      </c>
      <c r="V340" s="57">
        <f>(1000*CHOOSE(CONTROL!$C$42, 500, 500)*CHOOSE(CONTROL!$C$42, 0.275, 0.275)*CHOOSE(CONTROL!$C$42, 30, 30))/1000000</f>
        <v>4.125</v>
      </c>
      <c r="W340" s="57">
        <f>(1000*CHOOSE(CONTROL!$C$42, 0.1146, 0.1146)*CHOOSE(CONTROL!$C$42, 121.5, 121.5)*CHOOSE(CONTROL!$C$42, 30, 30))/1000000</f>
        <v>0.417717</v>
      </c>
      <c r="X340" s="57">
        <f>(30*0.1790888*245000/1000000)+(30*0.2374*100000/1000000)</f>
        <v>2.0285026799999999</v>
      </c>
      <c r="Y340" s="57"/>
      <c r="Z340" s="14"/>
      <c r="AA340" s="56"/>
      <c r="AB340" s="50">
        <f>(B340*141.293+C340*267.993+D340*115.016+E340*89.698+F340*40+G340*185+H340*0+I340*100+J340*300)/(141.293+267.993+115.016+89.698+0+40+185+100+300)</f>
        <v>15.997705376029055</v>
      </c>
      <c r="AC340" s="45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15.710360431654678</v>
      </c>
    </row>
    <row r="341" spans="1:29" ht="15.75" x14ac:dyDescent="0.25">
      <c r="A341" s="33">
        <v>51287</v>
      </c>
      <c r="B341" s="14">
        <f>CHOOSE(CONTROL!$C$42, 16.0914, 16.0914) * CHOOSE(CONTROL!$C$21, $C$9, 100%, $E$9)</f>
        <v>16.0914</v>
      </c>
      <c r="C341" s="14">
        <f>CHOOSE(CONTROL!$C$42, 16.0994, 16.0994) * CHOOSE(CONTROL!$C$21, $C$9, 100%, $E$9)</f>
        <v>16.099399999999999</v>
      </c>
      <c r="D341" s="14">
        <f>CHOOSE(CONTROL!$C$42, 16.333, 16.333) * CHOOSE(CONTROL!$C$21, $C$9, 100%, $E$9)</f>
        <v>16.332999999999998</v>
      </c>
      <c r="E341" s="14">
        <f>CHOOSE(CONTROL!$C$42, 16.3645, 16.3645) * CHOOSE(CONTROL!$C$21, $C$9, 100%, $E$9)</f>
        <v>16.3645</v>
      </c>
      <c r="F341" s="14">
        <f>CHOOSE(CONTROL!$C$42, 16.0882, 16.0882)*CHOOSE(CONTROL!$C$21, $C$9, 100%, $E$9)</f>
        <v>16.088200000000001</v>
      </c>
      <c r="G341" s="14">
        <f>CHOOSE(CONTROL!$C$42, 16.1045, 16.1045)*CHOOSE(CONTROL!$C$21, $C$9, 100%, $E$9)</f>
        <v>16.104500000000002</v>
      </c>
      <c r="H341" s="14">
        <f>CHOOSE(CONTROL!$C$42, 16.3531, 16.3531) * CHOOSE(CONTROL!$C$21, $C$9, 100%, $E$9)</f>
        <v>16.353100000000001</v>
      </c>
      <c r="I341" s="14">
        <f>CHOOSE(CONTROL!$C$42, 16.1577, 16.1577)* CHOOSE(CONTROL!$C$21, $C$9, 100%, $E$9)</f>
        <v>16.157699999999998</v>
      </c>
      <c r="J341" s="14">
        <f>CHOOSE(CONTROL!$C$42, 16.0812, 16.0812)* CHOOSE(CONTROL!$C$21, $C$9, 100%, $E$9)</f>
        <v>16.081199999999999</v>
      </c>
      <c r="K341" s="53">
        <f>CHOOSE(CONTROL!$C$42, 16.1538, 16.1538) * CHOOSE(CONTROL!$C$21, $C$9, 100%, $E$9)</f>
        <v>16.1538</v>
      </c>
      <c r="L341" s="14">
        <f>CHOOSE(CONTROL!$C$42, 16.9401, 16.9401) * CHOOSE(CONTROL!$C$21, $C$9, 100%, $E$9)</f>
        <v>16.940100000000001</v>
      </c>
      <c r="M341" s="14">
        <f>CHOOSE(CONTROL!$C$42, 15.7594, 15.7594) * CHOOSE(CONTROL!$C$21, $C$9, 100%, $E$9)</f>
        <v>15.759399999999999</v>
      </c>
      <c r="N341" s="14">
        <f>CHOOSE(CONTROL!$C$42, 15.7754, 15.7754) * CHOOSE(CONTROL!$C$21, $C$9, 100%, $E$9)</f>
        <v>15.775399999999999</v>
      </c>
      <c r="O341" s="14">
        <f>CHOOSE(CONTROL!$C$42, 16.0257, 16.0257) * CHOOSE(CONTROL!$C$21, $C$9, 100%, $E$9)</f>
        <v>16.025700000000001</v>
      </c>
      <c r="P341" s="14">
        <f>CHOOSE(CONTROL!$C$42, 15.8334, 15.8334) * CHOOSE(CONTROL!$C$21, $C$9, 100%, $E$9)</f>
        <v>15.833399999999999</v>
      </c>
      <c r="Q341" s="14">
        <f>CHOOSE(CONTROL!$C$42, 16.6204, 16.6204) * CHOOSE(CONTROL!$C$21, $C$9, 100%, $E$9)</f>
        <v>16.6204</v>
      </c>
      <c r="R341" s="14">
        <f>CHOOSE(CONTROL!$C$42, 17.249, 17.249) * CHOOSE(CONTROL!$C$21, $C$9, 100%, $E$9)</f>
        <v>17.248999999999999</v>
      </c>
      <c r="S341" s="14">
        <f>CHOOSE(CONTROL!$C$42, 15.4516, 15.4516) * CHOOSE(CONTROL!$C$21, $C$9, 100%, $E$9)</f>
        <v>15.451599999999999</v>
      </c>
      <c r="T3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7">
        <f>(1000*CHOOSE(CONTROL!$C$42, 695, 695)*CHOOSE(CONTROL!$C$42, 0.5599, 0.5599)*CHOOSE(CONTROL!$C$42, 31, 31))/1000000</f>
        <v>12.063045499999998</v>
      </c>
      <c r="V341" s="57">
        <f>(1000*CHOOSE(CONTROL!$C$42, 500, 500)*CHOOSE(CONTROL!$C$42, 0.275, 0.275)*CHOOSE(CONTROL!$C$42, 31, 31))/1000000</f>
        <v>4.2625000000000002</v>
      </c>
      <c r="W341" s="57">
        <f>(1000*CHOOSE(CONTROL!$C$42, 0.1146, 0.1146)*CHOOSE(CONTROL!$C$42, 121.5, 121.5)*CHOOSE(CONTROL!$C$42, 31, 31))/1000000</f>
        <v>0.43164089999999994</v>
      </c>
      <c r="X341" s="57">
        <f>(31*0.1790888*245000/1000000)+(31*0.2374*100000/1000000)</f>
        <v>2.0961194359999999</v>
      </c>
      <c r="Y341" s="57"/>
      <c r="Z341" s="14"/>
      <c r="AA341" s="56"/>
      <c r="AB341" s="50">
        <f>(B341*194.205+C341*267.466+D341*133.845+E341*53.484+F341*40+G341*185+H341*0+I341*100+J341*300)/(194.205+267.466+133.845+53.484+0+40+185+100+300)</f>
        <v>16.134530816640503</v>
      </c>
      <c r="AC341" s="45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15.848448201438849</v>
      </c>
    </row>
    <row r="342" spans="1:29" ht="15.75" x14ac:dyDescent="0.25">
      <c r="A342" s="33">
        <v>51317</v>
      </c>
      <c r="B342" s="14">
        <f>CHOOSE(CONTROL!$C$42, 16.5475, 16.5475) * CHOOSE(CONTROL!$C$21, $C$9, 100%, $E$9)</f>
        <v>16.547499999999999</v>
      </c>
      <c r="C342" s="14">
        <f>CHOOSE(CONTROL!$C$42, 16.5555, 16.5555) * CHOOSE(CONTROL!$C$21, $C$9, 100%, $E$9)</f>
        <v>16.555499999999999</v>
      </c>
      <c r="D342" s="14">
        <f>CHOOSE(CONTROL!$C$42, 16.7891, 16.7891) * CHOOSE(CONTROL!$C$21, $C$9, 100%, $E$9)</f>
        <v>16.789100000000001</v>
      </c>
      <c r="E342" s="14">
        <f>CHOOSE(CONTROL!$C$42, 16.8206, 16.8206) * CHOOSE(CONTROL!$C$21, $C$9, 100%, $E$9)</f>
        <v>16.820599999999999</v>
      </c>
      <c r="F342" s="14">
        <f>CHOOSE(CONTROL!$C$42, 16.5448, 16.5448)*CHOOSE(CONTROL!$C$21, $C$9, 100%, $E$9)</f>
        <v>16.544799999999999</v>
      </c>
      <c r="G342" s="14">
        <f>CHOOSE(CONTROL!$C$42, 16.5612, 16.5612)*CHOOSE(CONTROL!$C$21, $C$9, 100%, $E$9)</f>
        <v>16.561199999999999</v>
      </c>
      <c r="H342" s="14">
        <f>CHOOSE(CONTROL!$C$42, 16.8092, 16.8092) * CHOOSE(CONTROL!$C$21, $C$9, 100%, $E$9)</f>
        <v>16.809200000000001</v>
      </c>
      <c r="I342" s="14">
        <f>CHOOSE(CONTROL!$C$42, 16.6152, 16.6152)* CHOOSE(CONTROL!$C$21, $C$9, 100%, $E$9)</f>
        <v>16.615200000000002</v>
      </c>
      <c r="J342" s="14">
        <f>CHOOSE(CONTROL!$C$42, 16.5378, 16.5378)* CHOOSE(CONTROL!$C$21, $C$9, 100%, $E$9)</f>
        <v>16.537800000000001</v>
      </c>
      <c r="K342" s="53">
        <f>CHOOSE(CONTROL!$C$42, 16.6113, 16.6113) * CHOOSE(CONTROL!$C$21, $C$9, 100%, $E$9)</f>
        <v>16.6113</v>
      </c>
      <c r="L342" s="14">
        <f>CHOOSE(CONTROL!$C$42, 17.3962, 17.3962) * CHOOSE(CONTROL!$C$21, $C$9, 100%, $E$9)</f>
        <v>17.3962</v>
      </c>
      <c r="M342" s="14">
        <f>CHOOSE(CONTROL!$C$42, 16.2066, 16.2066) * CHOOSE(CONTROL!$C$21, $C$9, 100%, $E$9)</f>
        <v>16.206600000000002</v>
      </c>
      <c r="N342" s="14">
        <f>CHOOSE(CONTROL!$C$42, 16.2227, 16.2227) * CHOOSE(CONTROL!$C$21, $C$9, 100%, $E$9)</f>
        <v>16.2227</v>
      </c>
      <c r="O342" s="14">
        <f>CHOOSE(CONTROL!$C$42, 16.4725, 16.4725) * CHOOSE(CONTROL!$C$21, $C$9, 100%, $E$9)</f>
        <v>16.4725</v>
      </c>
      <c r="P342" s="14">
        <f>CHOOSE(CONTROL!$C$42, 16.2815, 16.2815) * CHOOSE(CONTROL!$C$21, $C$9, 100%, $E$9)</f>
        <v>16.281500000000001</v>
      </c>
      <c r="Q342" s="14">
        <f>CHOOSE(CONTROL!$C$42, 17.0672, 17.0672) * CHOOSE(CONTROL!$C$21, $C$9, 100%, $E$9)</f>
        <v>17.0672</v>
      </c>
      <c r="R342" s="14">
        <f>CHOOSE(CONTROL!$C$42, 17.6969, 17.6969) * CHOOSE(CONTROL!$C$21, $C$9, 100%, $E$9)</f>
        <v>17.696899999999999</v>
      </c>
      <c r="S342" s="14">
        <f>CHOOSE(CONTROL!$C$42, 15.8899, 15.8899) * CHOOSE(CONTROL!$C$21, $C$9, 100%, $E$9)</f>
        <v>15.889900000000001</v>
      </c>
      <c r="T3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7">
        <f>(1000*CHOOSE(CONTROL!$C$42, 695, 695)*CHOOSE(CONTROL!$C$42, 0.5599, 0.5599)*CHOOSE(CONTROL!$C$42, 30, 30))/1000000</f>
        <v>11.673914999999997</v>
      </c>
      <c r="V342" s="57">
        <f>(1000*CHOOSE(CONTROL!$C$42, 500, 500)*CHOOSE(CONTROL!$C$42, 0.275, 0.275)*CHOOSE(CONTROL!$C$42, 30, 30))/1000000</f>
        <v>4.125</v>
      </c>
      <c r="W342" s="57">
        <f>(1000*CHOOSE(CONTROL!$C$42, 0.1146, 0.1146)*CHOOSE(CONTROL!$C$42, 121.5, 121.5)*CHOOSE(CONTROL!$C$42, 30, 30))/1000000</f>
        <v>0.417717</v>
      </c>
      <c r="X342" s="57">
        <f>(30*0.1790888*245000/1000000)+(30*0.2374*100000/1000000)</f>
        <v>2.0285026799999999</v>
      </c>
      <c r="Y342" s="57"/>
      <c r="Z342" s="14"/>
      <c r="AA342" s="56"/>
      <c r="AB342" s="50">
        <f>(B342*194.205+C342*267.466+D342*133.845+E342*53.484+F342*40+G342*185+H342*0+I342*100+J342*300)/(194.205+267.466+133.845+53.484+0+40+185+100+300)</f>
        <v>16.590961271899527</v>
      </c>
      <c r="AC342" s="45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16.295688489208633</v>
      </c>
    </row>
    <row r="343" spans="1:29" ht="15.75" x14ac:dyDescent="0.25">
      <c r="A343" s="33">
        <v>51348</v>
      </c>
      <c r="B343" s="14">
        <f>CHOOSE(CONTROL!$C$42, 16.2303, 16.2303) * CHOOSE(CONTROL!$C$21, $C$9, 100%, $E$9)</f>
        <v>16.2303</v>
      </c>
      <c r="C343" s="14">
        <f>CHOOSE(CONTROL!$C$42, 16.2383, 16.2383) * CHOOSE(CONTROL!$C$21, $C$9, 100%, $E$9)</f>
        <v>16.238299999999999</v>
      </c>
      <c r="D343" s="14">
        <f>CHOOSE(CONTROL!$C$42, 16.4719, 16.4719) * CHOOSE(CONTROL!$C$21, $C$9, 100%, $E$9)</f>
        <v>16.471900000000002</v>
      </c>
      <c r="E343" s="14">
        <f>CHOOSE(CONTROL!$C$42, 16.5034, 16.5034) * CHOOSE(CONTROL!$C$21, $C$9, 100%, $E$9)</f>
        <v>16.503399999999999</v>
      </c>
      <c r="F343" s="14">
        <f>CHOOSE(CONTROL!$C$42, 16.2281, 16.2281)*CHOOSE(CONTROL!$C$21, $C$9, 100%, $E$9)</f>
        <v>16.228100000000001</v>
      </c>
      <c r="G343" s="14">
        <f>CHOOSE(CONTROL!$C$42, 16.2447, 16.2447)*CHOOSE(CONTROL!$C$21, $C$9, 100%, $E$9)</f>
        <v>16.244700000000002</v>
      </c>
      <c r="H343" s="14">
        <f>CHOOSE(CONTROL!$C$42, 16.492, 16.492) * CHOOSE(CONTROL!$C$21, $C$9, 100%, $E$9)</f>
        <v>16.492000000000001</v>
      </c>
      <c r="I343" s="14">
        <f>CHOOSE(CONTROL!$C$42, 16.297, 16.297)* CHOOSE(CONTROL!$C$21, $C$9, 100%, $E$9)</f>
        <v>16.297000000000001</v>
      </c>
      <c r="J343" s="14">
        <f>CHOOSE(CONTROL!$C$42, 16.2211, 16.2211)* CHOOSE(CONTROL!$C$21, $C$9, 100%, $E$9)</f>
        <v>16.2211</v>
      </c>
      <c r="K343" s="53">
        <f>CHOOSE(CONTROL!$C$42, 16.2931, 16.2931) * CHOOSE(CONTROL!$C$21, $C$9, 100%, $E$9)</f>
        <v>16.293099999999999</v>
      </c>
      <c r="L343" s="14">
        <f>CHOOSE(CONTROL!$C$42, 17.079, 17.079) * CHOOSE(CONTROL!$C$21, $C$9, 100%, $E$9)</f>
        <v>17.079000000000001</v>
      </c>
      <c r="M343" s="14">
        <f>CHOOSE(CONTROL!$C$42, 15.8964, 15.8964) * CHOOSE(CONTROL!$C$21, $C$9, 100%, $E$9)</f>
        <v>15.8964</v>
      </c>
      <c r="N343" s="14">
        <f>CHOOSE(CONTROL!$C$42, 15.9127, 15.9127) * CHOOSE(CONTROL!$C$21, $C$9, 100%, $E$9)</f>
        <v>15.912699999999999</v>
      </c>
      <c r="O343" s="14">
        <f>CHOOSE(CONTROL!$C$42, 16.1618, 16.1618) * CHOOSE(CONTROL!$C$21, $C$9, 100%, $E$9)</f>
        <v>16.161799999999999</v>
      </c>
      <c r="P343" s="14">
        <f>CHOOSE(CONTROL!$C$42, 15.9698, 15.9698) * CHOOSE(CONTROL!$C$21, $C$9, 100%, $E$9)</f>
        <v>15.969799999999999</v>
      </c>
      <c r="Q343" s="14">
        <f>CHOOSE(CONTROL!$C$42, 16.7565, 16.7565) * CHOOSE(CONTROL!$C$21, $C$9, 100%, $E$9)</f>
        <v>16.756499999999999</v>
      </c>
      <c r="R343" s="14">
        <f>CHOOSE(CONTROL!$C$42, 17.3854, 17.3854) * CHOOSE(CONTROL!$C$21, $C$9, 100%, $E$9)</f>
        <v>17.385400000000001</v>
      </c>
      <c r="S343" s="14">
        <f>CHOOSE(CONTROL!$C$42, 15.585, 15.585) * CHOOSE(CONTROL!$C$21, $C$9, 100%, $E$9)</f>
        <v>15.585000000000001</v>
      </c>
      <c r="T3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7">
        <f>(1000*CHOOSE(CONTROL!$C$42, 695, 695)*CHOOSE(CONTROL!$C$42, 0.5599, 0.5599)*CHOOSE(CONTROL!$C$42, 31, 31))/1000000</f>
        <v>12.063045499999998</v>
      </c>
      <c r="V343" s="57">
        <f>(1000*CHOOSE(CONTROL!$C$42, 500, 500)*CHOOSE(CONTROL!$C$42, 0.275, 0.275)*CHOOSE(CONTROL!$C$42, 31, 31))/1000000</f>
        <v>4.2625000000000002</v>
      </c>
      <c r="W343" s="57">
        <f>(1000*CHOOSE(CONTROL!$C$42, 0.1146, 0.1146)*CHOOSE(CONTROL!$C$42, 121.5, 121.5)*CHOOSE(CONTROL!$C$42, 31, 31))/1000000</f>
        <v>0.43164089999999994</v>
      </c>
      <c r="X343" s="57">
        <f>(31*0.1790888*245000/1000000)+(31*0.2374*100000/1000000)</f>
        <v>2.0961194359999999</v>
      </c>
      <c r="Y343" s="57"/>
      <c r="Z343" s="14"/>
      <c r="AA343" s="56"/>
      <c r="AB343" s="50">
        <f>(B343*194.205+C343*267.466+D343*133.845+E343*53.484+F343*40+G343*185+H343*0+I343*100+J343*300)/(194.205+267.466+133.845+53.484+0+40+185+100+300)</f>
        <v>16.273917865306124</v>
      </c>
      <c r="AC343" s="45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15.985178417266185</v>
      </c>
    </row>
    <row r="344" spans="1:29" ht="15.75" x14ac:dyDescent="0.25">
      <c r="A344" s="33">
        <v>51379</v>
      </c>
      <c r="B344" s="14">
        <f>CHOOSE(CONTROL!$C$42, 15.4292, 15.4292) * CHOOSE(CONTROL!$C$21, $C$9, 100%, $E$9)</f>
        <v>15.4292</v>
      </c>
      <c r="C344" s="14">
        <f>CHOOSE(CONTROL!$C$42, 15.4372, 15.4372) * CHOOSE(CONTROL!$C$21, $C$9, 100%, $E$9)</f>
        <v>15.437200000000001</v>
      </c>
      <c r="D344" s="14">
        <f>CHOOSE(CONTROL!$C$42, 15.6708, 15.6708) * CHOOSE(CONTROL!$C$21, $C$9, 100%, $E$9)</f>
        <v>15.6708</v>
      </c>
      <c r="E344" s="14">
        <f>CHOOSE(CONTROL!$C$42, 15.7023, 15.7023) * CHOOSE(CONTROL!$C$21, $C$9, 100%, $E$9)</f>
        <v>15.702299999999999</v>
      </c>
      <c r="F344" s="14">
        <f>CHOOSE(CONTROL!$C$42, 15.4272, 15.4272)*CHOOSE(CONTROL!$C$21, $C$9, 100%, $E$9)</f>
        <v>15.427199999999999</v>
      </c>
      <c r="G344" s="14">
        <f>CHOOSE(CONTROL!$C$42, 15.4438, 15.4438)*CHOOSE(CONTROL!$C$21, $C$9, 100%, $E$9)</f>
        <v>15.4438</v>
      </c>
      <c r="H344" s="14">
        <f>CHOOSE(CONTROL!$C$42, 15.6909, 15.6909) * CHOOSE(CONTROL!$C$21, $C$9, 100%, $E$9)</f>
        <v>15.690899999999999</v>
      </c>
      <c r="I344" s="14">
        <f>CHOOSE(CONTROL!$C$42, 15.4934, 15.4934)* CHOOSE(CONTROL!$C$21, $C$9, 100%, $E$9)</f>
        <v>15.493399999999999</v>
      </c>
      <c r="J344" s="14">
        <f>CHOOSE(CONTROL!$C$42, 15.4202, 15.4202)* CHOOSE(CONTROL!$C$21, $C$9, 100%, $E$9)</f>
        <v>15.420199999999999</v>
      </c>
      <c r="K344" s="53">
        <f>CHOOSE(CONTROL!$C$42, 15.4895, 15.4895) * CHOOSE(CONTROL!$C$21, $C$9, 100%, $E$9)</f>
        <v>15.4895</v>
      </c>
      <c r="L344" s="14">
        <f>CHOOSE(CONTROL!$C$42, 16.2779, 16.2779) * CHOOSE(CONTROL!$C$21, $C$9, 100%, $E$9)</f>
        <v>16.277899999999999</v>
      </c>
      <c r="M344" s="14">
        <f>CHOOSE(CONTROL!$C$42, 15.1119, 15.1119) * CHOOSE(CONTROL!$C$21, $C$9, 100%, $E$9)</f>
        <v>15.1119</v>
      </c>
      <c r="N344" s="14">
        <f>CHOOSE(CONTROL!$C$42, 15.1282, 15.1282) * CHOOSE(CONTROL!$C$21, $C$9, 100%, $E$9)</f>
        <v>15.1282</v>
      </c>
      <c r="O344" s="14">
        <f>CHOOSE(CONTROL!$C$42, 15.3771, 15.3771) * CHOOSE(CONTROL!$C$21, $C$9, 100%, $E$9)</f>
        <v>15.3771</v>
      </c>
      <c r="P344" s="14">
        <f>CHOOSE(CONTROL!$C$42, 15.1827, 15.1827) * CHOOSE(CONTROL!$C$21, $C$9, 100%, $E$9)</f>
        <v>15.182700000000001</v>
      </c>
      <c r="Q344" s="14">
        <f>CHOOSE(CONTROL!$C$42, 15.9718, 15.9718) * CHOOSE(CONTROL!$C$21, $C$9, 100%, $E$9)</f>
        <v>15.9718</v>
      </c>
      <c r="R344" s="14">
        <f>CHOOSE(CONTROL!$C$42, 16.5987, 16.5987) * CHOOSE(CONTROL!$C$21, $C$9, 100%, $E$9)</f>
        <v>16.598700000000001</v>
      </c>
      <c r="S344" s="14">
        <f>CHOOSE(CONTROL!$C$42, 14.8153, 14.8153) * CHOOSE(CONTROL!$C$21, $C$9, 100%, $E$9)</f>
        <v>14.815300000000001</v>
      </c>
      <c r="T3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7">
        <f>(1000*CHOOSE(CONTROL!$C$42, 695, 695)*CHOOSE(CONTROL!$C$42, 0.5599, 0.5599)*CHOOSE(CONTROL!$C$42, 31, 31))/1000000</f>
        <v>12.063045499999998</v>
      </c>
      <c r="V344" s="57">
        <f>(1000*CHOOSE(CONTROL!$C$42, 500, 500)*CHOOSE(CONTROL!$C$42, 0.275, 0.275)*CHOOSE(CONTROL!$C$42, 31, 31))/1000000</f>
        <v>4.2625000000000002</v>
      </c>
      <c r="W344" s="57">
        <f>(1000*CHOOSE(CONTROL!$C$42, 0.1146, 0.1146)*CHOOSE(CONTROL!$C$42, 121.5, 121.5)*CHOOSE(CONTROL!$C$42, 31, 31))/1000000</f>
        <v>0.43164089999999994</v>
      </c>
      <c r="X344" s="57">
        <f>(31*0.1790888*245000/1000000)+(31*0.2374*100000/1000000)</f>
        <v>2.0961194359999999</v>
      </c>
      <c r="Y344" s="57"/>
      <c r="Z344" s="14"/>
      <c r="AA344" s="56"/>
      <c r="AB344" s="50">
        <f>(B344*194.205+C344*267.466+D344*133.845+E344*53.484+F344*40+G344*185+H344*0+I344*100+J344*300)/(194.205+267.466+133.845+53.484+0+40+185+100+300)</f>
        <v>15.472704050549453</v>
      </c>
      <c r="AC344" s="45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15.20024820143885</v>
      </c>
    </row>
    <row r="345" spans="1:29" ht="15.75" x14ac:dyDescent="0.25">
      <c r="A345" s="33">
        <v>51409</v>
      </c>
      <c r="B345" s="14">
        <f>CHOOSE(CONTROL!$C$42, 14.45, 14.45) * CHOOSE(CONTROL!$C$21, $C$9, 100%, $E$9)</f>
        <v>14.45</v>
      </c>
      <c r="C345" s="14">
        <f>CHOOSE(CONTROL!$C$42, 14.458, 14.458) * CHOOSE(CONTROL!$C$21, $C$9, 100%, $E$9)</f>
        <v>14.458</v>
      </c>
      <c r="D345" s="14">
        <f>CHOOSE(CONTROL!$C$42, 14.6916, 14.6916) * CHOOSE(CONTROL!$C$21, $C$9, 100%, $E$9)</f>
        <v>14.691599999999999</v>
      </c>
      <c r="E345" s="14">
        <f>CHOOSE(CONTROL!$C$42, 14.723, 14.723) * CHOOSE(CONTROL!$C$21, $C$9, 100%, $E$9)</f>
        <v>14.723000000000001</v>
      </c>
      <c r="F345" s="14">
        <f>CHOOSE(CONTROL!$C$42, 14.448, 14.448)*CHOOSE(CONTROL!$C$21, $C$9, 100%, $E$9)</f>
        <v>14.448</v>
      </c>
      <c r="G345" s="14">
        <f>CHOOSE(CONTROL!$C$42, 14.4646, 14.4646)*CHOOSE(CONTROL!$C$21, $C$9, 100%, $E$9)</f>
        <v>14.464600000000001</v>
      </c>
      <c r="H345" s="14">
        <f>CHOOSE(CONTROL!$C$42, 14.7117, 14.7117) * CHOOSE(CONTROL!$C$21, $C$9, 100%, $E$9)</f>
        <v>14.7117</v>
      </c>
      <c r="I345" s="14">
        <f>CHOOSE(CONTROL!$C$42, 14.5111, 14.5111)* CHOOSE(CONTROL!$C$21, $C$9, 100%, $E$9)</f>
        <v>14.511100000000001</v>
      </c>
      <c r="J345" s="14">
        <f>CHOOSE(CONTROL!$C$42, 14.441, 14.441)* CHOOSE(CONTROL!$C$21, $C$9, 100%, $E$9)</f>
        <v>14.441000000000001</v>
      </c>
      <c r="K345" s="53">
        <f>CHOOSE(CONTROL!$C$42, 14.5072, 14.5072) * CHOOSE(CONTROL!$C$21, $C$9, 100%, $E$9)</f>
        <v>14.507199999999999</v>
      </c>
      <c r="L345" s="14">
        <f>CHOOSE(CONTROL!$C$42, 15.2987, 15.2987) * CHOOSE(CONTROL!$C$21, $C$9, 100%, $E$9)</f>
        <v>15.2987</v>
      </c>
      <c r="M345" s="14">
        <f>CHOOSE(CONTROL!$C$42, 14.1528, 14.1528) * CHOOSE(CONTROL!$C$21, $C$9, 100%, $E$9)</f>
        <v>14.152799999999999</v>
      </c>
      <c r="N345" s="14">
        <f>CHOOSE(CONTROL!$C$42, 14.1691, 14.1691) * CHOOSE(CONTROL!$C$21, $C$9, 100%, $E$9)</f>
        <v>14.1691</v>
      </c>
      <c r="O345" s="14">
        <f>CHOOSE(CONTROL!$C$42, 14.4179, 14.4179) * CHOOSE(CONTROL!$C$21, $C$9, 100%, $E$9)</f>
        <v>14.417899999999999</v>
      </c>
      <c r="P345" s="14">
        <f>CHOOSE(CONTROL!$C$42, 14.2206, 14.2206) * CHOOSE(CONTROL!$C$21, $C$9, 100%, $E$9)</f>
        <v>14.220599999999999</v>
      </c>
      <c r="Q345" s="14">
        <f>CHOOSE(CONTROL!$C$42, 15.0126, 15.0126) * CHOOSE(CONTROL!$C$21, $C$9, 100%, $E$9)</f>
        <v>15.012600000000001</v>
      </c>
      <c r="R345" s="14">
        <f>CHOOSE(CONTROL!$C$42, 15.6372, 15.6372) * CHOOSE(CONTROL!$C$21, $C$9, 100%, $E$9)</f>
        <v>15.6372</v>
      </c>
      <c r="S345" s="14">
        <f>CHOOSE(CONTROL!$C$42, 13.8743, 13.8743) * CHOOSE(CONTROL!$C$21, $C$9, 100%, $E$9)</f>
        <v>13.8743</v>
      </c>
      <c r="T3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7">
        <f>(1000*CHOOSE(CONTROL!$C$42, 695, 695)*CHOOSE(CONTROL!$C$42, 0.5599, 0.5599)*CHOOSE(CONTROL!$C$42, 30, 30))/1000000</f>
        <v>11.673914999999997</v>
      </c>
      <c r="V345" s="57">
        <f>(1000*CHOOSE(CONTROL!$C$42, 500, 500)*CHOOSE(CONTROL!$C$42, 0.275, 0.275)*CHOOSE(CONTROL!$C$42, 30, 30))/1000000</f>
        <v>4.125</v>
      </c>
      <c r="W345" s="57">
        <f>(1000*CHOOSE(CONTROL!$C$42, 0.1146, 0.1146)*CHOOSE(CONTROL!$C$42, 121.5, 121.5)*CHOOSE(CONTROL!$C$42, 30, 30))/1000000</f>
        <v>0.417717</v>
      </c>
      <c r="X345" s="57">
        <f>(30*0.1790888*245000/1000000)+(30*0.2374*100000/1000000)</f>
        <v>2.0285026799999999</v>
      </c>
      <c r="Y345" s="57"/>
      <c r="Z345" s="14"/>
      <c r="AA345" s="56"/>
      <c r="AB345" s="50">
        <f>(B345*194.205+C345*267.466+D345*133.845+E345*53.484+F345*40+G345*185+H345*0+I345*100+J345*300)/(194.205+267.466+133.845+53.484+0+40+185+100+300)</f>
        <v>14.493256524332811</v>
      </c>
      <c r="AC345" s="45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14.240688489208631</v>
      </c>
    </row>
    <row r="346" spans="1:29" ht="15.75" x14ac:dyDescent="0.25">
      <c r="A346" s="33">
        <v>51440</v>
      </c>
      <c r="B346" s="14">
        <f>CHOOSE(CONTROL!$C$42, 14.155, 14.155) * CHOOSE(CONTROL!$C$21, $C$9, 100%, $E$9)</f>
        <v>14.154999999999999</v>
      </c>
      <c r="C346" s="14">
        <f>CHOOSE(CONTROL!$C$42, 14.1604, 14.1604) * CHOOSE(CONTROL!$C$21, $C$9, 100%, $E$9)</f>
        <v>14.160399999999999</v>
      </c>
      <c r="D346" s="14">
        <f>CHOOSE(CONTROL!$C$42, 14.3989, 14.3989) * CHOOSE(CONTROL!$C$21, $C$9, 100%, $E$9)</f>
        <v>14.398899999999999</v>
      </c>
      <c r="E346" s="14">
        <f>CHOOSE(CONTROL!$C$42, 14.428, 14.428) * CHOOSE(CONTROL!$C$21, $C$9, 100%, $E$9)</f>
        <v>14.428000000000001</v>
      </c>
      <c r="F346" s="14">
        <f>CHOOSE(CONTROL!$C$42, 14.1551, 14.1551)*CHOOSE(CONTROL!$C$21, $C$9, 100%, $E$9)</f>
        <v>14.155099999999999</v>
      </c>
      <c r="G346" s="14">
        <f>CHOOSE(CONTROL!$C$42, 14.1713, 14.1713)*CHOOSE(CONTROL!$C$21, $C$9, 100%, $E$9)</f>
        <v>14.1713</v>
      </c>
      <c r="H346" s="14">
        <f>CHOOSE(CONTROL!$C$42, 14.4185, 14.4185) * CHOOSE(CONTROL!$C$21, $C$9, 100%, $E$9)</f>
        <v>14.4185</v>
      </c>
      <c r="I346" s="14">
        <f>CHOOSE(CONTROL!$C$42, 14.217, 14.217)* CHOOSE(CONTROL!$C$21, $C$9, 100%, $E$9)</f>
        <v>14.217000000000001</v>
      </c>
      <c r="J346" s="14">
        <f>CHOOSE(CONTROL!$C$42, 14.1481, 14.1481)* CHOOSE(CONTROL!$C$21, $C$9, 100%, $E$9)</f>
        <v>14.148099999999999</v>
      </c>
      <c r="K346" s="53">
        <f>CHOOSE(CONTROL!$C$42, 14.2131, 14.2131) * CHOOSE(CONTROL!$C$21, $C$9, 100%, $E$9)</f>
        <v>14.213100000000001</v>
      </c>
      <c r="L346" s="14">
        <f>CHOOSE(CONTROL!$C$42, 15.0055, 15.0055) * CHOOSE(CONTROL!$C$21, $C$9, 100%, $E$9)</f>
        <v>15.0055</v>
      </c>
      <c r="M346" s="14">
        <f>CHOOSE(CONTROL!$C$42, 13.8659, 13.8659) * CHOOSE(CONTROL!$C$21, $C$9, 100%, $E$9)</f>
        <v>13.8659</v>
      </c>
      <c r="N346" s="14">
        <f>CHOOSE(CONTROL!$C$42, 13.8818, 13.8818) * CHOOSE(CONTROL!$C$21, $C$9, 100%, $E$9)</f>
        <v>13.8818</v>
      </c>
      <c r="O346" s="14">
        <f>CHOOSE(CONTROL!$C$42, 14.1308, 14.1308) * CHOOSE(CONTROL!$C$21, $C$9, 100%, $E$9)</f>
        <v>14.130800000000001</v>
      </c>
      <c r="P346" s="14">
        <f>CHOOSE(CONTROL!$C$42, 13.9326, 13.9326) * CHOOSE(CONTROL!$C$21, $C$9, 100%, $E$9)</f>
        <v>13.932600000000001</v>
      </c>
      <c r="Q346" s="14">
        <f>CHOOSE(CONTROL!$C$42, 14.7255, 14.7255) * CHOOSE(CONTROL!$C$21, $C$9, 100%, $E$9)</f>
        <v>14.7255</v>
      </c>
      <c r="R346" s="14">
        <f>CHOOSE(CONTROL!$C$42, 15.3493, 15.3493) * CHOOSE(CONTROL!$C$21, $C$9, 100%, $E$9)</f>
        <v>15.349299999999999</v>
      </c>
      <c r="S346" s="14">
        <f>CHOOSE(CONTROL!$C$42, 13.5926, 13.5926) * CHOOSE(CONTROL!$C$21, $C$9, 100%, $E$9)</f>
        <v>13.592599999999999</v>
      </c>
      <c r="T3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7">
        <f>(1000*CHOOSE(CONTROL!$C$42, 695, 695)*CHOOSE(CONTROL!$C$42, 0.5599, 0.5599)*CHOOSE(CONTROL!$C$42, 31, 31))/1000000</f>
        <v>12.063045499999998</v>
      </c>
      <c r="V346" s="57">
        <f>(1000*CHOOSE(CONTROL!$C$42, 500, 500)*CHOOSE(CONTROL!$C$42, 0.275, 0.275)*CHOOSE(CONTROL!$C$42, 31, 31))/1000000</f>
        <v>4.2625000000000002</v>
      </c>
      <c r="W346" s="57">
        <f>(1000*CHOOSE(CONTROL!$C$42, 0.1146, 0.1146)*CHOOSE(CONTROL!$C$42, 121.5, 121.5)*CHOOSE(CONTROL!$C$42, 31, 31))/1000000</f>
        <v>0.43164089999999994</v>
      </c>
      <c r="X346" s="57">
        <f>(31*0.1790888*245000/1000000)+(31*0.2374*100000/1000000)</f>
        <v>2.0961194359999999</v>
      </c>
      <c r="Y346" s="57"/>
      <c r="Z346" s="14"/>
      <c r="AA346" s="56"/>
      <c r="AB346" s="50">
        <f>(B346*131.881+C346*277.167+D346*79.08+E346*125.872+F346*40+G346*185+H346*0+I346*100+J346*300)/(131.881+277.167+79.08+125.872+0+40+185+100+300)</f>
        <v>14.205279959483457</v>
      </c>
      <c r="AC346" s="45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13.95348201438849</v>
      </c>
    </row>
    <row r="347" spans="1:29" ht="15.75" x14ac:dyDescent="0.25">
      <c r="A347" s="33">
        <v>51470</v>
      </c>
      <c r="B347" s="14">
        <f>CHOOSE(CONTROL!$C$42, 14.5273, 14.5273) * CHOOSE(CONTROL!$C$21, $C$9, 100%, $E$9)</f>
        <v>14.5273</v>
      </c>
      <c r="C347" s="14">
        <f>CHOOSE(CONTROL!$C$42, 14.5323, 14.5323) * CHOOSE(CONTROL!$C$21, $C$9, 100%, $E$9)</f>
        <v>14.532299999999999</v>
      </c>
      <c r="D347" s="14">
        <f>CHOOSE(CONTROL!$C$42, 14.6066, 14.6066) * CHOOSE(CONTROL!$C$21, $C$9, 100%, $E$9)</f>
        <v>14.6066</v>
      </c>
      <c r="E347" s="14">
        <f>CHOOSE(CONTROL!$C$42, 14.6407, 14.6407) * CHOOSE(CONTROL!$C$21, $C$9, 100%, $E$9)</f>
        <v>14.640700000000001</v>
      </c>
      <c r="F347" s="14">
        <f>CHOOSE(CONTROL!$C$42, 14.5393, 14.5393)*CHOOSE(CONTROL!$C$21, $C$9, 100%, $E$9)</f>
        <v>14.539300000000001</v>
      </c>
      <c r="G347" s="14">
        <f>CHOOSE(CONTROL!$C$42, 14.5559, 14.5559)*CHOOSE(CONTROL!$C$21, $C$9, 100%, $E$9)</f>
        <v>14.555899999999999</v>
      </c>
      <c r="H347" s="14">
        <f>CHOOSE(CONTROL!$C$42, 14.6299, 14.6299) * CHOOSE(CONTROL!$C$21, $C$9, 100%, $E$9)</f>
        <v>14.629899999999999</v>
      </c>
      <c r="I347" s="14">
        <f>CHOOSE(CONTROL!$C$42, 14.5971, 14.5971)* CHOOSE(CONTROL!$C$21, $C$9, 100%, $E$9)</f>
        <v>14.597099999999999</v>
      </c>
      <c r="J347" s="14">
        <f>CHOOSE(CONTROL!$C$42, 14.5323, 14.5323)* CHOOSE(CONTROL!$C$21, $C$9, 100%, $E$9)</f>
        <v>14.532299999999999</v>
      </c>
      <c r="K347" s="53">
        <f>CHOOSE(CONTROL!$C$42, 14.5932, 14.5932) * CHOOSE(CONTROL!$C$21, $C$9, 100%, $E$9)</f>
        <v>14.5932</v>
      </c>
      <c r="L347" s="14">
        <f>CHOOSE(CONTROL!$C$42, 15.2169, 15.2169) * CHOOSE(CONTROL!$C$21, $C$9, 100%, $E$9)</f>
        <v>15.216900000000001</v>
      </c>
      <c r="M347" s="14">
        <f>CHOOSE(CONTROL!$C$42, 14.2423, 14.2423) * CHOOSE(CONTROL!$C$21, $C$9, 100%, $E$9)</f>
        <v>14.2423</v>
      </c>
      <c r="N347" s="14">
        <f>CHOOSE(CONTROL!$C$42, 14.2585, 14.2585) * CHOOSE(CONTROL!$C$21, $C$9, 100%, $E$9)</f>
        <v>14.2585</v>
      </c>
      <c r="O347" s="14">
        <f>CHOOSE(CONTROL!$C$42, 14.3378, 14.3378) * CHOOSE(CONTROL!$C$21, $C$9, 100%, $E$9)</f>
        <v>14.3378</v>
      </c>
      <c r="P347" s="14">
        <f>CHOOSE(CONTROL!$C$42, 14.3049, 14.3049) * CHOOSE(CONTROL!$C$21, $C$9, 100%, $E$9)</f>
        <v>14.3049</v>
      </c>
      <c r="Q347" s="14">
        <f>CHOOSE(CONTROL!$C$42, 14.9325, 14.9325) * CHOOSE(CONTROL!$C$21, $C$9, 100%, $E$9)</f>
        <v>14.932499999999999</v>
      </c>
      <c r="R347" s="14">
        <f>CHOOSE(CONTROL!$C$42, 15.5568, 15.5568) * CHOOSE(CONTROL!$C$21, $C$9, 100%, $E$9)</f>
        <v>15.556800000000001</v>
      </c>
      <c r="S347" s="14">
        <f>CHOOSE(CONTROL!$C$42, 13.9507, 13.9507) * CHOOSE(CONTROL!$C$21, $C$9, 100%, $E$9)</f>
        <v>13.950699999999999</v>
      </c>
      <c r="T3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7">
        <f>(1000*CHOOSE(CONTROL!$C$42, 695, 695)*CHOOSE(CONTROL!$C$42, 0.5599, 0.5599)*CHOOSE(CONTROL!$C$42, 30, 30))/1000000</f>
        <v>11.673914999999997</v>
      </c>
      <c r="V347" s="57">
        <f>(1000*CHOOSE(CONTROL!$C$42, 500, 500)*CHOOSE(CONTROL!$C$42, 0.275, 0.275)*CHOOSE(CONTROL!$C$42, 30, 30))/1000000</f>
        <v>4.125</v>
      </c>
      <c r="W347" s="57">
        <f>(1000*CHOOSE(CONTROL!$C$42, 0.1146, 0.1146)*CHOOSE(CONTROL!$C$42, 121.5, 121.5)*CHOOSE(CONTROL!$C$42, 30, 30))/1000000</f>
        <v>0.417717</v>
      </c>
      <c r="X347" s="57">
        <f>(30*0.1790888*100000/1000000)+(30*0.2374*100000/1000000)</f>
        <v>1.2494664</v>
      </c>
      <c r="Y347" s="57"/>
      <c r="Z347" s="14"/>
      <c r="AA347" s="56"/>
      <c r="AB347" s="50">
        <f>(B347*122.58+C347*297.941+D347*89.177+E347*40.302+F347*40+G347*160+H347*0+I347*100+J347*300)/(122.58+297.941+89.177+40.302+0+40+160+100+300)</f>
        <v>14.550489293826084</v>
      </c>
      <c r="AC347" s="45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14.295523741007196</v>
      </c>
    </row>
    <row r="348" spans="1:29" ht="15.75" x14ac:dyDescent="0.25">
      <c r="A348" s="33">
        <v>51501</v>
      </c>
      <c r="B348" s="14">
        <f>CHOOSE(CONTROL!$C$42, 15.5171, 15.5171) * CHOOSE(CONTROL!$C$21, $C$9, 100%, $E$9)</f>
        <v>15.517099999999999</v>
      </c>
      <c r="C348" s="14">
        <f>CHOOSE(CONTROL!$C$42, 15.5221, 15.5221) * CHOOSE(CONTROL!$C$21, $C$9, 100%, $E$9)</f>
        <v>15.5221</v>
      </c>
      <c r="D348" s="14">
        <f>CHOOSE(CONTROL!$C$42, 15.5963, 15.5963) * CHOOSE(CONTROL!$C$21, $C$9, 100%, $E$9)</f>
        <v>15.596299999999999</v>
      </c>
      <c r="E348" s="14">
        <f>CHOOSE(CONTROL!$C$42, 15.6305, 15.6305) * CHOOSE(CONTROL!$C$21, $C$9, 100%, $E$9)</f>
        <v>15.6305</v>
      </c>
      <c r="F348" s="14">
        <f>CHOOSE(CONTROL!$C$42, 15.5313, 15.5313)*CHOOSE(CONTROL!$C$21, $C$9, 100%, $E$9)</f>
        <v>15.5313</v>
      </c>
      <c r="G348" s="14">
        <f>CHOOSE(CONTROL!$C$42, 15.5485, 15.5485)*CHOOSE(CONTROL!$C$21, $C$9, 100%, $E$9)</f>
        <v>15.548500000000001</v>
      </c>
      <c r="H348" s="14">
        <f>CHOOSE(CONTROL!$C$42, 15.6196, 15.6196) * CHOOSE(CONTROL!$C$21, $C$9, 100%, $E$9)</f>
        <v>15.6196</v>
      </c>
      <c r="I348" s="14">
        <f>CHOOSE(CONTROL!$C$42, 15.59, 15.59)* CHOOSE(CONTROL!$C$21, $C$9, 100%, $E$9)</f>
        <v>15.59</v>
      </c>
      <c r="J348" s="14">
        <f>CHOOSE(CONTROL!$C$42, 15.5243, 15.5243)* CHOOSE(CONTROL!$C$21, $C$9, 100%, $E$9)</f>
        <v>15.5243</v>
      </c>
      <c r="K348" s="53">
        <f>CHOOSE(CONTROL!$C$42, 15.5861, 15.5861) * CHOOSE(CONTROL!$C$21, $C$9, 100%, $E$9)</f>
        <v>15.5861</v>
      </c>
      <c r="L348" s="14">
        <f>CHOOSE(CONTROL!$C$42, 16.2066, 16.2066) * CHOOSE(CONTROL!$C$21, $C$9, 100%, $E$9)</f>
        <v>16.206600000000002</v>
      </c>
      <c r="M348" s="14">
        <f>CHOOSE(CONTROL!$C$42, 15.2139, 15.2139) * CHOOSE(CONTROL!$C$21, $C$9, 100%, $E$9)</f>
        <v>15.213900000000001</v>
      </c>
      <c r="N348" s="14">
        <f>CHOOSE(CONTROL!$C$42, 15.2307, 15.2307) * CHOOSE(CONTROL!$C$21, $C$9, 100%, $E$9)</f>
        <v>15.230700000000001</v>
      </c>
      <c r="O348" s="14">
        <f>CHOOSE(CONTROL!$C$42, 15.3073, 15.3073) * CHOOSE(CONTROL!$C$21, $C$9, 100%, $E$9)</f>
        <v>15.3073</v>
      </c>
      <c r="P348" s="14">
        <f>CHOOSE(CONTROL!$C$42, 15.2773, 15.2773) * CHOOSE(CONTROL!$C$21, $C$9, 100%, $E$9)</f>
        <v>15.2773</v>
      </c>
      <c r="Q348" s="14">
        <f>CHOOSE(CONTROL!$C$42, 15.902, 15.902) * CHOOSE(CONTROL!$C$21, $C$9, 100%, $E$9)</f>
        <v>15.901999999999999</v>
      </c>
      <c r="R348" s="14">
        <f>CHOOSE(CONTROL!$C$42, 16.5288, 16.5288) * CHOOSE(CONTROL!$C$21, $C$9, 100%, $E$9)</f>
        <v>16.5288</v>
      </c>
      <c r="S348" s="14">
        <f>CHOOSE(CONTROL!$C$42, 14.9018, 14.9018) * CHOOSE(CONTROL!$C$21, $C$9, 100%, $E$9)</f>
        <v>14.9018</v>
      </c>
      <c r="T3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7">
        <f>(1000*CHOOSE(CONTROL!$C$42, 695, 695)*CHOOSE(CONTROL!$C$42, 0.5599, 0.5599)*CHOOSE(CONTROL!$C$42, 31, 31))/1000000</f>
        <v>12.063045499999998</v>
      </c>
      <c r="V348" s="57">
        <f>(1000*CHOOSE(CONTROL!$C$42, 500, 500)*CHOOSE(CONTROL!$C$42, 0.275, 0.275)*CHOOSE(CONTROL!$C$42, 31, 31))/1000000</f>
        <v>4.2625000000000002</v>
      </c>
      <c r="W348" s="57">
        <f>(1000*CHOOSE(CONTROL!$C$42, 0.1146, 0.1146)*CHOOSE(CONTROL!$C$42, 121.5, 121.5)*CHOOSE(CONTROL!$C$42, 31, 31))/1000000</f>
        <v>0.43164089999999994</v>
      </c>
      <c r="X348" s="57">
        <f>(31*0.1790888*100000/1000000)+(31*0.2374*100000/1000000)</f>
        <v>1.2911152800000001</v>
      </c>
      <c r="Y348" s="57"/>
      <c r="Z348" s="14"/>
      <c r="AA348" s="56"/>
      <c r="AB348" s="50">
        <f>(B348*122.58+C348*297.941+D348*89.177+E348*40.302+F348*40+G348*160+H348*0+I348*100+J348*300)/(122.58+297.941+89.177+40.302+0+40+160+100+300)</f>
        <v>15.541591104521741</v>
      </c>
      <c r="AC348" s="45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15.266321582733811</v>
      </c>
    </row>
    <row r="349" spans="1:29" ht="15.75" x14ac:dyDescent="0.25">
      <c r="A349" s="33">
        <v>51532</v>
      </c>
      <c r="B349" s="14">
        <f>CHOOSE(CONTROL!$C$42, 16.8026, 16.8026) * CHOOSE(CONTROL!$C$21, $C$9, 100%, $E$9)</f>
        <v>16.802600000000002</v>
      </c>
      <c r="C349" s="14">
        <f>CHOOSE(CONTROL!$C$42, 16.8077, 16.8077) * CHOOSE(CONTROL!$C$21, $C$9, 100%, $E$9)</f>
        <v>16.807700000000001</v>
      </c>
      <c r="D349" s="14">
        <f>CHOOSE(CONTROL!$C$42, 16.8845, 16.8845) * CHOOSE(CONTROL!$C$21, $C$9, 100%, $E$9)</f>
        <v>16.884499999999999</v>
      </c>
      <c r="E349" s="14">
        <f>CHOOSE(CONTROL!$C$42, 16.9186, 16.9186) * CHOOSE(CONTROL!$C$21, $C$9, 100%, $E$9)</f>
        <v>16.918600000000001</v>
      </c>
      <c r="F349" s="14">
        <f>CHOOSE(CONTROL!$C$42, 16.8028, 16.8028)*CHOOSE(CONTROL!$C$21, $C$9, 100%, $E$9)</f>
        <v>16.802800000000001</v>
      </c>
      <c r="G349" s="14">
        <f>CHOOSE(CONTROL!$C$42, 16.8191, 16.8191)*CHOOSE(CONTROL!$C$21, $C$9, 100%, $E$9)</f>
        <v>16.819099999999999</v>
      </c>
      <c r="H349" s="14">
        <f>CHOOSE(CONTROL!$C$42, 16.9078, 16.9078) * CHOOSE(CONTROL!$C$21, $C$9, 100%, $E$9)</f>
        <v>16.907800000000002</v>
      </c>
      <c r="I349" s="14">
        <f>CHOOSE(CONTROL!$C$42, 16.8733, 16.8733)* CHOOSE(CONTROL!$C$21, $C$9, 100%, $E$9)</f>
        <v>16.8733</v>
      </c>
      <c r="J349" s="14">
        <f>CHOOSE(CONTROL!$C$42, 16.7958, 16.7958)* CHOOSE(CONTROL!$C$21, $C$9, 100%, $E$9)</f>
        <v>16.7958</v>
      </c>
      <c r="K349" s="53">
        <f>CHOOSE(CONTROL!$C$42, 16.8694, 16.8694) * CHOOSE(CONTROL!$C$21, $C$9, 100%, $E$9)</f>
        <v>16.869399999999999</v>
      </c>
      <c r="L349" s="14">
        <f>CHOOSE(CONTROL!$C$42, 17.4948, 17.4948) * CHOOSE(CONTROL!$C$21, $C$9, 100%, $E$9)</f>
        <v>17.494800000000001</v>
      </c>
      <c r="M349" s="14">
        <f>CHOOSE(CONTROL!$C$42, 16.4594, 16.4594) * CHOOSE(CONTROL!$C$21, $C$9, 100%, $E$9)</f>
        <v>16.459399999999999</v>
      </c>
      <c r="N349" s="14">
        <f>CHOOSE(CONTROL!$C$42, 16.4753, 16.4753) * CHOOSE(CONTROL!$C$21, $C$9, 100%, $E$9)</f>
        <v>16.475300000000001</v>
      </c>
      <c r="O349" s="14">
        <f>CHOOSE(CONTROL!$C$42, 16.5691, 16.5691) * CHOOSE(CONTROL!$C$21, $C$9, 100%, $E$9)</f>
        <v>16.569099999999999</v>
      </c>
      <c r="P349" s="14">
        <f>CHOOSE(CONTROL!$C$42, 16.5343, 16.5343) * CHOOSE(CONTROL!$C$21, $C$9, 100%, $E$9)</f>
        <v>16.534300000000002</v>
      </c>
      <c r="Q349" s="14">
        <f>CHOOSE(CONTROL!$C$42, 17.1638, 17.1638) * CHOOSE(CONTROL!$C$21, $C$9, 100%, $E$9)</f>
        <v>17.163799999999998</v>
      </c>
      <c r="R349" s="14">
        <f>CHOOSE(CONTROL!$C$42, 17.7937, 17.7937) * CHOOSE(CONTROL!$C$21, $C$9, 100%, $E$9)</f>
        <v>17.793700000000001</v>
      </c>
      <c r="S349" s="14">
        <f>CHOOSE(CONTROL!$C$42, 16.1371, 16.1371) * CHOOSE(CONTROL!$C$21, $C$9, 100%, $E$9)</f>
        <v>16.1371</v>
      </c>
      <c r="T3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7">
        <f>(1000*CHOOSE(CONTROL!$C$42, 695, 695)*CHOOSE(CONTROL!$C$42, 0.5599, 0.5599)*CHOOSE(CONTROL!$C$42, 31, 31))/1000000</f>
        <v>12.063045499999998</v>
      </c>
      <c r="V349" s="57">
        <f>(1000*CHOOSE(CONTROL!$C$42, 500, 500)*CHOOSE(CONTROL!$C$42, 0.275, 0.275)*CHOOSE(CONTROL!$C$42, 31, 31))/1000000</f>
        <v>4.2625000000000002</v>
      </c>
      <c r="W349" s="57">
        <f>(1000*CHOOSE(CONTROL!$C$42, 0.1146, 0.1146)*CHOOSE(CONTROL!$C$42, 121.5, 121.5)*CHOOSE(CONTROL!$C$42, 31, 31))/1000000</f>
        <v>0.43164089999999994</v>
      </c>
      <c r="X349" s="57">
        <f>(31*0.1790888*100000/1000000)+(31*0.2374*100000/1000000)</f>
        <v>1.2911152800000001</v>
      </c>
      <c r="Y349" s="57"/>
      <c r="Z349" s="14"/>
      <c r="AA349" s="56"/>
      <c r="AB349" s="50">
        <f>(B349*122.58+C349*297.941+D349*89.177+E349*40.302+F349*40+G349*160+H349*0+I349*100+J349*300)/(122.58+297.941+89.177+40.302+0+40+160+100+300)</f>
        <v>16.821014023826088</v>
      </c>
      <c r="AC349" s="45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16.520812230215828</v>
      </c>
    </row>
    <row r="350" spans="1:29" ht="15.75" x14ac:dyDescent="0.25">
      <c r="A350" s="33">
        <v>51560</v>
      </c>
      <c r="B350" s="14">
        <f>CHOOSE(CONTROL!$C$42, 17.1016, 17.1016) * CHOOSE(CONTROL!$C$21, $C$9, 100%, $E$9)</f>
        <v>17.101600000000001</v>
      </c>
      <c r="C350" s="14">
        <f>CHOOSE(CONTROL!$C$42, 17.1066, 17.1066) * CHOOSE(CONTROL!$C$21, $C$9, 100%, $E$9)</f>
        <v>17.1066</v>
      </c>
      <c r="D350" s="14">
        <f>CHOOSE(CONTROL!$C$42, 17.1834, 17.1834) * CHOOSE(CONTROL!$C$21, $C$9, 100%, $E$9)</f>
        <v>17.183399999999999</v>
      </c>
      <c r="E350" s="14">
        <f>CHOOSE(CONTROL!$C$42, 17.2176, 17.2176) * CHOOSE(CONTROL!$C$21, $C$9, 100%, $E$9)</f>
        <v>17.217600000000001</v>
      </c>
      <c r="F350" s="14">
        <f>CHOOSE(CONTROL!$C$42, 17.1018, 17.1018)*CHOOSE(CONTROL!$C$21, $C$9, 100%, $E$9)</f>
        <v>17.101800000000001</v>
      </c>
      <c r="G350" s="14">
        <f>CHOOSE(CONTROL!$C$42, 17.1181, 17.1181)*CHOOSE(CONTROL!$C$21, $C$9, 100%, $E$9)</f>
        <v>17.118099999999998</v>
      </c>
      <c r="H350" s="14">
        <f>CHOOSE(CONTROL!$C$42, 17.2068, 17.2068) * CHOOSE(CONTROL!$C$21, $C$9, 100%, $E$9)</f>
        <v>17.206800000000001</v>
      </c>
      <c r="I350" s="14">
        <f>CHOOSE(CONTROL!$C$42, 17.1732, 17.1732)* CHOOSE(CONTROL!$C$21, $C$9, 100%, $E$9)</f>
        <v>17.173200000000001</v>
      </c>
      <c r="J350" s="14">
        <f>CHOOSE(CONTROL!$C$42, 17.0948, 17.0948)* CHOOSE(CONTROL!$C$21, $C$9, 100%, $E$9)</f>
        <v>17.094799999999999</v>
      </c>
      <c r="K350" s="53">
        <f>CHOOSE(CONTROL!$C$42, 17.1693, 17.1693) * CHOOSE(CONTROL!$C$21, $C$9, 100%, $E$9)</f>
        <v>17.1693</v>
      </c>
      <c r="L350" s="14">
        <f>CHOOSE(CONTROL!$C$42, 17.7938, 17.7938) * CHOOSE(CONTROL!$C$21, $C$9, 100%, $E$9)</f>
        <v>17.793800000000001</v>
      </c>
      <c r="M350" s="14">
        <f>CHOOSE(CONTROL!$C$42, 16.7523, 16.7523) * CHOOSE(CONTROL!$C$21, $C$9, 100%, $E$9)</f>
        <v>16.752300000000002</v>
      </c>
      <c r="N350" s="14">
        <f>CHOOSE(CONTROL!$C$42, 16.7682, 16.7682) * CHOOSE(CONTROL!$C$21, $C$9, 100%, $E$9)</f>
        <v>16.7682</v>
      </c>
      <c r="O350" s="14">
        <f>CHOOSE(CONTROL!$C$42, 16.8619, 16.8619) * CHOOSE(CONTROL!$C$21, $C$9, 100%, $E$9)</f>
        <v>16.861899999999999</v>
      </c>
      <c r="P350" s="14">
        <f>CHOOSE(CONTROL!$C$42, 16.828, 16.828) * CHOOSE(CONTROL!$C$21, $C$9, 100%, $E$9)</f>
        <v>16.827999999999999</v>
      </c>
      <c r="Q350" s="14">
        <f>CHOOSE(CONTROL!$C$42, 17.4566, 17.4566) * CHOOSE(CONTROL!$C$21, $C$9, 100%, $E$9)</f>
        <v>17.456600000000002</v>
      </c>
      <c r="R350" s="14">
        <f>CHOOSE(CONTROL!$C$42, 18.0872, 18.0872) * CHOOSE(CONTROL!$C$21, $C$9, 100%, $E$9)</f>
        <v>18.087199999999999</v>
      </c>
      <c r="S350" s="14">
        <f>CHOOSE(CONTROL!$C$42, 16.4244, 16.4244) * CHOOSE(CONTROL!$C$21, $C$9, 100%, $E$9)</f>
        <v>16.424399999999999</v>
      </c>
      <c r="T3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7">
        <f>(1000*CHOOSE(CONTROL!$C$42, 695, 695)*CHOOSE(CONTROL!$C$42, 0.5599, 0.5599)*CHOOSE(CONTROL!$C$42, 28, 28))/1000000</f>
        <v>10.895653999999999</v>
      </c>
      <c r="V350" s="57">
        <f>(1000*CHOOSE(CONTROL!$C$42, 500, 500)*CHOOSE(CONTROL!$C$42, 0.275, 0.275)*CHOOSE(CONTROL!$C$42, 28, 28))/1000000</f>
        <v>3.85</v>
      </c>
      <c r="W350" s="57">
        <f>(1000*CHOOSE(CONTROL!$C$42, 0.1146, 0.1146)*CHOOSE(CONTROL!$C$42, 121.5, 121.5)*CHOOSE(CONTROL!$C$42, 28, 28))/1000000</f>
        <v>0.38986920000000003</v>
      </c>
      <c r="X350" s="57">
        <f>(28*0.1790888*100000/1000000)+(28*0.2374*100000/1000000)</f>
        <v>1.16616864</v>
      </c>
      <c r="Y350" s="57"/>
      <c r="Z350" s="14"/>
      <c r="AA350" s="56"/>
      <c r="AB350" s="50">
        <f>(B350*122.58+C350*297.941+D350*89.177+E350*40.302+F350*40+G350*160+H350*0+I350*100+J350*300)/(122.58+297.941+89.177+40.302+0+40+160+100+300)</f>
        <v>17.120058622260867</v>
      </c>
      <c r="AC350" s="45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16.81378201438849</v>
      </c>
    </row>
    <row r="351" spans="1:29" ht="15.75" x14ac:dyDescent="0.25">
      <c r="A351" s="33">
        <v>51591</v>
      </c>
      <c r="B351" s="14">
        <f>CHOOSE(CONTROL!$C$42, 16.6163, 16.6163) * CHOOSE(CONTROL!$C$21, $C$9, 100%, $E$9)</f>
        <v>16.616299999999999</v>
      </c>
      <c r="C351" s="14">
        <f>CHOOSE(CONTROL!$C$42, 16.6214, 16.6214) * CHOOSE(CONTROL!$C$21, $C$9, 100%, $E$9)</f>
        <v>16.621400000000001</v>
      </c>
      <c r="D351" s="14">
        <f>CHOOSE(CONTROL!$C$42, 16.6982, 16.6982) * CHOOSE(CONTROL!$C$21, $C$9, 100%, $E$9)</f>
        <v>16.6982</v>
      </c>
      <c r="E351" s="14">
        <f>CHOOSE(CONTROL!$C$42, 16.7323, 16.7323) * CHOOSE(CONTROL!$C$21, $C$9, 100%, $E$9)</f>
        <v>16.732299999999999</v>
      </c>
      <c r="F351" s="14">
        <f>CHOOSE(CONTROL!$C$42, 16.6161, 16.6161)*CHOOSE(CONTROL!$C$21, $C$9, 100%, $E$9)</f>
        <v>16.616099999999999</v>
      </c>
      <c r="G351" s="14">
        <f>CHOOSE(CONTROL!$C$42, 16.6322, 16.6322)*CHOOSE(CONTROL!$C$21, $C$9, 100%, $E$9)</f>
        <v>16.632200000000001</v>
      </c>
      <c r="H351" s="14">
        <f>CHOOSE(CONTROL!$C$42, 16.7215, 16.7215) * CHOOSE(CONTROL!$C$21, $C$9, 100%, $E$9)</f>
        <v>16.721499999999999</v>
      </c>
      <c r="I351" s="14">
        <f>CHOOSE(CONTROL!$C$42, 16.6864, 16.6864)* CHOOSE(CONTROL!$C$21, $C$9, 100%, $E$9)</f>
        <v>16.686399999999999</v>
      </c>
      <c r="J351" s="14">
        <f>CHOOSE(CONTROL!$C$42, 16.6091, 16.6091)* CHOOSE(CONTROL!$C$21, $C$9, 100%, $E$9)</f>
        <v>16.609100000000002</v>
      </c>
      <c r="K351" s="53">
        <f>CHOOSE(CONTROL!$C$42, 16.6825, 16.6825) * CHOOSE(CONTROL!$C$21, $C$9, 100%, $E$9)</f>
        <v>16.682500000000001</v>
      </c>
      <c r="L351" s="14">
        <f>CHOOSE(CONTROL!$C$42, 17.3085, 17.3085) * CHOOSE(CONTROL!$C$21, $C$9, 100%, $E$9)</f>
        <v>17.308499999999999</v>
      </c>
      <c r="M351" s="14">
        <f>CHOOSE(CONTROL!$C$42, 16.2765, 16.2765) * CHOOSE(CONTROL!$C$21, $C$9, 100%, $E$9)</f>
        <v>16.276499999999999</v>
      </c>
      <c r="N351" s="14">
        <f>CHOOSE(CONTROL!$C$42, 16.2923, 16.2923) * CHOOSE(CONTROL!$C$21, $C$9, 100%, $E$9)</f>
        <v>16.292300000000001</v>
      </c>
      <c r="O351" s="14">
        <f>CHOOSE(CONTROL!$C$42, 16.3866, 16.3866) * CHOOSE(CONTROL!$C$21, $C$9, 100%, $E$9)</f>
        <v>16.386600000000001</v>
      </c>
      <c r="P351" s="14">
        <f>CHOOSE(CONTROL!$C$42, 16.3512, 16.3512) * CHOOSE(CONTROL!$C$21, $C$9, 100%, $E$9)</f>
        <v>16.351199999999999</v>
      </c>
      <c r="Q351" s="14">
        <f>CHOOSE(CONTROL!$C$42, 16.9813, 16.9813) * CHOOSE(CONTROL!$C$21, $C$9, 100%, $E$9)</f>
        <v>16.981300000000001</v>
      </c>
      <c r="R351" s="14">
        <f>CHOOSE(CONTROL!$C$42, 17.6107, 17.6107) * CHOOSE(CONTROL!$C$21, $C$9, 100%, $E$9)</f>
        <v>17.610700000000001</v>
      </c>
      <c r="S351" s="14">
        <f>CHOOSE(CONTROL!$C$42, 15.9581, 15.9581) * CHOOSE(CONTROL!$C$21, $C$9, 100%, $E$9)</f>
        <v>15.9581</v>
      </c>
      <c r="T3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7">
        <f>(1000*CHOOSE(CONTROL!$C$42, 695, 695)*CHOOSE(CONTROL!$C$42, 0.5599, 0.5599)*CHOOSE(CONTROL!$C$42, 31, 31))/1000000</f>
        <v>12.063045499999998</v>
      </c>
      <c r="V351" s="57">
        <f>(1000*CHOOSE(CONTROL!$C$42, 500, 500)*CHOOSE(CONTROL!$C$42, 0.275, 0.275)*CHOOSE(CONTROL!$C$42, 31, 31))/1000000</f>
        <v>4.2625000000000002</v>
      </c>
      <c r="W351" s="57">
        <f>(1000*CHOOSE(CONTROL!$C$42, 0.1146, 0.1146)*CHOOSE(CONTROL!$C$42, 121.5, 121.5)*CHOOSE(CONTROL!$C$42, 31, 31))/1000000</f>
        <v>0.43164089999999994</v>
      </c>
      <c r="X351" s="57">
        <f>(31*0.1790888*100000/1000000)+(31*0.2374*100000/1000000)</f>
        <v>1.2911152800000001</v>
      </c>
      <c r="Y351" s="57"/>
      <c r="Z351" s="14"/>
      <c r="AA351" s="56"/>
      <c r="AB351" s="50">
        <f>(B351*122.58+C351*297.941+D351*89.177+E351*40.302+F351*40+G351*160+H351*0+I351*100+J351*300)/(122.58+297.941+89.177+40.302+0+40+160+100+300)</f>
        <v>16.634460110782609</v>
      </c>
      <c r="AC351" s="45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16.338058992805756</v>
      </c>
    </row>
    <row r="352" spans="1:29" ht="15.75" x14ac:dyDescent="0.25">
      <c r="A352" s="33">
        <v>51621</v>
      </c>
      <c r="B352" s="14">
        <f>CHOOSE(CONTROL!$C$42, 16.5678, 16.5678) * CHOOSE(CONTROL!$C$21, $C$9, 100%, $E$9)</f>
        <v>16.567799999999998</v>
      </c>
      <c r="C352" s="14">
        <f>CHOOSE(CONTROL!$C$42, 16.5723, 16.5723) * CHOOSE(CONTROL!$C$21, $C$9, 100%, $E$9)</f>
        <v>16.572299999999998</v>
      </c>
      <c r="D352" s="14">
        <f>CHOOSE(CONTROL!$C$42, 16.8091, 16.8091) * CHOOSE(CONTROL!$C$21, $C$9, 100%, $E$9)</f>
        <v>16.809100000000001</v>
      </c>
      <c r="E352" s="14">
        <f>CHOOSE(CONTROL!$C$42, 16.8412, 16.8412) * CHOOSE(CONTROL!$C$21, $C$9, 100%, $E$9)</f>
        <v>16.841200000000001</v>
      </c>
      <c r="F352" s="14">
        <f>CHOOSE(CONTROL!$C$42, 16.5658, 16.5658)*CHOOSE(CONTROL!$C$21, $C$9, 100%, $E$9)</f>
        <v>16.565799999999999</v>
      </c>
      <c r="G352" s="14">
        <f>CHOOSE(CONTROL!$C$42, 16.5816, 16.5816)*CHOOSE(CONTROL!$C$21, $C$9, 100%, $E$9)</f>
        <v>16.581600000000002</v>
      </c>
      <c r="H352" s="14">
        <f>CHOOSE(CONTROL!$C$42, 16.8309, 16.8309) * CHOOSE(CONTROL!$C$21, $C$9, 100%, $E$9)</f>
        <v>16.8309</v>
      </c>
      <c r="I352" s="14">
        <f>CHOOSE(CONTROL!$C$42, 16.637, 16.637)* CHOOSE(CONTROL!$C$21, $C$9, 100%, $E$9)</f>
        <v>16.637</v>
      </c>
      <c r="J352" s="14">
        <f>CHOOSE(CONTROL!$C$42, 16.5588, 16.5588)* CHOOSE(CONTROL!$C$21, $C$9, 100%, $E$9)</f>
        <v>16.558800000000002</v>
      </c>
      <c r="K352" s="53">
        <f>CHOOSE(CONTROL!$C$42, 16.6331, 16.6331) * CHOOSE(CONTROL!$C$21, $C$9, 100%, $E$9)</f>
        <v>16.633099999999999</v>
      </c>
      <c r="L352" s="14">
        <f>CHOOSE(CONTROL!$C$42, 17.4179, 17.4179) * CHOOSE(CONTROL!$C$21, $C$9, 100%, $E$9)</f>
        <v>17.417899999999999</v>
      </c>
      <c r="M352" s="14">
        <f>CHOOSE(CONTROL!$C$42, 16.2272, 16.2272) * CHOOSE(CONTROL!$C$21, $C$9, 100%, $E$9)</f>
        <v>16.2272</v>
      </c>
      <c r="N352" s="14">
        <f>CHOOSE(CONTROL!$C$42, 16.2427, 16.2427) * CHOOSE(CONTROL!$C$21, $C$9, 100%, $E$9)</f>
        <v>16.242699999999999</v>
      </c>
      <c r="O352" s="14">
        <f>CHOOSE(CONTROL!$C$42, 16.4938, 16.4938) * CHOOSE(CONTROL!$C$21, $C$9, 100%, $E$9)</f>
        <v>16.4938</v>
      </c>
      <c r="P352" s="14">
        <f>CHOOSE(CONTROL!$C$42, 16.3028, 16.3028) * CHOOSE(CONTROL!$C$21, $C$9, 100%, $E$9)</f>
        <v>16.302800000000001</v>
      </c>
      <c r="Q352" s="14">
        <f>CHOOSE(CONTROL!$C$42, 17.0885, 17.0885) * CHOOSE(CONTROL!$C$21, $C$9, 100%, $E$9)</f>
        <v>17.0885</v>
      </c>
      <c r="R352" s="14">
        <f>CHOOSE(CONTROL!$C$42, 17.7182, 17.7182) * CHOOSE(CONTROL!$C$21, $C$9, 100%, $E$9)</f>
        <v>17.7182</v>
      </c>
      <c r="S352" s="14">
        <f>CHOOSE(CONTROL!$C$42, 15.9107, 15.9107) * CHOOSE(CONTROL!$C$21, $C$9, 100%, $E$9)</f>
        <v>15.9107</v>
      </c>
      <c r="T3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7">
        <f>(1000*CHOOSE(CONTROL!$C$42, 695, 695)*CHOOSE(CONTROL!$C$42, 0.5599, 0.5599)*CHOOSE(CONTROL!$C$42, 30, 30))/1000000</f>
        <v>11.673914999999997</v>
      </c>
      <c r="V352" s="57">
        <f>(1000*CHOOSE(CONTROL!$C$42, 500, 500)*CHOOSE(CONTROL!$C$42, 0.275, 0.275)*CHOOSE(CONTROL!$C$42, 30, 30))/1000000</f>
        <v>4.125</v>
      </c>
      <c r="W352" s="57">
        <f>(1000*CHOOSE(CONTROL!$C$42, 0.1146, 0.1146)*CHOOSE(CONTROL!$C$42, 121.5, 121.5)*CHOOSE(CONTROL!$C$42, 30, 30))/1000000</f>
        <v>0.417717</v>
      </c>
      <c r="X352" s="57">
        <f>(30*0.1790888*245000/1000000)+(30*0.2374*100000/1000000)</f>
        <v>2.0285026799999999</v>
      </c>
      <c r="Y352" s="57"/>
      <c r="Z352" s="14"/>
      <c r="AA352" s="56"/>
      <c r="AB352" s="50">
        <f>(B352*141.293+C352*267.993+D352*115.016+E352*89.698+F352*40+G352*185+H352*0+I352*100+J352*300)/(141.293+267.993+115.016+89.698+0+40+185+100+300)</f>
        <v>16.616368008474574</v>
      </c>
      <c r="AC352" s="45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16.316447482014389</v>
      </c>
    </row>
    <row r="353" spans="1:29" ht="15.75" x14ac:dyDescent="0.25">
      <c r="A353" s="33">
        <v>51652</v>
      </c>
      <c r="B353" s="14">
        <f>CHOOSE(CONTROL!$C$42, 16.7154, 16.7154) * CHOOSE(CONTROL!$C$21, $C$9, 100%, $E$9)</f>
        <v>16.715399999999999</v>
      </c>
      <c r="C353" s="14">
        <f>CHOOSE(CONTROL!$C$42, 16.7234, 16.7234) * CHOOSE(CONTROL!$C$21, $C$9, 100%, $E$9)</f>
        <v>16.723400000000002</v>
      </c>
      <c r="D353" s="14">
        <f>CHOOSE(CONTROL!$C$42, 16.957, 16.957) * CHOOSE(CONTROL!$C$21, $C$9, 100%, $E$9)</f>
        <v>16.957000000000001</v>
      </c>
      <c r="E353" s="14">
        <f>CHOOSE(CONTROL!$C$42, 16.9884, 16.9884) * CHOOSE(CONTROL!$C$21, $C$9, 100%, $E$9)</f>
        <v>16.988399999999999</v>
      </c>
      <c r="F353" s="14">
        <f>CHOOSE(CONTROL!$C$42, 16.7121, 16.7121)*CHOOSE(CONTROL!$C$21, $C$9, 100%, $E$9)</f>
        <v>16.7121</v>
      </c>
      <c r="G353" s="14">
        <f>CHOOSE(CONTROL!$C$42, 16.7285, 16.7285)*CHOOSE(CONTROL!$C$21, $C$9, 100%, $E$9)</f>
        <v>16.7285</v>
      </c>
      <c r="H353" s="14">
        <f>CHOOSE(CONTROL!$C$42, 16.9771, 16.9771) * CHOOSE(CONTROL!$C$21, $C$9, 100%, $E$9)</f>
        <v>16.9771</v>
      </c>
      <c r="I353" s="14">
        <f>CHOOSE(CONTROL!$C$42, 16.7836, 16.7836)* CHOOSE(CONTROL!$C$21, $C$9, 100%, $E$9)</f>
        <v>16.7836</v>
      </c>
      <c r="J353" s="14">
        <f>CHOOSE(CONTROL!$C$42, 16.7051, 16.7051)* CHOOSE(CONTROL!$C$21, $C$9, 100%, $E$9)</f>
        <v>16.705100000000002</v>
      </c>
      <c r="K353" s="53">
        <f>CHOOSE(CONTROL!$C$42, 16.7797, 16.7797) * CHOOSE(CONTROL!$C$21, $C$9, 100%, $E$9)</f>
        <v>16.779699999999998</v>
      </c>
      <c r="L353" s="14">
        <f>CHOOSE(CONTROL!$C$42, 17.5641, 17.5641) * CHOOSE(CONTROL!$C$21, $C$9, 100%, $E$9)</f>
        <v>17.5641</v>
      </c>
      <c r="M353" s="14">
        <f>CHOOSE(CONTROL!$C$42, 16.3706, 16.3706) * CHOOSE(CONTROL!$C$21, $C$9, 100%, $E$9)</f>
        <v>16.3706</v>
      </c>
      <c r="N353" s="14">
        <f>CHOOSE(CONTROL!$C$42, 16.3866, 16.3866) * CHOOSE(CONTROL!$C$21, $C$9, 100%, $E$9)</f>
        <v>16.386600000000001</v>
      </c>
      <c r="O353" s="14">
        <f>CHOOSE(CONTROL!$C$42, 16.6369, 16.6369) * CHOOSE(CONTROL!$C$21, $C$9, 100%, $E$9)</f>
        <v>16.636900000000001</v>
      </c>
      <c r="P353" s="14">
        <f>CHOOSE(CONTROL!$C$42, 16.4464, 16.4464) * CHOOSE(CONTROL!$C$21, $C$9, 100%, $E$9)</f>
        <v>16.446400000000001</v>
      </c>
      <c r="Q353" s="14">
        <f>CHOOSE(CONTROL!$C$42, 17.2316, 17.2316) * CHOOSE(CONTROL!$C$21, $C$9, 100%, $E$9)</f>
        <v>17.2316</v>
      </c>
      <c r="R353" s="14">
        <f>CHOOSE(CONTROL!$C$42, 17.8617, 17.8617) * CHOOSE(CONTROL!$C$21, $C$9, 100%, $E$9)</f>
        <v>17.861699999999999</v>
      </c>
      <c r="S353" s="14">
        <f>CHOOSE(CONTROL!$C$42, 16.0512, 16.0512) * CHOOSE(CONTROL!$C$21, $C$9, 100%, $E$9)</f>
        <v>16.051200000000001</v>
      </c>
      <c r="T3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7">
        <f>(1000*CHOOSE(CONTROL!$C$42, 695, 695)*CHOOSE(CONTROL!$C$42, 0.5599, 0.5599)*CHOOSE(CONTROL!$C$42, 31, 31))/1000000</f>
        <v>12.063045499999998</v>
      </c>
      <c r="V353" s="57">
        <f>(1000*CHOOSE(CONTROL!$C$42, 500, 500)*CHOOSE(CONTROL!$C$42, 0.275, 0.275)*CHOOSE(CONTROL!$C$42, 31, 31))/1000000</f>
        <v>4.2625000000000002</v>
      </c>
      <c r="W353" s="57">
        <f>(1000*CHOOSE(CONTROL!$C$42, 0.1146, 0.1146)*CHOOSE(CONTROL!$C$42, 121.5, 121.5)*CHOOSE(CONTROL!$C$42, 31, 31))/1000000</f>
        <v>0.43164089999999994</v>
      </c>
      <c r="X353" s="57">
        <f>(31*0.1790888*245000/1000000)+(31*0.2374*100000/1000000)</f>
        <v>2.0961194359999999</v>
      </c>
      <c r="Y353" s="57"/>
      <c r="Z353" s="14"/>
      <c r="AA353" s="56"/>
      <c r="AB353" s="50">
        <f>(B353*194.205+C353*267.466+D353*133.845+E353*53.484+F353*40+G353*185+H353*0+I353*100+J353*300)/(194.205+267.466+133.845+53.484+0+40+185+100+300)</f>
        <v>16.758649067503924</v>
      </c>
      <c r="AC353" s="45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16.459907194244604</v>
      </c>
    </row>
    <row r="354" spans="1:29" ht="15.75" x14ac:dyDescent="0.25">
      <c r="A354" s="33">
        <v>51682</v>
      </c>
      <c r="B354" s="14">
        <f>CHOOSE(CONTROL!$C$42, 17.1892, 17.1892) * CHOOSE(CONTROL!$C$21, $C$9, 100%, $E$9)</f>
        <v>17.1892</v>
      </c>
      <c r="C354" s="14">
        <f>CHOOSE(CONTROL!$C$42, 17.1972, 17.1972) * CHOOSE(CONTROL!$C$21, $C$9, 100%, $E$9)</f>
        <v>17.197199999999999</v>
      </c>
      <c r="D354" s="14">
        <f>CHOOSE(CONTROL!$C$42, 17.4308, 17.4308) * CHOOSE(CONTROL!$C$21, $C$9, 100%, $E$9)</f>
        <v>17.430800000000001</v>
      </c>
      <c r="E354" s="14">
        <f>CHOOSE(CONTROL!$C$42, 17.4622, 17.4622) * CHOOSE(CONTROL!$C$21, $C$9, 100%, $E$9)</f>
        <v>17.462199999999999</v>
      </c>
      <c r="F354" s="14">
        <f>CHOOSE(CONTROL!$C$42, 17.1864, 17.1864)*CHOOSE(CONTROL!$C$21, $C$9, 100%, $E$9)</f>
        <v>17.186399999999999</v>
      </c>
      <c r="G354" s="14">
        <f>CHOOSE(CONTROL!$C$42, 17.2029, 17.2029)*CHOOSE(CONTROL!$C$21, $C$9, 100%, $E$9)</f>
        <v>17.2029</v>
      </c>
      <c r="H354" s="14">
        <f>CHOOSE(CONTROL!$C$42, 17.4509, 17.4509) * CHOOSE(CONTROL!$C$21, $C$9, 100%, $E$9)</f>
        <v>17.450900000000001</v>
      </c>
      <c r="I354" s="14">
        <f>CHOOSE(CONTROL!$C$42, 17.2589, 17.2589)* CHOOSE(CONTROL!$C$21, $C$9, 100%, $E$9)</f>
        <v>17.258900000000001</v>
      </c>
      <c r="J354" s="14">
        <f>CHOOSE(CONTROL!$C$42, 17.1794, 17.1794)* CHOOSE(CONTROL!$C$21, $C$9, 100%, $E$9)</f>
        <v>17.179400000000001</v>
      </c>
      <c r="K354" s="53">
        <f>CHOOSE(CONTROL!$C$42, 17.255, 17.255) * CHOOSE(CONTROL!$C$21, $C$9, 100%, $E$9)</f>
        <v>17.254999999999999</v>
      </c>
      <c r="L354" s="14">
        <f>CHOOSE(CONTROL!$C$42, 18.0379, 18.0379) * CHOOSE(CONTROL!$C$21, $C$9, 100%, $E$9)</f>
        <v>18.0379</v>
      </c>
      <c r="M354" s="14">
        <f>CHOOSE(CONTROL!$C$42, 16.8351, 16.8351) * CHOOSE(CONTROL!$C$21, $C$9, 100%, $E$9)</f>
        <v>16.835100000000001</v>
      </c>
      <c r="N354" s="14">
        <f>CHOOSE(CONTROL!$C$42, 16.8513, 16.8513) * CHOOSE(CONTROL!$C$21, $C$9, 100%, $E$9)</f>
        <v>16.851299999999998</v>
      </c>
      <c r="O354" s="14">
        <f>CHOOSE(CONTROL!$C$42, 17.101, 17.101) * CHOOSE(CONTROL!$C$21, $C$9, 100%, $E$9)</f>
        <v>17.100999999999999</v>
      </c>
      <c r="P354" s="14">
        <f>CHOOSE(CONTROL!$C$42, 16.9119, 16.9119) * CHOOSE(CONTROL!$C$21, $C$9, 100%, $E$9)</f>
        <v>16.911899999999999</v>
      </c>
      <c r="Q354" s="14">
        <f>CHOOSE(CONTROL!$C$42, 17.6957, 17.6957) * CHOOSE(CONTROL!$C$21, $C$9, 100%, $E$9)</f>
        <v>17.695699999999999</v>
      </c>
      <c r="R354" s="14">
        <f>CHOOSE(CONTROL!$C$42, 18.327, 18.327) * CHOOSE(CONTROL!$C$21, $C$9, 100%, $E$9)</f>
        <v>18.327000000000002</v>
      </c>
      <c r="S354" s="14">
        <f>CHOOSE(CONTROL!$C$42, 16.5064, 16.5064) * CHOOSE(CONTROL!$C$21, $C$9, 100%, $E$9)</f>
        <v>16.506399999999999</v>
      </c>
      <c r="T3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7">
        <f>(1000*CHOOSE(CONTROL!$C$42, 695, 695)*CHOOSE(CONTROL!$C$42, 0.5599, 0.5599)*CHOOSE(CONTROL!$C$42, 30, 30))/1000000</f>
        <v>11.673914999999997</v>
      </c>
      <c r="V354" s="57">
        <f>(1000*CHOOSE(CONTROL!$C$42, 500, 500)*CHOOSE(CONTROL!$C$42, 0.275, 0.275)*CHOOSE(CONTROL!$C$42, 30, 30))/1000000</f>
        <v>4.125</v>
      </c>
      <c r="W354" s="57">
        <f>(1000*CHOOSE(CONTROL!$C$42, 0.1146, 0.1146)*CHOOSE(CONTROL!$C$42, 121.5, 121.5)*CHOOSE(CONTROL!$C$42, 30, 30))/1000000</f>
        <v>0.417717</v>
      </c>
      <c r="X354" s="57">
        <f>(30*0.1790888*245000/1000000)+(30*0.2374*100000/1000000)</f>
        <v>2.0285026799999999</v>
      </c>
      <c r="Y354" s="57"/>
      <c r="Z354" s="14"/>
      <c r="AA354" s="56"/>
      <c r="AB354" s="50">
        <f>(B354*194.205+C354*267.466+D354*133.845+E354*53.484+F354*40+G354*185+H354*0+I354*100+J354*300)/(194.205+267.466+133.845+53.484+0+40+185+100+300)</f>
        <v>17.232787372056517</v>
      </c>
      <c r="AC354" s="45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16.92448489208633</v>
      </c>
    </row>
    <row r="355" spans="1:29" ht="15.75" x14ac:dyDescent="0.25">
      <c r="A355" s="33">
        <v>51713</v>
      </c>
      <c r="B355" s="14">
        <f>CHOOSE(CONTROL!$C$42, 16.8596, 16.8596) * CHOOSE(CONTROL!$C$21, $C$9, 100%, $E$9)</f>
        <v>16.8596</v>
      </c>
      <c r="C355" s="14">
        <f>CHOOSE(CONTROL!$C$42, 16.8677, 16.8677) * CHOOSE(CONTROL!$C$21, $C$9, 100%, $E$9)</f>
        <v>16.867699999999999</v>
      </c>
      <c r="D355" s="14">
        <f>CHOOSE(CONTROL!$C$42, 17.1013, 17.1013) * CHOOSE(CONTROL!$C$21, $C$9, 100%, $E$9)</f>
        <v>17.101299999999998</v>
      </c>
      <c r="E355" s="14">
        <f>CHOOSE(CONTROL!$C$42, 17.1327, 17.1327) * CHOOSE(CONTROL!$C$21, $C$9, 100%, $E$9)</f>
        <v>17.1327</v>
      </c>
      <c r="F355" s="14">
        <f>CHOOSE(CONTROL!$C$42, 16.8574, 16.8574)*CHOOSE(CONTROL!$C$21, $C$9, 100%, $E$9)</f>
        <v>16.857399999999998</v>
      </c>
      <c r="G355" s="14">
        <f>CHOOSE(CONTROL!$C$42, 16.874, 16.874)*CHOOSE(CONTROL!$C$21, $C$9, 100%, $E$9)</f>
        <v>16.873999999999999</v>
      </c>
      <c r="H355" s="14">
        <f>CHOOSE(CONTROL!$C$42, 17.1213, 17.1213) * CHOOSE(CONTROL!$C$21, $C$9, 100%, $E$9)</f>
        <v>17.121300000000002</v>
      </c>
      <c r="I355" s="14">
        <f>CHOOSE(CONTROL!$C$42, 16.9283, 16.9283)* CHOOSE(CONTROL!$C$21, $C$9, 100%, $E$9)</f>
        <v>16.9283</v>
      </c>
      <c r="J355" s="14">
        <f>CHOOSE(CONTROL!$C$42, 16.8504, 16.8504)* CHOOSE(CONTROL!$C$21, $C$9, 100%, $E$9)</f>
        <v>16.8504</v>
      </c>
      <c r="K355" s="53">
        <f>CHOOSE(CONTROL!$C$42, 16.9244, 16.9244) * CHOOSE(CONTROL!$C$21, $C$9, 100%, $E$9)</f>
        <v>16.924399999999999</v>
      </c>
      <c r="L355" s="14">
        <f>CHOOSE(CONTROL!$C$42, 17.7083, 17.7083) * CHOOSE(CONTROL!$C$21, $C$9, 100%, $E$9)</f>
        <v>17.708300000000001</v>
      </c>
      <c r="M355" s="14">
        <f>CHOOSE(CONTROL!$C$42, 16.5129, 16.5129) * CHOOSE(CONTROL!$C$21, $C$9, 100%, $E$9)</f>
        <v>16.512899999999998</v>
      </c>
      <c r="N355" s="14">
        <f>CHOOSE(CONTROL!$C$42, 16.5291, 16.5291) * CHOOSE(CONTROL!$C$21, $C$9, 100%, $E$9)</f>
        <v>16.5291</v>
      </c>
      <c r="O355" s="14">
        <f>CHOOSE(CONTROL!$C$42, 16.7782, 16.7782) * CHOOSE(CONTROL!$C$21, $C$9, 100%, $E$9)</f>
        <v>16.778199999999998</v>
      </c>
      <c r="P355" s="14">
        <f>CHOOSE(CONTROL!$C$42, 16.5882, 16.5882) * CHOOSE(CONTROL!$C$21, $C$9, 100%, $E$9)</f>
        <v>16.588200000000001</v>
      </c>
      <c r="Q355" s="14">
        <f>CHOOSE(CONTROL!$C$42, 17.3729, 17.3729) * CHOOSE(CONTROL!$C$21, $C$9, 100%, $E$9)</f>
        <v>17.372900000000001</v>
      </c>
      <c r="R355" s="14">
        <f>CHOOSE(CONTROL!$C$42, 18.0034, 18.0034) * CHOOSE(CONTROL!$C$21, $C$9, 100%, $E$9)</f>
        <v>18.003399999999999</v>
      </c>
      <c r="S355" s="14">
        <f>CHOOSE(CONTROL!$C$42, 16.1898, 16.1898) * CHOOSE(CONTROL!$C$21, $C$9, 100%, $E$9)</f>
        <v>16.189800000000002</v>
      </c>
      <c r="T3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7">
        <f>(1000*CHOOSE(CONTROL!$C$42, 695, 695)*CHOOSE(CONTROL!$C$42, 0.5599, 0.5599)*CHOOSE(CONTROL!$C$42, 31, 31))/1000000</f>
        <v>12.063045499999998</v>
      </c>
      <c r="V355" s="57">
        <f>(1000*CHOOSE(CONTROL!$C$42, 500, 500)*CHOOSE(CONTROL!$C$42, 0.275, 0.275)*CHOOSE(CONTROL!$C$42, 31, 31))/1000000</f>
        <v>4.2625000000000002</v>
      </c>
      <c r="W355" s="57">
        <f>(1000*CHOOSE(CONTROL!$C$42, 0.1146, 0.1146)*CHOOSE(CONTROL!$C$42, 121.5, 121.5)*CHOOSE(CONTROL!$C$42, 31, 31))/1000000</f>
        <v>0.43164089999999994</v>
      </c>
      <c r="X355" s="57">
        <f>(31*0.1790888*245000/1000000)+(31*0.2374*100000/1000000)</f>
        <v>2.0961194359999999</v>
      </c>
      <c r="Y355" s="57"/>
      <c r="Z355" s="14"/>
      <c r="AA355" s="56"/>
      <c r="AB355" s="50">
        <f>(B355*194.205+C355*267.466+D355*133.845+E355*53.484+F355*40+G355*185+H355*0+I355*100+J355*300)/(194.205+267.466+133.845+53.484+0+40+185+100+300)</f>
        <v>16.903406351255885</v>
      </c>
      <c r="AC355" s="45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16.60190071942446</v>
      </c>
    </row>
    <row r="356" spans="1:29" ht="15.75" x14ac:dyDescent="0.25">
      <c r="A356" s="33">
        <v>51744</v>
      </c>
      <c r="B356" s="14">
        <f>CHOOSE(CONTROL!$C$42, 16.0275, 16.0275) * CHOOSE(CONTROL!$C$21, $C$9, 100%, $E$9)</f>
        <v>16.0275</v>
      </c>
      <c r="C356" s="14">
        <f>CHOOSE(CONTROL!$C$42, 16.0355, 16.0355) * CHOOSE(CONTROL!$C$21, $C$9, 100%, $E$9)</f>
        <v>16.035499999999999</v>
      </c>
      <c r="D356" s="14">
        <f>CHOOSE(CONTROL!$C$42, 16.2691, 16.2691) * CHOOSE(CONTROL!$C$21, $C$9, 100%, $E$9)</f>
        <v>16.269100000000002</v>
      </c>
      <c r="E356" s="14">
        <f>CHOOSE(CONTROL!$C$42, 16.3005, 16.3005) * CHOOSE(CONTROL!$C$21, $C$9, 100%, $E$9)</f>
        <v>16.3005</v>
      </c>
      <c r="F356" s="14">
        <f>CHOOSE(CONTROL!$C$42, 16.0254, 16.0254)*CHOOSE(CONTROL!$C$21, $C$9, 100%, $E$9)</f>
        <v>16.025400000000001</v>
      </c>
      <c r="G356" s="14">
        <f>CHOOSE(CONTROL!$C$42, 16.0421, 16.0421)*CHOOSE(CONTROL!$C$21, $C$9, 100%, $E$9)</f>
        <v>16.042100000000001</v>
      </c>
      <c r="H356" s="14">
        <f>CHOOSE(CONTROL!$C$42, 16.2892, 16.2892) * CHOOSE(CONTROL!$C$21, $C$9, 100%, $E$9)</f>
        <v>16.289200000000001</v>
      </c>
      <c r="I356" s="14">
        <f>CHOOSE(CONTROL!$C$42, 16.0935, 16.0935)* CHOOSE(CONTROL!$C$21, $C$9, 100%, $E$9)</f>
        <v>16.093499999999999</v>
      </c>
      <c r="J356" s="14">
        <f>CHOOSE(CONTROL!$C$42, 16.0184, 16.0184)* CHOOSE(CONTROL!$C$21, $C$9, 100%, $E$9)</f>
        <v>16.0184</v>
      </c>
      <c r="K356" s="53">
        <f>CHOOSE(CONTROL!$C$42, 16.0896, 16.0896) * CHOOSE(CONTROL!$C$21, $C$9, 100%, $E$9)</f>
        <v>16.089600000000001</v>
      </c>
      <c r="L356" s="14">
        <f>CHOOSE(CONTROL!$C$42, 16.8762, 16.8762) * CHOOSE(CONTROL!$C$21, $C$9, 100%, $E$9)</f>
        <v>16.876200000000001</v>
      </c>
      <c r="M356" s="14">
        <f>CHOOSE(CONTROL!$C$42, 15.6979, 15.6979) * CHOOSE(CONTROL!$C$21, $C$9, 100%, $E$9)</f>
        <v>15.697900000000001</v>
      </c>
      <c r="N356" s="14">
        <f>CHOOSE(CONTROL!$C$42, 15.7142, 15.7142) * CHOOSE(CONTROL!$C$21, $C$9, 100%, $E$9)</f>
        <v>15.7142</v>
      </c>
      <c r="O356" s="14">
        <f>CHOOSE(CONTROL!$C$42, 15.9631, 15.9631) * CHOOSE(CONTROL!$C$21, $C$9, 100%, $E$9)</f>
        <v>15.963100000000001</v>
      </c>
      <c r="P356" s="14">
        <f>CHOOSE(CONTROL!$C$42, 15.7705, 15.7705) * CHOOSE(CONTROL!$C$21, $C$9, 100%, $E$9)</f>
        <v>15.7705</v>
      </c>
      <c r="Q356" s="14">
        <f>CHOOSE(CONTROL!$C$42, 16.5578, 16.5578) * CHOOSE(CONTROL!$C$21, $C$9, 100%, $E$9)</f>
        <v>16.5578</v>
      </c>
      <c r="R356" s="14">
        <f>CHOOSE(CONTROL!$C$42, 17.1862, 17.1862) * CHOOSE(CONTROL!$C$21, $C$9, 100%, $E$9)</f>
        <v>17.186199999999999</v>
      </c>
      <c r="S356" s="14">
        <f>CHOOSE(CONTROL!$C$42, 15.3902, 15.3902) * CHOOSE(CONTROL!$C$21, $C$9, 100%, $E$9)</f>
        <v>15.3902</v>
      </c>
      <c r="T3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7">
        <f>(1000*CHOOSE(CONTROL!$C$42, 695, 695)*CHOOSE(CONTROL!$C$42, 0.5599, 0.5599)*CHOOSE(CONTROL!$C$42, 31, 31))/1000000</f>
        <v>12.063045499999998</v>
      </c>
      <c r="V356" s="57">
        <f>(1000*CHOOSE(CONTROL!$C$42, 500, 500)*CHOOSE(CONTROL!$C$42, 0.275, 0.275)*CHOOSE(CONTROL!$C$42, 31, 31))/1000000</f>
        <v>4.2625000000000002</v>
      </c>
      <c r="W356" s="57">
        <f>(1000*CHOOSE(CONTROL!$C$42, 0.1146, 0.1146)*CHOOSE(CONTROL!$C$42, 121.5, 121.5)*CHOOSE(CONTROL!$C$42, 31, 31))/1000000</f>
        <v>0.43164089999999994</v>
      </c>
      <c r="X356" s="57">
        <f>(31*0.1790888*245000/1000000)+(31*0.2374*100000/1000000)</f>
        <v>2.0961194359999999</v>
      </c>
      <c r="Y356" s="57"/>
      <c r="Z356" s="14"/>
      <c r="AA356" s="56"/>
      <c r="AB356" s="50">
        <f>(B356*194.205+C356*267.466+D356*133.845+E356*53.484+F356*40+G356*185+H356*0+I356*100+J356*300)/(194.205+267.466+133.845+53.484+0+40+185+100+300)</f>
        <v>16.071114452119311</v>
      </c>
      <c r="AC356" s="45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15.786507194244603</v>
      </c>
    </row>
    <row r="357" spans="1:29" ht="15.75" x14ac:dyDescent="0.25">
      <c r="A357" s="33">
        <v>51774</v>
      </c>
      <c r="B357" s="14">
        <f>CHOOSE(CONTROL!$C$42, 15.0102, 15.0102) * CHOOSE(CONTROL!$C$21, $C$9, 100%, $E$9)</f>
        <v>15.010199999999999</v>
      </c>
      <c r="C357" s="14">
        <f>CHOOSE(CONTROL!$C$42, 15.0183, 15.0183) * CHOOSE(CONTROL!$C$21, $C$9, 100%, $E$9)</f>
        <v>15.0183</v>
      </c>
      <c r="D357" s="14">
        <f>CHOOSE(CONTROL!$C$42, 15.2519, 15.2519) * CHOOSE(CONTROL!$C$21, $C$9, 100%, $E$9)</f>
        <v>15.251899999999999</v>
      </c>
      <c r="E357" s="14">
        <f>CHOOSE(CONTROL!$C$42, 15.2833, 15.2833) * CHOOSE(CONTROL!$C$21, $C$9, 100%, $E$9)</f>
        <v>15.283300000000001</v>
      </c>
      <c r="F357" s="14">
        <f>CHOOSE(CONTROL!$C$42, 15.0082, 15.0082)*CHOOSE(CONTROL!$C$21, $C$9, 100%, $E$9)</f>
        <v>15.0082</v>
      </c>
      <c r="G357" s="14">
        <f>CHOOSE(CONTROL!$C$42, 15.0249, 15.0249)*CHOOSE(CONTROL!$C$21, $C$9, 100%, $E$9)</f>
        <v>15.024900000000001</v>
      </c>
      <c r="H357" s="14">
        <f>CHOOSE(CONTROL!$C$42, 15.272, 15.272) * CHOOSE(CONTROL!$C$21, $C$9, 100%, $E$9)</f>
        <v>15.272</v>
      </c>
      <c r="I357" s="14">
        <f>CHOOSE(CONTROL!$C$42, 15.0731, 15.0731)* CHOOSE(CONTROL!$C$21, $C$9, 100%, $E$9)</f>
        <v>15.0731</v>
      </c>
      <c r="J357" s="14">
        <f>CHOOSE(CONTROL!$C$42, 15.0012, 15.0012)* CHOOSE(CONTROL!$C$21, $C$9, 100%, $E$9)</f>
        <v>15.001200000000001</v>
      </c>
      <c r="K357" s="53">
        <f>CHOOSE(CONTROL!$C$42, 15.0692, 15.0692) * CHOOSE(CONTROL!$C$21, $C$9, 100%, $E$9)</f>
        <v>15.0692</v>
      </c>
      <c r="L357" s="14">
        <f>CHOOSE(CONTROL!$C$42, 15.859, 15.859) * CHOOSE(CONTROL!$C$21, $C$9, 100%, $E$9)</f>
        <v>15.859</v>
      </c>
      <c r="M357" s="14">
        <f>CHOOSE(CONTROL!$C$42, 14.7016, 14.7016) * CHOOSE(CONTROL!$C$21, $C$9, 100%, $E$9)</f>
        <v>14.701599999999999</v>
      </c>
      <c r="N357" s="14">
        <f>CHOOSE(CONTROL!$C$42, 14.7179, 14.7179) * CHOOSE(CONTROL!$C$21, $C$9, 100%, $E$9)</f>
        <v>14.7179</v>
      </c>
      <c r="O357" s="14">
        <f>CHOOSE(CONTROL!$C$42, 14.9667, 14.9667) * CHOOSE(CONTROL!$C$21, $C$9, 100%, $E$9)</f>
        <v>14.966699999999999</v>
      </c>
      <c r="P357" s="14">
        <f>CHOOSE(CONTROL!$C$42, 14.7711, 14.7711) * CHOOSE(CONTROL!$C$21, $C$9, 100%, $E$9)</f>
        <v>14.771100000000001</v>
      </c>
      <c r="Q357" s="14">
        <f>CHOOSE(CONTROL!$C$42, 15.5614, 15.5614) * CHOOSE(CONTROL!$C$21, $C$9, 100%, $E$9)</f>
        <v>15.561400000000001</v>
      </c>
      <c r="R357" s="14">
        <f>CHOOSE(CONTROL!$C$42, 16.1873, 16.1873) * CHOOSE(CONTROL!$C$21, $C$9, 100%, $E$9)</f>
        <v>16.1873</v>
      </c>
      <c r="S357" s="14">
        <f>CHOOSE(CONTROL!$C$42, 14.4127, 14.4127) * CHOOSE(CONTROL!$C$21, $C$9, 100%, $E$9)</f>
        <v>14.412699999999999</v>
      </c>
      <c r="T3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7">
        <f>(1000*CHOOSE(CONTROL!$C$42, 695, 695)*CHOOSE(CONTROL!$C$42, 0.5599, 0.5599)*CHOOSE(CONTROL!$C$42, 30, 30))/1000000</f>
        <v>11.673914999999997</v>
      </c>
      <c r="V357" s="57">
        <f>(1000*CHOOSE(CONTROL!$C$42, 500, 500)*CHOOSE(CONTROL!$C$42, 0.275, 0.275)*CHOOSE(CONTROL!$C$42, 30, 30))/1000000</f>
        <v>4.125</v>
      </c>
      <c r="W357" s="57">
        <f>(1000*CHOOSE(CONTROL!$C$42, 0.1146, 0.1146)*CHOOSE(CONTROL!$C$42, 121.5, 121.5)*CHOOSE(CONTROL!$C$42, 30, 30))/1000000</f>
        <v>0.417717</v>
      </c>
      <c r="X357" s="57">
        <f>(30*0.1790888*245000/1000000)+(30*0.2374*100000/1000000)</f>
        <v>2.0285026799999999</v>
      </c>
      <c r="Y357" s="57"/>
      <c r="Z357" s="14"/>
      <c r="AA357" s="56"/>
      <c r="AB357" s="50">
        <f>(B357*194.205+C357*267.466+D357*133.845+E357*53.484+F357*40+G357*185+H357*0+I357*100+J357*300)/(194.205+267.466+133.845+53.484+0+40+185+100+300)</f>
        <v>15.053648031004711</v>
      </c>
      <c r="AC357" s="45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14.789733093525179</v>
      </c>
    </row>
    <row r="358" spans="1:29" ht="15.75" x14ac:dyDescent="0.25">
      <c r="A358" s="33">
        <v>51805</v>
      </c>
      <c r="B358" s="14">
        <f>CHOOSE(CONTROL!$C$42, 14.704, 14.704) * CHOOSE(CONTROL!$C$21, $C$9, 100%, $E$9)</f>
        <v>14.704000000000001</v>
      </c>
      <c r="C358" s="14">
        <f>CHOOSE(CONTROL!$C$42, 14.7093, 14.7093) * CHOOSE(CONTROL!$C$21, $C$9, 100%, $E$9)</f>
        <v>14.709300000000001</v>
      </c>
      <c r="D358" s="14">
        <f>CHOOSE(CONTROL!$C$42, 14.9478, 14.9478) * CHOOSE(CONTROL!$C$21, $C$9, 100%, $E$9)</f>
        <v>14.947800000000001</v>
      </c>
      <c r="E358" s="14">
        <f>CHOOSE(CONTROL!$C$42, 14.977, 14.977) * CHOOSE(CONTROL!$C$21, $C$9, 100%, $E$9)</f>
        <v>14.977</v>
      </c>
      <c r="F358" s="14">
        <f>CHOOSE(CONTROL!$C$42, 14.704, 14.704)*CHOOSE(CONTROL!$C$21, $C$9, 100%, $E$9)</f>
        <v>14.704000000000001</v>
      </c>
      <c r="G358" s="14">
        <f>CHOOSE(CONTROL!$C$42, 14.7202, 14.7202)*CHOOSE(CONTROL!$C$21, $C$9, 100%, $E$9)</f>
        <v>14.7202</v>
      </c>
      <c r="H358" s="14">
        <f>CHOOSE(CONTROL!$C$42, 14.9674, 14.9674) * CHOOSE(CONTROL!$C$21, $C$9, 100%, $E$9)</f>
        <v>14.9674</v>
      </c>
      <c r="I358" s="14">
        <f>CHOOSE(CONTROL!$C$42, 14.7676, 14.7676)* CHOOSE(CONTROL!$C$21, $C$9, 100%, $E$9)</f>
        <v>14.7676</v>
      </c>
      <c r="J358" s="14">
        <f>CHOOSE(CONTROL!$C$42, 14.697, 14.697)* CHOOSE(CONTROL!$C$21, $C$9, 100%, $E$9)</f>
        <v>14.696999999999999</v>
      </c>
      <c r="K358" s="53">
        <f>CHOOSE(CONTROL!$C$42, 14.7638, 14.7638) * CHOOSE(CONTROL!$C$21, $C$9, 100%, $E$9)</f>
        <v>14.7638</v>
      </c>
      <c r="L358" s="14">
        <f>CHOOSE(CONTROL!$C$42, 15.5544, 15.5544) * CHOOSE(CONTROL!$C$21, $C$9, 100%, $E$9)</f>
        <v>15.554399999999999</v>
      </c>
      <c r="M358" s="14">
        <f>CHOOSE(CONTROL!$C$42, 14.4035, 14.4035) * CHOOSE(CONTROL!$C$21, $C$9, 100%, $E$9)</f>
        <v>14.403499999999999</v>
      </c>
      <c r="N358" s="14">
        <f>CHOOSE(CONTROL!$C$42, 14.4195, 14.4195) * CHOOSE(CONTROL!$C$21, $C$9, 100%, $E$9)</f>
        <v>14.419499999999999</v>
      </c>
      <c r="O358" s="14">
        <f>CHOOSE(CONTROL!$C$42, 14.6684, 14.6684) * CHOOSE(CONTROL!$C$21, $C$9, 100%, $E$9)</f>
        <v>14.6684</v>
      </c>
      <c r="P358" s="14">
        <f>CHOOSE(CONTROL!$C$42, 14.4719, 14.4719) * CHOOSE(CONTROL!$C$21, $C$9, 100%, $E$9)</f>
        <v>14.4719</v>
      </c>
      <c r="Q358" s="14">
        <f>CHOOSE(CONTROL!$C$42, 15.2631, 15.2631) * CHOOSE(CONTROL!$C$21, $C$9, 100%, $E$9)</f>
        <v>15.2631</v>
      </c>
      <c r="R358" s="14">
        <f>CHOOSE(CONTROL!$C$42, 15.8883, 15.8883) * CHOOSE(CONTROL!$C$21, $C$9, 100%, $E$9)</f>
        <v>15.888299999999999</v>
      </c>
      <c r="S358" s="14">
        <f>CHOOSE(CONTROL!$C$42, 14.1201, 14.1201) * CHOOSE(CONTROL!$C$21, $C$9, 100%, $E$9)</f>
        <v>14.120100000000001</v>
      </c>
      <c r="T3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7">
        <f>(1000*CHOOSE(CONTROL!$C$42, 695, 695)*CHOOSE(CONTROL!$C$42, 0.5599, 0.5599)*CHOOSE(CONTROL!$C$42, 31, 31))/1000000</f>
        <v>12.063045499999998</v>
      </c>
      <c r="V358" s="57">
        <f>(1000*CHOOSE(CONTROL!$C$42, 500, 500)*CHOOSE(CONTROL!$C$42, 0.275, 0.275)*CHOOSE(CONTROL!$C$42, 31, 31))/1000000</f>
        <v>4.2625000000000002</v>
      </c>
      <c r="W358" s="57">
        <f>(1000*CHOOSE(CONTROL!$C$42, 0.1146, 0.1146)*CHOOSE(CONTROL!$C$42, 121.5, 121.5)*CHOOSE(CONTROL!$C$42, 31, 31))/1000000</f>
        <v>0.43164089999999994</v>
      </c>
      <c r="X358" s="57">
        <f>(31*0.1790888*245000/1000000)+(31*0.2374*100000/1000000)</f>
        <v>2.0961194359999999</v>
      </c>
      <c r="Y358" s="57"/>
      <c r="Z358" s="14"/>
      <c r="AA358" s="56"/>
      <c r="AB358" s="50">
        <f>(B358*131.881+C358*277.167+D358*79.08+E358*125.872+F358*40+G358*185+H358*0+I358*100+J358*300)/(131.881+277.167+79.08+125.872+0+40+185+100+300)</f>
        <v>14.75433797021792</v>
      </c>
      <c r="AC358" s="45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14.491349640287769</v>
      </c>
    </row>
    <row r="359" spans="1:29" ht="15.75" x14ac:dyDescent="0.25">
      <c r="A359" s="33">
        <v>51835</v>
      </c>
      <c r="B359" s="14">
        <f>CHOOSE(CONTROL!$C$42, 15.0906, 15.0906) * CHOOSE(CONTROL!$C$21, $C$9, 100%, $E$9)</f>
        <v>15.0906</v>
      </c>
      <c r="C359" s="14">
        <f>CHOOSE(CONTROL!$C$42, 15.0957, 15.0957) * CHOOSE(CONTROL!$C$21, $C$9, 100%, $E$9)</f>
        <v>15.095700000000001</v>
      </c>
      <c r="D359" s="14">
        <f>CHOOSE(CONTROL!$C$42, 15.1699, 15.1699) * CHOOSE(CONTROL!$C$21, $C$9, 100%, $E$9)</f>
        <v>15.1699</v>
      </c>
      <c r="E359" s="14">
        <f>CHOOSE(CONTROL!$C$42, 15.204, 15.204) * CHOOSE(CONTROL!$C$21, $C$9, 100%, $E$9)</f>
        <v>15.204000000000001</v>
      </c>
      <c r="F359" s="14">
        <f>CHOOSE(CONTROL!$C$42, 15.1027, 15.1027)*CHOOSE(CONTROL!$C$21, $C$9, 100%, $E$9)</f>
        <v>15.1027</v>
      </c>
      <c r="G359" s="14">
        <f>CHOOSE(CONTROL!$C$42, 15.1193, 15.1193)*CHOOSE(CONTROL!$C$21, $C$9, 100%, $E$9)</f>
        <v>15.119300000000001</v>
      </c>
      <c r="H359" s="14">
        <f>CHOOSE(CONTROL!$C$42, 15.1932, 15.1932) * CHOOSE(CONTROL!$C$21, $C$9, 100%, $E$9)</f>
        <v>15.193199999999999</v>
      </c>
      <c r="I359" s="14">
        <f>CHOOSE(CONTROL!$C$42, 15.1622, 15.1622)* CHOOSE(CONTROL!$C$21, $C$9, 100%, $E$9)</f>
        <v>15.1622</v>
      </c>
      <c r="J359" s="14">
        <f>CHOOSE(CONTROL!$C$42, 15.0957, 15.0957)* CHOOSE(CONTROL!$C$21, $C$9, 100%, $E$9)</f>
        <v>15.095700000000001</v>
      </c>
      <c r="K359" s="53">
        <f>CHOOSE(CONTROL!$C$42, 15.1583, 15.1583) * CHOOSE(CONTROL!$C$21, $C$9, 100%, $E$9)</f>
        <v>15.158300000000001</v>
      </c>
      <c r="L359" s="14">
        <f>CHOOSE(CONTROL!$C$42, 15.7802, 15.7802) * CHOOSE(CONTROL!$C$21, $C$9, 100%, $E$9)</f>
        <v>15.780200000000001</v>
      </c>
      <c r="M359" s="14">
        <f>CHOOSE(CONTROL!$C$42, 14.7941, 14.7941) * CHOOSE(CONTROL!$C$21, $C$9, 100%, $E$9)</f>
        <v>14.7941</v>
      </c>
      <c r="N359" s="14">
        <f>CHOOSE(CONTROL!$C$42, 14.8103, 14.8103) * CHOOSE(CONTROL!$C$21, $C$9, 100%, $E$9)</f>
        <v>14.8103</v>
      </c>
      <c r="O359" s="14">
        <f>CHOOSE(CONTROL!$C$42, 14.8896, 14.8896) * CHOOSE(CONTROL!$C$21, $C$9, 100%, $E$9)</f>
        <v>14.8896</v>
      </c>
      <c r="P359" s="14">
        <f>CHOOSE(CONTROL!$C$42, 14.8584, 14.8584) * CHOOSE(CONTROL!$C$21, $C$9, 100%, $E$9)</f>
        <v>14.8584</v>
      </c>
      <c r="Q359" s="14">
        <f>CHOOSE(CONTROL!$C$42, 15.4843, 15.4843) * CHOOSE(CONTROL!$C$21, $C$9, 100%, $E$9)</f>
        <v>15.484299999999999</v>
      </c>
      <c r="R359" s="14">
        <f>CHOOSE(CONTROL!$C$42, 16.11, 16.11) * CHOOSE(CONTROL!$C$21, $C$9, 100%, $E$9)</f>
        <v>16.11</v>
      </c>
      <c r="S359" s="14">
        <f>CHOOSE(CONTROL!$C$42, 14.4921, 14.4921) * CHOOSE(CONTROL!$C$21, $C$9, 100%, $E$9)</f>
        <v>14.492100000000001</v>
      </c>
      <c r="T3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7">
        <f>(1000*CHOOSE(CONTROL!$C$42, 695, 695)*CHOOSE(CONTROL!$C$42, 0.5599, 0.5599)*CHOOSE(CONTROL!$C$42, 30, 30))/1000000</f>
        <v>11.673914999999997</v>
      </c>
      <c r="V359" s="57">
        <f>(1000*CHOOSE(CONTROL!$C$42, 500, 500)*CHOOSE(CONTROL!$C$42, 0.275, 0.275)*CHOOSE(CONTROL!$C$42, 30, 30))/1000000</f>
        <v>4.125</v>
      </c>
      <c r="W359" s="57">
        <f>(1000*CHOOSE(CONTROL!$C$42, 0.1146, 0.1146)*CHOOSE(CONTROL!$C$42, 121.5, 121.5)*CHOOSE(CONTROL!$C$42, 30, 30))/1000000</f>
        <v>0.417717</v>
      </c>
      <c r="X359" s="57">
        <f>(30*0.1790888*100000/1000000)+(30*0.2374*100000/1000000)</f>
        <v>1.2494664</v>
      </c>
      <c r="Y359" s="57"/>
      <c r="Z359" s="14"/>
      <c r="AA359" s="56"/>
      <c r="AB359" s="50">
        <f>(B359*122.58+C359*297.941+D359*89.177+E359*40.302+F359*40+G359*160+H359*0+I359*100+J359*300)/(122.58+297.941+89.177+40.302+0+40+160+100+300)</f>
        <v>15.114015201739129</v>
      </c>
      <c r="AC359" s="45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14.847568345323744</v>
      </c>
    </row>
    <row r="360" spans="1:29" ht="15.75" x14ac:dyDescent="0.25">
      <c r="A360" s="33">
        <v>51866</v>
      </c>
      <c r="B360" s="14">
        <f>CHOOSE(CONTROL!$C$42, 16.1188, 16.1188) * CHOOSE(CONTROL!$C$21, $C$9, 100%, $E$9)</f>
        <v>16.1188</v>
      </c>
      <c r="C360" s="14">
        <f>CHOOSE(CONTROL!$C$42, 16.1239, 16.1239) * CHOOSE(CONTROL!$C$21, $C$9, 100%, $E$9)</f>
        <v>16.123899999999999</v>
      </c>
      <c r="D360" s="14">
        <f>CHOOSE(CONTROL!$C$42, 16.1981, 16.1981) * CHOOSE(CONTROL!$C$21, $C$9, 100%, $E$9)</f>
        <v>16.1981</v>
      </c>
      <c r="E360" s="14">
        <f>CHOOSE(CONTROL!$C$42, 16.2322, 16.2322) * CHOOSE(CONTROL!$C$21, $C$9, 100%, $E$9)</f>
        <v>16.232199999999999</v>
      </c>
      <c r="F360" s="14">
        <f>CHOOSE(CONTROL!$C$42, 16.1331, 16.1331)*CHOOSE(CONTROL!$C$21, $C$9, 100%, $E$9)</f>
        <v>16.133099999999999</v>
      </c>
      <c r="G360" s="14">
        <f>CHOOSE(CONTROL!$C$42, 16.1502, 16.1502)*CHOOSE(CONTROL!$C$21, $C$9, 100%, $E$9)</f>
        <v>16.150200000000002</v>
      </c>
      <c r="H360" s="14">
        <f>CHOOSE(CONTROL!$C$42, 16.2214, 16.2214) * CHOOSE(CONTROL!$C$21, $C$9, 100%, $E$9)</f>
        <v>16.221399999999999</v>
      </c>
      <c r="I360" s="14">
        <f>CHOOSE(CONTROL!$C$42, 16.1937, 16.1937)* CHOOSE(CONTROL!$C$21, $C$9, 100%, $E$9)</f>
        <v>16.1937</v>
      </c>
      <c r="J360" s="14">
        <f>CHOOSE(CONTROL!$C$42, 16.1261, 16.1261)* CHOOSE(CONTROL!$C$21, $C$9, 100%, $E$9)</f>
        <v>16.126100000000001</v>
      </c>
      <c r="K360" s="53">
        <f>CHOOSE(CONTROL!$C$42, 16.1898, 16.1898) * CHOOSE(CONTROL!$C$21, $C$9, 100%, $E$9)</f>
        <v>16.189800000000002</v>
      </c>
      <c r="L360" s="14">
        <f>CHOOSE(CONTROL!$C$42, 16.8084, 16.8084) * CHOOSE(CONTROL!$C$21, $C$9, 100%, $E$9)</f>
        <v>16.808399999999999</v>
      </c>
      <c r="M360" s="14">
        <f>CHOOSE(CONTROL!$C$42, 15.8034, 15.8034) * CHOOSE(CONTROL!$C$21, $C$9, 100%, $E$9)</f>
        <v>15.8034</v>
      </c>
      <c r="N360" s="14">
        <f>CHOOSE(CONTROL!$C$42, 15.8202, 15.8202) * CHOOSE(CONTROL!$C$21, $C$9, 100%, $E$9)</f>
        <v>15.8202</v>
      </c>
      <c r="O360" s="14">
        <f>CHOOSE(CONTROL!$C$42, 15.8968, 15.8968) * CHOOSE(CONTROL!$C$21, $C$9, 100%, $E$9)</f>
        <v>15.896800000000001</v>
      </c>
      <c r="P360" s="14">
        <f>CHOOSE(CONTROL!$C$42, 15.8686, 15.8686) * CHOOSE(CONTROL!$C$21, $C$9, 100%, $E$9)</f>
        <v>15.868600000000001</v>
      </c>
      <c r="Q360" s="14">
        <f>CHOOSE(CONTROL!$C$42, 16.4915, 16.4915) * CHOOSE(CONTROL!$C$21, $C$9, 100%, $E$9)</f>
        <v>16.491499999999998</v>
      </c>
      <c r="R360" s="14">
        <f>CHOOSE(CONTROL!$C$42, 17.1197, 17.1197) * CHOOSE(CONTROL!$C$21, $C$9, 100%, $E$9)</f>
        <v>17.119700000000002</v>
      </c>
      <c r="S360" s="14">
        <f>CHOOSE(CONTROL!$C$42, 15.4801, 15.4801) * CHOOSE(CONTROL!$C$21, $C$9, 100%, $E$9)</f>
        <v>15.4801</v>
      </c>
      <c r="T3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7">
        <f>(1000*CHOOSE(CONTROL!$C$42, 695, 695)*CHOOSE(CONTROL!$C$42, 0.5599, 0.5599)*CHOOSE(CONTROL!$C$42, 31, 31))/1000000</f>
        <v>12.063045499999998</v>
      </c>
      <c r="V360" s="57">
        <f>(1000*CHOOSE(CONTROL!$C$42, 500, 500)*CHOOSE(CONTROL!$C$42, 0.275, 0.275)*CHOOSE(CONTROL!$C$42, 31, 31))/1000000</f>
        <v>4.2625000000000002</v>
      </c>
      <c r="W360" s="57">
        <f>(1000*CHOOSE(CONTROL!$C$42, 0.1146, 0.1146)*CHOOSE(CONTROL!$C$42, 121.5, 121.5)*CHOOSE(CONTROL!$C$42, 31, 31))/1000000</f>
        <v>0.43164089999999994</v>
      </c>
      <c r="X360" s="57">
        <f>(31*0.1790888*100000/1000000)+(31*0.2374*100000/1000000)</f>
        <v>1.2911152800000001</v>
      </c>
      <c r="Y360" s="57"/>
      <c r="Z360" s="14"/>
      <c r="AA360" s="56"/>
      <c r="AB360" s="50">
        <f>(B360*122.58+C360*297.941+D360*89.177+E360*40.302+F360*40+G360*160+H360*0+I360*100+J360*300)/(122.58+297.941+89.177+40.302+0+40+160+100+300)</f>
        <v>16.143528245217389</v>
      </c>
      <c r="AC360" s="45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15.856080575539568</v>
      </c>
    </row>
    <row r="361" spans="1:29" ht="15.75" x14ac:dyDescent="0.25">
      <c r="A361" s="33">
        <v>51897</v>
      </c>
      <c r="B361" s="14">
        <f>CHOOSE(CONTROL!$C$42, 17.4543, 17.4543) * CHOOSE(CONTROL!$C$21, $C$9, 100%, $E$9)</f>
        <v>17.4543</v>
      </c>
      <c r="C361" s="14">
        <f>CHOOSE(CONTROL!$C$42, 17.4594, 17.4594) * CHOOSE(CONTROL!$C$21, $C$9, 100%, $E$9)</f>
        <v>17.459399999999999</v>
      </c>
      <c r="D361" s="14">
        <f>CHOOSE(CONTROL!$C$42, 17.5362, 17.5362) * CHOOSE(CONTROL!$C$21, $C$9, 100%, $E$9)</f>
        <v>17.536200000000001</v>
      </c>
      <c r="E361" s="14">
        <f>CHOOSE(CONTROL!$C$42, 17.5703, 17.5703) * CHOOSE(CONTROL!$C$21, $C$9, 100%, $E$9)</f>
        <v>17.5703</v>
      </c>
      <c r="F361" s="14">
        <f>CHOOSE(CONTROL!$C$42, 17.4545, 17.4545)*CHOOSE(CONTROL!$C$21, $C$9, 100%, $E$9)</f>
        <v>17.454499999999999</v>
      </c>
      <c r="G361" s="14">
        <f>CHOOSE(CONTROL!$C$42, 17.4707, 17.4707)*CHOOSE(CONTROL!$C$21, $C$9, 100%, $E$9)</f>
        <v>17.470700000000001</v>
      </c>
      <c r="H361" s="14">
        <f>CHOOSE(CONTROL!$C$42, 17.5595, 17.5595) * CHOOSE(CONTROL!$C$21, $C$9, 100%, $E$9)</f>
        <v>17.5595</v>
      </c>
      <c r="I361" s="14">
        <f>CHOOSE(CONTROL!$C$42, 17.527, 17.527)* CHOOSE(CONTROL!$C$21, $C$9, 100%, $E$9)</f>
        <v>17.527000000000001</v>
      </c>
      <c r="J361" s="14">
        <f>CHOOSE(CONTROL!$C$42, 17.4475, 17.4475)* CHOOSE(CONTROL!$C$21, $C$9, 100%, $E$9)</f>
        <v>17.447500000000002</v>
      </c>
      <c r="K361" s="53">
        <f>CHOOSE(CONTROL!$C$42, 17.5231, 17.5231) * CHOOSE(CONTROL!$C$21, $C$9, 100%, $E$9)</f>
        <v>17.523099999999999</v>
      </c>
      <c r="L361" s="14">
        <f>CHOOSE(CONTROL!$C$42, 18.1465, 18.1465) * CHOOSE(CONTROL!$C$21, $C$9, 100%, $E$9)</f>
        <v>18.1465</v>
      </c>
      <c r="M361" s="14">
        <f>CHOOSE(CONTROL!$C$42, 17.0977, 17.0977) * CHOOSE(CONTROL!$C$21, $C$9, 100%, $E$9)</f>
        <v>17.0977</v>
      </c>
      <c r="N361" s="14">
        <f>CHOOSE(CONTROL!$C$42, 17.1136, 17.1136) * CHOOSE(CONTROL!$C$21, $C$9, 100%, $E$9)</f>
        <v>17.113600000000002</v>
      </c>
      <c r="O361" s="14">
        <f>CHOOSE(CONTROL!$C$42, 17.2074, 17.2074) * CHOOSE(CONTROL!$C$21, $C$9, 100%, $E$9)</f>
        <v>17.2074</v>
      </c>
      <c r="P361" s="14">
        <f>CHOOSE(CONTROL!$C$42, 17.1746, 17.1746) * CHOOSE(CONTROL!$C$21, $C$9, 100%, $E$9)</f>
        <v>17.174600000000002</v>
      </c>
      <c r="Q361" s="14">
        <f>CHOOSE(CONTROL!$C$42, 17.8021, 17.8021) * CHOOSE(CONTROL!$C$21, $C$9, 100%, $E$9)</f>
        <v>17.802099999999999</v>
      </c>
      <c r="R361" s="14">
        <f>CHOOSE(CONTROL!$C$42, 18.4336, 18.4336) * CHOOSE(CONTROL!$C$21, $C$9, 100%, $E$9)</f>
        <v>18.433599999999998</v>
      </c>
      <c r="S361" s="14">
        <f>CHOOSE(CONTROL!$C$42, 16.7633, 16.7633) * CHOOSE(CONTROL!$C$21, $C$9, 100%, $E$9)</f>
        <v>16.763300000000001</v>
      </c>
      <c r="T3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7">
        <f>(1000*CHOOSE(CONTROL!$C$42, 695, 695)*CHOOSE(CONTROL!$C$42, 0.5599, 0.5599)*CHOOSE(CONTROL!$C$42, 31, 31))/1000000</f>
        <v>12.063045499999998</v>
      </c>
      <c r="V361" s="57">
        <f>(1000*CHOOSE(CONTROL!$C$42, 500, 500)*CHOOSE(CONTROL!$C$42, 0.275, 0.275)*CHOOSE(CONTROL!$C$42, 31, 31))/1000000</f>
        <v>4.2625000000000002</v>
      </c>
      <c r="W361" s="57">
        <f>(1000*CHOOSE(CONTROL!$C$42, 0.1146, 0.1146)*CHOOSE(CONTROL!$C$42, 121.5, 121.5)*CHOOSE(CONTROL!$C$42, 31, 31))/1000000</f>
        <v>0.43164089999999994</v>
      </c>
      <c r="X361" s="57">
        <f>(31*0.1790888*100000/1000000)+(31*0.2374*100000/1000000)</f>
        <v>1.2911152800000001</v>
      </c>
      <c r="Y361" s="57"/>
      <c r="Z361" s="14"/>
      <c r="AA361" s="56"/>
      <c r="AB361" s="50">
        <f>(B361*122.58+C361*297.941+D361*89.177+E361*40.302+F361*40+G361*160+H361*0+I361*100+J361*300)/(122.58+297.941+89.177+40.302+0+40+160+100+300)</f>
        <v>17.472874023826087</v>
      </c>
      <c r="AC361" s="45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17.159400000000002</v>
      </c>
    </row>
    <row r="362" spans="1:29" ht="15.75" x14ac:dyDescent="0.25">
      <c r="A362" s="33">
        <v>51925</v>
      </c>
      <c r="B362" s="14">
        <f>CHOOSE(CONTROL!$C$42, 17.7648, 17.7648) * CHOOSE(CONTROL!$C$21, $C$9, 100%, $E$9)</f>
        <v>17.764800000000001</v>
      </c>
      <c r="C362" s="14">
        <f>CHOOSE(CONTROL!$C$42, 17.7699, 17.7699) * CHOOSE(CONTROL!$C$21, $C$9, 100%, $E$9)</f>
        <v>17.7699</v>
      </c>
      <c r="D362" s="14">
        <f>CHOOSE(CONTROL!$C$42, 17.8467, 17.8467) * CHOOSE(CONTROL!$C$21, $C$9, 100%, $E$9)</f>
        <v>17.846699999999998</v>
      </c>
      <c r="E362" s="14">
        <f>CHOOSE(CONTROL!$C$42, 17.8808, 17.8808) * CHOOSE(CONTROL!$C$21, $C$9, 100%, $E$9)</f>
        <v>17.880800000000001</v>
      </c>
      <c r="F362" s="14">
        <f>CHOOSE(CONTROL!$C$42, 17.7651, 17.7651)*CHOOSE(CONTROL!$C$21, $C$9, 100%, $E$9)</f>
        <v>17.7651</v>
      </c>
      <c r="G362" s="14">
        <f>CHOOSE(CONTROL!$C$42, 17.7813, 17.7813)*CHOOSE(CONTROL!$C$21, $C$9, 100%, $E$9)</f>
        <v>17.781300000000002</v>
      </c>
      <c r="H362" s="14">
        <f>CHOOSE(CONTROL!$C$42, 17.87, 17.87) * CHOOSE(CONTROL!$C$21, $C$9, 100%, $E$9)</f>
        <v>17.87</v>
      </c>
      <c r="I362" s="14">
        <f>CHOOSE(CONTROL!$C$42, 17.8385, 17.8385)* CHOOSE(CONTROL!$C$21, $C$9, 100%, $E$9)</f>
        <v>17.8385</v>
      </c>
      <c r="J362" s="14">
        <f>CHOOSE(CONTROL!$C$42, 17.7581, 17.7581)* CHOOSE(CONTROL!$C$21, $C$9, 100%, $E$9)</f>
        <v>17.758099999999999</v>
      </c>
      <c r="K362" s="53">
        <f>CHOOSE(CONTROL!$C$42, 17.8346, 17.8346) * CHOOSE(CONTROL!$C$21, $C$9, 100%, $E$9)</f>
        <v>17.834599999999998</v>
      </c>
      <c r="L362" s="14">
        <f>CHOOSE(CONTROL!$C$42, 18.457, 18.457) * CHOOSE(CONTROL!$C$21, $C$9, 100%, $E$9)</f>
        <v>18.457000000000001</v>
      </c>
      <c r="M362" s="14">
        <f>CHOOSE(CONTROL!$C$42, 17.4019, 17.4019) * CHOOSE(CONTROL!$C$21, $C$9, 100%, $E$9)</f>
        <v>17.401900000000001</v>
      </c>
      <c r="N362" s="14">
        <f>CHOOSE(CONTROL!$C$42, 17.4178, 17.4178) * CHOOSE(CONTROL!$C$21, $C$9, 100%, $E$9)</f>
        <v>17.4178</v>
      </c>
      <c r="O362" s="14">
        <f>CHOOSE(CONTROL!$C$42, 17.5116, 17.5116) * CHOOSE(CONTROL!$C$21, $C$9, 100%, $E$9)</f>
        <v>17.511600000000001</v>
      </c>
      <c r="P362" s="14">
        <f>CHOOSE(CONTROL!$C$42, 17.4797, 17.4797) * CHOOSE(CONTROL!$C$21, $C$9, 100%, $E$9)</f>
        <v>17.479700000000001</v>
      </c>
      <c r="Q362" s="14">
        <f>CHOOSE(CONTROL!$C$42, 18.1063, 18.1063) * CHOOSE(CONTROL!$C$21, $C$9, 100%, $E$9)</f>
        <v>18.106300000000001</v>
      </c>
      <c r="R362" s="14">
        <f>CHOOSE(CONTROL!$C$42, 18.7385, 18.7385) * CHOOSE(CONTROL!$C$21, $C$9, 100%, $E$9)</f>
        <v>18.738499999999998</v>
      </c>
      <c r="S362" s="14">
        <f>CHOOSE(CONTROL!$C$42, 17.0617, 17.0617) * CHOOSE(CONTROL!$C$21, $C$9, 100%, $E$9)</f>
        <v>17.061699999999998</v>
      </c>
      <c r="T3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7">
        <f>(1000*CHOOSE(CONTROL!$C$42, 695, 695)*CHOOSE(CONTROL!$C$42, 0.5599, 0.5599)*CHOOSE(CONTROL!$C$42, 28, 28))/1000000</f>
        <v>10.895653999999999</v>
      </c>
      <c r="V362" s="57">
        <f>(1000*CHOOSE(CONTROL!$C$42, 500, 500)*CHOOSE(CONTROL!$C$42, 0.275, 0.275)*CHOOSE(CONTROL!$C$42, 28, 28))/1000000</f>
        <v>3.85</v>
      </c>
      <c r="W362" s="57">
        <f>(1000*CHOOSE(CONTROL!$C$42, 0.1146, 0.1146)*CHOOSE(CONTROL!$C$42, 121.5, 121.5)*CHOOSE(CONTROL!$C$42, 28, 28))/1000000</f>
        <v>0.38986920000000003</v>
      </c>
      <c r="X362" s="57">
        <f>(28*0.1790888*100000/1000000)+(28*0.2374*100000/1000000)</f>
        <v>1.16616864</v>
      </c>
      <c r="Y362" s="57"/>
      <c r="Z362" s="14"/>
      <c r="AA362" s="56"/>
      <c r="AB362" s="50">
        <f>(B362*122.58+C362*297.941+D362*89.177+E362*40.302+F362*40+G362*160+H362*0+I362*100+J362*300)/(122.58+297.941+89.177+40.302+0+40+160+100+300)</f>
        <v>17.783504458608693</v>
      </c>
      <c r="AC362" s="45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17.463729496402877</v>
      </c>
    </row>
    <row r="363" spans="1:29" ht="15.75" x14ac:dyDescent="0.25">
      <c r="A363" s="33">
        <v>51956</v>
      </c>
      <c r="B363" s="14">
        <f>CHOOSE(CONTROL!$C$42, 17.2608, 17.2608) * CHOOSE(CONTROL!$C$21, $C$9, 100%, $E$9)</f>
        <v>17.2608</v>
      </c>
      <c r="C363" s="14">
        <f>CHOOSE(CONTROL!$C$42, 17.2658, 17.2658) * CHOOSE(CONTROL!$C$21, $C$9, 100%, $E$9)</f>
        <v>17.265799999999999</v>
      </c>
      <c r="D363" s="14">
        <f>CHOOSE(CONTROL!$C$42, 17.3426, 17.3426) * CHOOSE(CONTROL!$C$21, $C$9, 100%, $E$9)</f>
        <v>17.342600000000001</v>
      </c>
      <c r="E363" s="14">
        <f>CHOOSE(CONTROL!$C$42, 17.3767, 17.3767) * CHOOSE(CONTROL!$C$21, $C$9, 100%, $E$9)</f>
        <v>17.3767</v>
      </c>
      <c r="F363" s="14">
        <f>CHOOSE(CONTROL!$C$42, 17.2606, 17.2606)*CHOOSE(CONTROL!$C$21, $C$9, 100%, $E$9)</f>
        <v>17.2606</v>
      </c>
      <c r="G363" s="14">
        <f>CHOOSE(CONTROL!$C$42, 17.2767, 17.2767)*CHOOSE(CONTROL!$C$21, $C$9, 100%, $E$9)</f>
        <v>17.276700000000002</v>
      </c>
      <c r="H363" s="14">
        <f>CHOOSE(CONTROL!$C$42, 17.3659, 17.3659) * CHOOSE(CONTROL!$C$21, $C$9, 100%, $E$9)</f>
        <v>17.3659</v>
      </c>
      <c r="I363" s="14">
        <f>CHOOSE(CONTROL!$C$42, 17.3329, 17.3329)* CHOOSE(CONTROL!$C$21, $C$9, 100%, $E$9)</f>
        <v>17.332899999999999</v>
      </c>
      <c r="J363" s="14">
        <f>CHOOSE(CONTROL!$C$42, 17.2536, 17.2536)* CHOOSE(CONTROL!$C$21, $C$9, 100%, $E$9)</f>
        <v>17.253599999999999</v>
      </c>
      <c r="K363" s="53">
        <f>CHOOSE(CONTROL!$C$42, 17.329, 17.329) * CHOOSE(CONTROL!$C$21, $C$9, 100%, $E$9)</f>
        <v>17.329000000000001</v>
      </c>
      <c r="L363" s="14">
        <f>CHOOSE(CONTROL!$C$42, 17.9529, 17.9529) * CHOOSE(CONTROL!$C$21, $C$9, 100%, $E$9)</f>
        <v>17.9529</v>
      </c>
      <c r="M363" s="14">
        <f>CHOOSE(CONTROL!$C$42, 16.9077, 16.9077) * CHOOSE(CONTROL!$C$21, $C$9, 100%, $E$9)</f>
        <v>16.907699999999998</v>
      </c>
      <c r="N363" s="14">
        <f>CHOOSE(CONTROL!$C$42, 16.9235, 16.9235) * CHOOSE(CONTROL!$C$21, $C$9, 100%, $E$9)</f>
        <v>16.923500000000001</v>
      </c>
      <c r="O363" s="14">
        <f>CHOOSE(CONTROL!$C$42, 17.0178, 17.0178) * CHOOSE(CONTROL!$C$21, $C$9, 100%, $E$9)</f>
        <v>17.017800000000001</v>
      </c>
      <c r="P363" s="14">
        <f>CHOOSE(CONTROL!$C$42, 16.9844, 16.9844) * CHOOSE(CONTROL!$C$21, $C$9, 100%, $E$9)</f>
        <v>16.984400000000001</v>
      </c>
      <c r="Q363" s="14">
        <f>CHOOSE(CONTROL!$C$42, 17.6125, 17.6125) * CHOOSE(CONTROL!$C$21, $C$9, 100%, $E$9)</f>
        <v>17.612500000000001</v>
      </c>
      <c r="R363" s="14">
        <f>CHOOSE(CONTROL!$C$42, 18.2436, 18.2436) * CHOOSE(CONTROL!$C$21, $C$9, 100%, $E$9)</f>
        <v>18.243600000000001</v>
      </c>
      <c r="S363" s="14">
        <f>CHOOSE(CONTROL!$C$42, 16.5773, 16.5773) * CHOOSE(CONTROL!$C$21, $C$9, 100%, $E$9)</f>
        <v>16.577300000000001</v>
      </c>
      <c r="T3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7">
        <f>(1000*CHOOSE(CONTROL!$C$42, 695, 695)*CHOOSE(CONTROL!$C$42, 0.5599, 0.5599)*CHOOSE(CONTROL!$C$42, 31, 31))/1000000</f>
        <v>12.063045499999998</v>
      </c>
      <c r="V363" s="57">
        <f>(1000*CHOOSE(CONTROL!$C$42, 500, 500)*CHOOSE(CONTROL!$C$42, 0.275, 0.275)*CHOOSE(CONTROL!$C$42, 31, 31))/1000000</f>
        <v>4.2625000000000002</v>
      </c>
      <c r="W363" s="57">
        <f>(1000*CHOOSE(CONTROL!$C$42, 0.1146, 0.1146)*CHOOSE(CONTROL!$C$42, 121.5, 121.5)*CHOOSE(CONTROL!$C$42, 31, 31))/1000000</f>
        <v>0.43164089999999994</v>
      </c>
      <c r="X363" s="57">
        <f>(31*0.1790888*100000/1000000)+(31*0.2374*100000/1000000)</f>
        <v>1.2911152800000001</v>
      </c>
      <c r="Y363" s="57"/>
      <c r="Z363" s="14"/>
      <c r="AA363" s="56"/>
      <c r="AB363" s="50">
        <f>(B363*122.58+C363*297.941+D363*89.177+E363*40.302+F363*40+G363*160+H363*0+I363*100+J363*300)/(122.58+297.941+89.177+40.302+0+40+160+100+300)</f>
        <v>17.279096856869565</v>
      </c>
      <c r="AC363" s="45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16.969546762589928</v>
      </c>
    </row>
    <row r="364" spans="1:29" ht="15.75" x14ac:dyDescent="0.25">
      <c r="A364" s="33">
        <v>51986</v>
      </c>
      <c r="B364" s="14">
        <f>CHOOSE(CONTROL!$C$42, 17.2103, 17.2103) * CHOOSE(CONTROL!$C$21, $C$9, 100%, $E$9)</f>
        <v>17.2103</v>
      </c>
      <c r="C364" s="14">
        <f>CHOOSE(CONTROL!$C$42, 17.2148, 17.2148) * CHOOSE(CONTROL!$C$21, $C$9, 100%, $E$9)</f>
        <v>17.2148</v>
      </c>
      <c r="D364" s="14">
        <f>CHOOSE(CONTROL!$C$42, 17.4516, 17.4516) * CHOOSE(CONTROL!$C$21, $C$9, 100%, $E$9)</f>
        <v>17.451599999999999</v>
      </c>
      <c r="E364" s="14">
        <f>CHOOSE(CONTROL!$C$42, 17.4837, 17.4837) * CHOOSE(CONTROL!$C$21, $C$9, 100%, $E$9)</f>
        <v>17.483699999999999</v>
      </c>
      <c r="F364" s="14">
        <f>CHOOSE(CONTROL!$C$42, 17.2083, 17.2083)*CHOOSE(CONTROL!$C$21, $C$9, 100%, $E$9)</f>
        <v>17.208300000000001</v>
      </c>
      <c r="G364" s="14">
        <f>CHOOSE(CONTROL!$C$42, 17.2241, 17.2241)*CHOOSE(CONTROL!$C$21, $C$9, 100%, $E$9)</f>
        <v>17.2241</v>
      </c>
      <c r="H364" s="14">
        <f>CHOOSE(CONTROL!$C$42, 17.4735, 17.4735) * CHOOSE(CONTROL!$C$21, $C$9, 100%, $E$9)</f>
        <v>17.473500000000001</v>
      </c>
      <c r="I364" s="14">
        <f>CHOOSE(CONTROL!$C$42, 17.2815, 17.2815)* CHOOSE(CONTROL!$C$21, $C$9, 100%, $E$9)</f>
        <v>17.281500000000001</v>
      </c>
      <c r="J364" s="14">
        <f>CHOOSE(CONTROL!$C$42, 17.2013, 17.2013)* CHOOSE(CONTROL!$C$21, $C$9, 100%, $E$9)</f>
        <v>17.2013</v>
      </c>
      <c r="K364" s="53">
        <f>CHOOSE(CONTROL!$C$42, 17.2776, 17.2776) * CHOOSE(CONTROL!$C$21, $C$9, 100%, $E$9)</f>
        <v>17.2776</v>
      </c>
      <c r="L364" s="14">
        <f>CHOOSE(CONTROL!$C$42, 18.0605, 18.0605) * CHOOSE(CONTROL!$C$21, $C$9, 100%, $E$9)</f>
        <v>18.060500000000001</v>
      </c>
      <c r="M364" s="14">
        <f>CHOOSE(CONTROL!$C$42, 16.8565, 16.8565) * CHOOSE(CONTROL!$C$21, $C$9, 100%, $E$9)</f>
        <v>16.8565</v>
      </c>
      <c r="N364" s="14">
        <f>CHOOSE(CONTROL!$C$42, 16.872, 16.872) * CHOOSE(CONTROL!$C$21, $C$9, 100%, $E$9)</f>
        <v>16.872</v>
      </c>
      <c r="O364" s="14">
        <f>CHOOSE(CONTROL!$C$42, 17.1231, 17.1231) * CHOOSE(CONTROL!$C$21, $C$9, 100%, $E$9)</f>
        <v>17.123100000000001</v>
      </c>
      <c r="P364" s="14">
        <f>CHOOSE(CONTROL!$C$42, 16.9341, 16.9341) * CHOOSE(CONTROL!$C$21, $C$9, 100%, $E$9)</f>
        <v>16.934100000000001</v>
      </c>
      <c r="Q364" s="14">
        <f>CHOOSE(CONTROL!$C$42, 17.7178, 17.7178) * CHOOSE(CONTROL!$C$21, $C$9, 100%, $E$9)</f>
        <v>17.7178</v>
      </c>
      <c r="R364" s="14">
        <f>CHOOSE(CONTROL!$C$42, 18.3491, 18.3491) * CHOOSE(CONTROL!$C$21, $C$9, 100%, $E$9)</f>
        <v>18.3491</v>
      </c>
      <c r="S364" s="14">
        <f>CHOOSE(CONTROL!$C$42, 16.5281, 16.5281) * CHOOSE(CONTROL!$C$21, $C$9, 100%, $E$9)</f>
        <v>16.528099999999998</v>
      </c>
      <c r="T3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7">
        <f>(1000*CHOOSE(CONTROL!$C$42, 695, 695)*CHOOSE(CONTROL!$C$42, 0.5599, 0.5599)*CHOOSE(CONTROL!$C$42, 30, 30))/1000000</f>
        <v>11.673914999999997</v>
      </c>
      <c r="V364" s="57">
        <f>(1000*CHOOSE(CONTROL!$C$42, 500, 500)*CHOOSE(CONTROL!$C$42, 0.275, 0.275)*CHOOSE(CONTROL!$C$42, 30, 30))/1000000</f>
        <v>4.125</v>
      </c>
      <c r="W364" s="57">
        <f>(1000*CHOOSE(CONTROL!$C$42, 0.1146, 0.1146)*CHOOSE(CONTROL!$C$42, 121.5, 121.5)*CHOOSE(CONTROL!$C$42, 30, 30))/1000000</f>
        <v>0.417717</v>
      </c>
      <c r="X364" s="57">
        <f>(30*0.1790888*245000/1000000)+(30*0.2374*100000/1000000)</f>
        <v>2.0285026799999999</v>
      </c>
      <c r="Y364" s="57"/>
      <c r="Z364" s="14"/>
      <c r="AA364" s="56"/>
      <c r="AB364" s="50">
        <f>(B364*141.293+C364*267.993+D364*115.016+E364*89.698+F364*40+G364*185+H364*0+I364*100+J364*300)/(141.293+267.993+115.016+89.698+0+40+185+100+300)</f>
        <v>17.25902942897498</v>
      </c>
      <c r="AC364" s="45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16.946035251798563</v>
      </c>
    </row>
    <row r="365" spans="1:29" ht="15.75" x14ac:dyDescent="0.25">
      <c r="A365" s="33">
        <v>52017</v>
      </c>
      <c r="B365" s="14">
        <f>CHOOSE(CONTROL!$C$42, 17.3635, 17.3635) * CHOOSE(CONTROL!$C$21, $C$9, 100%, $E$9)</f>
        <v>17.363499999999998</v>
      </c>
      <c r="C365" s="14">
        <f>CHOOSE(CONTROL!$C$42, 17.3716, 17.3716) * CHOOSE(CONTROL!$C$21, $C$9, 100%, $E$9)</f>
        <v>17.371600000000001</v>
      </c>
      <c r="D365" s="14">
        <f>CHOOSE(CONTROL!$C$42, 17.6052, 17.6052) * CHOOSE(CONTROL!$C$21, $C$9, 100%, $E$9)</f>
        <v>17.6052</v>
      </c>
      <c r="E365" s="14">
        <f>CHOOSE(CONTROL!$C$42, 17.6366, 17.6366) * CHOOSE(CONTROL!$C$21, $C$9, 100%, $E$9)</f>
        <v>17.636600000000001</v>
      </c>
      <c r="F365" s="14">
        <f>CHOOSE(CONTROL!$C$42, 17.3603, 17.3603)*CHOOSE(CONTROL!$C$21, $C$9, 100%, $E$9)</f>
        <v>17.360299999999999</v>
      </c>
      <c r="G365" s="14">
        <f>CHOOSE(CONTROL!$C$42, 17.3767, 17.3767)*CHOOSE(CONTROL!$C$21, $C$9, 100%, $E$9)</f>
        <v>17.3767</v>
      </c>
      <c r="H365" s="14">
        <f>CHOOSE(CONTROL!$C$42, 17.6253, 17.6253) * CHOOSE(CONTROL!$C$21, $C$9, 100%, $E$9)</f>
        <v>17.625299999999999</v>
      </c>
      <c r="I365" s="14">
        <f>CHOOSE(CONTROL!$C$42, 17.4338, 17.4338)* CHOOSE(CONTROL!$C$21, $C$9, 100%, $E$9)</f>
        <v>17.433800000000002</v>
      </c>
      <c r="J365" s="14">
        <f>CHOOSE(CONTROL!$C$42, 17.3533, 17.3533)* CHOOSE(CONTROL!$C$21, $C$9, 100%, $E$9)</f>
        <v>17.353300000000001</v>
      </c>
      <c r="K365" s="53">
        <f>CHOOSE(CONTROL!$C$42, 17.4299, 17.4299) * CHOOSE(CONTROL!$C$21, $C$9, 100%, $E$9)</f>
        <v>17.4299</v>
      </c>
      <c r="L365" s="14">
        <f>CHOOSE(CONTROL!$C$42, 18.2123, 18.2123) * CHOOSE(CONTROL!$C$21, $C$9, 100%, $E$9)</f>
        <v>18.212299999999999</v>
      </c>
      <c r="M365" s="14">
        <f>CHOOSE(CONTROL!$C$42, 17.0055, 17.0055) * CHOOSE(CONTROL!$C$21, $C$9, 100%, $E$9)</f>
        <v>17.005500000000001</v>
      </c>
      <c r="N365" s="14">
        <f>CHOOSE(CONTROL!$C$42, 17.0215, 17.0215) * CHOOSE(CONTROL!$C$21, $C$9, 100%, $E$9)</f>
        <v>17.0215</v>
      </c>
      <c r="O365" s="14">
        <f>CHOOSE(CONTROL!$C$42, 17.2718, 17.2718) * CHOOSE(CONTROL!$C$21, $C$9, 100%, $E$9)</f>
        <v>17.271799999999999</v>
      </c>
      <c r="P365" s="14">
        <f>CHOOSE(CONTROL!$C$42, 17.0833, 17.0833) * CHOOSE(CONTROL!$C$21, $C$9, 100%, $E$9)</f>
        <v>17.083300000000001</v>
      </c>
      <c r="Q365" s="14">
        <f>CHOOSE(CONTROL!$C$42, 17.8665, 17.8665) * CHOOSE(CONTROL!$C$21, $C$9, 100%, $E$9)</f>
        <v>17.866499999999998</v>
      </c>
      <c r="R365" s="14">
        <f>CHOOSE(CONTROL!$C$42, 18.4982, 18.4982) * CHOOSE(CONTROL!$C$21, $C$9, 100%, $E$9)</f>
        <v>18.498200000000001</v>
      </c>
      <c r="S365" s="14">
        <f>CHOOSE(CONTROL!$C$42, 16.674, 16.674) * CHOOSE(CONTROL!$C$21, $C$9, 100%, $E$9)</f>
        <v>16.673999999999999</v>
      </c>
      <c r="T3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7">
        <f>(1000*CHOOSE(CONTROL!$C$42, 695, 695)*CHOOSE(CONTROL!$C$42, 0.5599, 0.5599)*CHOOSE(CONTROL!$C$42, 31, 31))/1000000</f>
        <v>12.063045499999998</v>
      </c>
      <c r="V365" s="57">
        <f>(1000*CHOOSE(CONTROL!$C$42, 500, 500)*CHOOSE(CONTROL!$C$42, 0.275, 0.275)*CHOOSE(CONTROL!$C$42, 31, 31))/1000000</f>
        <v>4.2625000000000002</v>
      </c>
      <c r="W365" s="57">
        <f>(1000*CHOOSE(CONTROL!$C$42, 0.1146, 0.1146)*CHOOSE(CONTROL!$C$42, 121.5, 121.5)*CHOOSE(CONTROL!$C$42, 31, 31))/1000000</f>
        <v>0.43164089999999994</v>
      </c>
      <c r="X365" s="57">
        <f>(31*0.1790888*245000/1000000)+(31*0.2374*100000/1000000)</f>
        <v>2.0961194359999999</v>
      </c>
      <c r="Y365" s="57"/>
      <c r="Z365" s="14"/>
      <c r="AA365" s="56"/>
      <c r="AB365" s="50">
        <f>(B365*194.205+C365*267.466+D365*133.845+E365*53.484+F365*40+G365*185+H365*0+I365*100+J365*300)/(194.205+267.466+133.845+53.484+0+40+185+100+300)</f>
        <v>17.406990809654634</v>
      </c>
      <c r="AC365" s="45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17.095094964028778</v>
      </c>
    </row>
    <row r="366" spans="1:29" ht="15.75" x14ac:dyDescent="0.25">
      <c r="A366" s="33">
        <v>52047</v>
      </c>
      <c r="B366" s="14">
        <f>CHOOSE(CONTROL!$C$42, 17.8557, 17.8557) * CHOOSE(CONTROL!$C$21, $C$9, 100%, $E$9)</f>
        <v>17.855699999999999</v>
      </c>
      <c r="C366" s="14">
        <f>CHOOSE(CONTROL!$C$42, 17.8638, 17.8638) * CHOOSE(CONTROL!$C$21, $C$9, 100%, $E$9)</f>
        <v>17.863800000000001</v>
      </c>
      <c r="D366" s="14">
        <f>CHOOSE(CONTROL!$C$42, 18.0974, 18.0974) * CHOOSE(CONTROL!$C$21, $C$9, 100%, $E$9)</f>
        <v>18.0974</v>
      </c>
      <c r="E366" s="14">
        <f>CHOOSE(CONTROL!$C$42, 18.1288, 18.1288) * CHOOSE(CONTROL!$C$21, $C$9, 100%, $E$9)</f>
        <v>18.128799999999998</v>
      </c>
      <c r="F366" s="14">
        <f>CHOOSE(CONTROL!$C$42, 17.853, 17.853)*CHOOSE(CONTROL!$C$21, $C$9, 100%, $E$9)</f>
        <v>17.853000000000002</v>
      </c>
      <c r="G366" s="14">
        <f>CHOOSE(CONTROL!$C$42, 17.8695, 17.8695)*CHOOSE(CONTROL!$C$21, $C$9, 100%, $E$9)</f>
        <v>17.869499999999999</v>
      </c>
      <c r="H366" s="14">
        <f>CHOOSE(CONTROL!$C$42, 18.1174, 18.1174) * CHOOSE(CONTROL!$C$21, $C$9, 100%, $E$9)</f>
        <v>18.1174</v>
      </c>
      <c r="I366" s="14">
        <f>CHOOSE(CONTROL!$C$42, 17.9275, 17.9275)* CHOOSE(CONTROL!$C$21, $C$9, 100%, $E$9)</f>
        <v>17.927499999999998</v>
      </c>
      <c r="J366" s="14">
        <f>CHOOSE(CONTROL!$C$42, 17.846, 17.846)* CHOOSE(CONTROL!$C$21, $C$9, 100%, $E$9)</f>
        <v>17.846</v>
      </c>
      <c r="K366" s="53">
        <f>CHOOSE(CONTROL!$C$42, 17.9236, 17.9236) * CHOOSE(CONTROL!$C$21, $C$9, 100%, $E$9)</f>
        <v>17.9236</v>
      </c>
      <c r="L366" s="14">
        <f>CHOOSE(CONTROL!$C$42, 18.7044, 18.7044) * CHOOSE(CONTROL!$C$21, $C$9, 100%, $E$9)</f>
        <v>18.7044</v>
      </c>
      <c r="M366" s="14">
        <f>CHOOSE(CONTROL!$C$42, 17.488, 17.488) * CHOOSE(CONTROL!$C$21, $C$9, 100%, $E$9)</f>
        <v>17.488</v>
      </c>
      <c r="N366" s="14">
        <f>CHOOSE(CONTROL!$C$42, 17.5042, 17.5042) * CHOOSE(CONTROL!$C$21, $C$9, 100%, $E$9)</f>
        <v>17.504200000000001</v>
      </c>
      <c r="O366" s="14">
        <f>CHOOSE(CONTROL!$C$42, 17.7539, 17.7539) * CHOOSE(CONTROL!$C$21, $C$9, 100%, $E$9)</f>
        <v>17.753900000000002</v>
      </c>
      <c r="P366" s="14">
        <f>CHOOSE(CONTROL!$C$42, 17.5669, 17.5669) * CHOOSE(CONTROL!$C$21, $C$9, 100%, $E$9)</f>
        <v>17.5669</v>
      </c>
      <c r="Q366" s="14">
        <f>CHOOSE(CONTROL!$C$42, 18.3486, 18.3486) * CHOOSE(CONTROL!$C$21, $C$9, 100%, $E$9)</f>
        <v>18.348600000000001</v>
      </c>
      <c r="R366" s="14">
        <f>CHOOSE(CONTROL!$C$42, 18.9815, 18.9815) * CHOOSE(CONTROL!$C$21, $C$9, 100%, $E$9)</f>
        <v>18.9815</v>
      </c>
      <c r="S366" s="14">
        <f>CHOOSE(CONTROL!$C$42, 17.1469, 17.1469) * CHOOSE(CONTROL!$C$21, $C$9, 100%, $E$9)</f>
        <v>17.146899999999999</v>
      </c>
      <c r="T3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7">
        <f>(1000*CHOOSE(CONTROL!$C$42, 695, 695)*CHOOSE(CONTROL!$C$42, 0.5599, 0.5599)*CHOOSE(CONTROL!$C$42, 30, 30))/1000000</f>
        <v>11.673914999999997</v>
      </c>
      <c r="V366" s="57">
        <f>(1000*CHOOSE(CONTROL!$C$42, 500, 500)*CHOOSE(CONTROL!$C$42, 0.275, 0.275)*CHOOSE(CONTROL!$C$42, 30, 30))/1000000</f>
        <v>4.125</v>
      </c>
      <c r="W366" s="57">
        <f>(1000*CHOOSE(CONTROL!$C$42, 0.1146, 0.1146)*CHOOSE(CONTROL!$C$42, 121.5, 121.5)*CHOOSE(CONTROL!$C$42, 30, 30))/1000000</f>
        <v>0.417717</v>
      </c>
      <c r="X366" s="57">
        <f>(30*0.1790888*245000/1000000)+(30*0.2374*100000/1000000)</f>
        <v>2.0285026799999999</v>
      </c>
      <c r="Y366" s="57"/>
      <c r="Z366" s="14"/>
      <c r="AA366" s="56"/>
      <c r="AB366" s="50">
        <f>(B366*194.205+C366*267.466+D366*133.845+E366*53.484+F366*40+G366*185+H366*0+I366*100+J366*300)/(194.205+267.466+133.845+53.484+0+40+185+100+300)</f>
        <v>17.899529114207219</v>
      </c>
      <c r="AC366" s="45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17.577687050359714</v>
      </c>
    </row>
    <row r="367" spans="1:29" ht="15.75" x14ac:dyDescent="0.25">
      <c r="A367" s="33">
        <v>52078</v>
      </c>
      <c r="B367" s="14">
        <f>CHOOSE(CONTROL!$C$42, 17.5134, 17.5134) * CHOOSE(CONTROL!$C$21, $C$9, 100%, $E$9)</f>
        <v>17.513400000000001</v>
      </c>
      <c r="C367" s="14">
        <f>CHOOSE(CONTROL!$C$42, 17.5214, 17.5214) * CHOOSE(CONTROL!$C$21, $C$9, 100%, $E$9)</f>
        <v>17.5214</v>
      </c>
      <c r="D367" s="14">
        <f>CHOOSE(CONTROL!$C$42, 17.755, 17.755) * CHOOSE(CONTROL!$C$21, $C$9, 100%, $E$9)</f>
        <v>17.754999999999999</v>
      </c>
      <c r="E367" s="14">
        <f>CHOOSE(CONTROL!$C$42, 17.7865, 17.7865) * CHOOSE(CONTROL!$C$21, $C$9, 100%, $E$9)</f>
        <v>17.7865</v>
      </c>
      <c r="F367" s="14">
        <f>CHOOSE(CONTROL!$C$42, 17.5112, 17.5112)*CHOOSE(CONTROL!$C$21, $C$9, 100%, $E$9)</f>
        <v>17.511199999999999</v>
      </c>
      <c r="G367" s="14">
        <f>CHOOSE(CONTROL!$C$42, 17.5278, 17.5278)*CHOOSE(CONTROL!$C$21, $C$9, 100%, $E$9)</f>
        <v>17.527799999999999</v>
      </c>
      <c r="H367" s="14">
        <f>CHOOSE(CONTROL!$C$42, 17.7751, 17.7751) * CHOOSE(CONTROL!$C$21, $C$9, 100%, $E$9)</f>
        <v>17.775099999999998</v>
      </c>
      <c r="I367" s="14">
        <f>CHOOSE(CONTROL!$C$42, 17.5841, 17.5841)* CHOOSE(CONTROL!$C$21, $C$9, 100%, $E$9)</f>
        <v>17.584099999999999</v>
      </c>
      <c r="J367" s="14">
        <f>CHOOSE(CONTROL!$C$42, 17.5042, 17.5042)* CHOOSE(CONTROL!$C$21, $C$9, 100%, $E$9)</f>
        <v>17.504200000000001</v>
      </c>
      <c r="K367" s="53">
        <f>CHOOSE(CONTROL!$C$42, 17.5803, 17.5803) * CHOOSE(CONTROL!$C$21, $C$9, 100%, $E$9)</f>
        <v>17.580300000000001</v>
      </c>
      <c r="L367" s="14">
        <f>CHOOSE(CONTROL!$C$42, 18.3621, 18.3621) * CHOOSE(CONTROL!$C$21, $C$9, 100%, $E$9)</f>
        <v>18.362100000000002</v>
      </c>
      <c r="M367" s="14">
        <f>CHOOSE(CONTROL!$C$42, 17.1532, 17.1532) * CHOOSE(CONTROL!$C$21, $C$9, 100%, $E$9)</f>
        <v>17.153199999999998</v>
      </c>
      <c r="N367" s="14">
        <f>CHOOSE(CONTROL!$C$42, 17.1695, 17.1695) * CHOOSE(CONTROL!$C$21, $C$9, 100%, $E$9)</f>
        <v>17.169499999999999</v>
      </c>
      <c r="O367" s="14">
        <f>CHOOSE(CONTROL!$C$42, 17.4186, 17.4186) * CHOOSE(CONTROL!$C$21, $C$9, 100%, $E$9)</f>
        <v>17.418600000000001</v>
      </c>
      <c r="P367" s="14">
        <f>CHOOSE(CONTROL!$C$42, 17.2305, 17.2305) * CHOOSE(CONTROL!$C$21, $C$9, 100%, $E$9)</f>
        <v>17.230499999999999</v>
      </c>
      <c r="Q367" s="14">
        <f>CHOOSE(CONTROL!$C$42, 18.0133, 18.0133) * CHOOSE(CONTROL!$C$21, $C$9, 100%, $E$9)</f>
        <v>18.013300000000001</v>
      </c>
      <c r="R367" s="14">
        <f>CHOOSE(CONTROL!$C$42, 18.6454, 18.6454) * CHOOSE(CONTROL!$C$21, $C$9, 100%, $E$9)</f>
        <v>18.645399999999999</v>
      </c>
      <c r="S367" s="14">
        <f>CHOOSE(CONTROL!$C$42, 16.818, 16.818) * CHOOSE(CONTROL!$C$21, $C$9, 100%, $E$9)</f>
        <v>16.818000000000001</v>
      </c>
      <c r="T3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7">
        <f>(1000*CHOOSE(CONTROL!$C$42, 695, 695)*CHOOSE(CONTROL!$C$42, 0.5599, 0.5599)*CHOOSE(CONTROL!$C$42, 31, 31))/1000000</f>
        <v>12.063045499999998</v>
      </c>
      <c r="V367" s="57">
        <f>(1000*CHOOSE(CONTROL!$C$42, 500, 500)*CHOOSE(CONTROL!$C$42, 0.275, 0.275)*CHOOSE(CONTROL!$C$42, 31, 31))/1000000</f>
        <v>4.2625000000000002</v>
      </c>
      <c r="W367" s="57">
        <f>(1000*CHOOSE(CONTROL!$C$42, 0.1146, 0.1146)*CHOOSE(CONTROL!$C$42, 121.5, 121.5)*CHOOSE(CONTROL!$C$42, 31, 31))/1000000</f>
        <v>0.43164089999999994</v>
      </c>
      <c r="X367" s="57">
        <f>(31*0.1790888*245000/1000000)+(31*0.2374*100000/1000000)</f>
        <v>2.0961194359999999</v>
      </c>
      <c r="Y367" s="57"/>
      <c r="Z367" s="14"/>
      <c r="AA367" s="56"/>
      <c r="AB367" s="50">
        <f>(B367*194.205+C367*267.466+D367*133.845+E367*53.484+F367*40+G367*185+H367*0+I367*100+J367*300)/(194.205+267.466+133.845+53.484+0+40+185+100+300)</f>
        <v>17.557331837048665</v>
      </c>
      <c r="AC367" s="45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17.242539568345322</v>
      </c>
    </row>
    <row r="368" spans="1:29" ht="15.75" x14ac:dyDescent="0.25">
      <c r="A368" s="33">
        <v>52109</v>
      </c>
      <c r="B368" s="14">
        <f>CHOOSE(CONTROL!$C$42, 16.6489, 16.6489) * CHOOSE(CONTROL!$C$21, $C$9, 100%, $E$9)</f>
        <v>16.648900000000001</v>
      </c>
      <c r="C368" s="14">
        <f>CHOOSE(CONTROL!$C$42, 16.657, 16.657) * CHOOSE(CONTROL!$C$21, $C$9, 100%, $E$9)</f>
        <v>16.657</v>
      </c>
      <c r="D368" s="14">
        <f>CHOOSE(CONTROL!$C$42, 16.8906, 16.8906) * CHOOSE(CONTROL!$C$21, $C$9, 100%, $E$9)</f>
        <v>16.890599999999999</v>
      </c>
      <c r="E368" s="14">
        <f>CHOOSE(CONTROL!$C$42, 16.922, 16.922) * CHOOSE(CONTROL!$C$21, $C$9, 100%, $E$9)</f>
        <v>16.922000000000001</v>
      </c>
      <c r="F368" s="14">
        <f>CHOOSE(CONTROL!$C$42, 16.6469, 16.6469)*CHOOSE(CONTROL!$C$21, $C$9, 100%, $E$9)</f>
        <v>16.646899999999999</v>
      </c>
      <c r="G368" s="14">
        <f>CHOOSE(CONTROL!$C$42, 16.6636, 16.6636)*CHOOSE(CONTROL!$C$21, $C$9, 100%, $E$9)</f>
        <v>16.663599999999999</v>
      </c>
      <c r="H368" s="14">
        <f>CHOOSE(CONTROL!$C$42, 16.9107, 16.9107) * CHOOSE(CONTROL!$C$21, $C$9, 100%, $E$9)</f>
        <v>16.910699999999999</v>
      </c>
      <c r="I368" s="14">
        <f>CHOOSE(CONTROL!$C$42, 16.717, 16.717)* CHOOSE(CONTROL!$C$21, $C$9, 100%, $E$9)</f>
        <v>16.716999999999999</v>
      </c>
      <c r="J368" s="14">
        <f>CHOOSE(CONTROL!$C$42, 16.6399, 16.6399)* CHOOSE(CONTROL!$C$21, $C$9, 100%, $E$9)</f>
        <v>16.639900000000001</v>
      </c>
      <c r="K368" s="53">
        <f>CHOOSE(CONTROL!$C$42, 16.7131, 16.7131) * CHOOSE(CONTROL!$C$21, $C$9, 100%, $E$9)</f>
        <v>16.713100000000001</v>
      </c>
      <c r="L368" s="14">
        <f>CHOOSE(CONTROL!$C$42, 17.4977, 17.4977) * CHOOSE(CONTROL!$C$21, $C$9, 100%, $E$9)</f>
        <v>17.497699999999998</v>
      </c>
      <c r="M368" s="14">
        <f>CHOOSE(CONTROL!$C$42, 16.3067, 16.3067) * CHOOSE(CONTROL!$C$21, $C$9, 100%, $E$9)</f>
        <v>16.306699999999999</v>
      </c>
      <c r="N368" s="14">
        <f>CHOOSE(CONTROL!$C$42, 16.323, 16.323) * CHOOSE(CONTROL!$C$21, $C$9, 100%, $E$9)</f>
        <v>16.323</v>
      </c>
      <c r="O368" s="14">
        <f>CHOOSE(CONTROL!$C$42, 16.5719, 16.5719) * CHOOSE(CONTROL!$C$21, $C$9, 100%, $E$9)</f>
        <v>16.571899999999999</v>
      </c>
      <c r="P368" s="14">
        <f>CHOOSE(CONTROL!$C$42, 16.3812, 16.3812) * CHOOSE(CONTROL!$C$21, $C$9, 100%, $E$9)</f>
        <v>16.3812</v>
      </c>
      <c r="Q368" s="14">
        <f>CHOOSE(CONTROL!$C$42, 17.1666, 17.1666) * CHOOSE(CONTROL!$C$21, $C$9, 100%, $E$9)</f>
        <v>17.166599999999999</v>
      </c>
      <c r="R368" s="14">
        <f>CHOOSE(CONTROL!$C$42, 17.7965, 17.7965) * CHOOSE(CONTROL!$C$21, $C$9, 100%, $E$9)</f>
        <v>17.796500000000002</v>
      </c>
      <c r="S368" s="14">
        <f>CHOOSE(CONTROL!$C$42, 15.9873, 15.9873) * CHOOSE(CONTROL!$C$21, $C$9, 100%, $E$9)</f>
        <v>15.987299999999999</v>
      </c>
      <c r="T3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7">
        <f>(1000*CHOOSE(CONTROL!$C$42, 695, 695)*CHOOSE(CONTROL!$C$42, 0.5599, 0.5599)*CHOOSE(CONTROL!$C$42, 31, 31))/1000000</f>
        <v>12.063045499999998</v>
      </c>
      <c r="V368" s="57">
        <f>(1000*CHOOSE(CONTROL!$C$42, 500, 500)*CHOOSE(CONTROL!$C$42, 0.275, 0.275)*CHOOSE(CONTROL!$C$42, 31, 31))/1000000</f>
        <v>4.2625000000000002</v>
      </c>
      <c r="W368" s="57">
        <f>(1000*CHOOSE(CONTROL!$C$42, 0.1146, 0.1146)*CHOOSE(CONTROL!$C$42, 121.5, 121.5)*CHOOSE(CONTROL!$C$42, 31, 31))/1000000</f>
        <v>0.43164089999999994</v>
      </c>
      <c r="X368" s="57">
        <f>(31*0.1790888*245000/1000000)+(31*0.2374*100000/1000000)</f>
        <v>2.0961194359999999</v>
      </c>
      <c r="Y368" s="57"/>
      <c r="Z368" s="14"/>
      <c r="AA368" s="56"/>
      <c r="AB368" s="50">
        <f>(B368*194.205+C368*267.466+D368*133.845+E368*53.484+F368*40+G368*185+H368*0+I368*100+J368*300)/(194.205+267.466+133.845+53.484+0+40+185+100+300)</f>
        <v>16.692756194270018</v>
      </c>
      <c r="AC368" s="45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16.395580575539572</v>
      </c>
    </row>
    <row r="369" spans="1:29" ht="15.75" x14ac:dyDescent="0.25">
      <c r="A369" s="33">
        <v>52139</v>
      </c>
      <c r="B369" s="14">
        <f>CHOOSE(CONTROL!$C$42, 15.5923, 15.5923) * CHOOSE(CONTROL!$C$21, $C$9, 100%, $E$9)</f>
        <v>15.5923</v>
      </c>
      <c r="C369" s="14">
        <f>CHOOSE(CONTROL!$C$42, 15.6003, 15.6003) * CHOOSE(CONTROL!$C$21, $C$9, 100%, $E$9)</f>
        <v>15.600300000000001</v>
      </c>
      <c r="D369" s="14">
        <f>CHOOSE(CONTROL!$C$42, 15.8339, 15.8339) * CHOOSE(CONTROL!$C$21, $C$9, 100%, $E$9)</f>
        <v>15.8339</v>
      </c>
      <c r="E369" s="14">
        <f>CHOOSE(CONTROL!$C$42, 15.8654, 15.8654) * CHOOSE(CONTROL!$C$21, $C$9, 100%, $E$9)</f>
        <v>15.865399999999999</v>
      </c>
      <c r="F369" s="14">
        <f>CHOOSE(CONTROL!$C$42, 15.5903, 15.5903)*CHOOSE(CONTROL!$C$21, $C$9, 100%, $E$9)</f>
        <v>15.590299999999999</v>
      </c>
      <c r="G369" s="14">
        <f>CHOOSE(CONTROL!$C$42, 15.6069, 15.6069)*CHOOSE(CONTROL!$C$21, $C$9, 100%, $E$9)</f>
        <v>15.6069</v>
      </c>
      <c r="H369" s="14">
        <f>CHOOSE(CONTROL!$C$42, 15.854, 15.854) * CHOOSE(CONTROL!$C$21, $C$9, 100%, $E$9)</f>
        <v>15.853999999999999</v>
      </c>
      <c r="I369" s="14">
        <f>CHOOSE(CONTROL!$C$42, 15.657, 15.657)* CHOOSE(CONTROL!$C$21, $C$9, 100%, $E$9)</f>
        <v>15.657</v>
      </c>
      <c r="J369" s="14">
        <f>CHOOSE(CONTROL!$C$42, 15.5833, 15.5833)* CHOOSE(CONTROL!$C$21, $C$9, 100%, $E$9)</f>
        <v>15.583299999999999</v>
      </c>
      <c r="K369" s="53">
        <f>CHOOSE(CONTROL!$C$42, 15.6531, 15.6531) * CHOOSE(CONTROL!$C$21, $C$9, 100%, $E$9)</f>
        <v>15.6531</v>
      </c>
      <c r="L369" s="14">
        <f>CHOOSE(CONTROL!$C$42, 16.441, 16.441) * CHOOSE(CONTROL!$C$21, $C$9, 100%, $E$9)</f>
        <v>16.440999999999999</v>
      </c>
      <c r="M369" s="14">
        <f>CHOOSE(CONTROL!$C$42, 15.2717, 15.2717) * CHOOSE(CONTROL!$C$21, $C$9, 100%, $E$9)</f>
        <v>15.271699999999999</v>
      </c>
      <c r="N369" s="14">
        <f>CHOOSE(CONTROL!$C$42, 15.288, 15.288) * CHOOSE(CONTROL!$C$21, $C$9, 100%, $E$9)</f>
        <v>15.288</v>
      </c>
      <c r="O369" s="14">
        <f>CHOOSE(CONTROL!$C$42, 15.5368, 15.5368) * CHOOSE(CONTROL!$C$21, $C$9, 100%, $E$9)</f>
        <v>15.536799999999999</v>
      </c>
      <c r="P369" s="14">
        <f>CHOOSE(CONTROL!$C$42, 15.343, 15.343) * CHOOSE(CONTROL!$C$21, $C$9, 100%, $E$9)</f>
        <v>15.343</v>
      </c>
      <c r="Q369" s="14">
        <f>CHOOSE(CONTROL!$C$42, 16.1315, 16.1315) * CHOOSE(CONTROL!$C$21, $C$9, 100%, $E$9)</f>
        <v>16.131499999999999</v>
      </c>
      <c r="R369" s="14">
        <f>CHOOSE(CONTROL!$C$42, 16.7589, 16.7589) * CHOOSE(CONTROL!$C$21, $C$9, 100%, $E$9)</f>
        <v>16.758900000000001</v>
      </c>
      <c r="S369" s="14">
        <f>CHOOSE(CONTROL!$C$42, 14.972, 14.972) * CHOOSE(CONTROL!$C$21, $C$9, 100%, $E$9)</f>
        <v>14.972</v>
      </c>
      <c r="T3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7">
        <f>(1000*CHOOSE(CONTROL!$C$42, 695, 695)*CHOOSE(CONTROL!$C$42, 0.5599, 0.5599)*CHOOSE(CONTROL!$C$42, 30, 30))/1000000</f>
        <v>11.673914999999997</v>
      </c>
      <c r="V369" s="57">
        <f>(1000*CHOOSE(CONTROL!$C$42, 500, 500)*CHOOSE(CONTROL!$C$42, 0.275, 0.275)*CHOOSE(CONTROL!$C$42, 30, 30))/1000000</f>
        <v>4.125</v>
      </c>
      <c r="W369" s="57">
        <f>(1000*CHOOSE(CONTROL!$C$42, 0.1146, 0.1146)*CHOOSE(CONTROL!$C$42, 121.5, 121.5)*CHOOSE(CONTROL!$C$42, 30, 30))/1000000</f>
        <v>0.417717</v>
      </c>
      <c r="X369" s="57">
        <f>(30*0.1790888*245000/1000000)+(30*0.2374*100000/1000000)</f>
        <v>2.0285026799999999</v>
      </c>
      <c r="Y369" s="57"/>
      <c r="Z369" s="14"/>
      <c r="AA369" s="56"/>
      <c r="AB369" s="50">
        <f>(B369*194.205+C369*267.466+D369*133.845+E369*53.484+F369*40+G369*185+H369*0+I369*100+J369*300)/(194.205+267.466+133.845+53.484+0+40+185+100+300)</f>
        <v>15.635843297017269</v>
      </c>
      <c r="AC369" s="45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15.360092086330933</v>
      </c>
    </row>
    <row r="370" spans="1:29" ht="15.75" x14ac:dyDescent="0.25">
      <c r="A370" s="33">
        <v>52170</v>
      </c>
      <c r="B370" s="14">
        <f>CHOOSE(CONTROL!$C$42, 15.2742, 15.2742) * CHOOSE(CONTROL!$C$21, $C$9, 100%, $E$9)</f>
        <v>15.2742</v>
      </c>
      <c r="C370" s="14">
        <f>CHOOSE(CONTROL!$C$42, 15.2795, 15.2795) * CHOOSE(CONTROL!$C$21, $C$9, 100%, $E$9)</f>
        <v>15.279500000000001</v>
      </c>
      <c r="D370" s="14">
        <f>CHOOSE(CONTROL!$C$42, 15.518, 15.518) * CHOOSE(CONTROL!$C$21, $C$9, 100%, $E$9)</f>
        <v>15.518000000000001</v>
      </c>
      <c r="E370" s="14">
        <f>CHOOSE(CONTROL!$C$42, 15.5472, 15.5472) * CHOOSE(CONTROL!$C$21, $C$9, 100%, $E$9)</f>
        <v>15.5472</v>
      </c>
      <c r="F370" s="14">
        <f>CHOOSE(CONTROL!$C$42, 15.2742, 15.2742)*CHOOSE(CONTROL!$C$21, $C$9, 100%, $E$9)</f>
        <v>15.2742</v>
      </c>
      <c r="G370" s="14">
        <f>CHOOSE(CONTROL!$C$42, 15.2905, 15.2905)*CHOOSE(CONTROL!$C$21, $C$9, 100%, $E$9)</f>
        <v>15.2905</v>
      </c>
      <c r="H370" s="14">
        <f>CHOOSE(CONTROL!$C$42, 15.5376, 15.5376) * CHOOSE(CONTROL!$C$21, $C$9, 100%, $E$9)</f>
        <v>15.537599999999999</v>
      </c>
      <c r="I370" s="14">
        <f>CHOOSE(CONTROL!$C$42, 15.3396, 15.3396)* CHOOSE(CONTROL!$C$21, $C$9, 100%, $E$9)</f>
        <v>15.339600000000001</v>
      </c>
      <c r="J370" s="14">
        <f>CHOOSE(CONTROL!$C$42, 15.2672, 15.2672)* CHOOSE(CONTROL!$C$21, $C$9, 100%, $E$9)</f>
        <v>15.267200000000001</v>
      </c>
      <c r="K370" s="53">
        <f>CHOOSE(CONTROL!$C$42, 15.3358, 15.3358) * CHOOSE(CONTROL!$C$21, $C$9, 100%, $E$9)</f>
        <v>15.335800000000001</v>
      </c>
      <c r="L370" s="14">
        <f>CHOOSE(CONTROL!$C$42, 16.1246, 16.1246) * CHOOSE(CONTROL!$C$21, $C$9, 100%, $E$9)</f>
        <v>16.124600000000001</v>
      </c>
      <c r="M370" s="14">
        <f>CHOOSE(CONTROL!$C$42, 14.9621, 14.9621) * CHOOSE(CONTROL!$C$21, $C$9, 100%, $E$9)</f>
        <v>14.9621</v>
      </c>
      <c r="N370" s="14">
        <f>CHOOSE(CONTROL!$C$42, 14.978, 14.978) * CHOOSE(CONTROL!$C$21, $C$9, 100%, $E$9)</f>
        <v>14.978</v>
      </c>
      <c r="O370" s="14">
        <f>CHOOSE(CONTROL!$C$42, 15.227, 15.227) * CHOOSE(CONTROL!$C$21, $C$9, 100%, $E$9)</f>
        <v>15.227</v>
      </c>
      <c r="P370" s="14">
        <f>CHOOSE(CONTROL!$C$42, 15.0322, 15.0322) * CHOOSE(CONTROL!$C$21, $C$9, 100%, $E$9)</f>
        <v>15.0322</v>
      </c>
      <c r="Q370" s="14">
        <f>CHOOSE(CONTROL!$C$42, 15.8217, 15.8217) * CHOOSE(CONTROL!$C$21, $C$9, 100%, $E$9)</f>
        <v>15.8217</v>
      </c>
      <c r="R370" s="14">
        <f>CHOOSE(CONTROL!$C$42, 16.4482, 16.4482) * CHOOSE(CONTROL!$C$21, $C$9, 100%, $E$9)</f>
        <v>16.4482</v>
      </c>
      <c r="S370" s="14">
        <f>CHOOSE(CONTROL!$C$42, 14.668, 14.668) * CHOOSE(CONTROL!$C$21, $C$9, 100%, $E$9)</f>
        <v>14.667999999999999</v>
      </c>
      <c r="T3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7">
        <f>(1000*CHOOSE(CONTROL!$C$42, 695, 695)*CHOOSE(CONTROL!$C$42, 0.5599, 0.5599)*CHOOSE(CONTROL!$C$42, 31, 31))/1000000</f>
        <v>12.063045499999998</v>
      </c>
      <c r="V370" s="57">
        <f>(1000*CHOOSE(CONTROL!$C$42, 500, 500)*CHOOSE(CONTROL!$C$42, 0.275, 0.275)*CHOOSE(CONTROL!$C$42, 31, 31))/1000000</f>
        <v>4.2625000000000002</v>
      </c>
      <c r="W370" s="57">
        <f>(1000*CHOOSE(CONTROL!$C$42, 0.1146, 0.1146)*CHOOSE(CONTROL!$C$42, 121.5, 121.5)*CHOOSE(CONTROL!$C$42, 31, 31))/1000000</f>
        <v>0.43164089999999994</v>
      </c>
      <c r="X370" s="57">
        <f>(31*0.1790888*245000/1000000)+(31*0.2374*100000/1000000)</f>
        <v>2.0961194359999999</v>
      </c>
      <c r="Y370" s="57"/>
      <c r="Z370" s="14"/>
      <c r="AA370" s="56"/>
      <c r="AB370" s="50">
        <f>(B370*131.881+C370*277.167+D370*79.08+E370*125.872+F370*40+G370*185+H370*0+I370*100+J370*300)/(131.881+277.167+79.08+125.872+0+40+185+100+300)</f>
        <v>15.324698180064569</v>
      </c>
      <c r="AC370" s="45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15.050171223021581</v>
      </c>
    </row>
    <row r="371" spans="1:29" ht="15.75" x14ac:dyDescent="0.25">
      <c r="A371" s="33">
        <v>52200</v>
      </c>
      <c r="B371" s="14">
        <f>CHOOSE(CONTROL!$C$42, 15.6759, 15.6759) * CHOOSE(CONTROL!$C$21, $C$9, 100%, $E$9)</f>
        <v>15.6759</v>
      </c>
      <c r="C371" s="14">
        <f>CHOOSE(CONTROL!$C$42, 15.6809, 15.6809) * CHOOSE(CONTROL!$C$21, $C$9, 100%, $E$9)</f>
        <v>15.680899999999999</v>
      </c>
      <c r="D371" s="14">
        <f>CHOOSE(CONTROL!$C$42, 15.7552, 15.7552) * CHOOSE(CONTROL!$C$21, $C$9, 100%, $E$9)</f>
        <v>15.7552</v>
      </c>
      <c r="E371" s="14">
        <f>CHOOSE(CONTROL!$C$42, 15.7893, 15.7893) * CHOOSE(CONTROL!$C$21, $C$9, 100%, $E$9)</f>
        <v>15.789300000000001</v>
      </c>
      <c r="F371" s="14">
        <f>CHOOSE(CONTROL!$C$42, 15.6879, 15.6879)*CHOOSE(CONTROL!$C$21, $C$9, 100%, $E$9)</f>
        <v>15.687900000000001</v>
      </c>
      <c r="G371" s="14">
        <f>CHOOSE(CONTROL!$C$42, 15.7045, 15.7045)*CHOOSE(CONTROL!$C$21, $C$9, 100%, $E$9)</f>
        <v>15.704499999999999</v>
      </c>
      <c r="H371" s="14">
        <f>CHOOSE(CONTROL!$C$42, 15.7785, 15.7785) * CHOOSE(CONTROL!$C$21, $C$9, 100%, $E$9)</f>
        <v>15.778499999999999</v>
      </c>
      <c r="I371" s="14">
        <f>CHOOSE(CONTROL!$C$42, 15.7493, 15.7493)* CHOOSE(CONTROL!$C$21, $C$9, 100%, $E$9)</f>
        <v>15.7493</v>
      </c>
      <c r="J371" s="14">
        <f>CHOOSE(CONTROL!$C$42, 15.6809, 15.6809)* CHOOSE(CONTROL!$C$21, $C$9, 100%, $E$9)</f>
        <v>15.680899999999999</v>
      </c>
      <c r="K371" s="53">
        <f>CHOOSE(CONTROL!$C$42, 15.7454, 15.7454) * CHOOSE(CONTROL!$C$21, $C$9, 100%, $E$9)</f>
        <v>15.7454</v>
      </c>
      <c r="L371" s="14">
        <f>CHOOSE(CONTROL!$C$42, 16.3655, 16.3655) * CHOOSE(CONTROL!$C$21, $C$9, 100%, $E$9)</f>
        <v>16.365500000000001</v>
      </c>
      <c r="M371" s="14">
        <f>CHOOSE(CONTROL!$C$42, 15.3673, 15.3673) * CHOOSE(CONTROL!$C$21, $C$9, 100%, $E$9)</f>
        <v>15.3673</v>
      </c>
      <c r="N371" s="14">
        <f>CHOOSE(CONTROL!$C$42, 15.3836, 15.3836) * CHOOSE(CONTROL!$C$21, $C$9, 100%, $E$9)</f>
        <v>15.383599999999999</v>
      </c>
      <c r="O371" s="14">
        <f>CHOOSE(CONTROL!$C$42, 15.4629, 15.4629) * CHOOSE(CONTROL!$C$21, $C$9, 100%, $E$9)</f>
        <v>15.462899999999999</v>
      </c>
      <c r="P371" s="14">
        <f>CHOOSE(CONTROL!$C$42, 15.4334, 15.4334) * CHOOSE(CONTROL!$C$21, $C$9, 100%, $E$9)</f>
        <v>15.433400000000001</v>
      </c>
      <c r="Q371" s="14">
        <f>CHOOSE(CONTROL!$C$42, 16.0576, 16.0576) * CHOOSE(CONTROL!$C$21, $C$9, 100%, $E$9)</f>
        <v>16.057600000000001</v>
      </c>
      <c r="R371" s="14">
        <f>CHOOSE(CONTROL!$C$42, 16.6847, 16.6847) * CHOOSE(CONTROL!$C$21, $C$9, 100%, $E$9)</f>
        <v>16.684699999999999</v>
      </c>
      <c r="S371" s="14">
        <f>CHOOSE(CONTROL!$C$42, 15.0544, 15.0544) * CHOOSE(CONTROL!$C$21, $C$9, 100%, $E$9)</f>
        <v>15.054399999999999</v>
      </c>
      <c r="T3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7">
        <f>(1000*CHOOSE(CONTROL!$C$42, 695, 695)*CHOOSE(CONTROL!$C$42, 0.5599, 0.5599)*CHOOSE(CONTROL!$C$42, 30, 30))/1000000</f>
        <v>11.673914999999997</v>
      </c>
      <c r="V371" s="57">
        <f>(1000*CHOOSE(CONTROL!$C$42, 500, 500)*CHOOSE(CONTROL!$C$42, 0.275, 0.275)*CHOOSE(CONTROL!$C$42, 30, 30))/1000000</f>
        <v>4.125</v>
      </c>
      <c r="W371" s="57">
        <f>(1000*CHOOSE(CONTROL!$C$42, 0.1146, 0.1146)*CHOOSE(CONTROL!$C$42, 121.5, 121.5)*CHOOSE(CONTROL!$C$42, 30, 30))/1000000</f>
        <v>0.417717</v>
      </c>
      <c r="X371" s="57">
        <f>(30*0.1790888*100000/1000000)+(30*0.2374*100000/1000000)</f>
        <v>1.2494664</v>
      </c>
      <c r="Y371" s="57"/>
      <c r="Z371" s="14"/>
      <c r="AA371" s="56"/>
      <c r="AB371" s="50">
        <f>(B371*122.58+C371*297.941+D371*89.177+E371*40.302+F371*40+G371*160+H371*0+I371*100+J371*300)/(122.58+297.941+89.177+40.302+0+40+160+100+300)</f>
        <v>15.699402337304345</v>
      </c>
      <c r="AC371" s="45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15.421078417266186</v>
      </c>
    </row>
    <row r="372" spans="1:29" ht="15.75" x14ac:dyDescent="0.25">
      <c r="A372" s="33">
        <v>52231</v>
      </c>
      <c r="B372" s="14">
        <f>CHOOSE(CONTROL!$C$42, 16.744, 16.744) * CHOOSE(CONTROL!$C$21, $C$9, 100%, $E$9)</f>
        <v>16.744</v>
      </c>
      <c r="C372" s="14">
        <f>CHOOSE(CONTROL!$C$42, 16.749, 16.749) * CHOOSE(CONTROL!$C$21, $C$9, 100%, $E$9)</f>
        <v>16.748999999999999</v>
      </c>
      <c r="D372" s="14">
        <f>CHOOSE(CONTROL!$C$42, 16.8233, 16.8233) * CHOOSE(CONTROL!$C$21, $C$9, 100%, $E$9)</f>
        <v>16.8233</v>
      </c>
      <c r="E372" s="14">
        <f>CHOOSE(CONTROL!$C$42, 16.8574, 16.8574) * CHOOSE(CONTROL!$C$21, $C$9, 100%, $E$9)</f>
        <v>16.857399999999998</v>
      </c>
      <c r="F372" s="14">
        <f>CHOOSE(CONTROL!$C$42, 16.7582, 16.7582)*CHOOSE(CONTROL!$C$21, $C$9, 100%, $E$9)</f>
        <v>16.758199999999999</v>
      </c>
      <c r="G372" s="14">
        <f>CHOOSE(CONTROL!$C$42, 16.7754, 16.7754)*CHOOSE(CONTROL!$C$21, $C$9, 100%, $E$9)</f>
        <v>16.775400000000001</v>
      </c>
      <c r="H372" s="14">
        <f>CHOOSE(CONTROL!$C$42, 16.8466, 16.8466) * CHOOSE(CONTROL!$C$21, $C$9, 100%, $E$9)</f>
        <v>16.846599999999999</v>
      </c>
      <c r="I372" s="14">
        <f>CHOOSE(CONTROL!$C$42, 16.8207, 16.8207)* CHOOSE(CONTROL!$C$21, $C$9, 100%, $E$9)</f>
        <v>16.820699999999999</v>
      </c>
      <c r="J372" s="14">
        <f>CHOOSE(CONTROL!$C$42, 16.7512, 16.7512)* CHOOSE(CONTROL!$C$21, $C$9, 100%, $E$9)</f>
        <v>16.751200000000001</v>
      </c>
      <c r="K372" s="53">
        <f>CHOOSE(CONTROL!$C$42, 16.8169, 16.8169) * CHOOSE(CONTROL!$C$21, $C$9, 100%, $E$9)</f>
        <v>16.8169</v>
      </c>
      <c r="L372" s="14">
        <f>CHOOSE(CONTROL!$C$42, 17.4336, 17.4336) * CHOOSE(CONTROL!$C$21, $C$9, 100%, $E$9)</f>
        <v>17.433599999999998</v>
      </c>
      <c r="M372" s="14">
        <f>CHOOSE(CONTROL!$C$42, 16.4157, 16.4157) * CHOOSE(CONTROL!$C$21, $C$9, 100%, $E$9)</f>
        <v>16.415700000000001</v>
      </c>
      <c r="N372" s="14">
        <f>CHOOSE(CONTROL!$C$42, 16.4325, 16.4325) * CHOOSE(CONTROL!$C$21, $C$9, 100%, $E$9)</f>
        <v>16.432500000000001</v>
      </c>
      <c r="O372" s="14">
        <f>CHOOSE(CONTROL!$C$42, 16.5091, 16.5091) * CHOOSE(CONTROL!$C$21, $C$9, 100%, $E$9)</f>
        <v>16.5091</v>
      </c>
      <c r="P372" s="14">
        <f>CHOOSE(CONTROL!$C$42, 16.4828, 16.4828) * CHOOSE(CONTROL!$C$21, $C$9, 100%, $E$9)</f>
        <v>16.482800000000001</v>
      </c>
      <c r="Q372" s="14">
        <f>CHOOSE(CONTROL!$C$42, 17.1038, 17.1038) * CHOOSE(CONTROL!$C$21, $C$9, 100%, $E$9)</f>
        <v>17.1038</v>
      </c>
      <c r="R372" s="14">
        <f>CHOOSE(CONTROL!$C$42, 17.7335, 17.7335) * CHOOSE(CONTROL!$C$21, $C$9, 100%, $E$9)</f>
        <v>17.733499999999999</v>
      </c>
      <c r="S372" s="14">
        <f>CHOOSE(CONTROL!$C$42, 16.0807, 16.0807) * CHOOSE(CONTROL!$C$21, $C$9, 100%, $E$9)</f>
        <v>16.0807</v>
      </c>
      <c r="T3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7">
        <f>(1000*CHOOSE(CONTROL!$C$42, 695, 695)*CHOOSE(CONTROL!$C$42, 0.5599, 0.5599)*CHOOSE(CONTROL!$C$42, 31, 31))/1000000</f>
        <v>12.063045499999998</v>
      </c>
      <c r="V372" s="57">
        <f>(1000*CHOOSE(CONTROL!$C$42, 500, 500)*CHOOSE(CONTROL!$C$42, 0.275, 0.275)*CHOOSE(CONTROL!$C$42, 31, 31))/1000000</f>
        <v>4.2625000000000002</v>
      </c>
      <c r="W372" s="57">
        <f>(1000*CHOOSE(CONTROL!$C$42, 0.1146, 0.1146)*CHOOSE(CONTROL!$C$42, 121.5, 121.5)*CHOOSE(CONTROL!$C$42, 31, 31))/1000000</f>
        <v>0.43164089999999994</v>
      </c>
      <c r="X372" s="57">
        <f>(31*0.1790888*100000/1000000)+(31*0.2374*100000/1000000)</f>
        <v>1.2911152800000001</v>
      </c>
      <c r="Y372" s="57"/>
      <c r="Z372" s="14"/>
      <c r="AA372" s="56"/>
      <c r="AB372" s="50">
        <f>(B372*122.58+C372*297.941+D372*89.177+E372*40.302+F372*40+G372*160+H372*0+I372*100+J372*300)/(122.58+297.941+89.177+40.302+0+40+160+100+300)</f>
        <v>16.768829293826084</v>
      </c>
      <c r="AC372" s="45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16.468653956834533</v>
      </c>
    </row>
    <row r="373" spans="1:29" ht="15.75" x14ac:dyDescent="0.25">
      <c r="A373" s="33">
        <v>52262</v>
      </c>
      <c r="B373" s="14">
        <f>CHOOSE(CONTROL!$C$42, 18.1313, 18.1313) * CHOOSE(CONTROL!$C$21, $C$9, 100%, $E$9)</f>
        <v>18.1313</v>
      </c>
      <c r="C373" s="14">
        <f>CHOOSE(CONTROL!$C$42, 18.1363, 18.1363) * CHOOSE(CONTROL!$C$21, $C$9, 100%, $E$9)</f>
        <v>18.136299999999999</v>
      </c>
      <c r="D373" s="14">
        <f>CHOOSE(CONTROL!$C$42, 18.2131, 18.2131) * CHOOSE(CONTROL!$C$21, $C$9, 100%, $E$9)</f>
        <v>18.213100000000001</v>
      </c>
      <c r="E373" s="14">
        <f>CHOOSE(CONTROL!$C$42, 18.2472, 18.2472) * CHOOSE(CONTROL!$C$21, $C$9, 100%, $E$9)</f>
        <v>18.247199999999999</v>
      </c>
      <c r="F373" s="14">
        <f>CHOOSE(CONTROL!$C$42, 18.1315, 18.1315)*CHOOSE(CONTROL!$C$21, $C$9, 100%, $E$9)</f>
        <v>18.131499999999999</v>
      </c>
      <c r="G373" s="14">
        <f>CHOOSE(CONTROL!$C$42, 18.1477, 18.1477)*CHOOSE(CONTROL!$C$21, $C$9, 100%, $E$9)</f>
        <v>18.1477</v>
      </c>
      <c r="H373" s="14">
        <f>CHOOSE(CONTROL!$C$42, 18.2364, 18.2364) * CHOOSE(CONTROL!$C$21, $C$9, 100%, $E$9)</f>
        <v>18.2364</v>
      </c>
      <c r="I373" s="14">
        <f>CHOOSE(CONTROL!$C$42, 18.2061, 18.2061)* CHOOSE(CONTROL!$C$21, $C$9, 100%, $E$9)</f>
        <v>18.206099999999999</v>
      </c>
      <c r="J373" s="14">
        <f>CHOOSE(CONTROL!$C$42, 18.1245, 18.1245)* CHOOSE(CONTROL!$C$21, $C$9, 100%, $E$9)</f>
        <v>18.124500000000001</v>
      </c>
      <c r="K373" s="53">
        <f>CHOOSE(CONTROL!$C$42, 18.2022, 18.2022) * CHOOSE(CONTROL!$C$21, $C$9, 100%, $E$9)</f>
        <v>18.202200000000001</v>
      </c>
      <c r="L373" s="14">
        <f>CHOOSE(CONTROL!$C$42, 18.8234, 18.8234) * CHOOSE(CONTROL!$C$21, $C$9, 100%, $E$9)</f>
        <v>18.823399999999999</v>
      </c>
      <c r="M373" s="14">
        <f>CHOOSE(CONTROL!$C$42, 17.7608, 17.7608) * CHOOSE(CONTROL!$C$21, $C$9, 100%, $E$9)</f>
        <v>17.7608</v>
      </c>
      <c r="N373" s="14">
        <f>CHOOSE(CONTROL!$C$42, 17.7767, 17.7767) * CHOOSE(CONTROL!$C$21, $C$9, 100%, $E$9)</f>
        <v>17.776700000000002</v>
      </c>
      <c r="O373" s="14">
        <f>CHOOSE(CONTROL!$C$42, 17.8705, 17.8705) * CHOOSE(CONTROL!$C$21, $C$9, 100%, $E$9)</f>
        <v>17.8705</v>
      </c>
      <c r="P373" s="14">
        <f>CHOOSE(CONTROL!$C$42, 17.8397, 17.8397) * CHOOSE(CONTROL!$C$21, $C$9, 100%, $E$9)</f>
        <v>17.839700000000001</v>
      </c>
      <c r="Q373" s="14">
        <f>CHOOSE(CONTROL!$C$42, 18.4652, 18.4652) * CHOOSE(CONTROL!$C$21, $C$9, 100%, $E$9)</f>
        <v>18.465199999999999</v>
      </c>
      <c r="R373" s="14">
        <f>CHOOSE(CONTROL!$C$42, 19.0983, 19.0983) * CHOOSE(CONTROL!$C$21, $C$9, 100%, $E$9)</f>
        <v>19.098299999999998</v>
      </c>
      <c r="S373" s="14">
        <f>CHOOSE(CONTROL!$C$42, 17.4138, 17.4138) * CHOOSE(CONTROL!$C$21, $C$9, 100%, $E$9)</f>
        <v>17.413799999999998</v>
      </c>
      <c r="T3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7">
        <f>(1000*CHOOSE(CONTROL!$C$42, 695, 695)*CHOOSE(CONTROL!$C$42, 0.5599, 0.5599)*CHOOSE(CONTROL!$C$42, 31, 31))/1000000</f>
        <v>12.063045499999998</v>
      </c>
      <c r="V373" s="57">
        <f>(1000*CHOOSE(CONTROL!$C$42, 500, 500)*CHOOSE(CONTROL!$C$42, 0.275, 0.275)*CHOOSE(CONTROL!$C$42, 31, 31))/1000000</f>
        <v>4.2625000000000002</v>
      </c>
      <c r="W373" s="57">
        <f>(1000*CHOOSE(CONTROL!$C$42, 0.1146, 0.1146)*CHOOSE(CONTROL!$C$42, 121.5, 121.5)*CHOOSE(CONTROL!$C$42, 31, 31))/1000000</f>
        <v>0.43164089999999994</v>
      </c>
      <c r="X373" s="57">
        <f>(31*0.1790888*100000/1000000)+(31*0.2374*100000/1000000)</f>
        <v>1.2911152800000001</v>
      </c>
      <c r="Y373" s="57"/>
      <c r="Z373" s="14"/>
      <c r="AA373" s="56"/>
      <c r="AB373" s="50">
        <f>(B373*122.58+C373*297.941+D373*89.177+E373*40.302+F373*40+G373*160+H373*0+I373*100+J373*300)/(122.58+297.941+89.177+40.302+0+40+160+100+300)</f>
        <v>18.150019465565219</v>
      </c>
      <c r="AC373" s="45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17.822787769784171</v>
      </c>
    </row>
    <row r="374" spans="1:29" ht="15.75" x14ac:dyDescent="0.25">
      <c r="A374" s="33">
        <v>52290</v>
      </c>
      <c r="B374" s="14">
        <f>CHOOSE(CONTROL!$C$42, 18.4538, 18.4538) * CHOOSE(CONTROL!$C$21, $C$9, 100%, $E$9)</f>
        <v>18.453800000000001</v>
      </c>
      <c r="C374" s="14">
        <f>CHOOSE(CONTROL!$C$42, 18.4589, 18.4589) * CHOOSE(CONTROL!$C$21, $C$9, 100%, $E$9)</f>
        <v>18.4589</v>
      </c>
      <c r="D374" s="14">
        <f>CHOOSE(CONTROL!$C$42, 18.5357, 18.5357) * CHOOSE(CONTROL!$C$21, $C$9, 100%, $E$9)</f>
        <v>18.535699999999999</v>
      </c>
      <c r="E374" s="14">
        <f>CHOOSE(CONTROL!$C$42, 18.5698, 18.5698) * CHOOSE(CONTROL!$C$21, $C$9, 100%, $E$9)</f>
        <v>18.569800000000001</v>
      </c>
      <c r="F374" s="14">
        <f>CHOOSE(CONTROL!$C$42, 18.4541, 18.4541)*CHOOSE(CONTROL!$C$21, $C$9, 100%, $E$9)</f>
        <v>18.4541</v>
      </c>
      <c r="G374" s="14">
        <f>CHOOSE(CONTROL!$C$42, 18.4703, 18.4703)*CHOOSE(CONTROL!$C$21, $C$9, 100%, $E$9)</f>
        <v>18.470300000000002</v>
      </c>
      <c r="H374" s="14">
        <f>CHOOSE(CONTROL!$C$42, 18.559, 18.559) * CHOOSE(CONTROL!$C$21, $C$9, 100%, $E$9)</f>
        <v>18.559000000000001</v>
      </c>
      <c r="I374" s="14">
        <f>CHOOSE(CONTROL!$C$42, 18.5297, 18.5297)* CHOOSE(CONTROL!$C$21, $C$9, 100%, $E$9)</f>
        <v>18.529699999999998</v>
      </c>
      <c r="J374" s="14">
        <f>CHOOSE(CONTROL!$C$42, 18.4471, 18.4471)* CHOOSE(CONTROL!$C$21, $C$9, 100%, $E$9)</f>
        <v>18.447099999999999</v>
      </c>
      <c r="K374" s="53">
        <f>CHOOSE(CONTROL!$C$42, 18.5258, 18.5258) * CHOOSE(CONTROL!$C$21, $C$9, 100%, $E$9)</f>
        <v>18.5258</v>
      </c>
      <c r="L374" s="14">
        <f>CHOOSE(CONTROL!$C$42, 19.146, 19.146) * CHOOSE(CONTROL!$C$21, $C$9, 100%, $E$9)</f>
        <v>19.146000000000001</v>
      </c>
      <c r="M374" s="14">
        <f>CHOOSE(CONTROL!$C$42, 18.0768, 18.0768) * CHOOSE(CONTROL!$C$21, $C$9, 100%, $E$9)</f>
        <v>18.076799999999999</v>
      </c>
      <c r="N374" s="14">
        <f>CHOOSE(CONTROL!$C$42, 18.0927, 18.0927) * CHOOSE(CONTROL!$C$21, $C$9, 100%, $E$9)</f>
        <v>18.092700000000001</v>
      </c>
      <c r="O374" s="14">
        <f>CHOOSE(CONTROL!$C$42, 18.1865, 18.1865) * CHOOSE(CONTROL!$C$21, $C$9, 100%, $E$9)</f>
        <v>18.186499999999999</v>
      </c>
      <c r="P374" s="14">
        <f>CHOOSE(CONTROL!$C$42, 18.1566, 18.1566) * CHOOSE(CONTROL!$C$21, $C$9, 100%, $E$9)</f>
        <v>18.156600000000001</v>
      </c>
      <c r="Q374" s="14">
        <f>CHOOSE(CONTROL!$C$42, 18.7812, 18.7812) * CHOOSE(CONTROL!$C$21, $C$9, 100%, $E$9)</f>
        <v>18.781199999999998</v>
      </c>
      <c r="R374" s="14">
        <f>CHOOSE(CONTROL!$C$42, 19.4151, 19.4151) * CHOOSE(CONTROL!$C$21, $C$9, 100%, $E$9)</f>
        <v>19.415099999999999</v>
      </c>
      <c r="S374" s="14">
        <f>CHOOSE(CONTROL!$C$42, 17.7238, 17.7238) * CHOOSE(CONTROL!$C$21, $C$9, 100%, $E$9)</f>
        <v>17.723800000000001</v>
      </c>
      <c r="T3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7">
        <f>(1000*CHOOSE(CONTROL!$C$42, 695, 695)*CHOOSE(CONTROL!$C$42, 0.5599, 0.5599)*CHOOSE(CONTROL!$C$42, 28, 28))/1000000</f>
        <v>10.895653999999999</v>
      </c>
      <c r="V374" s="57">
        <f>(1000*CHOOSE(CONTROL!$C$42, 500, 500)*CHOOSE(CONTROL!$C$42, 0.275, 0.275)*CHOOSE(CONTROL!$C$42, 28, 28))/1000000</f>
        <v>3.85</v>
      </c>
      <c r="W374" s="57">
        <f>(1000*CHOOSE(CONTROL!$C$42, 0.1146, 0.1146)*CHOOSE(CONTROL!$C$42, 121.5, 121.5)*CHOOSE(CONTROL!$C$42, 28, 28))/1000000</f>
        <v>0.38986920000000003</v>
      </c>
      <c r="X374" s="57">
        <f>(28*0.1790888*100000/1000000)+(28*0.2374*100000/1000000)</f>
        <v>1.16616864</v>
      </c>
      <c r="Y374" s="57"/>
      <c r="Z374" s="14"/>
      <c r="AA374" s="56"/>
      <c r="AB374" s="50">
        <f>(B374*122.58+C374*297.941+D374*89.177+E374*40.302+F374*40+G374*160+H374*0+I374*100+J374*300)/(122.58+297.941+89.177+40.302+0+40+160+100+300)</f>
        <v>18.472695762956519</v>
      </c>
      <c r="AC374" s="45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18.138917266187047</v>
      </c>
    </row>
    <row r="375" spans="1:29" ht="15.75" x14ac:dyDescent="0.25">
      <c r="A375" s="33">
        <v>52321</v>
      </c>
      <c r="B375" s="14">
        <f>CHOOSE(CONTROL!$C$42, 17.9302, 17.9302) * CHOOSE(CONTROL!$C$21, $C$9, 100%, $E$9)</f>
        <v>17.930199999999999</v>
      </c>
      <c r="C375" s="14">
        <f>CHOOSE(CONTROL!$C$42, 17.9353, 17.9353) * CHOOSE(CONTROL!$C$21, $C$9, 100%, $E$9)</f>
        <v>17.935300000000002</v>
      </c>
      <c r="D375" s="14">
        <f>CHOOSE(CONTROL!$C$42, 18.0121, 18.0121) * CHOOSE(CONTROL!$C$21, $C$9, 100%, $E$9)</f>
        <v>18.0121</v>
      </c>
      <c r="E375" s="14">
        <f>CHOOSE(CONTROL!$C$42, 18.0462, 18.0462) * CHOOSE(CONTROL!$C$21, $C$9, 100%, $E$9)</f>
        <v>18.046199999999999</v>
      </c>
      <c r="F375" s="14">
        <f>CHOOSE(CONTROL!$C$42, 17.93, 17.93)*CHOOSE(CONTROL!$C$21, $C$9, 100%, $E$9)</f>
        <v>17.93</v>
      </c>
      <c r="G375" s="14">
        <f>CHOOSE(CONTROL!$C$42, 17.9461, 17.9461)*CHOOSE(CONTROL!$C$21, $C$9, 100%, $E$9)</f>
        <v>17.946100000000001</v>
      </c>
      <c r="H375" s="14">
        <f>CHOOSE(CONTROL!$C$42, 18.0354, 18.0354) * CHOOSE(CONTROL!$C$21, $C$9, 100%, $E$9)</f>
        <v>18.035399999999999</v>
      </c>
      <c r="I375" s="14">
        <f>CHOOSE(CONTROL!$C$42, 18.0044, 18.0044)* CHOOSE(CONTROL!$C$21, $C$9, 100%, $E$9)</f>
        <v>18.0044</v>
      </c>
      <c r="J375" s="14">
        <f>CHOOSE(CONTROL!$C$42, 17.923, 17.923)* CHOOSE(CONTROL!$C$21, $C$9, 100%, $E$9)</f>
        <v>17.922999999999998</v>
      </c>
      <c r="K375" s="53">
        <f>CHOOSE(CONTROL!$C$42, 18.0005, 18.0005) * CHOOSE(CONTROL!$C$21, $C$9, 100%, $E$9)</f>
        <v>18.000499999999999</v>
      </c>
      <c r="L375" s="14">
        <f>CHOOSE(CONTROL!$C$42, 18.6224, 18.6224) * CHOOSE(CONTROL!$C$21, $C$9, 100%, $E$9)</f>
        <v>18.622399999999999</v>
      </c>
      <c r="M375" s="14">
        <f>CHOOSE(CONTROL!$C$42, 17.5635, 17.5635) * CHOOSE(CONTROL!$C$21, $C$9, 100%, $E$9)</f>
        <v>17.563500000000001</v>
      </c>
      <c r="N375" s="14">
        <f>CHOOSE(CONTROL!$C$42, 17.5792, 17.5792) * CHOOSE(CONTROL!$C$21, $C$9, 100%, $E$9)</f>
        <v>17.5792</v>
      </c>
      <c r="O375" s="14">
        <f>CHOOSE(CONTROL!$C$42, 17.6736, 17.6736) * CHOOSE(CONTROL!$C$21, $C$9, 100%, $E$9)</f>
        <v>17.6736</v>
      </c>
      <c r="P375" s="14">
        <f>CHOOSE(CONTROL!$C$42, 17.6422, 17.6422) * CHOOSE(CONTROL!$C$21, $C$9, 100%, $E$9)</f>
        <v>17.642199999999999</v>
      </c>
      <c r="Q375" s="14">
        <f>CHOOSE(CONTROL!$C$42, 18.2683, 18.2683) * CHOOSE(CONTROL!$C$21, $C$9, 100%, $E$9)</f>
        <v>18.2683</v>
      </c>
      <c r="R375" s="14">
        <f>CHOOSE(CONTROL!$C$42, 18.9009, 18.9009) * CHOOSE(CONTROL!$C$21, $C$9, 100%, $E$9)</f>
        <v>18.9009</v>
      </c>
      <c r="S375" s="14">
        <f>CHOOSE(CONTROL!$C$42, 17.2206, 17.2206) * CHOOSE(CONTROL!$C$21, $C$9, 100%, $E$9)</f>
        <v>17.220600000000001</v>
      </c>
      <c r="T3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7">
        <f>(1000*CHOOSE(CONTROL!$C$42, 695, 695)*CHOOSE(CONTROL!$C$42, 0.5599, 0.5599)*CHOOSE(CONTROL!$C$42, 31, 31))/1000000</f>
        <v>12.063045499999998</v>
      </c>
      <c r="V375" s="57">
        <f>(1000*CHOOSE(CONTROL!$C$42, 500, 500)*CHOOSE(CONTROL!$C$42, 0.275, 0.275)*CHOOSE(CONTROL!$C$42, 31, 31))/1000000</f>
        <v>4.2625000000000002</v>
      </c>
      <c r="W375" s="57">
        <f>(1000*CHOOSE(CONTROL!$C$42, 0.1146, 0.1146)*CHOOSE(CONTROL!$C$42, 121.5, 121.5)*CHOOSE(CONTROL!$C$42, 31, 31))/1000000</f>
        <v>0.43164089999999994</v>
      </c>
      <c r="X375" s="57">
        <f>(31*0.1790888*100000/1000000)+(31*0.2374*100000/1000000)</f>
        <v>1.2911152800000001</v>
      </c>
      <c r="Y375" s="57"/>
      <c r="Z375" s="14"/>
      <c r="AA375" s="56"/>
      <c r="AB375" s="50">
        <f>(B375*122.58+C375*297.941+D375*89.177+E375*40.302+F375*40+G375*160+H375*0+I375*100+J375*300)/(122.58+297.941+89.177+40.302+0+40+160+100+300)</f>
        <v>17.948716632521741</v>
      </c>
      <c r="AC375" s="45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17.625628776978417</v>
      </c>
    </row>
    <row r="376" spans="1:29" ht="15.75" x14ac:dyDescent="0.25">
      <c r="A376" s="33">
        <v>52351</v>
      </c>
      <c r="B376" s="14">
        <f>CHOOSE(CONTROL!$C$42, 17.8778, 17.8778) * CHOOSE(CONTROL!$C$21, $C$9, 100%, $E$9)</f>
        <v>17.877800000000001</v>
      </c>
      <c r="C376" s="14">
        <f>CHOOSE(CONTROL!$C$42, 17.8823, 17.8823) * CHOOSE(CONTROL!$C$21, $C$9, 100%, $E$9)</f>
        <v>17.882300000000001</v>
      </c>
      <c r="D376" s="14">
        <f>CHOOSE(CONTROL!$C$42, 18.119, 18.119) * CHOOSE(CONTROL!$C$21, $C$9, 100%, $E$9)</f>
        <v>18.119</v>
      </c>
      <c r="E376" s="14">
        <f>CHOOSE(CONTROL!$C$42, 18.1511, 18.1511) * CHOOSE(CONTROL!$C$21, $C$9, 100%, $E$9)</f>
        <v>18.1511</v>
      </c>
      <c r="F376" s="14">
        <f>CHOOSE(CONTROL!$C$42, 17.8757, 17.8757)*CHOOSE(CONTROL!$C$21, $C$9, 100%, $E$9)</f>
        <v>17.875699999999998</v>
      </c>
      <c r="G376" s="14">
        <f>CHOOSE(CONTROL!$C$42, 17.8916, 17.8916)*CHOOSE(CONTROL!$C$21, $C$9, 100%, $E$9)</f>
        <v>17.8916</v>
      </c>
      <c r="H376" s="14">
        <f>CHOOSE(CONTROL!$C$42, 18.1409, 18.1409) * CHOOSE(CONTROL!$C$21, $C$9, 100%, $E$9)</f>
        <v>18.140899999999998</v>
      </c>
      <c r="I376" s="14">
        <f>CHOOSE(CONTROL!$C$42, 17.9511, 17.9511)* CHOOSE(CONTROL!$C$21, $C$9, 100%, $E$9)</f>
        <v>17.9511</v>
      </c>
      <c r="J376" s="14">
        <f>CHOOSE(CONTROL!$C$42, 17.8687, 17.8687)* CHOOSE(CONTROL!$C$21, $C$9, 100%, $E$9)</f>
        <v>17.8687</v>
      </c>
      <c r="K376" s="53">
        <f>CHOOSE(CONTROL!$C$42, 17.9472, 17.9472) * CHOOSE(CONTROL!$C$21, $C$9, 100%, $E$9)</f>
        <v>17.947199999999999</v>
      </c>
      <c r="L376" s="14">
        <f>CHOOSE(CONTROL!$C$42, 18.7279, 18.7279) * CHOOSE(CONTROL!$C$21, $C$9, 100%, $E$9)</f>
        <v>18.727900000000002</v>
      </c>
      <c r="M376" s="14">
        <f>CHOOSE(CONTROL!$C$42, 17.5103, 17.5103) * CHOOSE(CONTROL!$C$21, $C$9, 100%, $E$9)</f>
        <v>17.510300000000001</v>
      </c>
      <c r="N376" s="14">
        <f>CHOOSE(CONTROL!$C$42, 17.5258, 17.5258) * CHOOSE(CONTROL!$C$21, $C$9, 100%, $E$9)</f>
        <v>17.5258</v>
      </c>
      <c r="O376" s="14">
        <f>CHOOSE(CONTROL!$C$42, 17.7769, 17.7769) * CHOOSE(CONTROL!$C$21, $C$9, 100%, $E$9)</f>
        <v>17.776900000000001</v>
      </c>
      <c r="P376" s="14">
        <f>CHOOSE(CONTROL!$C$42, 17.5899, 17.5899) * CHOOSE(CONTROL!$C$21, $C$9, 100%, $E$9)</f>
        <v>17.5899</v>
      </c>
      <c r="Q376" s="14">
        <f>CHOOSE(CONTROL!$C$42, 18.3716, 18.3716) * CHOOSE(CONTROL!$C$21, $C$9, 100%, $E$9)</f>
        <v>18.371600000000001</v>
      </c>
      <c r="R376" s="14">
        <f>CHOOSE(CONTROL!$C$42, 19.0045, 19.0045) * CHOOSE(CONTROL!$C$21, $C$9, 100%, $E$9)</f>
        <v>19.0045</v>
      </c>
      <c r="S376" s="14">
        <f>CHOOSE(CONTROL!$C$42, 17.1695, 17.1695) * CHOOSE(CONTROL!$C$21, $C$9, 100%, $E$9)</f>
        <v>17.169499999999999</v>
      </c>
      <c r="T3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7">
        <f>(1000*CHOOSE(CONTROL!$C$42, 695, 695)*CHOOSE(CONTROL!$C$42, 0.5599, 0.5599)*CHOOSE(CONTROL!$C$42, 30, 30))/1000000</f>
        <v>11.673914999999997</v>
      </c>
      <c r="V376" s="57">
        <f>(1000*CHOOSE(CONTROL!$C$42, 500, 500)*CHOOSE(CONTROL!$C$42, 0.275, 0.275)*CHOOSE(CONTROL!$C$42, 30, 30))/1000000</f>
        <v>4.125</v>
      </c>
      <c r="W376" s="57">
        <f>(1000*CHOOSE(CONTROL!$C$42, 0.1146, 0.1146)*CHOOSE(CONTROL!$C$42, 121.5, 121.5)*CHOOSE(CONTROL!$C$42, 30, 30))/1000000</f>
        <v>0.417717</v>
      </c>
      <c r="X376" s="57">
        <f>(30*0.1790888*245000/1000000)+(30*0.2374*100000/1000000)</f>
        <v>2.0285026799999999</v>
      </c>
      <c r="Y376" s="57"/>
      <c r="Z376" s="14"/>
      <c r="AA376" s="56"/>
      <c r="AB376" s="50">
        <f>(B376*141.293+C376*267.993+D376*115.016+E376*89.698+F376*40+G376*185+H376*0+I376*100+J376*300)/(141.293+267.993+115.016+89.698+0+40+185+100+300)</f>
        <v>17.926654956497174</v>
      </c>
      <c r="AC376" s="45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17.600123021582736</v>
      </c>
    </row>
    <row r="377" spans="1:29" ht="15.75" x14ac:dyDescent="0.25">
      <c r="A377" s="33">
        <v>52382</v>
      </c>
      <c r="B377" s="14">
        <f>CHOOSE(CONTROL!$C$42, 18.0369, 18.0369) * CHOOSE(CONTROL!$C$21, $C$9, 100%, $E$9)</f>
        <v>18.036899999999999</v>
      </c>
      <c r="C377" s="14">
        <f>CHOOSE(CONTROL!$C$42, 18.0449, 18.0449) * CHOOSE(CONTROL!$C$21, $C$9, 100%, $E$9)</f>
        <v>18.044899999999998</v>
      </c>
      <c r="D377" s="14">
        <f>CHOOSE(CONTROL!$C$42, 18.2785, 18.2785) * CHOOSE(CONTROL!$C$21, $C$9, 100%, $E$9)</f>
        <v>18.278500000000001</v>
      </c>
      <c r="E377" s="14">
        <f>CHOOSE(CONTROL!$C$42, 18.31, 18.31) * CHOOSE(CONTROL!$C$21, $C$9, 100%, $E$9)</f>
        <v>18.309999999999999</v>
      </c>
      <c r="F377" s="14">
        <f>CHOOSE(CONTROL!$C$42, 18.0337, 18.0337)*CHOOSE(CONTROL!$C$21, $C$9, 100%, $E$9)</f>
        <v>18.0337</v>
      </c>
      <c r="G377" s="14">
        <f>CHOOSE(CONTROL!$C$42, 18.05, 18.05)*CHOOSE(CONTROL!$C$21, $C$9, 100%, $E$9)</f>
        <v>18.05</v>
      </c>
      <c r="H377" s="14">
        <f>CHOOSE(CONTROL!$C$42, 18.2986, 18.2986) * CHOOSE(CONTROL!$C$21, $C$9, 100%, $E$9)</f>
        <v>18.2986</v>
      </c>
      <c r="I377" s="14">
        <f>CHOOSE(CONTROL!$C$42, 18.1092, 18.1092)* CHOOSE(CONTROL!$C$21, $C$9, 100%, $E$9)</f>
        <v>18.109200000000001</v>
      </c>
      <c r="J377" s="14">
        <f>CHOOSE(CONTROL!$C$42, 18.0267, 18.0267)* CHOOSE(CONTROL!$C$21, $C$9, 100%, $E$9)</f>
        <v>18.026700000000002</v>
      </c>
      <c r="K377" s="53">
        <f>CHOOSE(CONTROL!$C$42, 18.1054, 18.1054) * CHOOSE(CONTROL!$C$21, $C$9, 100%, $E$9)</f>
        <v>18.105399999999999</v>
      </c>
      <c r="L377" s="14">
        <f>CHOOSE(CONTROL!$C$42, 18.8856, 18.8856) * CHOOSE(CONTROL!$C$21, $C$9, 100%, $E$9)</f>
        <v>18.8856</v>
      </c>
      <c r="M377" s="14">
        <f>CHOOSE(CONTROL!$C$42, 17.665, 17.665) * CHOOSE(CONTROL!$C$21, $C$9, 100%, $E$9)</f>
        <v>17.664999999999999</v>
      </c>
      <c r="N377" s="14">
        <f>CHOOSE(CONTROL!$C$42, 17.681, 17.681) * CHOOSE(CONTROL!$C$21, $C$9, 100%, $E$9)</f>
        <v>17.681000000000001</v>
      </c>
      <c r="O377" s="14">
        <f>CHOOSE(CONTROL!$C$42, 17.9314, 17.9314) * CHOOSE(CONTROL!$C$21, $C$9, 100%, $E$9)</f>
        <v>17.9314</v>
      </c>
      <c r="P377" s="14">
        <f>CHOOSE(CONTROL!$C$42, 17.7448, 17.7448) * CHOOSE(CONTROL!$C$21, $C$9, 100%, $E$9)</f>
        <v>17.744800000000001</v>
      </c>
      <c r="Q377" s="14">
        <f>CHOOSE(CONTROL!$C$42, 18.5261, 18.5261) * CHOOSE(CONTROL!$C$21, $C$9, 100%, $E$9)</f>
        <v>18.5261</v>
      </c>
      <c r="R377" s="14">
        <f>CHOOSE(CONTROL!$C$42, 19.1594, 19.1594) * CHOOSE(CONTROL!$C$21, $C$9, 100%, $E$9)</f>
        <v>19.159400000000002</v>
      </c>
      <c r="S377" s="14">
        <f>CHOOSE(CONTROL!$C$42, 17.321, 17.321) * CHOOSE(CONTROL!$C$21, $C$9, 100%, $E$9)</f>
        <v>17.321000000000002</v>
      </c>
      <c r="T3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7">
        <f>(1000*CHOOSE(CONTROL!$C$42, 695, 695)*CHOOSE(CONTROL!$C$42, 0.5599, 0.5599)*CHOOSE(CONTROL!$C$42, 31, 31))/1000000</f>
        <v>12.063045499999998</v>
      </c>
      <c r="V377" s="57">
        <f>(1000*CHOOSE(CONTROL!$C$42, 500, 500)*CHOOSE(CONTROL!$C$42, 0.275, 0.275)*CHOOSE(CONTROL!$C$42, 31, 31))/1000000</f>
        <v>4.2625000000000002</v>
      </c>
      <c r="W377" s="57">
        <f>(1000*CHOOSE(CONTROL!$C$42, 0.1146, 0.1146)*CHOOSE(CONTROL!$C$42, 121.5, 121.5)*CHOOSE(CONTROL!$C$42, 31, 31))/1000000</f>
        <v>0.43164089999999994</v>
      </c>
      <c r="X377" s="57">
        <f>(31*0.1790888*245000/1000000)+(31*0.2374*100000/1000000)</f>
        <v>2.0961194359999999</v>
      </c>
      <c r="Y377" s="57"/>
      <c r="Z377" s="14"/>
      <c r="AA377" s="56"/>
      <c r="AB377" s="50">
        <f>(B377*194.205+C377*267.466+D377*133.845+E377*53.484+F377*40+G377*185+H377*0+I377*100+J377*300)/(194.205+267.466+133.845+53.484+0+40+185+100+300)</f>
        <v>18.080501774254319</v>
      </c>
      <c r="AC377" s="45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17.754910791366903</v>
      </c>
    </row>
    <row r="378" spans="1:29" ht="15.75" x14ac:dyDescent="0.25">
      <c r="A378" s="33">
        <v>52412</v>
      </c>
      <c r="B378" s="14">
        <f>CHOOSE(CONTROL!$C$42, 18.5482, 18.5482) * CHOOSE(CONTROL!$C$21, $C$9, 100%, $E$9)</f>
        <v>18.548200000000001</v>
      </c>
      <c r="C378" s="14">
        <f>CHOOSE(CONTROL!$C$42, 18.5562, 18.5562) * CHOOSE(CONTROL!$C$21, $C$9, 100%, $E$9)</f>
        <v>18.5562</v>
      </c>
      <c r="D378" s="14">
        <f>CHOOSE(CONTROL!$C$42, 18.7898, 18.7898) * CHOOSE(CONTROL!$C$21, $C$9, 100%, $E$9)</f>
        <v>18.7898</v>
      </c>
      <c r="E378" s="14">
        <f>CHOOSE(CONTROL!$C$42, 18.8213, 18.8213) * CHOOSE(CONTROL!$C$21, $C$9, 100%, $E$9)</f>
        <v>18.821300000000001</v>
      </c>
      <c r="F378" s="14">
        <f>CHOOSE(CONTROL!$C$42, 18.5454, 18.5454)*CHOOSE(CONTROL!$C$21, $C$9, 100%, $E$9)</f>
        <v>18.545400000000001</v>
      </c>
      <c r="G378" s="14">
        <f>CHOOSE(CONTROL!$C$42, 18.5619, 18.5619)*CHOOSE(CONTROL!$C$21, $C$9, 100%, $E$9)</f>
        <v>18.561900000000001</v>
      </c>
      <c r="H378" s="14">
        <f>CHOOSE(CONTROL!$C$42, 18.8099, 18.8099) * CHOOSE(CONTROL!$C$21, $C$9, 100%, $E$9)</f>
        <v>18.809899999999999</v>
      </c>
      <c r="I378" s="14">
        <f>CHOOSE(CONTROL!$C$42, 18.6221, 18.6221)* CHOOSE(CONTROL!$C$21, $C$9, 100%, $E$9)</f>
        <v>18.6221</v>
      </c>
      <c r="J378" s="14">
        <f>CHOOSE(CONTROL!$C$42, 18.5384, 18.5384)* CHOOSE(CONTROL!$C$21, $C$9, 100%, $E$9)</f>
        <v>18.538399999999999</v>
      </c>
      <c r="K378" s="53">
        <f>CHOOSE(CONTROL!$C$42, 18.6182, 18.6182) * CHOOSE(CONTROL!$C$21, $C$9, 100%, $E$9)</f>
        <v>18.618200000000002</v>
      </c>
      <c r="L378" s="14">
        <f>CHOOSE(CONTROL!$C$42, 19.3969, 19.3969) * CHOOSE(CONTROL!$C$21, $C$9, 100%, $E$9)</f>
        <v>19.396899999999999</v>
      </c>
      <c r="M378" s="14">
        <f>CHOOSE(CONTROL!$C$42, 18.1663, 18.1663) * CHOOSE(CONTROL!$C$21, $C$9, 100%, $E$9)</f>
        <v>18.1663</v>
      </c>
      <c r="N378" s="14">
        <f>CHOOSE(CONTROL!$C$42, 18.1824, 18.1824) * CHOOSE(CONTROL!$C$21, $C$9, 100%, $E$9)</f>
        <v>18.182400000000001</v>
      </c>
      <c r="O378" s="14">
        <f>CHOOSE(CONTROL!$C$42, 18.4322, 18.4322) * CHOOSE(CONTROL!$C$21, $C$9, 100%, $E$9)</f>
        <v>18.432200000000002</v>
      </c>
      <c r="P378" s="14">
        <f>CHOOSE(CONTROL!$C$42, 18.2472, 18.2472) * CHOOSE(CONTROL!$C$21, $C$9, 100%, $E$9)</f>
        <v>18.247199999999999</v>
      </c>
      <c r="Q378" s="14">
        <f>CHOOSE(CONTROL!$C$42, 19.0269, 19.0269) * CHOOSE(CONTROL!$C$21, $C$9, 100%, $E$9)</f>
        <v>19.026900000000001</v>
      </c>
      <c r="R378" s="14">
        <f>CHOOSE(CONTROL!$C$42, 19.6614, 19.6614) * CHOOSE(CONTROL!$C$21, $C$9, 100%, $E$9)</f>
        <v>19.6614</v>
      </c>
      <c r="S378" s="14">
        <f>CHOOSE(CONTROL!$C$42, 17.8123, 17.8123) * CHOOSE(CONTROL!$C$21, $C$9, 100%, $E$9)</f>
        <v>17.8123</v>
      </c>
      <c r="T3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7">
        <f>(1000*CHOOSE(CONTROL!$C$42, 695, 695)*CHOOSE(CONTROL!$C$42, 0.5599, 0.5599)*CHOOSE(CONTROL!$C$42, 30, 30))/1000000</f>
        <v>11.673914999999997</v>
      </c>
      <c r="V378" s="57">
        <f>(1000*CHOOSE(CONTROL!$C$42, 500, 500)*CHOOSE(CONTROL!$C$42, 0.275, 0.275)*CHOOSE(CONTROL!$C$42, 30, 30))/1000000</f>
        <v>4.125</v>
      </c>
      <c r="W378" s="57">
        <f>(1000*CHOOSE(CONTROL!$C$42, 0.1146, 0.1146)*CHOOSE(CONTROL!$C$42, 121.5, 121.5)*CHOOSE(CONTROL!$C$42, 30, 30))/1000000</f>
        <v>0.417717</v>
      </c>
      <c r="X378" s="57">
        <f>(30*0.1790888*245000/1000000)+(30*0.2374*100000/1000000)</f>
        <v>2.0285026799999999</v>
      </c>
      <c r="Y378" s="57"/>
      <c r="Z378" s="14"/>
      <c r="AA378" s="56"/>
      <c r="AB378" s="50">
        <f>(B378*194.205+C378*267.466+D378*133.845+E378*53.484+F378*40+G378*185+H378*0+I378*100+J378*300)/(194.205+267.466+133.845+53.484+0+40+185+100+300)</f>
        <v>18.592121240502358</v>
      </c>
      <c r="AC378" s="45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18.256251798561149</v>
      </c>
    </row>
    <row r="379" spans="1:29" ht="15.75" x14ac:dyDescent="0.25">
      <c r="A379" s="33">
        <v>52443</v>
      </c>
      <c r="B379" s="14">
        <f>CHOOSE(CONTROL!$C$42, 18.1926, 18.1926) * CHOOSE(CONTROL!$C$21, $C$9, 100%, $E$9)</f>
        <v>18.192599999999999</v>
      </c>
      <c r="C379" s="14">
        <f>CHOOSE(CONTROL!$C$42, 18.2006, 18.2006) * CHOOSE(CONTROL!$C$21, $C$9, 100%, $E$9)</f>
        <v>18.200600000000001</v>
      </c>
      <c r="D379" s="14">
        <f>CHOOSE(CONTROL!$C$42, 18.4342, 18.4342) * CHOOSE(CONTROL!$C$21, $C$9, 100%, $E$9)</f>
        <v>18.434200000000001</v>
      </c>
      <c r="E379" s="14">
        <f>CHOOSE(CONTROL!$C$42, 18.4656, 18.4656) * CHOOSE(CONTROL!$C$21, $C$9, 100%, $E$9)</f>
        <v>18.465599999999998</v>
      </c>
      <c r="F379" s="14">
        <f>CHOOSE(CONTROL!$C$42, 18.1903, 18.1903)*CHOOSE(CONTROL!$C$21, $C$9, 100%, $E$9)</f>
        <v>18.190300000000001</v>
      </c>
      <c r="G379" s="14">
        <f>CHOOSE(CONTROL!$C$42, 18.207, 18.207)*CHOOSE(CONTROL!$C$21, $C$9, 100%, $E$9)</f>
        <v>18.207000000000001</v>
      </c>
      <c r="H379" s="14">
        <f>CHOOSE(CONTROL!$C$42, 18.4543, 18.4543) * CHOOSE(CONTROL!$C$21, $C$9, 100%, $E$9)</f>
        <v>18.4543</v>
      </c>
      <c r="I379" s="14">
        <f>CHOOSE(CONTROL!$C$42, 18.2654, 18.2654)* CHOOSE(CONTROL!$C$21, $C$9, 100%, $E$9)</f>
        <v>18.2654</v>
      </c>
      <c r="J379" s="14">
        <f>CHOOSE(CONTROL!$C$42, 18.1833, 18.1833)* CHOOSE(CONTROL!$C$21, $C$9, 100%, $E$9)</f>
        <v>18.183299999999999</v>
      </c>
      <c r="K379" s="53">
        <f>CHOOSE(CONTROL!$C$42, 18.2615, 18.2615) * CHOOSE(CONTROL!$C$21, $C$9, 100%, $E$9)</f>
        <v>18.261500000000002</v>
      </c>
      <c r="L379" s="14">
        <f>CHOOSE(CONTROL!$C$42, 19.0413, 19.0413) * CHOOSE(CONTROL!$C$21, $C$9, 100%, $E$9)</f>
        <v>19.0413</v>
      </c>
      <c r="M379" s="14">
        <f>CHOOSE(CONTROL!$C$42, 17.8185, 17.8185) * CHOOSE(CONTROL!$C$21, $C$9, 100%, $E$9)</f>
        <v>17.8185</v>
      </c>
      <c r="N379" s="14">
        <f>CHOOSE(CONTROL!$C$42, 17.8347, 17.8347) * CHOOSE(CONTROL!$C$21, $C$9, 100%, $E$9)</f>
        <v>17.834700000000002</v>
      </c>
      <c r="O379" s="14">
        <f>CHOOSE(CONTROL!$C$42, 18.0839, 18.0839) * CHOOSE(CONTROL!$C$21, $C$9, 100%, $E$9)</f>
        <v>18.0839</v>
      </c>
      <c r="P379" s="14">
        <f>CHOOSE(CONTROL!$C$42, 17.8978, 17.8978) * CHOOSE(CONTROL!$C$21, $C$9, 100%, $E$9)</f>
        <v>17.8978</v>
      </c>
      <c r="Q379" s="14">
        <f>CHOOSE(CONTROL!$C$42, 18.6786, 18.6786) * CHOOSE(CONTROL!$C$21, $C$9, 100%, $E$9)</f>
        <v>18.678599999999999</v>
      </c>
      <c r="R379" s="14">
        <f>CHOOSE(CONTROL!$C$42, 19.3123, 19.3123) * CHOOSE(CONTROL!$C$21, $C$9, 100%, $E$9)</f>
        <v>19.3123</v>
      </c>
      <c r="S379" s="14">
        <f>CHOOSE(CONTROL!$C$42, 17.4706, 17.4706) * CHOOSE(CONTROL!$C$21, $C$9, 100%, $E$9)</f>
        <v>17.470600000000001</v>
      </c>
      <c r="T3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7">
        <f>(1000*CHOOSE(CONTROL!$C$42, 695, 695)*CHOOSE(CONTROL!$C$42, 0.5599, 0.5599)*CHOOSE(CONTROL!$C$42, 31, 31))/1000000</f>
        <v>12.063045499999998</v>
      </c>
      <c r="V379" s="57">
        <f>(1000*CHOOSE(CONTROL!$C$42, 500, 500)*CHOOSE(CONTROL!$C$42, 0.275, 0.275)*CHOOSE(CONTROL!$C$42, 31, 31))/1000000</f>
        <v>4.2625000000000002</v>
      </c>
      <c r="W379" s="57">
        <f>(1000*CHOOSE(CONTROL!$C$42, 0.1146, 0.1146)*CHOOSE(CONTROL!$C$42, 121.5, 121.5)*CHOOSE(CONTROL!$C$42, 31, 31))/1000000</f>
        <v>0.43164089999999994</v>
      </c>
      <c r="X379" s="57">
        <f>(31*0.1790888*245000/1000000)+(31*0.2374*100000/1000000)</f>
        <v>2.0961194359999999</v>
      </c>
      <c r="Y379" s="57"/>
      <c r="Z379" s="14"/>
      <c r="AA379" s="56"/>
      <c r="AB379" s="50">
        <f>(B379*194.205+C379*267.466+D379*133.845+E379*53.484+F379*40+G379*185+H379*0+I379*100+J379*300)/(194.205+267.466+133.845+53.484+0+40+185+100+300)</f>
        <v>18.236665786499216</v>
      </c>
      <c r="AC379" s="45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17.908104316546765</v>
      </c>
    </row>
    <row r="380" spans="1:29" ht="15.75" x14ac:dyDescent="0.25">
      <c r="A380" s="33">
        <v>52474</v>
      </c>
      <c r="B380" s="14">
        <f>CHOOSE(CONTROL!$C$42, 17.2946, 17.2946) * CHOOSE(CONTROL!$C$21, $C$9, 100%, $E$9)</f>
        <v>17.294599999999999</v>
      </c>
      <c r="C380" s="14">
        <f>CHOOSE(CONTROL!$C$42, 17.3026, 17.3026) * CHOOSE(CONTROL!$C$21, $C$9, 100%, $E$9)</f>
        <v>17.302600000000002</v>
      </c>
      <c r="D380" s="14">
        <f>CHOOSE(CONTROL!$C$42, 17.5362, 17.5362) * CHOOSE(CONTROL!$C$21, $C$9, 100%, $E$9)</f>
        <v>17.536200000000001</v>
      </c>
      <c r="E380" s="14">
        <f>CHOOSE(CONTROL!$C$42, 17.5676, 17.5676) * CHOOSE(CONTROL!$C$21, $C$9, 100%, $E$9)</f>
        <v>17.567599999999999</v>
      </c>
      <c r="F380" s="14">
        <f>CHOOSE(CONTROL!$C$42, 17.2925, 17.2925)*CHOOSE(CONTROL!$C$21, $C$9, 100%, $E$9)</f>
        <v>17.2925</v>
      </c>
      <c r="G380" s="14">
        <f>CHOOSE(CONTROL!$C$42, 17.3092, 17.3092)*CHOOSE(CONTROL!$C$21, $C$9, 100%, $E$9)</f>
        <v>17.309200000000001</v>
      </c>
      <c r="H380" s="14">
        <f>CHOOSE(CONTROL!$C$42, 17.5563, 17.5563) * CHOOSE(CONTROL!$C$21, $C$9, 100%, $E$9)</f>
        <v>17.5563</v>
      </c>
      <c r="I380" s="14">
        <f>CHOOSE(CONTROL!$C$42, 17.3646, 17.3646)* CHOOSE(CONTROL!$C$21, $C$9, 100%, $E$9)</f>
        <v>17.364599999999999</v>
      </c>
      <c r="J380" s="14">
        <f>CHOOSE(CONTROL!$C$42, 17.2855, 17.2855)* CHOOSE(CONTROL!$C$21, $C$9, 100%, $E$9)</f>
        <v>17.285499999999999</v>
      </c>
      <c r="K380" s="53">
        <f>CHOOSE(CONTROL!$C$42, 17.3607, 17.3607) * CHOOSE(CONTROL!$C$21, $C$9, 100%, $E$9)</f>
        <v>17.360700000000001</v>
      </c>
      <c r="L380" s="14">
        <f>CHOOSE(CONTROL!$C$42, 18.1433, 18.1433) * CHOOSE(CONTROL!$C$21, $C$9, 100%, $E$9)</f>
        <v>18.1433</v>
      </c>
      <c r="M380" s="14">
        <f>CHOOSE(CONTROL!$C$42, 16.9391, 16.9391) * CHOOSE(CONTROL!$C$21, $C$9, 100%, $E$9)</f>
        <v>16.9391</v>
      </c>
      <c r="N380" s="14">
        <f>CHOOSE(CONTROL!$C$42, 16.9554, 16.9554) * CHOOSE(CONTROL!$C$21, $C$9, 100%, $E$9)</f>
        <v>16.955400000000001</v>
      </c>
      <c r="O380" s="14">
        <f>CHOOSE(CONTROL!$C$42, 17.2042, 17.2042) * CHOOSE(CONTROL!$C$21, $C$9, 100%, $E$9)</f>
        <v>17.2042</v>
      </c>
      <c r="P380" s="14">
        <f>CHOOSE(CONTROL!$C$42, 17.0155, 17.0155) * CHOOSE(CONTROL!$C$21, $C$9, 100%, $E$9)</f>
        <v>17.015499999999999</v>
      </c>
      <c r="Q380" s="14">
        <f>CHOOSE(CONTROL!$C$42, 17.7989, 17.7989) * CHOOSE(CONTROL!$C$21, $C$9, 100%, $E$9)</f>
        <v>17.7989</v>
      </c>
      <c r="R380" s="14">
        <f>CHOOSE(CONTROL!$C$42, 18.4304, 18.4304) * CHOOSE(CONTROL!$C$21, $C$9, 100%, $E$9)</f>
        <v>18.430399999999999</v>
      </c>
      <c r="S380" s="14">
        <f>CHOOSE(CONTROL!$C$42, 16.6077, 16.6077) * CHOOSE(CONTROL!$C$21, $C$9, 100%, $E$9)</f>
        <v>16.607700000000001</v>
      </c>
      <c r="T3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7">
        <f>(1000*CHOOSE(CONTROL!$C$42, 695, 695)*CHOOSE(CONTROL!$C$42, 0.5599, 0.5599)*CHOOSE(CONTROL!$C$42, 31, 31))/1000000</f>
        <v>12.063045499999998</v>
      </c>
      <c r="V380" s="57">
        <f>(1000*CHOOSE(CONTROL!$C$42, 500, 500)*CHOOSE(CONTROL!$C$42, 0.275, 0.275)*CHOOSE(CONTROL!$C$42, 31, 31))/1000000</f>
        <v>4.2625000000000002</v>
      </c>
      <c r="W380" s="57">
        <f>(1000*CHOOSE(CONTROL!$C$42, 0.1146, 0.1146)*CHOOSE(CONTROL!$C$42, 121.5, 121.5)*CHOOSE(CONTROL!$C$42, 31, 31))/1000000</f>
        <v>0.43164089999999994</v>
      </c>
      <c r="X380" s="57">
        <f>(31*0.1790888*245000/1000000)+(31*0.2374*100000/1000000)</f>
        <v>2.0961194359999999</v>
      </c>
      <c r="Y380" s="57"/>
      <c r="Z380" s="14"/>
      <c r="AA380" s="56"/>
      <c r="AB380" s="50">
        <f>(B380*194.205+C380*267.466+D380*133.845+E380*53.484+F380*40+G380*185+H380*0+I380*100+J380*300)/(194.205+267.466+133.845+53.484+0+40+185+100+300)</f>
        <v>17.338528423861856</v>
      </c>
      <c r="AC380" s="45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17.028225899280574</v>
      </c>
    </row>
    <row r="381" spans="1:29" ht="15.75" x14ac:dyDescent="0.25">
      <c r="A381" s="33">
        <v>52504</v>
      </c>
      <c r="B381" s="14">
        <f>CHOOSE(CONTROL!$C$42, 16.1969, 16.1969) * CHOOSE(CONTROL!$C$21, $C$9, 100%, $E$9)</f>
        <v>16.196899999999999</v>
      </c>
      <c r="C381" s="14">
        <f>CHOOSE(CONTROL!$C$42, 16.2049, 16.2049) * CHOOSE(CONTROL!$C$21, $C$9, 100%, $E$9)</f>
        <v>16.204899999999999</v>
      </c>
      <c r="D381" s="14">
        <f>CHOOSE(CONTROL!$C$42, 16.4385, 16.4385) * CHOOSE(CONTROL!$C$21, $C$9, 100%, $E$9)</f>
        <v>16.438500000000001</v>
      </c>
      <c r="E381" s="14">
        <f>CHOOSE(CONTROL!$C$42, 16.47, 16.47) * CHOOSE(CONTROL!$C$21, $C$9, 100%, $E$9)</f>
        <v>16.47</v>
      </c>
      <c r="F381" s="14">
        <f>CHOOSE(CONTROL!$C$42, 16.1949, 16.1949)*CHOOSE(CONTROL!$C$21, $C$9, 100%, $E$9)</f>
        <v>16.194900000000001</v>
      </c>
      <c r="G381" s="14">
        <f>CHOOSE(CONTROL!$C$42, 16.2116, 16.2116)*CHOOSE(CONTROL!$C$21, $C$9, 100%, $E$9)</f>
        <v>16.211600000000001</v>
      </c>
      <c r="H381" s="14">
        <f>CHOOSE(CONTROL!$C$42, 16.4586, 16.4586) * CHOOSE(CONTROL!$C$21, $C$9, 100%, $E$9)</f>
        <v>16.458600000000001</v>
      </c>
      <c r="I381" s="14">
        <f>CHOOSE(CONTROL!$C$42, 16.2635, 16.2635)* CHOOSE(CONTROL!$C$21, $C$9, 100%, $E$9)</f>
        <v>16.263500000000001</v>
      </c>
      <c r="J381" s="14">
        <f>CHOOSE(CONTROL!$C$42, 16.1879, 16.1879)* CHOOSE(CONTROL!$C$21, $C$9, 100%, $E$9)</f>
        <v>16.187899999999999</v>
      </c>
      <c r="K381" s="53">
        <f>CHOOSE(CONTROL!$C$42, 16.2596, 16.2596) * CHOOSE(CONTROL!$C$21, $C$9, 100%, $E$9)</f>
        <v>16.259599999999999</v>
      </c>
      <c r="L381" s="14">
        <f>CHOOSE(CONTROL!$C$42, 17.0456, 17.0456) * CHOOSE(CONTROL!$C$21, $C$9, 100%, $E$9)</f>
        <v>17.0456</v>
      </c>
      <c r="M381" s="14">
        <f>CHOOSE(CONTROL!$C$42, 15.8639, 15.8639) * CHOOSE(CONTROL!$C$21, $C$9, 100%, $E$9)</f>
        <v>15.863899999999999</v>
      </c>
      <c r="N381" s="14">
        <f>CHOOSE(CONTROL!$C$42, 15.8802, 15.8802) * CHOOSE(CONTROL!$C$21, $C$9, 100%, $E$9)</f>
        <v>15.8802</v>
      </c>
      <c r="O381" s="14">
        <f>CHOOSE(CONTROL!$C$42, 16.1291, 16.1291) * CHOOSE(CONTROL!$C$21, $C$9, 100%, $E$9)</f>
        <v>16.129100000000001</v>
      </c>
      <c r="P381" s="14">
        <f>CHOOSE(CONTROL!$C$42, 15.937, 15.937) * CHOOSE(CONTROL!$C$21, $C$9, 100%, $E$9)</f>
        <v>15.936999999999999</v>
      </c>
      <c r="Q381" s="14">
        <f>CHOOSE(CONTROL!$C$42, 16.7238, 16.7238) * CHOOSE(CONTROL!$C$21, $C$9, 100%, $E$9)</f>
        <v>16.723800000000001</v>
      </c>
      <c r="R381" s="14">
        <f>CHOOSE(CONTROL!$C$42, 17.3526, 17.3526) * CHOOSE(CONTROL!$C$21, $C$9, 100%, $E$9)</f>
        <v>17.352599999999999</v>
      </c>
      <c r="S381" s="14">
        <f>CHOOSE(CONTROL!$C$42, 15.553, 15.553) * CHOOSE(CONTROL!$C$21, $C$9, 100%, $E$9)</f>
        <v>15.553000000000001</v>
      </c>
      <c r="T3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7">
        <f>(1000*CHOOSE(CONTROL!$C$42, 695, 695)*CHOOSE(CONTROL!$C$42, 0.5599, 0.5599)*CHOOSE(CONTROL!$C$42, 30, 30))/1000000</f>
        <v>11.673914999999997</v>
      </c>
      <c r="V381" s="57">
        <f>(1000*CHOOSE(CONTROL!$C$42, 500, 500)*CHOOSE(CONTROL!$C$42, 0.275, 0.275)*CHOOSE(CONTROL!$C$42, 30, 30))/1000000</f>
        <v>4.125</v>
      </c>
      <c r="W381" s="57">
        <f>(1000*CHOOSE(CONTROL!$C$42, 0.1146, 0.1146)*CHOOSE(CONTROL!$C$42, 121.5, 121.5)*CHOOSE(CONTROL!$C$42, 30, 30))/1000000</f>
        <v>0.417717</v>
      </c>
      <c r="X381" s="57">
        <f>(30*0.1790888*245000/1000000)+(30*0.2374*100000/1000000)</f>
        <v>2.0285026799999999</v>
      </c>
      <c r="Y381" s="57"/>
      <c r="Z381" s="14"/>
      <c r="AA381" s="56"/>
      <c r="AB381" s="50">
        <f>(B381*194.205+C381*267.466+D381*133.845+E381*53.484+F381*40+G381*185+H381*0+I381*100+J381*300)/(194.205+267.466+133.845+53.484+0+40+185+100+300)</f>
        <v>16.24060695478807</v>
      </c>
      <c r="AC381" s="45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15.952579136690646</v>
      </c>
    </row>
    <row r="382" spans="1:29" ht="15.75" x14ac:dyDescent="0.25">
      <c r="A382" s="33">
        <v>52535</v>
      </c>
      <c r="B382" s="14">
        <f>CHOOSE(CONTROL!$C$42, 15.8665, 15.8665) * CHOOSE(CONTROL!$C$21, $C$9, 100%, $E$9)</f>
        <v>15.8665</v>
      </c>
      <c r="C382" s="14">
        <f>CHOOSE(CONTROL!$C$42, 15.8718, 15.8718) * CHOOSE(CONTROL!$C$21, $C$9, 100%, $E$9)</f>
        <v>15.8718</v>
      </c>
      <c r="D382" s="14">
        <f>CHOOSE(CONTROL!$C$42, 16.1104, 16.1104) * CHOOSE(CONTROL!$C$21, $C$9, 100%, $E$9)</f>
        <v>16.110399999999998</v>
      </c>
      <c r="E382" s="14">
        <f>CHOOSE(CONTROL!$C$42, 16.1395, 16.1395) * CHOOSE(CONTROL!$C$21, $C$9, 100%, $E$9)</f>
        <v>16.139500000000002</v>
      </c>
      <c r="F382" s="14">
        <f>CHOOSE(CONTROL!$C$42, 15.8665, 15.8665)*CHOOSE(CONTROL!$C$21, $C$9, 100%, $E$9)</f>
        <v>15.8665</v>
      </c>
      <c r="G382" s="14">
        <f>CHOOSE(CONTROL!$C$42, 15.8828, 15.8828)*CHOOSE(CONTROL!$C$21, $C$9, 100%, $E$9)</f>
        <v>15.8828</v>
      </c>
      <c r="H382" s="14">
        <f>CHOOSE(CONTROL!$C$42, 16.13, 16.13) * CHOOSE(CONTROL!$C$21, $C$9, 100%, $E$9)</f>
        <v>16.13</v>
      </c>
      <c r="I382" s="14">
        <f>CHOOSE(CONTROL!$C$42, 15.9338, 15.9338)* CHOOSE(CONTROL!$C$21, $C$9, 100%, $E$9)</f>
        <v>15.9338</v>
      </c>
      <c r="J382" s="14">
        <f>CHOOSE(CONTROL!$C$42, 15.8595, 15.8595)* CHOOSE(CONTROL!$C$21, $C$9, 100%, $E$9)</f>
        <v>15.859500000000001</v>
      </c>
      <c r="K382" s="53">
        <f>CHOOSE(CONTROL!$C$42, 15.93, 15.93) * CHOOSE(CONTROL!$C$21, $C$9, 100%, $E$9)</f>
        <v>15.93</v>
      </c>
      <c r="L382" s="14">
        <f>CHOOSE(CONTROL!$C$42, 16.717, 16.717) * CHOOSE(CONTROL!$C$21, $C$9, 100%, $E$9)</f>
        <v>16.716999999999999</v>
      </c>
      <c r="M382" s="14">
        <f>CHOOSE(CONTROL!$C$42, 15.5423, 15.5423) * CHOOSE(CONTROL!$C$21, $C$9, 100%, $E$9)</f>
        <v>15.542299999999999</v>
      </c>
      <c r="N382" s="14">
        <f>CHOOSE(CONTROL!$C$42, 15.5582, 15.5582) * CHOOSE(CONTROL!$C$21, $C$9, 100%, $E$9)</f>
        <v>15.558199999999999</v>
      </c>
      <c r="O382" s="14">
        <f>CHOOSE(CONTROL!$C$42, 15.8072, 15.8072) * CHOOSE(CONTROL!$C$21, $C$9, 100%, $E$9)</f>
        <v>15.8072</v>
      </c>
      <c r="P382" s="14">
        <f>CHOOSE(CONTROL!$C$42, 15.6141, 15.6141) * CHOOSE(CONTROL!$C$21, $C$9, 100%, $E$9)</f>
        <v>15.614100000000001</v>
      </c>
      <c r="Q382" s="14">
        <f>CHOOSE(CONTROL!$C$42, 16.4019, 16.4019) * CHOOSE(CONTROL!$C$21, $C$9, 100%, $E$9)</f>
        <v>16.401900000000001</v>
      </c>
      <c r="R382" s="14">
        <f>CHOOSE(CONTROL!$C$42, 17.0299, 17.0299) * CHOOSE(CONTROL!$C$21, $C$9, 100%, $E$9)</f>
        <v>17.029900000000001</v>
      </c>
      <c r="S382" s="14">
        <f>CHOOSE(CONTROL!$C$42, 15.2372, 15.2372) * CHOOSE(CONTROL!$C$21, $C$9, 100%, $E$9)</f>
        <v>15.2372</v>
      </c>
      <c r="T3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7">
        <f>(1000*CHOOSE(CONTROL!$C$42, 695, 695)*CHOOSE(CONTROL!$C$42, 0.5599, 0.5599)*CHOOSE(CONTROL!$C$42, 31, 31))/1000000</f>
        <v>12.063045499999998</v>
      </c>
      <c r="V382" s="57">
        <f>(1000*CHOOSE(CONTROL!$C$42, 500, 500)*CHOOSE(CONTROL!$C$42, 0.275, 0.275)*CHOOSE(CONTROL!$C$42, 31, 31))/1000000</f>
        <v>4.2625000000000002</v>
      </c>
      <c r="W382" s="57">
        <f>(1000*CHOOSE(CONTROL!$C$42, 0.1146, 0.1146)*CHOOSE(CONTROL!$C$42, 121.5, 121.5)*CHOOSE(CONTROL!$C$42, 31, 31))/1000000</f>
        <v>0.43164089999999994</v>
      </c>
      <c r="X382" s="57">
        <f>(31*0.1790888*245000/1000000)+(31*0.2374*100000/1000000)</f>
        <v>2.0961194359999999</v>
      </c>
      <c r="Y382" s="57"/>
      <c r="Z382" s="14"/>
      <c r="AA382" s="56"/>
      <c r="AB382" s="50">
        <f>(B382*131.881+C382*277.167+D382*79.08+E382*125.872+F382*40+G382*185+H382*0+I382*100+J382*300)/(131.881+277.167+79.08+125.872+0+40+185+100+300)</f>
        <v>15.917157912106537</v>
      </c>
      <c r="AC382" s="45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15.630615827338129</v>
      </c>
    </row>
    <row r="383" spans="1:29" ht="15.75" x14ac:dyDescent="0.25">
      <c r="A383" s="33">
        <v>52565</v>
      </c>
      <c r="B383" s="14">
        <f>CHOOSE(CONTROL!$C$42, 16.2838, 16.2838) * CHOOSE(CONTROL!$C$21, $C$9, 100%, $E$9)</f>
        <v>16.283799999999999</v>
      </c>
      <c r="C383" s="14">
        <f>CHOOSE(CONTROL!$C$42, 16.2889, 16.2889) * CHOOSE(CONTROL!$C$21, $C$9, 100%, $E$9)</f>
        <v>16.288900000000002</v>
      </c>
      <c r="D383" s="14">
        <f>CHOOSE(CONTROL!$C$42, 16.3631, 16.3631) * CHOOSE(CONTROL!$C$21, $C$9, 100%, $E$9)</f>
        <v>16.363099999999999</v>
      </c>
      <c r="E383" s="14">
        <f>CHOOSE(CONTROL!$C$42, 16.3972, 16.3972) * CHOOSE(CONTROL!$C$21, $C$9, 100%, $E$9)</f>
        <v>16.397200000000002</v>
      </c>
      <c r="F383" s="14">
        <f>CHOOSE(CONTROL!$C$42, 16.2959, 16.2959)*CHOOSE(CONTROL!$C$21, $C$9, 100%, $E$9)</f>
        <v>16.2959</v>
      </c>
      <c r="G383" s="14">
        <f>CHOOSE(CONTROL!$C$42, 16.3125, 16.3125)*CHOOSE(CONTROL!$C$21, $C$9, 100%, $E$9)</f>
        <v>16.3125</v>
      </c>
      <c r="H383" s="14">
        <f>CHOOSE(CONTROL!$C$42, 16.3864, 16.3864) * CHOOSE(CONTROL!$C$21, $C$9, 100%, $E$9)</f>
        <v>16.386399999999998</v>
      </c>
      <c r="I383" s="14">
        <f>CHOOSE(CONTROL!$C$42, 16.3591, 16.3591)* CHOOSE(CONTROL!$C$21, $C$9, 100%, $E$9)</f>
        <v>16.359100000000002</v>
      </c>
      <c r="J383" s="14">
        <f>CHOOSE(CONTROL!$C$42, 16.2889, 16.2889)* CHOOSE(CONTROL!$C$21, $C$9, 100%, $E$9)</f>
        <v>16.288900000000002</v>
      </c>
      <c r="K383" s="53">
        <f>CHOOSE(CONTROL!$C$42, 16.3553, 16.3553) * CHOOSE(CONTROL!$C$21, $C$9, 100%, $E$9)</f>
        <v>16.3553</v>
      </c>
      <c r="L383" s="14">
        <f>CHOOSE(CONTROL!$C$42, 16.9734, 16.9734) * CHOOSE(CONTROL!$C$21, $C$9, 100%, $E$9)</f>
        <v>16.973400000000002</v>
      </c>
      <c r="M383" s="14">
        <f>CHOOSE(CONTROL!$C$42, 15.9628, 15.9628) * CHOOSE(CONTROL!$C$21, $C$9, 100%, $E$9)</f>
        <v>15.9628</v>
      </c>
      <c r="N383" s="14">
        <f>CHOOSE(CONTROL!$C$42, 15.9791, 15.9791) * CHOOSE(CONTROL!$C$21, $C$9, 100%, $E$9)</f>
        <v>15.979100000000001</v>
      </c>
      <c r="O383" s="14">
        <f>CHOOSE(CONTROL!$C$42, 16.0584, 16.0584) * CHOOSE(CONTROL!$C$21, $C$9, 100%, $E$9)</f>
        <v>16.058399999999999</v>
      </c>
      <c r="P383" s="14">
        <f>CHOOSE(CONTROL!$C$42, 16.0307, 16.0307) * CHOOSE(CONTROL!$C$21, $C$9, 100%, $E$9)</f>
        <v>16.0307</v>
      </c>
      <c r="Q383" s="14">
        <f>CHOOSE(CONTROL!$C$42, 16.6531, 16.6531) * CHOOSE(CONTROL!$C$21, $C$9, 100%, $E$9)</f>
        <v>16.653099999999998</v>
      </c>
      <c r="R383" s="14">
        <f>CHOOSE(CONTROL!$C$42, 17.2817, 17.2817) * CHOOSE(CONTROL!$C$21, $C$9, 100%, $E$9)</f>
        <v>17.281700000000001</v>
      </c>
      <c r="S383" s="14">
        <f>CHOOSE(CONTROL!$C$42, 15.6386, 15.6386) * CHOOSE(CONTROL!$C$21, $C$9, 100%, $E$9)</f>
        <v>15.6386</v>
      </c>
      <c r="T3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7">
        <f>(1000*CHOOSE(CONTROL!$C$42, 695, 695)*CHOOSE(CONTROL!$C$42, 0.5599, 0.5599)*CHOOSE(CONTROL!$C$42, 30, 30))/1000000</f>
        <v>11.673914999999997</v>
      </c>
      <c r="V383" s="57">
        <f>(1000*CHOOSE(CONTROL!$C$42, 500, 500)*CHOOSE(CONTROL!$C$42, 0.275, 0.275)*CHOOSE(CONTROL!$C$42, 30, 30))/1000000</f>
        <v>4.125</v>
      </c>
      <c r="W383" s="57">
        <f>(1000*CHOOSE(CONTROL!$C$42, 0.1146, 0.1146)*CHOOSE(CONTROL!$C$42, 121.5, 121.5)*CHOOSE(CONTROL!$C$42, 30, 30))/1000000</f>
        <v>0.417717</v>
      </c>
      <c r="X383" s="57">
        <f>(30*0.1790888*100000/1000000)+(30*0.2374*100000/1000000)</f>
        <v>1.2494664</v>
      </c>
      <c r="Y383" s="57"/>
      <c r="Z383" s="14"/>
      <c r="AA383" s="56"/>
      <c r="AB383" s="50">
        <f>(B383*122.58+C383*297.941+D383*89.177+E383*40.302+F383*40+G383*160+H383*0+I383*100+J383*300)/(122.58+297.941+89.177+40.302+0+40+160+100+300)</f>
        <v>16.307536940869564</v>
      </c>
      <c r="AC383" s="45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16.01683741007194</v>
      </c>
    </row>
    <row r="384" spans="1:29" ht="15.75" x14ac:dyDescent="0.25">
      <c r="A384" s="33">
        <v>52596</v>
      </c>
      <c r="B384" s="14">
        <f>CHOOSE(CONTROL!$C$42, 17.3934, 17.3934) * CHOOSE(CONTROL!$C$21, $C$9, 100%, $E$9)</f>
        <v>17.3934</v>
      </c>
      <c r="C384" s="14">
        <f>CHOOSE(CONTROL!$C$42, 17.3984, 17.3984) * CHOOSE(CONTROL!$C$21, $C$9, 100%, $E$9)</f>
        <v>17.398399999999999</v>
      </c>
      <c r="D384" s="14">
        <f>CHOOSE(CONTROL!$C$42, 17.4727, 17.4727) * CHOOSE(CONTROL!$C$21, $C$9, 100%, $E$9)</f>
        <v>17.4727</v>
      </c>
      <c r="E384" s="14">
        <f>CHOOSE(CONTROL!$C$42, 17.5068, 17.5068) * CHOOSE(CONTROL!$C$21, $C$9, 100%, $E$9)</f>
        <v>17.506799999999998</v>
      </c>
      <c r="F384" s="14">
        <f>CHOOSE(CONTROL!$C$42, 17.4076, 17.4076)*CHOOSE(CONTROL!$C$21, $C$9, 100%, $E$9)</f>
        <v>17.407599999999999</v>
      </c>
      <c r="G384" s="14">
        <f>CHOOSE(CONTROL!$C$42, 17.4248, 17.4248)*CHOOSE(CONTROL!$C$21, $C$9, 100%, $E$9)</f>
        <v>17.424800000000001</v>
      </c>
      <c r="H384" s="14">
        <f>CHOOSE(CONTROL!$C$42, 17.496, 17.496) * CHOOSE(CONTROL!$C$21, $C$9, 100%, $E$9)</f>
        <v>17.495999999999999</v>
      </c>
      <c r="I384" s="14">
        <f>CHOOSE(CONTROL!$C$42, 17.4722, 17.4722)* CHOOSE(CONTROL!$C$21, $C$9, 100%, $E$9)</f>
        <v>17.472200000000001</v>
      </c>
      <c r="J384" s="14">
        <f>CHOOSE(CONTROL!$C$42, 17.4006, 17.4006)* CHOOSE(CONTROL!$C$21, $C$9, 100%, $E$9)</f>
        <v>17.400600000000001</v>
      </c>
      <c r="K384" s="53">
        <f>CHOOSE(CONTROL!$C$42, 17.4683, 17.4683) * CHOOSE(CONTROL!$C$21, $C$9, 100%, $E$9)</f>
        <v>17.468299999999999</v>
      </c>
      <c r="L384" s="14">
        <f>CHOOSE(CONTROL!$C$42, 18.083, 18.083) * CHOOSE(CONTROL!$C$21, $C$9, 100%, $E$9)</f>
        <v>18.082999999999998</v>
      </c>
      <c r="M384" s="14">
        <f>CHOOSE(CONTROL!$C$42, 17.0518, 17.0518) * CHOOSE(CONTROL!$C$21, $C$9, 100%, $E$9)</f>
        <v>17.0518</v>
      </c>
      <c r="N384" s="14">
        <f>CHOOSE(CONTROL!$C$42, 17.0686, 17.0686) * CHOOSE(CONTROL!$C$21, $C$9, 100%, $E$9)</f>
        <v>17.0686</v>
      </c>
      <c r="O384" s="14">
        <f>CHOOSE(CONTROL!$C$42, 17.1452, 17.1452) * CHOOSE(CONTROL!$C$21, $C$9, 100%, $E$9)</f>
        <v>17.145199999999999</v>
      </c>
      <c r="P384" s="14">
        <f>CHOOSE(CONTROL!$C$42, 17.1209, 17.1209) * CHOOSE(CONTROL!$C$21, $C$9, 100%, $E$9)</f>
        <v>17.120899999999999</v>
      </c>
      <c r="Q384" s="14">
        <f>CHOOSE(CONTROL!$C$42, 17.7399, 17.7399) * CHOOSE(CONTROL!$C$21, $C$9, 100%, $E$9)</f>
        <v>17.739899999999999</v>
      </c>
      <c r="R384" s="14">
        <f>CHOOSE(CONTROL!$C$42, 18.3712, 18.3712) * CHOOSE(CONTROL!$C$21, $C$9, 100%, $E$9)</f>
        <v>18.371200000000002</v>
      </c>
      <c r="S384" s="14">
        <f>CHOOSE(CONTROL!$C$42, 16.7048, 16.7048) * CHOOSE(CONTROL!$C$21, $C$9, 100%, $E$9)</f>
        <v>16.704799999999999</v>
      </c>
      <c r="T3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7">
        <f>(1000*CHOOSE(CONTROL!$C$42, 695, 695)*CHOOSE(CONTROL!$C$42, 0.5599, 0.5599)*CHOOSE(CONTROL!$C$42, 31, 31))/1000000</f>
        <v>12.063045499999998</v>
      </c>
      <c r="V384" s="57">
        <f>(1000*CHOOSE(CONTROL!$C$42, 500, 500)*CHOOSE(CONTROL!$C$42, 0.275, 0.275)*CHOOSE(CONTROL!$C$42, 31, 31))/1000000</f>
        <v>4.2625000000000002</v>
      </c>
      <c r="W384" s="57">
        <f>(1000*CHOOSE(CONTROL!$C$42, 0.1146, 0.1146)*CHOOSE(CONTROL!$C$42, 121.5, 121.5)*CHOOSE(CONTROL!$C$42, 31, 31))/1000000</f>
        <v>0.43164089999999994</v>
      </c>
      <c r="X384" s="57">
        <f>(31*0.1790888*100000/1000000)+(31*0.2374*100000/1000000)</f>
        <v>1.2911152800000001</v>
      </c>
      <c r="Y384" s="57"/>
      <c r="Z384" s="14"/>
      <c r="AA384" s="56"/>
      <c r="AB384" s="50">
        <f>(B384*122.58+C384*297.941+D384*89.177+E384*40.302+F384*40+G384*160+H384*0+I384*100+J384*300)/(122.58+297.941+89.177+40.302+0+40+160+100+300)</f>
        <v>17.41841190252174</v>
      </c>
      <c r="AC384" s="45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17.105041726618705</v>
      </c>
    </row>
    <row r="385" spans="1:29" ht="15.75" x14ac:dyDescent="0.25">
      <c r="A385" s="33">
        <v>52627</v>
      </c>
      <c r="B385" s="14">
        <f>CHOOSE(CONTROL!$C$42, 18.8345, 18.8345) * CHOOSE(CONTROL!$C$21, $C$9, 100%, $E$9)</f>
        <v>18.834499999999998</v>
      </c>
      <c r="C385" s="14">
        <f>CHOOSE(CONTROL!$C$42, 18.8396, 18.8396) * CHOOSE(CONTROL!$C$21, $C$9, 100%, $E$9)</f>
        <v>18.839600000000001</v>
      </c>
      <c r="D385" s="14">
        <f>CHOOSE(CONTROL!$C$42, 18.9164, 18.9164) * CHOOSE(CONTROL!$C$21, $C$9, 100%, $E$9)</f>
        <v>18.916399999999999</v>
      </c>
      <c r="E385" s="14">
        <f>CHOOSE(CONTROL!$C$42, 18.9505, 18.9505) * CHOOSE(CONTROL!$C$21, $C$9, 100%, $E$9)</f>
        <v>18.950500000000002</v>
      </c>
      <c r="F385" s="14">
        <f>CHOOSE(CONTROL!$C$42, 18.8347, 18.8347)*CHOOSE(CONTROL!$C$21, $C$9, 100%, $E$9)</f>
        <v>18.834700000000002</v>
      </c>
      <c r="G385" s="14">
        <f>CHOOSE(CONTROL!$C$42, 18.8509, 18.8509)*CHOOSE(CONTROL!$C$21, $C$9, 100%, $E$9)</f>
        <v>18.850899999999999</v>
      </c>
      <c r="H385" s="14">
        <f>CHOOSE(CONTROL!$C$42, 18.9397, 18.9397) * CHOOSE(CONTROL!$C$21, $C$9, 100%, $E$9)</f>
        <v>18.939699999999998</v>
      </c>
      <c r="I385" s="14">
        <f>CHOOSE(CONTROL!$C$42, 18.9115, 18.9115)* CHOOSE(CONTROL!$C$21, $C$9, 100%, $E$9)</f>
        <v>18.9115</v>
      </c>
      <c r="J385" s="14">
        <f>CHOOSE(CONTROL!$C$42, 18.8277, 18.8277)* CHOOSE(CONTROL!$C$21, $C$9, 100%, $E$9)</f>
        <v>18.8277</v>
      </c>
      <c r="K385" s="53">
        <f>CHOOSE(CONTROL!$C$42, 18.9076, 18.9076) * CHOOSE(CONTROL!$C$21, $C$9, 100%, $E$9)</f>
        <v>18.907599999999999</v>
      </c>
      <c r="L385" s="14">
        <f>CHOOSE(CONTROL!$C$42, 19.5267, 19.5267) * CHOOSE(CONTROL!$C$21, $C$9, 100%, $E$9)</f>
        <v>19.526700000000002</v>
      </c>
      <c r="M385" s="14">
        <f>CHOOSE(CONTROL!$C$42, 18.4496, 18.4496) * CHOOSE(CONTROL!$C$21, $C$9, 100%, $E$9)</f>
        <v>18.4496</v>
      </c>
      <c r="N385" s="14">
        <f>CHOOSE(CONTROL!$C$42, 18.4655, 18.4655) * CHOOSE(CONTROL!$C$21, $C$9, 100%, $E$9)</f>
        <v>18.465499999999999</v>
      </c>
      <c r="O385" s="14">
        <f>CHOOSE(CONTROL!$C$42, 18.5593, 18.5593) * CHOOSE(CONTROL!$C$21, $C$9, 100%, $E$9)</f>
        <v>18.5593</v>
      </c>
      <c r="P385" s="14">
        <f>CHOOSE(CONTROL!$C$42, 18.5306, 18.5306) * CHOOSE(CONTROL!$C$21, $C$9, 100%, $E$9)</f>
        <v>18.5306</v>
      </c>
      <c r="Q385" s="14">
        <f>CHOOSE(CONTROL!$C$42, 19.154, 19.154) * CHOOSE(CONTROL!$C$21, $C$9, 100%, $E$9)</f>
        <v>19.154</v>
      </c>
      <c r="R385" s="14">
        <f>CHOOSE(CONTROL!$C$42, 19.7889, 19.7889) * CHOOSE(CONTROL!$C$21, $C$9, 100%, $E$9)</f>
        <v>19.788900000000002</v>
      </c>
      <c r="S385" s="14">
        <f>CHOOSE(CONTROL!$C$42, 18.0895, 18.0895) * CHOOSE(CONTROL!$C$21, $C$9, 100%, $E$9)</f>
        <v>18.089500000000001</v>
      </c>
      <c r="T3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7">
        <f>(1000*CHOOSE(CONTROL!$C$42, 695, 695)*CHOOSE(CONTROL!$C$42, 0.5599, 0.5599)*CHOOSE(CONTROL!$C$42, 31, 31))/1000000</f>
        <v>12.063045499999998</v>
      </c>
      <c r="V385" s="57">
        <f>(1000*CHOOSE(CONTROL!$C$42, 500, 500)*CHOOSE(CONTROL!$C$42, 0.275, 0.275)*CHOOSE(CONTROL!$C$42, 31, 31))/1000000</f>
        <v>4.2625000000000002</v>
      </c>
      <c r="W385" s="57">
        <f>(1000*CHOOSE(CONTROL!$C$42, 0.1146, 0.1146)*CHOOSE(CONTROL!$C$42, 121.5, 121.5)*CHOOSE(CONTROL!$C$42, 31, 31))/1000000</f>
        <v>0.43164089999999994</v>
      </c>
      <c r="X385" s="57">
        <f>(31*0.1790888*100000/1000000)+(31*0.2374*100000/1000000)</f>
        <v>1.2911152800000001</v>
      </c>
      <c r="Y385" s="57"/>
      <c r="Z385" s="14"/>
      <c r="AA385" s="56"/>
      <c r="AB385" s="50">
        <f>(B385*122.58+C385*297.941+D385*89.177+E385*40.302+F385*40+G385*160+H385*0+I385*100+J385*300)/(122.58+297.941+89.177+40.302+0+40+160+100+300)</f>
        <v>18.853447936869564</v>
      </c>
      <c r="AC385" s="45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18.511889928057553</v>
      </c>
    </row>
    <row r="386" spans="1:29" ht="15.75" x14ac:dyDescent="0.25">
      <c r="A386" s="33">
        <v>52655</v>
      </c>
      <c r="B386" s="14">
        <f>CHOOSE(CONTROL!$C$42, 19.1696, 19.1696) * CHOOSE(CONTROL!$C$21, $C$9, 100%, $E$9)</f>
        <v>19.169599999999999</v>
      </c>
      <c r="C386" s="14">
        <f>CHOOSE(CONTROL!$C$42, 19.1747, 19.1747) * CHOOSE(CONTROL!$C$21, $C$9, 100%, $E$9)</f>
        <v>19.174700000000001</v>
      </c>
      <c r="D386" s="14">
        <f>CHOOSE(CONTROL!$C$42, 19.2515, 19.2515) * CHOOSE(CONTROL!$C$21, $C$9, 100%, $E$9)</f>
        <v>19.2515</v>
      </c>
      <c r="E386" s="14">
        <f>CHOOSE(CONTROL!$C$42, 19.2856, 19.2856) * CHOOSE(CONTROL!$C$21, $C$9, 100%, $E$9)</f>
        <v>19.285599999999999</v>
      </c>
      <c r="F386" s="14">
        <f>CHOOSE(CONTROL!$C$42, 19.1699, 19.1699)*CHOOSE(CONTROL!$C$21, $C$9, 100%, $E$9)</f>
        <v>19.169899999999998</v>
      </c>
      <c r="G386" s="14">
        <f>CHOOSE(CONTROL!$C$42, 19.1861, 19.1861)*CHOOSE(CONTROL!$C$21, $C$9, 100%, $E$9)</f>
        <v>19.1861</v>
      </c>
      <c r="H386" s="14">
        <f>CHOOSE(CONTROL!$C$42, 19.2748, 19.2748) * CHOOSE(CONTROL!$C$21, $C$9, 100%, $E$9)</f>
        <v>19.274799999999999</v>
      </c>
      <c r="I386" s="14">
        <f>CHOOSE(CONTROL!$C$42, 19.2477, 19.2477)* CHOOSE(CONTROL!$C$21, $C$9, 100%, $E$9)</f>
        <v>19.247699999999998</v>
      </c>
      <c r="J386" s="14">
        <f>CHOOSE(CONTROL!$C$42, 19.1629, 19.1629)* CHOOSE(CONTROL!$C$21, $C$9, 100%, $E$9)</f>
        <v>19.1629</v>
      </c>
      <c r="K386" s="53">
        <f>CHOOSE(CONTROL!$C$42, 19.2438, 19.2438) * CHOOSE(CONTROL!$C$21, $C$9, 100%, $E$9)</f>
        <v>19.2438</v>
      </c>
      <c r="L386" s="14">
        <f>CHOOSE(CONTROL!$C$42, 19.8618, 19.8618) * CHOOSE(CONTROL!$C$21, $C$9, 100%, $E$9)</f>
        <v>19.861799999999999</v>
      </c>
      <c r="M386" s="14">
        <f>CHOOSE(CONTROL!$C$42, 18.7779, 18.7779) * CHOOSE(CONTROL!$C$21, $C$9, 100%, $E$9)</f>
        <v>18.777899999999999</v>
      </c>
      <c r="N386" s="14">
        <f>CHOOSE(CONTROL!$C$42, 18.7938, 18.7938) * CHOOSE(CONTROL!$C$21, $C$9, 100%, $E$9)</f>
        <v>18.793800000000001</v>
      </c>
      <c r="O386" s="14">
        <f>CHOOSE(CONTROL!$C$42, 18.8875, 18.8875) * CHOOSE(CONTROL!$C$21, $C$9, 100%, $E$9)</f>
        <v>18.887499999999999</v>
      </c>
      <c r="P386" s="14">
        <f>CHOOSE(CONTROL!$C$42, 18.8599, 18.8599) * CHOOSE(CONTROL!$C$21, $C$9, 100%, $E$9)</f>
        <v>18.8599</v>
      </c>
      <c r="Q386" s="14">
        <f>CHOOSE(CONTROL!$C$42, 19.4822, 19.4822) * CHOOSE(CONTROL!$C$21, $C$9, 100%, $E$9)</f>
        <v>19.482199999999999</v>
      </c>
      <c r="R386" s="14">
        <f>CHOOSE(CONTROL!$C$42, 20.118, 20.118) * CHOOSE(CONTROL!$C$21, $C$9, 100%, $E$9)</f>
        <v>20.117999999999999</v>
      </c>
      <c r="S386" s="14">
        <f>CHOOSE(CONTROL!$C$42, 18.4115, 18.4115) * CHOOSE(CONTROL!$C$21, $C$9, 100%, $E$9)</f>
        <v>18.4115</v>
      </c>
      <c r="T38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7">
        <f>(1000*CHOOSE(CONTROL!$C$42, 695, 695)*CHOOSE(CONTROL!$C$42, 0.5599, 0.5599)*CHOOSE(CONTROL!$C$42, 29, 29))/1000000</f>
        <v>11.284784499999999</v>
      </c>
      <c r="V386" s="57">
        <f>(1000*CHOOSE(CONTROL!$C$42, 500, 500)*CHOOSE(CONTROL!$C$42, 0.275, 0.275)*CHOOSE(CONTROL!$C$42, 29, 29))/1000000</f>
        <v>3.9874999999999998</v>
      </c>
      <c r="W386" s="57">
        <f>(1000*CHOOSE(CONTROL!$C$42, 0.1146, 0.1146)*CHOOSE(CONTROL!$C$42, 121.5, 121.5)*CHOOSE(CONTROL!$C$42, 29, 29))/1000000</f>
        <v>0.40379309999999996</v>
      </c>
      <c r="X386" s="57">
        <f>(29*0.1790888*100000/1000000)+(29*0.2374*100000/1000000)</f>
        <v>1.2078175199999999</v>
      </c>
      <c r="Y386" s="57"/>
      <c r="Z386" s="14"/>
      <c r="AA386" s="56"/>
      <c r="AB386" s="50">
        <f>(B386*122.58+C386*297.941+D386*89.177+E386*40.302+F386*40+G386*160+H386*0+I386*100+J386*300)/(122.58+297.941+89.177+40.302+0+40+160+100+300)</f>
        <v>19.188687067304347</v>
      </c>
      <c r="AC386" s="45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18.840288489208632</v>
      </c>
    </row>
    <row r="387" spans="1:29" ht="15.75" x14ac:dyDescent="0.25">
      <c r="A387" s="33">
        <v>52687</v>
      </c>
      <c r="B387" s="14">
        <f>CHOOSE(CONTROL!$C$42, 18.6256, 18.6256) * CHOOSE(CONTROL!$C$21, $C$9, 100%, $E$9)</f>
        <v>18.625599999999999</v>
      </c>
      <c r="C387" s="14">
        <f>CHOOSE(CONTROL!$C$42, 18.6307, 18.6307) * CHOOSE(CONTROL!$C$21, $C$9, 100%, $E$9)</f>
        <v>18.630700000000001</v>
      </c>
      <c r="D387" s="14">
        <f>CHOOSE(CONTROL!$C$42, 18.7075, 18.7075) * CHOOSE(CONTROL!$C$21, $C$9, 100%, $E$9)</f>
        <v>18.7075</v>
      </c>
      <c r="E387" s="14">
        <f>CHOOSE(CONTROL!$C$42, 18.7416, 18.7416) * CHOOSE(CONTROL!$C$21, $C$9, 100%, $E$9)</f>
        <v>18.741599999999998</v>
      </c>
      <c r="F387" s="14">
        <f>CHOOSE(CONTROL!$C$42, 18.6254, 18.6254)*CHOOSE(CONTROL!$C$21, $C$9, 100%, $E$9)</f>
        <v>18.625399999999999</v>
      </c>
      <c r="G387" s="14">
        <f>CHOOSE(CONTROL!$C$42, 18.6415, 18.6415)*CHOOSE(CONTROL!$C$21, $C$9, 100%, $E$9)</f>
        <v>18.641500000000001</v>
      </c>
      <c r="H387" s="14">
        <f>CHOOSE(CONTROL!$C$42, 18.7308, 18.7308) * CHOOSE(CONTROL!$C$21, $C$9, 100%, $E$9)</f>
        <v>18.730799999999999</v>
      </c>
      <c r="I387" s="14">
        <f>CHOOSE(CONTROL!$C$42, 18.702, 18.702)* CHOOSE(CONTROL!$C$21, $C$9, 100%, $E$9)</f>
        <v>18.702000000000002</v>
      </c>
      <c r="J387" s="14">
        <f>CHOOSE(CONTROL!$C$42, 18.6184, 18.6184)* CHOOSE(CONTROL!$C$21, $C$9, 100%, $E$9)</f>
        <v>18.618400000000001</v>
      </c>
      <c r="K387" s="53">
        <f>CHOOSE(CONTROL!$C$42, 18.6981, 18.6981) * CHOOSE(CONTROL!$C$21, $C$9, 100%, $E$9)</f>
        <v>18.6981</v>
      </c>
      <c r="L387" s="14">
        <f>CHOOSE(CONTROL!$C$42, 19.3178, 19.3178) * CHOOSE(CONTROL!$C$21, $C$9, 100%, $E$9)</f>
        <v>19.317799999999998</v>
      </c>
      <c r="M387" s="14">
        <f>CHOOSE(CONTROL!$C$42, 18.2446, 18.2446) * CHOOSE(CONTROL!$C$21, $C$9, 100%, $E$9)</f>
        <v>18.244599999999998</v>
      </c>
      <c r="N387" s="14">
        <f>CHOOSE(CONTROL!$C$42, 18.2604, 18.2604) * CHOOSE(CONTROL!$C$21, $C$9, 100%, $E$9)</f>
        <v>18.260400000000001</v>
      </c>
      <c r="O387" s="14">
        <f>CHOOSE(CONTROL!$C$42, 18.3547, 18.3547) * CHOOSE(CONTROL!$C$21, $C$9, 100%, $E$9)</f>
        <v>18.354700000000001</v>
      </c>
      <c r="P387" s="14">
        <f>CHOOSE(CONTROL!$C$42, 18.3254, 18.3254) * CHOOSE(CONTROL!$C$21, $C$9, 100%, $E$9)</f>
        <v>18.325399999999998</v>
      </c>
      <c r="Q387" s="14">
        <f>CHOOSE(CONTROL!$C$42, 18.9494, 18.9494) * CHOOSE(CONTROL!$C$21, $C$9, 100%, $E$9)</f>
        <v>18.949400000000001</v>
      </c>
      <c r="R387" s="14">
        <f>CHOOSE(CONTROL!$C$42, 19.5838, 19.5838) * CHOOSE(CONTROL!$C$21, $C$9, 100%, $E$9)</f>
        <v>19.5838</v>
      </c>
      <c r="S387" s="14">
        <f>CHOOSE(CONTROL!$C$42, 17.8888, 17.8888) * CHOOSE(CONTROL!$C$21, $C$9, 100%, $E$9)</f>
        <v>17.8888</v>
      </c>
      <c r="T3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7">
        <f>(1000*CHOOSE(CONTROL!$C$42, 695, 695)*CHOOSE(CONTROL!$C$42, 0.5599, 0.5599)*CHOOSE(CONTROL!$C$42, 31, 31))/1000000</f>
        <v>12.063045499999998</v>
      </c>
      <c r="V387" s="57">
        <f>(1000*CHOOSE(CONTROL!$C$42, 500, 500)*CHOOSE(CONTROL!$C$42, 0.275, 0.275)*CHOOSE(CONTROL!$C$42, 31, 31))/1000000</f>
        <v>4.2625000000000002</v>
      </c>
      <c r="W387" s="57">
        <f>(1000*CHOOSE(CONTROL!$C$42, 0.1146, 0.1146)*CHOOSE(CONTROL!$C$42, 121.5, 121.5)*CHOOSE(CONTROL!$C$42, 31, 31))/1000000</f>
        <v>0.43164089999999994</v>
      </c>
      <c r="X387" s="57">
        <f>(31*0.1790888*100000/1000000)+(31*0.2374*100000/1000000)</f>
        <v>1.2911152800000001</v>
      </c>
      <c r="Y387" s="57"/>
      <c r="Z387" s="14"/>
      <c r="AA387" s="56"/>
      <c r="AB387" s="50">
        <f>(B387*122.58+C387*297.941+D387*89.177+E387*40.302+F387*40+G387*160+H387*0+I387*100+J387*300)/(122.58+297.941+89.177+40.302+0+40+160+100+300)</f>
        <v>18.644307936869566</v>
      </c>
      <c r="AC387" s="45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18.307036690647482</v>
      </c>
    </row>
    <row r="388" spans="1:29" ht="15.75" x14ac:dyDescent="0.25">
      <c r="A388" s="33">
        <v>52717</v>
      </c>
      <c r="B388" s="14">
        <f>CHOOSE(CONTROL!$C$42, 18.5711, 18.5711) * CHOOSE(CONTROL!$C$21, $C$9, 100%, $E$9)</f>
        <v>18.571100000000001</v>
      </c>
      <c r="C388" s="14">
        <f>CHOOSE(CONTROL!$C$42, 18.5756, 18.5756) * CHOOSE(CONTROL!$C$21, $C$9, 100%, $E$9)</f>
        <v>18.575600000000001</v>
      </c>
      <c r="D388" s="14">
        <f>CHOOSE(CONTROL!$C$42, 18.8124, 18.8124) * CHOOSE(CONTROL!$C$21, $C$9, 100%, $E$9)</f>
        <v>18.8124</v>
      </c>
      <c r="E388" s="14">
        <f>CHOOSE(CONTROL!$C$42, 18.8445, 18.8445) * CHOOSE(CONTROL!$C$21, $C$9, 100%, $E$9)</f>
        <v>18.8445</v>
      </c>
      <c r="F388" s="14">
        <f>CHOOSE(CONTROL!$C$42, 18.5691, 18.5691)*CHOOSE(CONTROL!$C$21, $C$9, 100%, $E$9)</f>
        <v>18.569099999999999</v>
      </c>
      <c r="G388" s="14">
        <f>CHOOSE(CONTROL!$C$42, 18.5849, 18.5849)*CHOOSE(CONTROL!$C$21, $C$9, 100%, $E$9)</f>
        <v>18.584900000000001</v>
      </c>
      <c r="H388" s="14">
        <f>CHOOSE(CONTROL!$C$42, 18.8342, 18.8342) * CHOOSE(CONTROL!$C$21, $C$9, 100%, $E$9)</f>
        <v>18.834199999999999</v>
      </c>
      <c r="I388" s="14">
        <f>CHOOSE(CONTROL!$C$42, 18.6466, 18.6466)* CHOOSE(CONTROL!$C$21, $C$9, 100%, $E$9)</f>
        <v>18.646599999999999</v>
      </c>
      <c r="J388" s="14">
        <f>CHOOSE(CONTROL!$C$42, 18.5621, 18.5621)* CHOOSE(CONTROL!$C$21, $C$9, 100%, $E$9)</f>
        <v>18.562100000000001</v>
      </c>
      <c r="K388" s="53">
        <f>CHOOSE(CONTROL!$C$42, 18.6427, 18.6427) * CHOOSE(CONTROL!$C$21, $C$9, 100%, $E$9)</f>
        <v>18.642700000000001</v>
      </c>
      <c r="L388" s="14">
        <f>CHOOSE(CONTROL!$C$42, 19.4212, 19.4212) * CHOOSE(CONTROL!$C$21, $C$9, 100%, $E$9)</f>
        <v>19.421199999999999</v>
      </c>
      <c r="M388" s="14">
        <f>CHOOSE(CONTROL!$C$42, 18.1894, 18.1894) * CHOOSE(CONTROL!$C$21, $C$9, 100%, $E$9)</f>
        <v>18.189399999999999</v>
      </c>
      <c r="N388" s="14">
        <f>CHOOSE(CONTROL!$C$42, 18.2049, 18.2049) * CHOOSE(CONTROL!$C$21, $C$9, 100%, $E$9)</f>
        <v>18.204899999999999</v>
      </c>
      <c r="O388" s="14">
        <f>CHOOSE(CONTROL!$C$42, 18.456, 18.456) * CHOOSE(CONTROL!$C$21, $C$9, 100%, $E$9)</f>
        <v>18.456</v>
      </c>
      <c r="P388" s="14">
        <f>CHOOSE(CONTROL!$C$42, 18.2711, 18.2711) * CHOOSE(CONTROL!$C$21, $C$9, 100%, $E$9)</f>
        <v>18.271100000000001</v>
      </c>
      <c r="Q388" s="14">
        <f>CHOOSE(CONTROL!$C$42, 19.0507, 19.0507) * CHOOSE(CONTROL!$C$21, $C$9, 100%, $E$9)</f>
        <v>19.050699999999999</v>
      </c>
      <c r="R388" s="14">
        <f>CHOOSE(CONTROL!$C$42, 19.6854, 19.6854) * CHOOSE(CONTROL!$C$21, $C$9, 100%, $E$9)</f>
        <v>19.685400000000001</v>
      </c>
      <c r="S388" s="14">
        <f>CHOOSE(CONTROL!$C$42, 17.8357, 17.8357) * CHOOSE(CONTROL!$C$21, $C$9, 100%, $E$9)</f>
        <v>17.835699999999999</v>
      </c>
      <c r="T3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7">
        <f>(1000*CHOOSE(CONTROL!$C$42, 695, 695)*CHOOSE(CONTROL!$C$42, 0.5599, 0.5599)*CHOOSE(CONTROL!$C$42, 30, 30))/1000000</f>
        <v>11.673914999999997</v>
      </c>
      <c r="V388" s="57">
        <f>(1000*CHOOSE(CONTROL!$C$42, 500, 500)*CHOOSE(CONTROL!$C$42, 0.275, 0.275)*CHOOSE(CONTROL!$C$42, 30, 30))/1000000</f>
        <v>4.125</v>
      </c>
      <c r="W388" s="57">
        <f>(1000*CHOOSE(CONTROL!$C$42, 0.1146, 0.1146)*CHOOSE(CONTROL!$C$42, 121.5, 121.5)*CHOOSE(CONTROL!$C$42, 30, 30))/1000000</f>
        <v>0.417717</v>
      </c>
      <c r="X388" s="57">
        <f>(30*0.1790888*245000/1000000)+(30*0.2374*100000/1000000)</f>
        <v>2.0285026799999999</v>
      </c>
      <c r="Y388" s="57"/>
      <c r="Z388" s="14"/>
      <c r="AA388" s="56"/>
      <c r="AB388" s="50">
        <f>(B388*141.293+C388*267.993+D388*115.016+E388*89.698+F388*40+G388*185+H388*0+I388*100+J388*300)/(141.293+267.993+115.016+89.698+0+40+185+100+300)</f>
        <v>18.620176483050848</v>
      </c>
      <c r="AC388" s="45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18.279525179856115</v>
      </c>
    </row>
    <row r="389" spans="1:29" ht="15.75" x14ac:dyDescent="0.25">
      <c r="A389" s="33">
        <v>52748</v>
      </c>
      <c r="B389" s="14">
        <f>CHOOSE(CONTROL!$C$42, 18.7363, 18.7363) * CHOOSE(CONTROL!$C$21, $C$9, 100%, $E$9)</f>
        <v>18.7363</v>
      </c>
      <c r="C389" s="14">
        <f>CHOOSE(CONTROL!$C$42, 18.7444, 18.7444) * CHOOSE(CONTROL!$C$21, $C$9, 100%, $E$9)</f>
        <v>18.744399999999999</v>
      </c>
      <c r="D389" s="14">
        <f>CHOOSE(CONTROL!$C$42, 18.978, 18.978) * CHOOSE(CONTROL!$C$21, $C$9, 100%, $E$9)</f>
        <v>18.978000000000002</v>
      </c>
      <c r="E389" s="14">
        <f>CHOOSE(CONTROL!$C$42, 19.0094, 19.0094) * CHOOSE(CONTROL!$C$21, $C$9, 100%, $E$9)</f>
        <v>19.009399999999999</v>
      </c>
      <c r="F389" s="14">
        <f>CHOOSE(CONTROL!$C$42, 18.7331, 18.7331)*CHOOSE(CONTROL!$C$21, $C$9, 100%, $E$9)</f>
        <v>18.7331</v>
      </c>
      <c r="G389" s="14">
        <f>CHOOSE(CONTROL!$C$42, 18.7495, 18.7495)*CHOOSE(CONTROL!$C$21, $C$9, 100%, $E$9)</f>
        <v>18.749500000000001</v>
      </c>
      <c r="H389" s="14">
        <f>CHOOSE(CONTROL!$C$42, 18.9981, 18.9981) * CHOOSE(CONTROL!$C$21, $C$9, 100%, $E$9)</f>
        <v>18.998100000000001</v>
      </c>
      <c r="I389" s="14">
        <f>CHOOSE(CONTROL!$C$42, 18.8109, 18.8109)* CHOOSE(CONTROL!$C$21, $C$9, 100%, $E$9)</f>
        <v>18.8109</v>
      </c>
      <c r="J389" s="14">
        <f>CHOOSE(CONTROL!$C$42, 18.7261, 18.7261)* CHOOSE(CONTROL!$C$21, $C$9, 100%, $E$9)</f>
        <v>18.726099999999999</v>
      </c>
      <c r="K389" s="53">
        <f>CHOOSE(CONTROL!$C$42, 18.807, 18.807) * CHOOSE(CONTROL!$C$21, $C$9, 100%, $E$9)</f>
        <v>18.806999999999999</v>
      </c>
      <c r="L389" s="14">
        <f>CHOOSE(CONTROL!$C$42, 19.5851, 19.5851) * CHOOSE(CONTROL!$C$21, $C$9, 100%, $E$9)</f>
        <v>19.585100000000001</v>
      </c>
      <c r="M389" s="14">
        <f>CHOOSE(CONTROL!$C$42, 18.3501, 18.3501) * CHOOSE(CONTROL!$C$21, $C$9, 100%, $E$9)</f>
        <v>18.350100000000001</v>
      </c>
      <c r="N389" s="14">
        <f>CHOOSE(CONTROL!$C$42, 18.3661, 18.3661) * CHOOSE(CONTROL!$C$21, $C$9, 100%, $E$9)</f>
        <v>18.366099999999999</v>
      </c>
      <c r="O389" s="14">
        <f>CHOOSE(CONTROL!$C$42, 18.6165, 18.6165) * CHOOSE(CONTROL!$C$21, $C$9, 100%, $E$9)</f>
        <v>18.616499999999998</v>
      </c>
      <c r="P389" s="14">
        <f>CHOOSE(CONTROL!$C$42, 18.4321, 18.4321) * CHOOSE(CONTROL!$C$21, $C$9, 100%, $E$9)</f>
        <v>18.432099999999998</v>
      </c>
      <c r="Q389" s="14">
        <f>CHOOSE(CONTROL!$C$42, 19.2112, 19.2112) * CHOOSE(CONTROL!$C$21, $C$9, 100%, $E$9)</f>
        <v>19.211200000000002</v>
      </c>
      <c r="R389" s="14">
        <f>CHOOSE(CONTROL!$C$42, 19.8462, 19.8462) * CHOOSE(CONTROL!$C$21, $C$9, 100%, $E$9)</f>
        <v>19.8462</v>
      </c>
      <c r="S389" s="14">
        <f>CHOOSE(CONTROL!$C$42, 17.9931, 17.9931) * CHOOSE(CONTROL!$C$21, $C$9, 100%, $E$9)</f>
        <v>17.993099999999998</v>
      </c>
      <c r="T3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7">
        <f>(1000*CHOOSE(CONTROL!$C$42, 695, 695)*CHOOSE(CONTROL!$C$42, 0.5599, 0.5599)*CHOOSE(CONTROL!$C$42, 31, 31))/1000000</f>
        <v>12.063045499999998</v>
      </c>
      <c r="V389" s="57">
        <f>(1000*CHOOSE(CONTROL!$C$42, 500, 500)*CHOOSE(CONTROL!$C$42, 0.275, 0.275)*CHOOSE(CONTROL!$C$42, 31, 31))/1000000</f>
        <v>4.2625000000000002</v>
      </c>
      <c r="W389" s="57">
        <f>(1000*CHOOSE(CONTROL!$C$42, 0.1146, 0.1146)*CHOOSE(CONTROL!$C$42, 121.5, 121.5)*CHOOSE(CONTROL!$C$42, 31, 31))/1000000</f>
        <v>0.43164089999999994</v>
      </c>
      <c r="X389" s="57">
        <f>(31*0.1790888*245000/1000000)+(31*0.2374*100000/1000000)</f>
        <v>2.0961194359999999</v>
      </c>
      <c r="Y389" s="57"/>
      <c r="Z389" s="14"/>
      <c r="AA389" s="56"/>
      <c r="AB389" s="50">
        <f>(B389*194.205+C389*267.466+D389*133.845+E389*53.484+F389*40+G389*185+H389*0+I389*100+J389*300)/(194.205+267.466+133.845+53.484+0+40+185+100+300)</f>
        <v>18.780128329277868</v>
      </c>
      <c r="AC389" s="45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18.440327338129496</v>
      </c>
    </row>
    <row r="390" spans="1:29" ht="15.75" x14ac:dyDescent="0.25">
      <c r="A390" s="33">
        <v>52778</v>
      </c>
      <c r="B390" s="14">
        <f>CHOOSE(CONTROL!$C$42, 19.2675, 19.2675) * CHOOSE(CONTROL!$C$21, $C$9, 100%, $E$9)</f>
        <v>19.267499999999998</v>
      </c>
      <c r="C390" s="14">
        <f>CHOOSE(CONTROL!$C$42, 19.2755, 19.2755) * CHOOSE(CONTROL!$C$21, $C$9, 100%, $E$9)</f>
        <v>19.275500000000001</v>
      </c>
      <c r="D390" s="14">
        <f>CHOOSE(CONTROL!$C$42, 19.5091, 19.5091) * CHOOSE(CONTROL!$C$21, $C$9, 100%, $E$9)</f>
        <v>19.5091</v>
      </c>
      <c r="E390" s="14">
        <f>CHOOSE(CONTROL!$C$42, 19.5406, 19.5406) * CHOOSE(CONTROL!$C$21, $C$9, 100%, $E$9)</f>
        <v>19.540600000000001</v>
      </c>
      <c r="F390" s="14">
        <f>CHOOSE(CONTROL!$C$42, 19.2647, 19.2647)*CHOOSE(CONTROL!$C$21, $C$9, 100%, $E$9)</f>
        <v>19.264700000000001</v>
      </c>
      <c r="G390" s="14">
        <f>CHOOSE(CONTROL!$C$42, 19.2812, 19.2812)*CHOOSE(CONTROL!$C$21, $C$9, 100%, $E$9)</f>
        <v>19.281199999999998</v>
      </c>
      <c r="H390" s="14">
        <f>CHOOSE(CONTROL!$C$42, 19.5292, 19.5292) * CHOOSE(CONTROL!$C$21, $C$9, 100%, $E$9)</f>
        <v>19.529199999999999</v>
      </c>
      <c r="I390" s="14">
        <f>CHOOSE(CONTROL!$C$42, 19.3437, 19.3437)* CHOOSE(CONTROL!$C$21, $C$9, 100%, $E$9)</f>
        <v>19.343699999999998</v>
      </c>
      <c r="J390" s="14">
        <f>CHOOSE(CONTROL!$C$42, 19.2577, 19.2577)* CHOOSE(CONTROL!$C$21, $C$9, 100%, $E$9)</f>
        <v>19.2577</v>
      </c>
      <c r="K390" s="53">
        <f>CHOOSE(CONTROL!$C$42, 19.3398, 19.3398) * CHOOSE(CONTROL!$C$21, $C$9, 100%, $E$9)</f>
        <v>19.3398</v>
      </c>
      <c r="L390" s="14">
        <f>CHOOSE(CONTROL!$C$42, 20.1162, 20.1162) * CHOOSE(CONTROL!$C$21, $C$9, 100%, $E$9)</f>
        <v>20.116199999999999</v>
      </c>
      <c r="M390" s="14">
        <f>CHOOSE(CONTROL!$C$42, 18.8708, 18.8708) * CHOOSE(CONTROL!$C$21, $C$9, 100%, $E$9)</f>
        <v>18.870799999999999</v>
      </c>
      <c r="N390" s="14">
        <f>CHOOSE(CONTROL!$C$42, 18.887, 18.887) * CHOOSE(CONTROL!$C$21, $C$9, 100%, $E$9)</f>
        <v>18.887</v>
      </c>
      <c r="O390" s="14">
        <f>CHOOSE(CONTROL!$C$42, 19.1367, 19.1367) * CHOOSE(CONTROL!$C$21, $C$9, 100%, $E$9)</f>
        <v>19.136700000000001</v>
      </c>
      <c r="P390" s="14">
        <f>CHOOSE(CONTROL!$C$42, 18.9539, 18.9539) * CHOOSE(CONTROL!$C$21, $C$9, 100%, $E$9)</f>
        <v>18.953900000000001</v>
      </c>
      <c r="Q390" s="14">
        <f>CHOOSE(CONTROL!$C$42, 19.7314, 19.7314) * CHOOSE(CONTROL!$C$21, $C$9, 100%, $E$9)</f>
        <v>19.731400000000001</v>
      </c>
      <c r="R390" s="14">
        <f>CHOOSE(CONTROL!$C$42, 20.3678, 20.3678) * CHOOSE(CONTROL!$C$21, $C$9, 100%, $E$9)</f>
        <v>20.367799999999999</v>
      </c>
      <c r="S390" s="14">
        <f>CHOOSE(CONTROL!$C$42, 18.5035, 18.5035) * CHOOSE(CONTROL!$C$21, $C$9, 100%, $E$9)</f>
        <v>18.503499999999999</v>
      </c>
      <c r="T3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7">
        <f>(1000*CHOOSE(CONTROL!$C$42, 695, 695)*CHOOSE(CONTROL!$C$42, 0.5599, 0.5599)*CHOOSE(CONTROL!$C$42, 30, 30))/1000000</f>
        <v>11.673914999999997</v>
      </c>
      <c r="V390" s="57">
        <f>(1000*CHOOSE(CONTROL!$C$42, 500, 500)*CHOOSE(CONTROL!$C$42, 0.275, 0.275)*CHOOSE(CONTROL!$C$42, 30, 30))/1000000</f>
        <v>4.125</v>
      </c>
      <c r="W390" s="57">
        <f>(1000*CHOOSE(CONTROL!$C$42, 0.1146, 0.1146)*CHOOSE(CONTROL!$C$42, 121.5, 121.5)*CHOOSE(CONTROL!$C$42, 30, 30))/1000000</f>
        <v>0.417717</v>
      </c>
      <c r="X390" s="57">
        <f>(30*0.1790888*245000/1000000)+(30*0.2374*100000/1000000)</f>
        <v>2.0285026799999999</v>
      </c>
      <c r="Y390" s="57"/>
      <c r="Z390" s="14"/>
      <c r="AA390" s="56"/>
      <c r="AB390" s="50">
        <f>(B390*194.205+C390*267.466+D390*133.845+E390*53.484+F390*40+G390*185+H390*0+I390*100+J390*300)/(194.205+267.466+133.845+53.484+0+40+185+100+300)</f>
        <v>19.311601774254314</v>
      </c>
      <c r="AC390" s="45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18.961091366906476</v>
      </c>
    </row>
    <row r="391" spans="1:29" ht="15.75" x14ac:dyDescent="0.25">
      <c r="A391" s="33">
        <v>52809</v>
      </c>
      <c r="B391" s="14">
        <f>CHOOSE(CONTROL!$C$42, 18.8981, 18.8981) * CHOOSE(CONTROL!$C$21, $C$9, 100%, $E$9)</f>
        <v>18.898099999999999</v>
      </c>
      <c r="C391" s="14">
        <f>CHOOSE(CONTROL!$C$42, 18.9061, 18.9061) * CHOOSE(CONTROL!$C$21, $C$9, 100%, $E$9)</f>
        <v>18.906099999999999</v>
      </c>
      <c r="D391" s="14">
        <f>CHOOSE(CONTROL!$C$42, 19.1397, 19.1397) * CHOOSE(CONTROL!$C$21, $C$9, 100%, $E$9)</f>
        <v>19.139700000000001</v>
      </c>
      <c r="E391" s="14">
        <f>CHOOSE(CONTROL!$C$42, 19.1712, 19.1712) * CHOOSE(CONTROL!$C$21, $C$9, 100%, $E$9)</f>
        <v>19.171199999999999</v>
      </c>
      <c r="F391" s="14">
        <f>CHOOSE(CONTROL!$C$42, 18.8958, 18.8958)*CHOOSE(CONTROL!$C$21, $C$9, 100%, $E$9)</f>
        <v>18.895800000000001</v>
      </c>
      <c r="G391" s="14">
        <f>CHOOSE(CONTROL!$C$42, 18.9125, 18.9125)*CHOOSE(CONTROL!$C$21, $C$9, 100%, $E$9)</f>
        <v>18.912500000000001</v>
      </c>
      <c r="H391" s="14">
        <f>CHOOSE(CONTROL!$C$42, 19.1598, 19.1598) * CHOOSE(CONTROL!$C$21, $C$9, 100%, $E$9)</f>
        <v>19.159800000000001</v>
      </c>
      <c r="I391" s="14">
        <f>CHOOSE(CONTROL!$C$42, 18.9731, 18.9731)* CHOOSE(CONTROL!$C$21, $C$9, 100%, $E$9)</f>
        <v>18.973099999999999</v>
      </c>
      <c r="J391" s="14">
        <f>CHOOSE(CONTROL!$C$42, 18.8888, 18.8888)* CHOOSE(CONTROL!$C$21, $C$9, 100%, $E$9)</f>
        <v>18.8888</v>
      </c>
      <c r="K391" s="53">
        <f>CHOOSE(CONTROL!$C$42, 18.9692, 18.9692) * CHOOSE(CONTROL!$C$21, $C$9, 100%, $E$9)</f>
        <v>18.969200000000001</v>
      </c>
      <c r="L391" s="14">
        <f>CHOOSE(CONTROL!$C$42, 19.7468, 19.7468) * CHOOSE(CONTROL!$C$21, $C$9, 100%, $E$9)</f>
        <v>19.7468</v>
      </c>
      <c r="M391" s="14">
        <f>CHOOSE(CONTROL!$C$42, 18.5095, 18.5095) * CHOOSE(CONTROL!$C$21, $C$9, 100%, $E$9)</f>
        <v>18.509499999999999</v>
      </c>
      <c r="N391" s="14">
        <f>CHOOSE(CONTROL!$C$42, 18.5258, 18.5258) * CHOOSE(CONTROL!$C$21, $C$9, 100%, $E$9)</f>
        <v>18.5258</v>
      </c>
      <c r="O391" s="14">
        <f>CHOOSE(CONTROL!$C$42, 18.7749, 18.7749) * CHOOSE(CONTROL!$C$21, $C$9, 100%, $E$9)</f>
        <v>18.774899999999999</v>
      </c>
      <c r="P391" s="14">
        <f>CHOOSE(CONTROL!$C$42, 18.591, 18.591) * CHOOSE(CONTROL!$C$21, $C$9, 100%, $E$9)</f>
        <v>18.591000000000001</v>
      </c>
      <c r="Q391" s="14">
        <f>CHOOSE(CONTROL!$C$42, 19.3696, 19.3696) * CHOOSE(CONTROL!$C$21, $C$9, 100%, $E$9)</f>
        <v>19.369599999999998</v>
      </c>
      <c r="R391" s="14">
        <f>CHOOSE(CONTROL!$C$42, 20.005, 20.005) * CHOOSE(CONTROL!$C$21, $C$9, 100%, $E$9)</f>
        <v>20.004999999999999</v>
      </c>
      <c r="S391" s="14">
        <f>CHOOSE(CONTROL!$C$42, 18.1485, 18.1485) * CHOOSE(CONTROL!$C$21, $C$9, 100%, $E$9)</f>
        <v>18.148499999999999</v>
      </c>
      <c r="T3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7">
        <f>(1000*CHOOSE(CONTROL!$C$42, 695, 695)*CHOOSE(CONTROL!$C$42, 0.5599, 0.5599)*CHOOSE(CONTROL!$C$42, 31, 31))/1000000</f>
        <v>12.063045499999998</v>
      </c>
      <c r="V391" s="57">
        <f>(1000*CHOOSE(CONTROL!$C$42, 500, 500)*CHOOSE(CONTROL!$C$42, 0.275, 0.275)*CHOOSE(CONTROL!$C$42, 31, 31))/1000000</f>
        <v>4.2625000000000002</v>
      </c>
      <c r="W391" s="57">
        <f>(1000*CHOOSE(CONTROL!$C$42, 0.1146, 0.1146)*CHOOSE(CONTROL!$C$42, 121.5, 121.5)*CHOOSE(CONTROL!$C$42, 31, 31))/1000000</f>
        <v>0.43164089999999994</v>
      </c>
      <c r="X391" s="57">
        <f>(31*0.1790888*245000/1000000)+(31*0.2374*100000/1000000)</f>
        <v>2.0961194359999999</v>
      </c>
      <c r="Y391" s="57"/>
      <c r="Z391" s="14"/>
      <c r="AA391" s="56"/>
      <c r="AB391" s="50">
        <f>(B391*194.205+C391*267.466+D391*133.845+E391*53.484+F391*40+G391*185+H391*0+I391*100+J391*300)/(194.205+267.466+133.845+53.484+0+40+185+100+300)</f>
        <v>18.942342669073788</v>
      </c>
      <c r="AC391" s="45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18.599443884892086</v>
      </c>
    </row>
    <row r="392" spans="1:29" ht="15.75" x14ac:dyDescent="0.25">
      <c r="A392" s="33">
        <v>52840</v>
      </c>
      <c r="B392" s="14">
        <f>CHOOSE(CONTROL!$C$42, 17.9652, 17.9652) * CHOOSE(CONTROL!$C$21, $C$9, 100%, $E$9)</f>
        <v>17.965199999999999</v>
      </c>
      <c r="C392" s="14">
        <f>CHOOSE(CONTROL!$C$42, 17.9732, 17.9732) * CHOOSE(CONTROL!$C$21, $C$9, 100%, $E$9)</f>
        <v>17.973199999999999</v>
      </c>
      <c r="D392" s="14">
        <f>CHOOSE(CONTROL!$C$42, 18.2068, 18.2068) * CHOOSE(CONTROL!$C$21, $C$9, 100%, $E$9)</f>
        <v>18.206800000000001</v>
      </c>
      <c r="E392" s="14">
        <f>CHOOSE(CONTROL!$C$42, 18.2383, 18.2383) * CHOOSE(CONTROL!$C$21, $C$9, 100%, $E$9)</f>
        <v>18.238299999999999</v>
      </c>
      <c r="F392" s="14">
        <f>CHOOSE(CONTROL!$C$42, 17.9632, 17.9632)*CHOOSE(CONTROL!$C$21, $C$9, 100%, $E$9)</f>
        <v>17.963200000000001</v>
      </c>
      <c r="G392" s="14">
        <f>CHOOSE(CONTROL!$C$42, 17.9798, 17.9798)*CHOOSE(CONTROL!$C$21, $C$9, 100%, $E$9)</f>
        <v>17.979800000000001</v>
      </c>
      <c r="H392" s="14">
        <f>CHOOSE(CONTROL!$C$42, 18.2269, 18.2269) * CHOOSE(CONTROL!$C$21, $C$9, 100%, $E$9)</f>
        <v>18.226900000000001</v>
      </c>
      <c r="I392" s="14">
        <f>CHOOSE(CONTROL!$C$42, 18.0374, 18.0374)* CHOOSE(CONTROL!$C$21, $C$9, 100%, $E$9)</f>
        <v>18.037400000000002</v>
      </c>
      <c r="J392" s="14">
        <f>CHOOSE(CONTROL!$C$42, 17.9562, 17.9562)* CHOOSE(CONTROL!$C$21, $C$9, 100%, $E$9)</f>
        <v>17.956199999999999</v>
      </c>
      <c r="K392" s="53">
        <f>CHOOSE(CONTROL!$C$42, 18.0335, 18.0335) * CHOOSE(CONTROL!$C$21, $C$9, 100%, $E$9)</f>
        <v>18.0335</v>
      </c>
      <c r="L392" s="14">
        <f>CHOOSE(CONTROL!$C$42, 18.8139, 18.8139) * CHOOSE(CONTROL!$C$21, $C$9, 100%, $E$9)</f>
        <v>18.8139</v>
      </c>
      <c r="M392" s="14">
        <f>CHOOSE(CONTROL!$C$42, 17.596, 17.596) * CHOOSE(CONTROL!$C$21, $C$9, 100%, $E$9)</f>
        <v>17.596</v>
      </c>
      <c r="N392" s="14">
        <f>CHOOSE(CONTROL!$C$42, 17.6123, 17.6123) * CHOOSE(CONTROL!$C$21, $C$9, 100%, $E$9)</f>
        <v>17.612300000000001</v>
      </c>
      <c r="O392" s="14">
        <f>CHOOSE(CONTROL!$C$42, 17.8612, 17.8612) * CHOOSE(CONTROL!$C$21, $C$9, 100%, $E$9)</f>
        <v>17.8612</v>
      </c>
      <c r="P392" s="14">
        <f>CHOOSE(CONTROL!$C$42, 17.6744, 17.6744) * CHOOSE(CONTROL!$C$21, $C$9, 100%, $E$9)</f>
        <v>17.674399999999999</v>
      </c>
      <c r="Q392" s="14">
        <f>CHOOSE(CONTROL!$C$42, 18.4559, 18.4559) * CHOOSE(CONTROL!$C$21, $C$9, 100%, $E$9)</f>
        <v>18.4559</v>
      </c>
      <c r="R392" s="14">
        <f>CHOOSE(CONTROL!$C$42, 19.089, 19.089) * CHOOSE(CONTROL!$C$21, $C$9, 100%, $E$9)</f>
        <v>19.088999999999999</v>
      </c>
      <c r="S392" s="14">
        <f>CHOOSE(CONTROL!$C$42, 17.2521, 17.2521) * CHOOSE(CONTROL!$C$21, $C$9, 100%, $E$9)</f>
        <v>17.252099999999999</v>
      </c>
      <c r="T3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7">
        <f>(1000*CHOOSE(CONTROL!$C$42, 695, 695)*CHOOSE(CONTROL!$C$42, 0.5599, 0.5599)*CHOOSE(CONTROL!$C$42, 31, 31))/1000000</f>
        <v>12.063045499999998</v>
      </c>
      <c r="V392" s="57">
        <f>(1000*CHOOSE(CONTROL!$C$42, 500, 500)*CHOOSE(CONTROL!$C$42, 0.275, 0.275)*CHOOSE(CONTROL!$C$42, 31, 31))/1000000</f>
        <v>4.2625000000000002</v>
      </c>
      <c r="W392" s="57">
        <f>(1000*CHOOSE(CONTROL!$C$42, 0.1146, 0.1146)*CHOOSE(CONTROL!$C$42, 121.5, 121.5)*CHOOSE(CONTROL!$C$42, 31, 31))/1000000</f>
        <v>0.43164089999999994</v>
      </c>
      <c r="X392" s="57">
        <f>(31*0.1790888*245000/1000000)+(31*0.2374*100000/1000000)</f>
        <v>2.0961194359999999</v>
      </c>
      <c r="Y392" s="57"/>
      <c r="Z392" s="14"/>
      <c r="AA392" s="56"/>
      <c r="AB392" s="50">
        <f>(B392*194.205+C392*267.466+D392*133.845+E392*53.484+F392*40+G392*185+H392*0+I392*100+J392*300)/(194.205+267.466+133.845+53.484+0+40+185+100+300)</f>
        <v>18.00933199403454</v>
      </c>
      <c r="AC392" s="45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17.685441726618706</v>
      </c>
    </row>
    <row r="393" spans="1:29" ht="15.75" x14ac:dyDescent="0.25">
      <c r="A393" s="33">
        <v>52870</v>
      </c>
      <c r="B393" s="14">
        <f>CHOOSE(CONTROL!$C$42, 16.825, 16.825) * CHOOSE(CONTROL!$C$21, $C$9, 100%, $E$9)</f>
        <v>16.824999999999999</v>
      </c>
      <c r="C393" s="14">
        <f>CHOOSE(CONTROL!$C$42, 16.833, 16.833) * CHOOSE(CONTROL!$C$21, $C$9, 100%, $E$9)</f>
        <v>16.832999999999998</v>
      </c>
      <c r="D393" s="14">
        <f>CHOOSE(CONTROL!$C$42, 17.0666, 17.0666) * CHOOSE(CONTROL!$C$21, $C$9, 100%, $E$9)</f>
        <v>17.066600000000001</v>
      </c>
      <c r="E393" s="14">
        <f>CHOOSE(CONTROL!$C$42, 17.098, 17.098) * CHOOSE(CONTROL!$C$21, $C$9, 100%, $E$9)</f>
        <v>17.097999999999999</v>
      </c>
      <c r="F393" s="14">
        <f>CHOOSE(CONTROL!$C$42, 16.823, 16.823)*CHOOSE(CONTROL!$C$21, $C$9, 100%, $E$9)</f>
        <v>16.823</v>
      </c>
      <c r="G393" s="14">
        <f>CHOOSE(CONTROL!$C$42, 16.8396, 16.8396)*CHOOSE(CONTROL!$C$21, $C$9, 100%, $E$9)</f>
        <v>16.839600000000001</v>
      </c>
      <c r="H393" s="14">
        <f>CHOOSE(CONTROL!$C$42, 17.0867, 17.0867) * CHOOSE(CONTROL!$C$21, $C$9, 100%, $E$9)</f>
        <v>17.0867</v>
      </c>
      <c r="I393" s="14">
        <f>CHOOSE(CONTROL!$C$42, 16.8935, 16.8935)* CHOOSE(CONTROL!$C$21, $C$9, 100%, $E$9)</f>
        <v>16.8935</v>
      </c>
      <c r="J393" s="14">
        <f>CHOOSE(CONTROL!$C$42, 16.816, 16.816)* CHOOSE(CONTROL!$C$21, $C$9, 100%, $E$9)</f>
        <v>16.815999999999999</v>
      </c>
      <c r="K393" s="53">
        <f>CHOOSE(CONTROL!$C$42, 16.8896, 16.8896) * CHOOSE(CONTROL!$C$21, $C$9, 100%, $E$9)</f>
        <v>16.889600000000002</v>
      </c>
      <c r="L393" s="14">
        <f>CHOOSE(CONTROL!$C$42, 17.6737, 17.6737) * CHOOSE(CONTROL!$C$21, $C$9, 100%, $E$9)</f>
        <v>17.6737</v>
      </c>
      <c r="M393" s="14">
        <f>CHOOSE(CONTROL!$C$42, 16.4791, 16.4791) * CHOOSE(CONTROL!$C$21, $C$9, 100%, $E$9)</f>
        <v>16.479099999999999</v>
      </c>
      <c r="N393" s="14">
        <f>CHOOSE(CONTROL!$C$42, 16.4954, 16.4954) * CHOOSE(CONTROL!$C$21, $C$9, 100%, $E$9)</f>
        <v>16.4954</v>
      </c>
      <c r="O393" s="14">
        <f>CHOOSE(CONTROL!$C$42, 16.7443, 16.7443) * CHOOSE(CONTROL!$C$21, $C$9, 100%, $E$9)</f>
        <v>16.744299999999999</v>
      </c>
      <c r="P393" s="14">
        <f>CHOOSE(CONTROL!$C$42, 16.5541, 16.5541) * CHOOSE(CONTROL!$C$21, $C$9, 100%, $E$9)</f>
        <v>16.554099999999998</v>
      </c>
      <c r="Q393" s="14">
        <f>CHOOSE(CONTROL!$C$42, 17.339, 17.339) * CHOOSE(CONTROL!$C$21, $C$9, 100%, $E$9)</f>
        <v>17.338999999999999</v>
      </c>
      <c r="R393" s="14">
        <f>CHOOSE(CONTROL!$C$42, 17.9693, 17.9693) * CHOOSE(CONTROL!$C$21, $C$9, 100%, $E$9)</f>
        <v>17.9693</v>
      </c>
      <c r="S393" s="14">
        <f>CHOOSE(CONTROL!$C$42, 16.1565, 16.1565) * CHOOSE(CONTROL!$C$21, $C$9, 100%, $E$9)</f>
        <v>16.156500000000001</v>
      </c>
      <c r="T3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7">
        <f>(1000*CHOOSE(CONTROL!$C$42, 695, 695)*CHOOSE(CONTROL!$C$42, 0.5599, 0.5599)*CHOOSE(CONTROL!$C$42, 30, 30))/1000000</f>
        <v>11.673914999999997</v>
      </c>
      <c r="V393" s="57">
        <f>(1000*CHOOSE(CONTROL!$C$42, 500, 500)*CHOOSE(CONTROL!$C$42, 0.275, 0.275)*CHOOSE(CONTROL!$C$42, 30, 30))/1000000</f>
        <v>4.125</v>
      </c>
      <c r="W393" s="57">
        <f>(1000*CHOOSE(CONTROL!$C$42, 0.1146, 0.1146)*CHOOSE(CONTROL!$C$42, 121.5, 121.5)*CHOOSE(CONTROL!$C$42, 30, 30))/1000000</f>
        <v>0.417717</v>
      </c>
      <c r="X393" s="57">
        <f>(30*0.1790888*245000/1000000)+(30*0.2374*100000/1000000)</f>
        <v>2.0285026799999999</v>
      </c>
      <c r="Y393" s="57"/>
      <c r="Z393" s="14"/>
      <c r="AA393" s="56"/>
      <c r="AB393" s="50">
        <f>(B393*194.205+C393*267.466+D393*133.845+E393*53.484+F393*40+G393*185+H393*0+I393*100+J393*300)/(194.205+267.466+133.845+53.484+0+40+185+100+300)</f>
        <v>16.868837372056515</v>
      </c>
      <c r="AC393" s="45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16.568052517985613</v>
      </c>
    </row>
    <row r="394" spans="1:29" ht="15.75" x14ac:dyDescent="0.25">
      <c r="A394" s="33">
        <v>52901</v>
      </c>
      <c r="B394" s="14">
        <f>CHOOSE(CONTROL!$C$42, 16.4818, 16.4818) * CHOOSE(CONTROL!$C$21, $C$9, 100%, $E$9)</f>
        <v>16.4818</v>
      </c>
      <c r="C394" s="14">
        <f>CHOOSE(CONTROL!$C$42, 16.4872, 16.4872) * CHOOSE(CONTROL!$C$21, $C$9, 100%, $E$9)</f>
        <v>16.487200000000001</v>
      </c>
      <c r="D394" s="14">
        <f>CHOOSE(CONTROL!$C$42, 16.7257, 16.7257) * CHOOSE(CONTROL!$C$21, $C$9, 100%, $E$9)</f>
        <v>16.7257</v>
      </c>
      <c r="E394" s="14">
        <f>CHOOSE(CONTROL!$C$42, 16.7548, 16.7548) * CHOOSE(CONTROL!$C$21, $C$9, 100%, $E$9)</f>
        <v>16.754799999999999</v>
      </c>
      <c r="F394" s="14">
        <f>CHOOSE(CONTROL!$C$42, 16.4819, 16.4819)*CHOOSE(CONTROL!$C$21, $C$9, 100%, $E$9)</f>
        <v>16.4819</v>
      </c>
      <c r="G394" s="14">
        <f>CHOOSE(CONTROL!$C$42, 16.4981, 16.4981)*CHOOSE(CONTROL!$C$21, $C$9, 100%, $E$9)</f>
        <v>16.498100000000001</v>
      </c>
      <c r="H394" s="14">
        <f>CHOOSE(CONTROL!$C$42, 16.7453, 16.7453) * CHOOSE(CONTROL!$C$21, $C$9, 100%, $E$9)</f>
        <v>16.7453</v>
      </c>
      <c r="I394" s="14">
        <f>CHOOSE(CONTROL!$C$42, 16.5511, 16.5511)* CHOOSE(CONTROL!$C$21, $C$9, 100%, $E$9)</f>
        <v>16.551100000000002</v>
      </c>
      <c r="J394" s="14">
        <f>CHOOSE(CONTROL!$C$42, 16.4749, 16.4749)* CHOOSE(CONTROL!$C$21, $C$9, 100%, $E$9)</f>
        <v>16.474900000000002</v>
      </c>
      <c r="K394" s="53">
        <f>CHOOSE(CONTROL!$C$42, 16.5472, 16.5472) * CHOOSE(CONTROL!$C$21, $C$9, 100%, $E$9)</f>
        <v>16.5472</v>
      </c>
      <c r="L394" s="14">
        <f>CHOOSE(CONTROL!$C$42, 17.3323, 17.3323) * CHOOSE(CONTROL!$C$21, $C$9, 100%, $E$9)</f>
        <v>17.3323</v>
      </c>
      <c r="M394" s="14">
        <f>CHOOSE(CONTROL!$C$42, 16.145, 16.145) * CHOOSE(CONTROL!$C$21, $C$9, 100%, $E$9)</f>
        <v>16.145</v>
      </c>
      <c r="N394" s="14">
        <f>CHOOSE(CONTROL!$C$42, 16.1609, 16.1609) * CHOOSE(CONTROL!$C$21, $C$9, 100%, $E$9)</f>
        <v>16.160900000000002</v>
      </c>
      <c r="O394" s="14">
        <f>CHOOSE(CONTROL!$C$42, 16.4099, 16.4099) * CHOOSE(CONTROL!$C$21, $C$9, 100%, $E$9)</f>
        <v>16.4099</v>
      </c>
      <c r="P394" s="14">
        <f>CHOOSE(CONTROL!$C$42, 16.2187, 16.2187) * CHOOSE(CONTROL!$C$21, $C$9, 100%, $E$9)</f>
        <v>16.218699999999998</v>
      </c>
      <c r="Q394" s="14">
        <f>CHOOSE(CONTROL!$C$42, 17.0046, 17.0046) * CHOOSE(CONTROL!$C$21, $C$9, 100%, $E$9)</f>
        <v>17.0046</v>
      </c>
      <c r="R394" s="14">
        <f>CHOOSE(CONTROL!$C$42, 17.6341, 17.6341) * CHOOSE(CONTROL!$C$21, $C$9, 100%, $E$9)</f>
        <v>17.6341</v>
      </c>
      <c r="S394" s="14">
        <f>CHOOSE(CONTROL!$C$42, 15.8285, 15.8285) * CHOOSE(CONTROL!$C$21, $C$9, 100%, $E$9)</f>
        <v>15.8285</v>
      </c>
      <c r="T3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7">
        <f>(1000*CHOOSE(CONTROL!$C$42, 695, 695)*CHOOSE(CONTROL!$C$42, 0.5599, 0.5599)*CHOOSE(CONTROL!$C$42, 31, 31))/1000000</f>
        <v>12.063045499999998</v>
      </c>
      <c r="V394" s="57">
        <f>(1000*CHOOSE(CONTROL!$C$42, 500, 500)*CHOOSE(CONTROL!$C$42, 0.275, 0.275)*CHOOSE(CONTROL!$C$42, 31, 31))/1000000</f>
        <v>4.2625000000000002</v>
      </c>
      <c r="W394" s="57">
        <f>(1000*CHOOSE(CONTROL!$C$42, 0.1146, 0.1146)*CHOOSE(CONTROL!$C$42, 121.5, 121.5)*CHOOSE(CONTROL!$C$42, 31, 31))/1000000</f>
        <v>0.43164089999999994</v>
      </c>
      <c r="X394" s="57">
        <f>(31*0.1790888*245000/1000000)+(31*0.2374*100000/1000000)</f>
        <v>2.0961194359999999</v>
      </c>
      <c r="Y394" s="57"/>
      <c r="Z394" s="14"/>
      <c r="AA394" s="56"/>
      <c r="AB394" s="50">
        <f>(B394*131.881+C394*277.167+D394*79.08+E394*125.872+F394*40+G394*185+H394*0+I394*100+J394*300)/(131.881+277.167+79.08+125.872+0+40+185+100+300)</f>
        <v>16.532669144309931</v>
      </c>
      <c r="AC394" s="45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16.233589208633092</v>
      </c>
    </row>
    <row r="395" spans="1:29" ht="15.75" x14ac:dyDescent="0.25">
      <c r="A395" s="33">
        <v>52931</v>
      </c>
      <c r="B395" s="14">
        <f>CHOOSE(CONTROL!$C$42, 16.9154, 16.9154) * CHOOSE(CONTROL!$C$21, $C$9, 100%, $E$9)</f>
        <v>16.915400000000002</v>
      </c>
      <c r="C395" s="14">
        <f>CHOOSE(CONTROL!$C$42, 16.9204, 16.9204) * CHOOSE(CONTROL!$C$21, $C$9, 100%, $E$9)</f>
        <v>16.920400000000001</v>
      </c>
      <c r="D395" s="14">
        <f>CHOOSE(CONTROL!$C$42, 16.9946, 16.9946) * CHOOSE(CONTROL!$C$21, $C$9, 100%, $E$9)</f>
        <v>16.994599999999998</v>
      </c>
      <c r="E395" s="14">
        <f>CHOOSE(CONTROL!$C$42, 17.0287, 17.0287) * CHOOSE(CONTROL!$C$21, $C$9, 100%, $E$9)</f>
        <v>17.028700000000001</v>
      </c>
      <c r="F395" s="14">
        <f>CHOOSE(CONTROL!$C$42, 16.9274, 16.9274)*CHOOSE(CONTROL!$C$21, $C$9, 100%, $E$9)</f>
        <v>16.927399999999999</v>
      </c>
      <c r="G395" s="14">
        <f>CHOOSE(CONTROL!$C$42, 16.944, 16.944)*CHOOSE(CONTROL!$C$21, $C$9, 100%, $E$9)</f>
        <v>16.943999999999999</v>
      </c>
      <c r="H395" s="14">
        <f>CHOOSE(CONTROL!$C$42, 17.0179, 17.0179) * CHOOSE(CONTROL!$C$21, $C$9, 100%, $E$9)</f>
        <v>17.017900000000001</v>
      </c>
      <c r="I395" s="14">
        <f>CHOOSE(CONTROL!$C$42, 16.9927, 16.9927)* CHOOSE(CONTROL!$C$21, $C$9, 100%, $E$9)</f>
        <v>16.992699999999999</v>
      </c>
      <c r="J395" s="14">
        <f>CHOOSE(CONTROL!$C$42, 16.9204, 16.9204)* CHOOSE(CONTROL!$C$21, $C$9, 100%, $E$9)</f>
        <v>16.920400000000001</v>
      </c>
      <c r="K395" s="53">
        <f>CHOOSE(CONTROL!$C$42, 16.9888, 16.9888) * CHOOSE(CONTROL!$C$21, $C$9, 100%, $E$9)</f>
        <v>16.988800000000001</v>
      </c>
      <c r="L395" s="14">
        <f>CHOOSE(CONTROL!$C$42, 17.6049, 17.6049) * CHOOSE(CONTROL!$C$21, $C$9, 100%, $E$9)</f>
        <v>17.604900000000001</v>
      </c>
      <c r="M395" s="14">
        <f>CHOOSE(CONTROL!$C$42, 16.5814, 16.5814) * CHOOSE(CONTROL!$C$21, $C$9, 100%, $E$9)</f>
        <v>16.581399999999999</v>
      </c>
      <c r="N395" s="14">
        <f>CHOOSE(CONTROL!$C$42, 16.5977, 16.5977) * CHOOSE(CONTROL!$C$21, $C$9, 100%, $E$9)</f>
        <v>16.5977</v>
      </c>
      <c r="O395" s="14">
        <f>CHOOSE(CONTROL!$C$42, 16.6769, 16.6769) * CHOOSE(CONTROL!$C$21, $C$9, 100%, $E$9)</f>
        <v>16.6769</v>
      </c>
      <c r="P395" s="14">
        <f>CHOOSE(CONTROL!$C$42, 16.6512, 16.6512) * CHOOSE(CONTROL!$C$21, $C$9, 100%, $E$9)</f>
        <v>16.651199999999999</v>
      </c>
      <c r="Q395" s="14">
        <f>CHOOSE(CONTROL!$C$42, 17.2716, 17.2716) * CHOOSE(CONTROL!$C$21, $C$9, 100%, $E$9)</f>
        <v>17.271599999999999</v>
      </c>
      <c r="R395" s="14">
        <f>CHOOSE(CONTROL!$C$42, 17.9018, 17.9018) * CHOOSE(CONTROL!$C$21, $C$9, 100%, $E$9)</f>
        <v>17.901800000000001</v>
      </c>
      <c r="S395" s="14">
        <f>CHOOSE(CONTROL!$C$42, 16.2454, 16.2454) * CHOOSE(CONTROL!$C$21, $C$9, 100%, $E$9)</f>
        <v>16.2454</v>
      </c>
      <c r="T3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7">
        <f>(1000*CHOOSE(CONTROL!$C$42, 695, 695)*CHOOSE(CONTROL!$C$42, 0.5599, 0.5599)*CHOOSE(CONTROL!$C$42, 30, 30))/1000000</f>
        <v>11.673914999999997</v>
      </c>
      <c r="V395" s="57">
        <f>(1000*CHOOSE(CONTROL!$C$42, 500, 500)*CHOOSE(CONTROL!$C$42, 0.275, 0.275)*CHOOSE(CONTROL!$C$42, 30, 30))/1000000</f>
        <v>4.125</v>
      </c>
      <c r="W395" s="57">
        <f>(1000*CHOOSE(CONTROL!$C$42, 0.1146, 0.1146)*CHOOSE(CONTROL!$C$42, 121.5, 121.5)*CHOOSE(CONTROL!$C$42, 30, 30))/1000000</f>
        <v>0.417717</v>
      </c>
      <c r="X395" s="57">
        <f>(30*0.1790888*100000/1000000)+(30*0.2374*100000/1000000)</f>
        <v>1.2494664</v>
      </c>
      <c r="Y395" s="57"/>
      <c r="Z395" s="14"/>
      <c r="AA395" s="56"/>
      <c r="AB395" s="50">
        <f>(B395*122.58+C395*297.941+D395*89.177+E395*40.302+F395*40+G395*160+H395*0+I395*100+J395*300)/(122.58+297.941+89.177+40.302+0+40+160+100+300)</f>
        <v>16.939230208695651</v>
      </c>
      <c r="AC395" s="45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16.635665467625898</v>
      </c>
    </row>
    <row r="396" spans="1:29" ht="15.75" x14ac:dyDescent="0.25">
      <c r="A396" s="33">
        <v>52962</v>
      </c>
      <c r="B396" s="14">
        <f>CHOOSE(CONTROL!$C$42, 18.068, 18.068) * CHOOSE(CONTROL!$C$21, $C$9, 100%, $E$9)</f>
        <v>18.068000000000001</v>
      </c>
      <c r="C396" s="14">
        <f>CHOOSE(CONTROL!$C$42, 18.073, 18.073) * CHOOSE(CONTROL!$C$21, $C$9, 100%, $E$9)</f>
        <v>18.073</v>
      </c>
      <c r="D396" s="14">
        <f>CHOOSE(CONTROL!$C$42, 18.1473, 18.1473) * CHOOSE(CONTROL!$C$21, $C$9, 100%, $E$9)</f>
        <v>18.147300000000001</v>
      </c>
      <c r="E396" s="14">
        <f>CHOOSE(CONTROL!$C$42, 18.1814, 18.1814) * CHOOSE(CONTROL!$C$21, $C$9, 100%, $E$9)</f>
        <v>18.1814</v>
      </c>
      <c r="F396" s="14">
        <f>CHOOSE(CONTROL!$C$42, 18.0822, 18.0822)*CHOOSE(CONTROL!$C$21, $C$9, 100%, $E$9)</f>
        <v>18.0822</v>
      </c>
      <c r="G396" s="14">
        <f>CHOOSE(CONTROL!$C$42, 18.0994, 18.0994)*CHOOSE(CONTROL!$C$21, $C$9, 100%, $E$9)</f>
        <v>18.099399999999999</v>
      </c>
      <c r="H396" s="14">
        <f>CHOOSE(CONTROL!$C$42, 18.1706, 18.1706) * CHOOSE(CONTROL!$C$21, $C$9, 100%, $E$9)</f>
        <v>18.1706</v>
      </c>
      <c r="I396" s="14">
        <f>CHOOSE(CONTROL!$C$42, 18.1489, 18.1489)* CHOOSE(CONTROL!$C$21, $C$9, 100%, $E$9)</f>
        <v>18.148900000000001</v>
      </c>
      <c r="J396" s="14">
        <f>CHOOSE(CONTROL!$C$42, 18.0752, 18.0752)* CHOOSE(CONTROL!$C$21, $C$9, 100%, $E$9)</f>
        <v>18.075199999999999</v>
      </c>
      <c r="K396" s="53">
        <f>CHOOSE(CONTROL!$C$42, 18.145, 18.145) * CHOOSE(CONTROL!$C$21, $C$9, 100%, $E$9)</f>
        <v>18.145</v>
      </c>
      <c r="L396" s="14">
        <f>CHOOSE(CONTROL!$C$42, 18.7576, 18.7576) * CHOOSE(CONTROL!$C$21, $C$9, 100%, $E$9)</f>
        <v>18.7576</v>
      </c>
      <c r="M396" s="14">
        <f>CHOOSE(CONTROL!$C$42, 17.7125, 17.7125) * CHOOSE(CONTROL!$C$21, $C$9, 100%, $E$9)</f>
        <v>17.712499999999999</v>
      </c>
      <c r="N396" s="14">
        <f>CHOOSE(CONTROL!$C$42, 17.7294, 17.7294) * CHOOSE(CONTROL!$C$21, $C$9, 100%, $E$9)</f>
        <v>17.729399999999998</v>
      </c>
      <c r="O396" s="14">
        <f>CHOOSE(CONTROL!$C$42, 17.8059, 17.8059) * CHOOSE(CONTROL!$C$21, $C$9, 100%, $E$9)</f>
        <v>17.805900000000001</v>
      </c>
      <c r="P396" s="14">
        <f>CHOOSE(CONTROL!$C$42, 17.7837, 17.7837) * CHOOSE(CONTROL!$C$21, $C$9, 100%, $E$9)</f>
        <v>17.7837</v>
      </c>
      <c r="Q396" s="14">
        <f>CHOOSE(CONTROL!$C$42, 18.4006, 18.4006) * CHOOSE(CONTROL!$C$21, $C$9, 100%, $E$9)</f>
        <v>18.400600000000001</v>
      </c>
      <c r="R396" s="14">
        <f>CHOOSE(CONTROL!$C$42, 19.0336, 19.0336) * CHOOSE(CONTROL!$C$21, $C$9, 100%, $E$9)</f>
        <v>19.0336</v>
      </c>
      <c r="S396" s="14">
        <f>CHOOSE(CONTROL!$C$42, 17.353, 17.353) * CHOOSE(CONTROL!$C$21, $C$9, 100%, $E$9)</f>
        <v>17.353000000000002</v>
      </c>
      <c r="T3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7">
        <f>(1000*CHOOSE(CONTROL!$C$42, 695, 695)*CHOOSE(CONTROL!$C$42, 0.5599, 0.5599)*CHOOSE(CONTROL!$C$42, 31, 31))/1000000</f>
        <v>12.063045499999998</v>
      </c>
      <c r="V396" s="57">
        <f>(1000*CHOOSE(CONTROL!$C$42, 500, 500)*CHOOSE(CONTROL!$C$42, 0.275, 0.275)*CHOOSE(CONTROL!$C$42, 31, 31))/1000000</f>
        <v>4.2625000000000002</v>
      </c>
      <c r="W396" s="57">
        <f>(1000*CHOOSE(CONTROL!$C$42, 0.1146, 0.1146)*CHOOSE(CONTROL!$C$42, 121.5, 121.5)*CHOOSE(CONTROL!$C$42, 31, 31))/1000000</f>
        <v>0.43164089999999994</v>
      </c>
      <c r="X396" s="57">
        <f>(31*0.1790888*100000/1000000)+(31*0.2374*100000/1000000)</f>
        <v>1.2911152800000001</v>
      </c>
      <c r="Y396" s="57"/>
      <c r="Z396" s="14"/>
      <c r="AA396" s="56"/>
      <c r="AB396" s="50">
        <f>(B396*122.58+C396*297.941+D396*89.177+E396*40.302+F396*40+G396*160+H396*0+I396*100+J396*300)/(122.58+297.941+89.177+40.302+0+40+160+100+300)</f>
        <v>18.093194511217394</v>
      </c>
      <c r="AC396" s="45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17.766049640287772</v>
      </c>
    </row>
    <row r="397" spans="1:29" ht="15.75" x14ac:dyDescent="0.25">
      <c r="A397" s="33">
        <v>52993</v>
      </c>
      <c r="B397" s="14">
        <f>CHOOSE(CONTROL!$C$42, 19.565, 19.565) * CHOOSE(CONTROL!$C$21, $C$9, 100%, $E$9)</f>
        <v>19.565000000000001</v>
      </c>
      <c r="C397" s="14">
        <f>CHOOSE(CONTROL!$C$42, 19.5701, 19.5701) * CHOOSE(CONTROL!$C$21, $C$9, 100%, $E$9)</f>
        <v>19.5701</v>
      </c>
      <c r="D397" s="14">
        <f>CHOOSE(CONTROL!$C$42, 19.6469, 19.6469) * CHOOSE(CONTROL!$C$21, $C$9, 100%, $E$9)</f>
        <v>19.646899999999999</v>
      </c>
      <c r="E397" s="14">
        <f>CHOOSE(CONTROL!$C$42, 19.681, 19.681) * CHOOSE(CONTROL!$C$21, $C$9, 100%, $E$9)</f>
        <v>19.681000000000001</v>
      </c>
      <c r="F397" s="14">
        <f>CHOOSE(CONTROL!$C$42, 19.5652, 19.5652)*CHOOSE(CONTROL!$C$21, $C$9, 100%, $E$9)</f>
        <v>19.565200000000001</v>
      </c>
      <c r="G397" s="14">
        <f>CHOOSE(CONTROL!$C$42, 19.5814, 19.5814)*CHOOSE(CONTROL!$C$21, $C$9, 100%, $E$9)</f>
        <v>19.581399999999999</v>
      </c>
      <c r="H397" s="14">
        <f>CHOOSE(CONTROL!$C$42, 19.6702, 19.6702) * CHOOSE(CONTROL!$C$21, $C$9, 100%, $E$9)</f>
        <v>19.670200000000001</v>
      </c>
      <c r="I397" s="14">
        <f>CHOOSE(CONTROL!$C$42, 19.6443, 19.6443)* CHOOSE(CONTROL!$C$21, $C$9, 100%, $E$9)</f>
        <v>19.644300000000001</v>
      </c>
      <c r="J397" s="14">
        <f>CHOOSE(CONTROL!$C$42, 19.5582, 19.5582)* CHOOSE(CONTROL!$C$21, $C$9, 100%, $E$9)</f>
        <v>19.558199999999999</v>
      </c>
      <c r="K397" s="53">
        <f>CHOOSE(CONTROL!$C$42, 19.6405, 19.6405) * CHOOSE(CONTROL!$C$21, $C$9, 100%, $E$9)</f>
        <v>19.640499999999999</v>
      </c>
      <c r="L397" s="14">
        <f>CHOOSE(CONTROL!$C$42, 20.2572, 20.2572) * CHOOSE(CONTROL!$C$21, $C$9, 100%, $E$9)</f>
        <v>20.257200000000001</v>
      </c>
      <c r="M397" s="14">
        <f>CHOOSE(CONTROL!$C$42, 19.1652, 19.1652) * CHOOSE(CONTROL!$C$21, $C$9, 100%, $E$9)</f>
        <v>19.165199999999999</v>
      </c>
      <c r="N397" s="14">
        <f>CHOOSE(CONTROL!$C$42, 19.1811, 19.1811) * CHOOSE(CONTROL!$C$21, $C$9, 100%, $E$9)</f>
        <v>19.181100000000001</v>
      </c>
      <c r="O397" s="14">
        <f>CHOOSE(CONTROL!$C$42, 19.2749, 19.2749) * CHOOSE(CONTROL!$C$21, $C$9, 100%, $E$9)</f>
        <v>19.274899999999999</v>
      </c>
      <c r="P397" s="14">
        <f>CHOOSE(CONTROL!$C$42, 19.2484, 19.2484) * CHOOSE(CONTROL!$C$21, $C$9, 100%, $E$9)</f>
        <v>19.2484</v>
      </c>
      <c r="Q397" s="14">
        <f>CHOOSE(CONTROL!$C$42, 19.8696, 19.8696) * CHOOSE(CONTROL!$C$21, $C$9, 100%, $E$9)</f>
        <v>19.869599999999998</v>
      </c>
      <c r="R397" s="14">
        <f>CHOOSE(CONTROL!$C$42, 20.5062, 20.5062) * CHOOSE(CONTROL!$C$21, $C$9, 100%, $E$9)</f>
        <v>20.5062</v>
      </c>
      <c r="S397" s="14">
        <f>CHOOSE(CONTROL!$C$42, 18.7915, 18.7915) * CHOOSE(CONTROL!$C$21, $C$9, 100%, $E$9)</f>
        <v>18.791499999999999</v>
      </c>
      <c r="T3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7">
        <f>(1000*CHOOSE(CONTROL!$C$42, 695, 695)*CHOOSE(CONTROL!$C$42, 0.5599, 0.5599)*CHOOSE(CONTROL!$C$42, 31, 31))/1000000</f>
        <v>12.063045499999998</v>
      </c>
      <c r="V397" s="57">
        <f>(1000*CHOOSE(CONTROL!$C$42, 500, 500)*CHOOSE(CONTROL!$C$42, 0.275, 0.275)*CHOOSE(CONTROL!$C$42, 31, 31))/1000000</f>
        <v>4.2625000000000002</v>
      </c>
      <c r="W397" s="57">
        <f>(1000*CHOOSE(CONTROL!$C$42, 0.1146, 0.1146)*CHOOSE(CONTROL!$C$42, 121.5, 121.5)*CHOOSE(CONTROL!$C$42, 31, 31))/1000000</f>
        <v>0.43164089999999994</v>
      </c>
      <c r="X397" s="57">
        <f>(31*0.1790888*100000/1000000)+(31*0.2374*100000/1000000)</f>
        <v>1.2911152800000001</v>
      </c>
      <c r="Y397" s="57"/>
      <c r="Z397" s="14"/>
      <c r="AA397" s="56"/>
      <c r="AB397" s="50">
        <f>(B397*122.58+C397*297.941+D397*89.177+E397*40.302+F397*40+G397*160+H397*0+I397*100+J397*300)/(122.58+297.941+89.177+40.302+0+40+160+100+300)</f>
        <v>19.584147936869563</v>
      </c>
      <c r="AC397" s="45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19.227806474820142</v>
      </c>
    </row>
    <row r="398" spans="1:29" ht="15.75" x14ac:dyDescent="0.25">
      <c r="A398" s="33">
        <v>53021</v>
      </c>
      <c r="B398" s="14">
        <f>CHOOSE(CONTROL!$C$42, 19.9131, 19.9131) * CHOOSE(CONTROL!$C$21, $C$9, 100%, $E$9)</f>
        <v>19.9131</v>
      </c>
      <c r="C398" s="14">
        <f>CHOOSE(CONTROL!$C$42, 19.9182, 19.9182) * CHOOSE(CONTROL!$C$21, $C$9, 100%, $E$9)</f>
        <v>19.918199999999999</v>
      </c>
      <c r="D398" s="14">
        <f>CHOOSE(CONTROL!$C$42, 19.995, 19.995) * CHOOSE(CONTROL!$C$21, $C$9, 100%, $E$9)</f>
        <v>19.995000000000001</v>
      </c>
      <c r="E398" s="14">
        <f>CHOOSE(CONTROL!$C$42, 20.0291, 20.0291) * CHOOSE(CONTROL!$C$21, $C$9, 100%, $E$9)</f>
        <v>20.0291</v>
      </c>
      <c r="F398" s="14">
        <f>CHOOSE(CONTROL!$C$42, 19.9134, 19.9134)*CHOOSE(CONTROL!$C$21, $C$9, 100%, $E$9)</f>
        <v>19.913399999999999</v>
      </c>
      <c r="G398" s="14">
        <f>CHOOSE(CONTROL!$C$42, 19.9296, 19.9296)*CHOOSE(CONTROL!$C$21, $C$9, 100%, $E$9)</f>
        <v>19.929600000000001</v>
      </c>
      <c r="H398" s="14">
        <f>CHOOSE(CONTROL!$C$42, 20.0183, 20.0183) * CHOOSE(CONTROL!$C$21, $C$9, 100%, $E$9)</f>
        <v>20.0183</v>
      </c>
      <c r="I398" s="14">
        <f>CHOOSE(CONTROL!$C$42, 19.9935, 19.9935)* CHOOSE(CONTROL!$C$21, $C$9, 100%, $E$9)</f>
        <v>19.993500000000001</v>
      </c>
      <c r="J398" s="14">
        <f>CHOOSE(CONTROL!$C$42, 19.9064, 19.9064)* CHOOSE(CONTROL!$C$21, $C$9, 100%, $E$9)</f>
        <v>19.906400000000001</v>
      </c>
      <c r="K398" s="53">
        <f>CHOOSE(CONTROL!$C$42, 19.9897, 19.9897) * CHOOSE(CONTROL!$C$21, $C$9, 100%, $E$9)</f>
        <v>19.989699999999999</v>
      </c>
      <c r="L398" s="14">
        <f>CHOOSE(CONTROL!$C$42, 20.6053, 20.6053) * CHOOSE(CONTROL!$C$21, $C$9, 100%, $E$9)</f>
        <v>20.6053</v>
      </c>
      <c r="M398" s="14">
        <f>CHOOSE(CONTROL!$C$42, 19.5062, 19.5062) * CHOOSE(CONTROL!$C$21, $C$9, 100%, $E$9)</f>
        <v>19.5062</v>
      </c>
      <c r="N398" s="14">
        <f>CHOOSE(CONTROL!$C$42, 19.5221, 19.5221) * CHOOSE(CONTROL!$C$21, $C$9, 100%, $E$9)</f>
        <v>19.522099999999998</v>
      </c>
      <c r="O398" s="14">
        <f>CHOOSE(CONTROL!$C$42, 19.6158, 19.6158) * CHOOSE(CONTROL!$C$21, $C$9, 100%, $E$9)</f>
        <v>19.6158</v>
      </c>
      <c r="P398" s="14">
        <f>CHOOSE(CONTROL!$C$42, 19.5904, 19.5904) * CHOOSE(CONTROL!$C$21, $C$9, 100%, $E$9)</f>
        <v>19.590399999999999</v>
      </c>
      <c r="Q398" s="14">
        <f>CHOOSE(CONTROL!$C$42, 20.2105, 20.2105) * CHOOSE(CONTROL!$C$21, $C$9, 100%, $E$9)</f>
        <v>20.2105</v>
      </c>
      <c r="R398" s="14">
        <f>CHOOSE(CONTROL!$C$42, 20.8481, 20.8481) * CHOOSE(CONTROL!$C$21, $C$9, 100%, $E$9)</f>
        <v>20.848099999999999</v>
      </c>
      <c r="S398" s="14">
        <f>CHOOSE(CONTROL!$C$42, 19.126, 19.126) * CHOOSE(CONTROL!$C$21, $C$9, 100%, $E$9)</f>
        <v>19.126000000000001</v>
      </c>
      <c r="T3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7">
        <f>(1000*CHOOSE(CONTROL!$C$42, 695, 695)*CHOOSE(CONTROL!$C$42, 0.5599, 0.5599)*CHOOSE(CONTROL!$C$42, 28, 28))/1000000</f>
        <v>10.895653999999999</v>
      </c>
      <c r="V398" s="57">
        <f>(1000*CHOOSE(CONTROL!$C$42, 500, 500)*CHOOSE(CONTROL!$C$42, 0.275, 0.275)*CHOOSE(CONTROL!$C$42, 28, 28))/1000000</f>
        <v>3.85</v>
      </c>
      <c r="W398" s="57">
        <f>(1000*CHOOSE(CONTROL!$C$42, 0.1146, 0.1146)*CHOOSE(CONTROL!$C$42, 121.5, 121.5)*CHOOSE(CONTROL!$C$42, 28, 28))/1000000</f>
        <v>0.38986920000000003</v>
      </c>
      <c r="X398" s="57">
        <f>(28*0.1790888*100000/1000000)+(28*0.2374*100000/1000000)</f>
        <v>1.16616864</v>
      </c>
      <c r="Y398" s="57"/>
      <c r="Z398" s="14"/>
      <c r="AA398" s="56"/>
      <c r="AB398" s="50">
        <f>(B398*122.58+C398*297.941+D398*89.177+E398*40.302+F398*40+G398*160+H398*0+I398*100+J398*300)/(122.58+297.941+89.177+40.302+0+40+160+100+300)</f>
        <v>19.932387067304347</v>
      </c>
      <c r="AC398" s="45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19.568905035971223</v>
      </c>
    </row>
    <row r="399" spans="1:29" ht="15.75" x14ac:dyDescent="0.25">
      <c r="A399" s="33">
        <v>53052</v>
      </c>
      <c r="B399" s="14">
        <f>CHOOSE(CONTROL!$C$42, 19.348, 19.348) * CHOOSE(CONTROL!$C$21, $C$9, 100%, $E$9)</f>
        <v>19.347999999999999</v>
      </c>
      <c r="C399" s="14">
        <f>CHOOSE(CONTROL!$C$42, 19.3531, 19.3531) * CHOOSE(CONTROL!$C$21, $C$9, 100%, $E$9)</f>
        <v>19.353100000000001</v>
      </c>
      <c r="D399" s="14">
        <f>CHOOSE(CONTROL!$C$42, 19.4299, 19.4299) * CHOOSE(CONTROL!$C$21, $C$9, 100%, $E$9)</f>
        <v>19.4299</v>
      </c>
      <c r="E399" s="14">
        <f>CHOOSE(CONTROL!$C$42, 19.464, 19.464) * CHOOSE(CONTROL!$C$21, $C$9, 100%, $E$9)</f>
        <v>19.463999999999999</v>
      </c>
      <c r="F399" s="14">
        <f>CHOOSE(CONTROL!$C$42, 19.3478, 19.3478)*CHOOSE(CONTROL!$C$21, $C$9, 100%, $E$9)</f>
        <v>19.347799999999999</v>
      </c>
      <c r="G399" s="14">
        <f>CHOOSE(CONTROL!$C$42, 19.3639, 19.3639)*CHOOSE(CONTROL!$C$21, $C$9, 100%, $E$9)</f>
        <v>19.363900000000001</v>
      </c>
      <c r="H399" s="14">
        <f>CHOOSE(CONTROL!$C$42, 19.4532, 19.4532) * CHOOSE(CONTROL!$C$21, $C$9, 100%, $E$9)</f>
        <v>19.453199999999999</v>
      </c>
      <c r="I399" s="14">
        <f>CHOOSE(CONTROL!$C$42, 19.4267, 19.4267)* CHOOSE(CONTROL!$C$21, $C$9, 100%, $E$9)</f>
        <v>19.4267</v>
      </c>
      <c r="J399" s="14">
        <f>CHOOSE(CONTROL!$C$42, 19.3408, 19.3408)* CHOOSE(CONTROL!$C$21, $C$9, 100%, $E$9)</f>
        <v>19.340800000000002</v>
      </c>
      <c r="K399" s="53">
        <f>CHOOSE(CONTROL!$C$42, 19.4228, 19.4228) * CHOOSE(CONTROL!$C$21, $C$9, 100%, $E$9)</f>
        <v>19.422799999999999</v>
      </c>
      <c r="L399" s="14">
        <f>CHOOSE(CONTROL!$C$42, 20.0402, 20.0402) * CHOOSE(CONTROL!$C$21, $C$9, 100%, $E$9)</f>
        <v>20.040199999999999</v>
      </c>
      <c r="M399" s="14">
        <f>CHOOSE(CONTROL!$C$42, 18.9523, 18.9523) * CHOOSE(CONTROL!$C$21, $C$9, 100%, $E$9)</f>
        <v>18.952300000000001</v>
      </c>
      <c r="N399" s="14">
        <f>CHOOSE(CONTROL!$C$42, 18.968, 18.968) * CHOOSE(CONTROL!$C$21, $C$9, 100%, $E$9)</f>
        <v>18.968</v>
      </c>
      <c r="O399" s="14">
        <f>CHOOSE(CONTROL!$C$42, 19.0623, 19.0623) * CHOOSE(CONTROL!$C$21, $C$9, 100%, $E$9)</f>
        <v>19.0623</v>
      </c>
      <c r="P399" s="14">
        <f>CHOOSE(CONTROL!$C$42, 19.0352, 19.0352) * CHOOSE(CONTROL!$C$21, $C$9, 100%, $E$9)</f>
        <v>19.0352</v>
      </c>
      <c r="Q399" s="14">
        <f>CHOOSE(CONTROL!$C$42, 19.657, 19.657) * CHOOSE(CONTROL!$C$21, $C$9, 100%, $E$9)</f>
        <v>19.657</v>
      </c>
      <c r="R399" s="14">
        <f>CHOOSE(CONTROL!$C$42, 20.2932, 20.2932) * CHOOSE(CONTROL!$C$21, $C$9, 100%, $E$9)</f>
        <v>20.293199999999999</v>
      </c>
      <c r="S399" s="14">
        <f>CHOOSE(CONTROL!$C$42, 18.583, 18.583) * CHOOSE(CONTROL!$C$21, $C$9, 100%, $E$9)</f>
        <v>18.582999999999998</v>
      </c>
      <c r="T3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7">
        <f>(1000*CHOOSE(CONTROL!$C$42, 695, 695)*CHOOSE(CONTROL!$C$42, 0.5599, 0.5599)*CHOOSE(CONTROL!$C$42, 31, 31))/1000000</f>
        <v>12.063045499999998</v>
      </c>
      <c r="V399" s="57">
        <f>(1000*CHOOSE(CONTROL!$C$42, 500, 500)*CHOOSE(CONTROL!$C$42, 0.275, 0.275)*CHOOSE(CONTROL!$C$42, 31, 31))/1000000</f>
        <v>4.2625000000000002</v>
      </c>
      <c r="W399" s="57">
        <f>(1000*CHOOSE(CONTROL!$C$42, 0.1146, 0.1146)*CHOOSE(CONTROL!$C$42, 121.5, 121.5)*CHOOSE(CONTROL!$C$42, 31, 31))/1000000</f>
        <v>0.43164089999999994</v>
      </c>
      <c r="X399" s="57">
        <f>(31*0.1790888*100000/1000000)+(31*0.2374*100000/1000000)</f>
        <v>1.2911152800000001</v>
      </c>
      <c r="Y399" s="57"/>
      <c r="Z399" s="14"/>
      <c r="AA399" s="56"/>
      <c r="AB399" s="50">
        <f>(B399*122.58+C399*297.941+D399*89.177+E399*40.302+F399*40+G399*160+H399*0+I399*100+J399*300)/(122.58+297.941+89.177+40.302+0+40+160+100+300)</f>
        <v>19.366907936869566</v>
      </c>
      <c r="AC399" s="45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19.014987769784174</v>
      </c>
    </row>
    <row r="400" spans="1:29" ht="15.75" x14ac:dyDescent="0.25">
      <c r="A400" s="33">
        <v>53082</v>
      </c>
      <c r="B400" s="14">
        <f>CHOOSE(CONTROL!$C$42, 19.2914, 19.2914) * CHOOSE(CONTROL!$C$21, $C$9, 100%, $E$9)</f>
        <v>19.291399999999999</v>
      </c>
      <c r="C400" s="14">
        <f>CHOOSE(CONTROL!$C$42, 19.2959, 19.2959) * CHOOSE(CONTROL!$C$21, $C$9, 100%, $E$9)</f>
        <v>19.2959</v>
      </c>
      <c r="D400" s="14">
        <f>CHOOSE(CONTROL!$C$42, 19.5326, 19.5326) * CHOOSE(CONTROL!$C$21, $C$9, 100%, $E$9)</f>
        <v>19.532599999999999</v>
      </c>
      <c r="E400" s="14">
        <f>CHOOSE(CONTROL!$C$42, 19.5647, 19.5647) * CHOOSE(CONTROL!$C$21, $C$9, 100%, $E$9)</f>
        <v>19.564699999999998</v>
      </c>
      <c r="F400" s="14">
        <f>CHOOSE(CONTROL!$C$42, 19.2893, 19.2893)*CHOOSE(CONTROL!$C$21, $C$9, 100%, $E$9)</f>
        <v>19.289300000000001</v>
      </c>
      <c r="G400" s="14">
        <f>CHOOSE(CONTROL!$C$42, 19.3052, 19.3052)*CHOOSE(CONTROL!$C$21, $C$9, 100%, $E$9)</f>
        <v>19.305199999999999</v>
      </c>
      <c r="H400" s="14">
        <f>CHOOSE(CONTROL!$C$42, 19.5545, 19.5545) * CHOOSE(CONTROL!$C$21, $C$9, 100%, $E$9)</f>
        <v>19.554500000000001</v>
      </c>
      <c r="I400" s="14">
        <f>CHOOSE(CONTROL!$C$42, 19.3691, 19.3691)* CHOOSE(CONTROL!$C$21, $C$9, 100%, $E$9)</f>
        <v>19.3691</v>
      </c>
      <c r="J400" s="14">
        <f>CHOOSE(CONTROL!$C$42, 19.2823, 19.2823)* CHOOSE(CONTROL!$C$21, $C$9, 100%, $E$9)</f>
        <v>19.282299999999999</v>
      </c>
      <c r="K400" s="53">
        <f>CHOOSE(CONTROL!$C$42, 19.3652, 19.3652) * CHOOSE(CONTROL!$C$21, $C$9, 100%, $E$9)</f>
        <v>19.365200000000002</v>
      </c>
      <c r="L400" s="14">
        <f>CHOOSE(CONTROL!$C$42, 20.1415, 20.1415) * CHOOSE(CONTROL!$C$21, $C$9, 100%, $E$9)</f>
        <v>20.141500000000001</v>
      </c>
      <c r="M400" s="14">
        <f>CHOOSE(CONTROL!$C$42, 18.8949, 18.8949) * CHOOSE(CONTROL!$C$21, $C$9, 100%, $E$9)</f>
        <v>18.8949</v>
      </c>
      <c r="N400" s="14">
        <f>CHOOSE(CONTROL!$C$42, 18.9104, 18.9104) * CHOOSE(CONTROL!$C$21, $C$9, 100%, $E$9)</f>
        <v>18.910399999999999</v>
      </c>
      <c r="O400" s="14">
        <f>CHOOSE(CONTROL!$C$42, 19.1615, 19.1615) * CHOOSE(CONTROL!$C$21, $C$9, 100%, $E$9)</f>
        <v>19.1615</v>
      </c>
      <c r="P400" s="14">
        <f>CHOOSE(CONTROL!$C$42, 18.9788, 18.9788) * CHOOSE(CONTROL!$C$21, $C$9, 100%, $E$9)</f>
        <v>18.9788</v>
      </c>
      <c r="Q400" s="14">
        <f>CHOOSE(CONTROL!$C$42, 19.7562, 19.7562) * CHOOSE(CONTROL!$C$21, $C$9, 100%, $E$9)</f>
        <v>19.7562</v>
      </c>
      <c r="R400" s="14">
        <f>CHOOSE(CONTROL!$C$42, 20.3926, 20.3926) * CHOOSE(CONTROL!$C$21, $C$9, 100%, $E$9)</f>
        <v>20.392600000000002</v>
      </c>
      <c r="S400" s="14">
        <f>CHOOSE(CONTROL!$C$42, 18.5278, 18.5278) * CHOOSE(CONTROL!$C$21, $C$9, 100%, $E$9)</f>
        <v>18.527799999999999</v>
      </c>
      <c r="T4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7">
        <f>(1000*CHOOSE(CONTROL!$C$42, 695, 695)*CHOOSE(CONTROL!$C$42, 0.5599, 0.5599)*CHOOSE(CONTROL!$C$42, 30, 30))/1000000</f>
        <v>11.673914999999997</v>
      </c>
      <c r="V400" s="57">
        <f>(1000*CHOOSE(CONTROL!$C$42, 500, 500)*CHOOSE(CONTROL!$C$42, 0.275, 0.275)*CHOOSE(CONTROL!$C$42, 30, 30))/1000000</f>
        <v>4.125</v>
      </c>
      <c r="W400" s="57">
        <f>(1000*CHOOSE(CONTROL!$C$42, 0.1146, 0.1146)*CHOOSE(CONTROL!$C$42, 121.5, 121.5)*CHOOSE(CONTROL!$C$42, 30, 30))/1000000</f>
        <v>0.417717</v>
      </c>
      <c r="X400" s="57">
        <f>(30*0.1790888*245000/1000000)+(30*0.2374*100000/1000000)</f>
        <v>2.0285026799999999</v>
      </c>
      <c r="Y400" s="57"/>
      <c r="Z400" s="14"/>
      <c r="AA400" s="56"/>
      <c r="AB400" s="50">
        <f>(B400*141.293+C400*267.993+D400*115.016+E400*89.698+F400*40+G400*185+H400*0+I400*100+J400*300)/(141.293+267.993+115.016+89.698+0+40+185+100+300)</f>
        <v>19.340610081598061</v>
      </c>
      <c r="AC400" s="45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18.985341726618703</v>
      </c>
    </row>
    <row r="401" spans="1:29" ht="15.75" x14ac:dyDescent="0.25">
      <c r="A401" s="33">
        <v>53113</v>
      </c>
      <c r="B401" s="14">
        <f>CHOOSE(CONTROL!$C$42, 19.463, 19.463) * CHOOSE(CONTROL!$C$21, $C$9, 100%, $E$9)</f>
        <v>19.463000000000001</v>
      </c>
      <c r="C401" s="14">
        <f>CHOOSE(CONTROL!$C$42, 19.471, 19.471) * CHOOSE(CONTROL!$C$21, $C$9, 100%, $E$9)</f>
        <v>19.471</v>
      </c>
      <c r="D401" s="14">
        <f>CHOOSE(CONTROL!$C$42, 19.7046, 19.7046) * CHOOSE(CONTROL!$C$21, $C$9, 100%, $E$9)</f>
        <v>19.704599999999999</v>
      </c>
      <c r="E401" s="14">
        <f>CHOOSE(CONTROL!$C$42, 19.736, 19.736) * CHOOSE(CONTROL!$C$21, $C$9, 100%, $E$9)</f>
        <v>19.736000000000001</v>
      </c>
      <c r="F401" s="14">
        <f>CHOOSE(CONTROL!$C$42, 19.4597, 19.4597)*CHOOSE(CONTROL!$C$21, $C$9, 100%, $E$9)</f>
        <v>19.459700000000002</v>
      </c>
      <c r="G401" s="14">
        <f>CHOOSE(CONTROL!$C$42, 19.4761, 19.4761)*CHOOSE(CONTROL!$C$21, $C$9, 100%, $E$9)</f>
        <v>19.476099999999999</v>
      </c>
      <c r="H401" s="14">
        <f>CHOOSE(CONTROL!$C$42, 19.7247, 19.7247) * CHOOSE(CONTROL!$C$21, $C$9, 100%, $E$9)</f>
        <v>19.724699999999999</v>
      </c>
      <c r="I401" s="14">
        <f>CHOOSE(CONTROL!$C$42, 19.5398, 19.5398)* CHOOSE(CONTROL!$C$21, $C$9, 100%, $E$9)</f>
        <v>19.5398</v>
      </c>
      <c r="J401" s="14">
        <f>CHOOSE(CONTROL!$C$42, 19.4527, 19.4527)* CHOOSE(CONTROL!$C$21, $C$9, 100%, $E$9)</f>
        <v>19.4527</v>
      </c>
      <c r="K401" s="53">
        <f>CHOOSE(CONTROL!$C$42, 19.5359, 19.5359) * CHOOSE(CONTROL!$C$21, $C$9, 100%, $E$9)</f>
        <v>19.535900000000002</v>
      </c>
      <c r="L401" s="14">
        <f>CHOOSE(CONTROL!$C$42, 20.3117, 20.3117) * CHOOSE(CONTROL!$C$21, $C$9, 100%, $E$9)</f>
        <v>20.311699999999998</v>
      </c>
      <c r="M401" s="14">
        <f>CHOOSE(CONTROL!$C$42, 19.0618, 19.0618) * CHOOSE(CONTROL!$C$21, $C$9, 100%, $E$9)</f>
        <v>19.061800000000002</v>
      </c>
      <c r="N401" s="14">
        <f>CHOOSE(CONTROL!$C$42, 19.0779, 19.0779) * CHOOSE(CONTROL!$C$21, $C$9, 100%, $E$9)</f>
        <v>19.0779</v>
      </c>
      <c r="O401" s="14">
        <f>CHOOSE(CONTROL!$C$42, 19.3282, 19.3282) * CHOOSE(CONTROL!$C$21, $C$9, 100%, $E$9)</f>
        <v>19.328199999999999</v>
      </c>
      <c r="P401" s="14">
        <f>CHOOSE(CONTROL!$C$42, 19.146, 19.146) * CHOOSE(CONTROL!$C$21, $C$9, 100%, $E$9)</f>
        <v>19.146000000000001</v>
      </c>
      <c r="Q401" s="14">
        <f>CHOOSE(CONTROL!$C$42, 19.9229, 19.9229) * CHOOSE(CONTROL!$C$21, $C$9, 100%, $E$9)</f>
        <v>19.922899999999998</v>
      </c>
      <c r="R401" s="14">
        <f>CHOOSE(CONTROL!$C$42, 20.5597, 20.5597) * CHOOSE(CONTROL!$C$21, $C$9, 100%, $E$9)</f>
        <v>20.559699999999999</v>
      </c>
      <c r="S401" s="14">
        <f>CHOOSE(CONTROL!$C$42, 18.6913, 18.6913) * CHOOSE(CONTROL!$C$21, $C$9, 100%, $E$9)</f>
        <v>18.691299999999998</v>
      </c>
      <c r="T4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7">
        <f>(1000*CHOOSE(CONTROL!$C$42, 695, 695)*CHOOSE(CONTROL!$C$42, 0.5599, 0.5599)*CHOOSE(CONTROL!$C$42, 31, 31))/1000000</f>
        <v>12.063045499999998</v>
      </c>
      <c r="V401" s="57">
        <f>(1000*CHOOSE(CONTROL!$C$42, 500, 500)*CHOOSE(CONTROL!$C$42, 0.275, 0.275)*CHOOSE(CONTROL!$C$42, 31, 31))/1000000</f>
        <v>4.2625000000000002</v>
      </c>
      <c r="W401" s="57">
        <f>(1000*CHOOSE(CONTROL!$C$42, 0.1146, 0.1146)*CHOOSE(CONTROL!$C$42, 121.5, 121.5)*CHOOSE(CONTROL!$C$42, 31, 31))/1000000</f>
        <v>0.43164089999999994</v>
      </c>
      <c r="X401" s="57">
        <f>(31*0.1790888*245000/1000000)+(31*0.2374*100000/1000000)</f>
        <v>2.0961194359999999</v>
      </c>
      <c r="Y401" s="57"/>
      <c r="Z401" s="14"/>
      <c r="AA401" s="56"/>
      <c r="AB401" s="50">
        <f>(B401*194.205+C401*267.466+D401*133.845+E401*53.484+F401*40+G401*185+H401*0+I401*100+J401*300)/(194.205+267.466+133.845+53.484+0+40+185+100+300)</f>
        <v>19.506924106750393</v>
      </c>
      <c r="AC401" s="45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19.152366906474821</v>
      </c>
    </row>
    <row r="402" spans="1:29" ht="15.75" x14ac:dyDescent="0.25">
      <c r="A402" s="33">
        <v>53143</v>
      </c>
      <c r="B402" s="14">
        <f>CHOOSE(CONTROL!$C$42, 20.0147, 20.0147) * CHOOSE(CONTROL!$C$21, $C$9, 100%, $E$9)</f>
        <v>20.014700000000001</v>
      </c>
      <c r="C402" s="14">
        <f>CHOOSE(CONTROL!$C$42, 20.0227, 20.0227) * CHOOSE(CONTROL!$C$21, $C$9, 100%, $E$9)</f>
        <v>20.0227</v>
      </c>
      <c r="D402" s="14">
        <f>CHOOSE(CONTROL!$C$42, 20.2563, 20.2563) * CHOOSE(CONTROL!$C$21, $C$9, 100%, $E$9)</f>
        <v>20.2563</v>
      </c>
      <c r="E402" s="14">
        <f>CHOOSE(CONTROL!$C$42, 20.2878, 20.2878) * CHOOSE(CONTROL!$C$21, $C$9, 100%, $E$9)</f>
        <v>20.287800000000001</v>
      </c>
      <c r="F402" s="14">
        <f>CHOOSE(CONTROL!$C$42, 20.012, 20.012)*CHOOSE(CONTROL!$C$21, $C$9, 100%, $E$9)</f>
        <v>20.012</v>
      </c>
      <c r="G402" s="14">
        <f>CHOOSE(CONTROL!$C$42, 20.0284, 20.0284)*CHOOSE(CONTROL!$C$21, $C$9, 100%, $E$9)</f>
        <v>20.028400000000001</v>
      </c>
      <c r="H402" s="14">
        <f>CHOOSE(CONTROL!$C$42, 20.2764, 20.2764) * CHOOSE(CONTROL!$C$21, $C$9, 100%, $E$9)</f>
        <v>20.276399999999999</v>
      </c>
      <c r="I402" s="14">
        <f>CHOOSE(CONTROL!$C$42, 20.0933, 20.0933)* CHOOSE(CONTROL!$C$21, $C$9, 100%, $E$9)</f>
        <v>20.093299999999999</v>
      </c>
      <c r="J402" s="14">
        <f>CHOOSE(CONTROL!$C$42, 20.005, 20.005)* CHOOSE(CONTROL!$C$21, $C$9, 100%, $E$9)</f>
        <v>20.004999999999999</v>
      </c>
      <c r="K402" s="53">
        <f>CHOOSE(CONTROL!$C$42, 20.0894, 20.0894) * CHOOSE(CONTROL!$C$21, $C$9, 100%, $E$9)</f>
        <v>20.089400000000001</v>
      </c>
      <c r="L402" s="14">
        <f>CHOOSE(CONTROL!$C$42, 20.8634, 20.8634) * CHOOSE(CONTROL!$C$21, $C$9, 100%, $E$9)</f>
        <v>20.863399999999999</v>
      </c>
      <c r="M402" s="14">
        <f>CHOOSE(CONTROL!$C$42, 19.6028, 19.6028) * CHOOSE(CONTROL!$C$21, $C$9, 100%, $E$9)</f>
        <v>19.602799999999998</v>
      </c>
      <c r="N402" s="14">
        <f>CHOOSE(CONTROL!$C$42, 19.6189, 19.6189) * CHOOSE(CONTROL!$C$21, $C$9, 100%, $E$9)</f>
        <v>19.6189</v>
      </c>
      <c r="O402" s="14">
        <f>CHOOSE(CONTROL!$C$42, 19.8687, 19.8687) * CHOOSE(CONTROL!$C$21, $C$9, 100%, $E$9)</f>
        <v>19.8687</v>
      </c>
      <c r="P402" s="14">
        <f>CHOOSE(CONTROL!$C$42, 19.6881, 19.6881) * CHOOSE(CONTROL!$C$21, $C$9, 100%, $E$9)</f>
        <v>19.688099999999999</v>
      </c>
      <c r="Q402" s="14">
        <f>CHOOSE(CONTROL!$C$42, 20.4634, 20.4634) * CHOOSE(CONTROL!$C$21, $C$9, 100%, $E$9)</f>
        <v>20.4634</v>
      </c>
      <c r="R402" s="14">
        <f>CHOOSE(CONTROL!$C$42, 21.1015, 21.1015) * CHOOSE(CONTROL!$C$21, $C$9, 100%, $E$9)</f>
        <v>21.101500000000001</v>
      </c>
      <c r="S402" s="14">
        <f>CHOOSE(CONTROL!$C$42, 19.2215, 19.2215) * CHOOSE(CONTROL!$C$21, $C$9, 100%, $E$9)</f>
        <v>19.221499999999999</v>
      </c>
      <c r="T4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7">
        <f>(1000*CHOOSE(CONTROL!$C$42, 695, 695)*CHOOSE(CONTROL!$C$42, 0.5599, 0.5599)*CHOOSE(CONTROL!$C$42, 30, 30))/1000000</f>
        <v>11.673914999999997</v>
      </c>
      <c r="V402" s="57">
        <f>(1000*CHOOSE(CONTROL!$C$42, 500, 500)*CHOOSE(CONTROL!$C$42, 0.275, 0.275)*CHOOSE(CONTROL!$C$42, 30, 30))/1000000</f>
        <v>4.125</v>
      </c>
      <c r="W402" s="57">
        <f>(1000*CHOOSE(CONTROL!$C$42, 0.1146, 0.1146)*CHOOSE(CONTROL!$C$42, 121.5, 121.5)*CHOOSE(CONTROL!$C$42, 30, 30))/1000000</f>
        <v>0.417717</v>
      </c>
      <c r="X402" s="57">
        <f>(30*0.1790888*245000/1000000)+(30*0.2374*100000/1000000)</f>
        <v>2.0285026799999999</v>
      </c>
      <c r="Y402" s="57"/>
      <c r="Z402" s="14"/>
      <c r="AA402" s="56"/>
      <c r="AB402" s="50">
        <f>(B402*194.205+C402*267.466+D402*133.845+E402*53.484+F402*40+G402*185+H402*0+I402*100+J402*300)/(194.205+267.466+133.845+53.484+0+40+185+100+300)</f>
        <v>20.059016844897958</v>
      </c>
      <c r="AC402" s="45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19.693384892086332</v>
      </c>
    </row>
    <row r="403" spans="1:29" ht="15.75" x14ac:dyDescent="0.25">
      <c r="A403" s="33">
        <v>53174</v>
      </c>
      <c r="B403" s="14">
        <f>CHOOSE(CONTROL!$C$42, 19.631, 19.631) * CHOOSE(CONTROL!$C$21, $C$9, 100%, $E$9)</f>
        <v>19.631</v>
      </c>
      <c r="C403" s="14">
        <f>CHOOSE(CONTROL!$C$42, 19.639, 19.639) * CHOOSE(CONTROL!$C$21, $C$9, 100%, $E$9)</f>
        <v>19.638999999999999</v>
      </c>
      <c r="D403" s="14">
        <f>CHOOSE(CONTROL!$C$42, 19.8726, 19.8726) * CHOOSE(CONTROL!$C$21, $C$9, 100%, $E$9)</f>
        <v>19.872599999999998</v>
      </c>
      <c r="E403" s="14">
        <f>CHOOSE(CONTROL!$C$42, 19.904, 19.904) * CHOOSE(CONTROL!$C$21, $C$9, 100%, $E$9)</f>
        <v>19.904</v>
      </c>
      <c r="F403" s="14">
        <f>CHOOSE(CONTROL!$C$42, 19.6287, 19.6287)*CHOOSE(CONTROL!$C$21, $C$9, 100%, $E$9)</f>
        <v>19.628699999999998</v>
      </c>
      <c r="G403" s="14">
        <f>CHOOSE(CONTROL!$C$42, 19.6453, 19.6453)*CHOOSE(CONTROL!$C$21, $C$9, 100%, $E$9)</f>
        <v>19.645299999999999</v>
      </c>
      <c r="H403" s="14">
        <f>CHOOSE(CONTROL!$C$42, 19.8927, 19.8927) * CHOOSE(CONTROL!$C$21, $C$9, 100%, $E$9)</f>
        <v>19.892700000000001</v>
      </c>
      <c r="I403" s="14">
        <f>CHOOSE(CONTROL!$C$42, 19.7083, 19.7083)* CHOOSE(CONTROL!$C$21, $C$9, 100%, $E$9)</f>
        <v>19.708300000000001</v>
      </c>
      <c r="J403" s="14">
        <f>CHOOSE(CONTROL!$C$42, 19.6217, 19.6217)* CHOOSE(CONTROL!$C$21, $C$9, 100%, $E$9)</f>
        <v>19.621700000000001</v>
      </c>
      <c r="K403" s="53">
        <f>CHOOSE(CONTROL!$C$42, 19.7044, 19.7044) * CHOOSE(CONTROL!$C$21, $C$9, 100%, $E$9)</f>
        <v>19.7044</v>
      </c>
      <c r="L403" s="14">
        <f>CHOOSE(CONTROL!$C$42, 20.4797, 20.4797) * CHOOSE(CONTROL!$C$21, $C$9, 100%, $E$9)</f>
        <v>20.479700000000001</v>
      </c>
      <c r="M403" s="14">
        <f>CHOOSE(CONTROL!$C$42, 19.2274, 19.2274) * CHOOSE(CONTROL!$C$21, $C$9, 100%, $E$9)</f>
        <v>19.227399999999999</v>
      </c>
      <c r="N403" s="14">
        <f>CHOOSE(CONTROL!$C$42, 19.2437, 19.2437) * CHOOSE(CONTROL!$C$21, $C$9, 100%, $E$9)</f>
        <v>19.2437</v>
      </c>
      <c r="O403" s="14">
        <f>CHOOSE(CONTROL!$C$42, 19.4928, 19.4928) * CHOOSE(CONTROL!$C$21, $C$9, 100%, $E$9)</f>
        <v>19.492799999999999</v>
      </c>
      <c r="P403" s="14">
        <f>CHOOSE(CONTROL!$C$42, 19.311, 19.311) * CHOOSE(CONTROL!$C$21, $C$9, 100%, $E$9)</f>
        <v>19.311</v>
      </c>
      <c r="Q403" s="14">
        <f>CHOOSE(CONTROL!$C$42, 20.0875, 20.0875) * CHOOSE(CONTROL!$C$21, $C$9, 100%, $E$9)</f>
        <v>20.087499999999999</v>
      </c>
      <c r="R403" s="14">
        <f>CHOOSE(CONTROL!$C$42, 20.7247, 20.7247) * CHOOSE(CONTROL!$C$21, $C$9, 100%, $E$9)</f>
        <v>20.724699999999999</v>
      </c>
      <c r="S403" s="14">
        <f>CHOOSE(CONTROL!$C$42, 18.8528, 18.8528) * CHOOSE(CONTROL!$C$21, $C$9, 100%, $E$9)</f>
        <v>18.852799999999998</v>
      </c>
      <c r="T4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7">
        <f>(1000*CHOOSE(CONTROL!$C$42, 695, 695)*CHOOSE(CONTROL!$C$42, 0.5599, 0.5599)*CHOOSE(CONTROL!$C$42, 31, 31))/1000000</f>
        <v>12.063045499999998</v>
      </c>
      <c r="V403" s="57">
        <f>(1000*CHOOSE(CONTROL!$C$42, 500, 500)*CHOOSE(CONTROL!$C$42, 0.275, 0.275)*CHOOSE(CONTROL!$C$42, 31, 31))/1000000</f>
        <v>4.2625000000000002</v>
      </c>
      <c r="W403" s="57">
        <f>(1000*CHOOSE(CONTROL!$C$42, 0.1146, 0.1146)*CHOOSE(CONTROL!$C$42, 121.5, 121.5)*CHOOSE(CONTROL!$C$42, 31, 31))/1000000</f>
        <v>0.43164089999999994</v>
      </c>
      <c r="X403" s="57">
        <f>(31*0.1790888*245000/1000000)+(31*0.2374*100000/1000000)</f>
        <v>2.0961194359999999</v>
      </c>
      <c r="Y403" s="57"/>
      <c r="Z403" s="14"/>
      <c r="AA403" s="56"/>
      <c r="AB403" s="50">
        <f>(B403*194.205+C403*267.466+D403*133.845+E403*53.484+F403*40+G403*185+H403*0+I403*100+J403*300)/(194.205+267.466+133.845+53.484+0+40+185+100+300)</f>
        <v>19.675404483516484</v>
      </c>
      <c r="AC403" s="45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19.317646043165468</v>
      </c>
    </row>
    <row r="404" spans="1:29" ht="15.75" x14ac:dyDescent="0.25">
      <c r="A404" s="33">
        <v>53205</v>
      </c>
      <c r="B404" s="14">
        <f>CHOOSE(CONTROL!$C$42, 18.6619, 18.6619) * CHOOSE(CONTROL!$C$21, $C$9, 100%, $E$9)</f>
        <v>18.661899999999999</v>
      </c>
      <c r="C404" s="14">
        <f>CHOOSE(CONTROL!$C$42, 18.6699, 18.6699) * CHOOSE(CONTROL!$C$21, $C$9, 100%, $E$9)</f>
        <v>18.669899999999998</v>
      </c>
      <c r="D404" s="14">
        <f>CHOOSE(CONTROL!$C$42, 18.9035, 18.9035) * CHOOSE(CONTROL!$C$21, $C$9, 100%, $E$9)</f>
        <v>18.903500000000001</v>
      </c>
      <c r="E404" s="14">
        <f>CHOOSE(CONTROL!$C$42, 18.935, 18.935) * CHOOSE(CONTROL!$C$21, $C$9, 100%, $E$9)</f>
        <v>18.934999999999999</v>
      </c>
      <c r="F404" s="14">
        <f>CHOOSE(CONTROL!$C$42, 18.6599, 18.6599)*CHOOSE(CONTROL!$C$21, $C$9, 100%, $E$9)</f>
        <v>18.6599</v>
      </c>
      <c r="G404" s="14">
        <f>CHOOSE(CONTROL!$C$42, 18.6765, 18.6765)*CHOOSE(CONTROL!$C$21, $C$9, 100%, $E$9)</f>
        <v>18.676500000000001</v>
      </c>
      <c r="H404" s="14">
        <f>CHOOSE(CONTROL!$C$42, 18.9236, 18.9236) * CHOOSE(CONTROL!$C$21, $C$9, 100%, $E$9)</f>
        <v>18.9236</v>
      </c>
      <c r="I404" s="14">
        <f>CHOOSE(CONTROL!$C$42, 18.7362, 18.7362)* CHOOSE(CONTROL!$C$21, $C$9, 100%, $E$9)</f>
        <v>18.7362</v>
      </c>
      <c r="J404" s="14">
        <f>CHOOSE(CONTROL!$C$42, 18.6529, 18.6529)* CHOOSE(CONTROL!$C$21, $C$9, 100%, $E$9)</f>
        <v>18.652899999999999</v>
      </c>
      <c r="K404" s="53">
        <f>CHOOSE(CONTROL!$C$42, 18.7323, 18.7323) * CHOOSE(CONTROL!$C$21, $C$9, 100%, $E$9)</f>
        <v>18.732299999999999</v>
      </c>
      <c r="L404" s="14">
        <f>CHOOSE(CONTROL!$C$42, 19.5106, 19.5106) * CHOOSE(CONTROL!$C$21, $C$9, 100%, $E$9)</f>
        <v>19.5106</v>
      </c>
      <c r="M404" s="14">
        <f>CHOOSE(CONTROL!$C$42, 18.2784, 18.2784) * CHOOSE(CONTROL!$C$21, $C$9, 100%, $E$9)</f>
        <v>18.278400000000001</v>
      </c>
      <c r="N404" s="14">
        <f>CHOOSE(CONTROL!$C$42, 18.2947, 18.2947) * CHOOSE(CONTROL!$C$21, $C$9, 100%, $E$9)</f>
        <v>18.294699999999999</v>
      </c>
      <c r="O404" s="14">
        <f>CHOOSE(CONTROL!$C$42, 18.5436, 18.5436) * CHOOSE(CONTROL!$C$21, $C$9, 100%, $E$9)</f>
        <v>18.543600000000001</v>
      </c>
      <c r="P404" s="14">
        <f>CHOOSE(CONTROL!$C$42, 18.3589, 18.3589) * CHOOSE(CONTROL!$C$21, $C$9, 100%, $E$9)</f>
        <v>18.358899999999998</v>
      </c>
      <c r="Q404" s="14">
        <f>CHOOSE(CONTROL!$C$42, 19.1383, 19.1383) * CHOOSE(CONTROL!$C$21, $C$9, 100%, $E$9)</f>
        <v>19.138300000000001</v>
      </c>
      <c r="R404" s="14">
        <f>CHOOSE(CONTROL!$C$42, 19.7731, 19.7731) * CHOOSE(CONTROL!$C$21, $C$9, 100%, $E$9)</f>
        <v>19.773099999999999</v>
      </c>
      <c r="S404" s="14">
        <f>CHOOSE(CONTROL!$C$42, 17.9216, 17.9216) * CHOOSE(CONTROL!$C$21, $C$9, 100%, $E$9)</f>
        <v>17.921600000000002</v>
      </c>
      <c r="T4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7">
        <f>(1000*CHOOSE(CONTROL!$C$42, 695, 695)*CHOOSE(CONTROL!$C$42, 0.5599, 0.5599)*CHOOSE(CONTROL!$C$42, 31, 31))/1000000</f>
        <v>12.063045499999998</v>
      </c>
      <c r="V404" s="57">
        <f>(1000*CHOOSE(CONTROL!$C$42, 500, 500)*CHOOSE(CONTROL!$C$42, 0.275, 0.275)*CHOOSE(CONTROL!$C$42, 31, 31))/1000000</f>
        <v>4.2625000000000002</v>
      </c>
      <c r="W404" s="57">
        <f>(1000*CHOOSE(CONTROL!$C$42, 0.1146, 0.1146)*CHOOSE(CONTROL!$C$42, 121.5, 121.5)*CHOOSE(CONTROL!$C$42, 31, 31))/1000000</f>
        <v>0.43164089999999994</v>
      </c>
      <c r="X404" s="57">
        <f>(31*0.1790888*245000/1000000)+(31*0.2374*100000/1000000)</f>
        <v>2.0961194359999999</v>
      </c>
      <c r="Y404" s="57"/>
      <c r="Z404" s="14"/>
      <c r="AA404" s="56"/>
      <c r="AB404" s="50">
        <f>(B404*194.205+C404*267.466+D404*133.845+E404*53.484+F404*40+G404*185+H404*0+I404*100+J404*300)/(194.205+267.466+133.845+53.484+0+40+185+100+300)</f>
        <v>18.706196829199374</v>
      </c>
      <c r="AC404" s="45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18.368143884892088</v>
      </c>
    </row>
    <row r="405" spans="1:29" ht="15.75" x14ac:dyDescent="0.25">
      <c r="A405" s="33">
        <v>53235</v>
      </c>
      <c r="B405" s="14">
        <f>CHOOSE(CONTROL!$C$42, 17.4774, 17.4774) * CHOOSE(CONTROL!$C$21, $C$9, 100%, $E$9)</f>
        <v>17.477399999999999</v>
      </c>
      <c r="C405" s="14">
        <f>CHOOSE(CONTROL!$C$42, 17.4854, 17.4854) * CHOOSE(CONTROL!$C$21, $C$9, 100%, $E$9)</f>
        <v>17.485399999999998</v>
      </c>
      <c r="D405" s="14">
        <f>CHOOSE(CONTROL!$C$42, 17.719, 17.719) * CHOOSE(CONTROL!$C$21, $C$9, 100%, $E$9)</f>
        <v>17.719000000000001</v>
      </c>
      <c r="E405" s="14">
        <f>CHOOSE(CONTROL!$C$42, 17.7505, 17.7505) * CHOOSE(CONTROL!$C$21, $C$9, 100%, $E$9)</f>
        <v>17.750499999999999</v>
      </c>
      <c r="F405" s="14">
        <f>CHOOSE(CONTROL!$C$42, 17.4754, 17.4754)*CHOOSE(CONTROL!$C$21, $C$9, 100%, $E$9)</f>
        <v>17.4754</v>
      </c>
      <c r="G405" s="14">
        <f>CHOOSE(CONTROL!$C$42, 17.4921, 17.4921)*CHOOSE(CONTROL!$C$21, $C$9, 100%, $E$9)</f>
        <v>17.492100000000001</v>
      </c>
      <c r="H405" s="14">
        <f>CHOOSE(CONTROL!$C$42, 17.7391, 17.7391) * CHOOSE(CONTROL!$C$21, $C$9, 100%, $E$9)</f>
        <v>17.739100000000001</v>
      </c>
      <c r="I405" s="14">
        <f>CHOOSE(CONTROL!$C$42, 17.548, 17.548)* CHOOSE(CONTROL!$C$21, $C$9, 100%, $E$9)</f>
        <v>17.547999999999998</v>
      </c>
      <c r="J405" s="14">
        <f>CHOOSE(CONTROL!$C$42, 17.4684, 17.4684)* CHOOSE(CONTROL!$C$21, $C$9, 100%, $E$9)</f>
        <v>17.468399999999999</v>
      </c>
      <c r="K405" s="53">
        <f>CHOOSE(CONTROL!$C$42, 17.5441, 17.5441) * CHOOSE(CONTROL!$C$21, $C$9, 100%, $E$9)</f>
        <v>17.5441</v>
      </c>
      <c r="L405" s="14">
        <f>CHOOSE(CONTROL!$C$42, 18.3261, 18.3261) * CHOOSE(CONTROL!$C$21, $C$9, 100%, $E$9)</f>
        <v>18.3261</v>
      </c>
      <c r="M405" s="14">
        <f>CHOOSE(CONTROL!$C$42, 17.1182, 17.1182) * CHOOSE(CONTROL!$C$21, $C$9, 100%, $E$9)</f>
        <v>17.118200000000002</v>
      </c>
      <c r="N405" s="14">
        <f>CHOOSE(CONTROL!$C$42, 17.1345, 17.1345) * CHOOSE(CONTROL!$C$21, $C$9, 100%, $E$9)</f>
        <v>17.134499999999999</v>
      </c>
      <c r="O405" s="14">
        <f>CHOOSE(CONTROL!$C$42, 17.3834, 17.3834) * CHOOSE(CONTROL!$C$21, $C$9, 100%, $E$9)</f>
        <v>17.383400000000002</v>
      </c>
      <c r="P405" s="14">
        <f>CHOOSE(CONTROL!$C$42, 17.1952, 17.1952) * CHOOSE(CONTROL!$C$21, $C$9, 100%, $E$9)</f>
        <v>17.1952</v>
      </c>
      <c r="Q405" s="14">
        <f>CHOOSE(CONTROL!$C$42, 17.9781, 17.9781) * CHOOSE(CONTROL!$C$21, $C$9, 100%, $E$9)</f>
        <v>17.978100000000001</v>
      </c>
      <c r="R405" s="14">
        <f>CHOOSE(CONTROL!$C$42, 18.61, 18.61) * CHOOSE(CONTROL!$C$21, $C$9, 100%, $E$9)</f>
        <v>18.61</v>
      </c>
      <c r="S405" s="14">
        <f>CHOOSE(CONTROL!$C$42, 16.7834, 16.7834) * CHOOSE(CONTROL!$C$21, $C$9, 100%, $E$9)</f>
        <v>16.7834</v>
      </c>
      <c r="T4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7">
        <f>(1000*CHOOSE(CONTROL!$C$42, 695, 695)*CHOOSE(CONTROL!$C$42, 0.5599, 0.5599)*CHOOSE(CONTROL!$C$42, 30, 30))/1000000</f>
        <v>11.673914999999997</v>
      </c>
      <c r="V405" s="57">
        <f>(1000*CHOOSE(CONTROL!$C$42, 500, 500)*CHOOSE(CONTROL!$C$42, 0.275, 0.275)*CHOOSE(CONTROL!$C$42, 30, 30))/1000000</f>
        <v>4.125</v>
      </c>
      <c r="W405" s="57">
        <f>(1000*CHOOSE(CONTROL!$C$42, 0.1146, 0.1146)*CHOOSE(CONTROL!$C$42, 121.5, 121.5)*CHOOSE(CONTROL!$C$42, 30, 30))/1000000</f>
        <v>0.417717</v>
      </c>
      <c r="X405" s="57">
        <f>(30*0.1790888*245000/1000000)+(30*0.2374*100000/1000000)</f>
        <v>2.0285026799999999</v>
      </c>
      <c r="Y405" s="57"/>
      <c r="Z405" s="14"/>
      <c r="AA405" s="56"/>
      <c r="AB405" s="50">
        <f>(B405*194.205+C405*267.466+D405*133.845+E405*53.484+F405*40+G405*185+H405*0+I405*100+J405*300)/(194.205+267.466+133.845+53.484+0+40+185+100+300)</f>
        <v>17.521420926530613</v>
      </c>
      <c r="AC405" s="45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17.207440287769789</v>
      </c>
    </row>
    <row r="406" spans="1:29" ht="15.75" x14ac:dyDescent="0.25">
      <c r="A406" s="33">
        <v>53266</v>
      </c>
      <c r="B406" s="14">
        <f>CHOOSE(CONTROL!$C$42, 17.121, 17.121) * CHOOSE(CONTROL!$C$21, $C$9, 100%, $E$9)</f>
        <v>17.120999999999999</v>
      </c>
      <c r="C406" s="14">
        <f>CHOOSE(CONTROL!$C$42, 17.1264, 17.1264) * CHOOSE(CONTROL!$C$21, $C$9, 100%, $E$9)</f>
        <v>17.1264</v>
      </c>
      <c r="D406" s="14">
        <f>CHOOSE(CONTROL!$C$42, 17.3649, 17.3649) * CHOOSE(CONTROL!$C$21, $C$9, 100%, $E$9)</f>
        <v>17.364899999999999</v>
      </c>
      <c r="E406" s="14">
        <f>CHOOSE(CONTROL!$C$42, 17.394, 17.394) * CHOOSE(CONTROL!$C$21, $C$9, 100%, $E$9)</f>
        <v>17.393999999999998</v>
      </c>
      <c r="F406" s="14">
        <f>CHOOSE(CONTROL!$C$42, 17.1211, 17.1211)*CHOOSE(CONTROL!$C$21, $C$9, 100%, $E$9)</f>
        <v>17.121099999999998</v>
      </c>
      <c r="G406" s="14">
        <f>CHOOSE(CONTROL!$C$42, 17.1373, 17.1373)*CHOOSE(CONTROL!$C$21, $C$9, 100%, $E$9)</f>
        <v>17.1373</v>
      </c>
      <c r="H406" s="14">
        <f>CHOOSE(CONTROL!$C$42, 17.3845, 17.3845) * CHOOSE(CONTROL!$C$21, $C$9, 100%, $E$9)</f>
        <v>17.384499999999999</v>
      </c>
      <c r="I406" s="14">
        <f>CHOOSE(CONTROL!$C$42, 17.1923, 17.1923)* CHOOSE(CONTROL!$C$21, $C$9, 100%, $E$9)</f>
        <v>17.192299999999999</v>
      </c>
      <c r="J406" s="14">
        <f>CHOOSE(CONTROL!$C$42, 17.1141, 17.1141)* CHOOSE(CONTROL!$C$21, $C$9, 100%, $E$9)</f>
        <v>17.114100000000001</v>
      </c>
      <c r="K406" s="53">
        <f>CHOOSE(CONTROL!$C$42, 17.1884, 17.1884) * CHOOSE(CONTROL!$C$21, $C$9, 100%, $E$9)</f>
        <v>17.188400000000001</v>
      </c>
      <c r="L406" s="14">
        <f>CHOOSE(CONTROL!$C$42, 17.9715, 17.9715) * CHOOSE(CONTROL!$C$21, $C$9, 100%, $E$9)</f>
        <v>17.971499999999999</v>
      </c>
      <c r="M406" s="14">
        <f>CHOOSE(CONTROL!$C$42, 16.7711, 16.7711) * CHOOSE(CONTROL!$C$21, $C$9, 100%, $E$9)</f>
        <v>16.771100000000001</v>
      </c>
      <c r="N406" s="14">
        <f>CHOOSE(CONTROL!$C$42, 16.787, 16.787) * CHOOSE(CONTROL!$C$21, $C$9, 100%, $E$9)</f>
        <v>16.786999999999999</v>
      </c>
      <c r="O406" s="14">
        <f>CHOOSE(CONTROL!$C$42, 17.036, 17.036) * CHOOSE(CONTROL!$C$21, $C$9, 100%, $E$9)</f>
        <v>17.036000000000001</v>
      </c>
      <c r="P406" s="14">
        <f>CHOOSE(CONTROL!$C$42, 16.8467, 16.8467) * CHOOSE(CONTROL!$C$21, $C$9, 100%, $E$9)</f>
        <v>16.846699999999998</v>
      </c>
      <c r="Q406" s="14">
        <f>CHOOSE(CONTROL!$C$42, 17.6307, 17.6307) * CHOOSE(CONTROL!$C$21, $C$9, 100%, $E$9)</f>
        <v>17.630700000000001</v>
      </c>
      <c r="R406" s="14">
        <f>CHOOSE(CONTROL!$C$42, 18.2618, 18.2618) * CHOOSE(CONTROL!$C$21, $C$9, 100%, $E$9)</f>
        <v>18.261800000000001</v>
      </c>
      <c r="S406" s="14">
        <f>CHOOSE(CONTROL!$C$42, 16.4427, 16.4427) * CHOOSE(CONTROL!$C$21, $C$9, 100%, $E$9)</f>
        <v>16.442699999999999</v>
      </c>
      <c r="T4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7">
        <f>(1000*CHOOSE(CONTROL!$C$42, 695, 695)*CHOOSE(CONTROL!$C$42, 0.5599, 0.5599)*CHOOSE(CONTROL!$C$42, 31, 31))/1000000</f>
        <v>12.063045499999998</v>
      </c>
      <c r="V406" s="57">
        <f>(1000*CHOOSE(CONTROL!$C$42, 500, 500)*CHOOSE(CONTROL!$C$42, 0.275, 0.275)*CHOOSE(CONTROL!$C$42, 31, 31))/1000000</f>
        <v>4.2625000000000002</v>
      </c>
      <c r="W406" s="57">
        <f>(1000*CHOOSE(CONTROL!$C$42, 0.1146, 0.1146)*CHOOSE(CONTROL!$C$42, 121.5, 121.5)*CHOOSE(CONTROL!$C$42, 31, 31))/1000000</f>
        <v>0.43164089999999994</v>
      </c>
      <c r="X406" s="57">
        <f>(31*0.1790888*245000/1000000)+(31*0.2374*100000/1000000)</f>
        <v>2.0961194359999999</v>
      </c>
      <c r="Y406" s="57"/>
      <c r="Z406" s="14"/>
      <c r="AA406" s="56"/>
      <c r="AB406" s="50">
        <f>(B406*131.881+C406*277.167+D406*79.08+E406*125.872+F406*40+G406*185+H406*0+I406*100+J406*300)/(131.881+277.167+79.08+125.872+0+40+185+100+300)</f>
        <v>17.172030564810331</v>
      </c>
      <c r="AC406" s="45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16.85996258992806</v>
      </c>
    </row>
    <row r="407" spans="1:29" ht="15.75" x14ac:dyDescent="0.25">
      <c r="A407" s="33">
        <v>53296</v>
      </c>
      <c r="B407" s="14">
        <f>CHOOSE(CONTROL!$C$42, 17.5714, 17.5714) * CHOOSE(CONTROL!$C$21, $C$9, 100%, $E$9)</f>
        <v>17.571400000000001</v>
      </c>
      <c r="C407" s="14">
        <f>CHOOSE(CONTROL!$C$42, 17.5765, 17.5765) * CHOOSE(CONTROL!$C$21, $C$9, 100%, $E$9)</f>
        <v>17.576499999999999</v>
      </c>
      <c r="D407" s="14">
        <f>CHOOSE(CONTROL!$C$42, 17.6507, 17.6507) * CHOOSE(CONTROL!$C$21, $C$9, 100%, $E$9)</f>
        <v>17.650700000000001</v>
      </c>
      <c r="E407" s="14">
        <f>CHOOSE(CONTROL!$C$42, 17.6848, 17.6848) * CHOOSE(CONTROL!$C$21, $C$9, 100%, $E$9)</f>
        <v>17.684799999999999</v>
      </c>
      <c r="F407" s="14">
        <f>CHOOSE(CONTROL!$C$42, 17.5835, 17.5835)*CHOOSE(CONTROL!$C$21, $C$9, 100%, $E$9)</f>
        <v>17.583500000000001</v>
      </c>
      <c r="G407" s="14">
        <f>CHOOSE(CONTROL!$C$42, 17.6, 17.6)*CHOOSE(CONTROL!$C$21, $C$9, 100%, $E$9)</f>
        <v>17.600000000000001</v>
      </c>
      <c r="H407" s="14">
        <f>CHOOSE(CONTROL!$C$42, 17.674, 17.674) * CHOOSE(CONTROL!$C$21, $C$9, 100%, $E$9)</f>
        <v>17.673999999999999</v>
      </c>
      <c r="I407" s="14">
        <f>CHOOSE(CONTROL!$C$42, 17.6508, 17.6508)* CHOOSE(CONTROL!$C$21, $C$9, 100%, $E$9)</f>
        <v>17.6508</v>
      </c>
      <c r="J407" s="14">
        <f>CHOOSE(CONTROL!$C$42, 17.5765, 17.5765)* CHOOSE(CONTROL!$C$21, $C$9, 100%, $E$9)</f>
        <v>17.576499999999999</v>
      </c>
      <c r="K407" s="53">
        <f>CHOOSE(CONTROL!$C$42, 17.6469, 17.6469) * CHOOSE(CONTROL!$C$21, $C$9, 100%, $E$9)</f>
        <v>17.646899999999999</v>
      </c>
      <c r="L407" s="14">
        <f>CHOOSE(CONTROL!$C$42, 18.261, 18.261) * CHOOSE(CONTROL!$C$21, $C$9, 100%, $E$9)</f>
        <v>18.260999999999999</v>
      </c>
      <c r="M407" s="14">
        <f>CHOOSE(CONTROL!$C$42, 17.224, 17.224) * CHOOSE(CONTROL!$C$21, $C$9, 100%, $E$9)</f>
        <v>17.224</v>
      </c>
      <c r="N407" s="14">
        <f>CHOOSE(CONTROL!$C$42, 17.2403, 17.2403) * CHOOSE(CONTROL!$C$21, $C$9, 100%, $E$9)</f>
        <v>17.240300000000001</v>
      </c>
      <c r="O407" s="14">
        <f>CHOOSE(CONTROL!$C$42, 17.3196, 17.3196) * CHOOSE(CONTROL!$C$21, $C$9, 100%, $E$9)</f>
        <v>17.319600000000001</v>
      </c>
      <c r="P407" s="14">
        <f>CHOOSE(CONTROL!$C$42, 17.2958, 17.2958) * CHOOSE(CONTROL!$C$21, $C$9, 100%, $E$9)</f>
        <v>17.2958</v>
      </c>
      <c r="Q407" s="14">
        <f>CHOOSE(CONTROL!$C$42, 17.9143, 17.9143) * CHOOSE(CONTROL!$C$21, $C$9, 100%, $E$9)</f>
        <v>17.914300000000001</v>
      </c>
      <c r="R407" s="14">
        <f>CHOOSE(CONTROL!$C$42, 18.546, 18.546) * CHOOSE(CONTROL!$C$21, $C$9, 100%, $E$9)</f>
        <v>18.545999999999999</v>
      </c>
      <c r="S407" s="14">
        <f>CHOOSE(CONTROL!$C$42, 16.8758, 16.8758) * CHOOSE(CONTROL!$C$21, $C$9, 100%, $E$9)</f>
        <v>16.875800000000002</v>
      </c>
      <c r="T4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7">
        <f>(1000*CHOOSE(CONTROL!$C$42, 695, 695)*CHOOSE(CONTROL!$C$42, 0.5599, 0.5599)*CHOOSE(CONTROL!$C$42, 30, 30))/1000000</f>
        <v>11.673914999999997</v>
      </c>
      <c r="V407" s="57">
        <f>(1000*CHOOSE(CONTROL!$C$42, 500, 500)*CHOOSE(CONTROL!$C$42, 0.275, 0.275)*CHOOSE(CONTROL!$C$42, 30, 30))/1000000</f>
        <v>4.125</v>
      </c>
      <c r="W407" s="57">
        <f>(1000*CHOOSE(CONTROL!$C$42, 0.1146, 0.1146)*CHOOSE(CONTROL!$C$42, 121.5, 121.5)*CHOOSE(CONTROL!$C$42, 30, 30))/1000000</f>
        <v>0.417717</v>
      </c>
      <c r="X407" s="57">
        <f>(30*0.1790888*100000/1000000)+(30*0.2374*100000/1000000)</f>
        <v>1.2494664</v>
      </c>
      <c r="Y407" s="57"/>
      <c r="Z407" s="14"/>
      <c r="AA407" s="56"/>
      <c r="AB407" s="50">
        <f>(B407*122.58+C407*297.941+D407*89.177+E407*40.302+F407*40+G407*160+H407*0+I407*100+J407*300)/(122.58+297.941+89.177+40.302+0+40+160+100+300)</f>
        <v>17.595479549565216</v>
      </c>
      <c r="AC407" s="45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17.278598561151078</v>
      </c>
    </row>
    <row r="408" spans="1:29" ht="15.75" x14ac:dyDescent="0.25">
      <c r="A408" s="33">
        <v>53327</v>
      </c>
      <c r="B408" s="14">
        <f>CHOOSE(CONTROL!$C$42, 18.7687, 18.7687) * CHOOSE(CONTROL!$C$21, $C$9, 100%, $E$9)</f>
        <v>18.768699999999999</v>
      </c>
      <c r="C408" s="14">
        <f>CHOOSE(CONTROL!$C$42, 18.7738, 18.7738) * CHOOSE(CONTROL!$C$21, $C$9, 100%, $E$9)</f>
        <v>18.773800000000001</v>
      </c>
      <c r="D408" s="14">
        <f>CHOOSE(CONTROL!$C$42, 18.848, 18.848) * CHOOSE(CONTROL!$C$21, $C$9, 100%, $E$9)</f>
        <v>18.847999999999999</v>
      </c>
      <c r="E408" s="14">
        <f>CHOOSE(CONTROL!$C$42, 18.8821, 18.8821) * CHOOSE(CONTROL!$C$21, $C$9, 100%, $E$9)</f>
        <v>18.882100000000001</v>
      </c>
      <c r="F408" s="14">
        <f>CHOOSE(CONTROL!$C$42, 18.783, 18.783)*CHOOSE(CONTROL!$C$21, $C$9, 100%, $E$9)</f>
        <v>18.783000000000001</v>
      </c>
      <c r="G408" s="14">
        <f>CHOOSE(CONTROL!$C$42, 18.8001, 18.8001)*CHOOSE(CONTROL!$C$21, $C$9, 100%, $E$9)</f>
        <v>18.8001</v>
      </c>
      <c r="H408" s="14">
        <f>CHOOSE(CONTROL!$C$42, 18.8713, 18.8713) * CHOOSE(CONTROL!$C$21, $C$9, 100%, $E$9)</f>
        <v>18.871300000000002</v>
      </c>
      <c r="I408" s="14">
        <f>CHOOSE(CONTROL!$C$42, 18.8519, 18.8519)* CHOOSE(CONTROL!$C$21, $C$9, 100%, $E$9)</f>
        <v>18.851900000000001</v>
      </c>
      <c r="J408" s="14">
        <f>CHOOSE(CONTROL!$C$42, 18.776, 18.776)* CHOOSE(CONTROL!$C$21, $C$9, 100%, $E$9)</f>
        <v>18.776</v>
      </c>
      <c r="K408" s="53">
        <f>CHOOSE(CONTROL!$C$42, 18.848, 18.848) * CHOOSE(CONTROL!$C$21, $C$9, 100%, $E$9)</f>
        <v>18.847999999999999</v>
      </c>
      <c r="L408" s="14">
        <f>CHOOSE(CONTROL!$C$42, 19.4583, 19.4583) * CHOOSE(CONTROL!$C$21, $C$9, 100%, $E$9)</f>
        <v>19.458300000000001</v>
      </c>
      <c r="M408" s="14">
        <f>CHOOSE(CONTROL!$C$42, 18.399, 18.399) * CHOOSE(CONTROL!$C$21, $C$9, 100%, $E$9)</f>
        <v>18.399000000000001</v>
      </c>
      <c r="N408" s="14">
        <f>CHOOSE(CONTROL!$C$42, 18.4158, 18.4158) * CHOOSE(CONTROL!$C$21, $C$9, 100%, $E$9)</f>
        <v>18.415800000000001</v>
      </c>
      <c r="O408" s="14">
        <f>CHOOSE(CONTROL!$C$42, 18.4924, 18.4924) * CHOOSE(CONTROL!$C$21, $C$9, 100%, $E$9)</f>
        <v>18.4924</v>
      </c>
      <c r="P408" s="14">
        <f>CHOOSE(CONTROL!$C$42, 18.4722, 18.4722) * CHOOSE(CONTROL!$C$21, $C$9, 100%, $E$9)</f>
        <v>18.472200000000001</v>
      </c>
      <c r="Q408" s="14">
        <f>CHOOSE(CONTROL!$C$42, 19.0871, 19.0871) * CHOOSE(CONTROL!$C$21, $C$9, 100%, $E$9)</f>
        <v>19.0871</v>
      </c>
      <c r="R408" s="14">
        <f>CHOOSE(CONTROL!$C$42, 19.7218, 19.7218) * CHOOSE(CONTROL!$C$21, $C$9, 100%, $E$9)</f>
        <v>19.721800000000002</v>
      </c>
      <c r="S408" s="14">
        <f>CHOOSE(CONTROL!$C$42, 18.0263, 18.0263) * CHOOSE(CONTROL!$C$21, $C$9, 100%, $E$9)</f>
        <v>18.026299999999999</v>
      </c>
      <c r="T4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7">
        <f>(1000*CHOOSE(CONTROL!$C$42, 695, 695)*CHOOSE(CONTROL!$C$42, 0.5599, 0.5599)*CHOOSE(CONTROL!$C$42, 31, 31))/1000000</f>
        <v>12.063045499999998</v>
      </c>
      <c r="V408" s="57">
        <f>(1000*CHOOSE(CONTROL!$C$42, 500, 500)*CHOOSE(CONTROL!$C$42, 0.275, 0.275)*CHOOSE(CONTROL!$C$42, 31, 31))/1000000</f>
        <v>4.2625000000000002</v>
      </c>
      <c r="W408" s="57">
        <f>(1000*CHOOSE(CONTROL!$C$42, 0.1146, 0.1146)*CHOOSE(CONTROL!$C$42, 121.5, 121.5)*CHOOSE(CONTROL!$C$42, 31, 31))/1000000</f>
        <v>0.43164089999999994</v>
      </c>
      <c r="X408" s="57">
        <f>(31*0.1790888*100000/1000000)+(31*0.2374*100000/1000000)</f>
        <v>1.2911152800000001</v>
      </c>
      <c r="Y408" s="57"/>
      <c r="Z408" s="14"/>
      <c r="AA408" s="56"/>
      <c r="AB408" s="50">
        <f>(B408*122.58+C408*297.941+D408*89.177+E408*40.302+F408*40+G408*160+H408*0+I408*100+J408*300)/(122.58+297.941+89.177+40.302+0+40+160+100+300)</f>
        <v>18.794149984347825</v>
      </c>
      <c r="AC408" s="45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18.452831654676256</v>
      </c>
    </row>
    <row r="409" spans="1:29" ht="15.75" x14ac:dyDescent="0.25">
      <c r="A409" s="33">
        <v>53358</v>
      </c>
      <c r="B409" s="14">
        <f>CHOOSE(CONTROL!$C$42, 20.3239, 20.3239) * CHOOSE(CONTROL!$C$21, $C$9, 100%, $E$9)</f>
        <v>20.323899999999998</v>
      </c>
      <c r="C409" s="14">
        <f>CHOOSE(CONTROL!$C$42, 20.3289, 20.3289) * CHOOSE(CONTROL!$C$21, $C$9, 100%, $E$9)</f>
        <v>20.328900000000001</v>
      </c>
      <c r="D409" s="14">
        <f>CHOOSE(CONTROL!$C$42, 20.4058, 20.4058) * CHOOSE(CONTROL!$C$21, $C$9, 100%, $E$9)</f>
        <v>20.405799999999999</v>
      </c>
      <c r="E409" s="14">
        <f>CHOOSE(CONTROL!$C$42, 20.4399, 20.4399) * CHOOSE(CONTROL!$C$21, $C$9, 100%, $E$9)</f>
        <v>20.439900000000002</v>
      </c>
      <c r="F409" s="14">
        <f>CHOOSE(CONTROL!$C$42, 20.3241, 20.3241)*CHOOSE(CONTROL!$C$21, $C$9, 100%, $E$9)</f>
        <v>20.324100000000001</v>
      </c>
      <c r="G409" s="14">
        <f>CHOOSE(CONTROL!$C$42, 20.3403, 20.3403)*CHOOSE(CONTROL!$C$21, $C$9, 100%, $E$9)</f>
        <v>20.340299999999999</v>
      </c>
      <c r="H409" s="14">
        <f>CHOOSE(CONTROL!$C$42, 20.4291, 20.4291) * CHOOSE(CONTROL!$C$21, $C$9, 100%, $E$9)</f>
        <v>20.429099999999998</v>
      </c>
      <c r="I409" s="14">
        <f>CHOOSE(CONTROL!$C$42, 20.4056, 20.4056)* CHOOSE(CONTROL!$C$21, $C$9, 100%, $E$9)</f>
        <v>20.4056</v>
      </c>
      <c r="J409" s="14">
        <f>CHOOSE(CONTROL!$C$42, 20.3171, 20.3171)* CHOOSE(CONTROL!$C$21, $C$9, 100%, $E$9)</f>
        <v>20.3171</v>
      </c>
      <c r="K409" s="53">
        <f>CHOOSE(CONTROL!$C$42, 20.4017, 20.4017) * CHOOSE(CONTROL!$C$21, $C$9, 100%, $E$9)</f>
        <v>20.401700000000002</v>
      </c>
      <c r="L409" s="14">
        <f>CHOOSE(CONTROL!$C$42, 21.0161, 21.0161) * CHOOSE(CONTROL!$C$21, $C$9, 100%, $E$9)</f>
        <v>21.016100000000002</v>
      </c>
      <c r="M409" s="14">
        <f>CHOOSE(CONTROL!$C$42, 19.9085, 19.9085) * CHOOSE(CONTROL!$C$21, $C$9, 100%, $E$9)</f>
        <v>19.9085</v>
      </c>
      <c r="N409" s="14">
        <f>CHOOSE(CONTROL!$C$42, 19.9244, 19.9244) * CHOOSE(CONTROL!$C$21, $C$9, 100%, $E$9)</f>
        <v>19.924399999999999</v>
      </c>
      <c r="O409" s="14">
        <f>CHOOSE(CONTROL!$C$42, 20.0182, 20.0182) * CHOOSE(CONTROL!$C$21, $C$9, 100%, $E$9)</f>
        <v>20.0182</v>
      </c>
      <c r="P409" s="14">
        <f>CHOOSE(CONTROL!$C$42, 19.994, 19.994) * CHOOSE(CONTROL!$C$21, $C$9, 100%, $E$9)</f>
        <v>19.994</v>
      </c>
      <c r="Q409" s="14">
        <f>CHOOSE(CONTROL!$C$42, 20.6129, 20.6129) * CHOOSE(CONTROL!$C$21, $C$9, 100%, $E$9)</f>
        <v>20.6129</v>
      </c>
      <c r="R409" s="14">
        <f>CHOOSE(CONTROL!$C$42, 21.2514, 21.2514) * CHOOSE(CONTROL!$C$21, $C$9, 100%, $E$9)</f>
        <v>21.2514</v>
      </c>
      <c r="S409" s="14">
        <f>CHOOSE(CONTROL!$C$42, 19.5207, 19.5207) * CHOOSE(CONTROL!$C$21, $C$9, 100%, $E$9)</f>
        <v>19.520700000000001</v>
      </c>
      <c r="T4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7">
        <f>(1000*CHOOSE(CONTROL!$C$42, 695, 695)*CHOOSE(CONTROL!$C$42, 0.5599, 0.5599)*CHOOSE(CONTROL!$C$42, 31, 31))/1000000</f>
        <v>12.063045499999998</v>
      </c>
      <c r="V409" s="57">
        <f>(1000*CHOOSE(CONTROL!$C$42, 500, 500)*CHOOSE(CONTROL!$C$42, 0.275, 0.275)*CHOOSE(CONTROL!$C$42, 31, 31))/1000000</f>
        <v>4.2625000000000002</v>
      </c>
      <c r="W409" s="57">
        <f>(1000*CHOOSE(CONTROL!$C$42, 0.1146, 0.1146)*CHOOSE(CONTROL!$C$42, 121.5, 121.5)*CHOOSE(CONTROL!$C$42, 31, 31))/1000000</f>
        <v>0.43164089999999994</v>
      </c>
      <c r="X409" s="57">
        <f>(31*0.1790888*100000/1000000)+(31*0.2374*100000/1000000)</f>
        <v>1.2911152800000001</v>
      </c>
      <c r="Y409" s="57"/>
      <c r="Z409" s="14"/>
      <c r="AA409" s="56"/>
      <c r="AB409" s="50">
        <f>(B409*122.58+C409*297.941+D409*89.177+E409*40.302+F409*40+G409*160+H409*0+I409*100+J409*300)/(122.58+297.941+89.177+40.302+0+40+160+100+300)</f>
        <v>20.343230724608699</v>
      </c>
      <c r="AC409" s="45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19.971437410071943</v>
      </c>
    </row>
    <row r="410" spans="1:29" ht="15.75" x14ac:dyDescent="0.25">
      <c r="A410" s="33">
        <v>53386</v>
      </c>
      <c r="B410" s="14">
        <f>CHOOSE(CONTROL!$C$42, 20.6855, 20.6855) * CHOOSE(CONTROL!$C$21, $C$9, 100%, $E$9)</f>
        <v>20.685500000000001</v>
      </c>
      <c r="C410" s="14">
        <f>CHOOSE(CONTROL!$C$42, 20.6906, 20.6906) * CHOOSE(CONTROL!$C$21, $C$9, 100%, $E$9)</f>
        <v>20.6906</v>
      </c>
      <c r="D410" s="14">
        <f>CHOOSE(CONTROL!$C$42, 20.7674, 20.7674) * CHOOSE(CONTROL!$C$21, $C$9, 100%, $E$9)</f>
        <v>20.767399999999999</v>
      </c>
      <c r="E410" s="14">
        <f>CHOOSE(CONTROL!$C$42, 20.8015, 20.8015) * CHOOSE(CONTROL!$C$21, $C$9, 100%, $E$9)</f>
        <v>20.801500000000001</v>
      </c>
      <c r="F410" s="14">
        <f>CHOOSE(CONTROL!$C$42, 20.6858, 20.6858)*CHOOSE(CONTROL!$C$21, $C$9, 100%, $E$9)</f>
        <v>20.6858</v>
      </c>
      <c r="G410" s="14">
        <f>CHOOSE(CONTROL!$C$42, 20.702, 20.702)*CHOOSE(CONTROL!$C$21, $C$9, 100%, $E$9)</f>
        <v>20.702000000000002</v>
      </c>
      <c r="H410" s="14">
        <f>CHOOSE(CONTROL!$C$42, 20.7907, 20.7907) * CHOOSE(CONTROL!$C$21, $C$9, 100%, $E$9)</f>
        <v>20.790700000000001</v>
      </c>
      <c r="I410" s="14">
        <f>CHOOSE(CONTROL!$C$42, 20.7683, 20.7683)* CHOOSE(CONTROL!$C$21, $C$9, 100%, $E$9)</f>
        <v>20.7683</v>
      </c>
      <c r="J410" s="14">
        <f>CHOOSE(CONTROL!$C$42, 20.6788, 20.6788)* CHOOSE(CONTROL!$C$21, $C$9, 100%, $E$9)</f>
        <v>20.678799999999999</v>
      </c>
      <c r="K410" s="53">
        <f>CHOOSE(CONTROL!$C$42, 20.7645, 20.7645) * CHOOSE(CONTROL!$C$21, $C$9, 100%, $E$9)</f>
        <v>20.764500000000002</v>
      </c>
      <c r="L410" s="14">
        <f>CHOOSE(CONTROL!$C$42, 21.3777, 21.3777) * CHOOSE(CONTROL!$C$21, $C$9, 100%, $E$9)</f>
        <v>21.377700000000001</v>
      </c>
      <c r="M410" s="14">
        <f>CHOOSE(CONTROL!$C$42, 20.2628, 20.2628) * CHOOSE(CONTROL!$C$21, $C$9, 100%, $E$9)</f>
        <v>20.262799999999999</v>
      </c>
      <c r="N410" s="14">
        <f>CHOOSE(CONTROL!$C$42, 20.2787, 20.2787) * CHOOSE(CONTROL!$C$21, $C$9, 100%, $E$9)</f>
        <v>20.278700000000001</v>
      </c>
      <c r="O410" s="14">
        <f>CHOOSE(CONTROL!$C$42, 20.3724, 20.3724) * CHOOSE(CONTROL!$C$21, $C$9, 100%, $E$9)</f>
        <v>20.372399999999999</v>
      </c>
      <c r="P410" s="14">
        <f>CHOOSE(CONTROL!$C$42, 20.3493, 20.3493) * CHOOSE(CONTROL!$C$21, $C$9, 100%, $E$9)</f>
        <v>20.349299999999999</v>
      </c>
      <c r="Q410" s="14">
        <f>CHOOSE(CONTROL!$C$42, 20.9671, 20.9671) * CHOOSE(CONTROL!$C$21, $C$9, 100%, $E$9)</f>
        <v>20.967099999999999</v>
      </c>
      <c r="R410" s="14">
        <f>CHOOSE(CONTROL!$C$42, 21.6065, 21.6065) * CHOOSE(CONTROL!$C$21, $C$9, 100%, $E$9)</f>
        <v>21.6065</v>
      </c>
      <c r="S410" s="14">
        <f>CHOOSE(CONTROL!$C$42, 19.8682, 19.8682) * CHOOSE(CONTROL!$C$21, $C$9, 100%, $E$9)</f>
        <v>19.868200000000002</v>
      </c>
      <c r="T4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7">
        <f>(1000*CHOOSE(CONTROL!$C$42, 695, 695)*CHOOSE(CONTROL!$C$42, 0.5599, 0.5599)*CHOOSE(CONTROL!$C$42, 28, 28))/1000000</f>
        <v>10.895653999999999</v>
      </c>
      <c r="V410" s="57">
        <f>(1000*CHOOSE(CONTROL!$C$42, 500, 500)*CHOOSE(CONTROL!$C$42, 0.275, 0.275)*CHOOSE(CONTROL!$C$42, 28, 28))/1000000</f>
        <v>3.85</v>
      </c>
      <c r="W410" s="57">
        <f>(1000*CHOOSE(CONTROL!$C$42, 0.1146, 0.1146)*CHOOSE(CONTROL!$C$42, 121.5, 121.5)*CHOOSE(CONTROL!$C$42, 28, 28))/1000000</f>
        <v>0.38986920000000003</v>
      </c>
      <c r="X410" s="57">
        <f>(28*0.1790888*100000/1000000)+(28*0.2374*100000/1000000)</f>
        <v>1.16616864</v>
      </c>
      <c r="Y410" s="57"/>
      <c r="Z410" s="14"/>
      <c r="AA410" s="56"/>
      <c r="AB410" s="50">
        <f>(B410*122.58+C410*297.941+D410*89.177+E410*40.302+F410*40+G410*160+H410*0+I410*100+J410*300)/(122.58+297.941+89.177+40.302+0+40+160+100+300)</f>
        <v>20.704995762956521</v>
      </c>
      <c r="AC410" s="45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20.325835971223022</v>
      </c>
    </row>
    <row r="411" spans="1:29" ht="15.75" x14ac:dyDescent="0.25">
      <c r="A411" s="33">
        <v>53417</v>
      </c>
      <c r="B411" s="14">
        <f>CHOOSE(CONTROL!$C$42, 20.0985, 20.0985) * CHOOSE(CONTROL!$C$21, $C$9, 100%, $E$9)</f>
        <v>20.098500000000001</v>
      </c>
      <c r="C411" s="14">
        <f>CHOOSE(CONTROL!$C$42, 20.1036, 20.1036) * CHOOSE(CONTROL!$C$21, $C$9, 100%, $E$9)</f>
        <v>20.1036</v>
      </c>
      <c r="D411" s="14">
        <f>CHOOSE(CONTROL!$C$42, 20.1804, 20.1804) * CHOOSE(CONTROL!$C$21, $C$9, 100%, $E$9)</f>
        <v>20.180399999999999</v>
      </c>
      <c r="E411" s="14">
        <f>CHOOSE(CONTROL!$C$42, 20.2145, 20.2145) * CHOOSE(CONTROL!$C$21, $C$9, 100%, $E$9)</f>
        <v>20.214500000000001</v>
      </c>
      <c r="F411" s="14">
        <f>CHOOSE(CONTROL!$C$42, 20.0983, 20.0983)*CHOOSE(CONTROL!$C$21, $C$9, 100%, $E$9)</f>
        <v>20.098299999999998</v>
      </c>
      <c r="G411" s="14">
        <f>CHOOSE(CONTROL!$C$42, 20.1144, 20.1144)*CHOOSE(CONTROL!$C$21, $C$9, 100%, $E$9)</f>
        <v>20.1144</v>
      </c>
      <c r="H411" s="14">
        <f>CHOOSE(CONTROL!$C$42, 20.2037, 20.2037) * CHOOSE(CONTROL!$C$21, $C$9, 100%, $E$9)</f>
        <v>20.203700000000001</v>
      </c>
      <c r="I411" s="14">
        <f>CHOOSE(CONTROL!$C$42, 20.1795, 20.1795)* CHOOSE(CONTROL!$C$21, $C$9, 100%, $E$9)</f>
        <v>20.179500000000001</v>
      </c>
      <c r="J411" s="14">
        <f>CHOOSE(CONTROL!$C$42, 20.0913, 20.0913)* CHOOSE(CONTROL!$C$21, $C$9, 100%, $E$9)</f>
        <v>20.0913</v>
      </c>
      <c r="K411" s="53">
        <f>CHOOSE(CONTROL!$C$42, 20.1756, 20.1756) * CHOOSE(CONTROL!$C$21, $C$9, 100%, $E$9)</f>
        <v>20.175599999999999</v>
      </c>
      <c r="L411" s="14">
        <f>CHOOSE(CONTROL!$C$42, 20.7907, 20.7907) * CHOOSE(CONTROL!$C$21, $C$9, 100%, $E$9)</f>
        <v>20.790700000000001</v>
      </c>
      <c r="M411" s="14">
        <f>CHOOSE(CONTROL!$C$42, 19.6873, 19.6873) * CHOOSE(CONTROL!$C$21, $C$9, 100%, $E$9)</f>
        <v>19.6873</v>
      </c>
      <c r="N411" s="14">
        <f>CHOOSE(CONTROL!$C$42, 19.7031, 19.7031) * CHOOSE(CONTROL!$C$21, $C$9, 100%, $E$9)</f>
        <v>19.703099999999999</v>
      </c>
      <c r="O411" s="14">
        <f>CHOOSE(CONTROL!$C$42, 19.7974, 19.7974) * CHOOSE(CONTROL!$C$21, $C$9, 100%, $E$9)</f>
        <v>19.7974</v>
      </c>
      <c r="P411" s="14">
        <f>CHOOSE(CONTROL!$C$42, 19.7725, 19.7725) * CHOOSE(CONTROL!$C$21, $C$9, 100%, $E$9)</f>
        <v>19.772500000000001</v>
      </c>
      <c r="Q411" s="14">
        <f>CHOOSE(CONTROL!$C$42, 20.3921, 20.3921) * CHOOSE(CONTROL!$C$21, $C$9, 100%, $E$9)</f>
        <v>20.392099999999999</v>
      </c>
      <c r="R411" s="14">
        <f>CHOOSE(CONTROL!$C$42, 21.0301, 21.0301) * CHOOSE(CONTROL!$C$21, $C$9, 100%, $E$9)</f>
        <v>21.030100000000001</v>
      </c>
      <c r="S411" s="14">
        <f>CHOOSE(CONTROL!$C$42, 19.3041, 19.3041) * CHOOSE(CONTROL!$C$21, $C$9, 100%, $E$9)</f>
        <v>19.304099999999998</v>
      </c>
      <c r="T4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7">
        <f>(1000*CHOOSE(CONTROL!$C$42, 695, 695)*CHOOSE(CONTROL!$C$42, 0.5599, 0.5599)*CHOOSE(CONTROL!$C$42, 31, 31))/1000000</f>
        <v>12.063045499999998</v>
      </c>
      <c r="V411" s="57">
        <f>(1000*CHOOSE(CONTROL!$C$42, 500, 500)*CHOOSE(CONTROL!$C$42, 0.275, 0.275)*CHOOSE(CONTROL!$C$42, 31, 31))/1000000</f>
        <v>4.2625000000000002</v>
      </c>
      <c r="W411" s="57">
        <f>(1000*CHOOSE(CONTROL!$C$42, 0.1146, 0.1146)*CHOOSE(CONTROL!$C$42, 121.5, 121.5)*CHOOSE(CONTROL!$C$42, 31, 31))/1000000</f>
        <v>0.43164089999999994</v>
      </c>
      <c r="X411" s="57">
        <f>(31*0.1790888*100000/1000000)+(31*0.2374*100000/1000000)</f>
        <v>1.2911152800000001</v>
      </c>
      <c r="Y411" s="57"/>
      <c r="Z411" s="14"/>
      <c r="AA411" s="56"/>
      <c r="AB411" s="50">
        <f>(B411*122.58+C411*297.941+D411*89.177+E411*40.302+F411*40+G411*160+H411*0+I411*100+J411*300)/(122.58+297.941+89.177+40.302+0+40+160+100+300)</f>
        <v>20.117607936869565</v>
      </c>
      <c r="AC411" s="45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19.750369784172662</v>
      </c>
    </row>
    <row r="412" spans="1:29" ht="15.75" x14ac:dyDescent="0.25">
      <c r="A412" s="33">
        <v>53447</v>
      </c>
      <c r="B412" s="14">
        <f>CHOOSE(CONTROL!$C$42, 20.0396, 20.0396) * CHOOSE(CONTROL!$C$21, $C$9, 100%, $E$9)</f>
        <v>20.0396</v>
      </c>
      <c r="C412" s="14">
        <f>CHOOSE(CONTROL!$C$42, 20.0441, 20.0441) * CHOOSE(CONTROL!$C$21, $C$9, 100%, $E$9)</f>
        <v>20.0441</v>
      </c>
      <c r="D412" s="14">
        <f>CHOOSE(CONTROL!$C$42, 20.2808, 20.2808) * CHOOSE(CONTROL!$C$21, $C$9, 100%, $E$9)</f>
        <v>20.280799999999999</v>
      </c>
      <c r="E412" s="14">
        <f>CHOOSE(CONTROL!$C$42, 20.3129, 20.3129) * CHOOSE(CONTROL!$C$21, $C$9, 100%, $E$9)</f>
        <v>20.312899999999999</v>
      </c>
      <c r="F412" s="14">
        <f>CHOOSE(CONTROL!$C$42, 20.0375, 20.0375)*CHOOSE(CONTROL!$C$21, $C$9, 100%, $E$9)</f>
        <v>20.037500000000001</v>
      </c>
      <c r="G412" s="14">
        <f>CHOOSE(CONTROL!$C$42, 20.0534, 20.0534)*CHOOSE(CONTROL!$C$21, $C$9, 100%, $E$9)</f>
        <v>20.0534</v>
      </c>
      <c r="H412" s="14">
        <f>CHOOSE(CONTROL!$C$42, 20.3027, 20.3027) * CHOOSE(CONTROL!$C$21, $C$9, 100%, $E$9)</f>
        <v>20.302700000000002</v>
      </c>
      <c r="I412" s="14">
        <f>CHOOSE(CONTROL!$C$42, 20.1196, 20.1196)* CHOOSE(CONTROL!$C$21, $C$9, 100%, $E$9)</f>
        <v>20.119599999999998</v>
      </c>
      <c r="J412" s="14">
        <f>CHOOSE(CONTROL!$C$42, 20.0305, 20.0305)* CHOOSE(CONTROL!$C$21, $C$9, 100%, $E$9)</f>
        <v>20.0305</v>
      </c>
      <c r="K412" s="53">
        <f>CHOOSE(CONTROL!$C$42, 20.1157, 20.1157) * CHOOSE(CONTROL!$C$21, $C$9, 100%, $E$9)</f>
        <v>20.1157</v>
      </c>
      <c r="L412" s="14">
        <f>CHOOSE(CONTROL!$C$42, 20.8897, 20.8897) * CHOOSE(CONTROL!$C$21, $C$9, 100%, $E$9)</f>
        <v>20.889700000000001</v>
      </c>
      <c r="M412" s="14">
        <f>CHOOSE(CONTROL!$C$42, 19.6278, 19.6278) * CHOOSE(CONTROL!$C$21, $C$9, 100%, $E$9)</f>
        <v>19.627800000000001</v>
      </c>
      <c r="N412" s="14">
        <f>CHOOSE(CONTROL!$C$42, 19.6433, 19.6433) * CHOOSE(CONTROL!$C$21, $C$9, 100%, $E$9)</f>
        <v>19.6433</v>
      </c>
      <c r="O412" s="14">
        <f>CHOOSE(CONTROL!$C$42, 19.8944, 19.8944) * CHOOSE(CONTROL!$C$21, $C$9, 100%, $E$9)</f>
        <v>19.894400000000001</v>
      </c>
      <c r="P412" s="14">
        <f>CHOOSE(CONTROL!$C$42, 19.7139, 19.7139) * CHOOSE(CONTROL!$C$21, $C$9, 100%, $E$9)</f>
        <v>19.713899999999999</v>
      </c>
      <c r="Q412" s="14">
        <f>CHOOSE(CONTROL!$C$42, 20.4891, 20.4891) * CHOOSE(CONTROL!$C$21, $C$9, 100%, $E$9)</f>
        <v>20.489100000000001</v>
      </c>
      <c r="R412" s="14">
        <f>CHOOSE(CONTROL!$C$42, 21.1273, 21.1273) * CHOOSE(CONTROL!$C$21, $C$9, 100%, $E$9)</f>
        <v>21.127300000000002</v>
      </c>
      <c r="S412" s="14">
        <f>CHOOSE(CONTROL!$C$42, 19.2467, 19.2467) * CHOOSE(CONTROL!$C$21, $C$9, 100%, $E$9)</f>
        <v>19.246700000000001</v>
      </c>
      <c r="T4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7">
        <f>(1000*CHOOSE(CONTROL!$C$42, 695, 695)*CHOOSE(CONTROL!$C$42, 0.5599, 0.5599)*CHOOSE(CONTROL!$C$42, 30, 30))/1000000</f>
        <v>11.673914999999997</v>
      </c>
      <c r="V412" s="57">
        <f>(1000*CHOOSE(CONTROL!$C$42, 500, 500)*CHOOSE(CONTROL!$C$42, 0.275, 0.275)*CHOOSE(CONTROL!$C$42, 30, 30))/1000000</f>
        <v>4.125</v>
      </c>
      <c r="W412" s="57">
        <f>(1000*CHOOSE(CONTROL!$C$42, 0.1146, 0.1146)*CHOOSE(CONTROL!$C$42, 121.5, 121.5)*CHOOSE(CONTROL!$C$42, 30, 30))/1000000</f>
        <v>0.417717</v>
      </c>
      <c r="X412" s="57">
        <f>(30*0.1790888*245000/1000000)+(30*0.2374*100000/1000000)</f>
        <v>2.0285026799999999</v>
      </c>
      <c r="Y412" s="57"/>
      <c r="Z412" s="14"/>
      <c r="AA412" s="56"/>
      <c r="AB412" s="50">
        <f>(B412*141.293+C412*267.993+D412*115.016+E412*89.698+F412*40+G412*185+H412*0+I412*100+J412*300)/(141.293+267.993+115.016+89.698+0+40+185+100+300)</f>
        <v>20.088995715173528</v>
      </c>
      <c r="AC412" s="45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19.718558273381298</v>
      </c>
    </row>
    <row r="413" spans="1:29" ht="15.75" x14ac:dyDescent="0.25">
      <c r="A413" s="33">
        <v>53478</v>
      </c>
      <c r="B413" s="14">
        <f>CHOOSE(CONTROL!$C$42, 20.2178, 20.2178) * CHOOSE(CONTROL!$C$21, $C$9, 100%, $E$9)</f>
        <v>20.2178</v>
      </c>
      <c r="C413" s="14">
        <f>CHOOSE(CONTROL!$C$42, 20.2258, 20.2258) * CHOOSE(CONTROL!$C$21, $C$9, 100%, $E$9)</f>
        <v>20.2258</v>
      </c>
      <c r="D413" s="14">
        <f>CHOOSE(CONTROL!$C$42, 20.4594, 20.4594) * CHOOSE(CONTROL!$C$21, $C$9, 100%, $E$9)</f>
        <v>20.459399999999999</v>
      </c>
      <c r="E413" s="14">
        <f>CHOOSE(CONTROL!$C$42, 20.4908, 20.4908) * CHOOSE(CONTROL!$C$21, $C$9, 100%, $E$9)</f>
        <v>20.4908</v>
      </c>
      <c r="F413" s="14">
        <f>CHOOSE(CONTROL!$C$42, 20.2145, 20.2145)*CHOOSE(CONTROL!$C$21, $C$9, 100%, $E$9)</f>
        <v>20.214500000000001</v>
      </c>
      <c r="G413" s="14">
        <f>CHOOSE(CONTROL!$C$42, 20.2309, 20.2309)*CHOOSE(CONTROL!$C$21, $C$9, 100%, $E$9)</f>
        <v>20.230899999999998</v>
      </c>
      <c r="H413" s="14">
        <f>CHOOSE(CONTROL!$C$42, 20.4795, 20.4795) * CHOOSE(CONTROL!$C$21, $C$9, 100%, $E$9)</f>
        <v>20.479500000000002</v>
      </c>
      <c r="I413" s="14">
        <f>CHOOSE(CONTROL!$C$42, 20.297, 20.297)* CHOOSE(CONTROL!$C$21, $C$9, 100%, $E$9)</f>
        <v>20.297000000000001</v>
      </c>
      <c r="J413" s="14">
        <f>CHOOSE(CONTROL!$C$42, 20.2075, 20.2075)* CHOOSE(CONTROL!$C$21, $C$9, 100%, $E$9)</f>
        <v>20.2075</v>
      </c>
      <c r="K413" s="53">
        <f>CHOOSE(CONTROL!$C$42, 20.2931, 20.2931) * CHOOSE(CONTROL!$C$21, $C$9, 100%, $E$9)</f>
        <v>20.293099999999999</v>
      </c>
      <c r="L413" s="14">
        <f>CHOOSE(CONTROL!$C$42, 21.0665, 21.0665) * CHOOSE(CONTROL!$C$21, $C$9, 100%, $E$9)</f>
        <v>21.066500000000001</v>
      </c>
      <c r="M413" s="14">
        <f>CHOOSE(CONTROL!$C$42, 19.8012, 19.8012) * CHOOSE(CONTROL!$C$21, $C$9, 100%, $E$9)</f>
        <v>19.801200000000001</v>
      </c>
      <c r="N413" s="14">
        <f>CHOOSE(CONTROL!$C$42, 19.8172, 19.8172) * CHOOSE(CONTROL!$C$21, $C$9, 100%, $E$9)</f>
        <v>19.8172</v>
      </c>
      <c r="O413" s="14">
        <f>CHOOSE(CONTROL!$C$42, 20.0676, 20.0676) * CHOOSE(CONTROL!$C$21, $C$9, 100%, $E$9)</f>
        <v>20.067599999999999</v>
      </c>
      <c r="P413" s="14">
        <f>CHOOSE(CONTROL!$C$42, 19.8876, 19.8876) * CHOOSE(CONTROL!$C$21, $C$9, 100%, $E$9)</f>
        <v>19.887599999999999</v>
      </c>
      <c r="Q413" s="14">
        <f>CHOOSE(CONTROL!$C$42, 20.6623, 20.6623) * CHOOSE(CONTROL!$C$21, $C$9, 100%, $E$9)</f>
        <v>20.662299999999998</v>
      </c>
      <c r="R413" s="14">
        <f>CHOOSE(CONTROL!$C$42, 21.3009, 21.3009) * CHOOSE(CONTROL!$C$21, $C$9, 100%, $E$9)</f>
        <v>21.300899999999999</v>
      </c>
      <c r="S413" s="14">
        <f>CHOOSE(CONTROL!$C$42, 19.4166, 19.4166) * CHOOSE(CONTROL!$C$21, $C$9, 100%, $E$9)</f>
        <v>19.416599999999999</v>
      </c>
      <c r="T4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7">
        <f>(1000*CHOOSE(CONTROL!$C$42, 695, 695)*CHOOSE(CONTROL!$C$42, 0.5599, 0.5599)*CHOOSE(CONTROL!$C$42, 31, 31))/1000000</f>
        <v>12.063045499999998</v>
      </c>
      <c r="V413" s="57">
        <f>(1000*CHOOSE(CONTROL!$C$42, 500, 500)*CHOOSE(CONTROL!$C$42, 0.275, 0.275)*CHOOSE(CONTROL!$C$42, 31, 31))/1000000</f>
        <v>4.2625000000000002</v>
      </c>
      <c r="W413" s="57">
        <f>(1000*CHOOSE(CONTROL!$C$42, 0.1146, 0.1146)*CHOOSE(CONTROL!$C$42, 121.5, 121.5)*CHOOSE(CONTROL!$C$42, 31, 31))/1000000</f>
        <v>0.43164089999999994</v>
      </c>
      <c r="X413" s="57">
        <f>(31*0.1790888*245000/1000000)+(31*0.2374*100000/1000000)</f>
        <v>2.0961194359999999</v>
      </c>
      <c r="Y413" s="57"/>
      <c r="Z413" s="14"/>
      <c r="AA413" s="56"/>
      <c r="AB413" s="50">
        <f>(B413*194.205+C413*267.466+D413*133.845+E413*53.484+F413*40+G413*185+H413*0+I413*100+J413*300)/(194.205+267.466+133.845+53.484+0+40+185+100+300)</f>
        <v>20.261912489795918</v>
      </c>
      <c r="AC413" s="45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19.892060431654677</v>
      </c>
    </row>
    <row r="414" spans="1:29" ht="15.75" x14ac:dyDescent="0.25">
      <c r="A414" s="33">
        <v>53508</v>
      </c>
      <c r="B414" s="14">
        <f>CHOOSE(CONTROL!$C$42, 20.7909, 20.7909) * CHOOSE(CONTROL!$C$21, $C$9, 100%, $E$9)</f>
        <v>20.790900000000001</v>
      </c>
      <c r="C414" s="14">
        <f>CHOOSE(CONTROL!$C$42, 20.7989, 20.7989) * CHOOSE(CONTROL!$C$21, $C$9, 100%, $E$9)</f>
        <v>20.7989</v>
      </c>
      <c r="D414" s="14">
        <f>CHOOSE(CONTROL!$C$42, 21.0325, 21.0325) * CHOOSE(CONTROL!$C$21, $C$9, 100%, $E$9)</f>
        <v>21.032499999999999</v>
      </c>
      <c r="E414" s="14">
        <f>CHOOSE(CONTROL!$C$42, 21.064, 21.064) * CHOOSE(CONTROL!$C$21, $C$9, 100%, $E$9)</f>
        <v>21.064</v>
      </c>
      <c r="F414" s="14">
        <f>CHOOSE(CONTROL!$C$42, 20.7882, 20.7882)*CHOOSE(CONTROL!$C$21, $C$9, 100%, $E$9)</f>
        <v>20.7882</v>
      </c>
      <c r="G414" s="14">
        <f>CHOOSE(CONTROL!$C$42, 20.8046, 20.8046)*CHOOSE(CONTROL!$C$21, $C$9, 100%, $E$9)</f>
        <v>20.804600000000001</v>
      </c>
      <c r="H414" s="14">
        <f>CHOOSE(CONTROL!$C$42, 21.0526, 21.0526) * CHOOSE(CONTROL!$C$21, $C$9, 100%, $E$9)</f>
        <v>21.052600000000002</v>
      </c>
      <c r="I414" s="14">
        <f>CHOOSE(CONTROL!$C$42, 20.8719, 20.8719)* CHOOSE(CONTROL!$C$21, $C$9, 100%, $E$9)</f>
        <v>20.8719</v>
      </c>
      <c r="J414" s="14">
        <f>CHOOSE(CONTROL!$C$42, 20.7812, 20.7812)* CHOOSE(CONTROL!$C$21, $C$9, 100%, $E$9)</f>
        <v>20.781199999999998</v>
      </c>
      <c r="K414" s="53">
        <f>CHOOSE(CONTROL!$C$42, 20.868, 20.868) * CHOOSE(CONTROL!$C$21, $C$9, 100%, $E$9)</f>
        <v>20.867999999999999</v>
      </c>
      <c r="L414" s="14">
        <f>CHOOSE(CONTROL!$C$42, 21.6396, 21.6396) * CHOOSE(CONTROL!$C$21, $C$9, 100%, $E$9)</f>
        <v>21.639600000000002</v>
      </c>
      <c r="M414" s="14">
        <f>CHOOSE(CONTROL!$C$42, 20.3631, 20.3631) * CHOOSE(CONTROL!$C$21, $C$9, 100%, $E$9)</f>
        <v>20.363099999999999</v>
      </c>
      <c r="N414" s="14">
        <f>CHOOSE(CONTROL!$C$42, 20.3792, 20.3792) * CHOOSE(CONTROL!$C$21, $C$9, 100%, $E$9)</f>
        <v>20.379200000000001</v>
      </c>
      <c r="O414" s="14">
        <f>CHOOSE(CONTROL!$C$42, 20.629, 20.629) * CHOOSE(CONTROL!$C$21, $C$9, 100%, $E$9)</f>
        <v>20.629000000000001</v>
      </c>
      <c r="P414" s="14">
        <f>CHOOSE(CONTROL!$C$42, 20.4507, 20.4507) * CHOOSE(CONTROL!$C$21, $C$9, 100%, $E$9)</f>
        <v>20.450700000000001</v>
      </c>
      <c r="Q414" s="14">
        <f>CHOOSE(CONTROL!$C$42, 21.2237, 21.2237) * CHOOSE(CONTROL!$C$21, $C$9, 100%, $E$9)</f>
        <v>21.223700000000001</v>
      </c>
      <c r="R414" s="14">
        <f>CHOOSE(CONTROL!$C$42, 21.8637, 21.8637) * CHOOSE(CONTROL!$C$21, $C$9, 100%, $E$9)</f>
        <v>21.863700000000001</v>
      </c>
      <c r="S414" s="14">
        <f>CHOOSE(CONTROL!$C$42, 19.9674, 19.9674) * CHOOSE(CONTROL!$C$21, $C$9, 100%, $E$9)</f>
        <v>19.967400000000001</v>
      </c>
      <c r="T4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7">
        <f>(1000*CHOOSE(CONTROL!$C$42, 695, 695)*CHOOSE(CONTROL!$C$42, 0.5599, 0.5599)*CHOOSE(CONTROL!$C$42, 30, 30))/1000000</f>
        <v>11.673914999999997</v>
      </c>
      <c r="V414" s="57">
        <f>(1000*CHOOSE(CONTROL!$C$42, 500, 500)*CHOOSE(CONTROL!$C$42, 0.275, 0.275)*CHOOSE(CONTROL!$C$42, 30, 30))/1000000</f>
        <v>4.125</v>
      </c>
      <c r="W414" s="57">
        <f>(1000*CHOOSE(CONTROL!$C$42, 0.1146, 0.1146)*CHOOSE(CONTROL!$C$42, 121.5, 121.5)*CHOOSE(CONTROL!$C$42, 30, 30))/1000000</f>
        <v>0.417717</v>
      </c>
      <c r="X414" s="57">
        <f>(30*0.1790888*245000/1000000)+(30*0.2374*100000/1000000)</f>
        <v>2.0285026799999999</v>
      </c>
      <c r="Y414" s="57"/>
      <c r="Z414" s="14"/>
      <c r="AA414" s="56"/>
      <c r="AB414" s="50">
        <f>(B414*194.205+C414*267.466+D414*133.845+E414*53.484+F414*40+G414*185+H414*0+I414*100+J414*300)/(194.205+267.466+133.845+53.484+0+40+185+100+300)</f>
        <v>20.835405227943486</v>
      </c>
      <c r="AC414" s="45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20.454015827338132</v>
      </c>
    </row>
    <row r="415" spans="1:29" ht="15.75" x14ac:dyDescent="0.25">
      <c r="A415" s="33">
        <v>53539</v>
      </c>
      <c r="B415" s="14">
        <f>CHOOSE(CONTROL!$C$42, 20.3923, 20.3923) * CHOOSE(CONTROL!$C$21, $C$9, 100%, $E$9)</f>
        <v>20.392299999999999</v>
      </c>
      <c r="C415" s="14">
        <f>CHOOSE(CONTROL!$C$42, 20.4003, 20.4003) * CHOOSE(CONTROL!$C$21, $C$9, 100%, $E$9)</f>
        <v>20.400300000000001</v>
      </c>
      <c r="D415" s="14">
        <f>CHOOSE(CONTROL!$C$42, 20.6339, 20.6339) * CHOOSE(CONTROL!$C$21, $C$9, 100%, $E$9)</f>
        <v>20.633900000000001</v>
      </c>
      <c r="E415" s="14">
        <f>CHOOSE(CONTROL!$C$42, 20.6654, 20.6654) * CHOOSE(CONTROL!$C$21, $C$9, 100%, $E$9)</f>
        <v>20.665400000000002</v>
      </c>
      <c r="F415" s="14">
        <f>CHOOSE(CONTROL!$C$42, 20.3901, 20.3901)*CHOOSE(CONTROL!$C$21, $C$9, 100%, $E$9)</f>
        <v>20.3901</v>
      </c>
      <c r="G415" s="14">
        <f>CHOOSE(CONTROL!$C$42, 20.4067, 20.4067)*CHOOSE(CONTROL!$C$21, $C$9, 100%, $E$9)</f>
        <v>20.406700000000001</v>
      </c>
      <c r="H415" s="14">
        <f>CHOOSE(CONTROL!$C$42, 20.654, 20.654) * CHOOSE(CONTROL!$C$21, $C$9, 100%, $E$9)</f>
        <v>20.654</v>
      </c>
      <c r="I415" s="14">
        <f>CHOOSE(CONTROL!$C$42, 20.472, 20.472)* CHOOSE(CONTROL!$C$21, $C$9, 100%, $E$9)</f>
        <v>20.472000000000001</v>
      </c>
      <c r="J415" s="14">
        <f>CHOOSE(CONTROL!$C$42, 20.3831, 20.3831)* CHOOSE(CONTROL!$C$21, $C$9, 100%, $E$9)</f>
        <v>20.383099999999999</v>
      </c>
      <c r="K415" s="53">
        <f>CHOOSE(CONTROL!$C$42, 20.4681, 20.4681) * CHOOSE(CONTROL!$C$21, $C$9, 100%, $E$9)</f>
        <v>20.4681</v>
      </c>
      <c r="L415" s="14">
        <f>CHOOSE(CONTROL!$C$42, 21.241, 21.241) * CHOOSE(CONTROL!$C$21, $C$9, 100%, $E$9)</f>
        <v>21.241</v>
      </c>
      <c r="M415" s="14">
        <f>CHOOSE(CONTROL!$C$42, 19.9731, 19.9731) * CHOOSE(CONTROL!$C$21, $C$9, 100%, $E$9)</f>
        <v>19.973099999999999</v>
      </c>
      <c r="N415" s="14">
        <f>CHOOSE(CONTROL!$C$42, 19.9894, 19.9894) * CHOOSE(CONTROL!$C$21, $C$9, 100%, $E$9)</f>
        <v>19.9894</v>
      </c>
      <c r="O415" s="14">
        <f>CHOOSE(CONTROL!$C$42, 20.2385, 20.2385) * CHOOSE(CONTROL!$C$21, $C$9, 100%, $E$9)</f>
        <v>20.238499999999998</v>
      </c>
      <c r="P415" s="14">
        <f>CHOOSE(CONTROL!$C$42, 20.0591, 20.0591) * CHOOSE(CONTROL!$C$21, $C$9, 100%, $E$9)</f>
        <v>20.059100000000001</v>
      </c>
      <c r="Q415" s="14">
        <f>CHOOSE(CONTROL!$C$42, 20.8332, 20.8332) * CHOOSE(CONTROL!$C$21, $C$9, 100%, $E$9)</f>
        <v>20.833200000000001</v>
      </c>
      <c r="R415" s="14">
        <f>CHOOSE(CONTROL!$C$42, 21.4723, 21.4723) * CHOOSE(CONTROL!$C$21, $C$9, 100%, $E$9)</f>
        <v>21.472300000000001</v>
      </c>
      <c r="S415" s="14">
        <f>CHOOSE(CONTROL!$C$42, 19.5843, 19.5843) * CHOOSE(CONTROL!$C$21, $C$9, 100%, $E$9)</f>
        <v>19.584299999999999</v>
      </c>
      <c r="T4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7">
        <f>(1000*CHOOSE(CONTROL!$C$42, 695, 695)*CHOOSE(CONTROL!$C$42, 0.5599, 0.5599)*CHOOSE(CONTROL!$C$42, 31, 31))/1000000</f>
        <v>12.063045499999998</v>
      </c>
      <c r="V415" s="57">
        <f>(1000*CHOOSE(CONTROL!$C$42, 500, 500)*CHOOSE(CONTROL!$C$42, 0.275, 0.275)*CHOOSE(CONTROL!$C$42, 31, 31))/1000000</f>
        <v>4.2625000000000002</v>
      </c>
      <c r="W415" s="57">
        <f>(1000*CHOOSE(CONTROL!$C$42, 0.1146, 0.1146)*CHOOSE(CONTROL!$C$42, 121.5, 121.5)*CHOOSE(CONTROL!$C$42, 31, 31))/1000000</f>
        <v>0.43164089999999994</v>
      </c>
      <c r="X415" s="57">
        <f>(31*0.1790888*245000/1000000)+(31*0.2374*100000/1000000)</f>
        <v>2.0961194359999999</v>
      </c>
      <c r="Y415" s="57"/>
      <c r="Z415" s="14"/>
      <c r="AA415" s="56"/>
      <c r="AB415" s="50">
        <f>(B415*194.205+C415*267.466+D415*133.845+E415*53.484+F415*40+G415*185+H415*0+I415*100+J415*300)/(194.205+267.466+133.845+53.484+0+40+185+100+300)</f>
        <v>20.436938273469387</v>
      </c>
      <c r="AC415" s="45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20.063691366906475</v>
      </c>
    </row>
    <row r="416" spans="1:29" ht="15.75" x14ac:dyDescent="0.25">
      <c r="A416" s="33">
        <v>53570</v>
      </c>
      <c r="B416" s="14">
        <f>CHOOSE(CONTROL!$C$42, 19.3856, 19.3856) * CHOOSE(CONTROL!$C$21, $C$9, 100%, $E$9)</f>
        <v>19.3856</v>
      </c>
      <c r="C416" s="14">
        <f>CHOOSE(CONTROL!$C$42, 19.3936, 19.3936) * CHOOSE(CONTROL!$C$21, $C$9, 100%, $E$9)</f>
        <v>19.393599999999999</v>
      </c>
      <c r="D416" s="14">
        <f>CHOOSE(CONTROL!$C$42, 19.6272, 19.6272) * CHOOSE(CONTROL!$C$21, $C$9, 100%, $E$9)</f>
        <v>19.627199999999998</v>
      </c>
      <c r="E416" s="14">
        <f>CHOOSE(CONTROL!$C$42, 19.6587, 19.6587) * CHOOSE(CONTROL!$C$21, $C$9, 100%, $E$9)</f>
        <v>19.6587</v>
      </c>
      <c r="F416" s="14">
        <f>CHOOSE(CONTROL!$C$42, 19.3836, 19.3836)*CHOOSE(CONTROL!$C$21, $C$9, 100%, $E$9)</f>
        <v>19.383600000000001</v>
      </c>
      <c r="G416" s="14">
        <f>CHOOSE(CONTROL!$C$42, 19.4003, 19.4003)*CHOOSE(CONTROL!$C$21, $C$9, 100%, $E$9)</f>
        <v>19.400300000000001</v>
      </c>
      <c r="H416" s="14">
        <f>CHOOSE(CONTROL!$C$42, 19.6473, 19.6473) * CHOOSE(CONTROL!$C$21, $C$9, 100%, $E$9)</f>
        <v>19.647300000000001</v>
      </c>
      <c r="I416" s="14">
        <f>CHOOSE(CONTROL!$C$42, 19.4622, 19.4622)* CHOOSE(CONTROL!$C$21, $C$9, 100%, $E$9)</f>
        <v>19.462199999999999</v>
      </c>
      <c r="J416" s="14">
        <f>CHOOSE(CONTROL!$C$42, 19.3766, 19.3766)* CHOOSE(CONTROL!$C$21, $C$9, 100%, $E$9)</f>
        <v>19.3766</v>
      </c>
      <c r="K416" s="53">
        <f>CHOOSE(CONTROL!$C$42, 19.4583, 19.4583) * CHOOSE(CONTROL!$C$21, $C$9, 100%, $E$9)</f>
        <v>19.458300000000001</v>
      </c>
      <c r="L416" s="14">
        <f>CHOOSE(CONTROL!$C$42, 20.2343, 20.2343) * CHOOSE(CONTROL!$C$21, $C$9, 100%, $E$9)</f>
        <v>20.234300000000001</v>
      </c>
      <c r="M416" s="14">
        <f>CHOOSE(CONTROL!$C$42, 18.9873, 18.9873) * CHOOSE(CONTROL!$C$21, $C$9, 100%, $E$9)</f>
        <v>18.987300000000001</v>
      </c>
      <c r="N416" s="14">
        <f>CHOOSE(CONTROL!$C$42, 19.0036, 19.0036) * CHOOSE(CONTROL!$C$21, $C$9, 100%, $E$9)</f>
        <v>19.003599999999999</v>
      </c>
      <c r="O416" s="14">
        <f>CHOOSE(CONTROL!$C$42, 19.2525, 19.2525) * CHOOSE(CONTROL!$C$21, $C$9, 100%, $E$9)</f>
        <v>19.252500000000001</v>
      </c>
      <c r="P416" s="14">
        <f>CHOOSE(CONTROL!$C$42, 19.07, 19.07) * CHOOSE(CONTROL!$C$21, $C$9, 100%, $E$9)</f>
        <v>19.07</v>
      </c>
      <c r="Q416" s="14">
        <f>CHOOSE(CONTROL!$C$42, 19.8472, 19.8472) * CHOOSE(CONTROL!$C$21, $C$9, 100%, $E$9)</f>
        <v>19.847200000000001</v>
      </c>
      <c r="R416" s="14">
        <f>CHOOSE(CONTROL!$C$42, 20.4838, 20.4838) * CHOOSE(CONTROL!$C$21, $C$9, 100%, $E$9)</f>
        <v>20.483799999999999</v>
      </c>
      <c r="S416" s="14">
        <f>CHOOSE(CONTROL!$C$42, 18.617, 18.617) * CHOOSE(CONTROL!$C$21, $C$9, 100%, $E$9)</f>
        <v>18.617000000000001</v>
      </c>
      <c r="T4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7">
        <f>(1000*CHOOSE(CONTROL!$C$42, 695, 695)*CHOOSE(CONTROL!$C$42, 0.5599, 0.5599)*CHOOSE(CONTROL!$C$42, 31, 31))/1000000</f>
        <v>12.063045499999998</v>
      </c>
      <c r="V416" s="57">
        <f>(1000*CHOOSE(CONTROL!$C$42, 500, 500)*CHOOSE(CONTROL!$C$42, 0.275, 0.275)*CHOOSE(CONTROL!$C$42, 31, 31))/1000000</f>
        <v>4.2625000000000002</v>
      </c>
      <c r="W416" s="57">
        <f>(1000*CHOOSE(CONTROL!$C$42, 0.1146, 0.1146)*CHOOSE(CONTROL!$C$42, 121.5, 121.5)*CHOOSE(CONTROL!$C$42, 31, 31))/1000000</f>
        <v>0.43164089999999994</v>
      </c>
      <c r="X416" s="57">
        <f>(31*0.1790888*245000/1000000)+(31*0.2374*100000/1000000)</f>
        <v>2.0961194359999999</v>
      </c>
      <c r="Y416" s="57"/>
      <c r="Z416" s="14"/>
      <c r="AA416" s="56"/>
      <c r="AB416" s="50">
        <f>(B416*194.205+C416*267.466+D416*133.845+E416*53.484+F416*40+G416*185+H416*0+I416*100+J416*300)/(194.205+267.466+133.845+53.484+0+40+185+100+300)</f>
        <v>19.430091884144428</v>
      </c>
      <c r="AC416" s="45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19.077360431654679</v>
      </c>
    </row>
    <row r="417" spans="1:29" ht="15.75" x14ac:dyDescent="0.25">
      <c r="A417" s="33">
        <v>53600</v>
      </c>
      <c r="B417" s="14">
        <f>CHOOSE(CONTROL!$C$42, 18.1552, 18.1552) * CHOOSE(CONTROL!$C$21, $C$9, 100%, $E$9)</f>
        <v>18.155200000000001</v>
      </c>
      <c r="C417" s="14">
        <f>CHOOSE(CONTROL!$C$42, 18.1632, 18.1632) * CHOOSE(CONTROL!$C$21, $C$9, 100%, $E$9)</f>
        <v>18.1632</v>
      </c>
      <c r="D417" s="14">
        <f>CHOOSE(CONTROL!$C$42, 18.3968, 18.3968) * CHOOSE(CONTROL!$C$21, $C$9, 100%, $E$9)</f>
        <v>18.396799999999999</v>
      </c>
      <c r="E417" s="14">
        <f>CHOOSE(CONTROL!$C$42, 18.4283, 18.4283) * CHOOSE(CONTROL!$C$21, $C$9, 100%, $E$9)</f>
        <v>18.4283</v>
      </c>
      <c r="F417" s="14">
        <f>CHOOSE(CONTROL!$C$42, 18.1532, 18.1532)*CHOOSE(CONTROL!$C$21, $C$9, 100%, $E$9)</f>
        <v>18.153199999999998</v>
      </c>
      <c r="G417" s="14">
        <f>CHOOSE(CONTROL!$C$42, 18.1699, 18.1699)*CHOOSE(CONTROL!$C$21, $C$9, 100%, $E$9)</f>
        <v>18.169899999999998</v>
      </c>
      <c r="H417" s="14">
        <f>CHOOSE(CONTROL!$C$42, 18.4169, 18.4169) * CHOOSE(CONTROL!$C$21, $C$9, 100%, $E$9)</f>
        <v>18.416899999999998</v>
      </c>
      <c r="I417" s="14">
        <f>CHOOSE(CONTROL!$C$42, 18.2279, 18.2279)* CHOOSE(CONTROL!$C$21, $C$9, 100%, $E$9)</f>
        <v>18.227900000000002</v>
      </c>
      <c r="J417" s="14">
        <f>CHOOSE(CONTROL!$C$42, 18.1462, 18.1462)* CHOOSE(CONTROL!$C$21, $C$9, 100%, $E$9)</f>
        <v>18.1462</v>
      </c>
      <c r="K417" s="53">
        <f>CHOOSE(CONTROL!$C$42, 18.224, 18.224) * CHOOSE(CONTROL!$C$21, $C$9, 100%, $E$9)</f>
        <v>18.224</v>
      </c>
      <c r="L417" s="14">
        <f>CHOOSE(CONTROL!$C$42, 19.0039, 19.0039) * CHOOSE(CONTROL!$C$21, $C$9, 100%, $E$9)</f>
        <v>19.003900000000002</v>
      </c>
      <c r="M417" s="14">
        <f>CHOOSE(CONTROL!$C$42, 17.7821, 17.7821) * CHOOSE(CONTROL!$C$21, $C$9, 100%, $E$9)</f>
        <v>17.7821</v>
      </c>
      <c r="N417" s="14">
        <f>CHOOSE(CONTROL!$C$42, 17.7984, 17.7984) * CHOOSE(CONTROL!$C$21, $C$9, 100%, $E$9)</f>
        <v>17.798400000000001</v>
      </c>
      <c r="O417" s="14">
        <f>CHOOSE(CONTROL!$C$42, 18.0472, 18.0472) * CHOOSE(CONTROL!$C$21, $C$9, 100%, $E$9)</f>
        <v>18.0472</v>
      </c>
      <c r="P417" s="14">
        <f>CHOOSE(CONTROL!$C$42, 17.8611, 17.8611) * CHOOSE(CONTROL!$C$21, $C$9, 100%, $E$9)</f>
        <v>17.8611</v>
      </c>
      <c r="Q417" s="14">
        <f>CHOOSE(CONTROL!$C$42, 18.6419, 18.6419) * CHOOSE(CONTROL!$C$21, $C$9, 100%, $E$9)</f>
        <v>18.6419</v>
      </c>
      <c r="R417" s="14">
        <f>CHOOSE(CONTROL!$C$42, 19.2756, 19.2756) * CHOOSE(CONTROL!$C$21, $C$9, 100%, $E$9)</f>
        <v>19.275600000000001</v>
      </c>
      <c r="S417" s="14">
        <f>CHOOSE(CONTROL!$C$42, 17.4347, 17.4347) * CHOOSE(CONTROL!$C$21, $C$9, 100%, $E$9)</f>
        <v>17.434699999999999</v>
      </c>
      <c r="T4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7">
        <f>(1000*CHOOSE(CONTROL!$C$42, 695, 695)*CHOOSE(CONTROL!$C$42, 0.5599, 0.5599)*CHOOSE(CONTROL!$C$42, 30, 30))/1000000</f>
        <v>11.673914999999997</v>
      </c>
      <c r="V417" s="57">
        <f>(1000*CHOOSE(CONTROL!$C$42, 500, 500)*CHOOSE(CONTROL!$C$42, 0.275, 0.275)*CHOOSE(CONTROL!$C$42, 30, 30))/1000000</f>
        <v>4.125</v>
      </c>
      <c r="W417" s="57">
        <f>(1000*CHOOSE(CONTROL!$C$42, 0.1146, 0.1146)*CHOOSE(CONTROL!$C$42, 121.5, 121.5)*CHOOSE(CONTROL!$C$42, 30, 30))/1000000</f>
        <v>0.417717</v>
      </c>
      <c r="X417" s="57">
        <f>(30*0.1790888*245000/1000000)+(30*0.2374*100000/1000000)</f>
        <v>2.0285026799999999</v>
      </c>
      <c r="Y417" s="57"/>
      <c r="Z417" s="14"/>
      <c r="AA417" s="56"/>
      <c r="AB417" s="50">
        <f>(B417*194.205+C417*267.466+D417*133.845+E417*53.484+F417*40+G417*185+H417*0+I417*100+J417*300)/(194.205+267.466+133.845+53.484+0+40+185+100+300)</f>
        <v>18.199385761695449</v>
      </c>
      <c r="AC417" s="45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17.871600000000001</v>
      </c>
    </row>
    <row r="418" spans="1:29" ht="15.75" x14ac:dyDescent="0.25">
      <c r="A418" s="33">
        <v>53631</v>
      </c>
      <c r="B418" s="14">
        <f>CHOOSE(CONTROL!$C$42, 17.785, 17.785) * CHOOSE(CONTROL!$C$21, $C$9, 100%, $E$9)</f>
        <v>17.785</v>
      </c>
      <c r="C418" s="14">
        <f>CHOOSE(CONTROL!$C$42, 17.7904, 17.7904) * CHOOSE(CONTROL!$C$21, $C$9, 100%, $E$9)</f>
        <v>17.790400000000002</v>
      </c>
      <c r="D418" s="14">
        <f>CHOOSE(CONTROL!$C$42, 18.0289, 18.0289) * CHOOSE(CONTROL!$C$21, $C$9, 100%, $E$9)</f>
        <v>18.0289</v>
      </c>
      <c r="E418" s="14">
        <f>CHOOSE(CONTROL!$C$42, 18.0581, 18.0581) * CHOOSE(CONTROL!$C$21, $C$9, 100%, $E$9)</f>
        <v>18.0581</v>
      </c>
      <c r="F418" s="14">
        <f>CHOOSE(CONTROL!$C$42, 17.7851, 17.7851)*CHOOSE(CONTROL!$C$21, $C$9, 100%, $E$9)</f>
        <v>17.7851</v>
      </c>
      <c r="G418" s="14">
        <f>CHOOSE(CONTROL!$C$42, 17.8013, 17.8013)*CHOOSE(CONTROL!$C$21, $C$9, 100%, $E$9)</f>
        <v>17.801300000000001</v>
      </c>
      <c r="H418" s="14">
        <f>CHOOSE(CONTROL!$C$42, 18.0485, 18.0485) * CHOOSE(CONTROL!$C$21, $C$9, 100%, $E$9)</f>
        <v>18.048500000000001</v>
      </c>
      <c r="I418" s="14">
        <f>CHOOSE(CONTROL!$C$42, 17.8584, 17.8584)* CHOOSE(CONTROL!$C$21, $C$9, 100%, $E$9)</f>
        <v>17.8584</v>
      </c>
      <c r="J418" s="14">
        <f>CHOOSE(CONTROL!$C$42, 17.7781, 17.7781)* CHOOSE(CONTROL!$C$21, $C$9, 100%, $E$9)</f>
        <v>17.778099999999998</v>
      </c>
      <c r="K418" s="53">
        <f>CHOOSE(CONTROL!$C$42, 17.8545, 17.8545) * CHOOSE(CONTROL!$C$21, $C$9, 100%, $E$9)</f>
        <v>17.854500000000002</v>
      </c>
      <c r="L418" s="14">
        <f>CHOOSE(CONTROL!$C$42, 18.6355, 18.6355) * CHOOSE(CONTROL!$C$21, $C$9, 100%, $E$9)</f>
        <v>18.6355</v>
      </c>
      <c r="M418" s="14">
        <f>CHOOSE(CONTROL!$C$42, 17.4215, 17.4215) * CHOOSE(CONTROL!$C$21, $C$9, 100%, $E$9)</f>
        <v>17.421500000000002</v>
      </c>
      <c r="N418" s="14">
        <f>CHOOSE(CONTROL!$C$42, 17.4374, 17.4374) * CHOOSE(CONTROL!$C$21, $C$9, 100%, $E$9)</f>
        <v>17.4374</v>
      </c>
      <c r="O418" s="14">
        <f>CHOOSE(CONTROL!$C$42, 17.6864, 17.6864) * CHOOSE(CONTROL!$C$21, $C$9, 100%, $E$9)</f>
        <v>17.686399999999999</v>
      </c>
      <c r="P418" s="14">
        <f>CHOOSE(CONTROL!$C$42, 17.4991, 17.4991) * CHOOSE(CONTROL!$C$21, $C$9, 100%, $E$9)</f>
        <v>17.499099999999999</v>
      </c>
      <c r="Q418" s="14">
        <f>CHOOSE(CONTROL!$C$42, 18.2811, 18.2811) * CHOOSE(CONTROL!$C$21, $C$9, 100%, $E$9)</f>
        <v>18.281099999999999</v>
      </c>
      <c r="R418" s="14">
        <f>CHOOSE(CONTROL!$C$42, 18.9138, 18.9138) * CHOOSE(CONTROL!$C$21, $C$9, 100%, $E$9)</f>
        <v>18.913799999999998</v>
      </c>
      <c r="S418" s="14">
        <f>CHOOSE(CONTROL!$C$42, 17.0807, 17.0807) * CHOOSE(CONTROL!$C$21, $C$9, 100%, $E$9)</f>
        <v>17.0807</v>
      </c>
      <c r="T4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7">
        <f>(1000*CHOOSE(CONTROL!$C$42, 695, 695)*CHOOSE(CONTROL!$C$42, 0.5599, 0.5599)*CHOOSE(CONTROL!$C$42, 31, 31))/1000000</f>
        <v>12.063045499999998</v>
      </c>
      <c r="V418" s="57">
        <f>(1000*CHOOSE(CONTROL!$C$42, 500, 500)*CHOOSE(CONTROL!$C$42, 0.275, 0.275)*CHOOSE(CONTROL!$C$42, 31, 31))/1000000</f>
        <v>4.2625000000000002</v>
      </c>
      <c r="W418" s="57">
        <f>(1000*CHOOSE(CONTROL!$C$42, 0.1146, 0.1146)*CHOOSE(CONTROL!$C$42, 121.5, 121.5)*CHOOSE(CONTROL!$C$42, 31, 31))/1000000</f>
        <v>0.43164089999999994</v>
      </c>
      <c r="X418" s="57">
        <f>(31*0.1790888*245000/1000000)+(31*0.2374*100000/1000000)</f>
        <v>2.0961194359999999</v>
      </c>
      <c r="Y418" s="57"/>
      <c r="Z418" s="14"/>
      <c r="AA418" s="56"/>
      <c r="AB418" s="50">
        <f>(B418*131.881+C418*277.167+D418*79.08+E418*125.872+F418*40+G418*185+H418*0+I418*100+J418*300)/(131.881+277.167+79.08+125.872+0+40+185+100+300)</f>
        <v>17.836210215496369</v>
      </c>
      <c r="AC418" s="45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17.51065035971223</v>
      </c>
    </row>
    <row r="419" spans="1:29" ht="15.75" x14ac:dyDescent="0.25">
      <c r="A419" s="33">
        <v>53661</v>
      </c>
      <c r="B419" s="14">
        <f>CHOOSE(CONTROL!$C$42, 18.2529, 18.2529) * CHOOSE(CONTROL!$C$21, $C$9, 100%, $E$9)</f>
        <v>18.2529</v>
      </c>
      <c r="C419" s="14">
        <f>CHOOSE(CONTROL!$C$42, 18.258, 18.258) * CHOOSE(CONTROL!$C$21, $C$9, 100%, $E$9)</f>
        <v>18.257999999999999</v>
      </c>
      <c r="D419" s="14">
        <f>CHOOSE(CONTROL!$C$42, 18.3322, 18.3322) * CHOOSE(CONTROL!$C$21, $C$9, 100%, $E$9)</f>
        <v>18.3322</v>
      </c>
      <c r="E419" s="14">
        <f>CHOOSE(CONTROL!$C$42, 18.3663, 18.3663) * CHOOSE(CONTROL!$C$21, $C$9, 100%, $E$9)</f>
        <v>18.366299999999999</v>
      </c>
      <c r="F419" s="14">
        <f>CHOOSE(CONTROL!$C$42, 18.265, 18.265)*CHOOSE(CONTROL!$C$21, $C$9, 100%, $E$9)</f>
        <v>18.265000000000001</v>
      </c>
      <c r="G419" s="14">
        <f>CHOOSE(CONTROL!$C$42, 18.2815, 18.2815)*CHOOSE(CONTROL!$C$21, $C$9, 100%, $E$9)</f>
        <v>18.281500000000001</v>
      </c>
      <c r="H419" s="14">
        <f>CHOOSE(CONTROL!$C$42, 18.3555, 18.3555) * CHOOSE(CONTROL!$C$21, $C$9, 100%, $E$9)</f>
        <v>18.355499999999999</v>
      </c>
      <c r="I419" s="14">
        <f>CHOOSE(CONTROL!$C$42, 18.3344, 18.3344)* CHOOSE(CONTROL!$C$21, $C$9, 100%, $E$9)</f>
        <v>18.334399999999999</v>
      </c>
      <c r="J419" s="14">
        <f>CHOOSE(CONTROL!$C$42, 18.258, 18.258)* CHOOSE(CONTROL!$C$21, $C$9, 100%, $E$9)</f>
        <v>18.257999999999999</v>
      </c>
      <c r="K419" s="53">
        <f>CHOOSE(CONTROL!$C$42, 18.3305, 18.3305) * CHOOSE(CONTROL!$C$21, $C$9, 100%, $E$9)</f>
        <v>18.330500000000001</v>
      </c>
      <c r="L419" s="14">
        <f>CHOOSE(CONTROL!$C$42, 18.9425, 18.9425) * CHOOSE(CONTROL!$C$21, $C$9, 100%, $E$9)</f>
        <v>18.942499999999999</v>
      </c>
      <c r="M419" s="14">
        <f>CHOOSE(CONTROL!$C$42, 17.8916, 17.8916) * CHOOSE(CONTROL!$C$21, $C$9, 100%, $E$9)</f>
        <v>17.8916</v>
      </c>
      <c r="N419" s="14">
        <f>CHOOSE(CONTROL!$C$42, 17.9078, 17.9078) * CHOOSE(CONTROL!$C$21, $C$9, 100%, $E$9)</f>
        <v>17.907800000000002</v>
      </c>
      <c r="O419" s="14">
        <f>CHOOSE(CONTROL!$C$42, 17.9871, 17.9871) * CHOOSE(CONTROL!$C$21, $C$9, 100%, $E$9)</f>
        <v>17.987100000000002</v>
      </c>
      <c r="P419" s="14">
        <f>CHOOSE(CONTROL!$C$42, 17.9654, 17.9654) * CHOOSE(CONTROL!$C$21, $C$9, 100%, $E$9)</f>
        <v>17.965399999999999</v>
      </c>
      <c r="Q419" s="14">
        <f>CHOOSE(CONTROL!$C$42, 18.5818, 18.5818) * CHOOSE(CONTROL!$C$21, $C$9, 100%, $E$9)</f>
        <v>18.581800000000001</v>
      </c>
      <c r="R419" s="14">
        <f>CHOOSE(CONTROL!$C$42, 19.2152, 19.2152) * CHOOSE(CONTROL!$C$21, $C$9, 100%, $E$9)</f>
        <v>19.215199999999999</v>
      </c>
      <c r="S419" s="14">
        <f>CHOOSE(CONTROL!$C$42, 17.5307, 17.5307) * CHOOSE(CONTROL!$C$21, $C$9, 100%, $E$9)</f>
        <v>17.5307</v>
      </c>
      <c r="T4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7">
        <f>(1000*CHOOSE(CONTROL!$C$42, 695, 695)*CHOOSE(CONTROL!$C$42, 0.5599, 0.5599)*CHOOSE(CONTROL!$C$42, 30, 30))/1000000</f>
        <v>11.673914999999997</v>
      </c>
      <c r="V419" s="57">
        <f>(1000*CHOOSE(CONTROL!$C$42, 500, 500)*CHOOSE(CONTROL!$C$42, 0.275, 0.275)*CHOOSE(CONTROL!$C$42, 30, 30))/1000000</f>
        <v>4.125</v>
      </c>
      <c r="W419" s="57">
        <f>(1000*CHOOSE(CONTROL!$C$42, 0.1146, 0.1146)*CHOOSE(CONTROL!$C$42, 121.5, 121.5)*CHOOSE(CONTROL!$C$42, 30, 30))/1000000</f>
        <v>0.417717</v>
      </c>
      <c r="X419" s="57">
        <f>(30*0.1790888*100000/1000000)+(30*0.2374*100000/1000000)</f>
        <v>1.2494664</v>
      </c>
      <c r="Y419" s="57"/>
      <c r="Z419" s="14"/>
      <c r="AA419" s="56"/>
      <c r="AB419" s="50">
        <f>(B419*122.58+C419*297.941+D419*89.177+E419*40.302+F419*40+G419*160+H419*0+I419*100+J419*300)/(122.58+297.941+89.177+40.302+0+40+160+100+300)</f>
        <v>18.277162158260868</v>
      </c>
      <c r="AC419" s="45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17.946435251798565</v>
      </c>
    </row>
    <row r="420" spans="1:29" ht="15.75" x14ac:dyDescent="0.25">
      <c r="A420" s="33">
        <v>53692</v>
      </c>
      <c r="B420" s="14">
        <f>CHOOSE(CONTROL!$C$42, 19.4967, 19.4967) * CHOOSE(CONTROL!$C$21, $C$9, 100%, $E$9)</f>
        <v>19.496700000000001</v>
      </c>
      <c r="C420" s="14">
        <f>CHOOSE(CONTROL!$C$42, 19.5018, 19.5018) * CHOOSE(CONTROL!$C$21, $C$9, 100%, $E$9)</f>
        <v>19.501799999999999</v>
      </c>
      <c r="D420" s="14">
        <f>CHOOSE(CONTROL!$C$42, 19.576, 19.576) * CHOOSE(CONTROL!$C$21, $C$9, 100%, $E$9)</f>
        <v>19.576000000000001</v>
      </c>
      <c r="E420" s="14">
        <f>CHOOSE(CONTROL!$C$42, 19.6101, 19.6101) * CHOOSE(CONTROL!$C$21, $C$9, 100%, $E$9)</f>
        <v>19.610099999999999</v>
      </c>
      <c r="F420" s="14">
        <f>CHOOSE(CONTROL!$C$42, 19.5109, 19.5109)*CHOOSE(CONTROL!$C$21, $C$9, 100%, $E$9)</f>
        <v>19.510899999999999</v>
      </c>
      <c r="G420" s="14">
        <f>CHOOSE(CONTROL!$C$42, 19.5281, 19.5281)*CHOOSE(CONTROL!$C$21, $C$9, 100%, $E$9)</f>
        <v>19.528099999999998</v>
      </c>
      <c r="H420" s="14">
        <f>CHOOSE(CONTROL!$C$42, 19.5993, 19.5993) * CHOOSE(CONTROL!$C$21, $C$9, 100%, $E$9)</f>
        <v>19.599299999999999</v>
      </c>
      <c r="I420" s="14">
        <f>CHOOSE(CONTROL!$C$42, 19.5821, 19.5821)* CHOOSE(CONTROL!$C$21, $C$9, 100%, $E$9)</f>
        <v>19.582100000000001</v>
      </c>
      <c r="J420" s="14">
        <f>CHOOSE(CONTROL!$C$42, 19.5039, 19.5039)* CHOOSE(CONTROL!$C$21, $C$9, 100%, $E$9)</f>
        <v>19.503900000000002</v>
      </c>
      <c r="K420" s="53">
        <f>CHOOSE(CONTROL!$C$42, 19.5782, 19.5782) * CHOOSE(CONTROL!$C$21, $C$9, 100%, $E$9)</f>
        <v>19.578199999999999</v>
      </c>
      <c r="L420" s="14">
        <f>CHOOSE(CONTROL!$C$42, 20.1863, 20.1863) * CHOOSE(CONTROL!$C$21, $C$9, 100%, $E$9)</f>
        <v>20.186299999999999</v>
      </c>
      <c r="M420" s="14">
        <f>CHOOSE(CONTROL!$C$42, 19.112, 19.112) * CHOOSE(CONTROL!$C$21, $C$9, 100%, $E$9)</f>
        <v>19.111999999999998</v>
      </c>
      <c r="N420" s="14">
        <f>CHOOSE(CONTROL!$C$42, 19.1288, 19.1288) * CHOOSE(CONTROL!$C$21, $C$9, 100%, $E$9)</f>
        <v>19.128799999999998</v>
      </c>
      <c r="O420" s="14">
        <f>CHOOSE(CONTROL!$C$42, 19.2054, 19.2054) * CHOOSE(CONTROL!$C$21, $C$9, 100%, $E$9)</f>
        <v>19.205400000000001</v>
      </c>
      <c r="P420" s="14">
        <f>CHOOSE(CONTROL!$C$42, 19.1874, 19.1874) * CHOOSE(CONTROL!$C$21, $C$9, 100%, $E$9)</f>
        <v>19.1874</v>
      </c>
      <c r="Q420" s="14">
        <f>CHOOSE(CONTROL!$C$42, 19.8001, 19.8001) * CHOOSE(CONTROL!$C$21, $C$9, 100%, $E$9)</f>
        <v>19.8001</v>
      </c>
      <c r="R420" s="14">
        <f>CHOOSE(CONTROL!$C$42, 20.4366, 20.4366) * CHOOSE(CONTROL!$C$21, $C$9, 100%, $E$9)</f>
        <v>20.436599999999999</v>
      </c>
      <c r="S420" s="14">
        <f>CHOOSE(CONTROL!$C$42, 18.7258, 18.7258) * CHOOSE(CONTROL!$C$21, $C$9, 100%, $E$9)</f>
        <v>18.7258</v>
      </c>
      <c r="T4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7">
        <f>(1000*CHOOSE(CONTROL!$C$42, 695, 695)*CHOOSE(CONTROL!$C$42, 0.5599, 0.5599)*CHOOSE(CONTROL!$C$42, 31, 31))/1000000</f>
        <v>12.063045499999998</v>
      </c>
      <c r="V420" s="57">
        <f>(1000*CHOOSE(CONTROL!$C$42, 500, 500)*CHOOSE(CONTROL!$C$42, 0.275, 0.275)*CHOOSE(CONTROL!$C$42, 31, 31))/1000000</f>
        <v>4.2625000000000002</v>
      </c>
      <c r="W420" s="57">
        <f>(1000*CHOOSE(CONTROL!$C$42, 0.1146, 0.1146)*CHOOSE(CONTROL!$C$42, 121.5, 121.5)*CHOOSE(CONTROL!$C$42, 31, 31))/1000000</f>
        <v>0.43164089999999994</v>
      </c>
      <c r="X420" s="57">
        <f>(31*0.1790888*100000/1000000)+(31*0.2374*100000/1000000)</f>
        <v>1.2911152800000001</v>
      </c>
      <c r="Y420" s="57"/>
      <c r="Z420" s="14"/>
      <c r="AA420" s="56"/>
      <c r="AB420" s="50">
        <f>(B420*122.58+C420*297.941+D420*89.177+E420*40.302+F420*40+G420*160+H420*0+I420*100+J420*300)/(122.58+297.941+89.177+40.302+0+40+160+100+300)</f>
        <v>19.522311723478261</v>
      </c>
      <c r="AC420" s="45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19.166148201438848</v>
      </c>
    </row>
    <row r="421" spans="1:29" ht="15.75" x14ac:dyDescent="0.25">
      <c r="A421" s="33">
        <v>53723</v>
      </c>
      <c r="B421" s="14">
        <f>CHOOSE(CONTROL!$C$42, 21.1122, 21.1122) * CHOOSE(CONTROL!$C$21, $C$9, 100%, $E$9)</f>
        <v>21.112200000000001</v>
      </c>
      <c r="C421" s="14">
        <f>CHOOSE(CONTROL!$C$42, 21.1173, 21.1173) * CHOOSE(CONTROL!$C$21, $C$9, 100%, $E$9)</f>
        <v>21.1173</v>
      </c>
      <c r="D421" s="14">
        <f>CHOOSE(CONTROL!$C$42, 21.1941, 21.1941) * CHOOSE(CONTROL!$C$21, $C$9, 100%, $E$9)</f>
        <v>21.194099999999999</v>
      </c>
      <c r="E421" s="14">
        <f>CHOOSE(CONTROL!$C$42, 21.2282, 21.2282) * CHOOSE(CONTROL!$C$21, $C$9, 100%, $E$9)</f>
        <v>21.228200000000001</v>
      </c>
      <c r="F421" s="14">
        <f>CHOOSE(CONTROL!$C$42, 21.1124, 21.1124)*CHOOSE(CONTROL!$C$21, $C$9, 100%, $E$9)</f>
        <v>21.112400000000001</v>
      </c>
      <c r="G421" s="14">
        <f>CHOOSE(CONTROL!$C$42, 21.1286, 21.1286)*CHOOSE(CONTROL!$C$21, $C$9, 100%, $E$9)</f>
        <v>21.128599999999999</v>
      </c>
      <c r="H421" s="14">
        <f>CHOOSE(CONTROL!$C$42, 21.2174, 21.2174) * CHOOSE(CONTROL!$C$21, $C$9, 100%, $E$9)</f>
        <v>21.217400000000001</v>
      </c>
      <c r="I421" s="14">
        <f>CHOOSE(CONTROL!$C$42, 21.1964, 21.1964)* CHOOSE(CONTROL!$C$21, $C$9, 100%, $E$9)</f>
        <v>21.196400000000001</v>
      </c>
      <c r="J421" s="14">
        <f>CHOOSE(CONTROL!$C$42, 21.1054, 21.1054)* CHOOSE(CONTROL!$C$21, $C$9, 100%, $E$9)</f>
        <v>21.105399999999999</v>
      </c>
      <c r="K421" s="53">
        <f>CHOOSE(CONTROL!$C$42, 21.1925, 21.1925) * CHOOSE(CONTROL!$C$21, $C$9, 100%, $E$9)</f>
        <v>21.192499999999999</v>
      </c>
      <c r="L421" s="14">
        <f>CHOOSE(CONTROL!$C$42, 21.8044, 21.8044) * CHOOSE(CONTROL!$C$21, $C$9, 100%, $E$9)</f>
        <v>21.804400000000001</v>
      </c>
      <c r="M421" s="14">
        <f>CHOOSE(CONTROL!$C$42, 20.6807, 20.6807) * CHOOSE(CONTROL!$C$21, $C$9, 100%, $E$9)</f>
        <v>20.680700000000002</v>
      </c>
      <c r="N421" s="14">
        <f>CHOOSE(CONTROL!$C$42, 20.6965, 20.6965) * CHOOSE(CONTROL!$C$21, $C$9, 100%, $E$9)</f>
        <v>20.6965</v>
      </c>
      <c r="O421" s="14">
        <f>CHOOSE(CONTROL!$C$42, 20.7903, 20.7903) * CHOOSE(CONTROL!$C$21, $C$9, 100%, $E$9)</f>
        <v>20.790299999999998</v>
      </c>
      <c r="P421" s="14">
        <f>CHOOSE(CONTROL!$C$42, 20.7685, 20.7685) * CHOOSE(CONTROL!$C$21, $C$9, 100%, $E$9)</f>
        <v>20.7685</v>
      </c>
      <c r="Q421" s="14">
        <f>CHOOSE(CONTROL!$C$42, 21.385, 21.385) * CHOOSE(CONTROL!$C$21, $C$9, 100%, $E$9)</f>
        <v>21.385000000000002</v>
      </c>
      <c r="R421" s="14">
        <f>CHOOSE(CONTROL!$C$42, 22.0255, 22.0255) * CHOOSE(CONTROL!$C$21, $C$9, 100%, $E$9)</f>
        <v>22.025500000000001</v>
      </c>
      <c r="S421" s="14">
        <f>CHOOSE(CONTROL!$C$42, 20.2782, 20.2782) * CHOOSE(CONTROL!$C$21, $C$9, 100%, $E$9)</f>
        <v>20.278199999999998</v>
      </c>
      <c r="T4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7">
        <f>(1000*CHOOSE(CONTROL!$C$42, 695, 695)*CHOOSE(CONTROL!$C$42, 0.5599, 0.5599)*CHOOSE(CONTROL!$C$42, 31, 31))/1000000</f>
        <v>12.063045499999998</v>
      </c>
      <c r="V421" s="57">
        <f>(1000*CHOOSE(CONTROL!$C$42, 500, 500)*CHOOSE(CONTROL!$C$42, 0.275, 0.275)*CHOOSE(CONTROL!$C$42, 31, 31))/1000000</f>
        <v>4.2625000000000002</v>
      </c>
      <c r="W421" s="57">
        <f>(1000*CHOOSE(CONTROL!$C$42, 0.1146, 0.1146)*CHOOSE(CONTROL!$C$42, 121.5, 121.5)*CHOOSE(CONTROL!$C$42, 31, 31))/1000000</f>
        <v>0.43164089999999994</v>
      </c>
      <c r="X421" s="57">
        <f>(31*0.1790888*100000/1000000)+(31*0.2374*100000/1000000)</f>
        <v>1.2911152800000001</v>
      </c>
      <c r="Y421" s="57"/>
      <c r="Z421" s="14"/>
      <c r="AA421" s="56"/>
      <c r="AB421" s="50">
        <f>(B421*122.58+C421*297.941+D421*89.177+E421*40.302+F421*40+G421*160+H421*0+I421*100+J421*300)/(122.58+297.941+89.177+40.302+0+40+160+100+300)</f>
        <v>21.131774023826086</v>
      </c>
      <c r="AC421" s="45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20.743917266187051</v>
      </c>
    </row>
    <row r="422" spans="1:29" ht="15.75" x14ac:dyDescent="0.25">
      <c r="A422" s="33">
        <v>53751</v>
      </c>
      <c r="B422" s="14">
        <f>CHOOSE(CONTROL!$C$42, 21.4878, 21.4878) * CHOOSE(CONTROL!$C$21, $C$9, 100%, $E$9)</f>
        <v>21.4878</v>
      </c>
      <c r="C422" s="14">
        <f>CHOOSE(CONTROL!$C$42, 21.4929, 21.4929) * CHOOSE(CONTROL!$C$21, $C$9, 100%, $E$9)</f>
        <v>21.492899999999999</v>
      </c>
      <c r="D422" s="14">
        <f>CHOOSE(CONTROL!$C$42, 21.5697, 21.5697) * CHOOSE(CONTROL!$C$21, $C$9, 100%, $E$9)</f>
        <v>21.569700000000001</v>
      </c>
      <c r="E422" s="14">
        <f>CHOOSE(CONTROL!$C$42, 21.6038, 21.6038) * CHOOSE(CONTROL!$C$21, $C$9, 100%, $E$9)</f>
        <v>21.6038</v>
      </c>
      <c r="F422" s="14">
        <f>CHOOSE(CONTROL!$C$42, 21.4881, 21.4881)*CHOOSE(CONTROL!$C$21, $C$9, 100%, $E$9)</f>
        <v>21.488099999999999</v>
      </c>
      <c r="G422" s="14">
        <f>CHOOSE(CONTROL!$C$42, 21.5043, 21.5043)*CHOOSE(CONTROL!$C$21, $C$9, 100%, $E$9)</f>
        <v>21.504300000000001</v>
      </c>
      <c r="H422" s="14">
        <f>CHOOSE(CONTROL!$C$42, 21.593, 21.593) * CHOOSE(CONTROL!$C$21, $C$9, 100%, $E$9)</f>
        <v>21.593</v>
      </c>
      <c r="I422" s="14">
        <f>CHOOSE(CONTROL!$C$42, 21.5732, 21.5732)* CHOOSE(CONTROL!$C$21, $C$9, 100%, $E$9)</f>
        <v>21.5732</v>
      </c>
      <c r="J422" s="14">
        <f>CHOOSE(CONTROL!$C$42, 21.4811, 21.4811)* CHOOSE(CONTROL!$C$21, $C$9, 100%, $E$9)</f>
        <v>21.481100000000001</v>
      </c>
      <c r="K422" s="53">
        <f>CHOOSE(CONTROL!$C$42, 21.5693, 21.5693) * CHOOSE(CONTROL!$C$21, $C$9, 100%, $E$9)</f>
        <v>21.569299999999998</v>
      </c>
      <c r="L422" s="14">
        <f>CHOOSE(CONTROL!$C$42, 22.18, 22.18) * CHOOSE(CONTROL!$C$21, $C$9, 100%, $E$9)</f>
        <v>22.18</v>
      </c>
      <c r="M422" s="14">
        <f>CHOOSE(CONTROL!$C$42, 21.0487, 21.0487) * CHOOSE(CONTROL!$C$21, $C$9, 100%, $E$9)</f>
        <v>21.0487</v>
      </c>
      <c r="N422" s="14">
        <f>CHOOSE(CONTROL!$C$42, 21.0646, 21.0646) * CHOOSE(CONTROL!$C$21, $C$9, 100%, $E$9)</f>
        <v>21.064599999999999</v>
      </c>
      <c r="O422" s="14">
        <f>CHOOSE(CONTROL!$C$42, 21.1583, 21.1583) * CHOOSE(CONTROL!$C$21, $C$9, 100%, $E$9)</f>
        <v>21.158300000000001</v>
      </c>
      <c r="P422" s="14">
        <f>CHOOSE(CONTROL!$C$42, 21.1376, 21.1376) * CHOOSE(CONTROL!$C$21, $C$9, 100%, $E$9)</f>
        <v>21.137599999999999</v>
      </c>
      <c r="Q422" s="14">
        <f>CHOOSE(CONTROL!$C$42, 21.753, 21.753) * CHOOSE(CONTROL!$C$21, $C$9, 100%, $E$9)</f>
        <v>21.753</v>
      </c>
      <c r="R422" s="14">
        <f>CHOOSE(CONTROL!$C$42, 22.3944, 22.3944) * CHOOSE(CONTROL!$C$21, $C$9, 100%, $E$9)</f>
        <v>22.394400000000001</v>
      </c>
      <c r="S422" s="14">
        <f>CHOOSE(CONTROL!$C$42, 20.6391, 20.6391) * CHOOSE(CONTROL!$C$21, $C$9, 100%, $E$9)</f>
        <v>20.639099999999999</v>
      </c>
      <c r="T4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7">
        <f>(1000*CHOOSE(CONTROL!$C$42, 695, 695)*CHOOSE(CONTROL!$C$42, 0.5599, 0.5599)*CHOOSE(CONTROL!$C$42, 28, 28))/1000000</f>
        <v>10.895653999999999</v>
      </c>
      <c r="V422" s="57">
        <f>(1000*CHOOSE(CONTROL!$C$42, 500, 500)*CHOOSE(CONTROL!$C$42, 0.275, 0.275)*CHOOSE(CONTROL!$C$42, 28, 28))/1000000</f>
        <v>3.85</v>
      </c>
      <c r="W422" s="57">
        <f>(1000*CHOOSE(CONTROL!$C$42, 0.1146, 0.1146)*CHOOSE(CONTROL!$C$42, 121.5, 121.5)*CHOOSE(CONTROL!$C$42, 28, 28))/1000000</f>
        <v>0.38986920000000003</v>
      </c>
      <c r="X422" s="57">
        <f>(28*0.1790888*100000/1000000)+(28*0.2374*100000/1000000)</f>
        <v>1.16616864</v>
      </c>
      <c r="Y422" s="57"/>
      <c r="Z422" s="14"/>
      <c r="AA422" s="56"/>
      <c r="AB422" s="50">
        <f>(B422*122.58+C422*297.941+D422*89.177+E422*40.302+F422*40+G422*160+H422*0+I422*100+J422*300)/(122.58+297.941+89.177+40.302+0+40+160+100+300)</f>
        <v>21.507521849913044</v>
      </c>
      <c r="AC422" s="45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21.112081294964028</v>
      </c>
    </row>
    <row r="423" spans="1:29" ht="15.75" x14ac:dyDescent="0.25">
      <c r="A423" s="33">
        <v>53782</v>
      </c>
      <c r="B423" s="14">
        <f>CHOOSE(CONTROL!$C$42, 20.8781, 20.8781) * CHOOSE(CONTROL!$C$21, $C$9, 100%, $E$9)</f>
        <v>20.8781</v>
      </c>
      <c r="C423" s="14">
        <f>CHOOSE(CONTROL!$C$42, 20.8831, 20.8831) * CHOOSE(CONTROL!$C$21, $C$9, 100%, $E$9)</f>
        <v>20.883099999999999</v>
      </c>
      <c r="D423" s="14">
        <f>CHOOSE(CONTROL!$C$42, 20.96, 20.96) * CHOOSE(CONTROL!$C$21, $C$9, 100%, $E$9)</f>
        <v>20.96</v>
      </c>
      <c r="E423" s="14">
        <f>CHOOSE(CONTROL!$C$42, 20.9941, 20.9941) * CHOOSE(CONTROL!$C$21, $C$9, 100%, $E$9)</f>
        <v>20.9941</v>
      </c>
      <c r="F423" s="14">
        <f>CHOOSE(CONTROL!$C$42, 20.8779, 20.8779)*CHOOSE(CONTROL!$C$21, $C$9, 100%, $E$9)</f>
        <v>20.8779</v>
      </c>
      <c r="G423" s="14">
        <f>CHOOSE(CONTROL!$C$42, 20.894, 20.894)*CHOOSE(CONTROL!$C$21, $C$9, 100%, $E$9)</f>
        <v>20.893999999999998</v>
      </c>
      <c r="H423" s="14">
        <f>CHOOSE(CONTROL!$C$42, 20.9833, 20.9833) * CHOOSE(CONTROL!$C$21, $C$9, 100%, $E$9)</f>
        <v>20.9833</v>
      </c>
      <c r="I423" s="14">
        <f>CHOOSE(CONTROL!$C$42, 20.9615, 20.9615)* CHOOSE(CONTROL!$C$21, $C$9, 100%, $E$9)</f>
        <v>20.961500000000001</v>
      </c>
      <c r="J423" s="14">
        <f>CHOOSE(CONTROL!$C$42, 20.8709, 20.8709)* CHOOSE(CONTROL!$C$21, $C$9, 100%, $E$9)</f>
        <v>20.870899999999999</v>
      </c>
      <c r="K423" s="53">
        <f>CHOOSE(CONTROL!$C$42, 20.9576, 20.9576) * CHOOSE(CONTROL!$C$21, $C$9, 100%, $E$9)</f>
        <v>20.957599999999999</v>
      </c>
      <c r="L423" s="14">
        <f>CHOOSE(CONTROL!$C$42, 21.5703, 21.5703) * CHOOSE(CONTROL!$C$21, $C$9, 100%, $E$9)</f>
        <v>21.5703</v>
      </c>
      <c r="M423" s="14">
        <f>CHOOSE(CONTROL!$C$42, 20.4509, 20.4509) * CHOOSE(CONTROL!$C$21, $C$9, 100%, $E$9)</f>
        <v>20.450900000000001</v>
      </c>
      <c r="N423" s="14">
        <f>CHOOSE(CONTROL!$C$42, 20.4667, 20.4667) * CHOOSE(CONTROL!$C$21, $C$9, 100%, $E$9)</f>
        <v>20.466699999999999</v>
      </c>
      <c r="O423" s="14">
        <f>CHOOSE(CONTROL!$C$42, 20.561, 20.561) * CHOOSE(CONTROL!$C$21, $C$9, 100%, $E$9)</f>
        <v>20.561</v>
      </c>
      <c r="P423" s="14">
        <f>CHOOSE(CONTROL!$C$42, 20.5385, 20.5385) * CHOOSE(CONTROL!$C$21, $C$9, 100%, $E$9)</f>
        <v>20.538499999999999</v>
      </c>
      <c r="Q423" s="14">
        <f>CHOOSE(CONTROL!$C$42, 21.1557, 21.1557) * CHOOSE(CONTROL!$C$21, $C$9, 100%, $E$9)</f>
        <v>21.1557</v>
      </c>
      <c r="R423" s="14">
        <f>CHOOSE(CONTROL!$C$42, 21.7956, 21.7956) * CHOOSE(CONTROL!$C$21, $C$9, 100%, $E$9)</f>
        <v>21.7956</v>
      </c>
      <c r="S423" s="14">
        <f>CHOOSE(CONTROL!$C$42, 20.0532, 20.0532) * CHOOSE(CONTROL!$C$21, $C$9, 100%, $E$9)</f>
        <v>20.0532</v>
      </c>
      <c r="T4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7">
        <f>(1000*CHOOSE(CONTROL!$C$42, 695, 695)*CHOOSE(CONTROL!$C$42, 0.5599, 0.5599)*CHOOSE(CONTROL!$C$42, 31, 31))/1000000</f>
        <v>12.063045499999998</v>
      </c>
      <c r="V423" s="57">
        <f>(1000*CHOOSE(CONTROL!$C$42, 500, 500)*CHOOSE(CONTROL!$C$42, 0.275, 0.275)*CHOOSE(CONTROL!$C$42, 31, 31))/1000000</f>
        <v>4.2625000000000002</v>
      </c>
      <c r="W423" s="57">
        <f>(1000*CHOOSE(CONTROL!$C$42, 0.1146, 0.1146)*CHOOSE(CONTROL!$C$42, 121.5, 121.5)*CHOOSE(CONTROL!$C$42, 31, 31))/1000000</f>
        <v>0.43164089999999994</v>
      </c>
      <c r="X423" s="57">
        <f>(31*0.1790888*100000/1000000)+(31*0.2374*100000/1000000)</f>
        <v>1.2911152800000001</v>
      </c>
      <c r="Y423" s="57"/>
      <c r="Z423" s="14"/>
      <c r="AA423" s="56"/>
      <c r="AB423" s="50">
        <f>(B423*122.58+C423*297.941+D423*89.177+E423*40.302+F423*40+G423*160+H423*0+I423*100+J423*300)/(122.58+297.941+89.177+40.302+0+40+160+100+300)</f>
        <v>20.897390724608698</v>
      </c>
      <c r="AC423" s="45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20.514315107913671</v>
      </c>
    </row>
    <row r="424" spans="1:29" ht="15.75" x14ac:dyDescent="0.25">
      <c r="A424" s="33">
        <v>53812</v>
      </c>
      <c r="B424" s="14">
        <f>CHOOSE(CONTROL!$C$42, 20.8168, 20.8168) * CHOOSE(CONTROL!$C$21, $C$9, 100%, $E$9)</f>
        <v>20.816800000000001</v>
      </c>
      <c r="C424" s="14">
        <f>CHOOSE(CONTROL!$C$42, 20.8213, 20.8213) * CHOOSE(CONTROL!$C$21, $C$9, 100%, $E$9)</f>
        <v>20.821300000000001</v>
      </c>
      <c r="D424" s="14">
        <f>CHOOSE(CONTROL!$C$42, 21.058, 21.058) * CHOOSE(CONTROL!$C$21, $C$9, 100%, $E$9)</f>
        <v>21.058</v>
      </c>
      <c r="E424" s="14">
        <f>CHOOSE(CONTROL!$C$42, 21.0902, 21.0902) * CHOOSE(CONTROL!$C$21, $C$9, 100%, $E$9)</f>
        <v>21.090199999999999</v>
      </c>
      <c r="F424" s="14">
        <f>CHOOSE(CONTROL!$C$42, 20.8148, 20.8148)*CHOOSE(CONTROL!$C$21, $C$9, 100%, $E$9)</f>
        <v>20.814800000000002</v>
      </c>
      <c r="G424" s="14">
        <f>CHOOSE(CONTROL!$C$42, 20.8306, 20.8306)*CHOOSE(CONTROL!$C$21, $C$9, 100%, $E$9)</f>
        <v>20.8306</v>
      </c>
      <c r="H424" s="14">
        <f>CHOOSE(CONTROL!$C$42, 21.0799, 21.0799) * CHOOSE(CONTROL!$C$21, $C$9, 100%, $E$9)</f>
        <v>21.079899999999999</v>
      </c>
      <c r="I424" s="14">
        <f>CHOOSE(CONTROL!$C$42, 20.8993, 20.8993)* CHOOSE(CONTROL!$C$21, $C$9, 100%, $E$9)</f>
        <v>20.8993</v>
      </c>
      <c r="J424" s="14">
        <f>CHOOSE(CONTROL!$C$42, 20.8078, 20.8078)* CHOOSE(CONTROL!$C$21, $C$9, 100%, $E$9)</f>
        <v>20.8078</v>
      </c>
      <c r="K424" s="53">
        <f>CHOOSE(CONTROL!$C$42, 20.8954, 20.8954) * CHOOSE(CONTROL!$C$21, $C$9, 100%, $E$9)</f>
        <v>20.895399999999999</v>
      </c>
      <c r="L424" s="14">
        <f>CHOOSE(CONTROL!$C$42, 21.6669, 21.6669) * CHOOSE(CONTROL!$C$21, $C$9, 100%, $E$9)</f>
        <v>21.666899999999998</v>
      </c>
      <c r="M424" s="14">
        <f>CHOOSE(CONTROL!$C$42, 20.3891, 20.3891) * CHOOSE(CONTROL!$C$21, $C$9, 100%, $E$9)</f>
        <v>20.389099999999999</v>
      </c>
      <c r="N424" s="14">
        <f>CHOOSE(CONTROL!$C$42, 20.4046, 20.4046) * CHOOSE(CONTROL!$C$21, $C$9, 100%, $E$9)</f>
        <v>20.404599999999999</v>
      </c>
      <c r="O424" s="14">
        <f>CHOOSE(CONTROL!$C$42, 20.6557, 20.6557) * CHOOSE(CONTROL!$C$21, $C$9, 100%, $E$9)</f>
        <v>20.6557</v>
      </c>
      <c r="P424" s="14">
        <f>CHOOSE(CONTROL!$C$42, 20.4775, 20.4775) * CHOOSE(CONTROL!$C$21, $C$9, 100%, $E$9)</f>
        <v>20.477499999999999</v>
      </c>
      <c r="Q424" s="14">
        <f>CHOOSE(CONTROL!$C$42, 21.2504, 21.2504) * CHOOSE(CONTROL!$C$21, $C$9, 100%, $E$9)</f>
        <v>21.250399999999999</v>
      </c>
      <c r="R424" s="14">
        <f>CHOOSE(CONTROL!$C$42, 21.8905, 21.8905) * CHOOSE(CONTROL!$C$21, $C$9, 100%, $E$9)</f>
        <v>21.890499999999999</v>
      </c>
      <c r="S424" s="14">
        <f>CHOOSE(CONTROL!$C$42, 19.9936, 19.9936) * CHOOSE(CONTROL!$C$21, $C$9, 100%, $E$9)</f>
        <v>19.993600000000001</v>
      </c>
      <c r="T4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7">
        <f>(1000*CHOOSE(CONTROL!$C$42, 695, 695)*CHOOSE(CONTROL!$C$42, 0.5599, 0.5599)*CHOOSE(CONTROL!$C$42, 30, 30))/1000000</f>
        <v>11.673914999999997</v>
      </c>
      <c r="V424" s="57">
        <f>(1000*CHOOSE(CONTROL!$C$42, 500, 500)*CHOOSE(CONTROL!$C$42, 0.275, 0.275)*CHOOSE(CONTROL!$C$42, 30, 30))/1000000</f>
        <v>4.125</v>
      </c>
      <c r="W424" s="57">
        <f>(1000*CHOOSE(CONTROL!$C$42, 0.1146, 0.1146)*CHOOSE(CONTROL!$C$42, 121.5, 121.5)*CHOOSE(CONTROL!$C$42, 30, 30))/1000000</f>
        <v>0.417717</v>
      </c>
      <c r="X424" s="57">
        <f>(30*0.1790888*245000/1000000)+(30*0.2374*100000/1000000)</f>
        <v>2.0285026799999999</v>
      </c>
      <c r="Y424" s="57"/>
      <c r="Z424" s="14"/>
      <c r="AA424" s="56"/>
      <c r="AB424" s="50">
        <f>(B424*141.293+C424*267.993+D424*115.016+E424*89.698+F424*40+G424*185+H424*0+I424*100+J424*300)/(141.293+267.993+115.016+89.698+0+40+185+100+300)</f>
        <v>20.866432171832123</v>
      </c>
      <c r="AC424" s="45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20.480189208633092</v>
      </c>
    </row>
    <row r="425" spans="1:29" ht="15.75" x14ac:dyDescent="0.25">
      <c r="A425" s="33">
        <v>53843</v>
      </c>
      <c r="B425" s="14">
        <f>CHOOSE(CONTROL!$C$42, 21.0019, 21.0019) * CHOOSE(CONTROL!$C$21, $C$9, 100%, $E$9)</f>
        <v>21.001899999999999</v>
      </c>
      <c r="C425" s="14">
        <f>CHOOSE(CONTROL!$C$42, 21.0099, 21.0099) * CHOOSE(CONTROL!$C$21, $C$9, 100%, $E$9)</f>
        <v>21.009899999999998</v>
      </c>
      <c r="D425" s="14">
        <f>CHOOSE(CONTROL!$C$42, 21.2435, 21.2435) * CHOOSE(CONTROL!$C$21, $C$9, 100%, $E$9)</f>
        <v>21.243500000000001</v>
      </c>
      <c r="E425" s="14">
        <f>CHOOSE(CONTROL!$C$42, 21.2749, 21.2749) * CHOOSE(CONTROL!$C$21, $C$9, 100%, $E$9)</f>
        <v>21.274899999999999</v>
      </c>
      <c r="F425" s="14">
        <f>CHOOSE(CONTROL!$C$42, 20.9986, 20.9986)*CHOOSE(CONTROL!$C$21, $C$9, 100%, $E$9)</f>
        <v>20.9986</v>
      </c>
      <c r="G425" s="14">
        <f>CHOOSE(CONTROL!$C$42, 21.015, 21.015)*CHOOSE(CONTROL!$C$21, $C$9, 100%, $E$9)</f>
        <v>21.015000000000001</v>
      </c>
      <c r="H425" s="14">
        <f>CHOOSE(CONTROL!$C$42, 21.2636, 21.2636) * CHOOSE(CONTROL!$C$21, $C$9, 100%, $E$9)</f>
        <v>21.2636</v>
      </c>
      <c r="I425" s="14">
        <f>CHOOSE(CONTROL!$C$42, 21.0835, 21.0835)* CHOOSE(CONTROL!$C$21, $C$9, 100%, $E$9)</f>
        <v>21.083500000000001</v>
      </c>
      <c r="J425" s="14">
        <f>CHOOSE(CONTROL!$C$42, 20.9916, 20.9916)* CHOOSE(CONTROL!$C$21, $C$9, 100%, $E$9)</f>
        <v>20.991599999999998</v>
      </c>
      <c r="K425" s="53">
        <f>CHOOSE(CONTROL!$C$42, 21.0796, 21.0796) * CHOOSE(CONTROL!$C$21, $C$9, 100%, $E$9)</f>
        <v>21.079599999999999</v>
      </c>
      <c r="L425" s="14">
        <f>CHOOSE(CONTROL!$C$42, 21.8506, 21.8506) * CHOOSE(CONTROL!$C$21, $C$9, 100%, $E$9)</f>
        <v>21.8506</v>
      </c>
      <c r="M425" s="14">
        <f>CHOOSE(CONTROL!$C$42, 20.5692, 20.5692) * CHOOSE(CONTROL!$C$21, $C$9, 100%, $E$9)</f>
        <v>20.569199999999999</v>
      </c>
      <c r="N425" s="14">
        <f>CHOOSE(CONTROL!$C$42, 20.5852, 20.5852) * CHOOSE(CONTROL!$C$21, $C$9, 100%, $E$9)</f>
        <v>20.5852</v>
      </c>
      <c r="O425" s="14">
        <f>CHOOSE(CONTROL!$C$42, 20.8356, 20.8356) * CHOOSE(CONTROL!$C$21, $C$9, 100%, $E$9)</f>
        <v>20.835599999999999</v>
      </c>
      <c r="P425" s="14">
        <f>CHOOSE(CONTROL!$C$42, 20.658, 20.658) * CHOOSE(CONTROL!$C$21, $C$9, 100%, $E$9)</f>
        <v>20.658000000000001</v>
      </c>
      <c r="Q425" s="14">
        <f>CHOOSE(CONTROL!$C$42, 21.4303, 21.4303) * CHOOSE(CONTROL!$C$21, $C$9, 100%, $E$9)</f>
        <v>21.430299999999999</v>
      </c>
      <c r="R425" s="14">
        <f>CHOOSE(CONTROL!$C$42, 22.0709, 22.0709) * CHOOSE(CONTROL!$C$21, $C$9, 100%, $E$9)</f>
        <v>22.070900000000002</v>
      </c>
      <c r="S425" s="14">
        <f>CHOOSE(CONTROL!$C$42, 20.1701, 20.1701) * CHOOSE(CONTROL!$C$21, $C$9, 100%, $E$9)</f>
        <v>20.170100000000001</v>
      </c>
      <c r="T4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7">
        <f>(1000*CHOOSE(CONTROL!$C$42, 695, 695)*CHOOSE(CONTROL!$C$42, 0.5599, 0.5599)*CHOOSE(CONTROL!$C$42, 31, 31))/1000000</f>
        <v>12.063045499999998</v>
      </c>
      <c r="V425" s="57">
        <f>(1000*CHOOSE(CONTROL!$C$42, 500, 500)*CHOOSE(CONTROL!$C$42, 0.275, 0.275)*CHOOSE(CONTROL!$C$42, 31, 31))/1000000</f>
        <v>4.2625000000000002</v>
      </c>
      <c r="W425" s="57">
        <f>(1000*CHOOSE(CONTROL!$C$42, 0.1146, 0.1146)*CHOOSE(CONTROL!$C$42, 121.5, 121.5)*CHOOSE(CONTROL!$C$42, 31, 31))/1000000</f>
        <v>0.43164089999999994</v>
      </c>
      <c r="X425" s="57">
        <f>(31*0.1790888*245000/1000000)+(31*0.2374*100000/1000000)</f>
        <v>2.0961194359999999</v>
      </c>
      <c r="Y425" s="57"/>
      <c r="Z425" s="14"/>
      <c r="AA425" s="56"/>
      <c r="AB425" s="50">
        <f>(B425*194.205+C425*267.466+D425*133.845+E425*53.484+F425*40+G425*185+H425*0+I425*100+J425*300)/(194.205+267.466+133.845+53.484+0+40+185+100+300)</f>
        <v>21.046200872841442</v>
      </c>
      <c r="AC425" s="45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20.660405755395683</v>
      </c>
    </row>
    <row r="426" spans="1:29" ht="15.75" x14ac:dyDescent="0.25">
      <c r="A426" s="33">
        <v>53873</v>
      </c>
      <c r="B426" s="14">
        <f>CHOOSE(CONTROL!$C$42, 21.5973, 21.5973) * CHOOSE(CONTROL!$C$21, $C$9, 100%, $E$9)</f>
        <v>21.597300000000001</v>
      </c>
      <c r="C426" s="14">
        <f>CHOOSE(CONTROL!$C$42, 21.6053, 21.6053) * CHOOSE(CONTROL!$C$21, $C$9, 100%, $E$9)</f>
        <v>21.6053</v>
      </c>
      <c r="D426" s="14">
        <f>CHOOSE(CONTROL!$C$42, 21.8389, 21.8389) * CHOOSE(CONTROL!$C$21, $C$9, 100%, $E$9)</f>
        <v>21.838899999999999</v>
      </c>
      <c r="E426" s="14">
        <f>CHOOSE(CONTROL!$C$42, 21.8703, 21.8703) * CHOOSE(CONTROL!$C$21, $C$9, 100%, $E$9)</f>
        <v>21.8703</v>
      </c>
      <c r="F426" s="14">
        <f>CHOOSE(CONTROL!$C$42, 21.5945, 21.5945)*CHOOSE(CONTROL!$C$21, $C$9, 100%, $E$9)</f>
        <v>21.5945</v>
      </c>
      <c r="G426" s="14">
        <f>CHOOSE(CONTROL!$C$42, 21.611, 21.611)*CHOOSE(CONTROL!$C$21, $C$9, 100%, $E$9)</f>
        <v>21.611000000000001</v>
      </c>
      <c r="H426" s="14">
        <f>CHOOSE(CONTROL!$C$42, 21.859, 21.859) * CHOOSE(CONTROL!$C$21, $C$9, 100%, $E$9)</f>
        <v>21.859000000000002</v>
      </c>
      <c r="I426" s="14">
        <f>CHOOSE(CONTROL!$C$42, 21.6808, 21.6808)* CHOOSE(CONTROL!$C$21, $C$9, 100%, $E$9)</f>
        <v>21.680800000000001</v>
      </c>
      <c r="J426" s="14">
        <f>CHOOSE(CONTROL!$C$42, 21.5875, 21.5875)* CHOOSE(CONTROL!$C$21, $C$9, 100%, $E$9)</f>
        <v>21.587499999999999</v>
      </c>
      <c r="K426" s="53">
        <f>CHOOSE(CONTROL!$C$42, 21.6769, 21.6769) * CHOOSE(CONTROL!$C$21, $C$9, 100%, $E$9)</f>
        <v>21.6769</v>
      </c>
      <c r="L426" s="14">
        <f>CHOOSE(CONTROL!$C$42, 22.446, 22.446) * CHOOSE(CONTROL!$C$21, $C$9, 100%, $E$9)</f>
        <v>22.446000000000002</v>
      </c>
      <c r="M426" s="14">
        <f>CHOOSE(CONTROL!$C$42, 21.1529, 21.1529) * CHOOSE(CONTROL!$C$21, $C$9, 100%, $E$9)</f>
        <v>21.152899999999999</v>
      </c>
      <c r="N426" s="14">
        <f>CHOOSE(CONTROL!$C$42, 21.169, 21.169) * CHOOSE(CONTROL!$C$21, $C$9, 100%, $E$9)</f>
        <v>21.169</v>
      </c>
      <c r="O426" s="14">
        <f>CHOOSE(CONTROL!$C$42, 21.4188, 21.4188) * CHOOSE(CONTROL!$C$21, $C$9, 100%, $E$9)</f>
        <v>21.418800000000001</v>
      </c>
      <c r="P426" s="14">
        <f>CHOOSE(CONTROL!$C$42, 21.243, 21.243) * CHOOSE(CONTROL!$C$21, $C$9, 100%, $E$9)</f>
        <v>21.242999999999999</v>
      </c>
      <c r="Q426" s="14">
        <f>CHOOSE(CONTROL!$C$42, 22.0135, 22.0135) * CHOOSE(CONTROL!$C$21, $C$9, 100%, $E$9)</f>
        <v>22.013500000000001</v>
      </c>
      <c r="R426" s="14">
        <f>CHOOSE(CONTROL!$C$42, 22.6555, 22.6555) * CHOOSE(CONTROL!$C$21, $C$9, 100%, $E$9)</f>
        <v>22.6555</v>
      </c>
      <c r="S426" s="14">
        <f>CHOOSE(CONTROL!$C$42, 20.7422, 20.7422) * CHOOSE(CONTROL!$C$21, $C$9, 100%, $E$9)</f>
        <v>20.7422</v>
      </c>
      <c r="T4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7">
        <f>(1000*CHOOSE(CONTROL!$C$42, 695, 695)*CHOOSE(CONTROL!$C$42, 0.5599, 0.5599)*CHOOSE(CONTROL!$C$42, 30, 30))/1000000</f>
        <v>11.673914999999997</v>
      </c>
      <c r="V426" s="57">
        <f>(1000*CHOOSE(CONTROL!$C$42, 500, 500)*CHOOSE(CONTROL!$C$42, 0.275, 0.275)*CHOOSE(CONTROL!$C$42, 30, 30))/1000000</f>
        <v>4.125</v>
      </c>
      <c r="W426" s="57">
        <f>(1000*CHOOSE(CONTROL!$C$42, 0.1146, 0.1146)*CHOOSE(CONTROL!$C$42, 121.5, 121.5)*CHOOSE(CONTROL!$C$42, 30, 30))/1000000</f>
        <v>0.417717</v>
      </c>
      <c r="X426" s="57">
        <f>(30*0.1790888*245000/1000000)+(30*0.2374*100000/1000000)</f>
        <v>2.0285026799999999</v>
      </c>
      <c r="Y426" s="57"/>
      <c r="Z426" s="14"/>
      <c r="AA426" s="56"/>
      <c r="AB426" s="50">
        <f>(B426*194.205+C426*267.466+D426*133.845+E426*53.484+F426*40+G426*185+H426*0+I426*100+J426*300)/(194.205+267.466+133.845+53.484+0+40+185+100+300)</f>
        <v>21.64197057456829</v>
      </c>
      <c r="AC426" s="45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21.244175539568346</v>
      </c>
    </row>
    <row r="427" spans="1:29" ht="15.75" x14ac:dyDescent="0.25">
      <c r="A427" s="33">
        <v>53904</v>
      </c>
      <c r="B427" s="14">
        <f>CHOOSE(CONTROL!$C$42, 21.1832, 21.1832) * CHOOSE(CONTROL!$C$21, $C$9, 100%, $E$9)</f>
        <v>21.183199999999999</v>
      </c>
      <c r="C427" s="14">
        <f>CHOOSE(CONTROL!$C$42, 21.1912, 21.1912) * CHOOSE(CONTROL!$C$21, $C$9, 100%, $E$9)</f>
        <v>21.191199999999998</v>
      </c>
      <c r="D427" s="14">
        <f>CHOOSE(CONTROL!$C$42, 21.4248, 21.4248) * CHOOSE(CONTROL!$C$21, $C$9, 100%, $E$9)</f>
        <v>21.424800000000001</v>
      </c>
      <c r="E427" s="14">
        <f>CHOOSE(CONTROL!$C$42, 21.4562, 21.4562) * CHOOSE(CONTROL!$C$21, $C$9, 100%, $E$9)</f>
        <v>21.456199999999999</v>
      </c>
      <c r="F427" s="14">
        <f>CHOOSE(CONTROL!$C$42, 21.1809, 21.1809)*CHOOSE(CONTROL!$C$21, $C$9, 100%, $E$9)</f>
        <v>21.180900000000001</v>
      </c>
      <c r="G427" s="14">
        <f>CHOOSE(CONTROL!$C$42, 21.1975, 21.1975)*CHOOSE(CONTROL!$C$21, $C$9, 100%, $E$9)</f>
        <v>21.197500000000002</v>
      </c>
      <c r="H427" s="14">
        <f>CHOOSE(CONTROL!$C$42, 21.4449, 21.4449) * CHOOSE(CONTROL!$C$21, $C$9, 100%, $E$9)</f>
        <v>21.444900000000001</v>
      </c>
      <c r="I427" s="14">
        <f>CHOOSE(CONTROL!$C$42, 21.2654, 21.2654)* CHOOSE(CONTROL!$C$21, $C$9, 100%, $E$9)</f>
        <v>21.2654</v>
      </c>
      <c r="J427" s="14">
        <f>CHOOSE(CONTROL!$C$42, 21.1739, 21.1739)* CHOOSE(CONTROL!$C$21, $C$9, 100%, $E$9)</f>
        <v>21.1739</v>
      </c>
      <c r="K427" s="53">
        <f>CHOOSE(CONTROL!$C$42, 21.2615, 21.2615) * CHOOSE(CONTROL!$C$21, $C$9, 100%, $E$9)</f>
        <v>21.261500000000002</v>
      </c>
      <c r="L427" s="14">
        <f>CHOOSE(CONTROL!$C$42, 22.0319, 22.0319) * CHOOSE(CONTROL!$C$21, $C$9, 100%, $E$9)</f>
        <v>22.0319</v>
      </c>
      <c r="M427" s="14">
        <f>CHOOSE(CONTROL!$C$42, 20.7478, 20.7478) * CHOOSE(CONTROL!$C$21, $C$9, 100%, $E$9)</f>
        <v>20.747800000000002</v>
      </c>
      <c r="N427" s="14">
        <f>CHOOSE(CONTROL!$C$42, 20.7641, 20.7641) * CHOOSE(CONTROL!$C$21, $C$9, 100%, $E$9)</f>
        <v>20.764099999999999</v>
      </c>
      <c r="O427" s="14">
        <f>CHOOSE(CONTROL!$C$42, 21.0132, 21.0132) * CHOOSE(CONTROL!$C$21, $C$9, 100%, $E$9)</f>
        <v>21.013200000000001</v>
      </c>
      <c r="P427" s="14">
        <f>CHOOSE(CONTROL!$C$42, 20.8361, 20.8361) * CHOOSE(CONTROL!$C$21, $C$9, 100%, $E$9)</f>
        <v>20.836099999999998</v>
      </c>
      <c r="Q427" s="14">
        <f>CHOOSE(CONTROL!$C$42, 21.6079, 21.6079) * CHOOSE(CONTROL!$C$21, $C$9, 100%, $E$9)</f>
        <v>21.607900000000001</v>
      </c>
      <c r="R427" s="14">
        <f>CHOOSE(CONTROL!$C$42, 22.2489, 22.2489) * CHOOSE(CONTROL!$C$21, $C$9, 100%, $E$9)</f>
        <v>22.248899999999999</v>
      </c>
      <c r="S427" s="14">
        <f>CHOOSE(CONTROL!$C$42, 20.3443, 20.3443) * CHOOSE(CONTROL!$C$21, $C$9, 100%, $E$9)</f>
        <v>20.3443</v>
      </c>
      <c r="T4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7">
        <f>(1000*CHOOSE(CONTROL!$C$42, 695, 695)*CHOOSE(CONTROL!$C$42, 0.5599, 0.5599)*CHOOSE(CONTROL!$C$42, 31, 31))/1000000</f>
        <v>12.063045499999998</v>
      </c>
      <c r="V427" s="57">
        <f>(1000*CHOOSE(CONTROL!$C$42, 500, 500)*CHOOSE(CONTROL!$C$42, 0.275, 0.275)*CHOOSE(CONTROL!$C$42, 31, 31))/1000000</f>
        <v>4.2625000000000002</v>
      </c>
      <c r="W427" s="57">
        <f>(1000*CHOOSE(CONTROL!$C$42, 0.1146, 0.1146)*CHOOSE(CONTROL!$C$42, 121.5, 121.5)*CHOOSE(CONTROL!$C$42, 31, 31))/1000000</f>
        <v>0.43164089999999994</v>
      </c>
      <c r="X427" s="57">
        <f>(31*0.1790888*245000/1000000)+(31*0.2374*100000/1000000)</f>
        <v>2.0961194359999999</v>
      </c>
      <c r="Y427" s="57"/>
      <c r="Z427" s="14"/>
      <c r="AA427" s="56"/>
      <c r="AB427" s="50">
        <f>(B427*194.205+C427*267.466+D427*133.845+E427*53.484+F427*40+G427*185+H427*0+I427*100+J427*300)/(194.205+267.466+133.845+53.484+0+40+185+100+300)</f>
        <v>21.227989098901098</v>
      </c>
      <c r="AC427" s="45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20.838722302158274</v>
      </c>
    </row>
    <row r="428" spans="1:29" ht="15.75" x14ac:dyDescent="0.25">
      <c r="A428" s="33">
        <v>53935</v>
      </c>
      <c r="B428" s="14">
        <f>CHOOSE(CONTROL!$C$42, 20.1374, 20.1374) * CHOOSE(CONTROL!$C$21, $C$9, 100%, $E$9)</f>
        <v>20.1374</v>
      </c>
      <c r="C428" s="14">
        <f>CHOOSE(CONTROL!$C$42, 20.1454, 20.1454) * CHOOSE(CONTROL!$C$21, $C$9, 100%, $E$9)</f>
        <v>20.145399999999999</v>
      </c>
      <c r="D428" s="14">
        <f>CHOOSE(CONTROL!$C$42, 20.379, 20.379) * CHOOSE(CONTROL!$C$21, $C$9, 100%, $E$9)</f>
        <v>20.379000000000001</v>
      </c>
      <c r="E428" s="14">
        <f>CHOOSE(CONTROL!$C$42, 20.4105, 20.4105) * CHOOSE(CONTROL!$C$21, $C$9, 100%, $E$9)</f>
        <v>20.410499999999999</v>
      </c>
      <c r="F428" s="14">
        <f>CHOOSE(CONTROL!$C$42, 20.1354, 20.1354)*CHOOSE(CONTROL!$C$21, $C$9, 100%, $E$9)</f>
        <v>20.135400000000001</v>
      </c>
      <c r="G428" s="14">
        <f>CHOOSE(CONTROL!$C$42, 20.1521, 20.1521)*CHOOSE(CONTROL!$C$21, $C$9, 100%, $E$9)</f>
        <v>20.152100000000001</v>
      </c>
      <c r="H428" s="14">
        <f>CHOOSE(CONTROL!$C$42, 20.3991, 20.3991) * CHOOSE(CONTROL!$C$21, $C$9, 100%, $E$9)</f>
        <v>20.399100000000001</v>
      </c>
      <c r="I428" s="14">
        <f>CHOOSE(CONTROL!$C$42, 20.2164, 20.2164)* CHOOSE(CONTROL!$C$21, $C$9, 100%, $E$9)</f>
        <v>20.2164</v>
      </c>
      <c r="J428" s="14">
        <f>CHOOSE(CONTROL!$C$42, 20.1284, 20.1284)* CHOOSE(CONTROL!$C$21, $C$9, 100%, $E$9)</f>
        <v>20.128399999999999</v>
      </c>
      <c r="K428" s="53">
        <f>CHOOSE(CONTROL!$C$42, 20.2125, 20.2125) * CHOOSE(CONTROL!$C$21, $C$9, 100%, $E$9)</f>
        <v>20.212499999999999</v>
      </c>
      <c r="L428" s="14">
        <f>CHOOSE(CONTROL!$C$42, 20.9861, 20.9861) * CHOOSE(CONTROL!$C$21, $C$9, 100%, $E$9)</f>
        <v>20.9861</v>
      </c>
      <c r="M428" s="14">
        <f>CHOOSE(CONTROL!$C$42, 19.7237, 19.7237) * CHOOSE(CONTROL!$C$21, $C$9, 100%, $E$9)</f>
        <v>19.723700000000001</v>
      </c>
      <c r="N428" s="14">
        <f>CHOOSE(CONTROL!$C$42, 19.74, 19.74) * CHOOSE(CONTROL!$C$21, $C$9, 100%, $E$9)</f>
        <v>19.739999999999998</v>
      </c>
      <c r="O428" s="14">
        <f>CHOOSE(CONTROL!$C$42, 19.9889, 19.9889) * CHOOSE(CONTROL!$C$21, $C$9, 100%, $E$9)</f>
        <v>19.988900000000001</v>
      </c>
      <c r="P428" s="14">
        <f>CHOOSE(CONTROL!$C$42, 19.8086, 19.8086) * CHOOSE(CONTROL!$C$21, $C$9, 100%, $E$9)</f>
        <v>19.808599999999998</v>
      </c>
      <c r="Q428" s="14">
        <f>CHOOSE(CONTROL!$C$42, 20.5836, 20.5836) * CHOOSE(CONTROL!$C$21, $C$9, 100%, $E$9)</f>
        <v>20.583600000000001</v>
      </c>
      <c r="R428" s="14">
        <f>CHOOSE(CONTROL!$C$42, 21.222, 21.222) * CHOOSE(CONTROL!$C$21, $C$9, 100%, $E$9)</f>
        <v>21.222000000000001</v>
      </c>
      <c r="S428" s="14">
        <f>CHOOSE(CONTROL!$C$42, 19.3394, 19.3394) * CHOOSE(CONTROL!$C$21, $C$9, 100%, $E$9)</f>
        <v>19.339400000000001</v>
      </c>
      <c r="T4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7">
        <f>(1000*CHOOSE(CONTROL!$C$42, 695, 695)*CHOOSE(CONTROL!$C$42, 0.5599, 0.5599)*CHOOSE(CONTROL!$C$42, 31, 31))/1000000</f>
        <v>12.063045499999998</v>
      </c>
      <c r="V428" s="57">
        <f>(1000*CHOOSE(CONTROL!$C$42, 500, 500)*CHOOSE(CONTROL!$C$42, 0.275, 0.275)*CHOOSE(CONTROL!$C$42, 31, 31))/1000000</f>
        <v>4.2625000000000002</v>
      </c>
      <c r="W428" s="57">
        <f>(1000*CHOOSE(CONTROL!$C$42, 0.1146, 0.1146)*CHOOSE(CONTROL!$C$42, 121.5, 121.5)*CHOOSE(CONTROL!$C$42, 31, 31))/1000000</f>
        <v>0.43164089999999994</v>
      </c>
      <c r="X428" s="57">
        <f>(31*0.1790888*245000/1000000)+(31*0.2374*100000/1000000)</f>
        <v>2.0961194359999999</v>
      </c>
      <c r="Y428" s="57"/>
      <c r="Z428" s="14"/>
      <c r="AA428" s="56"/>
      <c r="AB428" s="50">
        <f>(B428*194.205+C428*267.466+D428*133.845+E428*53.484+F428*40+G428*185+H428*0+I428*100+J428*300)/(194.205+267.466+133.845+53.484+0+40+185+100+300)</f>
        <v>20.182080267189953</v>
      </c>
      <c r="AC428" s="45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19.814076978417269</v>
      </c>
    </row>
    <row r="429" spans="1:29" ht="15.75" x14ac:dyDescent="0.25">
      <c r="A429" s="33">
        <v>53965</v>
      </c>
      <c r="B429" s="14">
        <f>CHOOSE(CONTROL!$C$42, 18.8593, 18.8593) * CHOOSE(CONTROL!$C$21, $C$9, 100%, $E$9)</f>
        <v>18.859300000000001</v>
      </c>
      <c r="C429" s="14">
        <f>CHOOSE(CONTROL!$C$42, 18.8673, 18.8673) * CHOOSE(CONTROL!$C$21, $C$9, 100%, $E$9)</f>
        <v>18.8673</v>
      </c>
      <c r="D429" s="14">
        <f>CHOOSE(CONTROL!$C$42, 19.1009, 19.1009) * CHOOSE(CONTROL!$C$21, $C$9, 100%, $E$9)</f>
        <v>19.100899999999999</v>
      </c>
      <c r="E429" s="14">
        <f>CHOOSE(CONTROL!$C$42, 19.1323, 19.1323) * CHOOSE(CONTROL!$C$21, $C$9, 100%, $E$9)</f>
        <v>19.132300000000001</v>
      </c>
      <c r="F429" s="14">
        <f>CHOOSE(CONTROL!$C$42, 18.8573, 18.8573)*CHOOSE(CONTROL!$C$21, $C$9, 100%, $E$9)</f>
        <v>18.857299999999999</v>
      </c>
      <c r="G429" s="14">
        <f>CHOOSE(CONTROL!$C$42, 18.8739, 18.8739)*CHOOSE(CONTROL!$C$21, $C$9, 100%, $E$9)</f>
        <v>18.873899999999999</v>
      </c>
      <c r="H429" s="14">
        <f>CHOOSE(CONTROL!$C$42, 19.121, 19.121) * CHOOSE(CONTROL!$C$21, $C$9, 100%, $E$9)</f>
        <v>19.120999999999999</v>
      </c>
      <c r="I429" s="14">
        <f>CHOOSE(CONTROL!$C$42, 18.9342, 18.9342)* CHOOSE(CONTROL!$C$21, $C$9, 100%, $E$9)</f>
        <v>18.934200000000001</v>
      </c>
      <c r="J429" s="14">
        <f>CHOOSE(CONTROL!$C$42, 18.8503, 18.8503)* CHOOSE(CONTROL!$C$21, $C$9, 100%, $E$9)</f>
        <v>18.850300000000001</v>
      </c>
      <c r="K429" s="53">
        <f>CHOOSE(CONTROL!$C$42, 18.9303, 18.9303) * CHOOSE(CONTROL!$C$21, $C$9, 100%, $E$9)</f>
        <v>18.930299999999999</v>
      </c>
      <c r="L429" s="14">
        <f>CHOOSE(CONTROL!$C$42, 19.708, 19.708) * CHOOSE(CONTROL!$C$21, $C$9, 100%, $E$9)</f>
        <v>19.707999999999998</v>
      </c>
      <c r="M429" s="14">
        <f>CHOOSE(CONTROL!$C$42, 18.4717, 18.4717) * CHOOSE(CONTROL!$C$21, $C$9, 100%, $E$9)</f>
        <v>18.471699999999998</v>
      </c>
      <c r="N429" s="14">
        <f>CHOOSE(CONTROL!$C$42, 18.4881, 18.4881) * CHOOSE(CONTROL!$C$21, $C$9, 100%, $E$9)</f>
        <v>18.488099999999999</v>
      </c>
      <c r="O429" s="14">
        <f>CHOOSE(CONTROL!$C$42, 18.7369, 18.7369) * CHOOSE(CONTROL!$C$21, $C$9, 100%, $E$9)</f>
        <v>18.736899999999999</v>
      </c>
      <c r="P429" s="14">
        <f>CHOOSE(CONTROL!$C$42, 18.5528, 18.5528) * CHOOSE(CONTROL!$C$21, $C$9, 100%, $E$9)</f>
        <v>18.552800000000001</v>
      </c>
      <c r="Q429" s="14">
        <f>CHOOSE(CONTROL!$C$42, 19.3316, 19.3316) * CHOOSE(CONTROL!$C$21, $C$9, 100%, $E$9)</f>
        <v>19.331600000000002</v>
      </c>
      <c r="R429" s="14">
        <f>CHOOSE(CONTROL!$C$42, 19.9669, 19.9669) * CHOOSE(CONTROL!$C$21, $C$9, 100%, $E$9)</f>
        <v>19.966899999999999</v>
      </c>
      <c r="S429" s="14">
        <f>CHOOSE(CONTROL!$C$42, 18.1112, 18.1112) * CHOOSE(CONTROL!$C$21, $C$9, 100%, $E$9)</f>
        <v>18.1112</v>
      </c>
      <c r="T4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7">
        <f>(1000*CHOOSE(CONTROL!$C$42, 695, 695)*CHOOSE(CONTROL!$C$42, 0.5599, 0.5599)*CHOOSE(CONTROL!$C$42, 30, 30))/1000000</f>
        <v>11.673914999999997</v>
      </c>
      <c r="V429" s="57">
        <f>(1000*CHOOSE(CONTROL!$C$42, 500, 500)*CHOOSE(CONTROL!$C$42, 0.275, 0.275)*CHOOSE(CONTROL!$C$42, 30, 30))/1000000</f>
        <v>4.125</v>
      </c>
      <c r="W429" s="57">
        <f>(1000*CHOOSE(CONTROL!$C$42, 0.1146, 0.1146)*CHOOSE(CONTROL!$C$42, 121.5, 121.5)*CHOOSE(CONTROL!$C$42, 30, 30))/1000000</f>
        <v>0.417717</v>
      </c>
      <c r="X429" s="57">
        <f>(30*0.1790888*245000/1000000)+(30*0.2374*100000/1000000)</f>
        <v>2.0285026799999999</v>
      </c>
      <c r="Y429" s="57"/>
      <c r="Z429" s="14"/>
      <c r="AA429" s="56"/>
      <c r="AB429" s="50">
        <f>(B429*194.205+C429*267.466+D429*133.845+E429*53.484+F429*40+G429*185+H429*0+I429*100+J429*300)/(194.205+267.466+133.845+53.484+0+40+185+100+300)</f>
        <v>18.903639726844585</v>
      </c>
      <c r="AC429" s="45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18.561553237410074</v>
      </c>
    </row>
    <row r="430" spans="1:29" ht="15.75" x14ac:dyDescent="0.25">
      <c r="A430" s="33">
        <v>53996</v>
      </c>
      <c r="B430" s="14">
        <f>CHOOSE(CONTROL!$C$42, 18.4748, 18.4748) * CHOOSE(CONTROL!$C$21, $C$9, 100%, $E$9)</f>
        <v>18.474799999999998</v>
      </c>
      <c r="C430" s="14">
        <f>CHOOSE(CONTROL!$C$42, 18.4801, 18.4801) * CHOOSE(CONTROL!$C$21, $C$9, 100%, $E$9)</f>
        <v>18.4801</v>
      </c>
      <c r="D430" s="14">
        <f>CHOOSE(CONTROL!$C$42, 18.7187, 18.7187) * CHOOSE(CONTROL!$C$21, $C$9, 100%, $E$9)</f>
        <v>18.718699999999998</v>
      </c>
      <c r="E430" s="14">
        <f>CHOOSE(CONTROL!$C$42, 18.7478, 18.7478) * CHOOSE(CONTROL!$C$21, $C$9, 100%, $E$9)</f>
        <v>18.747800000000002</v>
      </c>
      <c r="F430" s="14">
        <f>CHOOSE(CONTROL!$C$42, 18.4748, 18.4748)*CHOOSE(CONTROL!$C$21, $C$9, 100%, $E$9)</f>
        <v>18.474799999999998</v>
      </c>
      <c r="G430" s="14">
        <f>CHOOSE(CONTROL!$C$42, 18.4911, 18.4911)*CHOOSE(CONTROL!$C$21, $C$9, 100%, $E$9)</f>
        <v>18.491099999999999</v>
      </c>
      <c r="H430" s="14">
        <f>CHOOSE(CONTROL!$C$42, 18.7383, 18.7383) * CHOOSE(CONTROL!$C$21, $C$9, 100%, $E$9)</f>
        <v>18.738299999999999</v>
      </c>
      <c r="I430" s="14">
        <f>CHOOSE(CONTROL!$C$42, 18.5503, 18.5503)* CHOOSE(CONTROL!$C$21, $C$9, 100%, $E$9)</f>
        <v>18.5503</v>
      </c>
      <c r="J430" s="14">
        <f>CHOOSE(CONTROL!$C$42, 18.4678, 18.4678)* CHOOSE(CONTROL!$C$21, $C$9, 100%, $E$9)</f>
        <v>18.4678</v>
      </c>
      <c r="K430" s="53">
        <f>CHOOSE(CONTROL!$C$42, 18.5464, 18.5464) * CHOOSE(CONTROL!$C$21, $C$9, 100%, $E$9)</f>
        <v>18.546399999999998</v>
      </c>
      <c r="L430" s="14">
        <f>CHOOSE(CONTROL!$C$42, 19.3253, 19.3253) * CHOOSE(CONTROL!$C$21, $C$9, 100%, $E$9)</f>
        <v>19.325299999999999</v>
      </c>
      <c r="M430" s="14">
        <f>CHOOSE(CONTROL!$C$42, 18.0971, 18.0971) * CHOOSE(CONTROL!$C$21, $C$9, 100%, $E$9)</f>
        <v>18.097100000000001</v>
      </c>
      <c r="N430" s="14">
        <f>CHOOSE(CONTROL!$C$42, 18.1131, 18.1131) * CHOOSE(CONTROL!$C$21, $C$9, 100%, $E$9)</f>
        <v>18.113099999999999</v>
      </c>
      <c r="O430" s="14">
        <f>CHOOSE(CONTROL!$C$42, 18.3621, 18.3621) * CHOOSE(CONTROL!$C$21, $C$9, 100%, $E$9)</f>
        <v>18.362100000000002</v>
      </c>
      <c r="P430" s="14">
        <f>CHOOSE(CONTROL!$C$42, 18.1769, 18.1769) * CHOOSE(CONTROL!$C$21, $C$9, 100%, $E$9)</f>
        <v>18.1769</v>
      </c>
      <c r="Q430" s="14">
        <f>CHOOSE(CONTROL!$C$42, 18.9568, 18.9568) * CHOOSE(CONTROL!$C$21, $C$9, 100%, $E$9)</f>
        <v>18.956800000000001</v>
      </c>
      <c r="R430" s="14">
        <f>CHOOSE(CONTROL!$C$42, 19.5912, 19.5912) * CHOOSE(CONTROL!$C$21, $C$9, 100%, $E$9)</f>
        <v>19.591200000000001</v>
      </c>
      <c r="S430" s="14">
        <f>CHOOSE(CONTROL!$C$42, 17.7435, 17.7435) * CHOOSE(CONTROL!$C$21, $C$9, 100%, $E$9)</f>
        <v>17.743500000000001</v>
      </c>
      <c r="T4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7">
        <f>(1000*CHOOSE(CONTROL!$C$42, 695, 695)*CHOOSE(CONTROL!$C$42, 0.5599, 0.5599)*CHOOSE(CONTROL!$C$42, 31, 31))/1000000</f>
        <v>12.063045499999998</v>
      </c>
      <c r="V430" s="57">
        <f>(1000*CHOOSE(CONTROL!$C$42, 500, 500)*CHOOSE(CONTROL!$C$42, 0.275, 0.275)*CHOOSE(CONTROL!$C$42, 31, 31))/1000000</f>
        <v>4.2625000000000002</v>
      </c>
      <c r="W430" s="57">
        <f>(1000*CHOOSE(CONTROL!$C$42, 0.1146, 0.1146)*CHOOSE(CONTROL!$C$42, 121.5, 121.5)*CHOOSE(CONTROL!$C$42, 31, 31))/1000000</f>
        <v>0.43164089999999994</v>
      </c>
      <c r="X430" s="57">
        <f>(31*0.1790888*245000/1000000)+(31*0.2374*100000/1000000)</f>
        <v>2.0961194359999999</v>
      </c>
      <c r="Y430" s="57"/>
      <c r="Z430" s="14"/>
      <c r="AA430" s="56"/>
      <c r="AB430" s="50">
        <f>(B430*131.881+C430*277.167+D430*79.08+E430*125.872+F430*40+G430*185+H430*0+I430*100+J430*300)/(131.881+277.167+79.08+125.872+0+40+185+100+300)</f>
        <v>18.52611973615819</v>
      </c>
      <c r="AC430" s="45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18.186617985611512</v>
      </c>
    </row>
    <row r="431" spans="1:29" ht="15.75" x14ac:dyDescent="0.25">
      <c r="A431" s="33">
        <v>54026</v>
      </c>
      <c r="B431" s="14">
        <f>CHOOSE(CONTROL!$C$42, 18.9609, 18.9609) * CHOOSE(CONTROL!$C$21, $C$9, 100%, $E$9)</f>
        <v>18.960899999999999</v>
      </c>
      <c r="C431" s="14">
        <f>CHOOSE(CONTROL!$C$42, 18.9659, 18.9659) * CHOOSE(CONTROL!$C$21, $C$9, 100%, $E$9)</f>
        <v>18.965900000000001</v>
      </c>
      <c r="D431" s="14">
        <f>CHOOSE(CONTROL!$C$42, 19.0401, 19.0401) * CHOOSE(CONTROL!$C$21, $C$9, 100%, $E$9)</f>
        <v>19.040099999999999</v>
      </c>
      <c r="E431" s="14">
        <f>CHOOSE(CONTROL!$C$42, 19.0742, 19.0742) * CHOOSE(CONTROL!$C$21, $C$9, 100%, $E$9)</f>
        <v>19.074200000000001</v>
      </c>
      <c r="F431" s="14">
        <f>CHOOSE(CONTROL!$C$42, 18.9729, 18.9729)*CHOOSE(CONTROL!$C$21, $C$9, 100%, $E$9)</f>
        <v>18.972899999999999</v>
      </c>
      <c r="G431" s="14">
        <f>CHOOSE(CONTROL!$C$42, 18.9895, 18.9895)*CHOOSE(CONTROL!$C$21, $C$9, 100%, $E$9)</f>
        <v>18.9895</v>
      </c>
      <c r="H431" s="14">
        <f>CHOOSE(CONTROL!$C$42, 19.0634, 19.0634) * CHOOSE(CONTROL!$C$21, $C$9, 100%, $E$9)</f>
        <v>19.063400000000001</v>
      </c>
      <c r="I431" s="14">
        <f>CHOOSE(CONTROL!$C$42, 19.0446, 19.0446)* CHOOSE(CONTROL!$C$21, $C$9, 100%, $E$9)</f>
        <v>19.044599999999999</v>
      </c>
      <c r="J431" s="14">
        <f>CHOOSE(CONTROL!$C$42, 18.9659, 18.9659)* CHOOSE(CONTROL!$C$21, $C$9, 100%, $E$9)</f>
        <v>18.965900000000001</v>
      </c>
      <c r="K431" s="53">
        <f>CHOOSE(CONTROL!$C$42, 19.0407, 19.0407) * CHOOSE(CONTROL!$C$21, $C$9, 100%, $E$9)</f>
        <v>19.040700000000001</v>
      </c>
      <c r="L431" s="14">
        <f>CHOOSE(CONTROL!$C$42, 19.6504, 19.6504) * CHOOSE(CONTROL!$C$21, $C$9, 100%, $E$9)</f>
        <v>19.650400000000001</v>
      </c>
      <c r="M431" s="14">
        <f>CHOOSE(CONTROL!$C$42, 18.585, 18.585) * CHOOSE(CONTROL!$C$21, $C$9, 100%, $E$9)</f>
        <v>18.585000000000001</v>
      </c>
      <c r="N431" s="14">
        <f>CHOOSE(CONTROL!$C$42, 18.6013, 18.6013) * CHOOSE(CONTROL!$C$21, $C$9, 100%, $E$9)</f>
        <v>18.601299999999998</v>
      </c>
      <c r="O431" s="14">
        <f>CHOOSE(CONTROL!$C$42, 18.6805, 18.6805) * CHOOSE(CONTROL!$C$21, $C$9, 100%, $E$9)</f>
        <v>18.680499999999999</v>
      </c>
      <c r="P431" s="14">
        <f>CHOOSE(CONTROL!$C$42, 18.6609, 18.6609) * CHOOSE(CONTROL!$C$21, $C$9, 100%, $E$9)</f>
        <v>18.660900000000002</v>
      </c>
      <c r="Q431" s="14">
        <f>CHOOSE(CONTROL!$C$42, 19.2752, 19.2752) * CHOOSE(CONTROL!$C$21, $C$9, 100%, $E$9)</f>
        <v>19.275200000000002</v>
      </c>
      <c r="R431" s="14">
        <f>CHOOSE(CONTROL!$C$42, 19.9104, 19.9104) * CHOOSE(CONTROL!$C$21, $C$9, 100%, $E$9)</f>
        <v>19.910399999999999</v>
      </c>
      <c r="S431" s="14">
        <f>CHOOSE(CONTROL!$C$42, 18.2109, 18.2109) * CHOOSE(CONTROL!$C$21, $C$9, 100%, $E$9)</f>
        <v>18.210899999999999</v>
      </c>
      <c r="T4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7">
        <f>(1000*CHOOSE(CONTROL!$C$42, 695, 695)*CHOOSE(CONTROL!$C$42, 0.5599, 0.5599)*CHOOSE(CONTROL!$C$42, 30, 30))/1000000</f>
        <v>11.673914999999997</v>
      </c>
      <c r="V431" s="57">
        <f>(1000*CHOOSE(CONTROL!$C$42, 500, 500)*CHOOSE(CONTROL!$C$42, 0.275, 0.275)*CHOOSE(CONTROL!$C$42, 30, 30))/1000000</f>
        <v>4.125</v>
      </c>
      <c r="W431" s="57">
        <f>(1000*CHOOSE(CONTROL!$C$42, 0.1146, 0.1146)*CHOOSE(CONTROL!$C$42, 121.5, 121.5)*CHOOSE(CONTROL!$C$42, 30, 30))/1000000</f>
        <v>0.417717</v>
      </c>
      <c r="X431" s="57">
        <f>(30*0.1790888*100000/1000000)+(30*0.2374*100000/1000000)</f>
        <v>1.2494664</v>
      </c>
      <c r="Y431" s="57"/>
      <c r="Z431" s="14"/>
      <c r="AA431" s="56"/>
      <c r="AB431" s="50">
        <f>(B431*122.58+C431*297.941+D431*89.177+E431*40.302+F431*40+G431*160+H431*0+I431*100+J431*300)/(122.58+297.941+89.177+40.302+0+40+160+100+300)</f>
        <v>18.98528673043478</v>
      </c>
      <c r="AC431" s="45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18.640143165467624</v>
      </c>
    </row>
    <row r="432" spans="1:29" ht="15.75" x14ac:dyDescent="0.25">
      <c r="A432" s="33">
        <v>54057</v>
      </c>
      <c r="B432" s="14">
        <f>CHOOSE(CONTROL!$C$42, 20.2529, 20.2529) * CHOOSE(CONTROL!$C$21, $C$9, 100%, $E$9)</f>
        <v>20.2529</v>
      </c>
      <c r="C432" s="14">
        <f>CHOOSE(CONTROL!$C$42, 20.258, 20.258) * CHOOSE(CONTROL!$C$21, $C$9, 100%, $E$9)</f>
        <v>20.257999999999999</v>
      </c>
      <c r="D432" s="14">
        <f>CHOOSE(CONTROL!$C$42, 20.3322, 20.3322) * CHOOSE(CONTROL!$C$21, $C$9, 100%, $E$9)</f>
        <v>20.3322</v>
      </c>
      <c r="E432" s="14">
        <f>CHOOSE(CONTROL!$C$42, 20.3663, 20.3663) * CHOOSE(CONTROL!$C$21, $C$9, 100%, $E$9)</f>
        <v>20.366299999999999</v>
      </c>
      <c r="F432" s="14">
        <f>CHOOSE(CONTROL!$C$42, 20.2672, 20.2672)*CHOOSE(CONTROL!$C$21, $C$9, 100%, $E$9)</f>
        <v>20.267199999999999</v>
      </c>
      <c r="G432" s="14">
        <f>CHOOSE(CONTROL!$C$42, 20.2843, 20.2843)*CHOOSE(CONTROL!$C$21, $C$9, 100%, $E$9)</f>
        <v>20.284300000000002</v>
      </c>
      <c r="H432" s="14">
        <f>CHOOSE(CONTROL!$C$42, 20.3555, 20.3555) * CHOOSE(CONTROL!$C$21, $C$9, 100%, $E$9)</f>
        <v>20.355499999999999</v>
      </c>
      <c r="I432" s="14">
        <f>CHOOSE(CONTROL!$C$42, 20.3407, 20.3407)* CHOOSE(CONTROL!$C$21, $C$9, 100%, $E$9)</f>
        <v>20.340699999999998</v>
      </c>
      <c r="J432" s="14">
        <f>CHOOSE(CONTROL!$C$42, 20.2602, 20.2602)* CHOOSE(CONTROL!$C$21, $C$9, 100%, $E$9)</f>
        <v>20.260200000000001</v>
      </c>
      <c r="K432" s="53">
        <f>CHOOSE(CONTROL!$C$42, 20.3368, 20.3368) * CHOOSE(CONTROL!$C$21, $C$9, 100%, $E$9)</f>
        <v>20.3368</v>
      </c>
      <c r="L432" s="14">
        <f>CHOOSE(CONTROL!$C$42, 20.9425, 20.9425) * CHOOSE(CONTROL!$C$21, $C$9, 100%, $E$9)</f>
        <v>20.942499999999999</v>
      </c>
      <c r="M432" s="14">
        <f>CHOOSE(CONTROL!$C$42, 19.8527, 19.8527) * CHOOSE(CONTROL!$C$21, $C$9, 100%, $E$9)</f>
        <v>19.852699999999999</v>
      </c>
      <c r="N432" s="14">
        <f>CHOOSE(CONTROL!$C$42, 19.8696, 19.8696) * CHOOSE(CONTROL!$C$21, $C$9, 100%, $E$9)</f>
        <v>19.869599999999998</v>
      </c>
      <c r="O432" s="14">
        <f>CHOOSE(CONTROL!$C$42, 19.9461, 19.9461) * CHOOSE(CONTROL!$C$21, $C$9, 100%, $E$9)</f>
        <v>19.946100000000001</v>
      </c>
      <c r="P432" s="14">
        <f>CHOOSE(CONTROL!$C$42, 19.9304, 19.9304) * CHOOSE(CONTROL!$C$21, $C$9, 100%, $E$9)</f>
        <v>19.930399999999999</v>
      </c>
      <c r="Q432" s="14">
        <f>CHOOSE(CONTROL!$C$42, 20.5408, 20.5408) * CHOOSE(CONTROL!$C$21, $C$9, 100%, $E$9)</f>
        <v>20.540800000000001</v>
      </c>
      <c r="R432" s="14">
        <f>CHOOSE(CONTROL!$C$42, 21.1792, 21.1792) * CHOOSE(CONTROL!$C$21, $C$9, 100%, $E$9)</f>
        <v>21.179200000000002</v>
      </c>
      <c r="S432" s="14">
        <f>CHOOSE(CONTROL!$C$42, 19.4525, 19.4525) * CHOOSE(CONTROL!$C$21, $C$9, 100%, $E$9)</f>
        <v>19.452500000000001</v>
      </c>
      <c r="T4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7">
        <f>(1000*CHOOSE(CONTROL!$C$42, 695, 695)*CHOOSE(CONTROL!$C$42, 0.5599, 0.5599)*CHOOSE(CONTROL!$C$42, 31, 31))/1000000</f>
        <v>12.063045499999998</v>
      </c>
      <c r="V432" s="57">
        <f>(1000*CHOOSE(CONTROL!$C$42, 500, 500)*CHOOSE(CONTROL!$C$42, 0.275, 0.275)*CHOOSE(CONTROL!$C$42, 31, 31))/1000000</f>
        <v>4.2625000000000002</v>
      </c>
      <c r="W432" s="57">
        <f>(1000*CHOOSE(CONTROL!$C$42, 0.1146, 0.1146)*CHOOSE(CONTROL!$C$42, 121.5, 121.5)*CHOOSE(CONTROL!$C$42, 31, 31))/1000000</f>
        <v>0.43164089999999994</v>
      </c>
      <c r="X432" s="57">
        <f>(31*0.1790888*100000/1000000)+(31*0.2374*100000/1000000)</f>
        <v>1.2911152800000001</v>
      </c>
      <c r="Y432" s="57"/>
      <c r="Z432" s="14"/>
      <c r="AA432" s="56"/>
      <c r="AB432" s="50">
        <f>(B432*122.58+C432*297.941+D432*89.177+E432*40.302+F432*40+G432*160+H432*0+I432*100+J432*300)/(122.58+297.941+89.177+40.302+0+40+160+100+300)</f>
        <v>20.278749984347826</v>
      </c>
      <c r="AC432" s="45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19.907184892086331</v>
      </c>
    </row>
    <row r="433" spans="1:29" ht="15.75" x14ac:dyDescent="0.25">
      <c r="A433" s="33">
        <v>54088</v>
      </c>
      <c r="B433" s="14">
        <f>CHOOSE(CONTROL!$C$42, 21.9311, 21.9311) * CHOOSE(CONTROL!$C$21, $C$9, 100%, $E$9)</f>
        <v>21.931100000000001</v>
      </c>
      <c r="C433" s="14">
        <f>CHOOSE(CONTROL!$C$42, 21.9362, 21.9362) * CHOOSE(CONTROL!$C$21, $C$9, 100%, $E$9)</f>
        <v>21.936199999999999</v>
      </c>
      <c r="D433" s="14">
        <f>CHOOSE(CONTROL!$C$42, 22.013, 22.013) * CHOOSE(CONTROL!$C$21, $C$9, 100%, $E$9)</f>
        <v>22.013000000000002</v>
      </c>
      <c r="E433" s="14">
        <f>CHOOSE(CONTROL!$C$42, 22.0471, 22.0471) * CHOOSE(CONTROL!$C$21, $C$9, 100%, $E$9)</f>
        <v>22.0471</v>
      </c>
      <c r="F433" s="14">
        <f>CHOOSE(CONTROL!$C$42, 21.9313, 21.9313)*CHOOSE(CONTROL!$C$21, $C$9, 100%, $E$9)</f>
        <v>21.9313</v>
      </c>
      <c r="G433" s="14">
        <f>CHOOSE(CONTROL!$C$42, 21.9475, 21.9475)*CHOOSE(CONTROL!$C$21, $C$9, 100%, $E$9)</f>
        <v>21.947500000000002</v>
      </c>
      <c r="H433" s="14">
        <f>CHOOSE(CONTROL!$C$42, 22.0363, 22.0363) * CHOOSE(CONTROL!$C$21, $C$9, 100%, $E$9)</f>
        <v>22.036300000000001</v>
      </c>
      <c r="I433" s="14">
        <f>CHOOSE(CONTROL!$C$42, 22.0179, 22.0179)* CHOOSE(CONTROL!$C$21, $C$9, 100%, $E$9)</f>
        <v>22.017900000000001</v>
      </c>
      <c r="J433" s="14">
        <f>CHOOSE(CONTROL!$C$42, 21.9243, 21.9243)* CHOOSE(CONTROL!$C$21, $C$9, 100%, $E$9)</f>
        <v>21.924299999999999</v>
      </c>
      <c r="K433" s="53">
        <f>CHOOSE(CONTROL!$C$42, 22.014, 22.014) * CHOOSE(CONTROL!$C$21, $C$9, 100%, $E$9)</f>
        <v>22.013999999999999</v>
      </c>
      <c r="L433" s="14">
        <f>CHOOSE(CONTROL!$C$42, 22.6233, 22.6233) * CHOOSE(CONTROL!$C$21, $C$9, 100%, $E$9)</f>
        <v>22.6233</v>
      </c>
      <c r="M433" s="14">
        <f>CHOOSE(CONTROL!$C$42, 21.4828, 21.4828) * CHOOSE(CONTROL!$C$21, $C$9, 100%, $E$9)</f>
        <v>21.482800000000001</v>
      </c>
      <c r="N433" s="14">
        <f>CHOOSE(CONTROL!$C$42, 21.4987, 21.4987) * CHOOSE(CONTROL!$C$21, $C$9, 100%, $E$9)</f>
        <v>21.498699999999999</v>
      </c>
      <c r="O433" s="14">
        <f>CHOOSE(CONTROL!$C$42, 21.5925, 21.5925) * CHOOSE(CONTROL!$C$21, $C$9, 100%, $E$9)</f>
        <v>21.592500000000001</v>
      </c>
      <c r="P433" s="14">
        <f>CHOOSE(CONTROL!$C$42, 21.5731, 21.5731) * CHOOSE(CONTROL!$C$21, $C$9, 100%, $E$9)</f>
        <v>21.5731</v>
      </c>
      <c r="Q433" s="14">
        <f>CHOOSE(CONTROL!$C$42, 22.1872, 22.1872) * CHOOSE(CONTROL!$C$21, $C$9, 100%, $E$9)</f>
        <v>22.187200000000001</v>
      </c>
      <c r="R433" s="14">
        <f>CHOOSE(CONTROL!$C$42, 22.8296, 22.8296) * CHOOSE(CONTROL!$C$21, $C$9, 100%, $E$9)</f>
        <v>22.829599999999999</v>
      </c>
      <c r="S433" s="14">
        <f>CHOOSE(CONTROL!$C$42, 21.0651, 21.0651) * CHOOSE(CONTROL!$C$21, $C$9, 100%, $E$9)</f>
        <v>21.065100000000001</v>
      </c>
      <c r="T4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7">
        <f>(1000*CHOOSE(CONTROL!$C$42, 695, 695)*CHOOSE(CONTROL!$C$42, 0.5599, 0.5599)*CHOOSE(CONTROL!$C$42, 31, 31))/1000000</f>
        <v>12.063045499999998</v>
      </c>
      <c r="V433" s="57">
        <f>(1000*CHOOSE(CONTROL!$C$42, 500, 500)*CHOOSE(CONTROL!$C$42, 0.275, 0.275)*CHOOSE(CONTROL!$C$42, 31, 31))/1000000</f>
        <v>4.2625000000000002</v>
      </c>
      <c r="W433" s="57">
        <f>(1000*CHOOSE(CONTROL!$C$42, 0.1146, 0.1146)*CHOOSE(CONTROL!$C$42, 121.5, 121.5)*CHOOSE(CONTROL!$C$42, 31, 31))/1000000</f>
        <v>0.43164089999999994</v>
      </c>
      <c r="X433" s="57">
        <f>(31*0.1790888*100000/1000000)+(31*0.2374*100000/1000000)</f>
        <v>1.2911152800000001</v>
      </c>
      <c r="Y433" s="57"/>
      <c r="Z433" s="14"/>
      <c r="AA433" s="56"/>
      <c r="AB433" s="50">
        <f>(B433*122.58+C433*297.941+D433*89.177+E433*40.302+F433*40+G433*160+H433*0+I433*100+J433*300)/(122.58+297.941+89.177+40.302+0+40+160+100+300)</f>
        <v>21.950900110782612</v>
      </c>
      <c r="AC433" s="45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21.546428057553957</v>
      </c>
    </row>
    <row r="434" spans="1:29" ht="15.75" x14ac:dyDescent="0.25">
      <c r="A434" s="33">
        <v>54116</v>
      </c>
      <c r="B434" s="14">
        <f>CHOOSE(CONTROL!$C$42, 22.3213, 22.3213) * CHOOSE(CONTROL!$C$21, $C$9, 100%, $E$9)</f>
        <v>22.321300000000001</v>
      </c>
      <c r="C434" s="14">
        <f>CHOOSE(CONTROL!$C$42, 22.3264, 22.3264) * CHOOSE(CONTROL!$C$21, $C$9, 100%, $E$9)</f>
        <v>22.3264</v>
      </c>
      <c r="D434" s="14">
        <f>CHOOSE(CONTROL!$C$42, 22.4032, 22.4032) * CHOOSE(CONTROL!$C$21, $C$9, 100%, $E$9)</f>
        <v>22.403199999999998</v>
      </c>
      <c r="E434" s="14">
        <f>CHOOSE(CONTROL!$C$42, 22.4373, 22.4373) * CHOOSE(CONTROL!$C$21, $C$9, 100%, $E$9)</f>
        <v>22.4373</v>
      </c>
      <c r="F434" s="14">
        <f>CHOOSE(CONTROL!$C$42, 22.3216, 22.3216)*CHOOSE(CONTROL!$C$21, $C$9, 100%, $E$9)</f>
        <v>22.3216</v>
      </c>
      <c r="G434" s="14">
        <f>CHOOSE(CONTROL!$C$42, 22.3378, 22.3378)*CHOOSE(CONTROL!$C$21, $C$9, 100%, $E$9)</f>
        <v>22.337800000000001</v>
      </c>
      <c r="H434" s="14">
        <f>CHOOSE(CONTROL!$C$42, 22.4265, 22.4265) * CHOOSE(CONTROL!$C$21, $C$9, 100%, $E$9)</f>
        <v>22.426500000000001</v>
      </c>
      <c r="I434" s="14">
        <f>CHOOSE(CONTROL!$C$42, 22.4093, 22.4093)* CHOOSE(CONTROL!$C$21, $C$9, 100%, $E$9)</f>
        <v>22.409300000000002</v>
      </c>
      <c r="J434" s="14">
        <f>CHOOSE(CONTROL!$C$42, 22.3146, 22.3146)* CHOOSE(CONTROL!$C$21, $C$9, 100%, $E$9)</f>
        <v>22.314599999999999</v>
      </c>
      <c r="K434" s="53">
        <f>CHOOSE(CONTROL!$C$42, 22.4054, 22.4054) * CHOOSE(CONTROL!$C$21, $C$9, 100%, $E$9)</f>
        <v>22.4054</v>
      </c>
      <c r="L434" s="14">
        <f>CHOOSE(CONTROL!$C$42, 23.0135, 23.0135) * CHOOSE(CONTROL!$C$21, $C$9, 100%, $E$9)</f>
        <v>23.013500000000001</v>
      </c>
      <c r="M434" s="14">
        <f>CHOOSE(CONTROL!$C$42, 21.8651, 21.8651) * CHOOSE(CONTROL!$C$21, $C$9, 100%, $E$9)</f>
        <v>21.865100000000002</v>
      </c>
      <c r="N434" s="14">
        <f>CHOOSE(CONTROL!$C$42, 21.881, 21.881) * CHOOSE(CONTROL!$C$21, $C$9, 100%, $E$9)</f>
        <v>21.881</v>
      </c>
      <c r="O434" s="14">
        <f>CHOOSE(CONTROL!$C$42, 21.9747, 21.9747) * CHOOSE(CONTROL!$C$21, $C$9, 100%, $E$9)</f>
        <v>21.974699999999999</v>
      </c>
      <c r="P434" s="14">
        <f>CHOOSE(CONTROL!$C$42, 21.9565, 21.9565) * CHOOSE(CONTROL!$C$21, $C$9, 100%, $E$9)</f>
        <v>21.956499999999998</v>
      </c>
      <c r="Q434" s="14">
        <f>CHOOSE(CONTROL!$C$42, 22.5694, 22.5694) * CHOOSE(CONTROL!$C$21, $C$9, 100%, $E$9)</f>
        <v>22.569400000000002</v>
      </c>
      <c r="R434" s="14">
        <f>CHOOSE(CONTROL!$C$42, 23.2128, 23.2128) * CHOOSE(CONTROL!$C$21, $C$9, 100%, $E$9)</f>
        <v>23.212800000000001</v>
      </c>
      <c r="S434" s="14">
        <f>CHOOSE(CONTROL!$C$42, 21.44, 21.44) * CHOOSE(CONTROL!$C$21, $C$9, 100%, $E$9)</f>
        <v>21.44</v>
      </c>
      <c r="T43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7">
        <f>(1000*CHOOSE(CONTROL!$C$42, 695, 695)*CHOOSE(CONTROL!$C$42, 0.5599, 0.5599)*CHOOSE(CONTROL!$C$42, 29, 29))/1000000</f>
        <v>11.284784499999999</v>
      </c>
      <c r="V434" s="57">
        <f>(1000*CHOOSE(CONTROL!$C$42, 500, 500)*CHOOSE(CONTROL!$C$42, 0.275, 0.275)*CHOOSE(CONTROL!$C$42, 29, 29))/1000000</f>
        <v>3.9874999999999998</v>
      </c>
      <c r="W434" s="57">
        <f>(1000*CHOOSE(CONTROL!$C$42, 0.1146, 0.1146)*CHOOSE(CONTROL!$C$42, 121.5, 121.5)*CHOOSE(CONTROL!$C$42, 29, 29))/1000000</f>
        <v>0.40379309999999996</v>
      </c>
      <c r="X434" s="57">
        <f>(29*0.1790888*100000/1000000)+(29*0.2374*100000/1000000)</f>
        <v>1.2078175199999999</v>
      </c>
      <c r="Y434" s="57"/>
      <c r="Z434" s="14"/>
      <c r="AA434" s="56"/>
      <c r="AB434" s="50">
        <f>(B434*122.58+C434*297.941+D434*89.177+E434*40.302+F434*40+G434*160+H434*0+I434*100+J434*300)/(122.58+297.941+89.177+40.302+0+40+160+100+300)</f>
        <v>22.341247936869564</v>
      </c>
      <c r="AC434" s="45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21.928841007194244</v>
      </c>
    </row>
    <row r="435" spans="1:29" ht="15.75" x14ac:dyDescent="0.25">
      <c r="A435" s="33">
        <v>54148</v>
      </c>
      <c r="B435" s="14">
        <f>CHOOSE(CONTROL!$C$42, 21.6879, 21.6879) * CHOOSE(CONTROL!$C$21, $C$9, 100%, $E$9)</f>
        <v>21.687899999999999</v>
      </c>
      <c r="C435" s="14">
        <f>CHOOSE(CONTROL!$C$42, 21.693, 21.693) * CHOOSE(CONTROL!$C$21, $C$9, 100%, $E$9)</f>
        <v>21.693000000000001</v>
      </c>
      <c r="D435" s="14">
        <f>CHOOSE(CONTROL!$C$42, 21.7698, 21.7698) * CHOOSE(CONTROL!$C$21, $C$9, 100%, $E$9)</f>
        <v>21.7698</v>
      </c>
      <c r="E435" s="14">
        <f>CHOOSE(CONTROL!$C$42, 21.8039, 21.8039) * CHOOSE(CONTROL!$C$21, $C$9, 100%, $E$9)</f>
        <v>21.803899999999999</v>
      </c>
      <c r="F435" s="14">
        <f>CHOOSE(CONTROL!$C$42, 21.6877, 21.6877)*CHOOSE(CONTROL!$C$21, $C$9, 100%, $E$9)</f>
        <v>21.6877</v>
      </c>
      <c r="G435" s="14">
        <f>CHOOSE(CONTROL!$C$42, 21.7038, 21.7038)*CHOOSE(CONTROL!$C$21, $C$9, 100%, $E$9)</f>
        <v>21.703800000000001</v>
      </c>
      <c r="H435" s="14">
        <f>CHOOSE(CONTROL!$C$42, 21.7931, 21.7931) * CHOOSE(CONTROL!$C$21, $C$9, 100%, $E$9)</f>
        <v>21.793099999999999</v>
      </c>
      <c r="I435" s="14">
        <f>CHOOSE(CONTROL!$C$42, 21.7739, 21.7739)* CHOOSE(CONTROL!$C$21, $C$9, 100%, $E$9)</f>
        <v>21.773900000000001</v>
      </c>
      <c r="J435" s="14">
        <f>CHOOSE(CONTROL!$C$42, 21.6807, 21.6807)* CHOOSE(CONTROL!$C$21, $C$9, 100%, $E$9)</f>
        <v>21.680700000000002</v>
      </c>
      <c r="K435" s="53">
        <f>CHOOSE(CONTROL!$C$42, 21.77, 21.77) * CHOOSE(CONTROL!$C$21, $C$9, 100%, $E$9)</f>
        <v>21.77</v>
      </c>
      <c r="L435" s="14">
        <f>CHOOSE(CONTROL!$C$42, 22.3801, 22.3801) * CHOOSE(CONTROL!$C$21, $C$9, 100%, $E$9)</f>
        <v>22.380099999999999</v>
      </c>
      <c r="M435" s="14">
        <f>CHOOSE(CONTROL!$C$42, 21.2442, 21.2442) * CHOOSE(CONTROL!$C$21, $C$9, 100%, $E$9)</f>
        <v>21.244199999999999</v>
      </c>
      <c r="N435" s="14">
        <f>CHOOSE(CONTROL!$C$42, 21.2599, 21.2599) * CHOOSE(CONTROL!$C$21, $C$9, 100%, $E$9)</f>
        <v>21.259899999999998</v>
      </c>
      <c r="O435" s="14">
        <f>CHOOSE(CONTROL!$C$42, 21.3542, 21.3542) * CHOOSE(CONTROL!$C$21, $C$9, 100%, $E$9)</f>
        <v>21.354199999999999</v>
      </c>
      <c r="P435" s="14">
        <f>CHOOSE(CONTROL!$C$42, 21.3342, 21.3342) * CHOOSE(CONTROL!$C$21, $C$9, 100%, $E$9)</f>
        <v>21.334199999999999</v>
      </c>
      <c r="Q435" s="14">
        <f>CHOOSE(CONTROL!$C$42, 21.9489, 21.9489) * CHOOSE(CONTROL!$C$21, $C$9, 100%, $E$9)</f>
        <v>21.948899999999998</v>
      </c>
      <c r="R435" s="14">
        <f>CHOOSE(CONTROL!$C$42, 22.5908, 22.5908) * CHOOSE(CONTROL!$C$21, $C$9, 100%, $E$9)</f>
        <v>22.590800000000002</v>
      </c>
      <c r="S435" s="14">
        <f>CHOOSE(CONTROL!$C$42, 20.8314, 20.8314) * CHOOSE(CONTROL!$C$21, $C$9, 100%, $E$9)</f>
        <v>20.831399999999999</v>
      </c>
      <c r="T4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7">
        <f>(1000*CHOOSE(CONTROL!$C$42, 695, 695)*CHOOSE(CONTROL!$C$42, 0.5599, 0.5599)*CHOOSE(CONTROL!$C$42, 31, 31))/1000000</f>
        <v>12.063045499999998</v>
      </c>
      <c r="V435" s="57">
        <f>(1000*CHOOSE(CONTROL!$C$42, 500, 500)*CHOOSE(CONTROL!$C$42, 0.275, 0.275)*CHOOSE(CONTROL!$C$42, 31, 31))/1000000</f>
        <v>4.2625000000000002</v>
      </c>
      <c r="W435" s="57">
        <f>(1000*CHOOSE(CONTROL!$C$42, 0.1146, 0.1146)*CHOOSE(CONTROL!$C$42, 121.5, 121.5)*CHOOSE(CONTROL!$C$42, 31, 31))/1000000</f>
        <v>0.43164089999999994</v>
      </c>
      <c r="X435" s="57">
        <f>(31*0.1790888*100000/1000000)+(31*0.2374*100000/1000000)</f>
        <v>1.2911152800000001</v>
      </c>
      <c r="Y435" s="57"/>
      <c r="Z435" s="14"/>
      <c r="AA435" s="56"/>
      <c r="AB435" s="50">
        <f>(B435*122.58+C435*297.941+D435*89.177+E435*40.302+F435*40+G435*160+H435*0+I435*100+J435*300)/(122.58+297.941+89.177+40.302+0+40+160+100+300)</f>
        <v>21.707442719478262</v>
      </c>
      <c r="AC435" s="45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21.307909352517985</v>
      </c>
    </row>
    <row r="436" spans="1:29" ht="15.75" x14ac:dyDescent="0.25">
      <c r="A436" s="33">
        <v>54178</v>
      </c>
      <c r="B436" s="14">
        <f>CHOOSE(CONTROL!$C$42, 21.6242, 21.6242) * CHOOSE(CONTROL!$C$21, $C$9, 100%, $E$9)</f>
        <v>21.624199999999998</v>
      </c>
      <c r="C436" s="14">
        <f>CHOOSE(CONTROL!$C$42, 21.6287, 21.6287) * CHOOSE(CONTROL!$C$21, $C$9, 100%, $E$9)</f>
        <v>21.628699999999998</v>
      </c>
      <c r="D436" s="14">
        <f>CHOOSE(CONTROL!$C$42, 21.8654, 21.8654) * CHOOSE(CONTROL!$C$21, $C$9, 100%, $E$9)</f>
        <v>21.865400000000001</v>
      </c>
      <c r="E436" s="14">
        <f>CHOOSE(CONTROL!$C$42, 21.8976, 21.8976) * CHOOSE(CONTROL!$C$21, $C$9, 100%, $E$9)</f>
        <v>21.897600000000001</v>
      </c>
      <c r="F436" s="14">
        <f>CHOOSE(CONTROL!$C$42, 21.6222, 21.6222)*CHOOSE(CONTROL!$C$21, $C$9, 100%, $E$9)</f>
        <v>21.622199999999999</v>
      </c>
      <c r="G436" s="14">
        <f>CHOOSE(CONTROL!$C$42, 21.638, 21.638)*CHOOSE(CONTROL!$C$21, $C$9, 100%, $E$9)</f>
        <v>21.638000000000002</v>
      </c>
      <c r="H436" s="14">
        <f>CHOOSE(CONTROL!$C$42, 21.8873, 21.8873) * CHOOSE(CONTROL!$C$21, $C$9, 100%, $E$9)</f>
        <v>21.8873</v>
      </c>
      <c r="I436" s="14">
        <f>CHOOSE(CONTROL!$C$42, 21.7092, 21.7092)* CHOOSE(CONTROL!$C$21, $C$9, 100%, $E$9)</f>
        <v>21.709199999999999</v>
      </c>
      <c r="J436" s="14">
        <f>CHOOSE(CONTROL!$C$42, 21.6152, 21.6152)* CHOOSE(CONTROL!$C$21, $C$9, 100%, $E$9)</f>
        <v>21.615200000000002</v>
      </c>
      <c r="K436" s="53">
        <f>CHOOSE(CONTROL!$C$42, 21.7053, 21.7053) * CHOOSE(CONTROL!$C$21, $C$9, 100%, $E$9)</f>
        <v>21.705300000000001</v>
      </c>
      <c r="L436" s="14">
        <f>CHOOSE(CONTROL!$C$42, 22.4743, 22.4743) * CHOOSE(CONTROL!$C$21, $C$9, 100%, $E$9)</f>
        <v>22.474299999999999</v>
      </c>
      <c r="M436" s="14">
        <f>CHOOSE(CONTROL!$C$42, 21.18, 21.18) * CHOOSE(CONTROL!$C$21, $C$9, 100%, $E$9)</f>
        <v>21.18</v>
      </c>
      <c r="N436" s="14">
        <f>CHOOSE(CONTROL!$C$42, 21.1955, 21.1955) * CHOOSE(CONTROL!$C$21, $C$9, 100%, $E$9)</f>
        <v>21.195499999999999</v>
      </c>
      <c r="O436" s="14">
        <f>CHOOSE(CONTROL!$C$42, 21.4466, 21.4466) * CHOOSE(CONTROL!$C$21, $C$9, 100%, $E$9)</f>
        <v>21.4466</v>
      </c>
      <c r="P436" s="14">
        <f>CHOOSE(CONTROL!$C$42, 21.2708, 21.2708) * CHOOSE(CONTROL!$C$21, $C$9, 100%, $E$9)</f>
        <v>21.270800000000001</v>
      </c>
      <c r="Q436" s="14">
        <f>CHOOSE(CONTROL!$C$42, 22.0413, 22.0413) * CHOOSE(CONTROL!$C$21, $C$9, 100%, $E$9)</f>
        <v>22.0413</v>
      </c>
      <c r="R436" s="14">
        <f>CHOOSE(CONTROL!$C$42, 22.6834, 22.6834) * CHOOSE(CONTROL!$C$21, $C$9, 100%, $E$9)</f>
        <v>22.683399999999999</v>
      </c>
      <c r="S436" s="14">
        <f>CHOOSE(CONTROL!$C$42, 20.7694, 20.7694) * CHOOSE(CONTROL!$C$21, $C$9, 100%, $E$9)</f>
        <v>20.769400000000001</v>
      </c>
      <c r="T4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7">
        <f>(1000*CHOOSE(CONTROL!$C$42, 695, 695)*CHOOSE(CONTROL!$C$42, 0.5599, 0.5599)*CHOOSE(CONTROL!$C$42, 30, 30))/1000000</f>
        <v>11.673914999999997</v>
      </c>
      <c r="V436" s="57">
        <f>(1000*CHOOSE(CONTROL!$C$42, 500, 500)*CHOOSE(CONTROL!$C$42, 0.275, 0.275)*CHOOSE(CONTROL!$C$42, 30, 30))/1000000</f>
        <v>4.125</v>
      </c>
      <c r="W436" s="57">
        <f>(1000*CHOOSE(CONTROL!$C$42, 0.1146, 0.1146)*CHOOSE(CONTROL!$C$42, 121.5, 121.5)*CHOOSE(CONTROL!$C$42, 30, 30))/1000000</f>
        <v>0.417717</v>
      </c>
      <c r="X436" s="57">
        <f>(30*0.1790888*245000/1000000)+(30*0.2374*100000/1000000)</f>
        <v>2.0285026799999999</v>
      </c>
      <c r="Y436" s="57"/>
      <c r="Z436" s="14"/>
      <c r="AA436" s="56"/>
      <c r="AB436" s="50">
        <f>(B436*141.293+C436*267.993+D436*115.016+E436*89.698+F436*40+G436*185+H436*0+I436*100+J436*300)/(141.293+267.993+115.016+89.698+0+40+185+100+300)</f>
        <v>21.674033947457627</v>
      </c>
      <c r="AC436" s="45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21.271434532374098</v>
      </c>
    </row>
    <row r="437" spans="1:29" ht="15.75" x14ac:dyDescent="0.25">
      <c r="A437" s="33">
        <v>54209</v>
      </c>
      <c r="B437" s="14">
        <f>CHOOSE(CONTROL!$C$42, 21.8164, 21.8164) * CHOOSE(CONTROL!$C$21, $C$9, 100%, $E$9)</f>
        <v>21.816400000000002</v>
      </c>
      <c r="C437" s="14">
        <f>CHOOSE(CONTROL!$C$42, 21.8244, 21.8244) * CHOOSE(CONTROL!$C$21, $C$9, 100%, $E$9)</f>
        <v>21.824400000000001</v>
      </c>
      <c r="D437" s="14">
        <f>CHOOSE(CONTROL!$C$42, 22.058, 22.058) * CHOOSE(CONTROL!$C$21, $C$9, 100%, $E$9)</f>
        <v>22.058</v>
      </c>
      <c r="E437" s="14">
        <f>CHOOSE(CONTROL!$C$42, 22.0895, 22.0895) * CHOOSE(CONTROL!$C$21, $C$9, 100%, $E$9)</f>
        <v>22.089500000000001</v>
      </c>
      <c r="F437" s="14">
        <f>CHOOSE(CONTROL!$C$42, 21.8132, 21.8132)*CHOOSE(CONTROL!$C$21, $C$9, 100%, $E$9)</f>
        <v>21.813199999999998</v>
      </c>
      <c r="G437" s="14">
        <f>CHOOSE(CONTROL!$C$42, 21.8295, 21.8295)*CHOOSE(CONTROL!$C$21, $C$9, 100%, $E$9)</f>
        <v>21.829499999999999</v>
      </c>
      <c r="H437" s="14">
        <f>CHOOSE(CONTROL!$C$42, 22.0781, 22.0781) * CHOOSE(CONTROL!$C$21, $C$9, 100%, $E$9)</f>
        <v>22.078099999999999</v>
      </c>
      <c r="I437" s="14">
        <f>CHOOSE(CONTROL!$C$42, 21.9006, 21.9006)* CHOOSE(CONTROL!$C$21, $C$9, 100%, $E$9)</f>
        <v>21.900600000000001</v>
      </c>
      <c r="J437" s="14">
        <f>CHOOSE(CONTROL!$C$42, 21.8062, 21.8062)* CHOOSE(CONTROL!$C$21, $C$9, 100%, $E$9)</f>
        <v>21.8062</v>
      </c>
      <c r="K437" s="53">
        <f>CHOOSE(CONTROL!$C$42, 21.8967, 21.8967) * CHOOSE(CONTROL!$C$21, $C$9, 100%, $E$9)</f>
        <v>21.896699999999999</v>
      </c>
      <c r="L437" s="14">
        <f>CHOOSE(CONTROL!$C$42, 22.6651, 22.6651) * CHOOSE(CONTROL!$C$21, $C$9, 100%, $E$9)</f>
        <v>22.665099999999999</v>
      </c>
      <c r="M437" s="14">
        <f>CHOOSE(CONTROL!$C$42, 21.3671, 21.3671) * CHOOSE(CONTROL!$C$21, $C$9, 100%, $E$9)</f>
        <v>21.367100000000001</v>
      </c>
      <c r="N437" s="14">
        <f>CHOOSE(CONTROL!$C$42, 21.3831, 21.3831) * CHOOSE(CONTROL!$C$21, $C$9, 100%, $E$9)</f>
        <v>21.383099999999999</v>
      </c>
      <c r="O437" s="14">
        <f>CHOOSE(CONTROL!$C$42, 21.6334, 21.6334) * CHOOSE(CONTROL!$C$21, $C$9, 100%, $E$9)</f>
        <v>21.633400000000002</v>
      </c>
      <c r="P437" s="14">
        <f>CHOOSE(CONTROL!$C$42, 21.4583, 21.4583) * CHOOSE(CONTROL!$C$21, $C$9, 100%, $E$9)</f>
        <v>21.458300000000001</v>
      </c>
      <c r="Q437" s="14">
        <f>CHOOSE(CONTROL!$C$42, 22.2281, 22.2281) * CHOOSE(CONTROL!$C$21, $C$9, 100%, $E$9)</f>
        <v>22.228100000000001</v>
      </c>
      <c r="R437" s="14">
        <f>CHOOSE(CONTROL!$C$42, 22.8707, 22.8707) * CHOOSE(CONTROL!$C$21, $C$9, 100%, $E$9)</f>
        <v>22.870699999999999</v>
      </c>
      <c r="S437" s="14">
        <f>CHOOSE(CONTROL!$C$42, 20.9527, 20.9527) * CHOOSE(CONTROL!$C$21, $C$9, 100%, $E$9)</f>
        <v>20.9527</v>
      </c>
      <c r="T4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7">
        <f>(1000*CHOOSE(CONTROL!$C$42, 695, 695)*CHOOSE(CONTROL!$C$42, 0.5599, 0.5599)*CHOOSE(CONTROL!$C$42, 31, 31))/1000000</f>
        <v>12.063045499999998</v>
      </c>
      <c r="V437" s="57">
        <f>(1000*CHOOSE(CONTROL!$C$42, 500, 500)*CHOOSE(CONTROL!$C$42, 0.275, 0.275)*CHOOSE(CONTROL!$C$42, 31, 31))/1000000</f>
        <v>4.2625000000000002</v>
      </c>
      <c r="W437" s="57">
        <f>(1000*CHOOSE(CONTROL!$C$42, 0.1146, 0.1146)*CHOOSE(CONTROL!$C$42, 121.5, 121.5)*CHOOSE(CONTROL!$C$42, 31, 31))/1000000</f>
        <v>0.43164089999999994</v>
      </c>
      <c r="X437" s="57">
        <f>(31*0.1790888*245000/1000000)+(31*0.2374*100000/1000000)</f>
        <v>2.0961194359999999</v>
      </c>
      <c r="Y437" s="57"/>
      <c r="Z437" s="14"/>
      <c r="AA437" s="56"/>
      <c r="AB437" s="50">
        <f>(B437*194.205+C437*267.466+D437*133.845+E437*53.484+F437*40+G437*185+H437*0+I437*100+J437*300)/(194.205+267.466+133.845+53.484+0+40+185+100+300)</f>
        <v>21.860935840188386</v>
      </c>
      <c r="AC437" s="45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21.458623021582735</v>
      </c>
    </row>
    <row r="438" spans="1:29" ht="15.75" x14ac:dyDescent="0.25">
      <c r="A438" s="33">
        <v>54239</v>
      </c>
      <c r="B438" s="14">
        <f>CHOOSE(CONTROL!$C$42, 22.4349, 22.4349) * CHOOSE(CONTROL!$C$21, $C$9, 100%, $E$9)</f>
        <v>22.434899999999999</v>
      </c>
      <c r="C438" s="14">
        <f>CHOOSE(CONTROL!$C$42, 22.4429, 22.4429) * CHOOSE(CONTROL!$C$21, $C$9, 100%, $E$9)</f>
        <v>22.442900000000002</v>
      </c>
      <c r="D438" s="14">
        <f>CHOOSE(CONTROL!$C$42, 22.6765, 22.6765) * CHOOSE(CONTROL!$C$21, $C$9, 100%, $E$9)</f>
        <v>22.676500000000001</v>
      </c>
      <c r="E438" s="14">
        <f>CHOOSE(CONTROL!$C$42, 22.708, 22.708) * CHOOSE(CONTROL!$C$21, $C$9, 100%, $E$9)</f>
        <v>22.707999999999998</v>
      </c>
      <c r="F438" s="14">
        <f>CHOOSE(CONTROL!$C$42, 22.4321, 22.4321)*CHOOSE(CONTROL!$C$21, $C$9, 100%, $E$9)</f>
        <v>22.432099999999998</v>
      </c>
      <c r="G438" s="14">
        <f>CHOOSE(CONTROL!$C$42, 22.4486, 22.4486)*CHOOSE(CONTROL!$C$21, $C$9, 100%, $E$9)</f>
        <v>22.448599999999999</v>
      </c>
      <c r="H438" s="14">
        <f>CHOOSE(CONTROL!$C$42, 22.6966, 22.6966) * CHOOSE(CONTROL!$C$21, $C$9, 100%, $E$9)</f>
        <v>22.6966</v>
      </c>
      <c r="I438" s="14">
        <f>CHOOSE(CONTROL!$C$42, 22.521, 22.521)* CHOOSE(CONTROL!$C$21, $C$9, 100%, $E$9)</f>
        <v>22.521000000000001</v>
      </c>
      <c r="J438" s="14">
        <f>CHOOSE(CONTROL!$C$42, 22.4251, 22.4251)* CHOOSE(CONTROL!$C$21, $C$9, 100%, $E$9)</f>
        <v>22.4251</v>
      </c>
      <c r="K438" s="53">
        <f>CHOOSE(CONTROL!$C$42, 22.5171, 22.5171) * CHOOSE(CONTROL!$C$21, $C$9, 100%, $E$9)</f>
        <v>22.517099999999999</v>
      </c>
      <c r="L438" s="14">
        <f>CHOOSE(CONTROL!$C$42, 23.2836, 23.2836) * CHOOSE(CONTROL!$C$21, $C$9, 100%, $E$9)</f>
        <v>23.2836</v>
      </c>
      <c r="M438" s="14">
        <f>CHOOSE(CONTROL!$C$42, 21.9734, 21.9734) * CHOOSE(CONTROL!$C$21, $C$9, 100%, $E$9)</f>
        <v>21.973400000000002</v>
      </c>
      <c r="N438" s="14">
        <f>CHOOSE(CONTROL!$C$42, 21.9895, 21.9895) * CHOOSE(CONTROL!$C$21, $C$9, 100%, $E$9)</f>
        <v>21.9895</v>
      </c>
      <c r="O438" s="14">
        <f>CHOOSE(CONTROL!$C$42, 22.2393, 22.2393) * CHOOSE(CONTROL!$C$21, $C$9, 100%, $E$9)</f>
        <v>22.2393</v>
      </c>
      <c r="P438" s="14">
        <f>CHOOSE(CONTROL!$C$42, 22.0659, 22.0659) * CHOOSE(CONTROL!$C$21, $C$9, 100%, $E$9)</f>
        <v>22.065899999999999</v>
      </c>
      <c r="Q438" s="14">
        <f>CHOOSE(CONTROL!$C$42, 22.834, 22.834) * CHOOSE(CONTROL!$C$21, $C$9, 100%, $E$9)</f>
        <v>22.834</v>
      </c>
      <c r="R438" s="14">
        <f>CHOOSE(CONTROL!$C$42, 23.478, 23.478) * CHOOSE(CONTROL!$C$21, $C$9, 100%, $E$9)</f>
        <v>23.478000000000002</v>
      </c>
      <c r="S438" s="14">
        <f>CHOOSE(CONTROL!$C$42, 21.547, 21.547) * CHOOSE(CONTROL!$C$21, $C$9, 100%, $E$9)</f>
        <v>21.547000000000001</v>
      </c>
      <c r="T4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7">
        <f>(1000*CHOOSE(CONTROL!$C$42, 695, 695)*CHOOSE(CONTROL!$C$42, 0.5599, 0.5599)*CHOOSE(CONTROL!$C$42, 30, 30))/1000000</f>
        <v>11.673914999999997</v>
      </c>
      <c r="V438" s="57">
        <f>(1000*CHOOSE(CONTROL!$C$42, 500, 500)*CHOOSE(CONTROL!$C$42, 0.275, 0.275)*CHOOSE(CONTROL!$C$42, 30, 30))/1000000</f>
        <v>4.125</v>
      </c>
      <c r="W438" s="57">
        <f>(1000*CHOOSE(CONTROL!$C$42, 0.1146, 0.1146)*CHOOSE(CONTROL!$C$42, 121.5, 121.5)*CHOOSE(CONTROL!$C$42, 30, 30))/1000000</f>
        <v>0.417717</v>
      </c>
      <c r="X438" s="57">
        <f>(30*0.1790888*245000/1000000)+(30*0.2374*100000/1000000)</f>
        <v>2.0285026799999999</v>
      </c>
      <c r="Y438" s="57"/>
      <c r="Z438" s="14"/>
      <c r="AA438" s="56"/>
      <c r="AB438" s="50">
        <f>(B438*194.205+C438*267.466+D438*133.845+E438*53.484+F438*40+G438*185+H438*0+I438*100+J438*300)/(194.205+267.466+133.845+53.484+0+40+185+100+300)</f>
        <v>22.479778854317111</v>
      </c>
      <c r="AC438" s="45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22.065020863309353</v>
      </c>
    </row>
    <row r="439" spans="1:29" ht="15.75" x14ac:dyDescent="0.25">
      <c r="A439" s="33">
        <v>54270</v>
      </c>
      <c r="B439" s="14">
        <f>CHOOSE(CONTROL!$C$42, 22.0047, 22.0047) * CHOOSE(CONTROL!$C$21, $C$9, 100%, $E$9)</f>
        <v>22.0047</v>
      </c>
      <c r="C439" s="14">
        <f>CHOOSE(CONTROL!$C$42, 22.0127, 22.0127) * CHOOSE(CONTROL!$C$21, $C$9, 100%, $E$9)</f>
        <v>22.012699999999999</v>
      </c>
      <c r="D439" s="14">
        <f>CHOOSE(CONTROL!$C$42, 22.2463, 22.2463) * CHOOSE(CONTROL!$C$21, $C$9, 100%, $E$9)</f>
        <v>22.246300000000002</v>
      </c>
      <c r="E439" s="14">
        <f>CHOOSE(CONTROL!$C$42, 22.2778, 22.2778) * CHOOSE(CONTROL!$C$21, $C$9, 100%, $E$9)</f>
        <v>22.277799999999999</v>
      </c>
      <c r="F439" s="14">
        <f>CHOOSE(CONTROL!$C$42, 22.0025, 22.0025)*CHOOSE(CONTROL!$C$21, $C$9, 100%, $E$9)</f>
        <v>22.002500000000001</v>
      </c>
      <c r="G439" s="14">
        <f>CHOOSE(CONTROL!$C$42, 22.0191, 22.0191)*CHOOSE(CONTROL!$C$21, $C$9, 100%, $E$9)</f>
        <v>22.019100000000002</v>
      </c>
      <c r="H439" s="14">
        <f>CHOOSE(CONTROL!$C$42, 22.2664, 22.2664) * CHOOSE(CONTROL!$C$21, $C$9, 100%, $E$9)</f>
        <v>22.266400000000001</v>
      </c>
      <c r="I439" s="14">
        <f>CHOOSE(CONTROL!$C$42, 22.0895, 22.0895)* CHOOSE(CONTROL!$C$21, $C$9, 100%, $E$9)</f>
        <v>22.089500000000001</v>
      </c>
      <c r="J439" s="14">
        <f>CHOOSE(CONTROL!$C$42, 21.9955, 21.9955)* CHOOSE(CONTROL!$C$21, $C$9, 100%, $E$9)</f>
        <v>21.9955</v>
      </c>
      <c r="K439" s="53">
        <f>CHOOSE(CONTROL!$C$42, 22.0856, 22.0856) * CHOOSE(CONTROL!$C$21, $C$9, 100%, $E$9)</f>
        <v>22.085599999999999</v>
      </c>
      <c r="L439" s="14">
        <f>CHOOSE(CONTROL!$C$42, 22.8534, 22.8534) * CHOOSE(CONTROL!$C$21, $C$9, 100%, $E$9)</f>
        <v>22.853400000000001</v>
      </c>
      <c r="M439" s="14">
        <f>CHOOSE(CONTROL!$C$42, 21.5525, 21.5525) * CHOOSE(CONTROL!$C$21, $C$9, 100%, $E$9)</f>
        <v>21.552499999999998</v>
      </c>
      <c r="N439" s="14">
        <f>CHOOSE(CONTROL!$C$42, 21.5688, 21.5688) * CHOOSE(CONTROL!$C$21, $C$9, 100%, $E$9)</f>
        <v>21.5688</v>
      </c>
      <c r="O439" s="14">
        <f>CHOOSE(CONTROL!$C$42, 21.8179, 21.8179) * CHOOSE(CONTROL!$C$21, $C$9, 100%, $E$9)</f>
        <v>21.817900000000002</v>
      </c>
      <c r="P439" s="14">
        <f>CHOOSE(CONTROL!$C$42, 21.6433, 21.6433) * CHOOSE(CONTROL!$C$21, $C$9, 100%, $E$9)</f>
        <v>21.6433</v>
      </c>
      <c r="Q439" s="14">
        <f>CHOOSE(CONTROL!$C$42, 22.4126, 22.4126) * CHOOSE(CONTROL!$C$21, $C$9, 100%, $E$9)</f>
        <v>22.412600000000001</v>
      </c>
      <c r="R439" s="14">
        <f>CHOOSE(CONTROL!$C$42, 23.0556, 23.0556) * CHOOSE(CONTROL!$C$21, $C$9, 100%, $E$9)</f>
        <v>23.055599999999998</v>
      </c>
      <c r="S439" s="14">
        <f>CHOOSE(CONTROL!$C$42, 21.1337, 21.1337) * CHOOSE(CONTROL!$C$21, $C$9, 100%, $E$9)</f>
        <v>21.133700000000001</v>
      </c>
      <c r="T4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7">
        <f>(1000*CHOOSE(CONTROL!$C$42, 695, 695)*CHOOSE(CONTROL!$C$42, 0.5599, 0.5599)*CHOOSE(CONTROL!$C$42, 31, 31))/1000000</f>
        <v>12.063045499999998</v>
      </c>
      <c r="V439" s="57">
        <f>(1000*CHOOSE(CONTROL!$C$42, 500, 500)*CHOOSE(CONTROL!$C$42, 0.275, 0.275)*CHOOSE(CONTROL!$C$42, 31, 31))/1000000</f>
        <v>4.2625000000000002</v>
      </c>
      <c r="W439" s="57">
        <f>(1000*CHOOSE(CONTROL!$C$42, 0.1146, 0.1146)*CHOOSE(CONTROL!$C$42, 121.5, 121.5)*CHOOSE(CONTROL!$C$42, 31, 31))/1000000</f>
        <v>0.43164089999999994</v>
      </c>
      <c r="X439" s="57">
        <f>(31*0.1790888*245000/1000000)+(31*0.2374*100000/1000000)</f>
        <v>2.0961194359999999</v>
      </c>
      <c r="Y439" s="57"/>
      <c r="Z439" s="14"/>
      <c r="AA439" s="56"/>
      <c r="AB439" s="50">
        <f>(B439*194.205+C439*267.466+D439*133.845+E439*53.484+F439*40+G439*185+H439*0+I439*100+J439*300)/(194.205+267.466+133.845+53.484+0+40+185+100+300)</f>
        <v>22.049738587441134</v>
      </c>
      <c r="AC439" s="45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21.643782014388488</v>
      </c>
    </row>
    <row r="440" spans="1:29" ht="15.75" x14ac:dyDescent="0.25">
      <c r="A440" s="33">
        <v>54301</v>
      </c>
      <c r="B440" s="14">
        <f>CHOOSE(CONTROL!$C$42, 20.9184, 20.9184) * CHOOSE(CONTROL!$C$21, $C$9, 100%, $E$9)</f>
        <v>20.918399999999998</v>
      </c>
      <c r="C440" s="14">
        <f>CHOOSE(CONTROL!$C$42, 20.9264, 20.9264) * CHOOSE(CONTROL!$C$21, $C$9, 100%, $E$9)</f>
        <v>20.926400000000001</v>
      </c>
      <c r="D440" s="14">
        <f>CHOOSE(CONTROL!$C$42, 21.16, 21.16) * CHOOSE(CONTROL!$C$21, $C$9, 100%, $E$9)</f>
        <v>21.16</v>
      </c>
      <c r="E440" s="14">
        <f>CHOOSE(CONTROL!$C$42, 21.1915, 21.1915) * CHOOSE(CONTROL!$C$21, $C$9, 100%, $E$9)</f>
        <v>21.191500000000001</v>
      </c>
      <c r="F440" s="14">
        <f>CHOOSE(CONTROL!$C$42, 20.9164, 20.9164)*CHOOSE(CONTROL!$C$21, $C$9, 100%, $E$9)</f>
        <v>20.916399999999999</v>
      </c>
      <c r="G440" s="14">
        <f>CHOOSE(CONTROL!$C$42, 20.933, 20.933)*CHOOSE(CONTROL!$C$21, $C$9, 100%, $E$9)</f>
        <v>20.933</v>
      </c>
      <c r="H440" s="14">
        <f>CHOOSE(CONTROL!$C$42, 21.1801, 21.1801) * CHOOSE(CONTROL!$C$21, $C$9, 100%, $E$9)</f>
        <v>21.180099999999999</v>
      </c>
      <c r="I440" s="14">
        <f>CHOOSE(CONTROL!$C$42, 20.9998, 20.9998)* CHOOSE(CONTROL!$C$21, $C$9, 100%, $E$9)</f>
        <v>20.9998</v>
      </c>
      <c r="J440" s="14">
        <f>CHOOSE(CONTROL!$C$42, 20.9094, 20.9094)* CHOOSE(CONTROL!$C$21, $C$9, 100%, $E$9)</f>
        <v>20.909400000000002</v>
      </c>
      <c r="K440" s="53">
        <f>CHOOSE(CONTROL!$C$42, 20.9959, 20.9959) * CHOOSE(CONTROL!$C$21, $C$9, 100%, $E$9)</f>
        <v>20.995899999999999</v>
      </c>
      <c r="L440" s="14">
        <f>CHOOSE(CONTROL!$C$42, 21.7671, 21.7671) * CHOOSE(CONTROL!$C$21, $C$9, 100%, $E$9)</f>
        <v>21.767099999999999</v>
      </c>
      <c r="M440" s="14">
        <f>CHOOSE(CONTROL!$C$42, 20.4886, 20.4886) * CHOOSE(CONTROL!$C$21, $C$9, 100%, $E$9)</f>
        <v>20.488600000000002</v>
      </c>
      <c r="N440" s="14">
        <f>CHOOSE(CONTROL!$C$42, 20.505, 20.505) * CHOOSE(CONTROL!$C$21, $C$9, 100%, $E$9)</f>
        <v>20.504999999999999</v>
      </c>
      <c r="O440" s="14">
        <f>CHOOSE(CONTROL!$C$42, 20.7538, 20.7538) * CHOOSE(CONTROL!$C$21, $C$9, 100%, $E$9)</f>
        <v>20.753799999999998</v>
      </c>
      <c r="P440" s="14">
        <f>CHOOSE(CONTROL!$C$42, 20.576, 20.576) * CHOOSE(CONTROL!$C$21, $C$9, 100%, $E$9)</f>
        <v>20.576000000000001</v>
      </c>
      <c r="Q440" s="14">
        <f>CHOOSE(CONTROL!$C$42, 21.3485, 21.3485) * CHOOSE(CONTROL!$C$21, $C$9, 100%, $E$9)</f>
        <v>21.348500000000001</v>
      </c>
      <c r="R440" s="14">
        <f>CHOOSE(CONTROL!$C$42, 21.9889, 21.9889) * CHOOSE(CONTROL!$C$21, $C$9, 100%, $E$9)</f>
        <v>21.988900000000001</v>
      </c>
      <c r="S440" s="14">
        <f>CHOOSE(CONTROL!$C$42, 20.0899, 20.0899) * CHOOSE(CONTROL!$C$21, $C$9, 100%, $E$9)</f>
        <v>20.0899</v>
      </c>
      <c r="T4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7">
        <f>(1000*CHOOSE(CONTROL!$C$42, 695, 695)*CHOOSE(CONTROL!$C$42, 0.5599, 0.5599)*CHOOSE(CONTROL!$C$42, 31, 31))/1000000</f>
        <v>12.063045499999998</v>
      </c>
      <c r="V440" s="57">
        <f>(1000*CHOOSE(CONTROL!$C$42, 500, 500)*CHOOSE(CONTROL!$C$42, 0.275, 0.275)*CHOOSE(CONTROL!$C$42, 31, 31))/1000000</f>
        <v>4.2625000000000002</v>
      </c>
      <c r="W440" s="57">
        <f>(1000*CHOOSE(CONTROL!$C$42, 0.1146, 0.1146)*CHOOSE(CONTROL!$C$42, 121.5, 121.5)*CHOOSE(CONTROL!$C$42, 31, 31))/1000000</f>
        <v>0.43164089999999994</v>
      </c>
      <c r="X440" s="57">
        <f>(31*0.1790888*245000/1000000)+(31*0.2374*100000/1000000)</f>
        <v>2.0961194359999999</v>
      </c>
      <c r="Y440" s="57"/>
      <c r="Z440" s="14"/>
      <c r="AA440" s="56"/>
      <c r="AB440" s="50">
        <f>(B440*194.205+C440*267.466+D440*133.845+E440*53.484+F440*40+G440*185+H440*0+I440*100+J440*300)/(194.205+267.466+133.845+53.484+0+40+185+100+300)</f>
        <v>20.963254129042387</v>
      </c>
      <c r="AC440" s="45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20.579359712230218</v>
      </c>
    </row>
    <row r="441" spans="1:29" ht="15.75" x14ac:dyDescent="0.25">
      <c r="A441" s="33">
        <v>54331</v>
      </c>
      <c r="B441" s="14">
        <f>CHOOSE(CONTROL!$C$42, 19.5907, 19.5907) * CHOOSE(CONTROL!$C$21, $C$9, 100%, $E$9)</f>
        <v>19.590699999999998</v>
      </c>
      <c r="C441" s="14">
        <f>CHOOSE(CONTROL!$C$42, 19.5987, 19.5987) * CHOOSE(CONTROL!$C$21, $C$9, 100%, $E$9)</f>
        <v>19.598700000000001</v>
      </c>
      <c r="D441" s="14">
        <f>CHOOSE(CONTROL!$C$42, 19.8323, 19.8323) * CHOOSE(CONTROL!$C$21, $C$9, 100%, $E$9)</f>
        <v>19.8323</v>
      </c>
      <c r="E441" s="14">
        <f>CHOOSE(CONTROL!$C$42, 19.8637, 19.8637) * CHOOSE(CONTROL!$C$21, $C$9, 100%, $E$9)</f>
        <v>19.863700000000001</v>
      </c>
      <c r="F441" s="14">
        <f>CHOOSE(CONTROL!$C$42, 19.5887, 19.5887)*CHOOSE(CONTROL!$C$21, $C$9, 100%, $E$9)</f>
        <v>19.588699999999999</v>
      </c>
      <c r="G441" s="14">
        <f>CHOOSE(CONTROL!$C$42, 19.6053, 19.6053)*CHOOSE(CONTROL!$C$21, $C$9, 100%, $E$9)</f>
        <v>19.6053</v>
      </c>
      <c r="H441" s="14">
        <f>CHOOSE(CONTROL!$C$42, 19.8524, 19.8524) * CHOOSE(CONTROL!$C$21, $C$9, 100%, $E$9)</f>
        <v>19.852399999999999</v>
      </c>
      <c r="I441" s="14">
        <f>CHOOSE(CONTROL!$C$42, 19.6679, 19.6679)* CHOOSE(CONTROL!$C$21, $C$9, 100%, $E$9)</f>
        <v>19.667899999999999</v>
      </c>
      <c r="J441" s="14">
        <f>CHOOSE(CONTROL!$C$42, 19.5817, 19.5817)* CHOOSE(CONTROL!$C$21, $C$9, 100%, $E$9)</f>
        <v>19.581700000000001</v>
      </c>
      <c r="K441" s="53">
        <f>CHOOSE(CONTROL!$C$42, 19.664, 19.664) * CHOOSE(CONTROL!$C$21, $C$9, 100%, $E$9)</f>
        <v>19.664000000000001</v>
      </c>
      <c r="L441" s="14">
        <f>CHOOSE(CONTROL!$C$42, 20.4394, 20.4394) * CHOOSE(CONTROL!$C$21, $C$9, 100%, $E$9)</f>
        <v>20.439399999999999</v>
      </c>
      <c r="M441" s="14">
        <f>CHOOSE(CONTROL!$C$42, 19.1881, 19.1881) * CHOOSE(CONTROL!$C$21, $C$9, 100%, $E$9)</f>
        <v>19.188099999999999</v>
      </c>
      <c r="N441" s="14">
        <f>CHOOSE(CONTROL!$C$42, 19.2045, 19.2045) * CHOOSE(CONTROL!$C$21, $C$9, 100%, $E$9)</f>
        <v>19.204499999999999</v>
      </c>
      <c r="O441" s="14">
        <f>CHOOSE(CONTROL!$C$42, 19.4533, 19.4533) * CHOOSE(CONTROL!$C$21, $C$9, 100%, $E$9)</f>
        <v>19.453299999999999</v>
      </c>
      <c r="P441" s="14">
        <f>CHOOSE(CONTROL!$C$42, 19.2714, 19.2714) * CHOOSE(CONTROL!$C$21, $C$9, 100%, $E$9)</f>
        <v>19.2714</v>
      </c>
      <c r="Q441" s="14">
        <f>CHOOSE(CONTROL!$C$42, 20.048, 20.048) * CHOOSE(CONTROL!$C$21, $C$9, 100%, $E$9)</f>
        <v>20.047999999999998</v>
      </c>
      <c r="R441" s="14">
        <f>CHOOSE(CONTROL!$C$42, 20.6851, 20.6851) * CHOOSE(CONTROL!$C$21, $C$9, 100%, $E$9)</f>
        <v>20.685099999999998</v>
      </c>
      <c r="S441" s="14">
        <f>CHOOSE(CONTROL!$C$42, 18.814, 18.814) * CHOOSE(CONTROL!$C$21, $C$9, 100%, $E$9)</f>
        <v>18.814</v>
      </c>
      <c r="T4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7">
        <f>(1000*CHOOSE(CONTROL!$C$42, 695, 695)*CHOOSE(CONTROL!$C$42, 0.5599, 0.5599)*CHOOSE(CONTROL!$C$42, 30, 30))/1000000</f>
        <v>11.673914999999997</v>
      </c>
      <c r="V441" s="57">
        <f>(1000*CHOOSE(CONTROL!$C$42, 500, 500)*CHOOSE(CONTROL!$C$42, 0.275, 0.275)*CHOOSE(CONTROL!$C$42, 30, 30))/1000000</f>
        <v>4.125</v>
      </c>
      <c r="W441" s="57">
        <f>(1000*CHOOSE(CONTROL!$C$42, 0.1146, 0.1146)*CHOOSE(CONTROL!$C$42, 121.5, 121.5)*CHOOSE(CONTROL!$C$42, 30, 30))/1000000</f>
        <v>0.417717</v>
      </c>
      <c r="X441" s="57">
        <f>(30*0.1790888*245000/1000000)+(30*0.2374*100000/1000000)</f>
        <v>2.0285026799999999</v>
      </c>
      <c r="Y441" s="57"/>
      <c r="Z441" s="14"/>
      <c r="AA441" s="56"/>
      <c r="AB441" s="50">
        <f>(B441*194.205+C441*267.466+D441*133.845+E441*53.484+F441*40+G441*185+H441*0+I441*100+J441*300)/(194.205+267.466+133.845+53.484+0+40+185+100+300)</f>
        <v>19.635220260596547</v>
      </c>
      <c r="AC441" s="45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19.278269784172661</v>
      </c>
    </row>
    <row r="442" spans="1:29" ht="15.75" x14ac:dyDescent="0.25">
      <c r="A442" s="33">
        <v>54362</v>
      </c>
      <c r="B442" s="14">
        <f>CHOOSE(CONTROL!$C$42, 19.1914, 19.1914) * CHOOSE(CONTROL!$C$21, $C$9, 100%, $E$9)</f>
        <v>19.191400000000002</v>
      </c>
      <c r="C442" s="14">
        <f>CHOOSE(CONTROL!$C$42, 19.1967, 19.1967) * CHOOSE(CONTROL!$C$21, $C$9, 100%, $E$9)</f>
        <v>19.1967</v>
      </c>
      <c r="D442" s="14">
        <f>CHOOSE(CONTROL!$C$42, 19.4353, 19.4353) * CHOOSE(CONTROL!$C$21, $C$9, 100%, $E$9)</f>
        <v>19.435300000000002</v>
      </c>
      <c r="E442" s="14">
        <f>CHOOSE(CONTROL!$C$42, 19.4644, 19.4644) * CHOOSE(CONTROL!$C$21, $C$9, 100%, $E$9)</f>
        <v>19.464400000000001</v>
      </c>
      <c r="F442" s="14">
        <f>CHOOSE(CONTROL!$C$42, 19.1914, 19.1914)*CHOOSE(CONTROL!$C$21, $C$9, 100%, $E$9)</f>
        <v>19.191400000000002</v>
      </c>
      <c r="G442" s="14">
        <f>CHOOSE(CONTROL!$C$42, 19.2077, 19.2077)*CHOOSE(CONTROL!$C$21, $C$9, 100%, $E$9)</f>
        <v>19.207699999999999</v>
      </c>
      <c r="H442" s="14">
        <f>CHOOSE(CONTROL!$C$42, 19.4548, 19.4548) * CHOOSE(CONTROL!$C$21, $C$9, 100%, $E$9)</f>
        <v>19.454799999999999</v>
      </c>
      <c r="I442" s="14">
        <f>CHOOSE(CONTROL!$C$42, 19.2691, 19.2691)* CHOOSE(CONTROL!$C$21, $C$9, 100%, $E$9)</f>
        <v>19.269100000000002</v>
      </c>
      <c r="J442" s="14">
        <f>CHOOSE(CONTROL!$C$42, 19.1844, 19.1844)* CHOOSE(CONTROL!$C$21, $C$9, 100%, $E$9)</f>
        <v>19.1844</v>
      </c>
      <c r="K442" s="53">
        <f>CHOOSE(CONTROL!$C$42, 19.2652, 19.2652) * CHOOSE(CONTROL!$C$21, $C$9, 100%, $E$9)</f>
        <v>19.2652</v>
      </c>
      <c r="L442" s="14">
        <f>CHOOSE(CONTROL!$C$42, 20.0418, 20.0418) * CHOOSE(CONTROL!$C$21, $C$9, 100%, $E$9)</f>
        <v>20.041799999999999</v>
      </c>
      <c r="M442" s="14">
        <f>CHOOSE(CONTROL!$C$42, 18.799, 18.799) * CHOOSE(CONTROL!$C$21, $C$9, 100%, $E$9)</f>
        <v>18.798999999999999</v>
      </c>
      <c r="N442" s="14">
        <f>CHOOSE(CONTROL!$C$42, 18.815, 18.815) * CHOOSE(CONTROL!$C$21, $C$9, 100%, $E$9)</f>
        <v>18.815000000000001</v>
      </c>
      <c r="O442" s="14">
        <f>CHOOSE(CONTROL!$C$42, 19.0639, 19.0639) * CHOOSE(CONTROL!$C$21, $C$9, 100%, $E$9)</f>
        <v>19.0639</v>
      </c>
      <c r="P442" s="14">
        <f>CHOOSE(CONTROL!$C$42, 18.8809, 18.8809) * CHOOSE(CONTROL!$C$21, $C$9, 100%, $E$9)</f>
        <v>18.8809</v>
      </c>
      <c r="Q442" s="14">
        <f>CHOOSE(CONTROL!$C$42, 19.6586, 19.6586) * CHOOSE(CONTROL!$C$21, $C$9, 100%, $E$9)</f>
        <v>19.6586</v>
      </c>
      <c r="R442" s="14">
        <f>CHOOSE(CONTROL!$C$42, 20.2948, 20.2948) * CHOOSE(CONTROL!$C$21, $C$9, 100%, $E$9)</f>
        <v>20.294799999999999</v>
      </c>
      <c r="S442" s="14">
        <f>CHOOSE(CONTROL!$C$42, 18.432, 18.432) * CHOOSE(CONTROL!$C$21, $C$9, 100%, $E$9)</f>
        <v>18.431999999999999</v>
      </c>
      <c r="T4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7">
        <f>(1000*CHOOSE(CONTROL!$C$42, 695, 695)*CHOOSE(CONTROL!$C$42, 0.5599, 0.5599)*CHOOSE(CONTROL!$C$42, 31, 31))/1000000</f>
        <v>12.063045499999998</v>
      </c>
      <c r="V442" s="57">
        <f>(1000*CHOOSE(CONTROL!$C$42, 500, 500)*CHOOSE(CONTROL!$C$42, 0.275, 0.275)*CHOOSE(CONTROL!$C$42, 31, 31))/1000000</f>
        <v>4.2625000000000002</v>
      </c>
      <c r="W442" s="57">
        <f>(1000*CHOOSE(CONTROL!$C$42, 0.1146, 0.1146)*CHOOSE(CONTROL!$C$42, 121.5, 121.5)*CHOOSE(CONTROL!$C$42, 31, 31))/1000000</f>
        <v>0.43164089999999994</v>
      </c>
      <c r="X442" s="57">
        <f>(31*0.1790888*245000/1000000)+(31*0.2374*100000/1000000)</f>
        <v>2.0961194359999999</v>
      </c>
      <c r="Y442" s="57"/>
      <c r="Z442" s="14"/>
      <c r="AA442" s="56"/>
      <c r="AB442" s="50">
        <f>(B442*131.881+C442*277.167+D442*79.08+E442*125.872+F442*40+G442*185+H442*0+I442*100+J442*300)/(131.881+277.167+79.08+125.872+0+40+185+100+300)</f>
        <v>19.242897298708638</v>
      </c>
      <c r="AC442" s="45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18.888792086330938</v>
      </c>
    </row>
    <row r="443" spans="1:29" ht="15.75" x14ac:dyDescent="0.25">
      <c r="A443" s="33">
        <v>54392</v>
      </c>
      <c r="B443" s="14">
        <f>CHOOSE(CONTROL!$C$42, 19.6963, 19.6963) * CHOOSE(CONTROL!$C$21, $C$9, 100%, $E$9)</f>
        <v>19.696300000000001</v>
      </c>
      <c r="C443" s="14">
        <f>CHOOSE(CONTROL!$C$42, 19.7013, 19.7013) * CHOOSE(CONTROL!$C$21, $C$9, 100%, $E$9)</f>
        <v>19.7013</v>
      </c>
      <c r="D443" s="14">
        <f>CHOOSE(CONTROL!$C$42, 19.7756, 19.7756) * CHOOSE(CONTROL!$C$21, $C$9, 100%, $E$9)</f>
        <v>19.775600000000001</v>
      </c>
      <c r="E443" s="14">
        <f>CHOOSE(CONTROL!$C$42, 19.8097, 19.8097) * CHOOSE(CONTROL!$C$21, $C$9, 100%, $E$9)</f>
        <v>19.809699999999999</v>
      </c>
      <c r="F443" s="14">
        <f>CHOOSE(CONTROL!$C$42, 19.7083, 19.7083)*CHOOSE(CONTROL!$C$21, $C$9, 100%, $E$9)</f>
        <v>19.708300000000001</v>
      </c>
      <c r="G443" s="14">
        <f>CHOOSE(CONTROL!$C$42, 19.7249, 19.7249)*CHOOSE(CONTROL!$C$21, $C$9, 100%, $E$9)</f>
        <v>19.724900000000002</v>
      </c>
      <c r="H443" s="14">
        <f>CHOOSE(CONTROL!$C$42, 19.7989, 19.7989) * CHOOSE(CONTROL!$C$21, $C$9, 100%, $E$9)</f>
        <v>19.7989</v>
      </c>
      <c r="I443" s="14">
        <f>CHOOSE(CONTROL!$C$42, 19.7823, 19.7823)* CHOOSE(CONTROL!$C$21, $C$9, 100%, $E$9)</f>
        <v>19.782299999999999</v>
      </c>
      <c r="J443" s="14">
        <f>CHOOSE(CONTROL!$C$42, 19.7013, 19.7013)* CHOOSE(CONTROL!$C$21, $C$9, 100%, $E$9)</f>
        <v>19.7013</v>
      </c>
      <c r="K443" s="53">
        <f>CHOOSE(CONTROL!$C$42, 19.7784, 19.7784) * CHOOSE(CONTROL!$C$21, $C$9, 100%, $E$9)</f>
        <v>19.778400000000001</v>
      </c>
      <c r="L443" s="14">
        <f>CHOOSE(CONTROL!$C$42, 20.3859, 20.3859) * CHOOSE(CONTROL!$C$21, $C$9, 100%, $E$9)</f>
        <v>20.385899999999999</v>
      </c>
      <c r="M443" s="14">
        <f>CHOOSE(CONTROL!$C$42, 19.3054, 19.3054) * CHOOSE(CONTROL!$C$21, $C$9, 100%, $E$9)</f>
        <v>19.305399999999999</v>
      </c>
      <c r="N443" s="14">
        <f>CHOOSE(CONTROL!$C$42, 19.3216, 19.3216) * CHOOSE(CONTROL!$C$21, $C$9, 100%, $E$9)</f>
        <v>19.3216</v>
      </c>
      <c r="O443" s="14">
        <f>CHOOSE(CONTROL!$C$42, 19.4009, 19.4009) * CHOOSE(CONTROL!$C$21, $C$9, 100%, $E$9)</f>
        <v>19.4009</v>
      </c>
      <c r="P443" s="14">
        <f>CHOOSE(CONTROL!$C$42, 19.3835, 19.3835) * CHOOSE(CONTROL!$C$21, $C$9, 100%, $E$9)</f>
        <v>19.383500000000002</v>
      </c>
      <c r="Q443" s="14">
        <f>CHOOSE(CONTROL!$C$42, 19.9956, 19.9956) * CHOOSE(CONTROL!$C$21, $C$9, 100%, $E$9)</f>
        <v>19.9956</v>
      </c>
      <c r="R443" s="14">
        <f>CHOOSE(CONTROL!$C$42, 20.6326, 20.6326) * CHOOSE(CONTROL!$C$21, $C$9, 100%, $E$9)</f>
        <v>20.6326</v>
      </c>
      <c r="S443" s="14">
        <f>CHOOSE(CONTROL!$C$42, 18.9176, 18.9176) * CHOOSE(CONTROL!$C$21, $C$9, 100%, $E$9)</f>
        <v>18.9176</v>
      </c>
      <c r="T4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7">
        <f>(1000*CHOOSE(CONTROL!$C$42, 695, 695)*CHOOSE(CONTROL!$C$42, 0.5599, 0.5599)*CHOOSE(CONTROL!$C$42, 30, 30))/1000000</f>
        <v>11.673914999999997</v>
      </c>
      <c r="V443" s="57">
        <f>(1000*CHOOSE(CONTROL!$C$42, 500, 500)*CHOOSE(CONTROL!$C$42, 0.275, 0.275)*CHOOSE(CONTROL!$C$42, 30, 30))/1000000</f>
        <v>4.125</v>
      </c>
      <c r="W443" s="57">
        <f>(1000*CHOOSE(CONTROL!$C$42, 0.1146, 0.1146)*CHOOSE(CONTROL!$C$42, 121.5, 121.5)*CHOOSE(CONTROL!$C$42, 30, 30))/1000000</f>
        <v>0.417717</v>
      </c>
      <c r="X443" s="57">
        <f>(30*0.1790888*100000/1000000)+(30*0.2374*100000/1000000)</f>
        <v>1.2494664</v>
      </c>
      <c r="Y443" s="57"/>
      <c r="Z443" s="14"/>
      <c r="AA443" s="56"/>
      <c r="AB443" s="50">
        <f>(B443*122.58+C443*297.941+D443*89.177+E443*40.302+F443*40+G443*160+H443*0+I443*100+J443*300)/(122.58+297.941+89.177+40.302+0+40+160+100+300)</f>
        <v>19.72089798947826</v>
      </c>
      <c r="AC443" s="45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19.360853956834536</v>
      </c>
    </row>
    <row r="444" spans="1:29" ht="15.75" x14ac:dyDescent="0.25">
      <c r="A444" s="33">
        <v>54423</v>
      </c>
      <c r="B444" s="14">
        <f>CHOOSE(CONTROL!$C$42, 21.0385, 21.0385) * CHOOSE(CONTROL!$C$21, $C$9, 100%, $E$9)</f>
        <v>21.038499999999999</v>
      </c>
      <c r="C444" s="14">
        <f>CHOOSE(CONTROL!$C$42, 21.0436, 21.0436) * CHOOSE(CONTROL!$C$21, $C$9, 100%, $E$9)</f>
        <v>21.043600000000001</v>
      </c>
      <c r="D444" s="14">
        <f>CHOOSE(CONTROL!$C$42, 21.1178, 21.1178) * CHOOSE(CONTROL!$C$21, $C$9, 100%, $E$9)</f>
        <v>21.117799999999999</v>
      </c>
      <c r="E444" s="14">
        <f>CHOOSE(CONTROL!$C$42, 21.1519, 21.1519) * CHOOSE(CONTROL!$C$21, $C$9, 100%, $E$9)</f>
        <v>21.151900000000001</v>
      </c>
      <c r="F444" s="14">
        <f>CHOOSE(CONTROL!$C$42, 21.0527, 21.0527)*CHOOSE(CONTROL!$C$21, $C$9, 100%, $E$9)</f>
        <v>21.052700000000002</v>
      </c>
      <c r="G444" s="14">
        <f>CHOOSE(CONTROL!$C$42, 21.0699, 21.0699)*CHOOSE(CONTROL!$C$21, $C$9, 100%, $E$9)</f>
        <v>21.069900000000001</v>
      </c>
      <c r="H444" s="14">
        <f>CHOOSE(CONTROL!$C$42, 21.1411, 21.1411) * CHOOSE(CONTROL!$C$21, $C$9, 100%, $E$9)</f>
        <v>21.141100000000002</v>
      </c>
      <c r="I444" s="14">
        <f>CHOOSE(CONTROL!$C$42, 21.1287, 21.1287)* CHOOSE(CONTROL!$C$21, $C$9, 100%, $E$9)</f>
        <v>21.128699999999998</v>
      </c>
      <c r="J444" s="14">
        <f>CHOOSE(CONTROL!$C$42, 21.0457, 21.0457)* CHOOSE(CONTROL!$C$21, $C$9, 100%, $E$9)</f>
        <v>21.0457</v>
      </c>
      <c r="K444" s="53">
        <f>CHOOSE(CONTROL!$C$42, 21.1248, 21.1248) * CHOOSE(CONTROL!$C$21, $C$9, 100%, $E$9)</f>
        <v>21.1248</v>
      </c>
      <c r="L444" s="14">
        <f>CHOOSE(CONTROL!$C$42, 21.7281, 21.7281) * CHOOSE(CONTROL!$C$21, $C$9, 100%, $E$9)</f>
        <v>21.728100000000001</v>
      </c>
      <c r="M444" s="14">
        <f>CHOOSE(CONTROL!$C$42, 20.6222, 20.6222) * CHOOSE(CONTROL!$C$21, $C$9, 100%, $E$9)</f>
        <v>20.622199999999999</v>
      </c>
      <c r="N444" s="14">
        <f>CHOOSE(CONTROL!$C$42, 20.639, 20.639) * CHOOSE(CONTROL!$C$21, $C$9, 100%, $E$9)</f>
        <v>20.638999999999999</v>
      </c>
      <c r="O444" s="14">
        <f>CHOOSE(CONTROL!$C$42, 20.7156, 20.7156) * CHOOSE(CONTROL!$C$21, $C$9, 100%, $E$9)</f>
        <v>20.715599999999998</v>
      </c>
      <c r="P444" s="14">
        <f>CHOOSE(CONTROL!$C$42, 20.7022, 20.7022) * CHOOSE(CONTROL!$C$21, $C$9, 100%, $E$9)</f>
        <v>20.702200000000001</v>
      </c>
      <c r="Q444" s="14">
        <f>CHOOSE(CONTROL!$C$42, 21.3103, 21.3103) * CHOOSE(CONTROL!$C$21, $C$9, 100%, $E$9)</f>
        <v>21.310300000000002</v>
      </c>
      <c r="R444" s="14">
        <f>CHOOSE(CONTROL!$C$42, 21.9506, 21.9506) * CHOOSE(CONTROL!$C$21, $C$9, 100%, $E$9)</f>
        <v>21.950600000000001</v>
      </c>
      <c r="S444" s="14">
        <f>CHOOSE(CONTROL!$C$42, 20.2073, 20.2073) * CHOOSE(CONTROL!$C$21, $C$9, 100%, $E$9)</f>
        <v>20.2073</v>
      </c>
      <c r="T4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7">
        <f>(1000*CHOOSE(CONTROL!$C$42, 695, 695)*CHOOSE(CONTROL!$C$42, 0.5599, 0.5599)*CHOOSE(CONTROL!$C$42, 31, 31))/1000000</f>
        <v>12.063045499999998</v>
      </c>
      <c r="V444" s="57">
        <f>(1000*CHOOSE(CONTROL!$C$42, 500, 500)*CHOOSE(CONTROL!$C$42, 0.275, 0.275)*CHOOSE(CONTROL!$C$42, 31, 31))/1000000</f>
        <v>4.2625000000000002</v>
      </c>
      <c r="W444" s="57">
        <f>(1000*CHOOSE(CONTROL!$C$42, 0.1146, 0.1146)*CHOOSE(CONTROL!$C$42, 121.5, 121.5)*CHOOSE(CONTROL!$C$42, 31, 31))/1000000</f>
        <v>0.43164089999999994</v>
      </c>
      <c r="X444" s="57">
        <f>(31*0.1790888*100000/1000000)+(31*0.2374*100000/1000000)</f>
        <v>1.2911152800000001</v>
      </c>
      <c r="Y444" s="57"/>
      <c r="Z444" s="14"/>
      <c r="AA444" s="56"/>
      <c r="AB444" s="50">
        <f>(B444*122.58+C444*297.941+D444*89.177+E444*40.302+F444*40+G444*160+H444*0+I444*100+J444*300)/(122.58+297.941+89.177+40.302+0+40+160+100+300)</f>
        <v>21.064529114782609</v>
      </c>
      <c r="AC444" s="45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20.677010071942448</v>
      </c>
    </row>
    <row r="445" spans="1:29" ht="15.75" x14ac:dyDescent="0.25">
      <c r="A445" s="33">
        <v>54454</v>
      </c>
      <c r="B445" s="14">
        <f>CHOOSE(CONTROL!$C$42, 22.7818, 22.7818) * CHOOSE(CONTROL!$C$21, $C$9, 100%, $E$9)</f>
        <v>22.7818</v>
      </c>
      <c r="C445" s="14">
        <f>CHOOSE(CONTROL!$C$42, 22.7869, 22.7869) * CHOOSE(CONTROL!$C$21, $C$9, 100%, $E$9)</f>
        <v>22.786899999999999</v>
      </c>
      <c r="D445" s="14">
        <f>CHOOSE(CONTROL!$C$42, 22.8637, 22.8637) * CHOOSE(CONTROL!$C$21, $C$9, 100%, $E$9)</f>
        <v>22.863700000000001</v>
      </c>
      <c r="E445" s="14">
        <f>CHOOSE(CONTROL!$C$42, 22.8978, 22.8978) * CHOOSE(CONTROL!$C$21, $C$9, 100%, $E$9)</f>
        <v>22.8978</v>
      </c>
      <c r="F445" s="14">
        <f>CHOOSE(CONTROL!$C$42, 22.782, 22.782)*CHOOSE(CONTROL!$C$21, $C$9, 100%, $E$9)</f>
        <v>22.782</v>
      </c>
      <c r="G445" s="14">
        <f>CHOOSE(CONTROL!$C$42, 22.7982, 22.7982)*CHOOSE(CONTROL!$C$21, $C$9, 100%, $E$9)</f>
        <v>22.798200000000001</v>
      </c>
      <c r="H445" s="14">
        <f>CHOOSE(CONTROL!$C$42, 22.887, 22.887) * CHOOSE(CONTROL!$C$21, $C$9, 100%, $E$9)</f>
        <v>22.887</v>
      </c>
      <c r="I445" s="14">
        <f>CHOOSE(CONTROL!$C$42, 22.8712, 22.8712)* CHOOSE(CONTROL!$C$21, $C$9, 100%, $E$9)</f>
        <v>22.871200000000002</v>
      </c>
      <c r="J445" s="14">
        <f>CHOOSE(CONTROL!$C$42, 22.775, 22.775)* CHOOSE(CONTROL!$C$21, $C$9, 100%, $E$9)</f>
        <v>22.774999999999999</v>
      </c>
      <c r="K445" s="53">
        <f>CHOOSE(CONTROL!$C$42, 22.8673, 22.8673) * CHOOSE(CONTROL!$C$21, $C$9, 100%, $E$9)</f>
        <v>22.8673</v>
      </c>
      <c r="L445" s="14">
        <f>CHOOSE(CONTROL!$C$42, 23.474, 23.474) * CHOOSE(CONTROL!$C$21, $C$9, 100%, $E$9)</f>
        <v>23.474</v>
      </c>
      <c r="M445" s="14">
        <f>CHOOSE(CONTROL!$C$42, 22.316, 22.316) * CHOOSE(CONTROL!$C$21, $C$9, 100%, $E$9)</f>
        <v>22.315999999999999</v>
      </c>
      <c r="N445" s="14">
        <f>CHOOSE(CONTROL!$C$42, 22.3319, 22.3319) * CHOOSE(CONTROL!$C$21, $C$9, 100%, $E$9)</f>
        <v>22.331900000000001</v>
      </c>
      <c r="O445" s="14">
        <f>CHOOSE(CONTROL!$C$42, 22.4257, 22.4257) * CHOOSE(CONTROL!$C$21, $C$9, 100%, $E$9)</f>
        <v>22.425699999999999</v>
      </c>
      <c r="P445" s="14">
        <f>CHOOSE(CONTROL!$C$42, 22.4089, 22.4089) * CHOOSE(CONTROL!$C$21, $C$9, 100%, $E$9)</f>
        <v>22.408899999999999</v>
      </c>
      <c r="Q445" s="14">
        <f>CHOOSE(CONTROL!$C$42, 23.0204, 23.0204) * CHOOSE(CONTROL!$C$21, $C$9, 100%, $E$9)</f>
        <v>23.020399999999999</v>
      </c>
      <c r="R445" s="14">
        <f>CHOOSE(CONTROL!$C$42, 23.665, 23.665) * CHOOSE(CONTROL!$C$21, $C$9, 100%, $E$9)</f>
        <v>23.664999999999999</v>
      </c>
      <c r="S445" s="14">
        <f>CHOOSE(CONTROL!$C$42, 21.8825, 21.8825) * CHOOSE(CONTROL!$C$21, $C$9, 100%, $E$9)</f>
        <v>21.8825</v>
      </c>
      <c r="T4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7">
        <f>(1000*CHOOSE(CONTROL!$C$42, 695, 695)*CHOOSE(CONTROL!$C$42, 0.5599, 0.5599)*CHOOSE(CONTROL!$C$42, 31, 31))/1000000</f>
        <v>12.063045499999998</v>
      </c>
      <c r="V445" s="57">
        <f>(1000*CHOOSE(CONTROL!$C$42, 500, 500)*CHOOSE(CONTROL!$C$42, 0.275, 0.275)*CHOOSE(CONTROL!$C$42, 31, 31))/1000000</f>
        <v>4.2625000000000002</v>
      </c>
      <c r="W445" s="57">
        <f>(1000*CHOOSE(CONTROL!$C$42, 0.1146, 0.1146)*CHOOSE(CONTROL!$C$42, 121.5, 121.5)*CHOOSE(CONTROL!$C$42, 31, 31))/1000000</f>
        <v>0.43164089999999994</v>
      </c>
      <c r="X445" s="57">
        <f>(31*0.1790888*100000/1000000)+(31*0.2374*100000/1000000)</f>
        <v>1.2911152800000001</v>
      </c>
      <c r="Y445" s="57"/>
      <c r="Z445" s="14"/>
      <c r="AA445" s="56"/>
      <c r="AB445" s="50">
        <f>(B445*122.58+C445*297.941+D445*89.177+E445*40.302+F445*40+G445*160+H445*0+I445*100+J445*300)/(122.58+297.941+89.177+40.302+0+40+160+100+300)</f>
        <v>22.801826197739128</v>
      </c>
      <c r="AC445" s="45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22.380002158273381</v>
      </c>
    </row>
    <row r="446" spans="1:29" ht="15.75" x14ac:dyDescent="0.25">
      <c r="A446" s="33">
        <v>54482</v>
      </c>
      <c r="B446" s="14">
        <f>CHOOSE(CONTROL!$C$42, 23.1872, 23.1872) * CHOOSE(CONTROL!$C$21, $C$9, 100%, $E$9)</f>
        <v>23.187200000000001</v>
      </c>
      <c r="C446" s="14">
        <f>CHOOSE(CONTROL!$C$42, 23.1922, 23.1922) * CHOOSE(CONTROL!$C$21, $C$9, 100%, $E$9)</f>
        <v>23.1922</v>
      </c>
      <c r="D446" s="14">
        <f>CHOOSE(CONTROL!$C$42, 23.2691, 23.2691) * CHOOSE(CONTROL!$C$21, $C$9, 100%, $E$9)</f>
        <v>23.269100000000002</v>
      </c>
      <c r="E446" s="14">
        <f>CHOOSE(CONTROL!$C$42, 23.3032, 23.3032) * CHOOSE(CONTROL!$C$21, $C$9, 100%, $E$9)</f>
        <v>23.3032</v>
      </c>
      <c r="F446" s="14">
        <f>CHOOSE(CONTROL!$C$42, 23.1874, 23.1874)*CHOOSE(CONTROL!$C$21, $C$9, 100%, $E$9)</f>
        <v>23.1874</v>
      </c>
      <c r="G446" s="14">
        <f>CHOOSE(CONTROL!$C$42, 23.2037, 23.2037)*CHOOSE(CONTROL!$C$21, $C$9, 100%, $E$9)</f>
        <v>23.203700000000001</v>
      </c>
      <c r="H446" s="14">
        <f>CHOOSE(CONTROL!$C$42, 23.2924, 23.2924) * CHOOSE(CONTROL!$C$21, $C$9, 100%, $E$9)</f>
        <v>23.292400000000001</v>
      </c>
      <c r="I446" s="14">
        <f>CHOOSE(CONTROL!$C$42, 23.2778, 23.2778)* CHOOSE(CONTROL!$C$21, $C$9, 100%, $E$9)</f>
        <v>23.277799999999999</v>
      </c>
      <c r="J446" s="14">
        <f>CHOOSE(CONTROL!$C$42, 23.1804, 23.1804)* CHOOSE(CONTROL!$C$21, $C$9, 100%, $E$9)</f>
        <v>23.180399999999999</v>
      </c>
      <c r="K446" s="53">
        <f>CHOOSE(CONTROL!$C$42, 23.274, 23.274) * CHOOSE(CONTROL!$C$21, $C$9, 100%, $E$9)</f>
        <v>23.274000000000001</v>
      </c>
      <c r="L446" s="14">
        <f>CHOOSE(CONTROL!$C$42, 23.8794, 23.8794) * CHOOSE(CONTROL!$C$21, $C$9, 100%, $E$9)</f>
        <v>23.8794</v>
      </c>
      <c r="M446" s="14">
        <f>CHOOSE(CONTROL!$C$42, 22.7132, 22.7132) * CHOOSE(CONTROL!$C$21, $C$9, 100%, $E$9)</f>
        <v>22.713200000000001</v>
      </c>
      <c r="N446" s="14">
        <f>CHOOSE(CONTROL!$C$42, 22.7291, 22.7291) * CHOOSE(CONTROL!$C$21, $C$9, 100%, $E$9)</f>
        <v>22.729099999999999</v>
      </c>
      <c r="O446" s="14">
        <f>CHOOSE(CONTROL!$C$42, 22.8228, 22.8228) * CHOOSE(CONTROL!$C$21, $C$9, 100%, $E$9)</f>
        <v>22.822800000000001</v>
      </c>
      <c r="P446" s="14">
        <f>CHOOSE(CONTROL!$C$42, 22.8072, 22.8072) * CHOOSE(CONTROL!$C$21, $C$9, 100%, $E$9)</f>
        <v>22.807200000000002</v>
      </c>
      <c r="Q446" s="14">
        <f>CHOOSE(CONTROL!$C$42, 23.4175, 23.4175) * CHOOSE(CONTROL!$C$21, $C$9, 100%, $E$9)</f>
        <v>23.4175</v>
      </c>
      <c r="R446" s="14">
        <f>CHOOSE(CONTROL!$C$42, 24.063, 24.063) * CHOOSE(CONTROL!$C$21, $C$9, 100%, $E$9)</f>
        <v>24.062999999999999</v>
      </c>
      <c r="S446" s="14">
        <f>CHOOSE(CONTROL!$C$42, 22.272, 22.272) * CHOOSE(CONTROL!$C$21, $C$9, 100%, $E$9)</f>
        <v>22.271999999999998</v>
      </c>
      <c r="T4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7">
        <f>(1000*CHOOSE(CONTROL!$C$42, 695, 695)*CHOOSE(CONTROL!$C$42, 0.5599, 0.5599)*CHOOSE(CONTROL!$C$42, 28, 28))/1000000</f>
        <v>10.895653999999999</v>
      </c>
      <c r="V446" s="57">
        <f>(1000*CHOOSE(CONTROL!$C$42, 500, 500)*CHOOSE(CONTROL!$C$42, 0.275, 0.275)*CHOOSE(CONTROL!$C$42, 28, 28))/1000000</f>
        <v>3.85</v>
      </c>
      <c r="W446" s="57">
        <f>(1000*CHOOSE(CONTROL!$C$42, 0.1146, 0.1146)*CHOOSE(CONTROL!$C$42, 121.5, 121.5)*CHOOSE(CONTROL!$C$42, 28, 28))/1000000</f>
        <v>0.38986920000000003</v>
      </c>
      <c r="X446" s="57">
        <f>(28*0.1790888*100000/1000000)+(28*0.2374*100000/1000000)</f>
        <v>1.16616864</v>
      </c>
      <c r="Y446" s="57"/>
      <c r="Z446" s="14"/>
      <c r="AA446" s="56"/>
      <c r="AB446" s="50">
        <f>(B446*122.58+C446*297.941+D446*89.177+E446*40.302+F446*40+G446*160+H446*0+I446*100+J446*300)/(122.58+297.941+89.177+40.302+0+40+160+100+300)</f>
        <v>23.20731855069565</v>
      </c>
      <c r="AC446" s="45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22.777315107913669</v>
      </c>
    </row>
    <row r="447" spans="1:29" ht="15.75" x14ac:dyDescent="0.25">
      <c r="A447" s="33">
        <v>54513</v>
      </c>
      <c r="B447" s="14">
        <f>CHOOSE(CONTROL!$C$42, 22.5291, 22.5291) * CHOOSE(CONTROL!$C$21, $C$9, 100%, $E$9)</f>
        <v>22.5291</v>
      </c>
      <c r="C447" s="14">
        <f>CHOOSE(CONTROL!$C$42, 22.5342, 22.5342) * CHOOSE(CONTROL!$C$21, $C$9, 100%, $E$9)</f>
        <v>22.534199999999998</v>
      </c>
      <c r="D447" s="14">
        <f>CHOOSE(CONTROL!$C$42, 22.611, 22.611) * CHOOSE(CONTROL!$C$21, $C$9, 100%, $E$9)</f>
        <v>22.611000000000001</v>
      </c>
      <c r="E447" s="14">
        <f>CHOOSE(CONTROL!$C$42, 22.6451, 22.6451) * CHOOSE(CONTROL!$C$21, $C$9, 100%, $E$9)</f>
        <v>22.645099999999999</v>
      </c>
      <c r="F447" s="14">
        <f>CHOOSE(CONTROL!$C$42, 22.5289, 22.5289)*CHOOSE(CONTROL!$C$21, $C$9, 100%, $E$9)</f>
        <v>22.5289</v>
      </c>
      <c r="G447" s="14">
        <f>CHOOSE(CONTROL!$C$42, 22.545, 22.545)*CHOOSE(CONTROL!$C$21, $C$9, 100%, $E$9)</f>
        <v>22.545000000000002</v>
      </c>
      <c r="H447" s="14">
        <f>CHOOSE(CONTROL!$C$42, 22.6343, 22.6343) * CHOOSE(CONTROL!$C$21, $C$9, 100%, $E$9)</f>
        <v>22.6343</v>
      </c>
      <c r="I447" s="14">
        <f>CHOOSE(CONTROL!$C$42, 22.6178, 22.6178)* CHOOSE(CONTROL!$C$21, $C$9, 100%, $E$9)</f>
        <v>22.617799999999999</v>
      </c>
      <c r="J447" s="14">
        <f>CHOOSE(CONTROL!$C$42, 22.5219, 22.5219)* CHOOSE(CONTROL!$C$21, $C$9, 100%, $E$9)</f>
        <v>22.521899999999999</v>
      </c>
      <c r="K447" s="53">
        <f>CHOOSE(CONTROL!$C$42, 22.6139, 22.6139) * CHOOSE(CONTROL!$C$21, $C$9, 100%, $E$9)</f>
        <v>22.613900000000001</v>
      </c>
      <c r="L447" s="14">
        <f>CHOOSE(CONTROL!$C$42, 23.2213, 23.2213) * CHOOSE(CONTROL!$C$21, $C$9, 100%, $E$9)</f>
        <v>23.221299999999999</v>
      </c>
      <c r="M447" s="14">
        <f>CHOOSE(CONTROL!$C$42, 22.0682, 22.0682) * CHOOSE(CONTROL!$C$21, $C$9, 100%, $E$9)</f>
        <v>22.068200000000001</v>
      </c>
      <c r="N447" s="14">
        <f>CHOOSE(CONTROL!$C$42, 22.0839, 22.0839) * CHOOSE(CONTROL!$C$21, $C$9, 100%, $E$9)</f>
        <v>22.0839</v>
      </c>
      <c r="O447" s="14">
        <f>CHOOSE(CONTROL!$C$42, 22.1783, 22.1783) * CHOOSE(CONTROL!$C$21, $C$9, 100%, $E$9)</f>
        <v>22.1783</v>
      </c>
      <c r="P447" s="14">
        <f>CHOOSE(CONTROL!$C$42, 22.1607, 22.1607) * CHOOSE(CONTROL!$C$21, $C$9, 100%, $E$9)</f>
        <v>22.160699999999999</v>
      </c>
      <c r="Q447" s="14">
        <f>CHOOSE(CONTROL!$C$42, 22.773, 22.773) * CHOOSE(CONTROL!$C$21, $C$9, 100%, $E$9)</f>
        <v>22.773</v>
      </c>
      <c r="R447" s="14">
        <f>CHOOSE(CONTROL!$C$42, 23.4169, 23.4169) * CHOOSE(CONTROL!$C$21, $C$9, 100%, $E$9)</f>
        <v>23.416899999999998</v>
      </c>
      <c r="S447" s="14">
        <f>CHOOSE(CONTROL!$C$42, 21.6397, 21.6397) * CHOOSE(CONTROL!$C$21, $C$9, 100%, $E$9)</f>
        <v>21.639700000000001</v>
      </c>
      <c r="T4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7">
        <f>(1000*CHOOSE(CONTROL!$C$42, 695, 695)*CHOOSE(CONTROL!$C$42, 0.5599, 0.5599)*CHOOSE(CONTROL!$C$42, 31, 31))/1000000</f>
        <v>12.063045499999998</v>
      </c>
      <c r="V447" s="57">
        <f>(1000*CHOOSE(CONTROL!$C$42, 500, 500)*CHOOSE(CONTROL!$C$42, 0.275, 0.275)*CHOOSE(CONTROL!$C$42, 31, 31))/1000000</f>
        <v>4.2625000000000002</v>
      </c>
      <c r="W447" s="57">
        <f>(1000*CHOOSE(CONTROL!$C$42, 0.1146, 0.1146)*CHOOSE(CONTROL!$C$42, 121.5, 121.5)*CHOOSE(CONTROL!$C$42, 31, 31))/1000000</f>
        <v>0.43164089999999994</v>
      </c>
      <c r="X447" s="57">
        <f>(31*0.1790888*100000/1000000)+(31*0.2374*100000/1000000)</f>
        <v>1.2911152800000001</v>
      </c>
      <c r="Y447" s="57"/>
      <c r="Z447" s="14"/>
      <c r="AA447" s="56"/>
      <c r="AB447" s="50">
        <f>(B447*122.58+C447*297.941+D447*89.177+E447*40.302+F447*40+G447*160+H447*0+I447*100+J447*300)/(122.58+297.941+89.177+40.302+0+40+160+100+300)</f>
        <v>22.548877502086956</v>
      </c>
      <c r="AC447" s="45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22.13231438848921</v>
      </c>
    </row>
    <row r="448" spans="1:29" ht="15.75" x14ac:dyDescent="0.25">
      <c r="A448" s="33">
        <v>54543</v>
      </c>
      <c r="B448" s="14">
        <f>CHOOSE(CONTROL!$C$42, 22.463, 22.463) * CHOOSE(CONTROL!$C$21, $C$9, 100%, $E$9)</f>
        <v>22.463000000000001</v>
      </c>
      <c r="C448" s="14">
        <f>CHOOSE(CONTROL!$C$42, 22.4674, 22.4674) * CHOOSE(CONTROL!$C$21, $C$9, 100%, $E$9)</f>
        <v>22.467400000000001</v>
      </c>
      <c r="D448" s="14">
        <f>CHOOSE(CONTROL!$C$42, 22.7042, 22.7042) * CHOOSE(CONTROL!$C$21, $C$9, 100%, $E$9)</f>
        <v>22.7042</v>
      </c>
      <c r="E448" s="14">
        <f>CHOOSE(CONTROL!$C$42, 22.7363, 22.7363) * CHOOSE(CONTROL!$C$21, $C$9, 100%, $E$9)</f>
        <v>22.7363</v>
      </c>
      <c r="F448" s="14">
        <f>CHOOSE(CONTROL!$C$42, 22.4609, 22.4609)*CHOOSE(CONTROL!$C$21, $C$9, 100%, $E$9)</f>
        <v>22.460899999999999</v>
      </c>
      <c r="G448" s="14">
        <f>CHOOSE(CONTROL!$C$42, 22.4767, 22.4767)*CHOOSE(CONTROL!$C$21, $C$9, 100%, $E$9)</f>
        <v>22.476700000000001</v>
      </c>
      <c r="H448" s="14">
        <f>CHOOSE(CONTROL!$C$42, 22.7261, 22.7261) * CHOOSE(CONTROL!$C$21, $C$9, 100%, $E$9)</f>
        <v>22.726099999999999</v>
      </c>
      <c r="I448" s="14">
        <f>CHOOSE(CONTROL!$C$42, 22.5506, 22.5506)* CHOOSE(CONTROL!$C$21, $C$9, 100%, $E$9)</f>
        <v>22.550599999999999</v>
      </c>
      <c r="J448" s="14">
        <f>CHOOSE(CONTROL!$C$42, 22.4539, 22.4539)* CHOOSE(CONTROL!$C$21, $C$9, 100%, $E$9)</f>
        <v>22.453900000000001</v>
      </c>
      <c r="K448" s="53">
        <f>CHOOSE(CONTROL!$C$42, 22.5467, 22.5467) * CHOOSE(CONTROL!$C$21, $C$9, 100%, $E$9)</f>
        <v>22.546700000000001</v>
      </c>
      <c r="L448" s="14">
        <f>CHOOSE(CONTROL!$C$42, 23.3131, 23.3131) * CHOOSE(CONTROL!$C$21, $C$9, 100%, $E$9)</f>
        <v>23.313099999999999</v>
      </c>
      <c r="M448" s="14">
        <f>CHOOSE(CONTROL!$C$42, 22.0015, 22.0015) * CHOOSE(CONTROL!$C$21, $C$9, 100%, $E$9)</f>
        <v>22.0015</v>
      </c>
      <c r="N448" s="14">
        <f>CHOOSE(CONTROL!$C$42, 22.017, 22.017) * CHOOSE(CONTROL!$C$21, $C$9, 100%, $E$9)</f>
        <v>22.016999999999999</v>
      </c>
      <c r="O448" s="14">
        <f>CHOOSE(CONTROL!$C$42, 22.2681, 22.2681) * CHOOSE(CONTROL!$C$21, $C$9, 100%, $E$9)</f>
        <v>22.2681</v>
      </c>
      <c r="P448" s="14">
        <f>CHOOSE(CONTROL!$C$42, 22.0949, 22.0949) * CHOOSE(CONTROL!$C$21, $C$9, 100%, $E$9)</f>
        <v>22.094899999999999</v>
      </c>
      <c r="Q448" s="14">
        <f>CHOOSE(CONTROL!$C$42, 22.8628, 22.8628) * CHOOSE(CONTROL!$C$21, $C$9, 100%, $E$9)</f>
        <v>22.8628</v>
      </c>
      <c r="R448" s="14">
        <f>CHOOSE(CONTROL!$C$42, 23.507, 23.507) * CHOOSE(CONTROL!$C$21, $C$9, 100%, $E$9)</f>
        <v>23.507000000000001</v>
      </c>
      <c r="S448" s="14">
        <f>CHOOSE(CONTROL!$C$42, 21.5754, 21.5754) * CHOOSE(CONTROL!$C$21, $C$9, 100%, $E$9)</f>
        <v>21.575399999999998</v>
      </c>
      <c r="T4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7">
        <f>(1000*CHOOSE(CONTROL!$C$42, 695, 695)*CHOOSE(CONTROL!$C$42, 0.5599, 0.5599)*CHOOSE(CONTROL!$C$42, 30, 30))/1000000</f>
        <v>11.673914999999997</v>
      </c>
      <c r="V448" s="57">
        <f>(1000*CHOOSE(CONTROL!$C$42, 500, 500)*CHOOSE(CONTROL!$C$42, 0.275, 0.275)*CHOOSE(CONTROL!$C$42, 30, 30))/1000000</f>
        <v>4.125</v>
      </c>
      <c r="W448" s="57">
        <f>(1000*CHOOSE(CONTROL!$C$42, 0.1146, 0.1146)*CHOOSE(CONTROL!$C$42, 121.5, 121.5)*CHOOSE(CONTROL!$C$42, 30, 30))/1000000</f>
        <v>0.417717</v>
      </c>
      <c r="X448" s="57">
        <f>(30*0.1790888*245000/1000000)+(30*0.2374*100000/1000000)</f>
        <v>2.0285026799999999</v>
      </c>
      <c r="Y448" s="57"/>
      <c r="Z448" s="14"/>
      <c r="AA448" s="56"/>
      <c r="AB448" s="50">
        <f>(B448*141.293+C448*267.993+D448*115.016+E448*89.698+F448*40+G448*185+H448*0+I448*100+J448*300)/(141.293+267.993+115.016+89.698+0+40+185+100+300)</f>
        <v>22.512972551896695</v>
      </c>
      <c r="AC448" s="45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22.093308633093525</v>
      </c>
    </row>
    <row r="449" spans="1:29" ht="15.75" x14ac:dyDescent="0.25">
      <c r="A449" s="33">
        <v>54574</v>
      </c>
      <c r="B449" s="14">
        <f>CHOOSE(CONTROL!$C$42, 22.6625, 22.6625) * CHOOSE(CONTROL!$C$21, $C$9, 100%, $E$9)</f>
        <v>22.662500000000001</v>
      </c>
      <c r="C449" s="14">
        <f>CHOOSE(CONTROL!$C$42, 22.6705, 22.6705) * CHOOSE(CONTROL!$C$21, $C$9, 100%, $E$9)</f>
        <v>22.670500000000001</v>
      </c>
      <c r="D449" s="14">
        <f>CHOOSE(CONTROL!$C$42, 22.9041, 22.9041) * CHOOSE(CONTROL!$C$21, $C$9, 100%, $E$9)</f>
        <v>22.9041</v>
      </c>
      <c r="E449" s="14">
        <f>CHOOSE(CONTROL!$C$42, 22.9356, 22.9356) * CHOOSE(CONTROL!$C$21, $C$9, 100%, $E$9)</f>
        <v>22.935600000000001</v>
      </c>
      <c r="F449" s="14">
        <f>CHOOSE(CONTROL!$C$42, 22.6593, 22.6593)*CHOOSE(CONTROL!$C$21, $C$9, 100%, $E$9)</f>
        <v>22.659300000000002</v>
      </c>
      <c r="G449" s="14">
        <f>CHOOSE(CONTROL!$C$42, 22.6756, 22.6756)*CHOOSE(CONTROL!$C$21, $C$9, 100%, $E$9)</f>
        <v>22.675599999999999</v>
      </c>
      <c r="H449" s="14">
        <f>CHOOSE(CONTROL!$C$42, 22.9242, 22.9242) * CHOOSE(CONTROL!$C$21, $C$9, 100%, $E$9)</f>
        <v>22.924199999999999</v>
      </c>
      <c r="I449" s="14">
        <f>CHOOSE(CONTROL!$C$42, 22.7494, 22.7494)* CHOOSE(CONTROL!$C$21, $C$9, 100%, $E$9)</f>
        <v>22.749400000000001</v>
      </c>
      <c r="J449" s="14">
        <f>CHOOSE(CONTROL!$C$42, 22.6523, 22.6523)* CHOOSE(CONTROL!$C$21, $C$9, 100%, $E$9)</f>
        <v>22.6523</v>
      </c>
      <c r="K449" s="53">
        <f>CHOOSE(CONTROL!$C$42, 22.7455, 22.7455) * CHOOSE(CONTROL!$C$21, $C$9, 100%, $E$9)</f>
        <v>22.7455</v>
      </c>
      <c r="L449" s="14">
        <f>CHOOSE(CONTROL!$C$42, 23.5112, 23.5112) * CHOOSE(CONTROL!$C$21, $C$9, 100%, $E$9)</f>
        <v>23.511199999999999</v>
      </c>
      <c r="M449" s="14">
        <f>CHOOSE(CONTROL!$C$42, 22.1959, 22.1959) * CHOOSE(CONTROL!$C$21, $C$9, 100%, $E$9)</f>
        <v>22.195900000000002</v>
      </c>
      <c r="N449" s="14">
        <f>CHOOSE(CONTROL!$C$42, 22.2119, 22.2119) * CHOOSE(CONTROL!$C$21, $C$9, 100%, $E$9)</f>
        <v>22.2119</v>
      </c>
      <c r="O449" s="14">
        <f>CHOOSE(CONTROL!$C$42, 22.4622, 22.4622) * CHOOSE(CONTROL!$C$21, $C$9, 100%, $E$9)</f>
        <v>22.462199999999999</v>
      </c>
      <c r="P449" s="14">
        <f>CHOOSE(CONTROL!$C$42, 22.2896, 22.2896) * CHOOSE(CONTROL!$C$21, $C$9, 100%, $E$9)</f>
        <v>22.2896</v>
      </c>
      <c r="Q449" s="14">
        <f>CHOOSE(CONTROL!$C$42, 23.0569, 23.0569) * CHOOSE(CONTROL!$C$21, $C$9, 100%, $E$9)</f>
        <v>23.056899999999999</v>
      </c>
      <c r="R449" s="14">
        <f>CHOOSE(CONTROL!$C$42, 23.7016, 23.7016) * CHOOSE(CONTROL!$C$21, $C$9, 100%, $E$9)</f>
        <v>23.701599999999999</v>
      </c>
      <c r="S449" s="14">
        <f>CHOOSE(CONTROL!$C$42, 21.7658, 21.7658) * CHOOSE(CONTROL!$C$21, $C$9, 100%, $E$9)</f>
        <v>21.765799999999999</v>
      </c>
      <c r="T4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7">
        <f>(1000*CHOOSE(CONTROL!$C$42, 695, 695)*CHOOSE(CONTROL!$C$42, 0.5599, 0.5599)*CHOOSE(CONTROL!$C$42, 31, 31))/1000000</f>
        <v>12.063045499999998</v>
      </c>
      <c r="V449" s="57">
        <f>(1000*CHOOSE(CONTROL!$C$42, 500, 500)*CHOOSE(CONTROL!$C$42, 0.275, 0.275)*CHOOSE(CONTROL!$C$42, 31, 31))/1000000</f>
        <v>4.2625000000000002</v>
      </c>
      <c r="W449" s="57">
        <f>(1000*CHOOSE(CONTROL!$C$42, 0.1146, 0.1146)*CHOOSE(CONTROL!$C$42, 121.5, 121.5)*CHOOSE(CONTROL!$C$42, 31, 31))/1000000</f>
        <v>0.43164089999999994</v>
      </c>
      <c r="X449" s="57">
        <f>(31*0.1790888*245000/1000000)+(31*0.2374*100000/1000000)</f>
        <v>2.0961194359999999</v>
      </c>
      <c r="Y449" s="57"/>
      <c r="Z449" s="14"/>
      <c r="AA449" s="56"/>
      <c r="AB449" s="50">
        <f>(B449*194.205+C449*267.466+D449*133.845+E449*53.484+F449*40+G449*185+H449*0+I449*100+J449*300)/(194.205+267.466+133.845+53.484+0+40+185+100+300)</f>
        <v>22.707247771114599</v>
      </c>
      <c r="AC449" s="45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22.287782733812946</v>
      </c>
    </row>
    <row r="450" spans="1:29" ht="15.75" x14ac:dyDescent="0.25">
      <c r="A450" s="33">
        <v>54604</v>
      </c>
      <c r="B450" s="14">
        <f>CHOOSE(CONTROL!$C$42, 23.305, 23.305) * CHOOSE(CONTROL!$C$21, $C$9, 100%, $E$9)</f>
        <v>23.305</v>
      </c>
      <c r="C450" s="14">
        <f>CHOOSE(CONTROL!$C$42, 23.313, 23.313) * CHOOSE(CONTROL!$C$21, $C$9, 100%, $E$9)</f>
        <v>23.312999999999999</v>
      </c>
      <c r="D450" s="14">
        <f>CHOOSE(CONTROL!$C$42, 23.5466, 23.5466) * CHOOSE(CONTROL!$C$21, $C$9, 100%, $E$9)</f>
        <v>23.546600000000002</v>
      </c>
      <c r="E450" s="14">
        <f>CHOOSE(CONTROL!$C$42, 23.5781, 23.5781) * CHOOSE(CONTROL!$C$21, $C$9, 100%, $E$9)</f>
        <v>23.578099999999999</v>
      </c>
      <c r="F450" s="14">
        <f>CHOOSE(CONTROL!$C$42, 23.3023, 23.3023)*CHOOSE(CONTROL!$C$21, $C$9, 100%, $E$9)</f>
        <v>23.302299999999999</v>
      </c>
      <c r="G450" s="14">
        <f>CHOOSE(CONTROL!$C$42, 23.3187, 23.3187)*CHOOSE(CONTROL!$C$21, $C$9, 100%, $E$9)</f>
        <v>23.3187</v>
      </c>
      <c r="H450" s="14">
        <f>CHOOSE(CONTROL!$C$42, 23.5667, 23.5667) * CHOOSE(CONTROL!$C$21, $C$9, 100%, $E$9)</f>
        <v>23.566700000000001</v>
      </c>
      <c r="I450" s="14">
        <f>CHOOSE(CONTROL!$C$42, 23.3939, 23.3939)* CHOOSE(CONTROL!$C$21, $C$9, 100%, $E$9)</f>
        <v>23.393899999999999</v>
      </c>
      <c r="J450" s="14">
        <f>CHOOSE(CONTROL!$C$42, 23.2953, 23.2953)* CHOOSE(CONTROL!$C$21, $C$9, 100%, $E$9)</f>
        <v>23.295300000000001</v>
      </c>
      <c r="K450" s="53">
        <f>CHOOSE(CONTROL!$C$42, 23.39, 23.39) * CHOOSE(CONTROL!$C$21, $C$9, 100%, $E$9)</f>
        <v>23.39</v>
      </c>
      <c r="L450" s="14">
        <f>CHOOSE(CONTROL!$C$42, 24.1537, 24.1537) * CHOOSE(CONTROL!$C$21, $C$9, 100%, $E$9)</f>
        <v>24.153700000000001</v>
      </c>
      <c r="M450" s="14">
        <f>CHOOSE(CONTROL!$C$42, 22.8257, 22.8257) * CHOOSE(CONTROL!$C$21, $C$9, 100%, $E$9)</f>
        <v>22.825700000000001</v>
      </c>
      <c r="N450" s="14">
        <f>CHOOSE(CONTROL!$C$42, 22.8418, 22.8418) * CHOOSE(CONTROL!$C$21, $C$9, 100%, $E$9)</f>
        <v>22.841799999999999</v>
      </c>
      <c r="O450" s="14">
        <f>CHOOSE(CONTROL!$C$42, 23.0916, 23.0916) * CHOOSE(CONTROL!$C$21, $C$9, 100%, $E$9)</f>
        <v>23.0916</v>
      </c>
      <c r="P450" s="14">
        <f>CHOOSE(CONTROL!$C$42, 22.9209, 22.9209) * CHOOSE(CONTROL!$C$21, $C$9, 100%, $E$9)</f>
        <v>22.9209</v>
      </c>
      <c r="Q450" s="14">
        <f>CHOOSE(CONTROL!$C$42, 23.6863, 23.6863) * CHOOSE(CONTROL!$C$21, $C$9, 100%, $E$9)</f>
        <v>23.686299999999999</v>
      </c>
      <c r="R450" s="14">
        <f>CHOOSE(CONTROL!$C$42, 24.3325, 24.3325) * CHOOSE(CONTROL!$C$21, $C$9, 100%, $E$9)</f>
        <v>24.3325</v>
      </c>
      <c r="S450" s="14">
        <f>CHOOSE(CONTROL!$C$42, 22.3832, 22.3832) * CHOOSE(CONTROL!$C$21, $C$9, 100%, $E$9)</f>
        <v>22.383199999999999</v>
      </c>
      <c r="T4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7">
        <f>(1000*CHOOSE(CONTROL!$C$42, 695, 695)*CHOOSE(CONTROL!$C$42, 0.5599, 0.5599)*CHOOSE(CONTROL!$C$42, 30, 30))/1000000</f>
        <v>11.673914999999997</v>
      </c>
      <c r="V450" s="57">
        <f>(1000*CHOOSE(CONTROL!$C$42, 500, 500)*CHOOSE(CONTROL!$C$42, 0.275, 0.275)*CHOOSE(CONTROL!$C$42, 30, 30))/1000000</f>
        <v>4.125</v>
      </c>
      <c r="W450" s="57">
        <f>(1000*CHOOSE(CONTROL!$C$42, 0.1146, 0.1146)*CHOOSE(CONTROL!$C$42, 121.5, 121.5)*CHOOSE(CONTROL!$C$42, 30, 30))/1000000</f>
        <v>0.417717</v>
      </c>
      <c r="X450" s="57">
        <f>(30*0.1790888*245000/1000000)+(30*0.2374*100000/1000000)</f>
        <v>2.0285026799999999</v>
      </c>
      <c r="Y450" s="57"/>
      <c r="Z450" s="14"/>
      <c r="AA450" s="56"/>
      <c r="AB450" s="50">
        <f>(B450*194.205+C450*267.466+D450*133.845+E450*53.484+F450*40+G450*185+H450*0+I450*100+J450*300)/(194.205+267.466+133.845+53.484+0+40+185+100+300)</f>
        <v>23.35012532213501</v>
      </c>
      <c r="AC450" s="45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22.917709352517988</v>
      </c>
    </row>
    <row r="451" spans="1:29" ht="15.75" x14ac:dyDescent="0.25">
      <c r="A451" s="33">
        <v>54635</v>
      </c>
      <c r="B451" s="14">
        <f>CHOOSE(CONTROL!$C$42, 22.8582, 22.8582) * CHOOSE(CONTROL!$C$21, $C$9, 100%, $E$9)</f>
        <v>22.8582</v>
      </c>
      <c r="C451" s="14">
        <f>CHOOSE(CONTROL!$C$42, 22.8662, 22.8662) * CHOOSE(CONTROL!$C$21, $C$9, 100%, $E$9)</f>
        <v>22.866199999999999</v>
      </c>
      <c r="D451" s="14">
        <f>CHOOSE(CONTROL!$C$42, 23.0998, 23.0998) * CHOOSE(CONTROL!$C$21, $C$9, 100%, $E$9)</f>
        <v>23.099799999999998</v>
      </c>
      <c r="E451" s="14">
        <f>CHOOSE(CONTROL!$C$42, 23.1312, 23.1312) * CHOOSE(CONTROL!$C$21, $C$9, 100%, $E$9)</f>
        <v>23.1312</v>
      </c>
      <c r="F451" s="14">
        <f>CHOOSE(CONTROL!$C$42, 22.8559, 22.8559)*CHOOSE(CONTROL!$C$21, $C$9, 100%, $E$9)</f>
        <v>22.855899999999998</v>
      </c>
      <c r="G451" s="14">
        <f>CHOOSE(CONTROL!$C$42, 22.8725, 22.8725)*CHOOSE(CONTROL!$C$21, $C$9, 100%, $E$9)</f>
        <v>22.872499999999999</v>
      </c>
      <c r="H451" s="14">
        <f>CHOOSE(CONTROL!$C$42, 23.1199, 23.1199) * CHOOSE(CONTROL!$C$21, $C$9, 100%, $E$9)</f>
        <v>23.119900000000001</v>
      </c>
      <c r="I451" s="14">
        <f>CHOOSE(CONTROL!$C$42, 22.9456, 22.9456)* CHOOSE(CONTROL!$C$21, $C$9, 100%, $E$9)</f>
        <v>22.945599999999999</v>
      </c>
      <c r="J451" s="14">
        <f>CHOOSE(CONTROL!$C$42, 22.8489, 22.8489)* CHOOSE(CONTROL!$C$21, $C$9, 100%, $E$9)</f>
        <v>22.8489</v>
      </c>
      <c r="K451" s="53">
        <f>CHOOSE(CONTROL!$C$42, 22.9417, 22.9417) * CHOOSE(CONTROL!$C$21, $C$9, 100%, $E$9)</f>
        <v>22.941700000000001</v>
      </c>
      <c r="L451" s="14">
        <f>CHOOSE(CONTROL!$C$42, 23.7069, 23.7069) * CHOOSE(CONTROL!$C$21, $C$9, 100%, $E$9)</f>
        <v>23.706900000000001</v>
      </c>
      <c r="M451" s="14">
        <f>CHOOSE(CONTROL!$C$42, 22.3885, 22.3885) * CHOOSE(CONTROL!$C$21, $C$9, 100%, $E$9)</f>
        <v>22.388500000000001</v>
      </c>
      <c r="N451" s="14">
        <f>CHOOSE(CONTROL!$C$42, 22.4047, 22.4047) * CHOOSE(CONTROL!$C$21, $C$9, 100%, $E$9)</f>
        <v>22.404699999999998</v>
      </c>
      <c r="O451" s="14">
        <f>CHOOSE(CONTROL!$C$42, 22.6539, 22.6539) * CHOOSE(CONTROL!$C$21, $C$9, 100%, $E$9)</f>
        <v>22.6539</v>
      </c>
      <c r="P451" s="14">
        <f>CHOOSE(CONTROL!$C$42, 22.4818, 22.4818) * CHOOSE(CONTROL!$C$21, $C$9, 100%, $E$9)</f>
        <v>22.4818</v>
      </c>
      <c r="Q451" s="14">
        <f>CHOOSE(CONTROL!$C$42, 23.2486, 23.2486) * CHOOSE(CONTROL!$C$21, $C$9, 100%, $E$9)</f>
        <v>23.2486</v>
      </c>
      <c r="R451" s="14">
        <f>CHOOSE(CONTROL!$C$42, 23.8937, 23.8937) * CHOOSE(CONTROL!$C$21, $C$9, 100%, $E$9)</f>
        <v>23.893699999999999</v>
      </c>
      <c r="S451" s="14">
        <f>CHOOSE(CONTROL!$C$42, 21.9538, 21.9538) * CHOOSE(CONTROL!$C$21, $C$9, 100%, $E$9)</f>
        <v>21.953800000000001</v>
      </c>
      <c r="T4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7">
        <f>(1000*CHOOSE(CONTROL!$C$42, 695, 695)*CHOOSE(CONTROL!$C$42, 0.5599, 0.5599)*CHOOSE(CONTROL!$C$42, 31, 31))/1000000</f>
        <v>12.063045499999998</v>
      </c>
      <c r="V451" s="57">
        <f>(1000*CHOOSE(CONTROL!$C$42, 500, 500)*CHOOSE(CONTROL!$C$42, 0.275, 0.275)*CHOOSE(CONTROL!$C$42, 31, 31))/1000000</f>
        <v>4.2625000000000002</v>
      </c>
      <c r="W451" s="57">
        <f>(1000*CHOOSE(CONTROL!$C$42, 0.1146, 0.1146)*CHOOSE(CONTROL!$C$42, 121.5, 121.5)*CHOOSE(CONTROL!$C$42, 31, 31))/1000000</f>
        <v>0.43164089999999994</v>
      </c>
      <c r="X451" s="57">
        <f>(31*0.1790888*245000/1000000)+(31*0.2374*100000/1000000)</f>
        <v>2.0961194359999999</v>
      </c>
      <c r="Y451" s="57"/>
      <c r="Z451" s="14"/>
      <c r="AA451" s="56"/>
      <c r="AB451" s="50">
        <f>(B451*194.205+C451*267.466+D451*133.845+E451*53.484+F451*40+G451*185+H451*0+I451*100+J451*300)/(194.205+267.466+133.845+53.484+0+40+185+100+300)</f>
        <v>22.903397262166408</v>
      </c>
      <c r="AC451" s="45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22.48011870503597</v>
      </c>
    </row>
    <row r="452" spans="1:29" ht="15.75" x14ac:dyDescent="0.25">
      <c r="A452" s="33">
        <v>54666</v>
      </c>
      <c r="B452" s="14">
        <f>CHOOSE(CONTROL!$C$42, 21.7297, 21.7297) * CHOOSE(CONTROL!$C$21, $C$9, 100%, $E$9)</f>
        <v>21.729700000000001</v>
      </c>
      <c r="C452" s="14">
        <f>CHOOSE(CONTROL!$C$42, 21.7377, 21.7377) * CHOOSE(CONTROL!$C$21, $C$9, 100%, $E$9)</f>
        <v>21.7377</v>
      </c>
      <c r="D452" s="14">
        <f>CHOOSE(CONTROL!$C$42, 21.9713, 21.9713) * CHOOSE(CONTROL!$C$21, $C$9, 100%, $E$9)</f>
        <v>21.971299999999999</v>
      </c>
      <c r="E452" s="14">
        <f>CHOOSE(CONTROL!$C$42, 22.0028, 22.0028) * CHOOSE(CONTROL!$C$21, $C$9, 100%, $E$9)</f>
        <v>22.002800000000001</v>
      </c>
      <c r="F452" s="14">
        <f>CHOOSE(CONTROL!$C$42, 21.7277, 21.7277)*CHOOSE(CONTROL!$C$21, $C$9, 100%, $E$9)</f>
        <v>21.727699999999999</v>
      </c>
      <c r="G452" s="14">
        <f>CHOOSE(CONTROL!$C$42, 21.7443, 21.7443)*CHOOSE(CONTROL!$C$21, $C$9, 100%, $E$9)</f>
        <v>21.744299999999999</v>
      </c>
      <c r="H452" s="14">
        <f>CHOOSE(CONTROL!$C$42, 21.9914, 21.9914) * CHOOSE(CONTROL!$C$21, $C$9, 100%, $E$9)</f>
        <v>21.991399999999999</v>
      </c>
      <c r="I452" s="14">
        <f>CHOOSE(CONTROL!$C$42, 21.8136, 21.8136)* CHOOSE(CONTROL!$C$21, $C$9, 100%, $E$9)</f>
        <v>21.813600000000001</v>
      </c>
      <c r="J452" s="14">
        <f>CHOOSE(CONTROL!$C$42, 21.7207, 21.7207)* CHOOSE(CONTROL!$C$21, $C$9, 100%, $E$9)</f>
        <v>21.720700000000001</v>
      </c>
      <c r="K452" s="53">
        <f>CHOOSE(CONTROL!$C$42, 21.8097, 21.8097) * CHOOSE(CONTROL!$C$21, $C$9, 100%, $E$9)</f>
        <v>21.809699999999999</v>
      </c>
      <c r="L452" s="14">
        <f>CHOOSE(CONTROL!$C$42, 22.5784, 22.5784) * CHOOSE(CONTROL!$C$21, $C$9, 100%, $E$9)</f>
        <v>22.578399999999998</v>
      </c>
      <c r="M452" s="14">
        <f>CHOOSE(CONTROL!$C$42, 21.2833, 21.2833) * CHOOSE(CONTROL!$C$21, $C$9, 100%, $E$9)</f>
        <v>21.283300000000001</v>
      </c>
      <c r="N452" s="14">
        <f>CHOOSE(CONTROL!$C$42, 21.2996, 21.2996) * CHOOSE(CONTROL!$C$21, $C$9, 100%, $E$9)</f>
        <v>21.299600000000002</v>
      </c>
      <c r="O452" s="14">
        <f>CHOOSE(CONTROL!$C$42, 21.5485, 21.5485) * CHOOSE(CONTROL!$C$21, $C$9, 100%, $E$9)</f>
        <v>21.548500000000001</v>
      </c>
      <c r="P452" s="14">
        <f>CHOOSE(CONTROL!$C$42, 21.3731, 21.3731) * CHOOSE(CONTROL!$C$21, $C$9, 100%, $E$9)</f>
        <v>21.373100000000001</v>
      </c>
      <c r="Q452" s="14">
        <f>CHOOSE(CONTROL!$C$42, 22.1432, 22.1432) * CHOOSE(CONTROL!$C$21, $C$9, 100%, $E$9)</f>
        <v>22.1432</v>
      </c>
      <c r="R452" s="14">
        <f>CHOOSE(CONTROL!$C$42, 22.7856, 22.7856) * CHOOSE(CONTROL!$C$21, $C$9, 100%, $E$9)</f>
        <v>22.785599999999999</v>
      </c>
      <c r="S452" s="14">
        <f>CHOOSE(CONTROL!$C$42, 20.8694, 20.8694) * CHOOSE(CONTROL!$C$21, $C$9, 100%, $E$9)</f>
        <v>20.869399999999999</v>
      </c>
      <c r="T4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7">
        <f>(1000*CHOOSE(CONTROL!$C$42, 695, 695)*CHOOSE(CONTROL!$C$42, 0.5599, 0.5599)*CHOOSE(CONTROL!$C$42, 31, 31))/1000000</f>
        <v>12.063045499999998</v>
      </c>
      <c r="V452" s="57">
        <f>(1000*CHOOSE(CONTROL!$C$42, 500, 500)*CHOOSE(CONTROL!$C$42, 0.275, 0.275)*CHOOSE(CONTROL!$C$42, 31, 31))/1000000</f>
        <v>4.2625000000000002</v>
      </c>
      <c r="W452" s="57">
        <f>(1000*CHOOSE(CONTROL!$C$42, 0.1146, 0.1146)*CHOOSE(CONTROL!$C$42, 121.5, 121.5)*CHOOSE(CONTROL!$C$42, 31, 31))/1000000</f>
        <v>0.43164089999999994</v>
      </c>
      <c r="X452" s="57">
        <f>(31*0.1790888*245000/1000000)+(31*0.2374*100000/1000000)</f>
        <v>2.0961194359999999</v>
      </c>
      <c r="Y452" s="57"/>
      <c r="Z452" s="14"/>
      <c r="AA452" s="56"/>
      <c r="AB452" s="50">
        <f>(B452*194.205+C452*267.466+D452*133.845+E452*53.484+F452*40+G452*185+H452*0+I452*100+J452*300)/(194.205+267.466+133.845+53.484+0+40+185+100+300)</f>
        <v>21.774750361381475</v>
      </c>
      <c r="AC452" s="45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21.374382014388488</v>
      </c>
    </row>
    <row r="453" spans="1:29" ht="15.75" x14ac:dyDescent="0.25">
      <c r="A453" s="33">
        <v>54696</v>
      </c>
      <c r="B453" s="14">
        <f>CHOOSE(CONTROL!$C$42, 20.3504, 20.3504) * CHOOSE(CONTROL!$C$21, $C$9, 100%, $E$9)</f>
        <v>20.3504</v>
      </c>
      <c r="C453" s="14">
        <f>CHOOSE(CONTROL!$C$42, 20.3585, 20.3585) * CHOOSE(CONTROL!$C$21, $C$9, 100%, $E$9)</f>
        <v>20.358499999999999</v>
      </c>
      <c r="D453" s="14">
        <f>CHOOSE(CONTROL!$C$42, 20.5921, 20.5921) * CHOOSE(CONTROL!$C$21, $C$9, 100%, $E$9)</f>
        <v>20.592099999999999</v>
      </c>
      <c r="E453" s="14">
        <f>CHOOSE(CONTROL!$C$42, 20.6235, 20.6235) * CHOOSE(CONTROL!$C$21, $C$9, 100%, $E$9)</f>
        <v>20.6235</v>
      </c>
      <c r="F453" s="14">
        <f>CHOOSE(CONTROL!$C$42, 20.3484, 20.3484)*CHOOSE(CONTROL!$C$21, $C$9, 100%, $E$9)</f>
        <v>20.348400000000002</v>
      </c>
      <c r="G453" s="14">
        <f>CHOOSE(CONTROL!$C$42, 20.3651, 20.3651)*CHOOSE(CONTROL!$C$21, $C$9, 100%, $E$9)</f>
        <v>20.365100000000002</v>
      </c>
      <c r="H453" s="14">
        <f>CHOOSE(CONTROL!$C$42, 20.6122, 20.6122) * CHOOSE(CONTROL!$C$21, $C$9, 100%, $E$9)</f>
        <v>20.612200000000001</v>
      </c>
      <c r="I453" s="14">
        <f>CHOOSE(CONTROL!$C$42, 20.4301, 20.4301)* CHOOSE(CONTROL!$C$21, $C$9, 100%, $E$9)</f>
        <v>20.430099999999999</v>
      </c>
      <c r="J453" s="14">
        <f>CHOOSE(CONTROL!$C$42, 20.3414, 20.3414)* CHOOSE(CONTROL!$C$21, $C$9, 100%, $E$9)</f>
        <v>20.3414</v>
      </c>
      <c r="K453" s="53">
        <f>CHOOSE(CONTROL!$C$42, 20.4262, 20.4262) * CHOOSE(CONTROL!$C$21, $C$9, 100%, $E$9)</f>
        <v>20.426200000000001</v>
      </c>
      <c r="L453" s="14">
        <f>CHOOSE(CONTROL!$C$42, 21.1992, 21.1992) * CHOOSE(CONTROL!$C$21, $C$9, 100%, $E$9)</f>
        <v>21.199200000000001</v>
      </c>
      <c r="M453" s="14">
        <f>CHOOSE(CONTROL!$C$42, 19.9324, 19.9324) * CHOOSE(CONTROL!$C$21, $C$9, 100%, $E$9)</f>
        <v>19.932400000000001</v>
      </c>
      <c r="N453" s="14">
        <f>CHOOSE(CONTROL!$C$42, 19.9487, 19.9487) * CHOOSE(CONTROL!$C$21, $C$9, 100%, $E$9)</f>
        <v>19.948699999999999</v>
      </c>
      <c r="O453" s="14">
        <f>CHOOSE(CONTROL!$C$42, 20.1975, 20.1975) * CHOOSE(CONTROL!$C$21, $C$9, 100%, $E$9)</f>
        <v>20.197500000000002</v>
      </c>
      <c r="P453" s="14">
        <f>CHOOSE(CONTROL!$C$42, 20.0179, 20.0179) * CHOOSE(CONTROL!$C$21, $C$9, 100%, $E$9)</f>
        <v>20.017900000000001</v>
      </c>
      <c r="Q453" s="14">
        <f>CHOOSE(CONTROL!$C$42, 20.7922, 20.7922) * CHOOSE(CONTROL!$C$21, $C$9, 100%, $E$9)</f>
        <v>20.792200000000001</v>
      </c>
      <c r="R453" s="14">
        <f>CHOOSE(CONTROL!$C$42, 21.4312, 21.4312) * CHOOSE(CONTROL!$C$21, $C$9, 100%, $E$9)</f>
        <v>21.4312</v>
      </c>
      <c r="S453" s="14">
        <f>CHOOSE(CONTROL!$C$42, 19.5441, 19.5441) * CHOOSE(CONTROL!$C$21, $C$9, 100%, $E$9)</f>
        <v>19.5441</v>
      </c>
      <c r="T4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7">
        <f>(1000*CHOOSE(CONTROL!$C$42, 695, 695)*CHOOSE(CONTROL!$C$42, 0.5599, 0.5599)*CHOOSE(CONTROL!$C$42, 30, 30))/1000000</f>
        <v>11.673914999999997</v>
      </c>
      <c r="V453" s="57">
        <f>(1000*CHOOSE(CONTROL!$C$42, 500, 500)*CHOOSE(CONTROL!$C$42, 0.275, 0.275)*CHOOSE(CONTROL!$C$42, 30, 30))/1000000</f>
        <v>4.125</v>
      </c>
      <c r="W453" s="57">
        <f>(1000*CHOOSE(CONTROL!$C$42, 0.1146, 0.1146)*CHOOSE(CONTROL!$C$42, 121.5, 121.5)*CHOOSE(CONTROL!$C$42, 30, 30))/1000000</f>
        <v>0.417717</v>
      </c>
      <c r="X453" s="57">
        <f>(30*0.1790888*245000/1000000)+(30*0.2374*100000/1000000)</f>
        <v>2.0285026799999999</v>
      </c>
      <c r="Y453" s="57"/>
      <c r="Z453" s="14"/>
      <c r="AA453" s="56"/>
      <c r="AB453" s="50">
        <f>(B453*194.205+C453*267.466+D453*133.845+E453*53.484+F453*40+G453*185+H453*0+I453*100+J453*300)/(194.205+267.466+133.845+53.484+0+40+185+100+300)</f>
        <v>20.395166712323391</v>
      </c>
      <c r="AC453" s="45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20.022835251798561</v>
      </c>
    </row>
    <row r="454" spans="1:29" ht="15.75" x14ac:dyDescent="0.25">
      <c r="A454" s="33">
        <v>54727</v>
      </c>
      <c r="B454" s="14">
        <f>CHOOSE(CONTROL!$C$42, 19.9357, 19.9357) * CHOOSE(CONTROL!$C$21, $C$9, 100%, $E$9)</f>
        <v>19.935700000000001</v>
      </c>
      <c r="C454" s="14">
        <f>CHOOSE(CONTROL!$C$42, 19.941, 19.941) * CHOOSE(CONTROL!$C$21, $C$9, 100%, $E$9)</f>
        <v>19.940999999999999</v>
      </c>
      <c r="D454" s="14">
        <f>CHOOSE(CONTROL!$C$42, 20.1796, 20.1796) * CHOOSE(CONTROL!$C$21, $C$9, 100%, $E$9)</f>
        <v>20.179600000000001</v>
      </c>
      <c r="E454" s="14">
        <f>CHOOSE(CONTROL!$C$42, 20.2087, 20.2087) * CHOOSE(CONTROL!$C$21, $C$9, 100%, $E$9)</f>
        <v>20.2087</v>
      </c>
      <c r="F454" s="14">
        <f>CHOOSE(CONTROL!$C$42, 19.9357, 19.9357)*CHOOSE(CONTROL!$C$21, $C$9, 100%, $E$9)</f>
        <v>19.935700000000001</v>
      </c>
      <c r="G454" s="14">
        <f>CHOOSE(CONTROL!$C$42, 19.952, 19.952)*CHOOSE(CONTROL!$C$21, $C$9, 100%, $E$9)</f>
        <v>19.952000000000002</v>
      </c>
      <c r="H454" s="14">
        <f>CHOOSE(CONTROL!$C$42, 20.1992, 20.1992) * CHOOSE(CONTROL!$C$21, $C$9, 100%, $E$9)</f>
        <v>20.199200000000001</v>
      </c>
      <c r="I454" s="14">
        <f>CHOOSE(CONTROL!$C$42, 20.0158, 20.0158)* CHOOSE(CONTROL!$C$21, $C$9, 100%, $E$9)</f>
        <v>20.015799999999999</v>
      </c>
      <c r="J454" s="14">
        <f>CHOOSE(CONTROL!$C$42, 19.9287, 19.9287)* CHOOSE(CONTROL!$C$21, $C$9, 100%, $E$9)</f>
        <v>19.928699999999999</v>
      </c>
      <c r="K454" s="53">
        <f>CHOOSE(CONTROL!$C$42, 20.0119, 20.0119) * CHOOSE(CONTROL!$C$21, $C$9, 100%, $E$9)</f>
        <v>20.011900000000001</v>
      </c>
      <c r="L454" s="14">
        <f>CHOOSE(CONTROL!$C$42, 20.7862, 20.7862) * CHOOSE(CONTROL!$C$21, $C$9, 100%, $E$9)</f>
        <v>20.786200000000001</v>
      </c>
      <c r="M454" s="14">
        <f>CHOOSE(CONTROL!$C$42, 19.5281, 19.5281) * CHOOSE(CONTROL!$C$21, $C$9, 100%, $E$9)</f>
        <v>19.528099999999998</v>
      </c>
      <c r="N454" s="14">
        <f>CHOOSE(CONTROL!$C$42, 19.5441, 19.5441) * CHOOSE(CONTROL!$C$21, $C$9, 100%, $E$9)</f>
        <v>19.5441</v>
      </c>
      <c r="O454" s="14">
        <f>CHOOSE(CONTROL!$C$42, 19.793, 19.793) * CHOOSE(CONTROL!$C$21, $C$9, 100%, $E$9)</f>
        <v>19.792999999999999</v>
      </c>
      <c r="P454" s="14">
        <f>CHOOSE(CONTROL!$C$42, 19.6122, 19.6122) * CHOOSE(CONTROL!$C$21, $C$9, 100%, $E$9)</f>
        <v>19.612200000000001</v>
      </c>
      <c r="Q454" s="14">
        <f>CHOOSE(CONTROL!$C$42, 20.3877, 20.3877) * CHOOSE(CONTROL!$C$21, $C$9, 100%, $E$9)</f>
        <v>20.387699999999999</v>
      </c>
      <c r="R454" s="14">
        <f>CHOOSE(CONTROL!$C$42, 21.0257, 21.0257) * CHOOSE(CONTROL!$C$21, $C$9, 100%, $E$9)</f>
        <v>21.025700000000001</v>
      </c>
      <c r="S454" s="14">
        <f>CHOOSE(CONTROL!$C$42, 19.1473, 19.1473) * CHOOSE(CONTROL!$C$21, $C$9, 100%, $E$9)</f>
        <v>19.147300000000001</v>
      </c>
      <c r="T4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7">
        <f>(1000*CHOOSE(CONTROL!$C$42, 695, 695)*CHOOSE(CONTROL!$C$42, 0.5599, 0.5599)*CHOOSE(CONTROL!$C$42, 31, 31))/1000000</f>
        <v>12.063045499999998</v>
      </c>
      <c r="V454" s="57">
        <f>(1000*CHOOSE(CONTROL!$C$42, 500, 500)*CHOOSE(CONTROL!$C$42, 0.275, 0.275)*CHOOSE(CONTROL!$C$42, 31, 31))/1000000</f>
        <v>4.2625000000000002</v>
      </c>
      <c r="W454" s="57">
        <f>(1000*CHOOSE(CONTROL!$C$42, 0.1146, 0.1146)*CHOOSE(CONTROL!$C$42, 121.5, 121.5)*CHOOSE(CONTROL!$C$42, 31, 31))/1000000</f>
        <v>0.43164089999999994</v>
      </c>
      <c r="X454" s="57">
        <f>(31*0.1790888*245000/1000000)+(31*0.2374*100000/1000000)</f>
        <v>2.0961194359999999</v>
      </c>
      <c r="Y454" s="57"/>
      <c r="Z454" s="14"/>
      <c r="AA454" s="56"/>
      <c r="AB454" s="50">
        <f>(B454*131.881+C454*277.167+D454*79.08+E454*125.872+F454*40+G454*185+H454*0+I454*100+J454*300)/(131.881+277.167+79.08+125.872+0+40+185+100+300)</f>
        <v>19.987391003309121</v>
      </c>
      <c r="AC454" s="45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19.618208633093523</v>
      </c>
    </row>
    <row r="455" spans="1:29" ht="15.75" x14ac:dyDescent="0.25">
      <c r="A455" s="33">
        <v>54757</v>
      </c>
      <c r="B455" s="14">
        <f>CHOOSE(CONTROL!$C$42, 20.4602, 20.4602) * CHOOSE(CONTROL!$C$21, $C$9, 100%, $E$9)</f>
        <v>20.4602</v>
      </c>
      <c r="C455" s="14">
        <f>CHOOSE(CONTROL!$C$42, 20.4653, 20.4653) * CHOOSE(CONTROL!$C$21, $C$9, 100%, $E$9)</f>
        <v>20.465299999999999</v>
      </c>
      <c r="D455" s="14">
        <f>CHOOSE(CONTROL!$C$42, 20.5395, 20.5395) * CHOOSE(CONTROL!$C$21, $C$9, 100%, $E$9)</f>
        <v>20.5395</v>
      </c>
      <c r="E455" s="14">
        <f>CHOOSE(CONTROL!$C$42, 20.5736, 20.5736) * CHOOSE(CONTROL!$C$21, $C$9, 100%, $E$9)</f>
        <v>20.573599999999999</v>
      </c>
      <c r="F455" s="14">
        <f>CHOOSE(CONTROL!$C$42, 20.4723, 20.4723)*CHOOSE(CONTROL!$C$21, $C$9, 100%, $E$9)</f>
        <v>20.472300000000001</v>
      </c>
      <c r="G455" s="14">
        <f>CHOOSE(CONTROL!$C$42, 20.4889, 20.4889)*CHOOSE(CONTROL!$C$21, $C$9, 100%, $E$9)</f>
        <v>20.488900000000001</v>
      </c>
      <c r="H455" s="14">
        <f>CHOOSE(CONTROL!$C$42, 20.5628, 20.5628) * CHOOSE(CONTROL!$C$21, $C$9, 100%, $E$9)</f>
        <v>20.562799999999999</v>
      </c>
      <c r="I455" s="14">
        <f>CHOOSE(CONTROL!$C$42, 20.5486, 20.5486)* CHOOSE(CONTROL!$C$21, $C$9, 100%, $E$9)</f>
        <v>20.5486</v>
      </c>
      <c r="J455" s="14">
        <f>CHOOSE(CONTROL!$C$42, 20.4653, 20.4653)* CHOOSE(CONTROL!$C$21, $C$9, 100%, $E$9)</f>
        <v>20.465299999999999</v>
      </c>
      <c r="K455" s="53">
        <f>CHOOSE(CONTROL!$C$42, 20.5448, 20.5448) * CHOOSE(CONTROL!$C$21, $C$9, 100%, $E$9)</f>
        <v>20.544799999999999</v>
      </c>
      <c r="L455" s="14">
        <f>CHOOSE(CONTROL!$C$42, 21.1498, 21.1498) * CHOOSE(CONTROL!$C$21, $C$9, 100%, $E$9)</f>
        <v>21.149799999999999</v>
      </c>
      <c r="M455" s="14">
        <f>CHOOSE(CONTROL!$C$42, 20.0537, 20.0537) * CHOOSE(CONTROL!$C$21, $C$9, 100%, $E$9)</f>
        <v>20.053699999999999</v>
      </c>
      <c r="N455" s="14">
        <f>CHOOSE(CONTROL!$C$42, 20.0699, 20.0699) * CHOOSE(CONTROL!$C$21, $C$9, 100%, $E$9)</f>
        <v>20.069900000000001</v>
      </c>
      <c r="O455" s="14">
        <f>CHOOSE(CONTROL!$C$42, 20.1492, 20.1492) * CHOOSE(CONTROL!$C$21, $C$9, 100%, $E$9)</f>
        <v>20.1492</v>
      </c>
      <c r="P455" s="14">
        <f>CHOOSE(CONTROL!$C$42, 20.1341, 20.1341) * CHOOSE(CONTROL!$C$21, $C$9, 100%, $E$9)</f>
        <v>20.1341</v>
      </c>
      <c r="Q455" s="14">
        <f>CHOOSE(CONTROL!$C$42, 20.7439, 20.7439) * CHOOSE(CONTROL!$C$21, $C$9, 100%, $E$9)</f>
        <v>20.7439</v>
      </c>
      <c r="R455" s="14">
        <f>CHOOSE(CONTROL!$C$42, 21.3828, 21.3828) * CHOOSE(CONTROL!$C$21, $C$9, 100%, $E$9)</f>
        <v>21.3828</v>
      </c>
      <c r="S455" s="14">
        <f>CHOOSE(CONTROL!$C$42, 19.6517, 19.6517) * CHOOSE(CONTROL!$C$21, $C$9, 100%, $E$9)</f>
        <v>19.651700000000002</v>
      </c>
      <c r="T4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7">
        <f>(1000*CHOOSE(CONTROL!$C$42, 695, 695)*CHOOSE(CONTROL!$C$42, 0.5599, 0.5599)*CHOOSE(CONTROL!$C$42, 30, 30))/1000000</f>
        <v>11.673914999999997</v>
      </c>
      <c r="V455" s="57">
        <f>(1000*CHOOSE(CONTROL!$C$42, 500, 500)*CHOOSE(CONTROL!$C$42, 0.275, 0.275)*CHOOSE(CONTROL!$C$42, 30, 30))/1000000</f>
        <v>4.125</v>
      </c>
      <c r="W455" s="57">
        <f>(1000*CHOOSE(CONTROL!$C$42, 0.1146, 0.1146)*CHOOSE(CONTROL!$C$42, 121.5, 121.5)*CHOOSE(CONTROL!$C$42, 30, 30))/1000000</f>
        <v>0.417717</v>
      </c>
      <c r="X455" s="57">
        <f>(30*0.1790888*100000/1000000)+(30*0.2374*100000/1000000)</f>
        <v>1.2494664</v>
      </c>
      <c r="Y455" s="57"/>
      <c r="Z455" s="14"/>
      <c r="AA455" s="56"/>
      <c r="AB455" s="50">
        <f>(B455*122.58+C455*297.941+D455*89.177+E455*40.302+F455*40+G455*160+H455*0+I455*100+J455*300)/(122.58+297.941+89.177+40.302+0+40+160+100+300)</f>
        <v>20.485076071304348</v>
      </c>
      <c r="AC455" s="45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20.109484892086332</v>
      </c>
    </row>
    <row r="456" spans="1:29" ht="15.75" x14ac:dyDescent="0.25">
      <c r="A456" s="33">
        <v>54788</v>
      </c>
      <c r="B456" s="14">
        <f>CHOOSE(CONTROL!$C$42, 21.8545, 21.8545) * CHOOSE(CONTROL!$C$21, $C$9, 100%, $E$9)</f>
        <v>21.854500000000002</v>
      </c>
      <c r="C456" s="14">
        <f>CHOOSE(CONTROL!$C$42, 21.8596, 21.8596) * CHOOSE(CONTROL!$C$21, $C$9, 100%, $E$9)</f>
        <v>21.8596</v>
      </c>
      <c r="D456" s="14">
        <f>CHOOSE(CONTROL!$C$42, 21.9338, 21.9338) * CHOOSE(CONTROL!$C$21, $C$9, 100%, $E$9)</f>
        <v>21.933800000000002</v>
      </c>
      <c r="E456" s="14">
        <f>CHOOSE(CONTROL!$C$42, 21.9679, 21.9679) * CHOOSE(CONTROL!$C$21, $C$9, 100%, $E$9)</f>
        <v>21.9679</v>
      </c>
      <c r="F456" s="14">
        <f>CHOOSE(CONTROL!$C$42, 21.8688, 21.8688)*CHOOSE(CONTROL!$C$21, $C$9, 100%, $E$9)</f>
        <v>21.8688</v>
      </c>
      <c r="G456" s="14">
        <f>CHOOSE(CONTROL!$C$42, 21.8859, 21.8859)*CHOOSE(CONTROL!$C$21, $C$9, 100%, $E$9)</f>
        <v>21.885899999999999</v>
      </c>
      <c r="H456" s="14">
        <f>CHOOSE(CONTROL!$C$42, 21.9571, 21.9571) * CHOOSE(CONTROL!$C$21, $C$9, 100%, $E$9)</f>
        <v>21.957100000000001</v>
      </c>
      <c r="I456" s="14">
        <f>CHOOSE(CONTROL!$C$42, 21.9473, 21.9473)* CHOOSE(CONTROL!$C$21, $C$9, 100%, $E$9)</f>
        <v>21.947299999999998</v>
      </c>
      <c r="J456" s="14">
        <f>CHOOSE(CONTROL!$C$42, 21.8618, 21.8618)* CHOOSE(CONTROL!$C$21, $C$9, 100%, $E$9)</f>
        <v>21.861799999999999</v>
      </c>
      <c r="K456" s="53">
        <f>CHOOSE(CONTROL!$C$42, 21.9434, 21.9434) * CHOOSE(CONTROL!$C$21, $C$9, 100%, $E$9)</f>
        <v>21.9434</v>
      </c>
      <c r="L456" s="14">
        <f>CHOOSE(CONTROL!$C$42, 22.5441, 22.5441) * CHOOSE(CONTROL!$C$21, $C$9, 100%, $E$9)</f>
        <v>22.5441</v>
      </c>
      <c r="M456" s="14">
        <f>CHOOSE(CONTROL!$C$42, 21.4215, 21.4215) * CHOOSE(CONTROL!$C$21, $C$9, 100%, $E$9)</f>
        <v>21.421500000000002</v>
      </c>
      <c r="N456" s="14">
        <f>CHOOSE(CONTROL!$C$42, 21.4384, 21.4384) * CHOOSE(CONTROL!$C$21, $C$9, 100%, $E$9)</f>
        <v>21.438400000000001</v>
      </c>
      <c r="O456" s="14">
        <f>CHOOSE(CONTROL!$C$42, 21.5149, 21.5149) * CHOOSE(CONTROL!$C$21, $C$9, 100%, $E$9)</f>
        <v>21.514900000000001</v>
      </c>
      <c r="P456" s="14">
        <f>CHOOSE(CONTROL!$C$42, 21.504, 21.504) * CHOOSE(CONTROL!$C$21, $C$9, 100%, $E$9)</f>
        <v>21.504000000000001</v>
      </c>
      <c r="Q456" s="14">
        <f>CHOOSE(CONTROL!$C$42, 22.1096, 22.1096) * CHOOSE(CONTROL!$C$21, $C$9, 100%, $E$9)</f>
        <v>22.1096</v>
      </c>
      <c r="R456" s="14">
        <f>CHOOSE(CONTROL!$C$42, 22.7519, 22.7519) * CHOOSE(CONTROL!$C$21, $C$9, 100%, $E$9)</f>
        <v>22.751899999999999</v>
      </c>
      <c r="S456" s="14">
        <f>CHOOSE(CONTROL!$C$42, 20.9915, 20.9915) * CHOOSE(CONTROL!$C$21, $C$9, 100%, $E$9)</f>
        <v>20.991499999999998</v>
      </c>
      <c r="T4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7">
        <f>(1000*CHOOSE(CONTROL!$C$42, 695, 695)*CHOOSE(CONTROL!$C$42, 0.5599, 0.5599)*CHOOSE(CONTROL!$C$42, 31, 31))/1000000</f>
        <v>12.063045499999998</v>
      </c>
      <c r="V456" s="57">
        <f>(1000*CHOOSE(CONTROL!$C$42, 500, 500)*CHOOSE(CONTROL!$C$42, 0.275, 0.275)*CHOOSE(CONTROL!$C$42, 31, 31))/1000000</f>
        <v>4.2625000000000002</v>
      </c>
      <c r="W456" s="57">
        <f>(1000*CHOOSE(CONTROL!$C$42, 0.1146, 0.1146)*CHOOSE(CONTROL!$C$42, 121.5, 121.5)*CHOOSE(CONTROL!$C$42, 31, 31))/1000000</f>
        <v>0.43164089999999994</v>
      </c>
      <c r="X456" s="57">
        <f>(31*0.1790888*100000/1000000)+(31*0.2374*100000/1000000)</f>
        <v>1.2911152800000001</v>
      </c>
      <c r="Y456" s="57"/>
      <c r="Z456" s="14"/>
      <c r="AA456" s="56"/>
      <c r="AB456" s="50">
        <f>(B456*122.58+C456*297.941+D456*89.177+E456*40.302+F456*40+G456*160+H456*0+I456*100+J456*300)/(122.58+297.941+89.177+40.302+0+40+160+100+300)</f>
        <v>21.880784766956523</v>
      </c>
      <c r="AC456" s="45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21.476675539568348</v>
      </c>
    </row>
    <row r="457" spans="1:29" ht="15.75" x14ac:dyDescent="0.25">
      <c r="A457" s="33">
        <v>54819</v>
      </c>
      <c r="B457" s="14">
        <f>CHOOSE(CONTROL!$C$42, 23.6655, 23.6655) * CHOOSE(CONTROL!$C$21, $C$9, 100%, $E$9)</f>
        <v>23.665500000000002</v>
      </c>
      <c r="C457" s="14">
        <f>CHOOSE(CONTROL!$C$42, 23.6706, 23.6706) * CHOOSE(CONTROL!$C$21, $C$9, 100%, $E$9)</f>
        <v>23.6706</v>
      </c>
      <c r="D457" s="14">
        <f>CHOOSE(CONTROL!$C$42, 23.7474, 23.7474) * CHOOSE(CONTROL!$C$21, $C$9, 100%, $E$9)</f>
        <v>23.747399999999999</v>
      </c>
      <c r="E457" s="14">
        <f>CHOOSE(CONTROL!$C$42, 23.7815, 23.7815) * CHOOSE(CONTROL!$C$21, $C$9, 100%, $E$9)</f>
        <v>23.781500000000001</v>
      </c>
      <c r="F457" s="14">
        <f>CHOOSE(CONTROL!$C$42, 23.6657, 23.6657)*CHOOSE(CONTROL!$C$21, $C$9, 100%, $E$9)</f>
        <v>23.665700000000001</v>
      </c>
      <c r="G457" s="14">
        <f>CHOOSE(CONTROL!$C$42, 23.6819, 23.6819)*CHOOSE(CONTROL!$C$21, $C$9, 100%, $E$9)</f>
        <v>23.681899999999999</v>
      </c>
      <c r="H457" s="14">
        <f>CHOOSE(CONTROL!$C$42, 23.7707, 23.7707) * CHOOSE(CONTROL!$C$21, $C$9, 100%, $E$9)</f>
        <v>23.770700000000001</v>
      </c>
      <c r="I457" s="14">
        <f>CHOOSE(CONTROL!$C$42, 23.7577, 23.7577)* CHOOSE(CONTROL!$C$21, $C$9, 100%, $E$9)</f>
        <v>23.7577</v>
      </c>
      <c r="J457" s="14">
        <f>CHOOSE(CONTROL!$C$42, 23.6587, 23.6587)* CHOOSE(CONTROL!$C$21, $C$9, 100%, $E$9)</f>
        <v>23.6587</v>
      </c>
      <c r="K457" s="53">
        <f>CHOOSE(CONTROL!$C$42, 23.7538, 23.7538) * CHOOSE(CONTROL!$C$21, $C$9, 100%, $E$9)</f>
        <v>23.753799999999998</v>
      </c>
      <c r="L457" s="14">
        <f>CHOOSE(CONTROL!$C$42, 24.3577, 24.3577) * CHOOSE(CONTROL!$C$21, $C$9, 100%, $E$9)</f>
        <v>24.357700000000001</v>
      </c>
      <c r="M457" s="14">
        <f>CHOOSE(CONTROL!$C$42, 23.1816, 23.1816) * CHOOSE(CONTROL!$C$21, $C$9, 100%, $E$9)</f>
        <v>23.1816</v>
      </c>
      <c r="N457" s="14">
        <f>CHOOSE(CONTROL!$C$42, 23.1975, 23.1975) * CHOOSE(CONTROL!$C$21, $C$9, 100%, $E$9)</f>
        <v>23.197500000000002</v>
      </c>
      <c r="O457" s="14">
        <f>CHOOSE(CONTROL!$C$42, 23.2913, 23.2913) * CHOOSE(CONTROL!$C$21, $C$9, 100%, $E$9)</f>
        <v>23.2913</v>
      </c>
      <c r="P457" s="14">
        <f>CHOOSE(CONTROL!$C$42, 23.2772, 23.2772) * CHOOSE(CONTROL!$C$21, $C$9, 100%, $E$9)</f>
        <v>23.277200000000001</v>
      </c>
      <c r="Q457" s="14">
        <f>CHOOSE(CONTROL!$C$42, 23.886, 23.886) * CHOOSE(CONTROL!$C$21, $C$9, 100%, $E$9)</f>
        <v>23.885999999999999</v>
      </c>
      <c r="R457" s="14">
        <f>CHOOSE(CONTROL!$C$42, 24.5327, 24.5327) * CHOOSE(CONTROL!$C$21, $C$9, 100%, $E$9)</f>
        <v>24.532699999999998</v>
      </c>
      <c r="S457" s="14">
        <f>CHOOSE(CONTROL!$C$42, 22.7316, 22.7316) * CHOOSE(CONTROL!$C$21, $C$9, 100%, $E$9)</f>
        <v>22.7316</v>
      </c>
      <c r="T4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7">
        <f>(1000*CHOOSE(CONTROL!$C$42, 695, 695)*CHOOSE(CONTROL!$C$42, 0.5599, 0.5599)*CHOOSE(CONTROL!$C$42, 31, 31))/1000000</f>
        <v>12.063045499999998</v>
      </c>
      <c r="V457" s="57">
        <f>(1000*CHOOSE(CONTROL!$C$42, 500, 500)*CHOOSE(CONTROL!$C$42, 0.275, 0.275)*CHOOSE(CONTROL!$C$42, 31, 31))/1000000</f>
        <v>4.2625000000000002</v>
      </c>
      <c r="W457" s="57">
        <f>(1000*CHOOSE(CONTROL!$C$42, 0.1146, 0.1146)*CHOOSE(CONTROL!$C$42, 121.5, 121.5)*CHOOSE(CONTROL!$C$42, 31, 31))/1000000</f>
        <v>0.43164089999999994</v>
      </c>
      <c r="X457" s="57">
        <f>(31*0.1790888*100000/1000000)+(31*0.2374*100000/1000000)</f>
        <v>1.2911152800000001</v>
      </c>
      <c r="Y457" s="57"/>
      <c r="Z457" s="14"/>
      <c r="AA457" s="56"/>
      <c r="AB457" s="50">
        <f>(B457*122.58+C457*297.941+D457*89.177+E457*40.302+F457*40+G457*160+H457*0+I457*100+J457*300)/(122.58+297.941+89.177+40.302+0+40+160+100+300)</f>
        <v>23.685769676</v>
      </c>
      <c r="AC457" s="45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23.245990647482017</v>
      </c>
    </row>
    <row r="458" spans="1:29" ht="15.75" x14ac:dyDescent="0.25">
      <c r="A458" s="33">
        <v>54847</v>
      </c>
      <c r="B458" s="14">
        <f>CHOOSE(CONTROL!$C$42, 24.0866, 24.0866) * CHOOSE(CONTROL!$C$21, $C$9, 100%, $E$9)</f>
        <v>24.086600000000001</v>
      </c>
      <c r="C458" s="14">
        <f>CHOOSE(CONTROL!$C$42, 24.0917, 24.0917) * CHOOSE(CONTROL!$C$21, $C$9, 100%, $E$9)</f>
        <v>24.091699999999999</v>
      </c>
      <c r="D458" s="14">
        <f>CHOOSE(CONTROL!$C$42, 24.1685, 24.1685) * CHOOSE(CONTROL!$C$21, $C$9, 100%, $E$9)</f>
        <v>24.168500000000002</v>
      </c>
      <c r="E458" s="14">
        <f>CHOOSE(CONTROL!$C$42, 24.2026, 24.2026) * CHOOSE(CONTROL!$C$21, $C$9, 100%, $E$9)</f>
        <v>24.2026</v>
      </c>
      <c r="F458" s="14">
        <f>CHOOSE(CONTROL!$C$42, 24.0869, 24.0869)*CHOOSE(CONTROL!$C$21, $C$9, 100%, $E$9)</f>
        <v>24.0869</v>
      </c>
      <c r="G458" s="14">
        <f>CHOOSE(CONTROL!$C$42, 24.1031, 24.1031)*CHOOSE(CONTROL!$C$21, $C$9, 100%, $E$9)</f>
        <v>24.103100000000001</v>
      </c>
      <c r="H458" s="14">
        <f>CHOOSE(CONTROL!$C$42, 24.1918, 24.1918) * CHOOSE(CONTROL!$C$21, $C$9, 100%, $E$9)</f>
        <v>24.191800000000001</v>
      </c>
      <c r="I458" s="14">
        <f>CHOOSE(CONTROL!$C$42, 24.1801, 24.1801)* CHOOSE(CONTROL!$C$21, $C$9, 100%, $E$9)</f>
        <v>24.180099999999999</v>
      </c>
      <c r="J458" s="14">
        <f>CHOOSE(CONTROL!$C$42, 24.0799, 24.0799)* CHOOSE(CONTROL!$C$21, $C$9, 100%, $E$9)</f>
        <v>24.079899999999999</v>
      </c>
      <c r="K458" s="53">
        <f>CHOOSE(CONTROL!$C$42, 24.1762, 24.1762) * CHOOSE(CONTROL!$C$21, $C$9, 100%, $E$9)</f>
        <v>24.176200000000001</v>
      </c>
      <c r="L458" s="14">
        <f>CHOOSE(CONTROL!$C$42, 24.7788, 24.7788) * CHOOSE(CONTROL!$C$21, $C$9, 100%, $E$9)</f>
        <v>24.7788</v>
      </c>
      <c r="M458" s="14">
        <f>CHOOSE(CONTROL!$C$42, 23.5942, 23.5942) * CHOOSE(CONTROL!$C$21, $C$9, 100%, $E$9)</f>
        <v>23.594200000000001</v>
      </c>
      <c r="N458" s="14">
        <f>CHOOSE(CONTROL!$C$42, 23.6101, 23.6101) * CHOOSE(CONTROL!$C$21, $C$9, 100%, $E$9)</f>
        <v>23.610099999999999</v>
      </c>
      <c r="O458" s="14">
        <f>CHOOSE(CONTROL!$C$42, 23.7038, 23.7038) * CHOOSE(CONTROL!$C$21, $C$9, 100%, $E$9)</f>
        <v>23.703800000000001</v>
      </c>
      <c r="P458" s="14">
        <f>CHOOSE(CONTROL!$C$42, 23.6909, 23.6909) * CHOOSE(CONTROL!$C$21, $C$9, 100%, $E$9)</f>
        <v>23.690899999999999</v>
      </c>
      <c r="Q458" s="14">
        <f>CHOOSE(CONTROL!$C$42, 24.2985, 24.2985) * CHOOSE(CONTROL!$C$21, $C$9, 100%, $E$9)</f>
        <v>24.298500000000001</v>
      </c>
      <c r="R458" s="14">
        <f>CHOOSE(CONTROL!$C$42, 24.9463, 24.9463) * CHOOSE(CONTROL!$C$21, $C$9, 100%, $E$9)</f>
        <v>24.946300000000001</v>
      </c>
      <c r="S458" s="14">
        <f>CHOOSE(CONTROL!$C$42, 23.1363, 23.1363) * CHOOSE(CONTROL!$C$21, $C$9, 100%, $E$9)</f>
        <v>23.136299999999999</v>
      </c>
      <c r="T4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7">
        <f>(1000*CHOOSE(CONTROL!$C$42, 695, 695)*CHOOSE(CONTROL!$C$42, 0.5599, 0.5599)*CHOOSE(CONTROL!$C$42, 28, 28))/1000000</f>
        <v>10.895653999999999</v>
      </c>
      <c r="V458" s="57">
        <f>(1000*CHOOSE(CONTROL!$C$42, 500, 500)*CHOOSE(CONTROL!$C$42, 0.275, 0.275)*CHOOSE(CONTROL!$C$42, 28, 28))/1000000</f>
        <v>3.85</v>
      </c>
      <c r="W458" s="57">
        <f>(1000*CHOOSE(CONTROL!$C$42, 0.1146, 0.1146)*CHOOSE(CONTROL!$C$42, 121.5, 121.5)*CHOOSE(CONTROL!$C$42, 28, 28))/1000000</f>
        <v>0.38986920000000003</v>
      </c>
      <c r="X458" s="57">
        <f>(28*0.1790888*100000/1000000)+(28*0.2374*100000/1000000)</f>
        <v>1.16616864</v>
      </c>
      <c r="Y458" s="57"/>
      <c r="Z458" s="14"/>
      <c r="AA458" s="56"/>
      <c r="AB458" s="50">
        <f>(B458*122.58+C458*297.941+D458*89.177+E458*40.302+F458*40+G458*160+H458*0+I458*100+J458*300)/(122.58+297.941+89.177+40.302+0+40+160+100+300)</f>
        <v>24.107026197739128</v>
      </c>
      <c r="AC458" s="45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23.658703597122301</v>
      </c>
    </row>
    <row r="459" spans="1:29" ht="15.75" x14ac:dyDescent="0.25">
      <c r="A459" s="33">
        <v>54878</v>
      </c>
      <c r="B459" s="14">
        <f>CHOOSE(CONTROL!$C$42, 23.403, 23.403) * CHOOSE(CONTROL!$C$21, $C$9, 100%, $E$9)</f>
        <v>23.402999999999999</v>
      </c>
      <c r="C459" s="14">
        <f>CHOOSE(CONTROL!$C$42, 23.4081, 23.4081) * CHOOSE(CONTROL!$C$21, $C$9, 100%, $E$9)</f>
        <v>23.408100000000001</v>
      </c>
      <c r="D459" s="14">
        <f>CHOOSE(CONTROL!$C$42, 23.4849, 23.4849) * CHOOSE(CONTROL!$C$21, $C$9, 100%, $E$9)</f>
        <v>23.4849</v>
      </c>
      <c r="E459" s="14">
        <f>CHOOSE(CONTROL!$C$42, 23.519, 23.519) * CHOOSE(CONTROL!$C$21, $C$9, 100%, $E$9)</f>
        <v>23.518999999999998</v>
      </c>
      <c r="F459" s="14">
        <f>CHOOSE(CONTROL!$C$42, 23.4028, 23.4028)*CHOOSE(CONTROL!$C$21, $C$9, 100%, $E$9)</f>
        <v>23.402799999999999</v>
      </c>
      <c r="G459" s="14">
        <f>CHOOSE(CONTROL!$C$42, 23.4189, 23.4189)*CHOOSE(CONTROL!$C$21, $C$9, 100%, $E$9)</f>
        <v>23.418900000000001</v>
      </c>
      <c r="H459" s="14">
        <f>CHOOSE(CONTROL!$C$42, 23.5082, 23.5082) * CHOOSE(CONTROL!$C$21, $C$9, 100%, $E$9)</f>
        <v>23.508199999999999</v>
      </c>
      <c r="I459" s="14">
        <f>CHOOSE(CONTROL!$C$42, 23.4944, 23.4944)* CHOOSE(CONTROL!$C$21, $C$9, 100%, $E$9)</f>
        <v>23.494399999999999</v>
      </c>
      <c r="J459" s="14">
        <f>CHOOSE(CONTROL!$C$42, 23.3958, 23.3958)* CHOOSE(CONTROL!$C$21, $C$9, 100%, $E$9)</f>
        <v>23.395800000000001</v>
      </c>
      <c r="K459" s="53">
        <f>CHOOSE(CONTROL!$C$42, 23.4905, 23.4905) * CHOOSE(CONTROL!$C$21, $C$9, 100%, $E$9)</f>
        <v>23.490500000000001</v>
      </c>
      <c r="L459" s="14">
        <f>CHOOSE(CONTROL!$C$42, 24.0952, 24.0952) * CHOOSE(CONTROL!$C$21, $C$9, 100%, $E$9)</f>
        <v>24.095199999999998</v>
      </c>
      <c r="M459" s="14">
        <f>CHOOSE(CONTROL!$C$42, 22.9242, 22.9242) * CHOOSE(CONTROL!$C$21, $C$9, 100%, $E$9)</f>
        <v>22.924199999999999</v>
      </c>
      <c r="N459" s="14">
        <f>CHOOSE(CONTROL!$C$42, 22.9399, 22.9399) * CHOOSE(CONTROL!$C$21, $C$9, 100%, $E$9)</f>
        <v>22.939900000000002</v>
      </c>
      <c r="O459" s="14">
        <f>CHOOSE(CONTROL!$C$42, 23.0343, 23.0343) * CHOOSE(CONTROL!$C$21, $C$9, 100%, $E$9)</f>
        <v>23.034300000000002</v>
      </c>
      <c r="P459" s="14">
        <f>CHOOSE(CONTROL!$C$42, 23.0193, 23.0193) * CHOOSE(CONTROL!$C$21, $C$9, 100%, $E$9)</f>
        <v>23.019300000000001</v>
      </c>
      <c r="Q459" s="14">
        <f>CHOOSE(CONTROL!$C$42, 23.629, 23.629) * CHOOSE(CONTROL!$C$21, $C$9, 100%, $E$9)</f>
        <v>23.629000000000001</v>
      </c>
      <c r="R459" s="14">
        <f>CHOOSE(CONTROL!$C$42, 24.275, 24.275) * CHOOSE(CONTROL!$C$21, $C$9, 100%, $E$9)</f>
        <v>24.274999999999999</v>
      </c>
      <c r="S459" s="14">
        <f>CHOOSE(CONTROL!$C$42, 22.4794, 22.4794) * CHOOSE(CONTROL!$C$21, $C$9, 100%, $E$9)</f>
        <v>22.479399999999998</v>
      </c>
      <c r="T4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7">
        <f>(1000*CHOOSE(CONTROL!$C$42, 695, 695)*CHOOSE(CONTROL!$C$42, 0.5599, 0.5599)*CHOOSE(CONTROL!$C$42, 31, 31))/1000000</f>
        <v>12.063045499999998</v>
      </c>
      <c r="V459" s="57">
        <f>(1000*CHOOSE(CONTROL!$C$42, 500, 500)*CHOOSE(CONTROL!$C$42, 0.275, 0.275)*CHOOSE(CONTROL!$C$42, 31, 31))/1000000</f>
        <v>4.2625000000000002</v>
      </c>
      <c r="W459" s="57">
        <f>(1000*CHOOSE(CONTROL!$C$42, 0.1146, 0.1146)*CHOOSE(CONTROL!$C$42, 121.5, 121.5)*CHOOSE(CONTROL!$C$42, 31, 31))/1000000</f>
        <v>0.43164089999999994</v>
      </c>
      <c r="X459" s="57">
        <f>(31*0.1790888*100000/1000000)+(31*0.2374*100000/1000000)</f>
        <v>1.2911152800000001</v>
      </c>
      <c r="Y459" s="57"/>
      <c r="Z459" s="14"/>
      <c r="AA459" s="56"/>
      <c r="AB459" s="50">
        <f>(B459*122.58+C459*297.941+D459*89.177+E459*40.302+F459*40+G459*160+H459*0+I459*100+J459*300)/(122.58+297.941+89.177+40.302+0+40+160+100+300)</f>
        <v>23.423012284695652</v>
      </c>
      <c r="AC459" s="45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22.988688489208634</v>
      </c>
    </row>
    <row r="460" spans="1:29" ht="15.75" x14ac:dyDescent="0.25">
      <c r="A460" s="33">
        <v>54908</v>
      </c>
      <c r="B460" s="14">
        <f>CHOOSE(CONTROL!$C$42, 23.3342, 23.3342) * CHOOSE(CONTROL!$C$21, $C$9, 100%, $E$9)</f>
        <v>23.334199999999999</v>
      </c>
      <c r="C460" s="14">
        <f>CHOOSE(CONTROL!$C$42, 23.3387, 23.3387) * CHOOSE(CONTROL!$C$21, $C$9, 100%, $E$9)</f>
        <v>23.338699999999999</v>
      </c>
      <c r="D460" s="14">
        <f>CHOOSE(CONTROL!$C$42, 23.5755, 23.5755) * CHOOSE(CONTROL!$C$21, $C$9, 100%, $E$9)</f>
        <v>23.575500000000002</v>
      </c>
      <c r="E460" s="14">
        <f>CHOOSE(CONTROL!$C$42, 23.6076, 23.6076) * CHOOSE(CONTROL!$C$21, $C$9, 100%, $E$9)</f>
        <v>23.607600000000001</v>
      </c>
      <c r="F460" s="14">
        <f>CHOOSE(CONTROL!$C$42, 23.3322, 23.3322)*CHOOSE(CONTROL!$C$21, $C$9, 100%, $E$9)</f>
        <v>23.3322</v>
      </c>
      <c r="G460" s="14">
        <f>CHOOSE(CONTROL!$C$42, 23.348, 23.348)*CHOOSE(CONTROL!$C$21, $C$9, 100%, $E$9)</f>
        <v>23.347999999999999</v>
      </c>
      <c r="H460" s="14">
        <f>CHOOSE(CONTROL!$C$42, 23.5973, 23.5973) * CHOOSE(CONTROL!$C$21, $C$9, 100%, $E$9)</f>
        <v>23.597300000000001</v>
      </c>
      <c r="I460" s="14">
        <f>CHOOSE(CONTROL!$C$42, 23.4246, 23.4246)* CHOOSE(CONTROL!$C$21, $C$9, 100%, $E$9)</f>
        <v>23.424600000000002</v>
      </c>
      <c r="J460" s="14">
        <f>CHOOSE(CONTROL!$C$42, 23.3252, 23.3252)* CHOOSE(CONTROL!$C$21, $C$9, 100%, $E$9)</f>
        <v>23.325199999999999</v>
      </c>
      <c r="K460" s="53">
        <f>CHOOSE(CONTROL!$C$42, 23.4207, 23.4207) * CHOOSE(CONTROL!$C$21, $C$9, 100%, $E$9)</f>
        <v>23.4207</v>
      </c>
      <c r="L460" s="14">
        <f>CHOOSE(CONTROL!$C$42, 24.1843, 24.1843) * CHOOSE(CONTROL!$C$21, $C$9, 100%, $E$9)</f>
        <v>24.1843</v>
      </c>
      <c r="M460" s="14">
        <f>CHOOSE(CONTROL!$C$42, 22.855, 22.855) * CHOOSE(CONTROL!$C$21, $C$9, 100%, $E$9)</f>
        <v>22.855</v>
      </c>
      <c r="N460" s="14">
        <f>CHOOSE(CONTROL!$C$42, 22.8705, 22.8705) * CHOOSE(CONTROL!$C$21, $C$9, 100%, $E$9)</f>
        <v>22.8705</v>
      </c>
      <c r="O460" s="14">
        <f>CHOOSE(CONTROL!$C$42, 23.1215, 23.1215) * CHOOSE(CONTROL!$C$21, $C$9, 100%, $E$9)</f>
        <v>23.121500000000001</v>
      </c>
      <c r="P460" s="14">
        <f>CHOOSE(CONTROL!$C$42, 22.9509, 22.9509) * CHOOSE(CONTROL!$C$21, $C$9, 100%, $E$9)</f>
        <v>22.950900000000001</v>
      </c>
      <c r="Q460" s="14">
        <f>CHOOSE(CONTROL!$C$42, 23.7162, 23.7162) * CHOOSE(CONTROL!$C$21, $C$9, 100%, $E$9)</f>
        <v>23.716200000000001</v>
      </c>
      <c r="R460" s="14">
        <f>CHOOSE(CONTROL!$C$42, 24.3625, 24.3625) * CHOOSE(CONTROL!$C$21, $C$9, 100%, $E$9)</f>
        <v>24.362500000000001</v>
      </c>
      <c r="S460" s="14">
        <f>CHOOSE(CONTROL!$C$42, 22.4126, 22.4126) * CHOOSE(CONTROL!$C$21, $C$9, 100%, $E$9)</f>
        <v>22.412600000000001</v>
      </c>
      <c r="T4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7">
        <f>(1000*CHOOSE(CONTROL!$C$42, 695, 695)*CHOOSE(CONTROL!$C$42, 0.5599, 0.5599)*CHOOSE(CONTROL!$C$42, 30, 30))/1000000</f>
        <v>11.673914999999997</v>
      </c>
      <c r="V460" s="57">
        <f>(1000*CHOOSE(CONTROL!$C$42, 500, 500)*CHOOSE(CONTROL!$C$42, 0.275, 0.275)*CHOOSE(CONTROL!$C$42, 30, 30))/1000000</f>
        <v>4.125</v>
      </c>
      <c r="W460" s="57">
        <f>(1000*CHOOSE(CONTROL!$C$42, 0.1146, 0.1146)*CHOOSE(CONTROL!$C$42, 121.5, 121.5)*CHOOSE(CONTROL!$C$42, 30, 30))/1000000</f>
        <v>0.417717</v>
      </c>
      <c r="X460" s="57">
        <f>(30*0.1790888*245000/1000000)+(30*0.2374*100000/1000000)</f>
        <v>2.0285026799999999</v>
      </c>
      <c r="Y460" s="57"/>
      <c r="Z460" s="14"/>
      <c r="AA460" s="56"/>
      <c r="AB460" s="50">
        <f>(B460*141.293+C460*267.993+D460*115.016+E460*89.698+F460*40+G460*185+H460*0+I460*100+J460*300)/(141.293+267.993+115.016+89.698+0+40+185+100+300)</f>
        <v>23.384479065778851</v>
      </c>
      <c r="AC460" s="45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22.947140287769784</v>
      </c>
    </row>
    <row r="461" spans="1:29" ht="15.75" x14ac:dyDescent="0.25">
      <c r="A461" s="33">
        <v>54939</v>
      </c>
      <c r="B461" s="14">
        <f>CHOOSE(CONTROL!$C$42, 23.5415, 23.5415) * CHOOSE(CONTROL!$C$21, $C$9, 100%, $E$9)</f>
        <v>23.541499999999999</v>
      </c>
      <c r="C461" s="14">
        <f>CHOOSE(CONTROL!$C$42, 23.5495, 23.5495) * CHOOSE(CONTROL!$C$21, $C$9, 100%, $E$9)</f>
        <v>23.549499999999998</v>
      </c>
      <c r="D461" s="14">
        <f>CHOOSE(CONTROL!$C$42, 23.7831, 23.7831) * CHOOSE(CONTROL!$C$21, $C$9, 100%, $E$9)</f>
        <v>23.783100000000001</v>
      </c>
      <c r="E461" s="14">
        <f>CHOOSE(CONTROL!$C$42, 23.8146, 23.8146) * CHOOSE(CONTROL!$C$21, $C$9, 100%, $E$9)</f>
        <v>23.814599999999999</v>
      </c>
      <c r="F461" s="14">
        <f>CHOOSE(CONTROL!$C$42, 23.5383, 23.5383)*CHOOSE(CONTROL!$C$21, $C$9, 100%, $E$9)</f>
        <v>23.5383</v>
      </c>
      <c r="G461" s="14">
        <f>CHOOSE(CONTROL!$C$42, 23.5546, 23.5546)*CHOOSE(CONTROL!$C$21, $C$9, 100%, $E$9)</f>
        <v>23.554600000000001</v>
      </c>
      <c r="H461" s="14">
        <f>CHOOSE(CONTROL!$C$42, 23.8032, 23.8032) * CHOOSE(CONTROL!$C$21, $C$9, 100%, $E$9)</f>
        <v>23.8032</v>
      </c>
      <c r="I461" s="14">
        <f>CHOOSE(CONTROL!$C$42, 23.6311, 23.6311)* CHOOSE(CONTROL!$C$21, $C$9, 100%, $E$9)</f>
        <v>23.6311</v>
      </c>
      <c r="J461" s="14">
        <f>CHOOSE(CONTROL!$C$42, 23.5313, 23.5313)* CHOOSE(CONTROL!$C$21, $C$9, 100%, $E$9)</f>
        <v>23.531300000000002</v>
      </c>
      <c r="K461" s="53">
        <f>CHOOSE(CONTROL!$C$42, 23.6272, 23.6272) * CHOOSE(CONTROL!$C$21, $C$9, 100%, $E$9)</f>
        <v>23.627199999999998</v>
      </c>
      <c r="L461" s="14">
        <f>CHOOSE(CONTROL!$C$42, 24.3902, 24.3902) * CHOOSE(CONTROL!$C$21, $C$9, 100%, $E$9)</f>
        <v>24.3902</v>
      </c>
      <c r="M461" s="14">
        <f>CHOOSE(CONTROL!$C$42, 23.0568, 23.0568) * CHOOSE(CONTROL!$C$21, $C$9, 100%, $E$9)</f>
        <v>23.056799999999999</v>
      </c>
      <c r="N461" s="14">
        <f>CHOOSE(CONTROL!$C$42, 23.0728, 23.0728) * CHOOSE(CONTROL!$C$21, $C$9, 100%, $E$9)</f>
        <v>23.072800000000001</v>
      </c>
      <c r="O461" s="14">
        <f>CHOOSE(CONTROL!$C$42, 23.3232, 23.3232) * CHOOSE(CONTROL!$C$21, $C$9, 100%, $E$9)</f>
        <v>23.3232</v>
      </c>
      <c r="P461" s="14">
        <f>CHOOSE(CONTROL!$C$42, 23.1532, 23.1532) * CHOOSE(CONTROL!$C$21, $C$9, 100%, $E$9)</f>
        <v>23.153199999999998</v>
      </c>
      <c r="Q461" s="14">
        <f>CHOOSE(CONTROL!$C$42, 23.9179, 23.9179) * CHOOSE(CONTROL!$C$21, $C$9, 100%, $E$9)</f>
        <v>23.917899999999999</v>
      </c>
      <c r="R461" s="14">
        <f>CHOOSE(CONTROL!$C$42, 24.5647, 24.5647) * CHOOSE(CONTROL!$C$21, $C$9, 100%, $E$9)</f>
        <v>24.564699999999998</v>
      </c>
      <c r="S461" s="14">
        <f>CHOOSE(CONTROL!$C$42, 22.6104, 22.6104) * CHOOSE(CONTROL!$C$21, $C$9, 100%, $E$9)</f>
        <v>22.610399999999998</v>
      </c>
      <c r="T4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7">
        <f>(1000*CHOOSE(CONTROL!$C$42, 695, 695)*CHOOSE(CONTROL!$C$42, 0.5599, 0.5599)*CHOOSE(CONTROL!$C$42, 31, 31))/1000000</f>
        <v>12.063045499999998</v>
      </c>
      <c r="V461" s="57">
        <f>(1000*CHOOSE(CONTROL!$C$42, 500, 500)*CHOOSE(CONTROL!$C$42, 0.275, 0.275)*CHOOSE(CONTROL!$C$42, 31, 31))/1000000</f>
        <v>4.2625000000000002</v>
      </c>
      <c r="W461" s="57">
        <f>(1000*CHOOSE(CONTROL!$C$42, 0.1146, 0.1146)*CHOOSE(CONTROL!$C$42, 121.5, 121.5)*CHOOSE(CONTROL!$C$42, 31, 31))/1000000</f>
        <v>0.43164089999999994</v>
      </c>
      <c r="X461" s="57">
        <f>(31*0.1790888*245000/1000000)+(31*0.2374*100000/1000000)</f>
        <v>2.0961194359999999</v>
      </c>
      <c r="Y461" s="57"/>
      <c r="Z461" s="14"/>
      <c r="AA461" s="56"/>
      <c r="AB461" s="50">
        <f>(B461*194.205+C461*267.466+D461*133.845+E461*53.484+F461*40+G461*185+H461*0+I461*100+J461*300)/(194.205+267.466+133.845+53.484+0+40+185+100+300)</f>
        <v>23.586459702040816</v>
      </c>
      <c r="AC461" s="45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23.149099280575538</v>
      </c>
    </row>
    <row r="462" spans="1:29" ht="15.75" x14ac:dyDescent="0.25">
      <c r="A462" s="33">
        <v>54969</v>
      </c>
      <c r="B462" s="14">
        <f>CHOOSE(CONTROL!$C$42, 24.2089, 24.2089) * CHOOSE(CONTROL!$C$21, $C$9, 100%, $E$9)</f>
        <v>24.2089</v>
      </c>
      <c r="C462" s="14">
        <f>CHOOSE(CONTROL!$C$42, 24.217, 24.217) * CHOOSE(CONTROL!$C$21, $C$9, 100%, $E$9)</f>
        <v>24.216999999999999</v>
      </c>
      <c r="D462" s="14">
        <f>CHOOSE(CONTROL!$C$42, 24.4505, 24.4505) * CHOOSE(CONTROL!$C$21, $C$9, 100%, $E$9)</f>
        <v>24.450500000000002</v>
      </c>
      <c r="E462" s="14">
        <f>CHOOSE(CONTROL!$C$42, 24.482, 24.482) * CHOOSE(CONTROL!$C$21, $C$9, 100%, $E$9)</f>
        <v>24.481999999999999</v>
      </c>
      <c r="F462" s="14">
        <f>CHOOSE(CONTROL!$C$42, 24.2062, 24.2062)*CHOOSE(CONTROL!$C$21, $C$9, 100%, $E$9)</f>
        <v>24.206199999999999</v>
      </c>
      <c r="G462" s="14">
        <f>CHOOSE(CONTROL!$C$42, 24.2227, 24.2227)*CHOOSE(CONTROL!$C$21, $C$9, 100%, $E$9)</f>
        <v>24.2227</v>
      </c>
      <c r="H462" s="14">
        <f>CHOOSE(CONTROL!$C$42, 24.4706, 24.4706) * CHOOSE(CONTROL!$C$21, $C$9, 100%, $E$9)</f>
        <v>24.470600000000001</v>
      </c>
      <c r="I462" s="14">
        <f>CHOOSE(CONTROL!$C$42, 24.3006, 24.3006)* CHOOSE(CONTROL!$C$21, $C$9, 100%, $E$9)</f>
        <v>24.300599999999999</v>
      </c>
      <c r="J462" s="14">
        <f>CHOOSE(CONTROL!$C$42, 24.1992, 24.1992)* CHOOSE(CONTROL!$C$21, $C$9, 100%, $E$9)</f>
        <v>24.199200000000001</v>
      </c>
      <c r="K462" s="53">
        <f>CHOOSE(CONTROL!$C$42, 24.2967, 24.2967) * CHOOSE(CONTROL!$C$21, $C$9, 100%, $E$9)</f>
        <v>24.296700000000001</v>
      </c>
      <c r="L462" s="14">
        <f>CHOOSE(CONTROL!$C$42, 25.0576, 25.0576) * CHOOSE(CONTROL!$C$21, $C$9, 100%, $E$9)</f>
        <v>25.057600000000001</v>
      </c>
      <c r="M462" s="14">
        <f>CHOOSE(CONTROL!$C$42, 23.711, 23.711) * CHOOSE(CONTROL!$C$21, $C$9, 100%, $E$9)</f>
        <v>23.710999999999999</v>
      </c>
      <c r="N462" s="14">
        <f>CHOOSE(CONTROL!$C$42, 23.7272, 23.7272) * CHOOSE(CONTROL!$C$21, $C$9, 100%, $E$9)</f>
        <v>23.7272</v>
      </c>
      <c r="O462" s="14">
        <f>CHOOSE(CONTROL!$C$42, 23.9769, 23.9769) * CHOOSE(CONTROL!$C$21, $C$9, 100%, $E$9)</f>
        <v>23.976900000000001</v>
      </c>
      <c r="P462" s="14">
        <f>CHOOSE(CONTROL!$C$42, 23.809, 23.809) * CHOOSE(CONTROL!$C$21, $C$9, 100%, $E$9)</f>
        <v>23.809000000000001</v>
      </c>
      <c r="Q462" s="14">
        <f>CHOOSE(CONTROL!$C$42, 24.5716, 24.5716) * CHOOSE(CONTROL!$C$21, $C$9, 100%, $E$9)</f>
        <v>24.5716</v>
      </c>
      <c r="R462" s="14">
        <f>CHOOSE(CONTROL!$C$42, 25.2201, 25.2201) * CHOOSE(CONTROL!$C$21, $C$9, 100%, $E$9)</f>
        <v>25.220099999999999</v>
      </c>
      <c r="S462" s="14">
        <f>CHOOSE(CONTROL!$C$42, 23.2517, 23.2517) * CHOOSE(CONTROL!$C$21, $C$9, 100%, $E$9)</f>
        <v>23.2517</v>
      </c>
      <c r="T4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7">
        <f>(1000*CHOOSE(CONTROL!$C$42, 695, 695)*CHOOSE(CONTROL!$C$42, 0.5599, 0.5599)*CHOOSE(CONTROL!$C$42, 30, 30))/1000000</f>
        <v>11.673914999999997</v>
      </c>
      <c r="V462" s="57">
        <f>(1000*CHOOSE(CONTROL!$C$42, 500, 500)*CHOOSE(CONTROL!$C$42, 0.275, 0.275)*CHOOSE(CONTROL!$C$42, 30, 30))/1000000</f>
        <v>4.125</v>
      </c>
      <c r="W462" s="57">
        <f>(1000*CHOOSE(CONTROL!$C$42, 0.1146, 0.1146)*CHOOSE(CONTROL!$C$42, 121.5, 121.5)*CHOOSE(CONTROL!$C$42, 30, 30))/1000000</f>
        <v>0.417717</v>
      </c>
      <c r="X462" s="57">
        <f>(30*0.1790888*245000/1000000)+(30*0.2374*100000/1000000)</f>
        <v>2.0285026799999999</v>
      </c>
      <c r="Y462" s="57"/>
      <c r="Z462" s="14"/>
      <c r="AA462" s="56"/>
      <c r="AB462" s="50">
        <f>(B462*194.205+C462*267.466+D462*133.845+E462*53.484+F462*40+G462*185+H462*0+I462*100+J462*300)/(194.205+267.466+133.845+53.484+0+40+185+100+300)</f>
        <v>24.254280617739401</v>
      </c>
      <c r="AC462" s="45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23.803435251798561</v>
      </c>
    </row>
    <row r="463" spans="1:29" ht="15.75" x14ac:dyDescent="0.25">
      <c r="A463" s="33">
        <v>55000</v>
      </c>
      <c r="B463" s="14">
        <f>CHOOSE(CONTROL!$C$42, 23.7447, 23.7447) * CHOOSE(CONTROL!$C$21, $C$9, 100%, $E$9)</f>
        <v>23.744700000000002</v>
      </c>
      <c r="C463" s="14">
        <f>CHOOSE(CONTROL!$C$42, 23.7527, 23.7527) * CHOOSE(CONTROL!$C$21, $C$9, 100%, $E$9)</f>
        <v>23.752700000000001</v>
      </c>
      <c r="D463" s="14">
        <f>CHOOSE(CONTROL!$C$42, 23.9863, 23.9863) * CHOOSE(CONTROL!$C$21, $C$9, 100%, $E$9)</f>
        <v>23.9863</v>
      </c>
      <c r="E463" s="14">
        <f>CHOOSE(CONTROL!$C$42, 24.0178, 24.0178) * CHOOSE(CONTROL!$C$21, $C$9, 100%, $E$9)</f>
        <v>24.017800000000001</v>
      </c>
      <c r="F463" s="14">
        <f>CHOOSE(CONTROL!$C$42, 23.7425, 23.7425)*CHOOSE(CONTROL!$C$21, $C$9, 100%, $E$9)</f>
        <v>23.7425</v>
      </c>
      <c r="G463" s="14">
        <f>CHOOSE(CONTROL!$C$42, 23.7591, 23.7591)*CHOOSE(CONTROL!$C$21, $C$9, 100%, $E$9)</f>
        <v>23.7591</v>
      </c>
      <c r="H463" s="14">
        <f>CHOOSE(CONTROL!$C$42, 24.0064, 24.0064) * CHOOSE(CONTROL!$C$21, $C$9, 100%, $E$9)</f>
        <v>24.006399999999999</v>
      </c>
      <c r="I463" s="14">
        <f>CHOOSE(CONTROL!$C$42, 23.835, 23.835)* CHOOSE(CONTROL!$C$21, $C$9, 100%, $E$9)</f>
        <v>23.835000000000001</v>
      </c>
      <c r="J463" s="14">
        <f>CHOOSE(CONTROL!$C$42, 23.7355, 23.7355)* CHOOSE(CONTROL!$C$21, $C$9, 100%, $E$9)</f>
        <v>23.735499999999998</v>
      </c>
      <c r="K463" s="53">
        <f>CHOOSE(CONTROL!$C$42, 23.8311, 23.8311) * CHOOSE(CONTROL!$C$21, $C$9, 100%, $E$9)</f>
        <v>23.831099999999999</v>
      </c>
      <c r="L463" s="14">
        <f>CHOOSE(CONTROL!$C$42, 24.5934, 24.5934) * CHOOSE(CONTROL!$C$21, $C$9, 100%, $E$9)</f>
        <v>24.593399999999999</v>
      </c>
      <c r="M463" s="14">
        <f>CHOOSE(CONTROL!$C$42, 23.2569, 23.2569) * CHOOSE(CONTROL!$C$21, $C$9, 100%, $E$9)</f>
        <v>23.256900000000002</v>
      </c>
      <c r="N463" s="14">
        <f>CHOOSE(CONTROL!$C$42, 23.2731, 23.2731) * CHOOSE(CONTROL!$C$21, $C$9, 100%, $E$9)</f>
        <v>23.273099999999999</v>
      </c>
      <c r="O463" s="14">
        <f>CHOOSE(CONTROL!$C$42, 23.5223, 23.5223) * CHOOSE(CONTROL!$C$21, $C$9, 100%, $E$9)</f>
        <v>23.522300000000001</v>
      </c>
      <c r="P463" s="14">
        <f>CHOOSE(CONTROL!$C$42, 23.3529, 23.3529) * CHOOSE(CONTROL!$C$21, $C$9, 100%, $E$9)</f>
        <v>23.352900000000002</v>
      </c>
      <c r="Q463" s="14">
        <f>CHOOSE(CONTROL!$C$42, 24.117, 24.117) * CHOOSE(CONTROL!$C$21, $C$9, 100%, $E$9)</f>
        <v>24.117000000000001</v>
      </c>
      <c r="R463" s="14">
        <f>CHOOSE(CONTROL!$C$42, 24.7642, 24.7642) * CHOOSE(CONTROL!$C$21, $C$9, 100%, $E$9)</f>
        <v>24.764199999999999</v>
      </c>
      <c r="S463" s="14">
        <f>CHOOSE(CONTROL!$C$42, 22.8057, 22.8057) * CHOOSE(CONTROL!$C$21, $C$9, 100%, $E$9)</f>
        <v>22.805700000000002</v>
      </c>
      <c r="T4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7">
        <f>(1000*CHOOSE(CONTROL!$C$42, 695, 695)*CHOOSE(CONTROL!$C$42, 0.5599, 0.5599)*CHOOSE(CONTROL!$C$42, 31, 31))/1000000</f>
        <v>12.063045499999998</v>
      </c>
      <c r="V463" s="57">
        <f>(1000*CHOOSE(CONTROL!$C$42, 500, 500)*CHOOSE(CONTROL!$C$42, 0.275, 0.275)*CHOOSE(CONTROL!$C$42, 31, 31))/1000000</f>
        <v>4.2625000000000002</v>
      </c>
      <c r="W463" s="57">
        <f>(1000*CHOOSE(CONTROL!$C$42, 0.1146, 0.1146)*CHOOSE(CONTROL!$C$42, 121.5, 121.5)*CHOOSE(CONTROL!$C$42, 31, 31))/1000000</f>
        <v>0.43164089999999994</v>
      </c>
      <c r="X463" s="57">
        <f>(31*0.1790888*245000/1000000)+(31*0.2374*100000/1000000)</f>
        <v>2.0961194359999999</v>
      </c>
      <c r="Y463" s="57"/>
      <c r="Z463" s="14"/>
      <c r="AA463" s="56"/>
      <c r="AB463" s="50">
        <f>(B463*194.205+C463*267.466+D463*133.845+E463*53.484+F463*40+G463*185+H463*0+I463*100+J463*300)/(194.205+267.466+133.845+53.484+0+40+185+100+300)</f>
        <v>23.790170298587128</v>
      </c>
      <c r="AC463" s="45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23.348907194244603</v>
      </c>
    </row>
    <row r="464" spans="1:29" ht="15.75" x14ac:dyDescent="0.25">
      <c r="A464" s="33">
        <v>55031</v>
      </c>
      <c r="B464" s="14">
        <f>CHOOSE(CONTROL!$C$42, 22.5725, 22.5725) * CHOOSE(CONTROL!$C$21, $C$9, 100%, $E$9)</f>
        <v>22.572500000000002</v>
      </c>
      <c r="C464" s="14">
        <f>CHOOSE(CONTROL!$C$42, 22.5805, 22.5805) * CHOOSE(CONTROL!$C$21, $C$9, 100%, $E$9)</f>
        <v>22.580500000000001</v>
      </c>
      <c r="D464" s="14">
        <f>CHOOSE(CONTROL!$C$42, 22.8141, 22.8141) * CHOOSE(CONTROL!$C$21, $C$9, 100%, $E$9)</f>
        <v>22.8141</v>
      </c>
      <c r="E464" s="14">
        <f>CHOOSE(CONTROL!$C$42, 22.8455, 22.8455) * CHOOSE(CONTROL!$C$21, $C$9, 100%, $E$9)</f>
        <v>22.845500000000001</v>
      </c>
      <c r="F464" s="14">
        <f>CHOOSE(CONTROL!$C$42, 22.5704, 22.5704)*CHOOSE(CONTROL!$C$21, $C$9, 100%, $E$9)</f>
        <v>22.570399999999999</v>
      </c>
      <c r="G464" s="14">
        <f>CHOOSE(CONTROL!$C$42, 22.5871, 22.5871)*CHOOSE(CONTROL!$C$21, $C$9, 100%, $E$9)</f>
        <v>22.5871</v>
      </c>
      <c r="H464" s="14">
        <f>CHOOSE(CONTROL!$C$42, 22.8342, 22.8342) * CHOOSE(CONTROL!$C$21, $C$9, 100%, $E$9)</f>
        <v>22.834199999999999</v>
      </c>
      <c r="I464" s="14">
        <f>CHOOSE(CONTROL!$C$42, 22.659, 22.659)* CHOOSE(CONTROL!$C$21, $C$9, 100%, $E$9)</f>
        <v>22.658999999999999</v>
      </c>
      <c r="J464" s="14">
        <f>CHOOSE(CONTROL!$C$42, 22.5634, 22.5634)* CHOOSE(CONTROL!$C$21, $C$9, 100%, $E$9)</f>
        <v>22.563400000000001</v>
      </c>
      <c r="K464" s="53">
        <f>CHOOSE(CONTROL!$C$42, 22.6551, 22.6551) * CHOOSE(CONTROL!$C$21, $C$9, 100%, $E$9)</f>
        <v>22.655100000000001</v>
      </c>
      <c r="L464" s="14">
        <f>CHOOSE(CONTROL!$C$42, 23.4212, 23.4212) * CHOOSE(CONTROL!$C$21, $C$9, 100%, $E$9)</f>
        <v>23.421199999999999</v>
      </c>
      <c r="M464" s="14">
        <f>CHOOSE(CONTROL!$C$42, 22.1088, 22.1088) * CHOOSE(CONTROL!$C$21, $C$9, 100%, $E$9)</f>
        <v>22.108799999999999</v>
      </c>
      <c r="N464" s="14">
        <f>CHOOSE(CONTROL!$C$42, 22.1251, 22.1251) * CHOOSE(CONTROL!$C$21, $C$9, 100%, $E$9)</f>
        <v>22.1251</v>
      </c>
      <c r="O464" s="14">
        <f>CHOOSE(CONTROL!$C$42, 22.374, 22.374) * CHOOSE(CONTROL!$C$21, $C$9, 100%, $E$9)</f>
        <v>22.373999999999999</v>
      </c>
      <c r="P464" s="14">
        <f>CHOOSE(CONTROL!$C$42, 22.2011, 22.2011) * CHOOSE(CONTROL!$C$21, $C$9, 100%, $E$9)</f>
        <v>22.2011</v>
      </c>
      <c r="Q464" s="14">
        <f>CHOOSE(CONTROL!$C$42, 22.9687, 22.9687) * CHOOSE(CONTROL!$C$21, $C$9, 100%, $E$9)</f>
        <v>22.968699999999998</v>
      </c>
      <c r="R464" s="14">
        <f>CHOOSE(CONTROL!$C$42, 23.6131, 23.6131) * CHOOSE(CONTROL!$C$21, $C$9, 100%, $E$9)</f>
        <v>23.613099999999999</v>
      </c>
      <c r="S464" s="14">
        <f>CHOOSE(CONTROL!$C$42, 21.6792, 21.6792) * CHOOSE(CONTROL!$C$21, $C$9, 100%, $E$9)</f>
        <v>21.679200000000002</v>
      </c>
      <c r="T4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7">
        <f>(1000*CHOOSE(CONTROL!$C$42, 695, 695)*CHOOSE(CONTROL!$C$42, 0.5599, 0.5599)*CHOOSE(CONTROL!$C$42, 31, 31))/1000000</f>
        <v>12.063045499999998</v>
      </c>
      <c r="V464" s="57">
        <f>(1000*CHOOSE(CONTROL!$C$42, 500, 500)*CHOOSE(CONTROL!$C$42, 0.275, 0.275)*CHOOSE(CONTROL!$C$42, 31, 31))/1000000</f>
        <v>4.2625000000000002</v>
      </c>
      <c r="W464" s="57">
        <f>(1000*CHOOSE(CONTROL!$C$42, 0.1146, 0.1146)*CHOOSE(CONTROL!$C$42, 121.5, 121.5)*CHOOSE(CONTROL!$C$42, 31, 31))/1000000</f>
        <v>0.43164089999999994</v>
      </c>
      <c r="X464" s="57">
        <f>(31*0.1790888*245000/1000000)+(31*0.2374*100000/1000000)</f>
        <v>2.0961194359999999</v>
      </c>
      <c r="Y464" s="57"/>
      <c r="Z464" s="14"/>
      <c r="AA464" s="56"/>
      <c r="AB464" s="50">
        <f>(B464*194.205+C464*267.466+D464*133.845+E464*53.484+F464*40+G464*185+H464*0+I464*100+J464*300)/(194.205+267.466+133.845+53.484+0+40+185+100+300)</f>
        <v>22.617723557299843</v>
      </c>
      <c r="AC464" s="45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22.200241726618707</v>
      </c>
    </row>
    <row r="465" spans="1:29" ht="15.75" x14ac:dyDescent="0.25">
      <c r="A465" s="33">
        <v>55061</v>
      </c>
      <c r="B465" s="14">
        <f>CHOOSE(CONTROL!$C$42, 21.1397, 21.1397) * CHOOSE(CONTROL!$C$21, $C$9, 100%, $E$9)</f>
        <v>21.139700000000001</v>
      </c>
      <c r="C465" s="14">
        <f>CHOOSE(CONTROL!$C$42, 21.1477, 21.1477) * CHOOSE(CONTROL!$C$21, $C$9, 100%, $E$9)</f>
        <v>21.1477</v>
      </c>
      <c r="D465" s="14">
        <f>CHOOSE(CONTROL!$C$42, 21.3813, 21.3813) * CHOOSE(CONTROL!$C$21, $C$9, 100%, $E$9)</f>
        <v>21.3813</v>
      </c>
      <c r="E465" s="14">
        <f>CHOOSE(CONTROL!$C$42, 21.4128, 21.4128) * CHOOSE(CONTROL!$C$21, $C$9, 100%, $E$9)</f>
        <v>21.412800000000001</v>
      </c>
      <c r="F465" s="14">
        <f>CHOOSE(CONTROL!$C$42, 21.1377, 21.1377)*CHOOSE(CONTROL!$C$21, $C$9, 100%, $E$9)</f>
        <v>21.137699999999999</v>
      </c>
      <c r="G465" s="14">
        <f>CHOOSE(CONTROL!$C$42, 21.1544, 21.1544)*CHOOSE(CONTROL!$C$21, $C$9, 100%, $E$9)</f>
        <v>21.154399999999999</v>
      </c>
      <c r="H465" s="14">
        <f>CHOOSE(CONTROL!$C$42, 21.4014, 21.4014) * CHOOSE(CONTROL!$C$21, $C$9, 100%, $E$9)</f>
        <v>21.401399999999999</v>
      </c>
      <c r="I465" s="14">
        <f>CHOOSE(CONTROL!$C$42, 21.2218, 21.2218)* CHOOSE(CONTROL!$C$21, $C$9, 100%, $E$9)</f>
        <v>21.221800000000002</v>
      </c>
      <c r="J465" s="14">
        <f>CHOOSE(CONTROL!$C$42, 21.1307, 21.1307)* CHOOSE(CONTROL!$C$21, $C$9, 100%, $E$9)</f>
        <v>21.130700000000001</v>
      </c>
      <c r="K465" s="53">
        <f>CHOOSE(CONTROL!$C$42, 21.2179, 21.2179) * CHOOSE(CONTROL!$C$21, $C$9, 100%, $E$9)</f>
        <v>21.2179</v>
      </c>
      <c r="L465" s="14">
        <f>CHOOSE(CONTROL!$C$42, 21.9884, 21.9884) * CHOOSE(CONTROL!$C$21, $C$9, 100%, $E$9)</f>
        <v>21.988399999999999</v>
      </c>
      <c r="M465" s="14">
        <f>CHOOSE(CONTROL!$C$42, 20.7054, 20.7054) * CHOOSE(CONTROL!$C$21, $C$9, 100%, $E$9)</f>
        <v>20.705400000000001</v>
      </c>
      <c r="N465" s="14">
        <f>CHOOSE(CONTROL!$C$42, 20.7218, 20.7218) * CHOOSE(CONTROL!$C$21, $C$9, 100%, $E$9)</f>
        <v>20.721800000000002</v>
      </c>
      <c r="O465" s="14">
        <f>CHOOSE(CONTROL!$C$42, 20.9706, 20.9706) * CHOOSE(CONTROL!$C$21, $C$9, 100%, $E$9)</f>
        <v>20.970600000000001</v>
      </c>
      <c r="P465" s="14">
        <f>CHOOSE(CONTROL!$C$42, 20.7934, 20.7934) * CHOOSE(CONTROL!$C$21, $C$9, 100%, $E$9)</f>
        <v>20.793399999999998</v>
      </c>
      <c r="Q465" s="14">
        <f>CHOOSE(CONTROL!$C$42, 21.5653, 21.5653) * CHOOSE(CONTROL!$C$21, $C$9, 100%, $E$9)</f>
        <v>21.565300000000001</v>
      </c>
      <c r="R465" s="14">
        <f>CHOOSE(CONTROL!$C$42, 22.2062, 22.2062) * CHOOSE(CONTROL!$C$21, $C$9, 100%, $E$9)</f>
        <v>22.206199999999999</v>
      </c>
      <c r="S465" s="14">
        <f>CHOOSE(CONTROL!$C$42, 20.3025, 20.3025) * CHOOSE(CONTROL!$C$21, $C$9, 100%, $E$9)</f>
        <v>20.302499999999998</v>
      </c>
      <c r="T4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7">
        <f>(1000*CHOOSE(CONTROL!$C$42, 695, 695)*CHOOSE(CONTROL!$C$42, 0.5599, 0.5599)*CHOOSE(CONTROL!$C$42, 30, 30))/1000000</f>
        <v>11.673914999999997</v>
      </c>
      <c r="V465" s="57">
        <f>(1000*CHOOSE(CONTROL!$C$42, 500, 500)*CHOOSE(CONTROL!$C$42, 0.275, 0.275)*CHOOSE(CONTROL!$C$42, 30, 30))/1000000</f>
        <v>4.125</v>
      </c>
      <c r="W465" s="57">
        <f>(1000*CHOOSE(CONTROL!$C$42, 0.1146, 0.1146)*CHOOSE(CONTROL!$C$42, 121.5, 121.5)*CHOOSE(CONTROL!$C$42, 30, 30))/1000000</f>
        <v>0.417717</v>
      </c>
      <c r="X465" s="57">
        <f>(30*0.1790888*245000/1000000)+(30*0.2374*100000/1000000)</f>
        <v>2.0285026799999999</v>
      </c>
      <c r="Y465" s="57"/>
      <c r="Z465" s="14"/>
      <c r="AA465" s="56"/>
      <c r="AB465" s="50">
        <f>(B465*194.205+C465*267.466+D465*133.845+E465*53.484+F465*40+G465*185+H465*0+I465*100+J465*300)/(194.205+267.466+133.845+53.484+0+40+185+100+300)</f>
        <v>21.184623595290425</v>
      </c>
      <c r="AC465" s="45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20.796246043165468</v>
      </c>
    </row>
    <row r="466" spans="1:29" ht="15.75" x14ac:dyDescent="0.25">
      <c r="A466" s="33">
        <v>55092</v>
      </c>
      <c r="B466" s="14">
        <f>CHOOSE(CONTROL!$C$42, 20.709, 20.709) * CHOOSE(CONTROL!$C$21, $C$9, 100%, $E$9)</f>
        <v>20.709</v>
      </c>
      <c r="C466" s="14">
        <f>CHOOSE(CONTROL!$C$42, 20.7143, 20.7143) * CHOOSE(CONTROL!$C$21, $C$9, 100%, $E$9)</f>
        <v>20.714300000000001</v>
      </c>
      <c r="D466" s="14">
        <f>CHOOSE(CONTROL!$C$42, 20.9528, 20.9528) * CHOOSE(CONTROL!$C$21, $C$9, 100%, $E$9)</f>
        <v>20.9528</v>
      </c>
      <c r="E466" s="14">
        <f>CHOOSE(CONTROL!$C$42, 20.982, 20.982) * CHOOSE(CONTROL!$C$21, $C$9, 100%, $E$9)</f>
        <v>20.981999999999999</v>
      </c>
      <c r="F466" s="14">
        <f>CHOOSE(CONTROL!$C$42, 20.709, 20.709)*CHOOSE(CONTROL!$C$21, $C$9, 100%, $E$9)</f>
        <v>20.709</v>
      </c>
      <c r="G466" s="14">
        <f>CHOOSE(CONTROL!$C$42, 20.7253, 20.7253)*CHOOSE(CONTROL!$C$21, $C$9, 100%, $E$9)</f>
        <v>20.725300000000001</v>
      </c>
      <c r="H466" s="14">
        <f>CHOOSE(CONTROL!$C$42, 20.9724, 20.9724) * CHOOSE(CONTROL!$C$21, $C$9, 100%, $E$9)</f>
        <v>20.9724</v>
      </c>
      <c r="I466" s="14">
        <f>CHOOSE(CONTROL!$C$42, 20.7915, 20.7915)* CHOOSE(CONTROL!$C$21, $C$9, 100%, $E$9)</f>
        <v>20.791499999999999</v>
      </c>
      <c r="J466" s="14">
        <f>CHOOSE(CONTROL!$C$42, 20.702, 20.702)* CHOOSE(CONTROL!$C$21, $C$9, 100%, $E$9)</f>
        <v>20.702000000000002</v>
      </c>
      <c r="K466" s="53">
        <f>CHOOSE(CONTROL!$C$42, 20.7876, 20.7876) * CHOOSE(CONTROL!$C$21, $C$9, 100%, $E$9)</f>
        <v>20.787600000000001</v>
      </c>
      <c r="L466" s="14">
        <f>CHOOSE(CONTROL!$C$42, 21.5594, 21.5594) * CHOOSE(CONTROL!$C$21, $C$9, 100%, $E$9)</f>
        <v>21.5594</v>
      </c>
      <c r="M466" s="14">
        <f>CHOOSE(CONTROL!$C$42, 20.2855, 20.2855) * CHOOSE(CONTROL!$C$21, $C$9, 100%, $E$9)</f>
        <v>20.285499999999999</v>
      </c>
      <c r="N466" s="14">
        <f>CHOOSE(CONTROL!$C$42, 20.3015, 20.3015) * CHOOSE(CONTROL!$C$21, $C$9, 100%, $E$9)</f>
        <v>20.301500000000001</v>
      </c>
      <c r="O466" s="14">
        <f>CHOOSE(CONTROL!$C$42, 20.5504, 20.5504) * CHOOSE(CONTROL!$C$21, $C$9, 100%, $E$9)</f>
        <v>20.5504</v>
      </c>
      <c r="P466" s="14">
        <f>CHOOSE(CONTROL!$C$42, 20.3719, 20.3719) * CHOOSE(CONTROL!$C$21, $C$9, 100%, $E$9)</f>
        <v>20.3719</v>
      </c>
      <c r="Q466" s="14">
        <f>CHOOSE(CONTROL!$C$42, 21.1451, 21.1451) * CHOOSE(CONTROL!$C$21, $C$9, 100%, $E$9)</f>
        <v>21.145099999999999</v>
      </c>
      <c r="R466" s="14">
        <f>CHOOSE(CONTROL!$C$42, 21.785, 21.785) * CHOOSE(CONTROL!$C$21, $C$9, 100%, $E$9)</f>
        <v>21.785</v>
      </c>
      <c r="S466" s="14">
        <f>CHOOSE(CONTROL!$C$42, 19.8903, 19.8903) * CHOOSE(CONTROL!$C$21, $C$9, 100%, $E$9)</f>
        <v>19.8903</v>
      </c>
      <c r="T4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7">
        <f>(1000*CHOOSE(CONTROL!$C$42, 695, 695)*CHOOSE(CONTROL!$C$42, 0.5599, 0.5599)*CHOOSE(CONTROL!$C$42, 31, 31))/1000000</f>
        <v>12.063045499999998</v>
      </c>
      <c r="V466" s="57">
        <f>(1000*CHOOSE(CONTROL!$C$42, 500, 500)*CHOOSE(CONTROL!$C$42, 0.275, 0.275)*CHOOSE(CONTROL!$C$42, 31, 31))/1000000</f>
        <v>4.2625000000000002</v>
      </c>
      <c r="W466" s="57">
        <f>(1000*CHOOSE(CONTROL!$C$42, 0.1146, 0.1146)*CHOOSE(CONTROL!$C$42, 121.5, 121.5)*CHOOSE(CONTROL!$C$42, 31, 31))/1000000</f>
        <v>0.43164089999999994</v>
      </c>
      <c r="X466" s="57">
        <f>(31*0.1790888*245000/1000000)+(31*0.2374*100000/1000000)</f>
        <v>2.0961194359999999</v>
      </c>
      <c r="Y466" s="57"/>
      <c r="Z466" s="14"/>
      <c r="AA466" s="56"/>
      <c r="AB466" s="50">
        <f>(B466*131.881+C466*277.167+D466*79.08+E466*125.872+F466*40+G466*185+H466*0+I466*100+J466*300)/(131.881+277.167+79.08+125.872+0+40+185+100+300)</f>
        <v>20.760878325343018</v>
      </c>
      <c r="AC466" s="45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20.375939568345323</v>
      </c>
    </row>
    <row r="467" spans="1:29" ht="15.75" x14ac:dyDescent="0.25">
      <c r="A467" s="33">
        <v>55122</v>
      </c>
      <c r="B467" s="14">
        <f>CHOOSE(CONTROL!$C$42, 21.2539, 21.2539) * CHOOSE(CONTROL!$C$21, $C$9, 100%, $E$9)</f>
        <v>21.253900000000002</v>
      </c>
      <c r="C467" s="14">
        <f>CHOOSE(CONTROL!$C$42, 21.2589, 21.2589) * CHOOSE(CONTROL!$C$21, $C$9, 100%, $E$9)</f>
        <v>21.258900000000001</v>
      </c>
      <c r="D467" s="14">
        <f>CHOOSE(CONTROL!$C$42, 21.3331, 21.3331) * CHOOSE(CONTROL!$C$21, $C$9, 100%, $E$9)</f>
        <v>21.333100000000002</v>
      </c>
      <c r="E467" s="14">
        <f>CHOOSE(CONTROL!$C$42, 21.3672, 21.3672) * CHOOSE(CONTROL!$C$21, $C$9, 100%, $E$9)</f>
        <v>21.3672</v>
      </c>
      <c r="F467" s="14">
        <f>CHOOSE(CONTROL!$C$42, 21.2659, 21.2659)*CHOOSE(CONTROL!$C$21, $C$9, 100%, $E$9)</f>
        <v>21.265899999999998</v>
      </c>
      <c r="G467" s="14">
        <f>CHOOSE(CONTROL!$C$42, 21.2825, 21.2825)*CHOOSE(CONTROL!$C$21, $C$9, 100%, $E$9)</f>
        <v>21.282499999999999</v>
      </c>
      <c r="H467" s="14">
        <f>CHOOSE(CONTROL!$C$42, 21.3564, 21.3564) * CHOOSE(CONTROL!$C$21, $C$9, 100%, $E$9)</f>
        <v>21.356400000000001</v>
      </c>
      <c r="I467" s="14">
        <f>CHOOSE(CONTROL!$C$42, 21.3447, 21.3447)* CHOOSE(CONTROL!$C$21, $C$9, 100%, $E$9)</f>
        <v>21.3447</v>
      </c>
      <c r="J467" s="14">
        <f>CHOOSE(CONTROL!$C$42, 21.2589, 21.2589)* CHOOSE(CONTROL!$C$21, $C$9, 100%, $E$9)</f>
        <v>21.258900000000001</v>
      </c>
      <c r="K467" s="53">
        <f>CHOOSE(CONTROL!$C$42, 21.3409, 21.3409) * CHOOSE(CONTROL!$C$21, $C$9, 100%, $E$9)</f>
        <v>21.340900000000001</v>
      </c>
      <c r="L467" s="14">
        <f>CHOOSE(CONTROL!$C$42, 21.9434, 21.9434) * CHOOSE(CONTROL!$C$21, $C$9, 100%, $E$9)</f>
        <v>21.9434</v>
      </c>
      <c r="M467" s="14">
        <f>CHOOSE(CONTROL!$C$42, 20.831, 20.831) * CHOOSE(CONTROL!$C$21, $C$9, 100%, $E$9)</f>
        <v>20.831</v>
      </c>
      <c r="N467" s="14">
        <f>CHOOSE(CONTROL!$C$42, 20.8473, 20.8473) * CHOOSE(CONTROL!$C$21, $C$9, 100%, $E$9)</f>
        <v>20.847300000000001</v>
      </c>
      <c r="O467" s="14">
        <f>CHOOSE(CONTROL!$C$42, 20.9266, 20.9266) * CHOOSE(CONTROL!$C$21, $C$9, 100%, $E$9)</f>
        <v>20.926600000000001</v>
      </c>
      <c r="P467" s="14">
        <f>CHOOSE(CONTROL!$C$42, 20.9138, 20.9138) * CHOOSE(CONTROL!$C$21, $C$9, 100%, $E$9)</f>
        <v>20.913799999999998</v>
      </c>
      <c r="Q467" s="14">
        <f>CHOOSE(CONTROL!$C$42, 21.5213, 21.5213) * CHOOSE(CONTROL!$C$21, $C$9, 100%, $E$9)</f>
        <v>21.5213</v>
      </c>
      <c r="R467" s="14">
        <f>CHOOSE(CONTROL!$C$42, 22.1621, 22.1621) * CHOOSE(CONTROL!$C$21, $C$9, 100%, $E$9)</f>
        <v>22.162099999999999</v>
      </c>
      <c r="S467" s="14">
        <f>CHOOSE(CONTROL!$C$42, 20.4143, 20.4143) * CHOOSE(CONTROL!$C$21, $C$9, 100%, $E$9)</f>
        <v>20.414300000000001</v>
      </c>
      <c r="T4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7">
        <f>(1000*CHOOSE(CONTROL!$C$42, 695, 695)*CHOOSE(CONTROL!$C$42, 0.5599, 0.5599)*CHOOSE(CONTROL!$C$42, 30, 30))/1000000</f>
        <v>11.673914999999997</v>
      </c>
      <c r="V467" s="57">
        <f>(1000*CHOOSE(CONTROL!$C$42, 500, 500)*CHOOSE(CONTROL!$C$42, 0.275, 0.275)*CHOOSE(CONTROL!$C$42, 30, 30))/1000000</f>
        <v>4.125</v>
      </c>
      <c r="W467" s="57">
        <f>(1000*CHOOSE(CONTROL!$C$42, 0.1146, 0.1146)*CHOOSE(CONTROL!$C$42, 121.5, 121.5)*CHOOSE(CONTROL!$C$42, 30, 30))/1000000</f>
        <v>0.417717</v>
      </c>
      <c r="X467" s="57">
        <f>(30*0.1790888*100000/1000000)+(30*0.2374*100000/1000000)</f>
        <v>1.2494664</v>
      </c>
      <c r="Y467" s="57"/>
      <c r="Z467" s="14"/>
      <c r="AA467" s="56"/>
      <c r="AB467" s="50">
        <f>(B467*122.58+C467*297.941+D467*89.177+E467*40.302+F467*40+G467*160+H467*0+I467*100+J467*300)/(122.58+297.941+89.177+40.302+0+40+160+100+300)</f>
        <v>21.278904121739128</v>
      </c>
      <c r="AC467" s="45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20.887181294964027</v>
      </c>
    </row>
    <row r="468" spans="1:29" ht="15.75" x14ac:dyDescent="0.25">
      <c r="A468" s="33">
        <v>55153</v>
      </c>
      <c r="B468" s="14">
        <f>CHOOSE(CONTROL!$C$42, 22.7023, 22.7023) * CHOOSE(CONTROL!$C$21, $C$9, 100%, $E$9)</f>
        <v>22.702300000000001</v>
      </c>
      <c r="C468" s="14">
        <f>CHOOSE(CONTROL!$C$42, 22.7073, 22.7073) * CHOOSE(CONTROL!$C$21, $C$9, 100%, $E$9)</f>
        <v>22.7073</v>
      </c>
      <c r="D468" s="14">
        <f>CHOOSE(CONTROL!$C$42, 22.7815, 22.7815) * CHOOSE(CONTROL!$C$21, $C$9, 100%, $E$9)</f>
        <v>22.781500000000001</v>
      </c>
      <c r="E468" s="14">
        <f>CHOOSE(CONTROL!$C$42, 22.8157, 22.8157) * CHOOSE(CONTROL!$C$21, $C$9, 100%, $E$9)</f>
        <v>22.8157</v>
      </c>
      <c r="F468" s="14">
        <f>CHOOSE(CONTROL!$C$42, 22.7165, 22.7165)*CHOOSE(CONTROL!$C$21, $C$9, 100%, $E$9)</f>
        <v>22.7165</v>
      </c>
      <c r="G468" s="14">
        <f>CHOOSE(CONTROL!$C$42, 22.7337, 22.7337)*CHOOSE(CONTROL!$C$21, $C$9, 100%, $E$9)</f>
        <v>22.733699999999999</v>
      </c>
      <c r="H468" s="14">
        <f>CHOOSE(CONTROL!$C$42, 22.8048, 22.8048) * CHOOSE(CONTROL!$C$21, $C$9, 100%, $E$9)</f>
        <v>22.8048</v>
      </c>
      <c r="I468" s="14">
        <f>CHOOSE(CONTROL!$C$42, 22.7977, 22.7977)* CHOOSE(CONTROL!$C$21, $C$9, 100%, $E$9)</f>
        <v>22.797699999999999</v>
      </c>
      <c r="J468" s="14">
        <f>CHOOSE(CONTROL!$C$42, 22.7095, 22.7095)* CHOOSE(CONTROL!$C$21, $C$9, 100%, $E$9)</f>
        <v>22.709499999999998</v>
      </c>
      <c r="K468" s="53">
        <f>CHOOSE(CONTROL!$C$42, 22.7938, 22.7938) * CHOOSE(CONTROL!$C$21, $C$9, 100%, $E$9)</f>
        <v>22.793800000000001</v>
      </c>
      <c r="L468" s="14">
        <f>CHOOSE(CONTROL!$C$42, 23.3918, 23.3918) * CHOOSE(CONTROL!$C$21, $C$9, 100%, $E$9)</f>
        <v>23.3918</v>
      </c>
      <c r="M468" s="14">
        <f>CHOOSE(CONTROL!$C$42, 22.2519, 22.2519) * CHOOSE(CONTROL!$C$21, $C$9, 100%, $E$9)</f>
        <v>22.251899999999999</v>
      </c>
      <c r="N468" s="14">
        <f>CHOOSE(CONTROL!$C$42, 22.2687, 22.2687) * CHOOSE(CONTROL!$C$21, $C$9, 100%, $E$9)</f>
        <v>22.268699999999999</v>
      </c>
      <c r="O468" s="14">
        <f>CHOOSE(CONTROL!$C$42, 22.3453, 22.3453) * CHOOSE(CONTROL!$C$21, $C$9, 100%, $E$9)</f>
        <v>22.345300000000002</v>
      </c>
      <c r="P468" s="14">
        <f>CHOOSE(CONTROL!$C$42, 22.3369, 22.3369) * CHOOSE(CONTROL!$C$21, $C$9, 100%, $E$9)</f>
        <v>22.3369</v>
      </c>
      <c r="Q468" s="14">
        <f>CHOOSE(CONTROL!$C$42, 22.94, 22.94) * CHOOSE(CONTROL!$C$21, $C$9, 100%, $E$9)</f>
        <v>22.94</v>
      </c>
      <c r="R468" s="14">
        <f>CHOOSE(CONTROL!$C$42, 23.5843, 23.5843) * CHOOSE(CONTROL!$C$21, $C$9, 100%, $E$9)</f>
        <v>23.584299999999999</v>
      </c>
      <c r="S468" s="14">
        <f>CHOOSE(CONTROL!$C$42, 21.8061, 21.8061) * CHOOSE(CONTROL!$C$21, $C$9, 100%, $E$9)</f>
        <v>21.806100000000001</v>
      </c>
      <c r="T4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7">
        <f>(1000*CHOOSE(CONTROL!$C$42, 695, 695)*CHOOSE(CONTROL!$C$42, 0.5599, 0.5599)*CHOOSE(CONTROL!$C$42, 31, 31))/1000000</f>
        <v>12.063045499999998</v>
      </c>
      <c r="V468" s="57">
        <f>(1000*CHOOSE(CONTROL!$C$42, 500, 500)*CHOOSE(CONTROL!$C$42, 0.275, 0.275)*CHOOSE(CONTROL!$C$42, 31, 31))/1000000</f>
        <v>4.2625000000000002</v>
      </c>
      <c r="W468" s="57">
        <f>(1000*CHOOSE(CONTROL!$C$42, 0.1146, 0.1146)*CHOOSE(CONTROL!$C$42, 121.5, 121.5)*CHOOSE(CONTROL!$C$42, 31, 31))/1000000</f>
        <v>0.43164089999999994</v>
      </c>
      <c r="X468" s="57">
        <f>(31*0.1790888*100000/1000000)+(31*0.2374*100000/1000000)</f>
        <v>1.2911152800000001</v>
      </c>
      <c r="Y468" s="57"/>
      <c r="Z468" s="14"/>
      <c r="AA468" s="56"/>
      <c r="AB468" s="50">
        <f>(B468*122.58+C468*297.941+D468*89.177+E468*40.302+F468*40+G468*160+H468*0+I468*100+J468*300)/(122.58+297.941+89.177+40.302+0+40+160+100+300)</f>
        <v>22.728747626260869</v>
      </c>
      <c r="AC468" s="45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22.307429496402879</v>
      </c>
    </row>
    <row r="469" spans="1:29" ht="15.75" x14ac:dyDescent="0.25">
      <c r="A469" s="33">
        <v>55184</v>
      </c>
      <c r="B469" s="14">
        <f>CHOOSE(CONTROL!$C$42, 24.5835, 24.5835) * CHOOSE(CONTROL!$C$21, $C$9, 100%, $E$9)</f>
        <v>24.583500000000001</v>
      </c>
      <c r="C469" s="14">
        <f>CHOOSE(CONTROL!$C$42, 24.5886, 24.5886) * CHOOSE(CONTROL!$C$21, $C$9, 100%, $E$9)</f>
        <v>24.5886</v>
      </c>
      <c r="D469" s="14">
        <f>CHOOSE(CONTROL!$C$42, 24.6654, 24.6654) * CHOOSE(CONTROL!$C$21, $C$9, 100%, $E$9)</f>
        <v>24.665400000000002</v>
      </c>
      <c r="E469" s="14">
        <f>CHOOSE(CONTROL!$C$42, 24.6995, 24.6995) * CHOOSE(CONTROL!$C$21, $C$9, 100%, $E$9)</f>
        <v>24.6995</v>
      </c>
      <c r="F469" s="14">
        <f>CHOOSE(CONTROL!$C$42, 24.5837, 24.5837)*CHOOSE(CONTROL!$C$21, $C$9, 100%, $E$9)</f>
        <v>24.5837</v>
      </c>
      <c r="G469" s="14">
        <f>CHOOSE(CONTROL!$C$42, 24.5999, 24.5999)*CHOOSE(CONTROL!$C$21, $C$9, 100%, $E$9)</f>
        <v>24.599900000000002</v>
      </c>
      <c r="H469" s="14">
        <f>CHOOSE(CONTROL!$C$42, 24.6887, 24.6887) * CHOOSE(CONTROL!$C$21, $C$9, 100%, $E$9)</f>
        <v>24.688700000000001</v>
      </c>
      <c r="I469" s="14">
        <f>CHOOSE(CONTROL!$C$42, 24.6785, 24.6785)* CHOOSE(CONTROL!$C$21, $C$9, 100%, $E$9)</f>
        <v>24.6785</v>
      </c>
      <c r="J469" s="14">
        <f>CHOOSE(CONTROL!$C$42, 24.5767, 24.5767)* CHOOSE(CONTROL!$C$21, $C$9, 100%, $E$9)</f>
        <v>24.576699999999999</v>
      </c>
      <c r="K469" s="53">
        <f>CHOOSE(CONTROL!$C$42, 24.6747, 24.6747) * CHOOSE(CONTROL!$C$21, $C$9, 100%, $E$9)</f>
        <v>24.674700000000001</v>
      </c>
      <c r="L469" s="14">
        <f>CHOOSE(CONTROL!$C$42, 25.2757, 25.2757) * CHOOSE(CONTROL!$C$21, $C$9, 100%, $E$9)</f>
        <v>25.275700000000001</v>
      </c>
      <c r="M469" s="14">
        <f>CHOOSE(CONTROL!$C$42, 24.0808, 24.0808) * CHOOSE(CONTROL!$C$21, $C$9, 100%, $E$9)</f>
        <v>24.0808</v>
      </c>
      <c r="N469" s="14">
        <f>CHOOSE(CONTROL!$C$42, 24.0967, 24.0967) * CHOOSE(CONTROL!$C$21, $C$9, 100%, $E$9)</f>
        <v>24.096699999999998</v>
      </c>
      <c r="O469" s="14">
        <f>CHOOSE(CONTROL!$C$42, 24.1905, 24.1905) * CHOOSE(CONTROL!$C$21, $C$9, 100%, $E$9)</f>
        <v>24.1905</v>
      </c>
      <c r="P469" s="14">
        <f>CHOOSE(CONTROL!$C$42, 24.1791, 24.1791) * CHOOSE(CONTROL!$C$21, $C$9, 100%, $E$9)</f>
        <v>24.179099999999998</v>
      </c>
      <c r="Q469" s="14">
        <f>CHOOSE(CONTROL!$C$42, 24.7852, 24.7852) * CHOOSE(CONTROL!$C$21, $C$9, 100%, $E$9)</f>
        <v>24.7852</v>
      </c>
      <c r="R469" s="14">
        <f>CHOOSE(CONTROL!$C$42, 25.4342, 25.4342) * CHOOSE(CONTROL!$C$21, $C$9, 100%, $E$9)</f>
        <v>25.434200000000001</v>
      </c>
      <c r="S469" s="14">
        <f>CHOOSE(CONTROL!$C$42, 23.6137, 23.6137) * CHOOSE(CONTROL!$C$21, $C$9, 100%, $E$9)</f>
        <v>23.613700000000001</v>
      </c>
      <c r="T4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7">
        <f>(1000*CHOOSE(CONTROL!$C$42, 695, 695)*CHOOSE(CONTROL!$C$42, 0.5599, 0.5599)*CHOOSE(CONTROL!$C$42, 31, 31))/1000000</f>
        <v>12.063045499999998</v>
      </c>
      <c r="V469" s="57">
        <f>(1000*CHOOSE(CONTROL!$C$42, 500, 500)*CHOOSE(CONTROL!$C$42, 0.275, 0.275)*CHOOSE(CONTROL!$C$42, 31, 31))/1000000</f>
        <v>4.2625000000000002</v>
      </c>
      <c r="W469" s="57">
        <f>(1000*CHOOSE(CONTROL!$C$42, 0.1146, 0.1146)*CHOOSE(CONTROL!$C$42, 121.5, 121.5)*CHOOSE(CONTROL!$C$42, 31, 31))/1000000</f>
        <v>0.43164089999999994</v>
      </c>
      <c r="X469" s="57">
        <f>(31*0.1790888*100000/1000000)+(31*0.2374*100000/1000000)</f>
        <v>1.2911152800000001</v>
      </c>
      <c r="Y469" s="57"/>
      <c r="Z469" s="14"/>
      <c r="AA469" s="56"/>
      <c r="AB469" s="50">
        <f>(B469*122.58+C469*297.941+D469*89.177+E469*40.302+F469*40+G469*160+H469*0+I469*100+J469*300)/(122.58+297.941+89.177+40.302+0+40+160+100+300)</f>
        <v>24.604013154260866</v>
      </c>
      <c r="AC469" s="45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24.145579136690646</v>
      </c>
    </row>
    <row r="470" spans="1:29" ht="15.75" x14ac:dyDescent="0.25">
      <c r="A470" s="33">
        <v>55212</v>
      </c>
      <c r="B470" s="14">
        <f>CHOOSE(CONTROL!$C$42, 25.0209, 25.0209) * CHOOSE(CONTROL!$C$21, $C$9, 100%, $E$9)</f>
        <v>25.020900000000001</v>
      </c>
      <c r="C470" s="14">
        <f>CHOOSE(CONTROL!$C$42, 25.026, 25.026) * CHOOSE(CONTROL!$C$21, $C$9, 100%, $E$9)</f>
        <v>25.026</v>
      </c>
      <c r="D470" s="14">
        <f>CHOOSE(CONTROL!$C$42, 25.1028, 25.1028) * CHOOSE(CONTROL!$C$21, $C$9, 100%, $E$9)</f>
        <v>25.102799999999998</v>
      </c>
      <c r="E470" s="14">
        <f>CHOOSE(CONTROL!$C$42, 25.1369, 25.1369) * CHOOSE(CONTROL!$C$21, $C$9, 100%, $E$9)</f>
        <v>25.136900000000001</v>
      </c>
      <c r="F470" s="14">
        <f>CHOOSE(CONTROL!$C$42, 25.0212, 25.0212)*CHOOSE(CONTROL!$C$21, $C$9, 100%, $E$9)</f>
        <v>25.0212</v>
      </c>
      <c r="G470" s="14">
        <f>CHOOSE(CONTROL!$C$42, 25.0374, 25.0374)*CHOOSE(CONTROL!$C$21, $C$9, 100%, $E$9)</f>
        <v>25.037400000000002</v>
      </c>
      <c r="H470" s="14">
        <f>CHOOSE(CONTROL!$C$42, 25.1261, 25.1261) * CHOOSE(CONTROL!$C$21, $C$9, 100%, $E$9)</f>
        <v>25.126100000000001</v>
      </c>
      <c r="I470" s="14">
        <f>CHOOSE(CONTROL!$C$42, 25.1174, 25.1174)* CHOOSE(CONTROL!$C$21, $C$9, 100%, $E$9)</f>
        <v>25.1174</v>
      </c>
      <c r="J470" s="14">
        <f>CHOOSE(CONTROL!$C$42, 25.0142, 25.0142)* CHOOSE(CONTROL!$C$21, $C$9, 100%, $E$9)</f>
        <v>25.014199999999999</v>
      </c>
      <c r="K470" s="53">
        <f>CHOOSE(CONTROL!$C$42, 25.1135, 25.1135) * CHOOSE(CONTROL!$C$21, $C$9, 100%, $E$9)</f>
        <v>25.113499999999998</v>
      </c>
      <c r="L470" s="14">
        <f>CHOOSE(CONTROL!$C$42, 25.7131, 25.7131) * CHOOSE(CONTROL!$C$21, $C$9, 100%, $E$9)</f>
        <v>25.713100000000001</v>
      </c>
      <c r="M470" s="14">
        <f>CHOOSE(CONTROL!$C$42, 24.5094, 24.5094) * CHOOSE(CONTROL!$C$21, $C$9, 100%, $E$9)</f>
        <v>24.509399999999999</v>
      </c>
      <c r="N470" s="14">
        <f>CHOOSE(CONTROL!$C$42, 24.5253, 24.5253) * CHOOSE(CONTROL!$C$21, $C$9, 100%, $E$9)</f>
        <v>24.525300000000001</v>
      </c>
      <c r="O470" s="14">
        <f>CHOOSE(CONTROL!$C$42, 24.619, 24.619) * CHOOSE(CONTROL!$C$21, $C$9, 100%, $E$9)</f>
        <v>24.619</v>
      </c>
      <c r="P470" s="14">
        <f>CHOOSE(CONTROL!$C$42, 24.6089, 24.6089) * CHOOSE(CONTROL!$C$21, $C$9, 100%, $E$9)</f>
        <v>24.608899999999998</v>
      </c>
      <c r="Q470" s="14">
        <f>CHOOSE(CONTROL!$C$42, 25.2137, 25.2137) * CHOOSE(CONTROL!$C$21, $C$9, 100%, $E$9)</f>
        <v>25.213699999999999</v>
      </c>
      <c r="R470" s="14">
        <f>CHOOSE(CONTROL!$C$42, 25.8637, 25.8637) * CHOOSE(CONTROL!$C$21, $C$9, 100%, $E$9)</f>
        <v>25.863700000000001</v>
      </c>
      <c r="S470" s="14">
        <f>CHOOSE(CONTROL!$C$42, 24.0341, 24.0341) * CHOOSE(CONTROL!$C$21, $C$9, 100%, $E$9)</f>
        <v>24.034099999999999</v>
      </c>
      <c r="T4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7">
        <f>(1000*CHOOSE(CONTROL!$C$42, 695, 695)*CHOOSE(CONTROL!$C$42, 0.5599, 0.5599)*CHOOSE(CONTROL!$C$42, 28, 28))/1000000</f>
        <v>10.895653999999999</v>
      </c>
      <c r="V470" s="57">
        <f>(1000*CHOOSE(CONTROL!$C$42, 500, 500)*CHOOSE(CONTROL!$C$42, 0.275, 0.275)*CHOOSE(CONTROL!$C$42, 28, 28))/1000000</f>
        <v>3.85</v>
      </c>
      <c r="W470" s="57">
        <f>(1000*CHOOSE(CONTROL!$C$42, 0.1146, 0.1146)*CHOOSE(CONTROL!$C$42, 121.5, 121.5)*CHOOSE(CONTROL!$C$42, 28, 28))/1000000</f>
        <v>0.38986920000000003</v>
      </c>
      <c r="X470" s="57">
        <f>(28*0.1790888*100000/1000000)+(28*0.2374*100000/1000000)</f>
        <v>1.16616864</v>
      </c>
      <c r="Y470" s="57"/>
      <c r="Z470" s="14"/>
      <c r="AA470" s="56"/>
      <c r="AB470" s="50">
        <f>(B470*122.58+C470*297.941+D470*89.177+E470*40.302+F470*40+G470*160+H470*0+I470*100+J470*300)/(122.58+297.941+89.177+40.302+0+40+160+100+300)</f>
        <v>25.041587067304345</v>
      </c>
      <c r="AC470" s="45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24.574306474820144</v>
      </c>
    </row>
    <row r="471" spans="1:29" ht="15.75" x14ac:dyDescent="0.25">
      <c r="A471" s="33">
        <v>55243</v>
      </c>
      <c r="B471" s="14">
        <f>CHOOSE(CONTROL!$C$42, 24.3109, 24.3109) * CHOOSE(CONTROL!$C$21, $C$9, 100%, $E$9)</f>
        <v>24.3109</v>
      </c>
      <c r="C471" s="14">
        <f>CHOOSE(CONTROL!$C$42, 24.3159, 24.3159) * CHOOSE(CONTROL!$C$21, $C$9, 100%, $E$9)</f>
        <v>24.315899999999999</v>
      </c>
      <c r="D471" s="14">
        <f>CHOOSE(CONTROL!$C$42, 24.3927, 24.3927) * CHOOSE(CONTROL!$C$21, $C$9, 100%, $E$9)</f>
        <v>24.392700000000001</v>
      </c>
      <c r="E471" s="14">
        <f>CHOOSE(CONTROL!$C$42, 24.4268, 24.4268) * CHOOSE(CONTROL!$C$21, $C$9, 100%, $E$9)</f>
        <v>24.4268</v>
      </c>
      <c r="F471" s="14">
        <f>CHOOSE(CONTROL!$C$42, 24.3106, 24.3106)*CHOOSE(CONTROL!$C$21, $C$9, 100%, $E$9)</f>
        <v>24.310600000000001</v>
      </c>
      <c r="G471" s="14">
        <f>CHOOSE(CONTROL!$C$42, 24.3268, 24.3268)*CHOOSE(CONTROL!$C$21, $C$9, 100%, $E$9)</f>
        <v>24.326799999999999</v>
      </c>
      <c r="H471" s="14">
        <f>CHOOSE(CONTROL!$C$42, 24.416, 24.416) * CHOOSE(CONTROL!$C$21, $C$9, 100%, $E$9)</f>
        <v>24.416</v>
      </c>
      <c r="I471" s="14">
        <f>CHOOSE(CONTROL!$C$42, 24.4051, 24.4051)* CHOOSE(CONTROL!$C$21, $C$9, 100%, $E$9)</f>
        <v>24.405100000000001</v>
      </c>
      <c r="J471" s="14">
        <f>CHOOSE(CONTROL!$C$42, 24.3036, 24.3036)* CHOOSE(CONTROL!$C$21, $C$9, 100%, $E$9)</f>
        <v>24.303599999999999</v>
      </c>
      <c r="K471" s="53">
        <f>CHOOSE(CONTROL!$C$42, 24.4012, 24.4012) * CHOOSE(CONTROL!$C$21, $C$9, 100%, $E$9)</f>
        <v>24.401199999999999</v>
      </c>
      <c r="L471" s="14">
        <f>CHOOSE(CONTROL!$C$42, 25.003, 25.003) * CHOOSE(CONTROL!$C$21, $C$9, 100%, $E$9)</f>
        <v>25.003</v>
      </c>
      <c r="M471" s="14">
        <f>CHOOSE(CONTROL!$C$42, 23.8134, 23.8134) * CHOOSE(CONTROL!$C$21, $C$9, 100%, $E$9)</f>
        <v>23.813400000000001</v>
      </c>
      <c r="N471" s="14">
        <f>CHOOSE(CONTROL!$C$42, 23.8291, 23.8291) * CHOOSE(CONTROL!$C$21, $C$9, 100%, $E$9)</f>
        <v>23.8291</v>
      </c>
      <c r="O471" s="14">
        <f>CHOOSE(CONTROL!$C$42, 23.9235, 23.9235) * CHOOSE(CONTROL!$C$21, $C$9, 100%, $E$9)</f>
        <v>23.923500000000001</v>
      </c>
      <c r="P471" s="14">
        <f>CHOOSE(CONTROL!$C$42, 23.9112, 23.9112) * CHOOSE(CONTROL!$C$21, $C$9, 100%, $E$9)</f>
        <v>23.911200000000001</v>
      </c>
      <c r="Q471" s="14">
        <f>CHOOSE(CONTROL!$C$42, 24.5182, 24.5182) * CHOOSE(CONTROL!$C$21, $C$9, 100%, $E$9)</f>
        <v>24.5182</v>
      </c>
      <c r="R471" s="14">
        <f>CHOOSE(CONTROL!$C$42, 25.1665, 25.1665) * CHOOSE(CONTROL!$C$21, $C$9, 100%, $E$9)</f>
        <v>25.166499999999999</v>
      </c>
      <c r="S471" s="14">
        <f>CHOOSE(CONTROL!$C$42, 23.3518, 23.3518) * CHOOSE(CONTROL!$C$21, $C$9, 100%, $E$9)</f>
        <v>23.351800000000001</v>
      </c>
      <c r="T4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7">
        <f>(1000*CHOOSE(CONTROL!$C$42, 695, 695)*CHOOSE(CONTROL!$C$42, 0.5599, 0.5599)*CHOOSE(CONTROL!$C$42, 31, 31))/1000000</f>
        <v>12.063045499999998</v>
      </c>
      <c r="V471" s="57">
        <f>(1000*CHOOSE(CONTROL!$C$42, 500, 500)*CHOOSE(CONTROL!$C$42, 0.275, 0.275)*CHOOSE(CONTROL!$C$42, 31, 31))/1000000</f>
        <v>4.2625000000000002</v>
      </c>
      <c r="W471" s="57">
        <f>(1000*CHOOSE(CONTROL!$C$42, 0.1146, 0.1146)*CHOOSE(CONTROL!$C$42, 121.5, 121.5)*CHOOSE(CONTROL!$C$42, 31, 31))/1000000</f>
        <v>0.43164089999999994</v>
      </c>
      <c r="X471" s="57">
        <f>(31*0.1790888*100000/1000000)+(31*0.2374*100000/1000000)</f>
        <v>1.2911152800000001</v>
      </c>
      <c r="Y471" s="57"/>
      <c r="Z471" s="14"/>
      <c r="AA471" s="56"/>
      <c r="AB471" s="50">
        <f>(B471*122.58+C471*297.941+D471*89.177+E471*40.302+F471*40+G471*160+H471*0+I471*100+J471*300)/(122.58+297.941+89.177+40.302+0+40+160+100+300)</f>
        <v>24.331089030782611</v>
      </c>
      <c r="AC471" s="45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23.878276978417265</v>
      </c>
    </row>
    <row r="472" spans="1:29" ht="15.75" x14ac:dyDescent="0.25">
      <c r="A472" s="33">
        <v>55273</v>
      </c>
      <c r="B472" s="14">
        <f>CHOOSE(CONTROL!$C$42, 24.2393, 24.2393) * CHOOSE(CONTROL!$C$21, $C$9, 100%, $E$9)</f>
        <v>24.2393</v>
      </c>
      <c r="C472" s="14">
        <f>CHOOSE(CONTROL!$C$42, 24.2438, 24.2438) * CHOOSE(CONTROL!$C$21, $C$9, 100%, $E$9)</f>
        <v>24.2438</v>
      </c>
      <c r="D472" s="14">
        <f>CHOOSE(CONTROL!$C$42, 24.4805, 24.4805) * CHOOSE(CONTROL!$C$21, $C$9, 100%, $E$9)</f>
        <v>24.480499999999999</v>
      </c>
      <c r="E472" s="14">
        <f>CHOOSE(CONTROL!$C$42, 24.5127, 24.5127) * CHOOSE(CONTROL!$C$21, $C$9, 100%, $E$9)</f>
        <v>24.512699999999999</v>
      </c>
      <c r="F472" s="14">
        <f>CHOOSE(CONTROL!$C$42, 24.2373, 24.2373)*CHOOSE(CONTROL!$C$21, $C$9, 100%, $E$9)</f>
        <v>24.237300000000001</v>
      </c>
      <c r="G472" s="14">
        <f>CHOOSE(CONTROL!$C$42, 24.2531, 24.2531)*CHOOSE(CONTROL!$C$21, $C$9, 100%, $E$9)</f>
        <v>24.2531</v>
      </c>
      <c r="H472" s="14">
        <f>CHOOSE(CONTROL!$C$42, 24.5024, 24.5024) * CHOOSE(CONTROL!$C$21, $C$9, 100%, $E$9)</f>
        <v>24.502400000000002</v>
      </c>
      <c r="I472" s="14">
        <f>CHOOSE(CONTROL!$C$42, 24.3325, 24.3325)* CHOOSE(CONTROL!$C$21, $C$9, 100%, $E$9)</f>
        <v>24.3325</v>
      </c>
      <c r="J472" s="14">
        <f>CHOOSE(CONTROL!$C$42, 24.2303, 24.2303)* CHOOSE(CONTROL!$C$21, $C$9, 100%, $E$9)</f>
        <v>24.2303</v>
      </c>
      <c r="K472" s="53">
        <f>CHOOSE(CONTROL!$C$42, 24.3286, 24.3286) * CHOOSE(CONTROL!$C$21, $C$9, 100%, $E$9)</f>
        <v>24.328600000000002</v>
      </c>
      <c r="L472" s="14">
        <f>CHOOSE(CONTROL!$C$42, 25.0894, 25.0894) * CHOOSE(CONTROL!$C$21, $C$9, 100%, $E$9)</f>
        <v>25.089400000000001</v>
      </c>
      <c r="M472" s="14">
        <f>CHOOSE(CONTROL!$C$42, 23.7415, 23.7415) * CHOOSE(CONTROL!$C$21, $C$9, 100%, $E$9)</f>
        <v>23.741499999999998</v>
      </c>
      <c r="N472" s="14">
        <f>CHOOSE(CONTROL!$C$42, 23.757, 23.757) * CHOOSE(CONTROL!$C$21, $C$9, 100%, $E$9)</f>
        <v>23.757000000000001</v>
      </c>
      <c r="O472" s="14">
        <f>CHOOSE(CONTROL!$C$42, 24.0081, 24.0081) * CHOOSE(CONTROL!$C$21, $C$9, 100%, $E$9)</f>
        <v>24.008099999999999</v>
      </c>
      <c r="P472" s="14">
        <f>CHOOSE(CONTROL!$C$42, 23.8402, 23.8402) * CHOOSE(CONTROL!$C$21, $C$9, 100%, $E$9)</f>
        <v>23.840199999999999</v>
      </c>
      <c r="Q472" s="14">
        <f>CHOOSE(CONTROL!$C$42, 24.6028, 24.6028) * CHOOSE(CONTROL!$C$21, $C$9, 100%, $E$9)</f>
        <v>24.602799999999998</v>
      </c>
      <c r="R472" s="14">
        <f>CHOOSE(CONTROL!$C$42, 25.2513, 25.2513) * CHOOSE(CONTROL!$C$21, $C$9, 100%, $E$9)</f>
        <v>25.251300000000001</v>
      </c>
      <c r="S472" s="14">
        <f>CHOOSE(CONTROL!$C$42, 23.2823, 23.2823) * CHOOSE(CONTROL!$C$21, $C$9, 100%, $E$9)</f>
        <v>23.282299999999999</v>
      </c>
      <c r="T4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7">
        <f>(1000*CHOOSE(CONTROL!$C$42, 695, 695)*CHOOSE(CONTROL!$C$42, 0.5599, 0.5599)*CHOOSE(CONTROL!$C$42, 30, 30))/1000000</f>
        <v>11.673914999999997</v>
      </c>
      <c r="V472" s="57">
        <f>(1000*CHOOSE(CONTROL!$C$42, 500, 500)*CHOOSE(CONTROL!$C$42, 0.275, 0.275)*CHOOSE(CONTROL!$C$42, 30, 30))/1000000</f>
        <v>4.125</v>
      </c>
      <c r="W472" s="57">
        <f>(1000*CHOOSE(CONTROL!$C$42, 0.1146, 0.1146)*CHOOSE(CONTROL!$C$42, 121.5, 121.5)*CHOOSE(CONTROL!$C$42, 30, 30))/1000000</f>
        <v>0.417717</v>
      </c>
      <c r="X472" s="57">
        <f>(30*0.1790888*245000/1000000)+(30*0.2374*100000/1000000)</f>
        <v>2.0285026799999999</v>
      </c>
      <c r="Y472" s="57"/>
      <c r="Z472" s="14"/>
      <c r="AA472" s="56"/>
      <c r="AB472" s="50">
        <f>(B472*141.293+C472*267.993+D472*115.016+E472*89.698+F472*40+G472*185+H472*0+I472*100+J472*300)/(141.293+267.993+115.016+89.698+0+40+185+100+300)</f>
        <v>24.289795771509279</v>
      </c>
      <c r="AC472" s="45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23.834071223021581</v>
      </c>
    </row>
    <row r="473" spans="1:29" ht="15.75" x14ac:dyDescent="0.25">
      <c r="A473" s="33">
        <v>55304</v>
      </c>
      <c r="B473" s="14">
        <f>CHOOSE(CONTROL!$C$42, 24.4546, 24.4546) * CHOOSE(CONTROL!$C$21, $C$9, 100%, $E$9)</f>
        <v>24.454599999999999</v>
      </c>
      <c r="C473" s="14">
        <f>CHOOSE(CONTROL!$C$42, 24.4626, 24.4626) * CHOOSE(CONTROL!$C$21, $C$9, 100%, $E$9)</f>
        <v>24.462599999999998</v>
      </c>
      <c r="D473" s="14">
        <f>CHOOSE(CONTROL!$C$42, 24.6962, 24.6962) * CHOOSE(CONTROL!$C$21, $C$9, 100%, $E$9)</f>
        <v>24.696200000000001</v>
      </c>
      <c r="E473" s="14">
        <f>CHOOSE(CONTROL!$C$42, 24.7277, 24.7277) * CHOOSE(CONTROL!$C$21, $C$9, 100%, $E$9)</f>
        <v>24.727699999999999</v>
      </c>
      <c r="F473" s="14">
        <f>CHOOSE(CONTROL!$C$42, 24.4513, 24.4513)*CHOOSE(CONTROL!$C$21, $C$9, 100%, $E$9)</f>
        <v>24.4513</v>
      </c>
      <c r="G473" s="14">
        <f>CHOOSE(CONTROL!$C$42, 24.4677, 24.4677)*CHOOSE(CONTROL!$C$21, $C$9, 100%, $E$9)</f>
        <v>24.467700000000001</v>
      </c>
      <c r="H473" s="14">
        <f>CHOOSE(CONTROL!$C$42, 24.7163, 24.7163) * CHOOSE(CONTROL!$C$21, $C$9, 100%, $E$9)</f>
        <v>24.7163</v>
      </c>
      <c r="I473" s="14">
        <f>CHOOSE(CONTROL!$C$42, 24.547, 24.547)* CHOOSE(CONTROL!$C$21, $C$9, 100%, $E$9)</f>
        <v>24.547000000000001</v>
      </c>
      <c r="J473" s="14">
        <f>CHOOSE(CONTROL!$C$42, 24.4443, 24.4443)* CHOOSE(CONTROL!$C$21, $C$9, 100%, $E$9)</f>
        <v>24.444299999999998</v>
      </c>
      <c r="K473" s="53">
        <f>CHOOSE(CONTROL!$C$42, 24.5431, 24.5431) * CHOOSE(CONTROL!$C$21, $C$9, 100%, $E$9)</f>
        <v>24.543099999999999</v>
      </c>
      <c r="L473" s="14">
        <f>CHOOSE(CONTROL!$C$42, 25.3033, 25.3033) * CHOOSE(CONTROL!$C$21, $C$9, 100%, $E$9)</f>
        <v>25.3033</v>
      </c>
      <c r="M473" s="14">
        <f>CHOOSE(CONTROL!$C$42, 23.9512, 23.9512) * CHOOSE(CONTROL!$C$21, $C$9, 100%, $E$9)</f>
        <v>23.9512</v>
      </c>
      <c r="N473" s="14">
        <f>CHOOSE(CONTROL!$C$42, 23.9672, 23.9672) * CHOOSE(CONTROL!$C$21, $C$9, 100%, $E$9)</f>
        <v>23.967199999999998</v>
      </c>
      <c r="O473" s="14">
        <f>CHOOSE(CONTROL!$C$42, 24.2176, 24.2176) * CHOOSE(CONTROL!$C$21, $C$9, 100%, $E$9)</f>
        <v>24.217600000000001</v>
      </c>
      <c r="P473" s="14">
        <f>CHOOSE(CONTROL!$C$42, 24.0503, 24.0503) * CHOOSE(CONTROL!$C$21, $C$9, 100%, $E$9)</f>
        <v>24.0503</v>
      </c>
      <c r="Q473" s="14">
        <f>CHOOSE(CONTROL!$C$42, 24.8123, 24.8123) * CHOOSE(CONTROL!$C$21, $C$9, 100%, $E$9)</f>
        <v>24.8123</v>
      </c>
      <c r="R473" s="14">
        <f>CHOOSE(CONTROL!$C$42, 25.4613, 25.4613) * CHOOSE(CONTROL!$C$21, $C$9, 100%, $E$9)</f>
        <v>25.461300000000001</v>
      </c>
      <c r="S473" s="14">
        <f>CHOOSE(CONTROL!$C$42, 23.4878, 23.4878) * CHOOSE(CONTROL!$C$21, $C$9, 100%, $E$9)</f>
        <v>23.4878</v>
      </c>
      <c r="T4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7">
        <f>(1000*CHOOSE(CONTROL!$C$42, 695, 695)*CHOOSE(CONTROL!$C$42, 0.5599, 0.5599)*CHOOSE(CONTROL!$C$42, 31, 31))/1000000</f>
        <v>12.063045499999998</v>
      </c>
      <c r="V473" s="57">
        <f>(1000*CHOOSE(CONTROL!$C$42, 500, 500)*CHOOSE(CONTROL!$C$42, 0.275, 0.275)*CHOOSE(CONTROL!$C$42, 31, 31))/1000000</f>
        <v>4.2625000000000002</v>
      </c>
      <c r="W473" s="57">
        <f>(1000*CHOOSE(CONTROL!$C$42, 0.1146, 0.1146)*CHOOSE(CONTROL!$C$42, 121.5, 121.5)*CHOOSE(CONTROL!$C$42, 31, 31))/1000000</f>
        <v>0.43164089999999994</v>
      </c>
      <c r="X473" s="57">
        <f>(31*0.1790888*245000/1000000)+(31*0.2374*100000/1000000)</f>
        <v>2.0961194359999999</v>
      </c>
      <c r="Y473" s="57"/>
      <c r="Z473" s="14"/>
      <c r="AA473" s="56"/>
      <c r="AB473" s="50">
        <f>(B473*194.205+C473*267.466+D473*133.845+E473*53.484+F473*40+G473*185+H473*0+I473*100+J473*300)/(194.205+267.466+133.845+53.484+0+40+185+100+300)</f>
        <v>24.499752794662481</v>
      </c>
      <c r="AC473" s="45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24.043887769784174</v>
      </c>
    </row>
    <row r="474" spans="1:29" ht="15.75" x14ac:dyDescent="0.25">
      <c r="A474" s="33">
        <v>55334</v>
      </c>
      <c r="B474" s="14">
        <f>CHOOSE(CONTROL!$C$42, 25.1479, 25.1479) * CHOOSE(CONTROL!$C$21, $C$9, 100%, $E$9)</f>
        <v>25.1479</v>
      </c>
      <c r="C474" s="14">
        <f>CHOOSE(CONTROL!$C$42, 25.1559, 25.1559) * CHOOSE(CONTROL!$C$21, $C$9, 100%, $E$9)</f>
        <v>25.155899999999999</v>
      </c>
      <c r="D474" s="14">
        <f>CHOOSE(CONTROL!$C$42, 25.3895, 25.3895) * CHOOSE(CONTROL!$C$21, $C$9, 100%, $E$9)</f>
        <v>25.389500000000002</v>
      </c>
      <c r="E474" s="14">
        <f>CHOOSE(CONTROL!$C$42, 25.421, 25.421) * CHOOSE(CONTROL!$C$21, $C$9, 100%, $E$9)</f>
        <v>25.420999999999999</v>
      </c>
      <c r="F474" s="14">
        <f>CHOOSE(CONTROL!$C$42, 25.1452, 25.1452)*CHOOSE(CONTROL!$C$21, $C$9, 100%, $E$9)</f>
        <v>25.145199999999999</v>
      </c>
      <c r="G474" s="14">
        <f>CHOOSE(CONTROL!$C$42, 25.1616, 25.1616)*CHOOSE(CONTROL!$C$21, $C$9, 100%, $E$9)</f>
        <v>25.1616</v>
      </c>
      <c r="H474" s="14">
        <f>CHOOSE(CONTROL!$C$42, 25.4096, 25.4096) * CHOOSE(CONTROL!$C$21, $C$9, 100%, $E$9)</f>
        <v>25.409600000000001</v>
      </c>
      <c r="I474" s="14">
        <f>CHOOSE(CONTROL!$C$42, 25.2425, 25.2425)* CHOOSE(CONTROL!$C$21, $C$9, 100%, $E$9)</f>
        <v>25.2425</v>
      </c>
      <c r="J474" s="14">
        <f>CHOOSE(CONTROL!$C$42, 25.1382, 25.1382)* CHOOSE(CONTROL!$C$21, $C$9, 100%, $E$9)</f>
        <v>25.138200000000001</v>
      </c>
      <c r="K474" s="53">
        <f>CHOOSE(CONTROL!$C$42, 25.2387, 25.2387) * CHOOSE(CONTROL!$C$21, $C$9, 100%, $E$9)</f>
        <v>25.238700000000001</v>
      </c>
      <c r="L474" s="14">
        <f>CHOOSE(CONTROL!$C$42, 25.9966, 25.9966) * CHOOSE(CONTROL!$C$21, $C$9, 100%, $E$9)</f>
        <v>25.996600000000001</v>
      </c>
      <c r="M474" s="14">
        <f>CHOOSE(CONTROL!$C$42, 24.6308, 24.6308) * CHOOSE(CONTROL!$C$21, $C$9, 100%, $E$9)</f>
        <v>24.630800000000001</v>
      </c>
      <c r="N474" s="14">
        <f>CHOOSE(CONTROL!$C$42, 24.6469, 24.6469) * CHOOSE(CONTROL!$C$21, $C$9, 100%, $E$9)</f>
        <v>24.646899999999999</v>
      </c>
      <c r="O474" s="14">
        <f>CHOOSE(CONTROL!$C$42, 24.8967, 24.8967) * CHOOSE(CONTROL!$C$21, $C$9, 100%, $E$9)</f>
        <v>24.896699999999999</v>
      </c>
      <c r="P474" s="14">
        <f>CHOOSE(CONTROL!$C$42, 24.7315, 24.7315) * CHOOSE(CONTROL!$C$21, $C$9, 100%, $E$9)</f>
        <v>24.7315</v>
      </c>
      <c r="Q474" s="14">
        <f>CHOOSE(CONTROL!$C$42, 25.4914, 25.4914) * CHOOSE(CONTROL!$C$21, $C$9, 100%, $E$9)</f>
        <v>25.491399999999999</v>
      </c>
      <c r="R474" s="14">
        <f>CHOOSE(CONTROL!$C$42, 26.1421, 26.1421) * CHOOSE(CONTROL!$C$21, $C$9, 100%, $E$9)</f>
        <v>26.142099999999999</v>
      </c>
      <c r="S474" s="14">
        <f>CHOOSE(CONTROL!$C$42, 24.154, 24.154) * CHOOSE(CONTROL!$C$21, $C$9, 100%, $E$9)</f>
        <v>24.154</v>
      </c>
      <c r="T4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7">
        <f>(1000*CHOOSE(CONTROL!$C$42, 695, 695)*CHOOSE(CONTROL!$C$42, 0.5599, 0.5599)*CHOOSE(CONTROL!$C$42, 30, 30))/1000000</f>
        <v>11.673914999999997</v>
      </c>
      <c r="V474" s="57">
        <f>(1000*CHOOSE(CONTROL!$C$42, 500, 500)*CHOOSE(CONTROL!$C$42, 0.275, 0.275)*CHOOSE(CONTROL!$C$42, 30, 30))/1000000</f>
        <v>4.125</v>
      </c>
      <c r="W474" s="57">
        <f>(1000*CHOOSE(CONTROL!$C$42, 0.1146, 0.1146)*CHOOSE(CONTROL!$C$42, 121.5, 121.5)*CHOOSE(CONTROL!$C$42, 30, 30))/1000000</f>
        <v>0.417717</v>
      </c>
      <c r="X474" s="57">
        <f>(30*0.1790888*245000/1000000)+(30*0.2374*100000/1000000)</f>
        <v>2.0285026799999999</v>
      </c>
      <c r="Y474" s="57"/>
      <c r="Z474" s="14"/>
      <c r="AA474" s="56"/>
      <c r="AB474" s="50">
        <f>(B474*194.205+C474*267.466+D474*133.845+E474*53.484+F474*40+G474*185+H474*0+I474*100+J474*300)/(194.205+267.466+133.845+53.484+0+40+185+100+300)</f>
        <v>25.193472731868134</v>
      </c>
      <c r="AC474" s="45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24.723600719424461</v>
      </c>
    </row>
    <row r="475" spans="1:29" ht="15.75" x14ac:dyDescent="0.25">
      <c r="A475" s="33">
        <v>55365</v>
      </c>
      <c r="B475" s="14">
        <f>CHOOSE(CONTROL!$C$42, 24.6657, 24.6657) * CHOOSE(CONTROL!$C$21, $C$9, 100%, $E$9)</f>
        <v>24.665700000000001</v>
      </c>
      <c r="C475" s="14">
        <f>CHOOSE(CONTROL!$C$42, 24.6737, 24.6737) * CHOOSE(CONTROL!$C$21, $C$9, 100%, $E$9)</f>
        <v>24.6737</v>
      </c>
      <c r="D475" s="14">
        <f>CHOOSE(CONTROL!$C$42, 24.9073, 24.9073) * CHOOSE(CONTROL!$C$21, $C$9, 100%, $E$9)</f>
        <v>24.907299999999999</v>
      </c>
      <c r="E475" s="14">
        <f>CHOOSE(CONTROL!$C$42, 24.9388, 24.9388) * CHOOSE(CONTROL!$C$21, $C$9, 100%, $E$9)</f>
        <v>24.938800000000001</v>
      </c>
      <c r="F475" s="14">
        <f>CHOOSE(CONTROL!$C$42, 24.6635, 24.6635)*CHOOSE(CONTROL!$C$21, $C$9, 100%, $E$9)</f>
        <v>24.663499999999999</v>
      </c>
      <c r="G475" s="14">
        <f>CHOOSE(CONTROL!$C$42, 24.6801, 24.6801)*CHOOSE(CONTROL!$C$21, $C$9, 100%, $E$9)</f>
        <v>24.680099999999999</v>
      </c>
      <c r="H475" s="14">
        <f>CHOOSE(CONTROL!$C$42, 24.9274, 24.9274) * CHOOSE(CONTROL!$C$21, $C$9, 100%, $E$9)</f>
        <v>24.927399999999999</v>
      </c>
      <c r="I475" s="14">
        <f>CHOOSE(CONTROL!$C$42, 24.7588, 24.7588)* CHOOSE(CONTROL!$C$21, $C$9, 100%, $E$9)</f>
        <v>24.758800000000001</v>
      </c>
      <c r="J475" s="14">
        <f>CHOOSE(CONTROL!$C$42, 24.6565, 24.6565)* CHOOSE(CONTROL!$C$21, $C$9, 100%, $E$9)</f>
        <v>24.656500000000001</v>
      </c>
      <c r="K475" s="53">
        <f>CHOOSE(CONTROL!$C$42, 24.7549, 24.7549) * CHOOSE(CONTROL!$C$21, $C$9, 100%, $E$9)</f>
        <v>24.754899999999999</v>
      </c>
      <c r="L475" s="14">
        <f>CHOOSE(CONTROL!$C$42, 25.5144, 25.5144) * CHOOSE(CONTROL!$C$21, $C$9, 100%, $E$9)</f>
        <v>25.514399999999998</v>
      </c>
      <c r="M475" s="14">
        <f>CHOOSE(CONTROL!$C$42, 24.159, 24.159) * CHOOSE(CONTROL!$C$21, $C$9, 100%, $E$9)</f>
        <v>24.158999999999999</v>
      </c>
      <c r="N475" s="14">
        <f>CHOOSE(CONTROL!$C$42, 24.1752, 24.1752) * CHOOSE(CONTROL!$C$21, $C$9, 100%, $E$9)</f>
        <v>24.1752</v>
      </c>
      <c r="O475" s="14">
        <f>CHOOSE(CONTROL!$C$42, 24.4243, 24.4243) * CHOOSE(CONTROL!$C$21, $C$9, 100%, $E$9)</f>
        <v>24.424299999999999</v>
      </c>
      <c r="P475" s="14">
        <f>CHOOSE(CONTROL!$C$42, 24.2577, 24.2577) * CHOOSE(CONTROL!$C$21, $C$9, 100%, $E$9)</f>
        <v>24.2577</v>
      </c>
      <c r="Q475" s="14">
        <f>CHOOSE(CONTROL!$C$42, 25.019, 25.019) * CHOOSE(CONTROL!$C$21, $C$9, 100%, $E$9)</f>
        <v>25.018999999999998</v>
      </c>
      <c r="R475" s="14">
        <f>CHOOSE(CONTROL!$C$42, 25.6686, 25.6686) * CHOOSE(CONTROL!$C$21, $C$9, 100%, $E$9)</f>
        <v>25.668600000000001</v>
      </c>
      <c r="S475" s="14">
        <f>CHOOSE(CONTROL!$C$42, 23.6906, 23.6906) * CHOOSE(CONTROL!$C$21, $C$9, 100%, $E$9)</f>
        <v>23.6906</v>
      </c>
      <c r="T4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7">
        <f>(1000*CHOOSE(CONTROL!$C$42, 695, 695)*CHOOSE(CONTROL!$C$42, 0.5599, 0.5599)*CHOOSE(CONTROL!$C$42, 31, 31))/1000000</f>
        <v>12.063045499999998</v>
      </c>
      <c r="V475" s="57">
        <f>(1000*CHOOSE(CONTROL!$C$42, 500, 500)*CHOOSE(CONTROL!$C$42, 0.275, 0.275)*CHOOSE(CONTROL!$C$42, 31, 31))/1000000</f>
        <v>4.2625000000000002</v>
      </c>
      <c r="W475" s="57">
        <f>(1000*CHOOSE(CONTROL!$C$42, 0.1146, 0.1146)*CHOOSE(CONTROL!$C$42, 121.5, 121.5)*CHOOSE(CONTROL!$C$42, 31, 31))/1000000</f>
        <v>0.43164089999999994</v>
      </c>
      <c r="X475" s="57">
        <f>(31*0.1790888*245000/1000000)+(31*0.2374*100000/1000000)</f>
        <v>2.0961194359999999</v>
      </c>
      <c r="Y475" s="57"/>
      <c r="Z475" s="14"/>
      <c r="AA475" s="56"/>
      <c r="AB475" s="50">
        <f>(B475*194.205+C475*267.466+D475*133.845+E475*53.484+F475*40+G475*185+H475*0+I475*100+J475*300)/(194.205+267.466+133.845+53.484+0+40+185+100+300)</f>
        <v>24.711390078806911</v>
      </c>
      <c r="AC475" s="45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24.251367625899277</v>
      </c>
    </row>
    <row r="476" spans="1:29" ht="15.75" x14ac:dyDescent="0.25">
      <c r="A476" s="33">
        <v>55396</v>
      </c>
      <c r="B476" s="14">
        <f>CHOOSE(CONTROL!$C$42, 23.4479, 23.4479) * CHOOSE(CONTROL!$C$21, $C$9, 100%, $E$9)</f>
        <v>23.447900000000001</v>
      </c>
      <c r="C476" s="14">
        <f>CHOOSE(CONTROL!$C$42, 23.456, 23.456) * CHOOSE(CONTROL!$C$21, $C$9, 100%, $E$9)</f>
        <v>23.456</v>
      </c>
      <c r="D476" s="14">
        <f>CHOOSE(CONTROL!$C$42, 23.6895, 23.6895) * CHOOSE(CONTROL!$C$21, $C$9, 100%, $E$9)</f>
        <v>23.689499999999999</v>
      </c>
      <c r="E476" s="14">
        <f>CHOOSE(CONTROL!$C$42, 23.721, 23.721) * CHOOSE(CONTROL!$C$21, $C$9, 100%, $E$9)</f>
        <v>23.721</v>
      </c>
      <c r="F476" s="14">
        <f>CHOOSE(CONTROL!$C$42, 23.4459, 23.4459)*CHOOSE(CONTROL!$C$21, $C$9, 100%, $E$9)</f>
        <v>23.445900000000002</v>
      </c>
      <c r="G476" s="14">
        <f>CHOOSE(CONTROL!$C$42, 23.4626, 23.4626)*CHOOSE(CONTROL!$C$21, $C$9, 100%, $E$9)</f>
        <v>23.462599999999998</v>
      </c>
      <c r="H476" s="14">
        <f>CHOOSE(CONTROL!$C$42, 23.7096, 23.7096) * CHOOSE(CONTROL!$C$21, $C$9, 100%, $E$9)</f>
        <v>23.709599999999998</v>
      </c>
      <c r="I476" s="14">
        <f>CHOOSE(CONTROL!$C$42, 23.5372, 23.5372)* CHOOSE(CONTROL!$C$21, $C$9, 100%, $E$9)</f>
        <v>23.537199999999999</v>
      </c>
      <c r="J476" s="14">
        <f>CHOOSE(CONTROL!$C$42, 23.4389, 23.4389)* CHOOSE(CONTROL!$C$21, $C$9, 100%, $E$9)</f>
        <v>23.4389</v>
      </c>
      <c r="K476" s="53">
        <f>CHOOSE(CONTROL!$C$42, 23.5334, 23.5334) * CHOOSE(CONTROL!$C$21, $C$9, 100%, $E$9)</f>
        <v>23.5334</v>
      </c>
      <c r="L476" s="14">
        <f>CHOOSE(CONTROL!$C$42, 24.2966, 24.2966) * CHOOSE(CONTROL!$C$21, $C$9, 100%, $E$9)</f>
        <v>24.296600000000002</v>
      </c>
      <c r="M476" s="14">
        <f>CHOOSE(CONTROL!$C$42, 22.9664, 22.9664) * CHOOSE(CONTROL!$C$21, $C$9, 100%, $E$9)</f>
        <v>22.9664</v>
      </c>
      <c r="N476" s="14">
        <f>CHOOSE(CONTROL!$C$42, 22.9827, 22.9827) * CHOOSE(CONTROL!$C$21, $C$9, 100%, $E$9)</f>
        <v>22.982700000000001</v>
      </c>
      <c r="O476" s="14">
        <f>CHOOSE(CONTROL!$C$42, 23.2315, 23.2315) * CHOOSE(CONTROL!$C$21, $C$9, 100%, $E$9)</f>
        <v>23.2315</v>
      </c>
      <c r="P476" s="14">
        <f>CHOOSE(CONTROL!$C$42, 23.0613, 23.0613) * CHOOSE(CONTROL!$C$21, $C$9, 100%, $E$9)</f>
        <v>23.061299999999999</v>
      </c>
      <c r="Q476" s="14">
        <f>CHOOSE(CONTROL!$C$42, 23.8262, 23.8262) * CHOOSE(CONTROL!$C$21, $C$9, 100%, $E$9)</f>
        <v>23.8262</v>
      </c>
      <c r="R476" s="14">
        <f>CHOOSE(CONTROL!$C$42, 24.4728, 24.4728) * CHOOSE(CONTROL!$C$21, $C$9, 100%, $E$9)</f>
        <v>24.472799999999999</v>
      </c>
      <c r="S476" s="14">
        <f>CHOOSE(CONTROL!$C$42, 22.5205, 22.5205) * CHOOSE(CONTROL!$C$21, $C$9, 100%, $E$9)</f>
        <v>22.520499999999998</v>
      </c>
      <c r="T4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7">
        <f>(1000*CHOOSE(CONTROL!$C$42, 695, 695)*CHOOSE(CONTROL!$C$42, 0.5599, 0.5599)*CHOOSE(CONTROL!$C$42, 31, 31))/1000000</f>
        <v>12.063045499999998</v>
      </c>
      <c r="V476" s="57">
        <f>(1000*CHOOSE(CONTROL!$C$42, 500, 500)*CHOOSE(CONTROL!$C$42, 0.275, 0.275)*CHOOSE(CONTROL!$C$42, 31, 31))/1000000</f>
        <v>4.2625000000000002</v>
      </c>
      <c r="W476" s="57">
        <f>(1000*CHOOSE(CONTROL!$C$42, 0.1146, 0.1146)*CHOOSE(CONTROL!$C$42, 121.5, 121.5)*CHOOSE(CONTROL!$C$42, 31, 31))/1000000</f>
        <v>0.43164089999999994</v>
      </c>
      <c r="X476" s="57">
        <f>(31*0.1790888*245000/1000000)+(31*0.2374*100000/1000000)</f>
        <v>2.0961194359999999</v>
      </c>
      <c r="Y476" s="57"/>
      <c r="Z476" s="14"/>
      <c r="AA476" s="56"/>
      <c r="AB476" s="50">
        <f>(B476*194.205+C476*267.466+D476*133.845+E476*53.484+F476*40+G476*185+H476*0+I476*100+J476*300)/(194.205+267.466+133.845+53.484+0+40+185+100+300)</f>
        <v>23.493409738618524</v>
      </c>
      <c r="AC476" s="45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23.058187769784173</v>
      </c>
    </row>
    <row r="477" spans="1:29" ht="15.75" x14ac:dyDescent="0.25">
      <c r="A477" s="33">
        <v>55426</v>
      </c>
      <c r="B477" s="14">
        <f>CHOOSE(CONTROL!$C$42, 21.9596, 21.9596) * CHOOSE(CONTROL!$C$21, $C$9, 100%, $E$9)</f>
        <v>21.959599999999998</v>
      </c>
      <c r="C477" s="14">
        <f>CHOOSE(CONTROL!$C$42, 21.9676, 21.9676) * CHOOSE(CONTROL!$C$21, $C$9, 100%, $E$9)</f>
        <v>21.967600000000001</v>
      </c>
      <c r="D477" s="14">
        <f>CHOOSE(CONTROL!$C$42, 22.2012, 22.2012) * CHOOSE(CONTROL!$C$21, $C$9, 100%, $E$9)</f>
        <v>22.2012</v>
      </c>
      <c r="E477" s="14">
        <f>CHOOSE(CONTROL!$C$42, 22.2327, 22.2327) * CHOOSE(CONTROL!$C$21, $C$9, 100%, $E$9)</f>
        <v>22.232700000000001</v>
      </c>
      <c r="F477" s="14">
        <f>CHOOSE(CONTROL!$C$42, 21.9576, 21.9576)*CHOOSE(CONTROL!$C$21, $C$9, 100%, $E$9)</f>
        <v>21.957599999999999</v>
      </c>
      <c r="G477" s="14">
        <f>CHOOSE(CONTROL!$C$42, 21.9743, 21.9743)*CHOOSE(CONTROL!$C$21, $C$9, 100%, $E$9)</f>
        <v>21.974299999999999</v>
      </c>
      <c r="H477" s="14">
        <f>CHOOSE(CONTROL!$C$42, 22.2213, 22.2213) * CHOOSE(CONTROL!$C$21, $C$9, 100%, $E$9)</f>
        <v>22.221299999999999</v>
      </c>
      <c r="I477" s="14">
        <f>CHOOSE(CONTROL!$C$42, 22.0442, 22.0442)* CHOOSE(CONTROL!$C$21, $C$9, 100%, $E$9)</f>
        <v>22.0442</v>
      </c>
      <c r="J477" s="14">
        <f>CHOOSE(CONTROL!$C$42, 21.9506, 21.9506)* CHOOSE(CONTROL!$C$21, $C$9, 100%, $E$9)</f>
        <v>21.950600000000001</v>
      </c>
      <c r="K477" s="53">
        <f>CHOOSE(CONTROL!$C$42, 22.0404, 22.0404) * CHOOSE(CONTROL!$C$21, $C$9, 100%, $E$9)</f>
        <v>22.040400000000002</v>
      </c>
      <c r="L477" s="14">
        <f>CHOOSE(CONTROL!$C$42, 22.8083, 22.8083) * CHOOSE(CONTROL!$C$21, $C$9, 100%, $E$9)</f>
        <v>22.808299999999999</v>
      </c>
      <c r="M477" s="14">
        <f>CHOOSE(CONTROL!$C$42, 21.5085, 21.5085) * CHOOSE(CONTROL!$C$21, $C$9, 100%, $E$9)</f>
        <v>21.508500000000002</v>
      </c>
      <c r="N477" s="14">
        <f>CHOOSE(CONTROL!$C$42, 21.5249, 21.5249) * CHOOSE(CONTROL!$C$21, $C$9, 100%, $E$9)</f>
        <v>21.524899999999999</v>
      </c>
      <c r="O477" s="14">
        <f>CHOOSE(CONTROL!$C$42, 21.7737, 21.7737) * CHOOSE(CONTROL!$C$21, $C$9, 100%, $E$9)</f>
        <v>21.773700000000002</v>
      </c>
      <c r="P477" s="14">
        <f>CHOOSE(CONTROL!$C$42, 21.599, 21.599) * CHOOSE(CONTROL!$C$21, $C$9, 100%, $E$9)</f>
        <v>21.599</v>
      </c>
      <c r="Q477" s="14">
        <f>CHOOSE(CONTROL!$C$42, 22.3684, 22.3684) * CHOOSE(CONTROL!$C$21, $C$9, 100%, $E$9)</f>
        <v>22.368400000000001</v>
      </c>
      <c r="R477" s="14">
        <f>CHOOSE(CONTROL!$C$42, 23.0113, 23.0113) * CHOOSE(CONTROL!$C$21, $C$9, 100%, $E$9)</f>
        <v>23.011299999999999</v>
      </c>
      <c r="S477" s="14">
        <f>CHOOSE(CONTROL!$C$42, 21.0903, 21.0903) * CHOOSE(CONTROL!$C$21, $C$9, 100%, $E$9)</f>
        <v>21.090299999999999</v>
      </c>
      <c r="T4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7">
        <f>(1000*CHOOSE(CONTROL!$C$42, 695, 695)*CHOOSE(CONTROL!$C$42, 0.5599, 0.5599)*CHOOSE(CONTROL!$C$42, 30, 30))/1000000</f>
        <v>11.673914999999997</v>
      </c>
      <c r="V477" s="57">
        <f>(1000*CHOOSE(CONTROL!$C$42, 500, 500)*CHOOSE(CONTROL!$C$42, 0.275, 0.275)*CHOOSE(CONTROL!$C$42, 30, 30))/1000000</f>
        <v>4.125</v>
      </c>
      <c r="W477" s="57">
        <f>(1000*CHOOSE(CONTROL!$C$42, 0.1146, 0.1146)*CHOOSE(CONTROL!$C$42, 121.5, 121.5)*CHOOSE(CONTROL!$C$42, 30, 30))/1000000</f>
        <v>0.417717</v>
      </c>
      <c r="X477" s="57">
        <f>(30*0.1790888*245000/1000000)+(30*0.2374*100000/1000000)</f>
        <v>2.0285026799999999</v>
      </c>
      <c r="Y477" s="57"/>
      <c r="Z477" s="14"/>
      <c r="AA477" s="56"/>
      <c r="AB477" s="50">
        <f>(B477*194.205+C477*267.466+D477*133.845+E477*53.484+F477*40+G477*185+H477*0+I477*100+J477*300)/(194.205+267.466+133.845+53.484+0+40+185+100+300)</f>
        <v>22.004719827629515</v>
      </c>
      <c r="AC477" s="45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21.599705755395682</v>
      </c>
    </row>
    <row r="478" spans="1:29" ht="15.75" x14ac:dyDescent="0.25">
      <c r="A478" s="33">
        <v>55457</v>
      </c>
      <c r="B478" s="14">
        <f>CHOOSE(CONTROL!$C$42, 21.5122, 21.5122) * CHOOSE(CONTROL!$C$21, $C$9, 100%, $E$9)</f>
        <v>21.5122</v>
      </c>
      <c r="C478" s="14">
        <f>CHOOSE(CONTROL!$C$42, 21.5175, 21.5175) * CHOOSE(CONTROL!$C$21, $C$9, 100%, $E$9)</f>
        <v>21.517499999999998</v>
      </c>
      <c r="D478" s="14">
        <f>CHOOSE(CONTROL!$C$42, 21.7561, 21.7561) * CHOOSE(CONTROL!$C$21, $C$9, 100%, $E$9)</f>
        <v>21.7561</v>
      </c>
      <c r="E478" s="14">
        <f>CHOOSE(CONTROL!$C$42, 21.7852, 21.7852) * CHOOSE(CONTROL!$C$21, $C$9, 100%, $E$9)</f>
        <v>21.7852</v>
      </c>
      <c r="F478" s="14">
        <f>CHOOSE(CONTROL!$C$42, 21.5122, 21.5122)*CHOOSE(CONTROL!$C$21, $C$9, 100%, $E$9)</f>
        <v>21.5122</v>
      </c>
      <c r="G478" s="14">
        <f>CHOOSE(CONTROL!$C$42, 21.5285, 21.5285)*CHOOSE(CONTROL!$C$21, $C$9, 100%, $E$9)</f>
        <v>21.528500000000001</v>
      </c>
      <c r="H478" s="14">
        <f>CHOOSE(CONTROL!$C$42, 21.7757, 21.7757) * CHOOSE(CONTROL!$C$21, $C$9, 100%, $E$9)</f>
        <v>21.775700000000001</v>
      </c>
      <c r="I478" s="14">
        <f>CHOOSE(CONTROL!$C$42, 21.5972, 21.5972)* CHOOSE(CONTROL!$C$21, $C$9, 100%, $E$9)</f>
        <v>21.597200000000001</v>
      </c>
      <c r="J478" s="14">
        <f>CHOOSE(CONTROL!$C$42, 21.5052, 21.5052)* CHOOSE(CONTROL!$C$21, $C$9, 100%, $E$9)</f>
        <v>21.505199999999999</v>
      </c>
      <c r="K478" s="53">
        <f>CHOOSE(CONTROL!$C$42, 21.5933, 21.5933) * CHOOSE(CONTROL!$C$21, $C$9, 100%, $E$9)</f>
        <v>21.593299999999999</v>
      </c>
      <c r="L478" s="14">
        <f>CHOOSE(CONTROL!$C$42, 22.3627, 22.3627) * CHOOSE(CONTROL!$C$21, $C$9, 100%, $E$9)</f>
        <v>22.3627</v>
      </c>
      <c r="M478" s="14">
        <f>CHOOSE(CONTROL!$C$42, 21.0723, 21.0723) * CHOOSE(CONTROL!$C$21, $C$9, 100%, $E$9)</f>
        <v>21.072299999999998</v>
      </c>
      <c r="N478" s="14">
        <f>CHOOSE(CONTROL!$C$42, 21.0882, 21.0882) * CHOOSE(CONTROL!$C$21, $C$9, 100%, $E$9)</f>
        <v>21.088200000000001</v>
      </c>
      <c r="O478" s="14">
        <f>CHOOSE(CONTROL!$C$42, 21.3372, 21.3372) * CHOOSE(CONTROL!$C$21, $C$9, 100%, $E$9)</f>
        <v>21.337199999999999</v>
      </c>
      <c r="P478" s="14">
        <f>CHOOSE(CONTROL!$C$42, 21.1611, 21.1611) * CHOOSE(CONTROL!$C$21, $C$9, 100%, $E$9)</f>
        <v>21.161100000000001</v>
      </c>
      <c r="Q478" s="14">
        <f>CHOOSE(CONTROL!$C$42, 21.9319, 21.9319) * CHOOSE(CONTROL!$C$21, $C$9, 100%, $E$9)</f>
        <v>21.931899999999999</v>
      </c>
      <c r="R478" s="14">
        <f>CHOOSE(CONTROL!$C$42, 22.5737, 22.5737) * CHOOSE(CONTROL!$C$21, $C$9, 100%, $E$9)</f>
        <v>22.573699999999999</v>
      </c>
      <c r="S478" s="14">
        <f>CHOOSE(CONTROL!$C$42, 20.6621, 20.6621) * CHOOSE(CONTROL!$C$21, $C$9, 100%, $E$9)</f>
        <v>20.662099999999999</v>
      </c>
      <c r="T4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7">
        <f>(1000*CHOOSE(CONTROL!$C$42, 695, 695)*CHOOSE(CONTROL!$C$42, 0.5599, 0.5599)*CHOOSE(CONTROL!$C$42, 31, 31))/1000000</f>
        <v>12.063045499999998</v>
      </c>
      <c r="V478" s="57">
        <f>(1000*CHOOSE(CONTROL!$C$42, 500, 500)*CHOOSE(CONTROL!$C$42, 0.275, 0.275)*CHOOSE(CONTROL!$C$42, 31, 31))/1000000</f>
        <v>4.2625000000000002</v>
      </c>
      <c r="W478" s="57">
        <f>(1000*CHOOSE(CONTROL!$C$42, 0.1146, 0.1146)*CHOOSE(CONTROL!$C$42, 121.5, 121.5)*CHOOSE(CONTROL!$C$42, 31, 31))/1000000</f>
        <v>0.43164089999999994</v>
      </c>
      <c r="X478" s="57">
        <f>(31*0.1790888*245000/1000000)+(31*0.2374*100000/1000000)</f>
        <v>2.0961194359999999</v>
      </c>
      <c r="Y478" s="57"/>
      <c r="Z478" s="14"/>
      <c r="AA478" s="56"/>
      <c r="AB478" s="50">
        <f>(B478*131.881+C478*277.167+D478*79.08+E478*125.872+F478*40+G478*185+H478*0+I478*100+J478*300)/(131.881+277.167+79.08+125.872+0+40+185+100+300)</f>
        <v>21.564286483535106</v>
      </c>
      <c r="AC478" s="45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21.163061870503601</v>
      </c>
    </row>
    <row r="479" spans="1:29" ht="15.75" x14ac:dyDescent="0.25">
      <c r="A479" s="33">
        <v>55487</v>
      </c>
      <c r="B479" s="14">
        <f>CHOOSE(CONTROL!$C$42, 22.0783, 22.0783) * CHOOSE(CONTROL!$C$21, $C$9, 100%, $E$9)</f>
        <v>22.078299999999999</v>
      </c>
      <c r="C479" s="14">
        <f>CHOOSE(CONTROL!$C$42, 22.0833, 22.0833) * CHOOSE(CONTROL!$C$21, $C$9, 100%, $E$9)</f>
        <v>22.083300000000001</v>
      </c>
      <c r="D479" s="14">
        <f>CHOOSE(CONTROL!$C$42, 22.1575, 22.1575) * CHOOSE(CONTROL!$C$21, $C$9, 100%, $E$9)</f>
        <v>22.157499999999999</v>
      </c>
      <c r="E479" s="14">
        <f>CHOOSE(CONTROL!$C$42, 22.1916, 22.1916) * CHOOSE(CONTROL!$C$21, $C$9, 100%, $E$9)</f>
        <v>22.191600000000001</v>
      </c>
      <c r="F479" s="14">
        <f>CHOOSE(CONTROL!$C$42, 22.0903, 22.0903)*CHOOSE(CONTROL!$C$21, $C$9, 100%, $E$9)</f>
        <v>22.090299999999999</v>
      </c>
      <c r="G479" s="14">
        <f>CHOOSE(CONTROL!$C$42, 22.1069, 22.1069)*CHOOSE(CONTROL!$C$21, $C$9, 100%, $E$9)</f>
        <v>22.1069</v>
      </c>
      <c r="H479" s="14">
        <f>CHOOSE(CONTROL!$C$42, 22.1808, 22.1808) * CHOOSE(CONTROL!$C$21, $C$9, 100%, $E$9)</f>
        <v>22.180800000000001</v>
      </c>
      <c r="I479" s="14">
        <f>CHOOSE(CONTROL!$C$42, 22.1717, 22.1717)* CHOOSE(CONTROL!$C$21, $C$9, 100%, $E$9)</f>
        <v>22.171700000000001</v>
      </c>
      <c r="J479" s="14">
        <f>CHOOSE(CONTROL!$C$42, 22.0833, 22.0833)* CHOOSE(CONTROL!$C$21, $C$9, 100%, $E$9)</f>
        <v>22.083300000000001</v>
      </c>
      <c r="K479" s="53">
        <f>CHOOSE(CONTROL!$C$42, 22.1678, 22.1678) * CHOOSE(CONTROL!$C$21, $C$9, 100%, $E$9)</f>
        <v>22.1678</v>
      </c>
      <c r="L479" s="14">
        <f>CHOOSE(CONTROL!$C$42, 22.7678, 22.7678) * CHOOSE(CONTROL!$C$21, $C$9, 100%, $E$9)</f>
        <v>22.767800000000001</v>
      </c>
      <c r="M479" s="14">
        <f>CHOOSE(CONTROL!$C$42, 21.6385, 21.6385) * CHOOSE(CONTROL!$C$21, $C$9, 100%, $E$9)</f>
        <v>21.638500000000001</v>
      </c>
      <c r="N479" s="14">
        <f>CHOOSE(CONTROL!$C$42, 21.6548, 21.6548) * CHOOSE(CONTROL!$C$21, $C$9, 100%, $E$9)</f>
        <v>21.654800000000002</v>
      </c>
      <c r="O479" s="14">
        <f>CHOOSE(CONTROL!$C$42, 21.7341, 21.7341) * CHOOSE(CONTROL!$C$21, $C$9, 100%, $E$9)</f>
        <v>21.734100000000002</v>
      </c>
      <c r="P479" s="14">
        <f>CHOOSE(CONTROL!$C$42, 21.7238, 21.7238) * CHOOSE(CONTROL!$C$21, $C$9, 100%, $E$9)</f>
        <v>21.723800000000001</v>
      </c>
      <c r="Q479" s="14">
        <f>CHOOSE(CONTROL!$C$42, 22.3288, 22.3288) * CHOOSE(CONTROL!$C$21, $C$9, 100%, $E$9)</f>
        <v>22.328800000000001</v>
      </c>
      <c r="R479" s="14">
        <f>CHOOSE(CONTROL!$C$42, 22.9716, 22.9716) * CHOOSE(CONTROL!$C$21, $C$9, 100%, $E$9)</f>
        <v>22.971599999999999</v>
      </c>
      <c r="S479" s="14">
        <f>CHOOSE(CONTROL!$C$42, 21.2065, 21.2065) * CHOOSE(CONTROL!$C$21, $C$9, 100%, $E$9)</f>
        <v>21.206499999999998</v>
      </c>
      <c r="T4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7">
        <f>(1000*CHOOSE(CONTROL!$C$42, 695, 695)*CHOOSE(CONTROL!$C$42, 0.5599, 0.5599)*CHOOSE(CONTROL!$C$42, 30, 30))/1000000</f>
        <v>11.673914999999997</v>
      </c>
      <c r="V479" s="57">
        <f>(1000*CHOOSE(CONTROL!$C$42, 500, 500)*CHOOSE(CONTROL!$C$42, 0.275, 0.275)*CHOOSE(CONTROL!$C$42, 30, 30))/1000000</f>
        <v>4.125</v>
      </c>
      <c r="W479" s="57">
        <f>(1000*CHOOSE(CONTROL!$C$42, 0.1146, 0.1146)*CHOOSE(CONTROL!$C$42, 121.5, 121.5)*CHOOSE(CONTROL!$C$42, 30, 30))/1000000</f>
        <v>0.417717</v>
      </c>
      <c r="X479" s="57">
        <f>(30*0.1790888*100000/1000000)+(30*0.2374*100000/1000000)</f>
        <v>1.2494664</v>
      </c>
      <c r="Y479" s="57"/>
      <c r="Z479" s="14"/>
      <c r="AA479" s="56"/>
      <c r="AB479" s="50">
        <f>(B479*122.58+C479*297.941+D479*89.177+E479*40.302+F479*40+G479*160+H479*0+I479*100+J479*300)/(122.58+297.941+89.177+40.302+0+40+160+100+300)</f>
        <v>22.103530208695652</v>
      </c>
      <c r="AC479" s="45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21.695041007194249</v>
      </c>
    </row>
    <row r="480" spans="1:29" ht="15.75" x14ac:dyDescent="0.25">
      <c r="A480" s="33">
        <v>55518</v>
      </c>
      <c r="B480" s="14">
        <f>CHOOSE(CONTROL!$C$42, 23.5829, 23.5829) * CHOOSE(CONTROL!$C$21, $C$9, 100%, $E$9)</f>
        <v>23.582899999999999</v>
      </c>
      <c r="C480" s="14">
        <f>CHOOSE(CONTROL!$C$42, 23.5879, 23.5879) * CHOOSE(CONTROL!$C$21, $C$9, 100%, $E$9)</f>
        <v>23.587900000000001</v>
      </c>
      <c r="D480" s="14">
        <f>CHOOSE(CONTROL!$C$42, 23.6622, 23.6622) * CHOOSE(CONTROL!$C$21, $C$9, 100%, $E$9)</f>
        <v>23.662199999999999</v>
      </c>
      <c r="E480" s="14">
        <f>CHOOSE(CONTROL!$C$42, 23.6963, 23.6963) * CHOOSE(CONTROL!$C$21, $C$9, 100%, $E$9)</f>
        <v>23.696300000000001</v>
      </c>
      <c r="F480" s="14">
        <f>CHOOSE(CONTROL!$C$42, 23.5971, 23.5971)*CHOOSE(CONTROL!$C$21, $C$9, 100%, $E$9)</f>
        <v>23.597100000000001</v>
      </c>
      <c r="G480" s="14">
        <f>CHOOSE(CONTROL!$C$42, 23.6143, 23.6143)*CHOOSE(CONTROL!$C$21, $C$9, 100%, $E$9)</f>
        <v>23.6143</v>
      </c>
      <c r="H480" s="14">
        <f>CHOOSE(CONTROL!$C$42, 23.6855, 23.6855) * CHOOSE(CONTROL!$C$21, $C$9, 100%, $E$9)</f>
        <v>23.685500000000001</v>
      </c>
      <c r="I480" s="14">
        <f>CHOOSE(CONTROL!$C$42, 23.6811, 23.6811)* CHOOSE(CONTROL!$C$21, $C$9, 100%, $E$9)</f>
        <v>23.681100000000001</v>
      </c>
      <c r="J480" s="14">
        <f>CHOOSE(CONTROL!$C$42, 23.5901, 23.5901)* CHOOSE(CONTROL!$C$21, $C$9, 100%, $E$9)</f>
        <v>23.5901</v>
      </c>
      <c r="K480" s="53">
        <f>CHOOSE(CONTROL!$C$42, 23.6772, 23.6772) * CHOOSE(CONTROL!$C$21, $C$9, 100%, $E$9)</f>
        <v>23.677199999999999</v>
      </c>
      <c r="L480" s="14">
        <f>CHOOSE(CONTROL!$C$42, 24.2725, 24.2725) * CHOOSE(CONTROL!$C$21, $C$9, 100%, $E$9)</f>
        <v>24.272500000000001</v>
      </c>
      <c r="M480" s="14">
        <f>CHOOSE(CONTROL!$C$42, 23.1145, 23.1145) * CHOOSE(CONTROL!$C$21, $C$9, 100%, $E$9)</f>
        <v>23.1145</v>
      </c>
      <c r="N480" s="14">
        <f>CHOOSE(CONTROL!$C$42, 23.1313, 23.1313) * CHOOSE(CONTROL!$C$21, $C$9, 100%, $E$9)</f>
        <v>23.1313</v>
      </c>
      <c r="O480" s="14">
        <f>CHOOSE(CONTROL!$C$42, 23.2079, 23.2079) * CHOOSE(CONTROL!$C$21, $C$9, 100%, $E$9)</f>
        <v>23.207899999999999</v>
      </c>
      <c r="P480" s="14">
        <f>CHOOSE(CONTROL!$C$42, 23.2021, 23.2021) * CHOOSE(CONTROL!$C$21, $C$9, 100%, $E$9)</f>
        <v>23.202100000000002</v>
      </c>
      <c r="Q480" s="14">
        <f>CHOOSE(CONTROL!$C$42, 23.8026, 23.8026) * CHOOSE(CONTROL!$C$21, $C$9, 100%, $E$9)</f>
        <v>23.802600000000002</v>
      </c>
      <c r="R480" s="14">
        <f>CHOOSE(CONTROL!$C$42, 24.4491, 24.4491) * CHOOSE(CONTROL!$C$21, $C$9, 100%, $E$9)</f>
        <v>24.449100000000001</v>
      </c>
      <c r="S480" s="14">
        <f>CHOOSE(CONTROL!$C$42, 22.6522, 22.6522) * CHOOSE(CONTROL!$C$21, $C$9, 100%, $E$9)</f>
        <v>22.652200000000001</v>
      </c>
      <c r="T4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7">
        <f>(1000*CHOOSE(CONTROL!$C$42, 695, 695)*CHOOSE(CONTROL!$C$42, 0.5599, 0.5599)*CHOOSE(CONTROL!$C$42, 31, 31))/1000000</f>
        <v>12.063045499999998</v>
      </c>
      <c r="V480" s="57">
        <f>(1000*CHOOSE(CONTROL!$C$42, 500, 500)*CHOOSE(CONTROL!$C$42, 0.275, 0.275)*CHOOSE(CONTROL!$C$42, 31, 31))/1000000</f>
        <v>4.2625000000000002</v>
      </c>
      <c r="W480" s="57">
        <f>(1000*CHOOSE(CONTROL!$C$42, 0.1146, 0.1146)*CHOOSE(CONTROL!$C$42, 121.5, 121.5)*CHOOSE(CONTROL!$C$42, 31, 31))/1000000</f>
        <v>0.43164089999999994</v>
      </c>
      <c r="X480" s="57">
        <f>(31*0.1790888*100000/1000000)+(31*0.2374*100000/1000000)</f>
        <v>1.2911152800000001</v>
      </c>
      <c r="Y480" s="57"/>
      <c r="Z480" s="14"/>
      <c r="AA480" s="56"/>
      <c r="AB480" s="50">
        <f>(B480*122.58+C480*297.941+D480*89.177+E480*40.302+F480*40+G480*160+H480*0+I480*100+J480*300)/(122.58+297.941+89.177+40.302+0+40+160+100+300)</f>
        <v>23.609598859043476</v>
      </c>
      <c r="AC480" s="45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23.170403597122299</v>
      </c>
    </row>
    <row r="481" spans="1:29" ht="15.75" x14ac:dyDescent="0.25">
      <c r="A481" s="33">
        <v>55549</v>
      </c>
      <c r="B481" s="14">
        <f>CHOOSE(CONTROL!$C$42, 25.5371, 25.5371) * CHOOSE(CONTROL!$C$21, $C$9, 100%, $E$9)</f>
        <v>25.537099999999999</v>
      </c>
      <c r="C481" s="14">
        <f>CHOOSE(CONTROL!$C$42, 25.5422, 25.5422) * CHOOSE(CONTROL!$C$21, $C$9, 100%, $E$9)</f>
        <v>25.542200000000001</v>
      </c>
      <c r="D481" s="14">
        <f>CHOOSE(CONTROL!$C$42, 25.619, 25.619) * CHOOSE(CONTROL!$C$21, $C$9, 100%, $E$9)</f>
        <v>25.619</v>
      </c>
      <c r="E481" s="14">
        <f>CHOOSE(CONTROL!$C$42, 25.6531, 25.6531) * CHOOSE(CONTROL!$C$21, $C$9, 100%, $E$9)</f>
        <v>25.653099999999998</v>
      </c>
      <c r="F481" s="14">
        <f>CHOOSE(CONTROL!$C$42, 25.5373, 25.5373)*CHOOSE(CONTROL!$C$21, $C$9, 100%, $E$9)</f>
        <v>25.537299999999998</v>
      </c>
      <c r="G481" s="14">
        <f>CHOOSE(CONTROL!$C$42, 25.5535, 25.5535)*CHOOSE(CONTROL!$C$21, $C$9, 100%, $E$9)</f>
        <v>25.5535</v>
      </c>
      <c r="H481" s="14">
        <f>CHOOSE(CONTROL!$C$42, 25.6423, 25.6423) * CHOOSE(CONTROL!$C$21, $C$9, 100%, $E$9)</f>
        <v>25.642299999999999</v>
      </c>
      <c r="I481" s="14">
        <f>CHOOSE(CONTROL!$C$42, 25.6351, 25.6351)* CHOOSE(CONTROL!$C$21, $C$9, 100%, $E$9)</f>
        <v>25.635100000000001</v>
      </c>
      <c r="J481" s="14">
        <f>CHOOSE(CONTROL!$C$42, 25.5303, 25.5303)* CHOOSE(CONTROL!$C$21, $C$9, 100%, $E$9)</f>
        <v>25.5303</v>
      </c>
      <c r="K481" s="53">
        <f>CHOOSE(CONTROL!$C$42, 25.6313, 25.6313) * CHOOSE(CONTROL!$C$21, $C$9, 100%, $E$9)</f>
        <v>25.6313</v>
      </c>
      <c r="L481" s="14">
        <f>CHOOSE(CONTROL!$C$42, 26.2293, 26.2293) * CHOOSE(CONTROL!$C$21, $C$9, 100%, $E$9)</f>
        <v>26.229299999999999</v>
      </c>
      <c r="M481" s="14">
        <f>CHOOSE(CONTROL!$C$42, 25.0149, 25.0149) * CHOOSE(CONTROL!$C$21, $C$9, 100%, $E$9)</f>
        <v>25.014900000000001</v>
      </c>
      <c r="N481" s="14">
        <f>CHOOSE(CONTROL!$C$42, 25.0308, 25.0308) * CHOOSE(CONTROL!$C$21, $C$9, 100%, $E$9)</f>
        <v>25.030799999999999</v>
      </c>
      <c r="O481" s="14">
        <f>CHOOSE(CONTROL!$C$42, 25.1246, 25.1246) * CHOOSE(CONTROL!$C$21, $C$9, 100%, $E$9)</f>
        <v>25.124600000000001</v>
      </c>
      <c r="P481" s="14">
        <f>CHOOSE(CONTROL!$C$42, 25.1161, 25.1161) * CHOOSE(CONTROL!$C$21, $C$9, 100%, $E$9)</f>
        <v>25.116099999999999</v>
      </c>
      <c r="Q481" s="14">
        <f>CHOOSE(CONTROL!$C$42, 25.7193, 25.7193) * CHOOSE(CONTROL!$C$21, $C$9, 100%, $E$9)</f>
        <v>25.7193</v>
      </c>
      <c r="R481" s="14">
        <f>CHOOSE(CONTROL!$C$42, 26.3706, 26.3706) * CHOOSE(CONTROL!$C$21, $C$9, 100%, $E$9)</f>
        <v>26.3706</v>
      </c>
      <c r="S481" s="14">
        <f>CHOOSE(CONTROL!$C$42, 24.5301, 24.5301) * CHOOSE(CONTROL!$C$21, $C$9, 100%, $E$9)</f>
        <v>24.530100000000001</v>
      </c>
      <c r="T4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7">
        <f>(1000*CHOOSE(CONTROL!$C$42, 695, 695)*CHOOSE(CONTROL!$C$42, 0.5599, 0.5599)*CHOOSE(CONTROL!$C$42, 31, 31))/1000000</f>
        <v>12.063045499999998</v>
      </c>
      <c r="V481" s="57">
        <f>(1000*CHOOSE(CONTROL!$C$42, 500, 500)*CHOOSE(CONTROL!$C$42, 0.275, 0.275)*CHOOSE(CONTROL!$C$42, 31, 31))/1000000</f>
        <v>4.2625000000000002</v>
      </c>
      <c r="W481" s="57">
        <f>(1000*CHOOSE(CONTROL!$C$42, 0.1146, 0.1146)*CHOOSE(CONTROL!$C$42, 121.5, 121.5)*CHOOSE(CONTROL!$C$42, 31, 31))/1000000</f>
        <v>0.43164089999999994</v>
      </c>
      <c r="X481" s="57">
        <f>(31*0.1790888*100000/1000000)+(31*0.2374*100000/1000000)</f>
        <v>1.2911152800000001</v>
      </c>
      <c r="Y481" s="57"/>
      <c r="Z481" s="14"/>
      <c r="AA481" s="56"/>
      <c r="AB481" s="50">
        <f>(B481*122.58+C481*297.941+D481*89.177+E481*40.302+F481*40+G481*160+H481*0+I481*100+J481*300)/(122.58+297.941+89.177+40.302+0+40+160+100+300)</f>
        <v>25.557874023826088</v>
      </c>
      <c r="AC481" s="45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25.0800964028777</v>
      </c>
    </row>
    <row r="482" spans="1:29" ht="15.75" x14ac:dyDescent="0.25">
      <c r="A482" s="33">
        <v>55577</v>
      </c>
      <c r="B482" s="14">
        <f>CHOOSE(CONTROL!$C$42, 25.9915, 25.9915) * CHOOSE(CONTROL!$C$21, $C$9, 100%, $E$9)</f>
        <v>25.991499999999998</v>
      </c>
      <c r="C482" s="14">
        <f>CHOOSE(CONTROL!$C$42, 25.9966, 25.9966) * CHOOSE(CONTROL!$C$21, $C$9, 100%, $E$9)</f>
        <v>25.996600000000001</v>
      </c>
      <c r="D482" s="14">
        <f>CHOOSE(CONTROL!$C$42, 26.0734, 26.0734) * CHOOSE(CONTROL!$C$21, $C$9, 100%, $E$9)</f>
        <v>26.073399999999999</v>
      </c>
      <c r="E482" s="14">
        <f>CHOOSE(CONTROL!$C$42, 26.1075, 26.1075) * CHOOSE(CONTROL!$C$21, $C$9, 100%, $E$9)</f>
        <v>26.107500000000002</v>
      </c>
      <c r="F482" s="14">
        <f>CHOOSE(CONTROL!$C$42, 25.9918, 25.9918)*CHOOSE(CONTROL!$C$21, $C$9, 100%, $E$9)</f>
        <v>25.991800000000001</v>
      </c>
      <c r="G482" s="14">
        <f>CHOOSE(CONTROL!$C$42, 26.008, 26.008)*CHOOSE(CONTROL!$C$21, $C$9, 100%, $E$9)</f>
        <v>26.007999999999999</v>
      </c>
      <c r="H482" s="14">
        <f>CHOOSE(CONTROL!$C$42, 26.0967, 26.0967) * CHOOSE(CONTROL!$C$21, $C$9, 100%, $E$9)</f>
        <v>26.096699999999998</v>
      </c>
      <c r="I482" s="14">
        <f>CHOOSE(CONTROL!$C$42, 26.091, 26.091)* CHOOSE(CONTROL!$C$21, $C$9, 100%, $E$9)</f>
        <v>26.091000000000001</v>
      </c>
      <c r="J482" s="14">
        <f>CHOOSE(CONTROL!$C$42, 25.9848, 25.9848)* CHOOSE(CONTROL!$C$21, $C$9, 100%, $E$9)</f>
        <v>25.9848</v>
      </c>
      <c r="K482" s="53">
        <f>CHOOSE(CONTROL!$C$42, 26.0871, 26.0871) * CHOOSE(CONTROL!$C$21, $C$9, 100%, $E$9)</f>
        <v>26.0871</v>
      </c>
      <c r="L482" s="14">
        <f>CHOOSE(CONTROL!$C$42, 26.6837, 26.6837) * CHOOSE(CONTROL!$C$21, $C$9, 100%, $E$9)</f>
        <v>26.683700000000002</v>
      </c>
      <c r="M482" s="14">
        <f>CHOOSE(CONTROL!$C$42, 25.4601, 25.4601) * CHOOSE(CONTROL!$C$21, $C$9, 100%, $E$9)</f>
        <v>25.460100000000001</v>
      </c>
      <c r="N482" s="14">
        <f>CHOOSE(CONTROL!$C$42, 25.476, 25.476) * CHOOSE(CONTROL!$C$21, $C$9, 100%, $E$9)</f>
        <v>25.475999999999999</v>
      </c>
      <c r="O482" s="14">
        <f>CHOOSE(CONTROL!$C$42, 25.5697, 25.5697) * CHOOSE(CONTROL!$C$21, $C$9, 100%, $E$9)</f>
        <v>25.569700000000001</v>
      </c>
      <c r="P482" s="14">
        <f>CHOOSE(CONTROL!$C$42, 25.5625, 25.5625) * CHOOSE(CONTROL!$C$21, $C$9, 100%, $E$9)</f>
        <v>25.5625</v>
      </c>
      <c r="Q482" s="14">
        <f>CHOOSE(CONTROL!$C$42, 26.1644, 26.1644) * CHOOSE(CONTROL!$C$21, $C$9, 100%, $E$9)</f>
        <v>26.164400000000001</v>
      </c>
      <c r="R482" s="14">
        <f>CHOOSE(CONTROL!$C$42, 26.8168, 26.8168) * CHOOSE(CONTROL!$C$21, $C$9, 100%, $E$9)</f>
        <v>26.816800000000001</v>
      </c>
      <c r="S482" s="14">
        <f>CHOOSE(CONTROL!$C$42, 24.9667, 24.9667) * CHOOSE(CONTROL!$C$21, $C$9, 100%, $E$9)</f>
        <v>24.966699999999999</v>
      </c>
      <c r="T48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7">
        <f>(1000*CHOOSE(CONTROL!$C$42, 695, 695)*CHOOSE(CONTROL!$C$42, 0.5599, 0.5599)*CHOOSE(CONTROL!$C$42, 29, 29))/1000000</f>
        <v>11.284784499999999</v>
      </c>
      <c r="V482" s="57">
        <f>(1000*CHOOSE(CONTROL!$C$42, 500, 500)*CHOOSE(CONTROL!$C$42, 0.275, 0.275)*CHOOSE(CONTROL!$C$42, 29, 29))/1000000</f>
        <v>3.9874999999999998</v>
      </c>
      <c r="W482" s="57">
        <f>(1000*CHOOSE(CONTROL!$C$42, 0.1146, 0.1146)*CHOOSE(CONTROL!$C$42, 121.5, 121.5)*CHOOSE(CONTROL!$C$42, 29, 29))/1000000</f>
        <v>0.40379309999999996</v>
      </c>
      <c r="X482" s="57">
        <f>(29*0.1790888*100000/1000000)+(29*0.2374*100000/1000000)</f>
        <v>1.2078175199999999</v>
      </c>
      <c r="Y482" s="57"/>
      <c r="Z482" s="14"/>
      <c r="AA482" s="56"/>
      <c r="AB482" s="50">
        <f>(B482*122.58+C482*297.941+D482*89.177+E482*40.302+F482*40+G482*160+H482*0+I482*100+J482*300)/(122.58+297.941+89.177+40.302+0+40+160+100+300)</f>
        <v>26.012447936869563</v>
      </c>
      <c r="AC482" s="45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25.525423741007195</v>
      </c>
    </row>
    <row r="483" spans="1:29" ht="15.75" x14ac:dyDescent="0.25">
      <c r="A483" s="33">
        <v>55609</v>
      </c>
      <c r="B483" s="14">
        <f>CHOOSE(CONTROL!$C$42, 25.2539, 25.2539) * CHOOSE(CONTROL!$C$21, $C$9, 100%, $E$9)</f>
        <v>25.253900000000002</v>
      </c>
      <c r="C483" s="14">
        <f>CHOOSE(CONTROL!$C$42, 25.259, 25.259) * CHOOSE(CONTROL!$C$21, $C$9, 100%, $E$9)</f>
        <v>25.259</v>
      </c>
      <c r="D483" s="14">
        <f>CHOOSE(CONTROL!$C$42, 25.3358, 25.3358) * CHOOSE(CONTROL!$C$21, $C$9, 100%, $E$9)</f>
        <v>25.335799999999999</v>
      </c>
      <c r="E483" s="14">
        <f>CHOOSE(CONTROL!$C$42, 25.3699, 25.3699) * CHOOSE(CONTROL!$C$21, $C$9, 100%, $E$9)</f>
        <v>25.369900000000001</v>
      </c>
      <c r="F483" s="14">
        <f>CHOOSE(CONTROL!$C$42, 25.2537, 25.2537)*CHOOSE(CONTROL!$C$21, $C$9, 100%, $E$9)</f>
        <v>25.253699999999998</v>
      </c>
      <c r="G483" s="14">
        <f>CHOOSE(CONTROL!$C$42, 25.2698, 25.2698)*CHOOSE(CONTROL!$C$21, $C$9, 100%, $E$9)</f>
        <v>25.2698</v>
      </c>
      <c r="H483" s="14">
        <f>CHOOSE(CONTROL!$C$42, 25.3591, 25.3591) * CHOOSE(CONTROL!$C$21, $C$9, 100%, $E$9)</f>
        <v>25.359100000000002</v>
      </c>
      <c r="I483" s="14">
        <f>CHOOSE(CONTROL!$C$42, 25.351, 25.351)* CHOOSE(CONTROL!$C$21, $C$9, 100%, $E$9)</f>
        <v>25.350999999999999</v>
      </c>
      <c r="J483" s="14">
        <f>CHOOSE(CONTROL!$C$42, 25.2467, 25.2467)* CHOOSE(CONTROL!$C$21, $C$9, 100%, $E$9)</f>
        <v>25.246700000000001</v>
      </c>
      <c r="K483" s="53">
        <f>CHOOSE(CONTROL!$C$42, 25.3472, 25.3472) * CHOOSE(CONTROL!$C$21, $C$9, 100%, $E$9)</f>
        <v>25.347200000000001</v>
      </c>
      <c r="L483" s="14">
        <f>CHOOSE(CONTROL!$C$42, 25.9461, 25.9461) * CHOOSE(CONTROL!$C$21, $C$9, 100%, $E$9)</f>
        <v>25.946100000000001</v>
      </c>
      <c r="M483" s="14">
        <f>CHOOSE(CONTROL!$C$42, 24.7371, 24.7371) * CHOOSE(CONTROL!$C$21, $C$9, 100%, $E$9)</f>
        <v>24.737100000000002</v>
      </c>
      <c r="N483" s="14">
        <f>CHOOSE(CONTROL!$C$42, 24.7529, 24.7529) * CHOOSE(CONTROL!$C$21, $C$9, 100%, $E$9)</f>
        <v>24.7529</v>
      </c>
      <c r="O483" s="14">
        <f>CHOOSE(CONTROL!$C$42, 24.8472, 24.8472) * CHOOSE(CONTROL!$C$21, $C$9, 100%, $E$9)</f>
        <v>24.847200000000001</v>
      </c>
      <c r="P483" s="14">
        <f>CHOOSE(CONTROL!$C$42, 24.8378, 24.8378) * CHOOSE(CONTROL!$C$21, $C$9, 100%, $E$9)</f>
        <v>24.837800000000001</v>
      </c>
      <c r="Q483" s="14">
        <f>CHOOSE(CONTROL!$C$42, 25.4419, 25.4419) * CHOOSE(CONTROL!$C$21, $C$9, 100%, $E$9)</f>
        <v>25.4419</v>
      </c>
      <c r="R483" s="14">
        <f>CHOOSE(CONTROL!$C$42, 26.0925, 26.0925) * CHOOSE(CONTROL!$C$21, $C$9, 100%, $E$9)</f>
        <v>26.092500000000001</v>
      </c>
      <c r="S483" s="14">
        <f>CHOOSE(CONTROL!$C$42, 24.2579, 24.2579) * CHOOSE(CONTROL!$C$21, $C$9, 100%, $E$9)</f>
        <v>24.257899999999999</v>
      </c>
      <c r="T4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7">
        <f>(1000*CHOOSE(CONTROL!$C$42, 695, 695)*CHOOSE(CONTROL!$C$42, 0.5599, 0.5599)*CHOOSE(CONTROL!$C$42, 31, 31))/1000000</f>
        <v>12.063045499999998</v>
      </c>
      <c r="V483" s="57">
        <f>(1000*CHOOSE(CONTROL!$C$42, 500, 500)*CHOOSE(CONTROL!$C$42, 0.275, 0.275)*CHOOSE(CONTROL!$C$42, 31, 31))/1000000</f>
        <v>4.2625000000000002</v>
      </c>
      <c r="W483" s="57">
        <f>(1000*CHOOSE(CONTROL!$C$42, 0.1146, 0.1146)*CHOOSE(CONTROL!$C$42, 121.5, 121.5)*CHOOSE(CONTROL!$C$42, 31, 31))/1000000</f>
        <v>0.43164089999999994</v>
      </c>
      <c r="X483" s="57">
        <f>(31*0.1790888*100000/1000000)+(31*0.2374*100000/1000000)</f>
        <v>1.2911152800000001</v>
      </c>
      <c r="Y483" s="57"/>
      <c r="Z483" s="14"/>
      <c r="AA483" s="56"/>
      <c r="AB483" s="50">
        <f>(B483*122.58+C483*297.941+D483*89.177+E483*40.302+F483*40+G483*160+H483*0+I483*100+J483*300)/(122.58+297.941+89.177+40.302+0+40+160+100+300)</f>
        <v>25.274407936869565</v>
      </c>
      <c r="AC483" s="45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24.802400000000002</v>
      </c>
    </row>
    <row r="484" spans="1:29" ht="15.75" x14ac:dyDescent="0.25">
      <c r="A484" s="33">
        <v>55639</v>
      </c>
      <c r="B484" s="14">
        <f>CHOOSE(CONTROL!$C$42, 25.1795, 25.1795) * CHOOSE(CONTROL!$C$21, $C$9, 100%, $E$9)</f>
        <v>25.179500000000001</v>
      </c>
      <c r="C484" s="14">
        <f>CHOOSE(CONTROL!$C$42, 25.184, 25.184) * CHOOSE(CONTROL!$C$21, $C$9, 100%, $E$9)</f>
        <v>25.184000000000001</v>
      </c>
      <c r="D484" s="14">
        <f>CHOOSE(CONTROL!$C$42, 25.4208, 25.4208) * CHOOSE(CONTROL!$C$21, $C$9, 100%, $E$9)</f>
        <v>25.4208</v>
      </c>
      <c r="E484" s="14">
        <f>CHOOSE(CONTROL!$C$42, 25.4529, 25.4529) * CHOOSE(CONTROL!$C$21, $C$9, 100%, $E$9)</f>
        <v>25.4529</v>
      </c>
      <c r="F484" s="14">
        <f>CHOOSE(CONTROL!$C$42, 25.1775, 25.1775)*CHOOSE(CONTROL!$C$21, $C$9, 100%, $E$9)</f>
        <v>25.177499999999998</v>
      </c>
      <c r="G484" s="14">
        <f>CHOOSE(CONTROL!$C$42, 25.1933, 25.1933)*CHOOSE(CONTROL!$C$21, $C$9, 100%, $E$9)</f>
        <v>25.193300000000001</v>
      </c>
      <c r="H484" s="14">
        <f>CHOOSE(CONTROL!$C$42, 25.4427, 25.4427) * CHOOSE(CONTROL!$C$21, $C$9, 100%, $E$9)</f>
        <v>25.442699999999999</v>
      </c>
      <c r="I484" s="14">
        <f>CHOOSE(CONTROL!$C$42, 25.2757, 25.2757)* CHOOSE(CONTROL!$C$21, $C$9, 100%, $E$9)</f>
        <v>25.275700000000001</v>
      </c>
      <c r="J484" s="14">
        <f>CHOOSE(CONTROL!$C$42, 25.1705, 25.1705)* CHOOSE(CONTROL!$C$21, $C$9, 100%, $E$9)</f>
        <v>25.170500000000001</v>
      </c>
      <c r="K484" s="53">
        <f>CHOOSE(CONTROL!$C$42, 25.2718, 25.2718) * CHOOSE(CONTROL!$C$21, $C$9, 100%, $E$9)</f>
        <v>25.271799999999999</v>
      </c>
      <c r="L484" s="14">
        <f>CHOOSE(CONTROL!$C$42, 26.0297, 26.0297) * CHOOSE(CONTROL!$C$21, $C$9, 100%, $E$9)</f>
        <v>26.029699999999998</v>
      </c>
      <c r="M484" s="14">
        <f>CHOOSE(CONTROL!$C$42, 24.6625, 24.6625) * CHOOSE(CONTROL!$C$21, $C$9, 100%, $E$9)</f>
        <v>24.662500000000001</v>
      </c>
      <c r="N484" s="14">
        <f>CHOOSE(CONTROL!$C$42, 24.678, 24.678) * CHOOSE(CONTROL!$C$21, $C$9, 100%, $E$9)</f>
        <v>24.678000000000001</v>
      </c>
      <c r="O484" s="14">
        <f>CHOOSE(CONTROL!$C$42, 24.929, 24.929) * CHOOSE(CONTROL!$C$21, $C$9, 100%, $E$9)</f>
        <v>24.928999999999998</v>
      </c>
      <c r="P484" s="14">
        <f>CHOOSE(CONTROL!$C$42, 24.764, 24.764) * CHOOSE(CONTROL!$C$21, $C$9, 100%, $E$9)</f>
        <v>24.763999999999999</v>
      </c>
      <c r="Q484" s="14">
        <f>CHOOSE(CONTROL!$C$42, 25.5237, 25.5237) * CHOOSE(CONTROL!$C$21, $C$9, 100%, $E$9)</f>
        <v>25.523700000000002</v>
      </c>
      <c r="R484" s="14">
        <f>CHOOSE(CONTROL!$C$42, 26.1746, 26.1746) * CHOOSE(CONTROL!$C$21, $C$9, 100%, $E$9)</f>
        <v>26.174600000000002</v>
      </c>
      <c r="S484" s="14">
        <f>CHOOSE(CONTROL!$C$42, 24.1857, 24.1857) * CHOOSE(CONTROL!$C$21, $C$9, 100%, $E$9)</f>
        <v>24.185700000000001</v>
      </c>
      <c r="T4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7">
        <f>(1000*CHOOSE(CONTROL!$C$42, 695, 695)*CHOOSE(CONTROL!$C$42, 0.5599, 0.5599)*CHOOSE(CONTROL!$C$42, 30, 30))/1000000</f>
        <v>11.673914999999997</v>
      </c>
      <c r="V484" s="57">
        <f>(1000*CHOOSE(CONTROL!$C$42, 500, 500)*CHOOSE(CONTROL!$C$42, 0.275, 0.275)*CHOOSE(CONTROL!$C$42, 30, 30))/1000000</f>
        <v>4.125</v>
      </c>
      <c r="W484" s="57">
        <f>(1000*CHOOSE(CONTROL!$C$42, 0.1146, 0.1146)*CHOOSE(CONTROL!$C$42, 121.5, 121.5)*CHOOSE(CONTROL!$C$42, 30, 30))/1000000</f>
        <v>0.417717</v>
      </c>
      <c r="X484" s="57">
        <f>(30*0.1790888*245000/1000000)+(30*0.2374*100000/1000000)</f>
        <v>2.0285026799999999</v>
      </c>
      <c r="Y484" s="57"/>
      <c r="Z484" s="14"/>
      <c r="AA484" s="56"/>
      <c r="AB484" s="50">
        <f>(B484*141.293+C484*267.993+D484*115.016+E484*89.698+F484*40+G484*185+H484*0+I484*100+J484*300)/(141.293+267.993+115.016+89.698+0+40+185+100+300)</f>
        <v>25.230247185230024</v>
      </c>
      <c r="AC484" s="45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24.755446043165467</v>
      </c>
    </row>
    <row r="485" spans="1:29" ht="15.75" x14ac:dyDescent="0.25">
      <c r="A485" s="33">
        <v>55670</v>
      </c>
      <c r="B485" s="14">
        <f>CHOOSE(CONTROL!$C$42, 25.4031, 25.4031) * CHOOSE(CONTROL!$C$21, $C$9, 100%, $E$9)</f>
        <v>25.403099999999998</v>
      </c>
      <c r="C485" s="14">
        <f>CHOOSE(CONTROL!$C$42, 25.4111, 25.4111) * CHOOSE(CONTROL!$C$21, $C$9, 100%, $E$9)</f>
        <v>25.411100000000001</v>
      </c>
      <c r="D485" s="14">
        <f>CHOOSE(CONTROL!$C$42, 25.6447, 25.6447) * CHOOSE(CONTROL!$C$21, $C$9, 100%, $E$9)</f>
        <v>25.6447</v>
      </c>
      <c r="E485" s="14">
        <f>CHOOSE(CONTROL!$C$42, 25.6762, 25.6762) * CHOOSE(CONTROL!$C$21, $C$9, 100%, $E$9)</f>
        <v>25.676200000000001</v>
      </c>
      <c r="F485" s="14">
        <f>CHOOSE(CONTROL!$C$42, 25.3999, 25.3999)*CHOOSE(CONTROL!$C$21, $C$9, 100%, $E$9)</f>
        <v>25.399899999999999</v>
      </c>
      <c r="G485" s="14">
        <f>CHOOSE(CONTROL!$C$42, 25.4162, 25.4162)*CHOOSE(CONTROL!$C$21, $C$9, 100%, $E$9)</f>
        <v>25.4162</v>
      </c>
      <c r="H485" s="14">
        <f>CHOOSE(CONTROL!$C$42, 25.6648, 25.6648) * CHOOSE(CONTROL!$C$21, $C$9, 100%, $E$9)</f>
        <v>25.6648</v>
      </c>
      <c r="I485" s="14">
        <f>CHOOSE(CONTROL!$C$42, 25.4985, 25.4985)* CHOOSE(CONTROL!$C$21, $C$9, 100%, $E$9)</f>
        <v>25.4985</v>
      </c>
      <c r="J485" s="14">
        <f>CHOOSE(CONTROL!$C$42, 25.3929, 25.3929)* CHOOSE(CONTROL!$C$21, $C$9, 100%, $E$9)</f>
        <v>25.392900000000001</v>
      </c>
      <c r="K485" s="53">
        <f>CHOOSE(CONTROL!$C$42, 25.4946, 25.4946) * CHOOSE(CONTROL!$C$21, $C$9, 100%, $E$9)</f>
        <v>25.494599999999998</v>
      </c>
      <c r="L485" s="14">
        <f>CHOOSE(CONTROL!$C$42, 26.2518, 26.2518) * CHOOSE(CONTROL!$C$21, $C$9, 100%, $E$9)</f>
        <v>26.251799999999999</v>
      </c>
      <c r="M485" s="14">
        <f>CHOOSE(CONTROL!$C$42, 24.8803, 24.8803) * CHOOSE(CONTROL!$C$21, $C$9, 100%, $E$9)</f>
        <v>24.880299999999998</v>
      </c>
      <c r="N485" s="14">
        <f>CHOOSE(CONTROL!$C$42, 24.8963, 24.8963) * CHOOSE(CONTROL!$C$21, $C$9, 100%, $E$9)</f>
        <v>24.8963</v>
      </c>
      <c r="O485" s="14">
        <f>CHOOSE(CONTROL!$C$42, 25.1466, 25.1466) * CHOOSE(CONTROL!$C$21, $C$9, 100%, $E$9)</f>
        <v>25.146599999999999</v>
      </c>
      <c r="P485" s="14">
        <f>CHOOSE(CONTROL!$C$42, 24.9822, 24.9822) * CHOOSE(CONTROL!$C$21, $C$9, 100%, $E$9)</f>
        <v>24.982199999999999</v>
      </c>
      <c r="Q485" s="14">
        <f>CHOOSE(CONTROL!$C$42, 25.7413, 25.7413) * CHOOSE(CONTROL!$C$21, $C$9, 100%, $E$9)</f>
        <v>25.741299999999999</v>
      </c>
      <c r="R485" s="14">
        <f>CHOOSE(CONTROL!$C$42, 26.3927, 26.3927) * CHOOSE(CONTROL!$C$21, $C$9, 100%, $E$9)</f>
        <v>26.392700000000001</v>
      </c>
      <c r="S485" s="14">
        <f>CHOOSE(CONTROL!$C$42, 24.3992, 24.3992) * CHOOSE(CONTROL!$C$21, $C$9, 100%, $E$9)</f>
        <v>24.3992</v>
      </c>
      <c r="T4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7">
        <f>(1000*CHOOSE(CONTROL!$C$42, 695, 695)*CHOOSE(CONTROL!$C$42, 0.5599, 0.5599)*CHOOSE(CONTROL!$C$42, 31, 31))/1000000</f>
        <v>12.063045499999998</v>
      </c>
      <c r="V485" s="57">
        <f>(1000*CHOOSE(CONTROL!$C$42, 500, 500)*CHOOSE(CONTROL!$C$42, 0.275, 0.275)*CHOOSE(CONTROL!$C$42, 31, 31))/1000000</f>
        <v>4.2625000000000002</v>
      </c>
      <c r="W485" s="57">
        <f>(1000*CHOOSE(CONTROL!$C$42, 0.1146, 0.1146)*CHOOSE(CONTROL!$C$42, 121.5, 121.5)*CHOOSE(CONTROL!$C$42, 31, 31))/1000000</f>
        <v>0.43164089999999994</v>
      </c>
      <c r="X485" s="57">
        <f>(31*0.1790888*245000/1000000)+(31*0.2374*100000/1000000)</f>
        <v>2.0961194359999999</v>
      </c>
      <c r="Y485" s="57"/>
      <c r="Z485" s="14"/>
      <c r="AA485" s="56"/>
      <c r="AB485" s="50">
        <f>(B485*194.205+C485*267.466+D485*133.845+E485*53.484+F485*40+G485*185+H485*0+I485*100+J485*300)/(194.205+267.466+133.845+53.484+0+40+185+100+300)</f>
        <v>25.448514961067502</v>
      </c>
      <c r="AC485" s="45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24.973362589928058</v>
      </c>
    </row>
    <row r="486" spans="1:29" ht="15.75" x14ac:dyDescent="0.25">
      <c r="A486" s="33">
        <v>55700</v>
      </c>
      <c r="B486" s="14">
        <f>CHOOSE(CONTROL!$C$42, 26.1233, 26.1233) * CHOOSE(CONTROL!$C$21, $C$9, 100%, $E$9)</f>
        <v>26.1233</v>
      </c>
      <c r="C486" s="14">
        <f>CHOOSE(CONTROL!$C$42, 26.1314, 26.1314) * CHOOSE(CONTROL!$C$21, $C$9, 100%, $E$9)</f>
        <v>26.131399999999999</v>
      </c>
      <c r="D486" s="14">
        <f>CHOOSE(CONTROL!$C$42, 26.3649, 26.3649) * CHOOSE(CONTROL!$C$21, $C$9, 100%, $E$9)</f>
        <v>26.364899999999999</v>
      </c>
      <c r="E486" s="14">
        <f>CHOOSE(CONTROL!$C$42, 26.3964, 26.3964) * CHOOSE(CONTROL!$C$21, $C$9, 100%, $E$9)</f>
        <v>26.3964</v>
      </c>
      <c r="F486" s="14">
        <f>CHOOSE(CONTROL!$C$42, 26.1206, 26.1206)*CHOOSE(CONTROL!$C$21, $C$9, 100%, $E$9)</f>
        <v>26.1206</v>
      </c>
      <c r="G486" s="14">
        <f>CHOOSE(CONTROL!$C$42, 26.1371, 26.1371)*CHOOSE(CONTROL!$C$21, $C$9, 100%, $E$9)</f>
        <v>26.1371</v>
      </c>
      <c r="H486" s="14">
        <f>CHOOSE(CONTROL!$C$42, 26.385, 26.385) * CHOOSE(CONTROL!$C$21, $C$9, 100%, $E$9)</f>
        <v>26.385000000000002</v>
      </c>
      <c r="I486" s="14">
        <f>CHOOSE(CONTROL!$C$42, 26.221, 26.221)* CHOOSE(CONTROL!$C$21, $C$9, 100%, $E$9)</f>
        <v>26.221</v>
      </c>
      <c r="J486" s="14">
        <f>CHOOSE(CONTROL!$C$42, 26.1136, 26.1136)* CHOOSE(CONTROL!$C$21, $C$9, 100%, $E$9)</f>
        <v>26.113600000000002</v>
      </c>
      <c r="K486" s="53">
        <f>CHOOSE(CONTROL!$C$42, 26.2171, 26.2171) * CHOOSE(CONTROL!$C$21, $C$9, 100%, $E$9)</f>
        <v>26.217099999999999</v>
      </c>
      <c r="L486" s="14">
        <f>CHOOSE(CONTROL!$C$42, 26.972, 26.972) * CHOOSE(CONTROL!$C$21, $C$9, 100%, $E$9)</f>
        <v>26.972000000000001</v>
      </c>
      <c r="M486" s="14">
        <f>CHOOSE(CONTROL!$C$42, 25.5862, 25.5862) * CHOOSE(CONTROL!$C$21, $C$9, 100%, $E$9)</f>
        <v>25.586200000000002</v>
      </c>
      <c r="N486" s="14">
        <f>CHOOSE(CONTROL!$C$42, 25.6024, 25.6024) * CHOOSE(CONTROL!$C$21, $C$9, 100%, $E$9)</f>
        <v>25.602399999999999</v>
      </c>
      <c r="O486" s="14">
        <f>CHOOSE(CONTROL!$C$42, 25.8521, 25.8521) * CHOOSE(CONTROL!$C$21, $C$9, 100%, $E$9)</f>
        <v>25.8521</v>
      </c>
      <c r="P486" s="14">
        <f>CHOOSE(CONTROL!$C$42, 25.6899, 25.6899) * CHOOSE(CONTROL!$C$21, $C$9, 100%, $E$9)</f>
        <v>25.689900000000002</v>
      </c>
      <c r="Q486" s="14">
        <f>CHOOSE(CONTROL!$C$42, 26.4468, 26.4468) * CHOOSE(CONTROL!$C$21, $C$9, 100%, $E$9)</f>
        <v>26.4468</v>
      </c>
      <c r="R486" s="14">
        <f>CHOOSE(CONTROL!$C$42, 27.0999, 27.0999) * CHOOSE(CONTROL!$C$21, $C$9, 100%, $E$9)</f>
        <v>27.099900000000002</v>
      </c>
      <c r="S486" s="14">
        <f>CHOOSE(CONTROL!$C$42, 25.0913, 25.0913) * CHOOSE(CONTROL!$C$21, $C$9, 100%, $E$9)</f>
        <v>25.0913</v>
      </c>
      <c r="T4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7">
        <f>(1000*CHOOSE(CONTROL!$C$42, 695, 695)*CHOOSE(CONTROL!$C$42, 0.5599, 0.5599)*CHOOSE(CONTROL!$C$42, 30, 30))/1000000</f>
        <v>11.673914999999997</v>
      </c>
      <c r="V486" s="57">
        <f>(1000*CHOOSE(CONTROL!$C$42, 500, 500)*CHOOSE(CONTROL!$C$42, 0.275, 0.275)*CHOOSE(CONTROL!$C$42, 30, 30))/1000000</f>
        <v>4.125</v>
      </c>
      <c r="W486" s="57">
        <f>(1000*CHOOSE(CONTROL!$C$42, 0.1146, 0.1146)*CHOOSE(CONTROL!$C$42, 121.5, 121.5)*CHOOSE(CONTROL!$C$42, 30, 30))/1000000</f>
        <v>0.417717</v>
      </c>
      <c r="X486" s="57">
        <f>(30*0.1790888*245000/1000000)+(30*0.2374*100000/1000000)</f>
        <v>2.0285026799999999</v>
      </c>
      <c r="Y486" s="57"/>
      <c r="Z486" s="14"/>
      <c r="AA486" s="56"/>
      <c r="AB486" s="50">
        <f>(B486*194.205+C486*267.466+D486*133.845+E486*53.484+F486*40+G486*185+H486*0+I486*100+J486*300)/(194.205+267.466+133.845+53.484+0+40+185+100+300)</f>
        <v>26.169151575353222</v>
      </c>
      <c r="AC486" s="45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25.679455395683451</v>
      </c>
    </row>
    <row r="487" spans="1:29" ht="15.75" x14ac:dyDescent="0.25">
      <c r="A487" s="33">
        <v>55731</v>
      </c>
      <c r="B487" s="14">
        <f>CHOOSE(CONTROL!$C$42, 25.6224, 25.6224) * CHOOSE(CONTROL!$C$21, $C$9, 100%, $E$9)</f>
        <v>25.622399999999999</v>
      </c>
      <c r="C487" s="14">
        <f>CHOOSE(CONTROL!$C$42, 25.6304, 25.6304) * CHOOSE(CONTROL!$C$21, $C$9, 100%, $E$9)</f>
        <v>25.630400000000002</v>
      </c>
      <c r="D487" s="14">
        <f>CHOOSE(CONTROL!$C$42, 25.864, 25.864) * CHOOSE(CONTROL!$C$21, $C$9, 100%, $E$9)</f>
        <v>25.864000000000001</v>
      </c>
      <c r="E487" s="14">
        <f>CHOOSE(CONTROL!$C$42, 25.8955, 25.8955) * CHOOSE(CONTROL!$C$21, $C$9, 100%, $E$9)</f>
        <v>25.895499999999998</v>
      </c>
      <c r="F487" s="14">
        <f>CHOOSE(CONTROL!$C$42, 25.6202, 25.6202)*CHOOSE(CONTROL!$C$21, $C$9, 100%, $E$9)</f>
        <v>25.620200000000001</v>
      </c>
      <c r="G487" s="14">
        <f>CHOOSE(CONTROL!$C$42, 25.6368, 25.6368)*CHOOSE(CONTROL!$C$21, $C$9, 100%, $E$9)</f>
        <v>25.636800000000001</v>
      </c>
      <c r="H487" s="14">
        <f>CHOOSE(CONTROL!$C$42, 25.8841, 25.8841) * CHOOSE(CONTROL!$C$21, $C$9, 100%, $E$9)</f>
        <v>25.8841</v>
      </c>
      <c r="I487" s="14">
        <f>CHOOSE(CONTROL!$C$42, 25.7185, 25.7185)* CHOOSE(CONTROL!$C$21, $C$9, 100%, $E$9)</f>
        <v>25.718499999999999</v>
      </c>
      <c r="J487" s="14">
        <f>CHOOSE(CONTROL!$C$42, 25.6132, 25.6132)* CHOOSE(CONTROL!$C$21, $C$9, 100%, $E$9)</f>
        <v>25.613199999999999</v>
      </c>
      <c r="K487" s="53">
        <f>CHOOSE(CONTROL!$C$42, 25.7146, 25.7146) * CHOOSE(CONTROL!$C$21, $C$9, 100%, $E$9)</f>
        <v>25.714600000000001</v>
      </c>
      <c r="L487" s="14">
        <f>CHOOSE(CONTROL!$C$42, 26.4711, 26.4711) * CHOOSE(CONTROL!$C$21, $C$9, 100%, $E$9)</f>
        <v>26.4711</v>
      </c>
      <c r="M487" s="14">
        <f>CHOOSE(CONTROL!$C$42, 25.0961, 25.0961) * CHOOSE(CONTROL!$C$21, $C$9, 100%, $E$9)</f>
        <v>25.0961</v>
      </c>
      <c r="N487" s="14">
        <f>CHOOSE(CONTROL!$C$42, 25.1123, 25.1123) * CHOOSE(CONTROL!$C$21, $C$9, 100%, $E$9)</f>
        <v>25.112300000000001</v>
      </c>
      <c r="O487" s="14">
        <f>CHOOSE(CONTROL!$C$42, 25.3615, 25.3615) * CHOOSE(CONTROL!$C$21, $C$9, 100%, $E$9)</f>
        <v>25.361499999999999</v>
      </c>
      <c r="P487" s="14">
        <f>CHOOSE(CONTROL!$C$42, 25.1977, 25.1977) * CHOOSE(CONTROL!$C$21, $C$9, 100%, $E$9)</f>
        <v>25.197700000000001</v>
      </c>
      <c r="Q487" s="14">
        <f>CHOOSE(CONTROL!$C$42, 25.9562, 25.9562) * CHOOSE(CONTROL!$C$21, $C$9, 100%, $E$9)</f>
        <v>25.956199999999999</v>
      </c>
      <c r="R487" s="14">
        <f>CHOOSE(CONTROL!$C$42, 26.608, 26.608) * CHOOSE(CONTROL!$C$21, $C$9, 100%, $E$9)</f>
        <v>26.608000000000001</v>
      </c>
      <c r="S487" s="14">
        <f>CHOOSE(CONTROL!$C$42, 24.6099, 24.6099) * CHOOSE(CONTROL!$C$21, $C$9, 100%, $E$9)</f>
        <v>24.6099</v>
      </c>
      <c r="T4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7">
        <f>(1000*CHOOSE(CONTROL!$C$42, 695, 695)*CHOOSE(CONTROL!$C$42, 0.5599, 0.5599)*CHOOSE(CONTROL!$C$42, 31, 31))/1000000</f>
        <v>12.063045499999998</v>
      </c>
      <c r="V487" s="57">
        <f>(1000*CHOOSE(CONTROL!$C$42, 500, 500)*CHOOSE(CONTROL!$C$42, 0.275, 0.275)*CHOOSE(CONTROL!$C$42, 31, 31))/1000000</f>
        <v>4.2625000000000002</v>
      </c>
      <c r="W487" s="57">
        <f>(1000*CHOOSE(CONTROL!$C$42, 0.1146, 0.1146)*CHOOSE(CONTROL!$C$42, 121.5, 121.5)*CHOOSE(CONTROL!$C$42, 31, 31))/1000000</f>
        <v>0.43164089999999994</v>
      </c>
      <c r="X487" s="57">
        <f>(31*0.1790888*245000/1000000)+(31*0.2374*100000/1000000)</f>
        <v>2.0961194359999999</v>
      </c>
      <c r="Y487" s="57"/>
      <c r="Z487" s="14"/>
      <c r="AA487" s="56"/>
      <c r="AB487" s="50">
        <f>(B487*194.205+C487*267.466+D487*133.845+E487*53.484+F487*40+G487*185+H487*0+I487*100+J487*300)/(194.205+267.466+133.845+53.484+0+40+185+100+300)</f>
        <v>25.668325557613812</v>
      </c>
      <c r="AC487" s="45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25.188912949640287</v>
      </c>
    </row>
    <row r="488" spans="1:29" ht="15.75" x14ac:dyDescent="0.25">
      <c r="A488" s="33">
        <v>55762</v>
      </c>
      <c r="B488" s="14">
        <f>CHOOSE(CONTROL!$C$42, 24.3574, 24.3574) * CHOOSE(CONTROL!$C$21, $C$9, 100%, $E$9)</f>
        <v>24.357399999999998</v>
      </c>
      <c r="C488" s="14">
        <f>CHOOSE(CONTROL!$C$42, 24.3654, 24.3654) * CHOOSE(CONTROL!$C$21, $C$9, 100%, $E$9)</f>
        <v>24.365400000000001</v>
      </c>
      <c r="D488" s="14">
        <f>CHOOSE(CONTROL!$C$42, 24.599, 24.599) * CHOOSE(CONTROL!$C$21, $C$9, 100%, $E$9)</f>
        <v>24.599</v>
      </c>
      <c r="E488" s="14">
        <f>CHOOSE(CONTROL!$C$42, 24.6305, 24.6305) * CHOOSE(CONTROL!$C$21, $C$9, 100%, $E$9)</f>
        <v>24.630500000000001</v>
      </c>
      <c r="F488" s="14">
        <f>CHOOSE(CONTROL!$C$42, 24.3554, 24.3554)*CHOOSE(CONTROL!$C$21, $C$9, 100%, $E$9)</f>
        <v>24.355399999999999</v>
      </c>
      <c r="G488" s="14">
        <f>CHOOSE(CONTROL!$C$42, 24.372, 24.372)*CHOOSE(CONTROL!$C$21, $C$9, 100%, $E$9)</f>
        <v>24.372</v>
      </c>
      <c r="H488" s="14">
        <f>CHOOSE(CONTROL!$C$42, 24.6191, 24.6191) * CHOOSE(CONTROL!$C$21, $C$9, 100%, $E$9)</f>
        <v>24.6191</v>
      </c>
      <c r="I488" s="14">
        <f>CHOOSE(CONTROL!$C$42, 24.4495, 24.4495)* CHOOSE(CONTROL!$C$21, $C$9, 100%, $E$9)</f>
        <v>24.4495</v>
      </c>
      <c r="J488" s="14">
        <f>CHOOSE(CONTROL!$C$42, 24.3484, 24.3484)* CHOOSE(CONTROL!$C$21, $C$9, 100%, $E$9)</f>
        <v>24.348400000000002</v>
      </c>
      <c r="K488" s="53">
        <f>CHOOSE(CONTROL!$C$42, 24.4456, 24.4456) * CHOOSE(CONTROL!$C$21, $C$9, 100%, $E$9)</f>
        <v>24.445599999999999</v>
      </c>
      <c r="L488" s="14">
        <f>CHOOSE(CONTROL!$C$42, 25.2061, 25.2061) * CHOOSE(CONTROL!$C$21, $C$9, 100%, $E$9)</f>
        <v>25.206099999999999</v>
      </c>
      <c r="M488" s="14">
        <f>CHOOSE(CONTROL!$C$42, 23.8572, 23.8572) * CHOOSE(CONTROL!$C$21, $C$9, 100%, $E$9)</f>
        <v>23.857199999999999</v>
      </c>
      <c r="N488" s="14">
        <f>CHOOSE(CONTROL!$C$42, 23.8735, 23.8735) * CHOOSE(CONTROL!$C$21, $C$9, 100%, $E$9)</f>
        <v>23.8735</v>
      </c>
      <c r="O488" s="14">
        <f>CHOOSE(CONTROL!$C$42, 24.1224, 24.1224) * CHOOSE(CONTROL!$C$21, $C$9, 100%, $E$9)</f>
        <v>24.122399999999999</v>
      </c>
      <c r="P488" s="14">
        <f>CHOOSE(CONTROL!$C$42, 23.9548, 23.9548) * CHOOSE(CONTROL!$C$21, $C$9, 100%, $E$9)</f>
        <v>23.954799999999999</v>
      </c>
      <c r="Q488" s="14">
        <f>CHOOSE(CONTROL!$C$42, 24.7171, 24.7171) * CHOOSE(CONTROL!$C$21, $C$9, 100%, $E$9)</f>
        <v>24.717099999999999</v>
      </c>
      <c r="R488" s="14">
        <f>CHOOSE(CONTROL!$C$42, 25.3658, 25.3658) * CHOOSE(CONTROL!$C$21, $C$9, 100%, $E$9)</f>
        <v>25.3658</v>
      </c>
      <c r="S488" s="14">
        <f>CHOOSE(CONTROL!$C$42, 23.3944, 23.3944) * CHOOSE(CONTROL!$C$21, $C$9, 100%, $E$9)</f>
        <v>23.394400000000001</v>
      </c>
      <c r="T4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7">
        <f>(1000*CHOOSE(CONTROL!$C$42, 695, 695)*CHOOSE(CONTROL!$C$42, 0.5599, 0.5599)*CHOOSE(CONTROL!$C$42, 31, 31))/1000000</f>
        <v>12.063045499999998</v>
      </c>
      <c r="V488" s="57">
        <f>(1000*CHOOSE(CONTROL!$C$42, 500, 500)*CHOOSE(CONTROL!$C$42, 0.275, 0.275)*CHOOSE(CONTROL!$C$42, 31, 31))/1000000</f>
        <v>4.2625000000000002</v>
      </c>
      <c r="W488" s="57">
        <f>(1000*CHOOSE(CONTROL!$C$42, 0.1146, 0.1146)*CHOOSE(CONTROL!$C$42, 121.5, 121.5)*CHOOSE(CONTROL!$C$42, 31, 31))/1000000</f>
        <v>0.43164089999999994</v>
      </c>
      <c r="X488" s="57">
        <f>(31*0.1790888*245000/1000000)+(31*0.2374*100000/1000000)</f>
        <v>2.0961194359999999</v>
      </c>
      <c r="Y488" s="57"/>
      <c r="Z488" s="14"/>
      <c r="AA488" s="56"/>
      <c r="AB488" s="50">
        <f>(B488*194.205+C488*267.466+D488*133.845+E488*53.484+F488*40+G488*185+H488*0+I488*100+J488*300)/(194.205+267.466+133.845+53.484+0+40+185+100+300)</f>
        <v>24.403094003453688</v>
      </c>
      <c r="AC488" s="45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23.949404316546762</v>
      </c>
    </row>
    <row r="489" spans="1:29" ht="15.75" x14ac:dyDescent="0.25">
      <c r="A489" s="33">
        <v>55792</v>
      </c>
      <c r="B489" s="14">
        <f>CHOOSE(CONTROL!$C$42, 22.8113, 22.8113) * CHOOSE(CONTROL!$C$21, $C$9, 100%, $E$9)</f>
        <v>22.811299999999999</v>
      </c>
      <c r="C489" s="14">
        <f>CHOOSE(CONTROL!$C$42, 22.8193, 22.8193) * CHOOSE(CONTROL!$C$21, $C$9, 100%, $E$9)</f>
        <v>22.819299999999998</v>
      </c>
      <c r="D489" s="14">
        <f>CHOOSE(CONTROL!$C$42, 23.0529, 23.0529) * CHOOSE(CONTROL!$C$21, $C$9, 100%, $E$9)</f>
        <v>23.052900000000001</v>
      </c>
      <c r="E489" s="14">
        <f>CHOOSE(CONTROL!$C$42, 23.0844, 23.0844) * CHOOSE(CONTROL!$C$21, $C$9, 100%, $E$9)</f>
        <v>23.084399999999999</v>
      </c>
      <c r="F489" s="14">
        <f>CHOOSE(CONTROL!$C$42, 22.8093, 22.8093)*CHOOSE(CONTROL!$C$21, $C$9, 100%, $E$9)</f>
        <v>22.8093</v>
      </c>
      <c r="G489" s="14">
        <f>CHOOSE(CONTROL!$C$42, 22.826, 22.826)*CHOOSE(CONTROL!$C$21, $C$9, 100%, $E$9)</f>
        <v>22.826000000000001</v>
      </c>
      <c r="H489" s="14">
        <f>CHOOSE(CONTROL!$C$42, 23.073, 23.073) * CHOOSE(CONTROL!$C$21, $C$9, 100%, $E$9)</f>
        <v>23.073</v>
      </c>
      <c r="I489" s="14">
        <f>CHOOSE(CONTROL!$C$42, 22.8986, 22.8986)* CHOOSE(CONTROL!$C$21, $C$9, 100%, $E$9)</f>
        <v>22.898599999999998</v>
      </c>
      <c r="J489" s="14">
        <f>CHOOSE(CONTROL!$C$42, 22.8023, 22.8023)* CHOOSE(CONTROL!$C$21, $C$9, 100%, $E$9)</f>
        <v>22.802299999999999</v>
      </c>
      <c r="K489" s="53">
        <f>CHOOSE(CONTROL!$C$42, 22.8947, 22.8947) * CHOOSE(CONTROL!$C$21, $C$9, 100%, $E$9)</f>
        <v>22.8947</v>
      </c>
      <c r="L489" s="14">
        <f>CHOOSE(CONTROL!$C$42, 23.66, 23.66) * CHOOSE(CONTROL!$C$21, $C$9, 100%, $E$9)</f>
        <v>23.66</v>
      </c>
      <c r="M489" s="14">
        <f>CHOOSE(CONTROL!$C$42, 22.3428, 22.3428) * CHOOSE(CONTROL!$C$21, $C$9, 100%, $E$9)</f>
        <v>22.3428</v>
      </c>
      <c r="N489" s="14">
        <f>CHOOSE(CONTROL!$C$42, 22.3591, 22.3591) * CHOOSE(CONTROL!$C$21, $C$9, 100%, $E$9)</f>
        <v>22.359100000000002</v>
      </c>
      <c r="O489" s="14">
        <f>CHOOSE(CONTROL!$C$42, 22.608, 22.608) * CHOOSE(CONTROL!$C$21, $C$9, 100%, $E$9)</f>
        <v>22.608000000000001</v>
      </c>
      <c r="P489" s="14">
        <f>CHOOSE(CONTROL!$C$42, 22.4358, 22.4358) * CHOOSE(CONTROL!$C$21, $C$9, 100%, $E$9)</f>
        <v>22.4358</v>
      </c>
      <c r="Q489" s="14">
        <f>CHOOSE(CONTROL!$C$42, 23.2027, 23.2027) * CHOOSE(CONTROL!$C$21, $C$9, 100%, $E$9)</f>
        <v>23.2027</v>
      </c>
      <c r="R489" s="14">
        <f>CHOOSE(CONTROL!$C$42, 23.8477, 23.8477) * CHOOSE(CONTROL!$C$21, $C$9, 100%, $E$9)</f>
        <v>23.8477</v>
      </c>
      <c r="S489" s="14">
        <f>CHOOSE(CONTROL!$C$42, 21.9088, 21.9088) * CHOOSE(CONTROL!$C$21, $C$9, 100%, $E$9)</f>
        <v>21.908799999999999</v>
      </c>
      <c r="T4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7">
        <f>(1000*CHOOSE(CONTROL!$C$42, 695, 695)*CHOOSE(CONTROL!$C$42, 0.5599, 0.5599)*CHOOSE(CONTROL!$C$42, 30, 30))/1000000</f>
        <v>11.673914999999997</v>
      </c>
      <c r="V489" s="57">
        <f>(1000*CHOOSE(CONTROL!$C$42, 500, 500)*CHOOSE(CONTROL!$C$42, 0.275, 0.275)*CHOOSE(CONTROL!$C$42, 30, 30))/1000000</f>
        <v>4.125</v>
      </c>
      <c r="W489" s="57">
        <f>(1000*CHOOSE(CONTROL!$C$42, 0.1146, 0.1146)*CHOOSE(CONTROL!$C$42, 121.5, 121.5)*CHOOSE(CONTROL!$C$42, 30, 30))/1000000</f>
        <v>0.417717</v>
      </c>
      <c r="X489" s="57">
        <f>(30*0.1790888*245000/1000000)+(30*0.2374*100000/1000000)</f>
        <v>2.0285026799999999</v>
      </c>
      <c r="Y489" s="57"/>
      <c r="Z489" s="14"/>
      <c r="AA489" s="56"/>
      <c r="AB489" s="50">
        <f>(B489*194.205+C489*267.466+D489*133.845+E489*53.484+F489*40+G489*185+H489*0+I489*100+J489*300)/(194.205+267.466+133.845+53.484+0+40+185+100+300)</f>
        <v>22.856631758555732</v>
      </c>
      <c r="AC489" s="45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22.434342446043168</v>
      </c>
    </row>
    <row r="490" spans="1:29" ht="15.75" x14ac:dyDescent="0.25">
      <c r="A490" s="33">
        <v>55823</v>
      </c>
      <c r="B490" s="14">
        <f>CHOOSE(CONTROL!$C$42, 22.3466, 22.3466) * CHOOSE(CONTROL!$C$21, $C$9, 100%, $E$9)</f>
        <v>22.346599999999999</v>
      </c>
      <c r="C490" s="14">
        <f>CHOOSE(CONTROL!$C$42, 22.3519, 22.3519) * CHOOSE(CONTROL!$C$21, $C$9, 100%, $E$9)</f>
        <v>22.351900000000001</v>
      </c>
      <c r="D490" s="14">
        <f>CHOOSE(CONTROL!$C$42, 22.5905, 22.5905) * CHOOSE(CONTROL!$C$21, $C$9, 100%, $E$9)</f>
        <v>22.590499999999999</v>
      </c>
      <c r="E490" s="14">
        <f>CHOOSE(CONTROL!$C$42, 22.6196, 22.6196) * CHOOSE(CONTROL!$C$21, $C$9, 100%, $E$9)</f>
        <v>22.619599999999998</v>
      </c>
      <c r="F490" s="14">
        <f>CHOOSE(CONTROL!$C$42, 22.3466, 22.3466)*CHOOSE(CONTROL!$C$21, $C$9, 100%, $E$9)</f>
        <v>22.346599999999999</v>
      </c>
      <c r="G490" s="14">
        <f>CHOOSE(CONTROL!$C$42, 22.3629, 22.3629)*CHOOSE(CONTROL!$C$21, $C$9, 100%, $E$9)</f>
        <v>22.3629</v>
      </c>
      <c r="H490" s="14">
        <f>CHOOSE(CONTROL!$C$42, 22.6101, 22.6101) * CHOOSE(CONTROL!$C$21, $C$9, 100%, $E$9)</f>
        <v>22.610099999999999</v>
      </c>
      <c r="I490" s="14">
        <f>CHOOSE(CONTROL!$C$42, 22.4343, 22.4343)* CHOOSE(CONTROL!$C$21, $C$9, 100%, $E$9)</f>
        <v>22.4343</v>
      </c>
      <c r="J490" s="14">
        <f>CHOOSE(CONTROL!$C$42, 22.3396, 22.3396)* CHOOSE(CONTROL!$C$21, $C$9, 100%, $E$9)</f>
        <v>22.339600000000001</v>
      </c>
      <c r="K490" s="53">
        <f>CHOOSE(CONTROL!$C$42, 22.4304, 22.4304) * CHOOSE(CONTROL!$C$21, $C$9, 100%, $E$9)</f>
        <v>22.430399999999999</v>
      </c>
      <c r="L490" s="14">
        <f>CHOOSE(CONTROL!$C$42, 23.1971, 23.1971) * CHOOSE(CONTROL!$C$21, $C$9, 100%, $E$9)</f>
        <v>23.197099999999999</v>
      </c>
      <c r="M490" s="14">
        <f>CHOOSE(CONTROL!$C$42, 21.8896, 21.8896) * CHOOSE(CONTROL!$C$21, $C$9, 100%, $E$9)</f>
        <v>21.889600000000002</v>
      </c>
      <c r="N490" s="14">
        <f>CHOOSE(CONTROL!$C$42, 21.9056, 21.9056) * CHOOSE(CONTROL!$C$21, $C$9, 100%, $E$9)</f>
        <v>21.9056</v>
      </c>
      <c r="O490" s="14">
        <f>CHOOSE(CONTROL!$C$42, 22.1545, 22.1545) * CHOOSE(CONTROL!$C$21, $C$9, 100%, $E$9)</f>
        <v>22.154499999999999</v>
      </c>
      <c r="P490" s="14">
        <f>CHOOSE(CONTROL!$C$42, 21.981, 21.981) * CHOOSE(CONTROL!$C$21, $C$9, 100%, $E$9)</f>
        <v>21.981000000000002</v>
      </c>
      <c r="Q490" s="14">
        <f>CHOOSE(CONTROL!$C$42, 22.7492, 22.7492) * CHOOSE(CONTROL!$C$21, $C$9, 100%, $E$9)</f>
        <v>22.749199999999998</v>
      </c>
      <c r="R490" s="14">
        <f>CHOOSE(CONTROL!$C$42, 23.3931, 23.3931) * CHOOSE(CONTROL!$C$21, $C$9, 100%, $E$9)</f>
        <v>23.3931</v>
      </c>
      <c r="S490" s="14">
        <f>CHOOSE(CONTROL!$C$42, 21.4639, 21.4639) * CHOOSE(CONTROL!$C$21, $C$9, 100%, $E$9)</f>
        <v>21.463899999999999</v>
      </c>
      <c r="T4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7">
        <f>(1000*CHOOSE(CONTROL!$C$42, 695, 695)*CHOOSE(CONTROL!$C$42, 0.5599, 0.5599)*CHOOSE(CONTROL!$C$42, 31, 31))/1000000</f>
        <v>12.063045499999998</v>
      </c>
      <c r="V490" s="57">
        <f>(1000*CHOOSE(CONTROL!$C$42, 500, 500)*CHOOSE(CONTROL!$C$42, 0.275, 0.275)*CHOOSE(CONTROL!$C$42, 31, 31))/1000000</f>
        <v>4.2625000000000002</v>
      </c>
      <c r="W490" s="57">
        <f>(1000*CHOOSE(CONTROL!$C$42, 0.1146, 0.1146)*CHOOSE(CONTROL!$C$42, 121.5, 121.5)*CHOOSE(CONTROL!$C$42, 31, 31))/1000000</f>
        <v>0.43164089999999994</v>
      </c>
      <c r="X490" s="57">
        <f>(31*0.1790888*245000/1000000)+(31*0.2374*100000/1000000)</f>
        <v>2.0961194359999999</v>
      </c>
      <c r="Y490" s="57"/>
      <c r="Z490" s="14"/>
      <c r="AA490" s="56"/>
      <c r="AB490" s="50">
        <f>(B490*131.881+C490*277.167+D490*79.08+E490*125.872+F490*40+G490*185+H490*0+I490*100+J490*300)/(131.881+277.167+79.08+125.872+0+40+185+100+300)</f>
        <v>22.39890440121065</v>
      </c>
      <c r="AC490" s="45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21.980758992805757</v>
      </c>
    </row>
    <row r="491" spans="1:29" ht="15.75" x14ac:dyDescent="0.25">
      <c r="A491" s="33">
        <v>55853</v>
      </c>
      <c r="B491" s="14">
        <f>CHOOSE(CONTROL!$C$42, 22.9347, 22.9347) * CHOOSE(CONTROL!$C$21, $C$9, 100%, $E$9)</f>
        <v>22.934699999999999</v>
      </c>
      <c r="C491" s="14">
        <f>CHOOSE(CONTROL!$C$42, 22.9397, 22.9397) * CHOOSE(CONTROL!$C$21, $C$9, 100%, $E$9)</f>
        <v>22.939699999999998</v>
      </c>
      <c r="D491" s="14">
        <f>CHOOSE(CONTROL!$C$42, 23.0139, 23.0139) * CHOOSE(CONTROL!$C$21, $C$9, 100%, $E$9)</f>
        <v>23.0139</v>
      </c>
      <c r="E491" s="14">
        <f>CHOOSE(CONTROL!$C$42, 23.048, 23.048) * CHOOSE(CONTROL!$C$21, $C$9, 100%, $E$9)</f>
        <v>23.047999999999998</v>
      </c>
      <c r="F491" s="14">
        <f>CHOOSE(CONTROL!$C$42, 22.9467, 22.9467)*CHOOSE(CONTROL!$C$21, $C$9, 100%, $E$9)</f>
        <v>22.9467</v>
      </c>
      <c r="G491" s="14">
        <f>CHOOSE(CONTROL!$C$42, 22.9633, 22.9633)*CHOOSE(CONTROL!$C$21, $C$9, 100%, $E$9)</f>
        <v>22.9633</v>
      </c>
      <c r="H491" s="14">
        <f>CHOOSE(CONTROL!$C$42, 23.0372, 23.0372) * CHOOSE(CONTROL!$C$21, $C$9, 100%, $E$9)</f>
        <v>23.037199999999999</v>
      </c>
      <c r="I491" s="14">
        <f>CHOOSE(CONTROL!$C$42, 23.0308, 23.0308)* CHOOSE(CONTROL!$C$21, $C$9, 100%, $E$9)</f>
        <v>23.030799999999999</v>
      </c>
      <c r="J491" s="14">
        <f>CHOOSE(CONTROL!$C$42, 22.9397, 22.9397)* CHOOSE(CONTROL!$C$21, $C$9, 100%, $E$9)</f>
        <v>22.939699999999998</v>
      </c>
      <c r="K491" s="53">
        <f>CHOOSE(CONTROL!$C$42, 23.0269, 23.0269) * CHOOSE(CONTROL!$C$21, $C$9, 100%, $E$9)</f>
        <v>23.026900000000001</v>
      </c>
      <c r="L491" s="14">
        <f>CHOOSE(CONTROL!$C$42, 23.6242, 23.6242) * CHOOSE(CONTROL!$C$21, $C$9, 100%, $E$9)</f>
        <v>23.624199999999998</v>
      </c>
      <c r="M491" s="14">
        <f>CHOOSE(CONTROL!$C$42, 22.4774, 22.4774) * CHOOSE(CONTROL!$C$21, $C$9, 100%, $E$9)</f>
        <v>22.477399999999999</v>
      </c>
      <c r="N491" s="14">
        <f>CHOOSE(CONTROL!$C$42, 22.4936, 22.4936) * CHOOSE(CONTROL!$C$21, $C$9, 100%, $E$9)</f>
        <v>22.493600000000001</v>
      </c>
      <c r="O491" s="14">
        <f>CHOOSE(CONTROL!$C$42, 22.5729, 22.5729) * CHOOSE(CONTROL!$C$21, $C$9, 100%, $E$9)</f>
        <v>22.572900000000001</v>
      </c>
      <c r="P491" s="14">
        <f>CHOOSE(CONTROL!$C$42, 22.5653, 22.5653) * CHOOSE(CONTROL!$C$21, $C$9, 100%, $E$9)</f>
        <v>22.565300000000001</v>
      </c>
      <c r="Q491" s="14">
        <f>CHOOSE(CONTROL!$C$42, 23.1676, 23.1676) * CHOOSE(CONTROL!$C$21, $C$9, 100%, $E$9)</f>
        <v>23.1676</v>
      </c>
      <c r="R491" s="14">
        <f>CHOOSE(CONTROL!$C$42, 23.8125, 23.8125) * CHOOSE(CONTROL!$C$21, $C$9, 100%, $E$9)</f>
        <v>23.8125</v>
      </c>
      <c r="S491" s="14">
        <f>CHOOSE(CONTROL!$C$42, 22.0294, 22.0294) * CHOOSE(CONTROL!$C$21, $C$9, 100%, $E$9)</f>
        <v>22.029399999999999</v>
      </c>
      <c r="T4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7">
        <f>(1000*CHOOSE(CONTROL!$C$42, 695, 695)*CHOOSE(CONTROL!$C$42, 0.5599, 0.5599)*CHOOSE(CONTROL!$C$42, 30, 30))/1000000</f>
        <v>11.673914999999997</v>
      </c>
      <c r="V491" s="57">
        <f>(1000*CHOOSE(CONTROL!$C$42, 500, 500)*CHOOSE(CONTROL!$C$42, 0.275, 0.275)*CHOOSE(CONTROL!$C$42, 30, 30))/1000000</f>
        <v>4.125</v>
      </c>
      <c r="W491" s="57">
        <f>(1000*CHOOSE(CONTROL!$C$42, 0.1146, 0.1146)*CHOOSE(CONTROL!$C$42, 121.5, 121.5)*CHOOSE(CONTROL!$C$42, 30, 30))/1000000</f>
        <v>0.417717</v>
      </c>
      <c r="X491" s="57">
        <f>(30*0.1790888*100000/1000000)+(30*0.2374*100000/1000000)</f>
        <v>1.2494664</v>
      </c>
      <c r="Y491" s="57"/>
      <c r="Z491" s="14"/>
      <c r="AA491" s="56"/>
      <c r="AB491" s="50">
        <f>(B491*122.58+C491*297.941+D491*89.177+E491*40.302+F491*40+G491*160+H491*0+I491*100+J491*300)/(122.58+297.941+89.177+40.302+0+40+160+100+300)</f>
        <v>22.960164991304346</v>
      </c>
      <c r="AC491" s="45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22.534264028776978</v>
      </c>
    </row>
    <row r="492" spans="1:29" ht="15.75" x14ac:dyDescent="0.25">
      <c r="A492" s="33">
        <v>55884</v>
      </c>
      <c r="B492" s="14">
        <f>CHOOSE(CONTROL!$C$42, 24.4977, 24.4977) * CHOOSE(CONTROL!$C$21, $C$9, 100%, $E$9)</f>
        <v>24.497699999999998</v>
      </c>
      <c r="C492" s="14">
        <f>CHOOSE(CONTROL!$C$42, 24.5027, 24.5027) * CHOOSE(CONTROL!$C$21, $C$9, 100%, $E$9)</f>
        <v>24.502700000000001</v>
      </c>
      <c r="D492" s="14">
        <f>CHOOSE(CONTROL!$C$42, 24.577, 24.577) * CHOOSE(CONTROL!$C$21, $C$9, 100%, $E$9)</f>
        <v>24.577000000000002</v>
      </c>
      <c r="E492" s="14">
        <f>CHOOSE(CONTROL!$C$42, 24.6111, 24.6111) * CHOOSE(CONTROL!$C$21, $C$9, 100%, $E$9)</f>
        <v>24.6111</v>
      </c>
      <c r="F492" s="14">
        <f>CHOOSE(CONTROL!$C$42, 24.5119, 24.5119)*CHOOSE(CONTROL!$C$21, $C$9, 100%, $E$9)</f>
        <v>24.511900000000001</v>
      </c>
      <c r="G492" s="14">
        <f>CHOOSE(CONTROL!$C$42, 24.5291, 24.5291)*CHOOSE(CONTROL!$C$21, $C$9, 100%, $E$9)</f>
        <v>24.5291</v>
      </c>
      <c r="H492" s="14">
        <f>CHOOSE(CONTROL!$C$42, 24.6003, 24.6003) * CHOOSE(CONTROL!$C$21, $C$9, 100%, $E$9)</f>
        <v>24.600300000000001</v>
      </c>
      <c r="I492" s="14">
        <f>CHOOSE(CONTROL!$C$42, 24.5987, 24.5987)* CHOOSE(CONTROL!$C$21, $C$9, 100%, $E$9)</f>
        <v>24.598700000000001</v>
      </c>
      <c r="J492" s="14">
        <f>CHOOSE(CONTROL!$C$42, 24.5049, 24.5049)* CHOOSE(CONTROL!$C$21, $C$9, 100%, $E$9)</f>
        <v>24.504899999999999</v>
      </c>
      <c r="K492" s="53">
        <f>CHOOSE(CONTROL!$C$42, 24.5948, 24.5948) * CHOOSE(CONTROL!$C$21, $C$9, 100%, $E$9)</f>
        <v>24.594799999999999</v>
      </c>
      <c r="L492" s="14">
        <f>CHOOSE(CONTROL!$C$42, 25.1873, 25.1873) * CHOOSE(CONTROL!$C$21, $C$9, 100%, $E$9)</f>
        <v>25.1873</v>
      </c>
      <c r="M492" s="14">
        <f>CHOOSE(CONTROL!$C$42, 24.0105, 24.0105) * CHOOSE(CONTROL!$C$21, $C$9, 100%, $E$9)</f>
        <v>24.0105</v>
      </c>
      <c r="N492" s="14">
        <f>CHOOSE(CONTROL!$C$42, 24.0273, 24.0273) * CHOOSE(CONTROL!$C$21, $C$9, 100%, $E$9)</f>
        <v>24.0273</v>
      </c>
      <c r="O492" s="14">
        <f>CHOOSE(CONTROL!$C$42, 24.1039, 24.1039) * CHOOSE(CONTROL!$C$21, $C$9, 100%, $E$9)</f>
        <v>24.103899999999999</v>
      </c>
      <c r="P492" s="14">
        <f>CHOOSE(CONTROL!$C$42, 24.1009, 24.1009) * CHOOSE(CONTROL!$C$21, $C$9, 100%, $E$9)</f>
        <v>24.100899999999999</v>
      </c>
      <c r="Q492" s="14">
        <f>CHOOSE(CONTROL!$C$42, 24.6986, 24.6986) * CHOOSE(CONTROL!$C$21, $C$9, 100%, $E$9)</f>
        <v>24.698599999999999</v>
      </c>
      <c r="R492" s="14">
        <f>CHOOSE(CONTROL!$C$42, 25.3473, 25.3473) * CHOOSE(CONTROL!$C$21, $C$9, 100%, $E$9)</f>
        <v>25.347300000000001</v>
      </c>
      <c r="S492" s="14">
        <f>CHOOSE(CONTROL!$C$42, 23.5313, 23.5313) * CHOOSE(CONTROL!$C$21, $C$9, 100%, $E$9)</f>
        <v>23.531300000000002</v>
      </c>
      <c r="T4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7">
        <f>(1000*CHOOSE(CONTROL!$C$42, 695, 695)*CHOOSE(CONTROL!$C$42, 0.5599, 0.5599)*CHOOSE(CONTROL!$C$42, 31, 31))/1000000</f>
        <v>12.063045499999998</v>
      </c>
      <c r="V492" s="57">
        <f>(1000*CHOOSE(CONTROL!$C$42, 500, 500)*CHOOSE(CONTROL!$C$42, 0.275, 0.275)*CHOOSE(CONTROL!$C$42, 31, 31))/1000000</f>
        <v>4.2625000000000002</v>
      </c>
      <c r="W492" s="57">
        <f>(1000*CHOOSE(CONTROL!$C$42, 0.1146, 0.1146)*CHOOSE(CONTROL!$C$42, 121.5, 121.5)*CHOOSE(CONTROL!$C$42, 31, 31))/1000000</f>
        <v>0.43164089999999994</v>
      </c>
      <c r="X492" s="57">
        <f>(31*0.1790888*100000/1000000)+(31*0.2374*100000/1000000)</f>
        <v>1.2911152800000001</v>
      </c>
      <c r="Y492" s="57"/>
      <c r="Z492" s="14"/>
      <c r="AA492" s="56"/>
      <c r="AB492" s="50">
        <f>(B492*122.58+C492*297.941+D492*89.177+E492*40.302+F492*40+G492*160+H492*0+I492*100+J492*300)/(122.58+297.941+89.177+40.302+0+40+160+100+300)</f>
        <v>24.52464233730435</v>
      </c>
      <c r="AC492" s="45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24.066806474820147</v>
      </c>
    </row>
    <row r="493" spans="1:29" ht="15.75" x14ac:dyDescent="0.25">
      <c r="A493" s="33">
        <v>55915</v>
      </c>
      <c r="B493" s="14">
        <f>CHOOSE(CONTROL!$C$42, 26.5277, 26.5277) * CHOOSE(CONTROL!$C$21, $C$9, 100%, $E$9)</f>
        <v>26.527699999999999</v>
      </c>
      <c r="C493" s="14">
        <f>CHOOSE(CONTROL!$C$42, 26.5328, 26.5328) * CHOOSE(CONTROL!$C$21, $C$9, 100%, $E$9)</f>
        <v>26.532800000000002</v>
      </c>
      <c r="D493" s="14">
        <f>CHOOSE(CONTROL!$C$42, 26.6096, 26.6096) * CHOOSE(CONTROL!$C$21, $C$9, 100%, $E$9)</f>
        <v>26.6096</v>
      </c>
      <c r="E493" s="14">
        <f>CHOOSE(CONTROL!$C$42, 26.6437, 26.6437) * CHOOSE(CONTROL!$C$21, $C$9, 100%, $E$9)</f>
        <v>26.643699999999999</v>
      </c>
      <c r="F493" s="14">
        <f>CHOOSE(CONTROL!$C$42, 26.5279, 26.5279)*CHOOSE(CONTROL!$C$21, $C$9, 100%, $E$9)</f>
        <v>26.527899999999999</v>
      </c>
      <c r="G493" s="14">
        <f>CHOOSE(CONTROL!$C$42, 26.5442, 26.5442)*CHOOSE(CONTROL!$C$21, $C$9, 100%, $E$9)</f>
        <v>26.5442</v>
      </c>
      <c r="H493" s="14">
        <f>CHOOSE(CONTROL!$C$42, 26.6329, 26.6329) * CHOOSE(CONTROL!$C$21, $C$9, 100%, $E$9)</f>
        <v>26.632899999999999</v>
      </c>
      <c r="I493" s="14">
        <f>CHOOSE(CONTROL!$C$42, 26.6289, 26.6289)* CHOOSE(CONTROL!$C$21, $C$9, 100%, $E$9)</f>
        <v>26.628900000000002</v>
      </c>
      <c r="J493" s="14">
        <f>CHOOSE(CONTROL!$C$42, 26.5209, 26.5209)* CHOOSE(CONTROL!$C$21, $C$9, 100%, $E$9)</f>
        <v>26.520900000000001</v>
      </c>
      <c r="K493" s="53">
        <f>CHOOSE(CONTROL!$C$42, 26.625, 26.625) * CHOOSE(CONTROL!$C$21, $C$9, 100%, $E$9)</f>
        <v>26.625</v>
      </c>
      <c r="L493" s="14">
        <f>CHOOSE(CONTROL!$C$42, 27.2199, 27.2199) * CHOOSE(CONTROL!$C$21, $C$9, 100%, $E$9)</f>
        <v>27.219899999999999</v>
      </c>
      <c r="M493" s="14">
        <f>CHOOSE(CONTROL!$C$42, 25.9852, 25.9852) * CHOOSE(CONTROL!$C$21, $C$9, 100%, $E$9)</f>
        <v>25.985199999999999</v>
      </c>
      <c r="N493" s="14">
        <f>CHOOSE(CONTROL!$C$42, 26.0011, 26.0011) * CHOOSE(CONTROL!$C$21, $C$9, 100%, $E$9)</f>
        <v>26.001100000000001</v>
      </c>
      <c r="O493" s="14">
        <f>CHOOSE(CONTROL!$C$42, 26.0949, 26.0949) * CHOOSE(CONTROL!$C$21, $C$9, 100%, $E$9)</f>
        <v>26.094899999999999</v>
      </c>
      <c r="P493" s="14">
        <f>CHOOSE(CONTROL!$C$42, 26.0894, 26.0894) * CHOOSE(CONTROL!$C$21, $C$9, 100%, $E$9)</f>
        <v>26.089400000000001</v>
      </c>
      <c r="Q493" s="14">
        <f>CHOOSE(CONTROL!$C$42, 26.6896, 26.6896) * CHOOSE(CONTROL!$C$21, $C$9, 100%, $E$9)</f>
        <v>26.689599999999999</v>
      </c>
      <c r="R493" s="14">
        <f>CHOOSE(CONTROL!$C$42, 27.3433, 27.3433) * CHOOSE(CONTROL!$C$21, $C$9, 100%, $E$9)</f>
        <v>27.343299999999999</v>
      </c>
      <c r="S493" s="14">
        <f>CHOOSE(CONTROL!$C$42, 25.482, 25.482) * CHOOSE(CONTROL!$C$21, $C$9, 100%, $E$9)</f>
        <v>25.481999999999999</v>
      </c>
      <c r="T4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7">
        <f>(1000*CHOOSE(CONTROL!$C$42, 695, 695)*CHOOSE(CONTROL!$C$42, 0.5599, 0.5599)*CHOOSE(CONTROL!$C$42, 31, 31))/1000000</f>
        <v>12.063045499999998</v>
      </c>
      <c r="V493" s="57">
        <f>(1000*CHOOSE(CONTROL!$C$42, 500, 500)*CHOOSE(CONTROL!$C$42, 0.275, 0.275)*CHOOSE(CONTROL!$C$42, 31, 31))/1000000</f>
        <v>4.2625000000000002</v>
      </c>
      <c r="W493" s="57">
        <f>(1000*CHOOSE(CONTROL!$C$42, 0.1146, 0.1146)*CHOOSE(CONTROL!$C$42, 121.5, 121.5)*CHOOSE(CONTROL!$C$42, 31, 31))/1000000</f>
        <v>0.43164089999999994</v>
      </c>
      <c r="X493" s="57">
        <f>(31*0.1790888*100000/1000000)+(31*0.2374*100000/1000000)</f>
        <v>1.2911152800000001</v>
      </c>
      <c r="Y493" s="57"/>
      <c r="Z493" s="14"/>
      <c r="AA493" s="56"/>
      <c r="AB493" s="50">
        <f>(B493*122.58+C493*297.941+D493*89.177+E493*40.302+F493*40+G493*160+H493*0+I493*100+J493*300)/(122.58+297.941+89.177+40.302+0+40+160+100+300)</f>
        <v>26.548766197739134</v>
      </c>
      <c r="AC493" s="45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26.050828057553954</v>
      </c>
    </row>
    <row r="494" spans="1:29" ht="15.75" x14ac:dyDescent="0.25">
      <c r="A494" s="33">
        <v>55943</v>
      </c>
      <c r="B494" s="14">
        <f>CHOOSE(CONTROL!$C$42, 26.9998, 26.9998) * CHOOSE(CONTROL!$C$21, $C$9, 100%, $E$9)</f>
        <v>26.9998</v>
      </c>
      <c r="C494" s="14">
        <f>CHOOSE(CONTROL!$C$42, 27.0049, 27.0049) * CHOOSE(CONTROL!$C$21, $C$9, 100%, $E$9)</f>
        <v>27.004899999999999</v>
      </c>
      <c r="D494" s="14">
        <f>CHOOSE(CONTROL!$C$42, 27.0817, 27.0817) * CHOOSE(CONTROL!$C$21, $C$9, 100%, $E$9)</f>
        <v>27.081700000000001</v>
      </c>
      <c r="E494" s="14">
        <f>CHOOSE(CONTROL!$C$42, 27.1158, 27.1158) * CHOOSE(CONTROL!$C$21, $C$9, 100%, $E$9)</f>
        <v>27.1158</v>
      </c>
      <c r="F494" s="14">
        <f>CHOOSE(CONTROL!$C$42, 27.0001, 27.0001)*CHOOSE(CONTROL!$C$21, $C$9, 100%, $E$9)</f>
        <v>27.0001</v>
      </c>
      <c r="G494" s="14">
        <f>CHOOSE(CONTROL!$C$42, 27.0163, 27.0163)*CHOOSE(CONTROL!$C$21, $C$9, 100%, $E$9)</f>
        <v>27.016300000000001</v>
      </c>
      <c r="H494" s="14">
        <f>CHOOSE(CONTROL!$C$42, 27.105, 27.105) * CHOOSE(CONTROL!$C$21, $C$9, 100%, $E$9)</f>
        <v>27.105</v>
      </c>
      <c r="I494" s="14">
        <f>CHOOSE(CONTROL!$C$42, 27.1024, 27.1024)* CHOOSE(CONTROL!$C$21, $C$9, 100%, $E$9)</f>
        <v>27.102399999999999</v>
      </c>
      <c r="J494" s="14">
        <f>CHOOSE(CONTROL!$C$42, 26.9931, 26.9931)* CHOOSE(CONTROL!$C$21, $C$9, 100%, $E$9)</f>
        <v>26.993099999999998</v>
      </c>
      <c r="K494" s="53">
        <f>CHOOSE(CONTROL!$C$42, 27.0985, 27.0985) * CHOOSE(CONTROL!$C$21, $C$9, 100%, $E$9)</f>
        <v>27.098500000000001</v>
      </c>
      <c r="L494" s="14">
        <f>CHOOSE(CONTROL!$C$42, 27.692, 27.692) * CHOOSE(CONTROL!$C$21, $C$9, 100%, $E$9)</f>
        <v>27.692</v>
      </c>
      <c r="M494" s="14">
        <f>CHOOSE(CONTROL!$C$42, 26.4477, 26.4477) * CHOOSE(CONTROL!$C$21, $C$9, 100%, $E$9)</f>
        <v>26.447700000000001</v>
      </c>
      <c r="N494" s="14">
        <f>CHOOSE(CONTROL!$C$42, 26.4636, 26.4636) * CHOOSE(CONTROL!$C$21, $C$9, 100%, $E$9)</f>
        <v>26.4636</v>
      </c>
      <c r="O494" s="14">
        <f>CHOOSE(CONTROL!$C$42, 26.5573, 26.5573) * CHOOSE(CONTROL!$C$21, $C$9, 100%, $E$9)</f>
        <v>26.557300000000001</v>
      </c>
      <c r="P494" s="14">
        <f>CHOOSE(CONTROL!$C$42, 26.5532, 26.5532) * CHOOSE(CONTROL!$C$21, $C$9, 100%, $E$9)</f>
        <v>26.5532</v>
      </c>
      <c r="Q494" s="14">
        <f>CHOOSE(CONTROL!$C$42, 27.152, 27.152) * CHOOSE(CONTROL!$C$21, $C$9, 100%, $E$9)</f>
        <v>27.152000000000001</v>
      </c>
      <c r="R494" s="14">
        <f>CHOOSE(CONTROL!$C$42, 27.8069, 27.8069) * CHOOSE(CONTROL!$C$21, $C$9, 100%, $E$9)</f>
        <v>27.806899999999999</v>
      </c>
      <c r="S494" s="14">
        <f>CHOOSE(CONTROL!$C$42, 25.9356, 25.9356) * CHOOSE(CONTROL!$C$21, $C$9, 100%, $E$9)</f>
        <v>25.935600000000001</v>
      </c>
      <c r="T4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7">
        <f>(1000*CHOOSE(CONTROL!$C$42, 695, 695)*CHOOSE(CONTROL!$C$42, 0.5599, 0.5599)*CHOOSE(CONTROL!$C$42, 28, 28))/1000000</f>
        <v>10.895653999999999</v>
      </c>
      <c r="V494" s="57">
        <f>(1000*CHOOSE(CONTROL!$C$42, 500, 500)*CHOOSE(CONTROL!$C$42, 0.275, 0.275)*CHOOSE(CONTROL!$C$42, 28, 28))/1000000</f>
        <v>3.85</v>
      </c>
      <c r="W494" s="57">
        <f>(1000*CHOOSE(CONTROL!$C$42, 0.1146, 0.1146)*CHOOSE(CONTROL!$C$42, 121.5, 121.5)*CHOOSE(CONTROL!$C$42, 28, 28))/1000000</f>
        <v>0.38986920000000003</v>
      </c>
      <c r="X494" s="57">
        <f>(28*0.1790888*100000/1000000)+(28*0.2374*100000/1000000)</f>
        <v>1.16616864</v>
      </c>
      <c r="Y494" s="57"/>
      <c r="Z494" s="14"/>
      <c r="AA494" s="56"/>
      <c r="AB494" s="50">
        <f>(B494*122.58+C494*297.941+D494*89.177+E494*40.302+F494*40+G494*160+H494*0+I494*100+J494*300)/(122.58+297.941+89.177+40.302+0+40+160+100+300)</f>
        <v>27.021017502086956</v>
      </c>
      <c r="AC494" s="45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26.513469784172667</v>
      </c>
    </row>
    <row r="495" spans="1:29" ht="15.75" x14ac:dyDescent="0.25">
      <c r="A495" s="33">
        <v>55974</v>
      </c>
      <c r="B495" s="14">
        <f>CHOOSE(CONTROL!$C$42, 26.2335, 26.2335) * CHOOSE(CONTROL!$C$21, $C$9, 100%, $E$9)</f>
        <v>26.233499999999999</v>
      </c>
      <c r="C495" s="14">
        <f>CHOOSE(CONTROL!$C$42, 26.2386, 26.2386) * CHOOSE(CONTROL!$C$21, $C$9, 100%, $E$9)</f>
        <v>26.238600000000002</v>
      </c>
      <c r="D495" s="14">
        <f>CHOOSE(CONTROL!$C$42, 26.3154, 26.3154) * CHOOSE(CONTROL!$C$21, $C$9, 100%, $E$9)</f>
        <v>26.3154</v>
      </c>
      <c r="E495" s="14">
        <f>CHOOSE(CONTROL!$C$42, 26.3495, 26.3495) * CHOOSE(CONTROL!$C$21, $C$9, 100%, $E$9)</f>
        <v>26.349499999999999</v>
      </c>
      <c r="F495" s="14">
        <f>CHOOSE(CONTROL!$C$42, 26.2333, 26.2333)*CHOOSE(CONTROL!$C$21, $C$9, 100%, $E$9)</f>
        <v>26.2333</v>
      </c>
      <c r="G495" s="14">
        <f>CHOOSE(CONTROL!$C$42, 26.2494, 26.2494)*CHOOSE(CONTROL!$C$21, $C$9, 100%, $E$9)</f>
        <v>26.249400000000001</v>
      </c>
      <c r="H495" s="14">
        <f>CHOOSE(CONTROL!$C$42, 26.3387, 26.3387) * CHOOSE(CONTROL!$C$21, $C$9, 100%, $E$9)</f>
        <v>26.338699999999999</v>
      </c>
      <c r="I495" s="14">
        <f>CHOOSE(CONTROL!$C$42, 26.3337, 26.3337)* CHOOSE(CONTROL!$C$21, $C$9, 100%, $E$9)</f>
        <v>26.3337</v>
      </c>
      <c r="J495" s="14">
        <f>CHOOSE(CONTROL!$C$42, 26.2263, 26.2263)* CHOOSE(CONTROL!$C$21, $C$9, 100%, $E$9)</f>
        <v>26.226299999999998</v>
      </c>
      <c r="K495" s="53">
        <f>CHOOSE(CONTROL!$C$42, 26.3299, 26.3299) * CHOOSE(CONTROL!$C$21, $C$9, 100%, $E$9)</f>
        <v>26.329899999999999</v>
      </c>
      <c r="L495" s="14">
        <f>CHOOSE(CONTROL!$C$42, 26.9257, 26.9257) * CHOOSE(CONTROL!$C$21, $C$9, 100%, $E$9)</f>
        <v>26.925699999999999</v>
      </c>
      <c r="M495" s="14">
        <f>CHOOSE(CONTROL!$C$42, 25.6967, 25.6967) * CHOOSE(CONTROL!$C$21, $C$9, 100%, $E$9)</f>
        <v>25.6967</v>
      </c>
      <c r="N495" s="14">
        <f>CHOOSE(CONTROL!$C$42, 25.7124, 25.7124) * CHOOSE(CONTROL!$C$21, $C$9, 100%, $E$9)</f>
        <v>25.712399999999999</v>
      </c>
      <c r="O495" s="14">
        <f>CHOOSE(CONTROL!$C$42, 25.8067, 25.8067) * CHOOSE(CONTROL!$C$21, $C$9, 100%, $E$9)</f>
        <v>25.806699999999999</v>
      </c>
      <c r="P495" s="14">
        <f>CHOOSE(CONTROL!$C$42, 25.8003, 25.8003) * CHOOSE(CONTROL!$C$21, $C$9, 100%, $E$9)</f>
        <v>25.8003</v>
      </c>
      <c r="Q495" s="14">
        <f>CHOOSE(CONTROL!$C$42, 26.4014, 26.4014) * CHOOSE(CONTROL!$C$21, $C$9, 100%, $E$9)</f>
        <v>26.401399999999999</v>
      </c>
      <c r="R495" s="14">
        <f>CHOOSE(CONTROL!$C$42, 27.0544, 27.0544) * CHOOSE(CONTROL!$C$21, $C$9, 100%, $E$9)</f>
        <v>27.054400000000001</v>
      </c>
      <c r="S495" s="14">
        <f>CHOOSE(CONTROL!$C$42, 25.1993, 25.1993) * CHOOSE(CONTROL!$C$21, $C$9, 100%, $E$9)</f>
        <v>25.199300000000001</v>
      </c>
      <c r="T4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7">
        <f>(1000*CHOOSE(CONTROL!$C$42, 695, 695)*CHOOSE(CONTROL!$C$42, 0.5599, 0.5599)*CHOOSE(CONTROL!$C$42, 31, 31))/1000000</f>
        <v>12.063045499999998</v>
      </c>
      <c r="V495" s="57">
        <f>(1000*CHOOSE(CONTROL!$C$42, 500, 500)*CHOOSE(CONTROL!$C$42, 0.275, 0.275)*CHOOSE(CONTROL!$C$42, 31, 31))/1000000</f>
        <v>4.2625000000000002</v>
      </c>
      <c r="W495" s="57">
        <f>(1000*CHOOSE(CONTROL!$C$42, 0.1146, 0.1146)*CHOOSE(CONTROL!$C$42, 121.5, 121.5)*CHOOSE(CONTROL!$C$42, 31, 31))/1000000</f>
        <v>0.43164089999999994</v>
      </c>
      <c r="X495" s="57">
        <f>(31*0.1790888*100000/1000000)+(31*0.2374*100000/1000000)</f>
        <v>1.2911152800000001</v>
      </c>
      <c r="Y495" s="57"/>
      <c r="Z495" s="14"/>
      <c r="AA495" s="56"/>
      <c r="AB495" s="50">
        <f>(B495*122.58+C495*297.941+D495*89.177+E495*40.302+F495*40+G495*160+H495*0+I495*100+J495*300)/(122.58+297.941+89.177+40.302+0+40+160+100+300)</f>
        <v>26.254277502086957</v>
      </c>
      <c r="AC495" s="45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25.762366187050358</v>
      </c>
    </row>
    <row r="496" spans="1:29" ht="15.75" x14ac:dyDescent="0.25">
      <c r="A496" s="33">
        <v>56004</v>
      </c>
      <c r="B496" s="14">
        <f>CHOOSE(CONTROL!$C$42, 26.1562, 26.1562) * CHOOSE(CONTROL!$C$21, $C$9, 100%, $E$9)</f>
        <v>26.156199999999998</v>
      </c>
      <c r="C496" s="14">
        <f>CHOOSE(CONTROL!$C$42, 26.1607, 26.1607) * CHOOSE(CONTROL!$C$21, $C$9, 100%, $E$9)</f>
        <v>26.160699999999999</v>
      </c>
      <c r="D496" s="14">
        <f>CHOOSE(CONTROL!$C$42, 26.3975, 26.3975) * CHOOSE(CONTROL!$C$21, $C$9, 100%, $E$9)</f>
        <v>26.397500000000001</v>
      </c>
      <c r="E496" s="14">
        <f>CHOOSE(CONTROL!$C$42, 26.4296, 26.4296) * CHOOSE(CONTROL!$C$21, $C$9, 100%, $E$9)</f>
        <v>26.429600000000001</v>
      </c>
      <c r="F496" s="14">
        <f>CHOOSE(CONTROL!$C$42, 26.1542, 26.1542)*CHOOSE(CONTROL!$C$21, $C$9, 100%, $E$9)</f>
        <v>26.154199999999999</v>
      </c>
      <c r="G496" s="14">
        <f>CHOOSE(CONTROL!$C$42, 26.17, 26.17)*CHOOSE(CONTROL!$C$21, $C$9, 100%, $E$9)</f>
        <v>26.17</v>
      </c>
      <c r="H496" s="14">
        <f>CHOOSE(CONTROL!$C$42, 26.4194, 26.4194) * CHOOSE(CONTROL!$C$21, $C$9, 100%, $E$9)</f>
        <v>26.4194</v>
      </c>
      <c r="I496" s="14">
        <f>CHOOSE(CONTROL!$C$42, 26.2554, 26.2554)* CHOOSE(CONTROL!$C$21, $C$9, 100%, $E$9)</f>
        <v>26.255400000000002</v>
      </c>
      <c r="J496" s="14">
        <f>CHOOSE(CONTROL!$C$42, 26.1472, 26.1472)* CHOOSE(CONTROL!$C$21, $C$9, 100%, $E$9)</f>
        <v>26.147200000000002</v>
      </c>
      <c r="K496" s="53">
        <f>CHOOSE(CONTROL!$C$42, 26.2516, 26.2516) * CHOOSE(CONTROL!$C$21, $C$9, 100%, $E$9)</f>
        <v>26.2516</v>
      </c>
      <c r="L496" s="14">
        <f>CHOOSE(CONTROL!$C$42, 27.0064, 27.0064) * CHOOSE(CONTROL!$C$21, $C$9, 100%, $E$9)</f>
        <v>27.006399999999999</v>
      </c>
      <c r="M496" s="14">
        <f>CHOOSE(CONTROL!$C$42, 25.6191, 25.6191) * CHOOSE(CONTROL!$C$21, $C$9, 100%, $E$9)</f>
        <v>25.6191</v>
      </c>
      <c r="N496" s="14">
        <f>CHOOSE(CONTROL!$C$42, 25.6346, 25.6346) * CHOOSE(CONTROL!$C$21, $C$9, 100%, $E$9)</f>
        <v>25.634599999999999</v>
      </c>
      <c r="O496" s="14">
        <f>CHOOSE(CONTROL!$C$42, 25.8857, 25.8857) * CHOOSE(CONTROL!$C$21, $C$9, 100%, $E$9)</f>
        <v>25.8857</v>
      </c>
      <c r="P496" s="14">
        <f>CHOOSE(CONTROL!$C$42, 25.7236, 25.7236) * CHOOSE(CONTROL!$C$21, $C$9, 100%, $E$9)</f>
        <v>25.723600000000001</v>
      </c>
      <c r="Q496" s="14">
        <f>CHOOSE(CONTROL!$C$42, 26.4804, 26.4804) * CHOOSE(CONTROL!$C$21, $C$9, 100%, $E$9)</f>
        <v>26.480399999999999</v>
      </c>
      <c r="R496" s="14">
        <f>CHOOSE(CONTROL!$C$42, 27.1336, 27.1336) * CHOOSE(CONTROL!$C$21, $C$9, 100%, $E$9)</f>
        <v>27.133600000000001</v>
      </c>
      <c r="S496" s="14">
        <f>CHOOSE(CONTROL!$C$42, 25.1242, 25.1242) * CHOOSE(CONTROL!$C$21, $C$9, 100%, $E$9)</f>
        <v>25.124199999999998</v>
      </c>
      <c r="T4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7">
        <f>(1000*CHOOSE(CONTROL!$C$42, 695, 695)*CHOOSE(CONTROL!$C$42, 0.5599, 0.5599)*CHOOSE(CONTROL!$C$42, 30, 30))/1000000</f>
        <v>11.673914999999997</v>
      </c>
      <c r="V496" s="57">
        <f>(1000*CHOOSE(CONTROL!$C$42, 500, 500)*CHOOSE(CONTROL!$C$42, 0.275, 0.275)*CHOOSE(CONTROL!$C$42, 30, 30))/1000000</f>
        <v>4.125</v>
      </c>
      <c r="W496" s="57">
        <f>(1000*CHOOSE(CONTROL!$C$42, 0.1146, 0.1146)*CHOOSE(CONTROL!$C$42, 121.5, 121.5)*CHOOSE(CONTROL!$C$42, 30, 30))/1000000</f>
        <v>0.417717</v>
      </c>
      <c r="X496" s="57">
        <f>(30*0.1790888*245000/1000000)+(30*0.2374*100000/1000000)</f>
        <v>2.0285026799999999</v>
      </c>
      <c r="Y496" s="57"/>
      <c r="Z496" s="14"/>
      <c r="AA496" s="56"/>
      <c r="AB496" s="50">
        <f>(B496*141.293+C496*267.993+D496*115.016+E496*89.698+F496*40+G496*185+H496*0+I496*100+J496*300)/(141.293+267.993+115.016+89.698+0+40+185+100+300)</f>
        <v>26.207189315980632</v>
      </c>
      <c r="AC496" s="45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25.712505755395686</v>
      </c>
    </row>
    <row r="497" spans="1:29" ht="15.75" x14ac:dyDescent="0.25">
      <c r="A497" s="33">
        <v>56035</v>
      </c>
      <c r="B497" s="14">
        <f>CHOOSE(CONTROL!$C$42, 26.3884, 26.3884) * CHOOSE(CONTROL!$C$21, $C$9, 100%, $E$9)</f>
        <v>26.388400000000001</v>
      </c>
      <c r="C497" s="14">
        <f>CHOOSE(CONTROL!$C$42, 26.3964, 26.3964) * CHOOSE(CONTROL!$C$21, $C$9, 100%, $E$9)</f>
        <v>26.3964</v>
      </c>
      <c r="D497" s="14">
        <f>CHOOSE(CONTROL!$C$42, 26.63, 26.63) * CHOOSE(CONTROL!$C$21, $C$9, 100%, $E$9)</f>
        <v>26.63</v>
      </c>
      <c r="E497" s="14">
        <f>CHOOSE(CONTROL!$C$42, 26.6615, 26.6615) * CHOOSE(CONTROL!$C$21, $C$9, 100%, $E$9)</f>
        <v>26.6615</v>
      </c>
      <c r="F497" s="14">
        <f>CHOOSE(CONTROL!$C$42, 26.3852, 26.3852)*CHOOSE(CONTROL!$C$21, $C$9, 100%, $E$9)</f>
        <v>26.385200000000001</v>
      </c>
      <c r="G497" s="14">
        <f>CHOOSE(CONTROL!$C$42, 26.4015, 26.4015)*CHOOSE(CONTROL!$C$21, $C$9, 100%, $E$9)</f>
        <v>26.401499999999999</v>
      </c>
      <c r="H497" s="14">
        <f>CHOOSE(CONTROL!$C$42, 26.6501, 26.6501) * CHOOSE(CONTROL!$C$21, $C$9, 100%, $E$9)</f>
        <v>26.650099999999998</v>
      </c>
      <c r="I497" s="14">
        <f>CHOOSE(CONTROL!$C$42, 26.4869, 26.4869)* CHOOSE(CONTROL!$C$21, $C$9, 100%, $E$9)</f>
        <v>26.486899999999999</v>
      </c>
      <c r="J497" s="14">
        <f>CHOOSE(CONTROL!$C$42, 26.3782, 26.3782)* CHOOSE(CONTROL!$C$21, $C$9, 100%, $E$9)</f>
        <v>26.3782</v>
      </c>
      <c r="K497" s="53">
        <f>CHOOSE(CONTROL!$C$42, 26.483, 26.483) * CHOOSE(CONTROL!$C$21, $C$9, 100%, $E$9)</f>
        <v>26.483000000000001</v>
      </c>
      <c r="L497" s="14">
        <f>CHOOSE(CONTROL!$C$42, 27.2371, 27.2371) * CHOOSE(CONTROL!$C$21, $C$9, 100%, $E$9)</f>
        <v>27.237100000000002</v>
      </c>
      <c r="M497" s="14">
        <f>CHOOSE(CONTROL!$C$42, 25.8454, 25.8454) * CHOOSE(CONTROL!$C$21, $C$9, 100%, $E$9)</f>
        <v>25.845400000000001</v>
      </c>
      <c r="N497" s="14">
        <f>CHOOSE(CONTROL!$C$42, 25.8614, 25.8614) * CHOOSE(CONTROL!$C$21, $C$9, 100%, $E$9)</f>
        <v>25.8614</v>
      </c>
      <c r="O497" s="14">
        <f>CHOOSE(CONTROL!$C$42, 26.1118, 26.1118) * CHOOSE(CONTROL!$C$21, $C$9, 100%, $E$9)</f>
        <v>26.111799999999999</v>
      </c>
      <c r="P497" s="14">
        <f>CHOOSE(CONTROL!$C$42, 25.9503, 25.9503) * CHOOSE(CONTROL!$C$21, $C$9, 100%, $E$9)</f>
        <v>25.950299999999999</v>
      </c>
      <c r="Q497" s="14">
        <f>CHOOSE(CONTROL!$C$42, 26.7065, 26.7065) * CHOOSE(CONTROL!$C$21, $C$9, 100%, $E$9)</f>
        <v>26.706499999999998</v>
      </c>
      <c r="R497" s="14">
        <f>CHOOSE(CONTROL!$C$42, 27.3602, 27.3602) * CHOOSE(CONTROL!$C$21, $C$9, 100%, $E$9)</f>
        <v>27.360199999999999</v>
      </c>
      <c r="S497" s="14">
        <f>CHOOSE(CONTROL!$C$42, 25.346, 25.346) * CHOOSE(CONTROL!$C$21, $C$9, 100%, $E$9)</f>
        <v>25.346</v>
      </c>
      <c r="T4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7">
        <f>(1000*CHOOSE(CONTROL!$C$42, 695, 695)*CHOOSE(CONTROL!$C$42, 0.5599, 0.5599)*CHOOSE(CONTROL!$C$42, 31, 31))/1000000</f>
        <v>12.063045499999998</v>
      </c>
      <c r="V497" s="57">
        <f>(1000*CHOOSE(CONTROL!$C$42, 500, 500)*CHOOSE(CONTROL!$C$42, 0.275, 0.275)*CHOOSE(CONTROL!$C$42, 31, 31))/1000000</f>
        <v>4.2625000000000002</v>
      </c>
      <c r="W497" s="57">
        <f>(1000*CHOOSE(CONTROL!$C$42, 0.1146, 0.1146)*CHOOSE(CONTROL!$C$42, 121.5, 121.5)*CHOOSE(CONTROL!$C$42, 31, 31))/1000000</f>
        <v>0.43164089999999994</v>
      </c>
      <c r="X497" s="57">
        <f>(31*0.1790888*245000/1000000)+(31*0.2374*100000/1000000)</f>
        <v>2.0961194359999999</v>
      </c>
      <c r="Y497" s="57"/>
      <c r="Z497" s="14"/>
      <c r="AA497" s="56"/>
      <c r="AB497" s="50">
        <f>(B497*194.205+C497*267.466+D497*133.845+E497*53.484+F497*40+G497*185+H497*0+I497*100+J497*300)/(194.205+267.466+133.845+53.484+0+40+185+100+300)</f>
        <v>26.434058289167975</v>
      </c>
      <c r="AC497" s="45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25.938922302158272</v>
      </c>
    </row>
    <row r="498" spans="1:29" ht="15.75" x14ac:dyDescent="0.25">
      <c r="A498" s="33">
        <v>56065</v>
      </c>
      <c r="B498" s="14">
        <f>CHOOSE(CONTROL!$C$42, 27.1366, 27.1366) * CHOOSE(CONTROL!$C$21, $C$9, 100%, $E$9)</f>
        <v>27.136600000000001</v>
      </c>
      <c r="C498" s="14">
        <f>CHOOSE(CONTROL!$C$42, 27.1446, 27.1446) * CHOOSE(CONTROL!$C$21, $C$9, 100%, $E$9)</f>
        <v>27.144600000000001</v>
      </c>
      <c r="D498" s="14">
        <f>CHOOSE(CONTROL!$C$42, 27.3782, 27.3782) * CHOOSE(CONTROL!$C$21, $C$9, 100%, $E$9)</f>
        <v>27.3782</v>
      </c>
      <c r="E498" s="14">
        <f>CHOOSE(CONTROL!$C$42, 27.4097, 27.4097) * CHOOSE(CONTROL!$C$21, $C$9, 100%, $E$9)</f>
        <v>27.409700000000001</v>
      </c>
      <c r="F498" s="14">
        <f>CHOOSE(CONTROL!$C$42, 27.1339, 27.1339)*CHOOSE(CONTROL!$C$21, $C$9, 100%, $E$9)</f>
        <v>27.133900000000001</v>
      </c>
      <c r="G498" s="14">
        <f>CHOOSE(CONTROL!$C$42, 27.1503, 27.1503)*CHOOSE(CONTROL!$C$21, $C$9, 100%, $E$9)</f>
        <v>27.150300000000001</v>
      </c>
      <c r="H498" s="14">
        <f>CHOOSE(CONTROL!$C$42, 27.3983, 27.3983) * CHOOSE(CONTROL!$C$21, $C$9, 100%, $E$9)</f>
        <v>27.398299999999999</v>
      </c>
      <c r="I498" s="14">
        <f>CHOOSE(CONTROL!$C$42, 27.2375, 27.2375)* CHOOSE(CONTROL!$C$21, $C$9, 100%, $E$9)</f>
        <v>27.237500000000001</v>
      </c>
      <c r="J498" s="14">
        <f>CHOOSE(CONTROL!$C$42, 27.1269, 27.1269)* CHOOSE(CONTROL!$C$21, $C$9, 100%, $E$9)</f>
        <v>27.126899999999999</v>
      </c>
      <c r="K498" s="53">
        <f>CHOOSE(CONTROL!$C$42, 27.2336, 27.2336) * CHOOSE(CONTROL!$C$21, $C$9, 100%, $E$9)</f>
        <v>27.233599999999999</v>
      </c>
      <c r="L498" s="14">
        <f>CHOOSE(CONTROL!$C$42, 27.9853, 27.9853) * CHOOSE(CONTROL!$C$21, $C$9, 100%, $E$9)</f>
        <v>27.985299999999999</v>
      </c>
      <c r="M498" s="14">
        <f>CHOOSE(CONTROL!$C$42, 26.5787, 26.5787) * CHOOSE(CONTROL!$C$21, $C$9, 100%, $E$9)</f>
        <v>26.578700000000001</v>
      </c>
      <c r="N498" s="14">
        <f>CHOOSE(CONTROL!$C$42, 26.5949, 26.5949) * CHOOSE(CONTROL!$C$21, $C$9, 100%, $E$9)</f>
        <v>26.594899999999999</v>
      </c>
      <c r="O498" s="14">
        <f>CHOOSE(CONTROL!$C$42, 26.8446, 26.8446) * CHOOSE(CONTROL!$C$21, $C$9, 100%, $E$9)</f>
        <v>26.8446</v>
      </c>
      <c r="P498" s="14">
        <f>CHOOSE(CONTROL!$C$42, 26.6854, 26.6854) * CHOOSE(CONTROL!$C$21, $C$9, 100%, $E$9)</f>
        <v>26.685400000000001</v>
      </c>
      <c r="Q498" s="14">
        <f>CHOOSE(CONTROL!$C$42, 27.4393, 27.4393) * CHOOSE(CONTROL!$C$21, $C$9, 100%, $E$9)</f>
        <v>27.439299999999999</v>
      </c>
      <c r="R498" s="14">
        <f>CHOOSE(CONTROL!$C$42, 28.0949, 28.0949) * CHOOSE(CONTROL!$C$21, $C$9, 100%, $E$9)</f>
        <v>28.094899999999999</v>
      </c>
      <c r="S498" s="14">
        <f>CHOOSE(CONTROL!$C$42, 26.0649, 26.0649) * CHOOSE(CONTROL!$C$21, $C$9, 100%, $E$9)</f>
        <v>26.064900000000002</v>
      </c>
      <c r="T4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7">
        <f>(1000*CHOOSE(CONTROL!$C$42, 695, 695)*CHOOSE(CONTROL!$C$42, 0.5599, 0.5599)*CHOOSE(CONTROL!$C$42, 30, 30))/1000000</f>
        <v>11.673914999999997</v>
      </c>
      <c r="V498" s="57">
        <f>(1000*CHOOSE(CONTROL!$C$42, 500, 500)*CHOOSE(CONTROL!$C$42, 0.275, 0.275)*CHOOSE(CONTROL!$C$42, 30, 30))/1000000</f>
        <v>4.125</v>
      </c>
      <c r="W498" s="57">
        <f>(1000*CHOOSE(CONTROL!$C$42, 0.1146, 0.1146)*CHOOSE(CONTROL!$C$42, 121.5, 121.5)*CHOOSE(CONTROL!$C$42, 30, 30))/1000000</f>
        <v>0.417717</v>
      </c>
      <c r="X498" s="57">
        <f>(30*0.1790888*245000/1000000)+(30*0.2374*100000/1000000)</f>
        <v>2.0285026799999999</v>
      </c>
      <c r="Y498" s="57"/>
      <c r="Z498" s="14"/>
      <c r="AA498" s="56"/>
      <c r="AB498" s="50">
        <f>(B498*194.205+C498*267.466+D498*133.845+E498*53.484+F498*40+G498*185+H498*0+I498*100+J498*300)/(194.205+267.466+133.845+53.484+0+40+185+100+300)</f>
        <v>27.18266723736264</v>
      </c>
      <c r="AC498" s="45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26.672387050359713</v>
      </c>
    </row>
    <row r="499" spans="1:29" ht="15.75" x14ac:dyDescent="0.25">
      <c r="A499" s="33">
        <v>56096</v>
      </c>
      <c r="B499" s="14">
        <f>CHOOSE(CONTROL!$C$42, 26.6162, 26.6162) * CHOOSE(CONTROL!$C$21, $C$9, 100%, $E$9)</f>
        <v>26.616199999999999</v>
      </c>
      <c r="C499" s="14">
        <f>CHOOSE(CONTROL!$C$42, 26.6242, 26.6242) * CHOOSE(CONTROL!$C$21, $C$9, 100%, $E$9)</f>
        <v>26.624199999999998</v>
      </c>
      <c r="D499" s="14">
        <f>CHOOSE(CONTROL!$C$42, 26.8578, 26.8578) * CHOOSE(CONTROL!$C$21, $C$9, 100%, $E$9)</f>
        <v>26.857800000000001</v>
      </c>
      <c r="E499" s="14">
        <f>CHOOSE(CONTROL!$C$42, 26.8893, 26.8893) * CHOOSE(CONTROL!$C$21, $C$9, 100%, $E$9)</f>
        <v>26.889299999999999</v>
      </c>
      <c r="F499" s="14">
        <f>CHOOSE(CONTROL!$C$42, 26.614, 26.614)*CHOOSE(CONTROL!$C$21, $C$9, 100%, $E$9)</f>
        <v>26.614000000000001</v>
      </c>
      <c r="G499" s="14">
        <f>CHOOSE(CONTROL!$C$42, 26.6306, 26.6306)*CHOOSE(CONTROL!$C$21, $C$9, 100%, $E$9)</f>
        <v>26.630600000000001</v>
      </c>
      <c r="H499" s="14">
        <f>CHOOSE(CONTROL!$C$42, 26.8779, 26.8779) * CHOOSE(CONTROL!$C$21, $C$9, 100%, $E$9)</f>
        <v>26.8779</v>
      </c>
      <c r="I499" s="14">
        <f>CHOOSE(CONTROL!$C$42, 26.7155, 26.7155)* CHOOSE(CONTROL!$C$21, $C$9, 100%, $E$9)</f>
        <v>26.715499999999999</v>
      </c>
      <c r="J499" s="14">
        <f>CHOOSE(CONTROL!$C$42, 26.607, 26.607)* CHOOSE(CONTROL!$C$21, $C$9, 100%, $E$9)</f>
        <v>26.606999999999999</v>
      </c>
      <c r="K499" s="53">
        <f>CHOOSE(CONTROL!$C$42, 26.7116, 26.7116) * CHOOSE(CONTROL!$C$21, $C$9, 100%, $E$9)</f>
        <v>26.711600000000001</v>
      </c>
      <c r="L499" s="14">
        <f>CHOOSE(CONTROL!$C$42, 27.4649, 27.4649) * CHOOSE(CONTROL!$C$21, $C$9, 100%, $E$9)</f>
        <v>27.4649</v>
      </c>
      <c r="M499" s="14">
        <f>CHOOSE(CONTROL!$C$42, 26.0695, 26.0695) * CHOOSE(CONTROL!$C$21, $C$9, 100%, $E$9)</f>
        <v>26.069500000000001</v>
      </c>
      <c r="N499" s="14">
        <f>CHOOSE(CONTROL!$C$42, 26.0858, 26.0858) * CHOOSE(CONTROL!$C$21, $C$9, 100%, $E$9)</f>
        <v>26.085799999999999</v>
      </c>
      <c r="O499" s="14">
        <f>CHOOSE(CONTROL!$C$42, 26.3349, 26.3349) * CHOOSE(CONTROL!$C$21, $C$9, 100%, $E$9)</f>
        <v>26.334900000000001</v>
      </c>
      <c r="P499" s="14">
        <f>CHOOSE(CONTROL!$C$42, 26.1742, 26.1742) * CHOOSE(CONTROL!$C$21, $C$9, 100%, $E$9)</f>
        <v>26.174199999999999</v>
      </c>
      <c r="Q499" s="14">
        <f>CHOOSE(CONTROL!$C$42, 26.9296, 26.9296) * CHOOSE(CONTROL!$C$21, $C$9, 100%, $E$9)</f>
        <v>26.929600000000001</v>
      </c>
      <c r="R499" s="14">
        <f>CHOOSE(CONTROL!$C$42, 27.5839, 27.5839) * CHOOSE(CONTROL!$C$21, $C$9, 100%, $E$9)</f>
        <v>27.5839</v>
      </c>
      <c r="S499" s="14">
        <f>CHOOSE(CONTROL!$C$42, 25.5649, 25.5649) * CHOOSE(CONTROL!$C$21, $C$9, 100%, $E$9)</f>
        <v>25.564900000000002</v>
      </c>
      <c r="T4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7">
        <f>(1000*CHOOSE(CONTROL!$C$42, 695, 695)*CHOOSE(CONTROL!$C$42, 0.5599, 0.5599)*CHOOSE(CONTROL!$C$42, 31, 31))/1000000</f>
        <v>12.063045499999998</v>
      </c>
      <c r="V499" s="57">
        <f>(1000*CHOOSE(CONTROL!$C$42, 500, 500)*CHOOSE(CONTROL!$C$42, 0.275, 0.275)*CHOOSE(CONTROL!$C$42, 31, 31))/1000000</f>
        <v>4.2625000000000002</v>
      </c>
      <c r="W499" s="57">
        <f>(1000*CHOOSE(CONTROL!$C$42, 0.1146, 0.1146)*CHOOSE(CONTROL!$C$42, 121.5, 121.5)*CHOOSE(CONTROL!$C$42, 31, 31))/1000000</f>
        <v>0.43164089999999994</v>
      </c>
      <c r="X499" s="57">
        <f>(31*0.1790888*245000/1000000)+(31*0.2374*100000/1000000)</f>
        <v>2.0961194359999999</v>
      </c>
      <c r="Y499" s="57"/>
      <c r="Z499" s="14"/>
      <c r="AA499" s="56"/>
      <c r="AB499" s="50">
        <f>(B499*194.205+C499*267.466+D499*133.845+E499*53.484+F499*40+G499*185+H499*0+I499*100+J499*300)/(194.205+267.466+133.845+53.484+0+40+185+100+300)</f>
        <v>26.66237673500785</v>
      </c>
      <c r="AC499" s="45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26.16278201438849</v>
      </c>
    </row>
    <row r="500" spans="1:29" ht="15.75" x14ac:dyDescent="0.25">
      <c r="A500" s="33">
        <v>56127</v>
      </c>
      <c r="B500" s="14">
        <f>CHOOSE(CONTROL!$C$42, 25.3021, 25.3021) * CHOOSE(CONTROL!$C$21, $C$9, 100%, $E$9)</f>
        <v>25.302099999999999</v>
      </c>
      <c r="C500" s="14">
        <f>CHOOSE(CONTROL!$C$42, 25.3101, 25.3101) * CHOOSE(CONTROL!$C$21, $C$9, 100%, $E$9)</f>
        <v>25.310099999999998</v>
      </c>
      <c r="D500" s="14">
        <f>CHOOSE(CONTROL!$C$42, 25.5437, 25.5437) * CHOOSE(CONTROL!$C$21, $C$9, 100%, $E$9)</f>
        <v>25.543700000000001</v>
      </c>
      <c r="E500" s="14">
        <f>CHOOSE(CONTROL!$C$42, 25.5752, 25.5752) * CHOOSE(CONTROL!$C$21, $C$9, 100%, $E$9)</f>
        <v>25.575199999999999</v>
      </c>
      <c r="F500" s="14">
        <f>CHOOSE(CONTROL!$C$42, 25.3001, 25.3001)*CHOOSE(CONTROL!$C$21, $C$9, 100%, $E$9)</f>
        <v>25.3001</v>
      </c>
      <c r="G500" s="14">
        <f>CHOOSE(CONTROL!$C$42, 25.3168, 25.3168)*CHOOSE(CONTROL!$C$21, $C$9, 100%, $E$9)</f>
        <v>25.316800000000001</v>
      </c>
      <c r="H500" s="14">
        <f>CHOOSE(CONTROL!$C$42, 25.5638, 25.5638) * CHOOSE(CONTROL!$C$21, $C$9, 100%, $E$9)</f>
        <v>25.563800000000001</v>
      </c>
      <c r="I500" s="14">
        <f>CHOOSE(CONTROL!$C$42, 25.3972, 25.3972)* CHOOSE(CONTROL!$C$21, $C$9, 100%, $E$9)</f>
        <v>25.397200000000002</v>
      </c>
      <c r="J500" s="14">
        <f>CHOOSE(CONTROL!$C$42, 25.2931, 25.2931)* CHOOSE(CONTROL!$C$21, $C$9, 100%, $E$9)</f>
        <v>25.293099999999999</v>
      </c>
      <c r="K500" s="53">
        <f>CHOOSE(CONTROL!$C$42, 25.3933, 25.3933) * CHOOSE(CONTROL!$C$21, $C$9, 100%, $E$9)</f>
        <v>25.3933</v>
      </c>
      <c r="L500" s="14">
        <f>CHOOSE(CONTROL!$C$42, 26.1508, 26.1508) * CHOOSE(CONTROL!$C$21, $C$9, 100%, $E$9)</f>
        <v>26.1508</v>
      </c>
      <c r="M500" s="14">
        <f>CHOOSE(CONTROL!$C$42, 24.7826, 24.7826) * CHOOSE(CONTROL!$C$21, $C$9, 100%, $E$9)</f>
        <v>24.782599999999999</v>
      </c>
      <c r="N500" s="14">
        <f>CHOOSE(CONTROL!$C$42, 24.7989, 24.7989) * CHOOSE(CONTROL!$C$21, $C$9, 100%, $E$9)</f>
        <v>24.7989</v>
      </c>
      <c r="O500" s="14">
        <f>CHOOSE(CONTROL!$C$42, 25.0477, 25.0477) * CHOOSE(CONTROL!$C$21, $C$9, 100%, $E$9)</f>
        <v>25.047699999999999</v>
      </c>
      <c r="P500" s="14">
        <f>CHOOSE(CONTROL!$C$42, 24.883, 24.883) * CHOOSE(CONTROL!$C$21, $C$9, 100%, $E$9)</f>
        <v>24.882999999999999</v>
      </c>
      <c r="Q500" s="14">
        <f>CHOOSE(CONTROL!$C$42, 25.6424, 25.6424) * CHOOSE(CONTROL!$C$21, $C$9, 100%, $E$9)</f>
        <v>25.642399999999999</v>
      </c>
      <c r="R500" s="14">
        <f>CHOOSE(CONTROL!$C$42, 26.2935, 26.2935) * CHOOSE(CONTROL!$C$21, $C$9, 100%, $E$9)</f>
        <v>26.293500000000002</v>
      </c>
      <c r="S500" s="14">
        <f>CHOOSE(CONTROL!$C$42, 24.3022, 24.3022) * CHOOSE(CONTROL!$C$21, $C$9, 100%, $E$9)</f>
        <v>24.302199999999999</v>
      </c>
      <c r="T5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7">
        <f>(1000*CHOOSE(CONTROL!$C$42, 695, 695)*CHOOSE(CONTROL!$C$42, 0.5599, 0.5599)*CHOOSE(CONTROL!$C$42, 31, 31))/1000000</f>
        <v>12.063045499999998</v>
      </c>
      <c r="V500" s="57">
        <f>(1000*CHOOSE(CONTROL!$C$42, 500, 500)*CHOOSE(CONTROL!$C$42, 0.275, 0.275)*CHOOSE(CONTROL!$C$42, 31, 31))/1000000</f>
        <v>4.2625000000000002</v>
      </c>
      <c r="W500" s="57">
        <f>(1000*CHOOSE(CONTROL!$C$42, 0.1146, 0.1146)*CHOOSE(CONTROL!$C$42, 121.5, 121.5)*CHOOSE(CONTROL!$C$42, 31, 31))/1000000</f>
        <v>0.43164089999999994</v>
      </c>
      <c r="X500" s="57">
        <f>(31*0.1790888*245000/1000000)+(31*0.2374*100000/1000000)</f>
        <v>2.0961194359999999</v>
      </c>
      <c r="Y500" s="57"/>
      <c r="Z500" s="14"/>
      <c r="AA500" s="56"/>
      <c r="AB500" s="50">
        <f>(B500*194.205+C500*267.466+D500*133.845+E500*53.484+F500*40+G500*185+H500*0+I500*100+J500*300)/(194.205+267.466+133.845+53.484+0+40+185+100+300)</f>
        <v>25.34804400345369</v>
      </c>
      <c r="AC500" s="45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24.875179136690644</v>
      </c>
    </row>
    <row r="501" spans="1:29" ht="15.75" x14ac:dyDescent="0.25">
      <c r="A501" s="33">
        <v>56157</v>
      </c>
      <c r="B501" s="14">
        <f>CHOOSE(CONTROL!$C$42, 23.6961, 23.6961) * CHOOSE(CONTROL!$C$21, $C$9, 100%, $E$9)</f>
        <v>23.696100000000001</v>
      </c>
      <c r="C501" s="14">
        <f>CHOOSE(CONTROL!$C$42, 23.7041, 23.7041) * CHOOSE(CONTROL!$C$21, $C$9, 100%, $E$9)</f>
        <v>23.7041</v>
      </c>
      <c r="D501" s="14">
        <f>CHOOSE(CONTROL!$C$42, 23.9377, 23.9377) * CHOOSE(CONTROL!$C$21, $C$9, 100%, $E$9)</f>
        <v>23.9377</v>
      </c>
      <c r="E501" s="14">
        <f>CHOOSE(CONTROL!$C$42, 23.9692, 23.9692) * CHOOSE(CONTROL!$C$21, $C$9, 100%, $E$9)</f>
        <v>23.969200000000001</v>
      </c>
      <c r="F501" s="14">
        <f>CHOOSE(CONTROL!$C$42, 23.6941, 23.6941)*CHOOSE(CONTROL!$C$21, $C$9, 100%, $E$9)</f>
        <v>23.694099999999999</v>
      </c>
      <c r="G501" s="14">
        <f>CHOOSE(CONTROL!$C$42, 23.7107, 23.7107)*CHOOSE(CONTROL!$C$21, $C$9, 100%, $E$9)</f>
        <v>23.710699999999999</v>
      </c>
      <c r="H501" s="14">
        <f>CHOOSE(CONTROL!$C$42, 23.9578, 23.9578) * CHOOSE(CONTROL!$C$21, $C$9, 100%, $E$9)</f>
        <v>23.957799999999999</v>
      </c>
      <c r="I501" s="14">
        <f>CHOOSE(CONTROL!$C$42, 23.7862, 23.7862)* CHOOSE(CONTROL!$C$21, $C$9, 100%, $E$9)</f>
        <v>23.786200000000001</v>
      </c>
      <c r="J501" s="14">
        <f>CHOOSE(CONTROL!$C$42, 23.6871, 23.6871)* CHOOSE(CONTROL!$C$21, $C$9, 100%, $E$9)</f>
        <v>23.687100000000001</v>
      </c>
      <c r="K501" s="53">
        <f>CHOOSE(CONTROL!$C$42, 23.7823, 23.7823) * CHOOSE(CONTROL!$C$21, $C$9, 100%, $E$9)</f>
        <v>23.782299999999999</v>
      </c>
      <c r="L501" s="14">
        <f>CHOOSE(CONTROL!$C$42, 24.5448, 24.5448) * CHOOSE(CONTROL!$C$21, $C$9, 100%, $E$9)</f>
        <v>24.544799999999999</v>
      </c>
      <c r="M501" s="14">
        <f>CHOOSE(CONTROL!$C$42, 23.2094, 23.2094) * CHOOSE(CONTROL!$C$21, $C$9, 100%, $E$9)</f>
        <v>23.209399999999999</v>
      </c>
      <c r="N501" s="14">
        <f>CHOOSE(CONTROL!$C$42, 23.2258, 23.2258) * CHOOSE(CONTROL!$C$21, $C$9, 100%, $E$9)</f>
        <v>23.2258</v>
      </c>
      <c r="O501" s="14">
        <f>CHOOSE(CONTROL!$C$42, 23.4746, 23.4746) * CHOOSE(CONTROL!$C$21, $C$9, 100%, $E$9)</f>
        <v>23.474599999999999</v>
      </c>
      <c r="P501" s="14">
        <f>CHOOSE(CONTROL!$C$42, 23.3051, 23.3051) * CHOOSE(CONTROL!$C$21, $C$9, 100%, $E$9)</f>
        <v>23.305099999999999</v>
      </c>
      <c r="Q501" s="14">
        <f>CHOOSE(CONTROL!$C$42, 24.0693, 24.0693) * CHOOSE(CONTROL!$C$21, $C$9, 100%, $E$9)</f>
        <v>24.069299999999998</v>
      </c>
      <c r="R501" s="14">
        <f>CHOOSE(CONTROL!$C$42, 24.7165, 24.7165) * CHOOSE(CONTROL!$C$21, $C$9, 100%, $E$9)</f>
        <v>24.7165</v>
      </c>
      <c r="S501" s="14">
        <f>CHOOSE(CONTROL!$C$42, 22.7589, 22.7589) * CHOOSE(CONTROL!$C$21, $C$9, 100%, $E$9)</f>
        <v>22.758900000000001</v>
      </c>
      <c r="T5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7">
        <f>(1000*CHOOSE(CONTROL!$C$42, 695, 695)*CHOOSE(CONTROL!$C$42, 0.5599, 0.5599)*CHOOSE(CONTROL!$C$42, 30, 30))/1000000</f>
        <v>11.673914999999997</v>
      </c>
      <c r="V501" s="57">
        <f>(1000*CHOOSE(CONTROL!$C$42, 500, 500)*CHOOSE(CONTROL!$C$42, 0.275, 0.275)*CHOOSE(CONTROL!$C$42, 30, 30))/1000000</f>
        <v>4.125</v>
      </c>
      <c r="W501" s="57">
        <f>(1000*CHOOSE(CONTROL!$C$42, 0.1146, 0.1146)*CHOOSE(CONTROL!$C$42, 121.5, 121.5)*CHOOSE(CONTROL!$C$42, 30, 30))/1000000</f>
        <v>0.417717</v>
      </c>
      <c r="X501" s="57">
        <f>(30*0.1790888*245000/1000000)+(30*0.2374*100000/1000000)</f>
        <v>2.0285026799999999</v>
      </c>
      <c r="Y501" s="57"/>
      <c r="Z501" s="14"/>
      <c r="AA501" s="56"/>
      <c r="AB501" s="50">
        <f>(B501*194.205+C501*267.466+D501*133.845+E501*53.484+F501*40+G501*185+H501*0+I501*100+J501*300)/(194.205+267.466+133.845+53.484+0+40+185+100+300)</f>
        <v>23.741637017582416</v>
      </c>
      <c r="AC501" s="45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23.301353956834529</v>
      </c>
    </row>
    <row r="502" spans="1:29" ht="15.75" x14ac:dyDescent="0.25">
      <c r="A502" s="33">
        <v>56188</v>
      </c>
      <c r="B502" s="14">
        <f>CHOOSE(CONTROL!$C$42, 23.2134, 23.2134) * CHOOSE(CONTROL!$C$21, $C$9, 100%, $E$9)</f>
        <v>23.2134</v>
      </c>
      <c r="C502" s="14">
        <f>CHOOSE(CONTROL!$C$42, 23.2187, 23.2187) * CHOOSE(CONTROL!$C$21, $C$9, 100%, $E$9)</f>
        <v>23.218699999999998</v>
      </c>
      <c r="D502" s="14">
        <f>CHOOSE(CONTROL!$C$42, 23.4573, 23.4573) * CHOOSE(CONTROL!$C$21, $C$9, 100%, $E$9)</f>
        <v>23.4573</v>
      </c>
      <c r="E502" s="14">
        <f>CHOOSE(CONTROL!$C$42, 23.4864, 23.4864) * CHOOSE(CONTROL!$C$21, $C$9, 100%, $E$9)</f>
        <v>23.4864</v>
      </c>
      <c r="F502" s="14">
        <f>CHOOSE(CONTROL!$C$42, 23.2134, 23.2134)*CHOOSE(CONTROL!$C$21, $C$9, 100%, $E$9)</f>
        <v>23.2134</v>
      </c>
      <c r="G502" s="14">
        <f>CHOOSE(CONTROL!$C$42, 23.2297, 23.2297)*CHOOSE(CONTROL!$C$21, $C$9, 100%, $E$9)</f>
        <v>23.229700000000001</v>
      </c>
      <c r="H502" s="14">
        <f>CHOOSE(CONTROL!$C$42, 23.4769, 23.4769) * CHOOSE(CONTROL!$C$21, $C$9, 100%, $E$9)</f>
        <v>23.476900000000001</v>
      </c>
      <c r="I502" s="14">
        <f>CHOOSE(CONTROL!$C$42, 23.3038, 23.3038)* CHOOSE(CONTROL!$C$21, $C$9, 100%, $E$9)</f>
        <v>23.303799999999999</v>
      </c>
      <c r="J502" s="14">
        <f>CHOOSE(CONTROL!$C$42, 23.2064, 23.2064)* CHOOSE(CONTROL!$C$21, $C$9, 100%, $E$9)</f>
        <v>23.206399999999999</v>
      </c>
      <c r="K502" s="53">
        <f>CHOOSE(CONTROL!$C$42, 23.2999, 23.2999) * CHOOSE(CONTROL!$C$21, $C$9, 100%, $E$9)</f>
        <v>23.299900000000001</v>
      </c>
      <c r="L502" s="14">
        <f>CHOOSE(CONTROL!$C$42, 24.0639, 24.0639) * CHOOSE(CONTROL!$C$21, $C$9, 100%, $E$9)</f>
        <v>24.0639</v>
      </c>
      <c r="M502" s="14">
        <f>CHOOSE(CONTROL!$C$42, 22.7387, 22.7387) * CHOOSE(CONTROL!$C$21, $C$9, 100%, $E$9)</f>
        <v>22.738700000000001</v>
      </c>
      <c r="N502" s="14">
        <f>CHOOSE(CONTROL!$C$42, 22.7546, 22.7546) * CHOOSE(CONTROL!$C$21, $C$9, 100%, $E$9)</f>
        <v>22.7546</v>
      </c>
      <c r="O502" s="14">
        <f>CHOOSE(CONTROL!$C$42, 23.0036, 23.0036) * CHOOSE(CONTROL!$C$21, $C$9, 100%, $E$9)</f>
        <v>23.003599999999999</v>
      </c>
      <c r="P502" s="14">
        <f>CHOOSE(CONTROL!$C$42, 22.8326, 22.8326) * CHOOSE(CONTROL!$C$21, $C$9, 100%, $E$9)</f>
        <v>22.832599999999999</v>
      </c>
      <c r="Q502" s="14">
        <f>CHOOSE(CONTROL!$C$42, 23.5983, 23.5983) * CHOOSE(CONTROL!$C$21, $C$9, 100%, $E$9)</f>
        <v>23.598299999999998</v>
      </c>
      <c r="R502" s="14">
        <f>CHOOSE(CONTROL!$C$42, 24.2443, 24.2443) * CHOOSE(CONTROL!$C$21, $C$9, 100%, $E$9)</f>
        <v>24.244299999999999</v>
      </c>
      <c r="S502" s="14">
        <f>CHOOSE(CONTROL!$C$42, 22.2968, 22.2968) * CHOOSE(CONTROL!$C$21, $C$9, 100%, $E$9)</f>
        <v>22.296800000000001</v>
      </c>
      <c r="T5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7">
        <f>(1000*CHOOSE(CONTROL!$C$42, 695, 695)*CHOOSE(CONTROL!$C$42, 0.5599, 0.5599)*CHOOSE(CONTROL!$C$42, 31, 31))/1000000</f>
        <v>12.063045499999998</v>
      </c>
      <c r="V502" s="57">
        <f>(1000*CHOOSE(CONTROL!$C$42, 500, 500)*CHOOSE(CONTROL!$C$42, 0.275, 0.275)*CHOOSE(CONTROL!$C$42, 31, 31))/1000000</f>
        <v>4.2625000000000002</v>
      </c>
      <c r="W502" s="57">
        <f>(1000*CHOOSE(CONTROL!$C$42, 0.1146, 0.1146)*CHOOSE(CONTROL!$C$42, 121.5, 121.5)*CHOOSE(CONTROL!$C$42, 31, 31))/1000000</f>
        <v>0.43164089999999994</v>
      </c>
      <c r="X502" s="57">
        <f>(31*0.1790888*245000/1000000)+(31*0.2374*100000/1000000)</f>
        <v>2.0961194359999999</v>
      </c>
      <c r="Y502" s="57"/>
      <c r="Z502" s="14"/>
      <c r="AA502" s="56"/>
      <c r="AB502" s="50">
        <f>(B502*131.881+C502*277.167+D502*79.08+E502*125.872+F502*40+G502*185+H502*0+I502*100+J502*300)/(131.881+277.167+79.08+125.872+0+40+185+100+300)</f>
        <v>23.265922318886197</v>
      </c>
      <c r="AC502" s="45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22.830195683453237</v>
      </c>
    </row>
    <row r="503" spans="1:29" ht="15.75" x14ac:dyDescent="0.25">
      <c r="A503" s="33">
        <v>56218</v>
      </c>
      <c r="B503" s="14">
        <f>CHOOSE(CONTROL!$C$42, 23.8243, 23.8243) * CHOOSE(CONTROL!$C$21, $C$9, 100%, $E$9)</f>
        <v>23.824300000000001</v>
      </c>
      <c r="C503" s="14">
        <f>CHOOSE(CONTROL!$C$42, 23.8294, 23.8294) * CHOOSE(CONTROL!$C$21, $C$9, 100%, $E$9)</f>
        <v>23.8294</v>
      </c>
      <c r="D503" s="14">
        <f>CHOOSE(CONTROL!$C$42, 23.9036, 23.9036) * CHOOSE(CONTROL!$C$21, $C$9, 100%, $E$9)</f>
        <v>23.903600000000001</v>
      </c>
      <c r="E503" s="14">
        <f>CHOOSE(CONTROL!$C$42, 23.9377, 23.9377) * CHOOSE(CONTROL!$C$21, $C$9, 100%, $E$9)</f>
        <v>23.9377</v>
      </c>
      <c r="F503" s="14">
        <f>CHOOSE(CONTROL!$C$42, 23.8363, 23.8363)*CHOOSE(CONTROL!$C$21, $C$9, 100%, $E$9)</f>
        <v>23.836300000000001</v>
      </c>
      <c r="G503" s="14">
        <f>CHOOSE(CONTROL!$C$42, 23.8529, 23.8529)*CHOOSE(CONTROL!$C$21, $C$9, 100%, $E$9)</f>
        <v>23.852900000000002</v>
      </c>
      <c r="H503" s="14">
        <f>CHOOSE(CONTROL!$C$42, 23.9269, 23.9269) * CHOOSE(CONTROL!$C$21, $C$9, 100%, $E$9)</f>
        <v>23.9269</v>
      </c>
      <c r="I503" s="14">
        <f>CHOOSE(CONTROL!$C$42, 23.9232, 23.9232)* CHOOSE(CONTROL!$C$21, $C$9, 100%, $E$9)</f>
        <v>23.923200000000001</v>
      </c>
      <c r="J503" s="14">
        <f>CHOOSE(CONTROL!$C$42, 23.8293, 23.8293)* CHOOSE(CONTROL!$C$21, $C$9, 100%, $E$9)</f>
        <v>23.8293</v>
      </c>
      <c r="K503" s="53">
        <f>CHOOSE(CONTROL!$C$42, 23.9193, 23.9193) * CHOOSE(CONTROL!$C$21, $C$9, 100%, $E$9)</f>
        <v>23.9193</v>
      </c>
      <c r="L503" s="14">
        <f>CHOOSE(CONTROL!$C$42, 24.5139, 24.5139) * CHOOSE(CONTROL!$C$21, $C$9, 100%, $E$9)</f>
        <v>24.5139</v>
      </c>
      <c r="M503" s="14">
        <f>CHOOSE(CONTROL!$C$42, 23.3488, 23.3488) * CHOOSE(CONTROL!$C$21, $C$9, 100%, $E$9)</f>
        <v>23.348800000000001</v>
      </c>
      <c r="N503" s="14">
        <f>CHOOSE(CONTROL!$C$42, 23.365, 23.365) * CHOOSE(CONTROL!$C$21, $C$9, 100%, $E$9)</f>
        <v>23.364999999999998</v>
      </c>
      <c r="O503" s="14">
        <f>CHOOSE(CONTROL!$C$42, 23.4443, 23.4443) * CHOOSE(CONTROL!$C$21, $C$9, 100%, $E$9)</f>
        <v>23.444299999999998</v>
      </c>
      <c r="P503" s="14">
        <f>CHOOSE(CONTROL!$C$42, 23.4393, 23.4393) * CHOOSE(CONTROL!$C$21, $C$9, 100%, $E$9)</f>
        <v>23.439299999999999</v>
      </c>
      <c r="Q503" s="14">
        <f>CHOOSE(CONTROL!$C$42, 24.039, 24.039) * CHOOSE(CONTROL!$C$21, $C$9, 100%, $E$9)</f>
        <v>24.039000000000001</v>
      </c>
      <c r="R503" s="14">
        <f>CHOOSE(CONTROL!$C$42, 24.6861, 24.6861) * CHOOSE(CONTROL!$C$21, $C$9, 100%, $E$9)</f>
        <v>24.6861</v>
      </c>
      <c r="S503" s="14">
        <f>CHOOSE(CONTROL!$C$42, 22.8842, 22.8842) * CHOOSE(CONTROL!$C$21, $C$9, 100%, $E$9)</f>
        <v>22.8842</v>
      </c>
      <c r="T5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7">
        <f>(1000*CHOOSE(CONTROL!$C$42, 695, 695)*CHOOSE(CONTROL!$C$42, 0.5599, 0.5599)*CHOOSE(CONTROL!$C$42, 30, 30))/1000000</f>
        <v>11.673914999999997</v>
      </c>
      <c r="V503" s="57">
        <f>(1000*CHOOSE(CONTROL!$C$42, 500, 500)*CHOOSE(CONTROL!$C$42, 0.275, 0.275)*CHOOSE(CONTROL!$C$42, 30, 30))/1000000</f>
        <v>4.125</v>
      </c>
      <c r="W503" s="57">
        <f>(1000*CHOOSE(CONTROL!$C$42, 0.1146, 0.1146)*CHOOSE(CONTROL!$C$42, 121.5, 121.5)*CHOOSE(CONTROL!$C$42, 30, 30))/1000000</f>
        <v>0.417717</v>
      </c>
      <c r="X503" s="57">
        <f>(30*0.1790888*100000/1000000)+(30*0.2374*100000/1000000)</f>
        <v>1.2494664</v>
      </c>
      <c r="Y503" s="57"/>
      <c r="Z503" s="14"/>
      <c r="AA503" s="56"/>
      <c r="AB503" s="50">
        <f>(B503*122.58+C503*297.941+D503*89.177+E503*40.302+F503*40+G503*160+H503*0+I503*100+J503*300)/(122.58+297.941+89.177+40.302+0+40+160+100+300)</f>
        <v>23.850045636521738</v>
      </c>
      <c r="AC503" s="45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23.406038129496402</v>
      </c>
    </row>
    <row r="504" spans="1:29" ht="15.75" x14ac:dyDescent="0.25">
      <c r="A504" s="33">
        <v>56249</v>
      </c>
      <c r="B504" s="14">
        <f>CHOOSE(CONTROL!$C$42, 25.448, 25.448) * CHOOSE(CONTROL!$C$21, $C$9, 100%, $E$9)</f>
        <v>25.448</v>
      </c>
      <c r="C504" s="14">
        <f>CHOOSE(CONTROL!$C$42, 25.453, 25.453) * CHOOSE(CONTROL!$C$21, $C$9, 100%, $E$9)</f>
        <v>25.452999999999999</v>
      </c>
      <c r="D504" s="14">
        <f>CHOOSE(CONTROL!$C$42, 25.5272, 25.5272) * CHOOSE(CONTROL!$C$21, $C$9, 100%, $E$9)</f>
        <v>25.527200000000001</v>
      </c>
      <c r="E504" s="14">
        <f>CHOOSE(CONTROL!$C$42, 25.5613, 25.5613) * CHOOSE(CONTROL!$C$21, $C$9, 100%, $E$9)</f>
        <v>25.561299999999999</v>
      </c>
      <c r="F504" s="14">
        <f>CHOOSE(CONTROL!$C$42, 25.4622, 25.4622)*CHOOSE(CONTROL!$C$21, $C$9, 100%, $E$9)</f>
        <v>25.462199999999999</v>
      </c>
      <c r="G504" s="14">
        <f>CHOOSE(CONTROL!$C$42, 25.4794, 25.4794)*CHOOSE(CONTROL!$C$21, $C$9, 100%, $E$9)</f>
        <v>25.479399999999998</v>
      </c>
      <c r="H504" s="14">
        <f>CHOOSE(CONTROL!$C$42, 25.5505, 25.5505) * CHOOSE(CONTROL!$C$21, $C$9, 100%, $E$9)</f>
        <v>25.5505</v>
      </c>
      <c r="I504" s="14">
        <f>CHOOSE(CONTROL!$C$42, 25.552, 25.552)* CHOOSE(CONTROL!$C$21, $C$9, 100%, $E$9)</f>
        <v>25.552</v>
      </c>
      <c r="J504" s="14">
        <f>CHOOSE(CONTROL!$C$42, 25.4552, 25.4552)* CHOOSE(CONTROL!$C$21, $C$9, 100%, $E$9)</f>
        <v>25.455200000000001</v>
      </c>
      <c r="K504" s="53">
        <f>CHOOSE(CONTROL!$C$42, 25.5481, 25.5481) * CHOOSE(CONTROL!$C$21, $C$9, 100%, $E$9)</f>
        <v>25.548100000000002</v>
      </c>
      <c r="L504" s="14">
        <f>CHOOSE(CONTROL!$C$42, 26.1375, 26.1375) * CHOOSE(CONTROL!$C$21, $C$9, 100%, $E$9)</f>
        <v>26.137499999999999</v>
      </c>
      <c r="M504" s="14">
        <f>CHOOSE(CONTROL!$C$42, 24.9413, 24.9413) * CHOOSE(CONTROL!$C$21, $C$9, 100%, $E$9)</f>
        <v>24.941299999999998</v>
      </c>
      <c r="N504" s="14">
        <f>CHOOSE(CONTROL!$C$42, 24.9581, 24.9581) * CHOOSE(CONTROL!$C$21, $C$9, 100%, $E$9)</f>
        <v>24.958100000000002</v>
      </c>
      <c r="O504" s="14">
        <f>CHOOSE(CONTROL!$C$42, 25.0347, 25.0347) * CHOOSE(CONTROL!$C$21, $C$9, 100%, $E$9)</f>
        <v>25.034700000000001</v>
      </c>
      <c r="P504" s="14">
        <f>CHOOSE(CONTROL!$C$42, 25.0346, 25.0346) * CHOOSE(CONTROL!$C$21, $C$9, 100%, $E$9)</f>
        <v>25.034600000000001</v>
      </c>
      <c r="Q504" s="14">
        <f>CHOOSE(CONTROL!$C$42, 25.6294, 25.6294) * CHOOSE(CONTROL!$C$21, $C$9, 100%, $E$9)</f>
        <v>25.6294</v>
      </c>
      <c r="R504" s="14">
        <f>CHOOSE(CONTROL!$C$42, 26.2805, 26.2805) * CHOOSE(CONTROL!$C$21, $C$9, 100%, $E$9)</f>
        <v>26.2805</v>
      </c>
      <c r="S504" s="14">
        <f>CHOOSE(CONTROL!$C$42, 24.4444, 24.4444) * CHOOSE(CONTROL!$C$21, $C$9, 100%, $E$9)</f>
        <v>24.444400000000002</v>
      </c>
      <c r="T5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7">
        <f>(1000*CHOOSE(CONTROL!$C$42, 695, 695)*CHOOSE(CONTROL!$C$42, 0.5599, 0.5599)*CHOOSE(CONTROL!$C$42, 31, 31))/1000000</f>
        <v>12.063045499999998</v>
      </c>
      <c r="V504" s="57">
        <f>(1000*CHOOSE(CONTROL!$C$42, 500, 500)*CHOOSE(CONTROL!$C$42, 0.275, 0.275)*CHOOSE(CONTROL!$C$42, 31, 31))/1000000</f>
        <v>4.2625000000000002</v>
      </c>
      <c r="W504" s="57">
        <f>(1000*CHOOSE(CONTROL!$C$42, 0.1146, 0.1146)*CHOOSE(CONTROL!$C$42, 121.5, 121.5)*CHOOSE(CONTROL!$C$42, 31, 31))/1000000</f>
        <v>0.43164089999999994</v>
      </c>
      <c r="X504" s="57">
        <f>(31*0.1790888*100000/1000000)+(31*0.2374*100000/1000000)</f>
        <v>1.2911152800000001</v>
      </c>
      <c r="Y504" s="57"/>
      <c r="Z504" s="14"/>
      <c r="AA504" s="56"/>
      <c r="AB504" s="50">
        <f>(B504*122.58+C504*297.941+D504*89.177+E504*40.302+F504*40+G504*160+H504*0+I504*100+J504*300)/(122.58+297.941+89.177+40.302+0+40+160+100+300)</f>
        <v>25.475191947826087</v>
      </c>
      <c r="AC504" s="45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24.998023741007191</v>
      </c>
    </row>
    <row r="505" spans="1:29" ht="15.75" x14ac:dyDescent="0.25">
      <c r="A505" s="33">
        <v>56280</v>
      </c>
      <c r="B505" s="14">
        <f>CHOOSE(CONTROL!$C$42, 27.5568, 27.5568) * CHOOSE(CONTROL!$C$21, $C$9, 100%, $E$9)</f>
        <v>27.556799999999999</v>
      </c>
      <c r="C505" s="14">
        <f>CHOOSE(CONTROL!$C$42, 27.5619, 27.5619) * CHOOSE(CONTROL!$C$21, $C$9, 100%, $E$9)</f>
        <v>27.561900000000001</v>
      </c>
      <c r="D505" s="14">
        <f>CHOOSE(CONTROL!$C$42, 27.6387, 27.6387) * CHOOSE(CONTROL!$C$21, $C$9, 100%, $E$9)</f>
        <v>27.6387</v>
      </c>
      <c r="E505" s="14">
        <f>CHOOSE(CONTROL!$C$42, 27.6728, 27.6728) * CHOOSE(CONTROL!$C$21, $C$9, 100%, $E$9)</f>
        <v>27.672799999999999</v>
      </c>
      <c r="F505" s="14">
        <f>CHOOSE(CONTROL!$C$42, 27.557, 27.557)*CHOOSE(CONTROL!$C$21, $C$9, 100%, $E$9)</f>
        <v>27.556999999999999</v>
      </c>
      <c r="G505" s="14">
        <f>CHOOSE(CONTROL!$C$42, 27.5732, 27.5732)*CHOOSE(CONTROL!$C$21, $C$9, 100%, $E$9)</f>
        <v>27.5732</v>
      </c>
      <c r="H505" s="14">
        <f>CHOOSE(CONTROL!$C$42, 27.662, 27.662) * CHOOSE(CONTROL!$C$21, $C$9, 100%, $E$9)</f>
        <v>27.661999999999999</v>
      </c>
      <c r="I505" s="14">
        <f>CHOOSE(CONTROL!$C$42, 27.6612, 27.6612)* CHOOSE(CONTROL!$C$21, $C$9, 100%, $E$9)</f>
        <v>27.661200000000001</v>
      </c>
      <c r="J505" s="14">
        <f>CHOOSE(CONTROL!$C$42, 27.55, 27.55)* CHOOSE(CONTROL!$C$21, $C$9, 100%, $E$9)</f>
        <v>27.55</v>
      </c>
      <c r="K505" s="53">
        <f>CHOOSE(CONTROL!$C$42, 27.6573, 27.6573) * CHOOSE(CONTROL!$C$21, $C$9, 100%, $E$9)</f>
        <v>27.657299999999999</v>
      </c>
      <c r="L505" s="14">
        <f>CHOOSE(CONTROL!$C$42, 28.249, 28.249) * CHOOSE(CONTROL!$C$21, $C$9, 100%, $E$9)</f>
        <v>28.248999999999999</v>
      </c>
      <c r="M505" s="14">
        <f>CHOOSE(CONTROL!$C$42, 26.9932, 26.9932) * CHOOSE(CONTROL!$C$21, $C$9, 100%, $E$9)</f>
        <v>26.993200000000002</v>
      </c>
      <c r="N505" s="14">
        <f>CHOOSE(CONTROL!$C$42, 27.0091, 27.0091) * CHOOSE(CONTROL!$C$21, $C$9, 100%, $E$9)</f>
        <v>27.0091</v>
      </c>
      <c r="O505" s="14">
        <f>CHOOSE(CONTROL!$C$42, 27.1029, 27.1029) * CHOOSE(CONTROL!$C$21, $C$9, 100%, $E$9)</f>
        <v>27.102900000000002</v>
      </c>
      <c r="P505" s="14">
        <f>CHOOSE(CONTROL!$C$42, 27.1004, 27.1004) * CHOOSE(CONTROL!$C$21, $C$9, 100%, $E$9)</f>
        <v>27.1004</v>
      </c>
      <c r="Q505" s="14">
        <f>CHOOSE(CONTROL!$C$42, 27.6976, 27.6976) * CHOOSE(CONTROL!$C$21, $C$9, 100%, $E$9)</f>
        <v>27.697600000000001</v>
      </c>
      <c r="R505" s="14">
        <f>CHOOSE(CONTROL!$C$42, 28.3538, 28.3538) * CHOOSE(CONTROL!$C$21, $C$9, 100%, $E$9)</f>
        <v>28.3538</v>
      </c>
      <c r="S505" s="14">
        <f>CHOOSE(CONTROL!$C$42, 26.4708, 26.4708) * CHOOSE(CONTROL!$C$21, $C$9, 100%, $E$9)</f>
        <v>26.470800000000001</v>
      </c>
      <c r="T5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7">
        <f>(1000*CHOOSE(CONTROL!$C$42, 695, 695)*CHOOSE(CONTROL!$C$42, 0.5599, 0.5599)*CHOOSE(CONTROL!$C$42, 31, 31))/1000000</f>
        <v>12.063045499999998</v>
      </c>
      <c r="V505" s="57">
        <f>(1000*CHOOSE(CONTROL!$C$42, 500, 500)*CHOOSE(CONTROL!$C$42, 0.275, 0.275)*CHOOSE(CONTROL!$C$42, 31, 31))/1000000</f>
        <v>4.2625000000000002</v>
      </c>
      <c r="W505" s="57">
        <f>(1000*CHOOSE(CONTROL!$C$42, 0.1146, 0.1146)*CHOOSE(CONTROL!$C$42, 121.5, 121.5)*CHOOSE(CONTROL!$C$42, 31, 31))/1000000</f>
        <v>0.43164089999999994</v>
      </c>
      <c r="X505" s="57">
        <f>(31*0.1790888*100000/1000000)+(31*0.2374*100000/1000000)</f>
        <v>1.2911152800000001</v>
      </c>
      <c r="Y505" s="57"/>
      <c r="Z505" s="14"/>
      <c r="AA505" s="56"/>
      <c r="AB505" s="50">
        <f>(B505*122.58+C505*297.941+D505*89.177+E505*40.302+F505*40+G505*160+H505*0+I505*100+J505*300)/(122.58+297.941+89.177+40.302+0+40+160+100+300)</f>
        <v>27.578130545565216</v>
      </c>
      <c r="AC505" s="45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27.059259712230215</v>
      </c>
    </row>
    <row r="506" spans="1:29" ht="15.75" x14ac:dyDescent="0.25">
      <c r="A506" s="33">
        <v>56308</v>
      </c>
      <c r="B506" s="14">
        <f>CHOOSE(CONTROL!$C$42, 28.0472, 28.0472) * CHOOSE(CONTROL!$C$21, $C$9, 100%, $E$9)</f>
        <v>28.0472</v>
      </c>
      <c r="C506" s="14">
        <f>CHOOSE(CONTROL!$C$42, 28.0522, 28.0522) * CHOOSE(CONTROL!$C$21, $C$9, 100%, $E$9)</f>
        <v>28.052199999999999</v>
      </c>
      <c r="D506" s="14">
        <f>CHOOSE(CONTROL!$C$42, 28.1291, 28.1291) * CHOOSE(CONTROL!$C$21, $C$9, 100%, $E$9)</f>
        <v>28.129100000000001</v>
      </c>
      <c r="E506" s="14">
        <f>CHOOSE(CONTROL!$C$42, 28.1632, 28.1632) * CHOOSE(CONTROL!$C$21, $C$9, 100%, $E$9)</f>
        <v>28.1632</v>
      </c>
      <c r="F506" s="14">
        <f>CHOOSE(CONTROL!$C$42, 28.0474, 28.0474)*CHOOSE(CONTROL!$C$21, $C$9, 100%, $E$9)</f>
        <v>28.0474</v>
      </c>
      <c r="G506" s="14">
        <f>CHOOSE(CONTROL!$C$42, 28.0637, 28.0637)*CHOOSE(CONTROL!$C$21, $C$9, 100%, $E$9)</f>
        <v>28.063700000000001</v>
      </c>
      <c r="H506" s="14">
        <f>CHOOSE(CONTROL!$C$42, 28.1524, 28.1524) * CHOOSE(CONTROL!$C$21, $C$9, 100%, $E$9)</f>
        <v>28.1524</v>
      </c>
      <c r="I506" s="14">
        <f>CHOOSE(CONTROL!$C$42, 28.1531, 28.1531)* CHOOSE(CONTROL!$C$21, $C$9, 100%, $E$9)</f>
        <v>28.153099999999998</v>
      </c>
      <c r="J506" s="14">
        <f>CHOOSE(CONTROL!$C$42, 28.0404, 28.0404)* CHOOSE(CONTROL!$C$21, $C$9, 100%, $E$9)</f>
        <v>28.040400000000002</v>
      </c>
      <c r="K506" s="53">
        <f>CHOOSE(CONTROL!$C$42, 28.1492, 28.1492) * CHOOSE(CONTROL!$C$21, $C$9, 100%, $E$9)</f>
        <v>28.1492</v>
      </c>
      <c r="L506" s="14">
        <f>CHOOSE(CONTROL!$C$42, 28.7394, 28.7394) * CHOOSE(CONTROL!$C$21, $C$9, 100%, $E$9)</f>
        <v>28.7394</v>
      </c>
      <c r="M506" s="14">
        <f>CHOOSE(CONTROL!$C$42, 27.4736, 27.4736) * CHOOSE(CONTROL!$C$21, $C$9, 100%, $E$9)</f>
        <v>27.473600000000001</v>
      </c>
      <c r="N506" s="14">
        <f>CHOOSE(CONTROL!$C$42, 27.4895, 27.4895) * CHOOSE(CONTROL!$C$21, $C$9, 100%, $E$9)</f>
        <v>27.4895</v>
      </c>
      <c r="O506" s="14">
        <f>CHOOSE(CONTROL!$C$42, 27.5832, 27.5832) * CHOOSE(CONTROL!$C$21, $C$9, 100%, $E$9)</f>
        <v>27.583200000000001</v>
      </c>
      <c r="P506" s="14">
        <f>CHOOSE(CONTROL!$C$42, 27.5822, 27.5822) * CHOOSE(CONTROL!$C$21, $C$9, 100%, $E$9)</f>
        <v>27.5822</v>
      </c>
      <c r="Q506" s="14">
        <f>CHOOSE(CONTROL!$C$42, 28.1779, 28.1779) * CHOOSE(CONTROL!$C$21, $C$9, 100%, $E$9)</f>
        <v>28.177900000000001</v>
      </c>
      <c r="R506" s="14">
        <f>CHOOSE(CONTROL!$C$42, 28.8354, 28.8354) * CHOOSE(CONTROL!$C$21, $C$9, 100%, $E$9)</f>
        <v>28.8354</v>
      </c>
      <c r="S506" s="14">
        <f>CHOOSE(CONTROL!$C$42, 26.942, 26.942) * CHOOSE(CONTROL!$C$21, $C$9, 100%, $E$9)</f>
        <v>26.942</v>
      </c>
      <c r="T5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7">
        <f>(1000*CHOOSE(CONTROL!$C$42, 695, 695)*CHOOSE(CONTROL!$C$42, 0.5599, 0.5599)*CHOOSE(CONTROL!$C$42, 28, 28))/1000000</f>
        <v>10.895653999999999</v>
      </c>
      <c r="V506" s="57">
        <f>(1000*CHOOSE(CONTROL!$C$42, 500, 500)*CHOOSE(CONTROL!$C$42, 0.275, 0.275)*CHOOSE(CONTROL!$C$42, 28, 28))/1000000</f>
        <v>3.85</v>
      </c>
      <c r="W506" s="57">
        <f>(1000*CHOOSE(CONTROL!$C$42, 0.1146, 0.1146)*CHOOSE(CONTROL!$C$42, 121.5, 121.5)*CHOOSE(CONTROL!$C$42, 28, 28))/1000000</f>
        <v>0.38986920000000003</v>
      </c>
      <c r="X506" s="57">
        <f>(28*0.1790888*100000/1000000)+(28*0.2374*100000/1000000)</f>
        <v>1.16616864</v>
      </c>
      <c r="Y506" s="57"/>
      <c r="Z506" s="14"/>
      <c r="AA506" s="56"/>
      <c r="AB506" s="50">
        <f>(B506*122.58+C506*297.941+D506*89.177+E506*40.302+F506*40+G506*160+H506*0+I506*100+J506*300)/(122.58+297.941+89.177+40.302+0+40+160+100+300)</f>
        <v>28.068648985478262</v>
      </c>
      <c r="AC506" s="45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27.539815827338131</v>
      </c>
    </row>
    <row r="507" spans="1:29" ht="15.75" x14ac:dyDescent="0.25">
      <c r="A507" s="33">
        <v>56339</v>
      </c>
      <c r="B507" s="14">
        <f>CHOOSE(CONTROL!$C$42, 27.2512, 27.2512) * CHOOSE(CONTROL!$C$21, $C$9, 100%, $E$9)</f>
        <v>27.251200000000001</v>
      </c>
      <c r="C507" s="14">
        <f>CHOOSE(CONTROL!$C$42, 27.2562, 27.2562) * CHOOSE(CONTROL!$C$21, $C$9, 100%, $E$9)</f>
        <v>27.2562</v>
      </c>
      <c r="D507" s="14">
        <f>CHOOSE(CONTROL!$C$42, 27.3331, 27.3331) * CHOOSE(CONTROL!$C$21, $C$9, 100%, $E$9)</f>
        <v>27.333100000000002</v>
      </c>
      <c r="E507" s="14">
        <f>CHOOSE(CONTROL!$C$42, 27.3672, 27.3672) * CHOOSE(CONTROL!$C$21, $C$9, 100%, $E$9)</f>
        <v>27.3672</v>
      </c>
      <c r="F507" s="14">
        <f>CHOOSE(CONTROL!$C$42, 27.251, 27.251)*CHOOSE(CONTROL!$C$21, $C$9, 100%, $E$9)</f>
        <v>27.251000000000001</v>
      </c>
      <c r="G507" s="14">
        <f>CHOOSE(CONTROL!$C$42, 27.2671, 27.2671)*CHOOSE(CONTROL!$C$21, $C$9, 100%, $E$9)</f>
        <v>27.267099999999999</v>
      </c>
      <c r="H507" s="14">
        <f>CHOOSE(CONTROL!$C$42, 27.3564, 27.3564) * CHOOSE(CONTROL!$C$21, $C$9, 100%, $E$9)</f>
        <v>27.356400000000001</v>
      </c>
      <c r="I507" s="14">
        <f>CHOOSE(CONTROL!$C$42, 27.3546, 27.3546)* CHOOSE(CONTROL!$C$21, $C$9, 100%, $E$9)</f>
        <v>27.354600000000001</v>
      </c>
      <c r="J507" s="14">
        <f>CHOOSE(CONTROL!$C$42, 27.244, 27.244)* CHOOSE(CONTROL!$C$21, $C$9, 100%, $E$9)</f>
        <v>27.244</v>
      </c>
      <c r="K507" s="53">
        <f>CHOOSE(CONTROL!$C$42, 27.3507, 27.3507) * CHOOSE(CONTROL!$C$21, $C$9, 100%, $E$9)</f>
        <v>27.3507</v>
      </c>
      <c r="L507" s="14">
        <f>CHOOSE(CONTROL!$C$42, 27.9434, 27.9434) * CHOOSE(CONTROL!$C$21, $C$9, 100%, $E$9)</f>
        <v>27.9434</v>
      </c>
      <c r="M507" s="14">
        <f>CHOOSE(CONTROL!$C$42, 26.6935, 26.6935) * CHOOSE(CONTROL!$C$21, $C$9, 100%, $E$9)</f>
        <v>26.6935</v>
      </c>
      <c r="N507" s="14">
        <f>CHOOSE(CONTROL!$C$42, 26.7092, 26.7092) * CHOOSE(CONTROL!$C$21, $C$9, 100%, $E$9)</f>
        <v>26.709199999999999</v>
      </c>
      <c r="O507" s="14">
        <f>CHOOSE(CONTROL!$C$42, 26.8035, 26.8035) * CHOOSE(CONTROL!$C$21, $C$9, 100%, $E$9)</f>
        <v>26.8035</v>
      </c>
      <c r="P507" s="14">
        <f>CHOOSE(CONTROL!$C$42, 26.8002, 26.8002) * CHOOSE(CONTROL!$C$21, $C$9, 100%, $E$9)</f>
        <v>26.8002</v>
      </c>
      <c r="Q507" s="14">
        <f>CHOOSE(CONTROL!$C$42, 27.3982, 27.3982) * CHOOSE(CONTROL!$C$21, $C$9, 100%, $E$9)</f>
        <v>27.398199999999999</v>
      </c>
      <c r="R507" s="14">
        <f>CHOOSE(CONTROL!$C$42, 28.0537, 28.0537) * CHOOSE(CONTROL!$C$21, $C$9, 100%, $E$9)</f>
        <v>28.053699999999999</v>
      </c>
      <c r="S507" s="14">
        <f>CHOOSE(CONTROL!$C$42, 26.1771, 26.1771) * CHOOSE(CONTROL!$C$21, $C$9, 100%, $E$9)</f>
        <v>26.177099999999999</v>
      </c>
      <c r="T5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7">
        <f>(1000*CHOOSE(CONTROL!$C$42, 695, 695)*CHOOSE(CONTROL!$C$42, 0.5599, 0.5599)*CHOOSE(CONTROL!$C$42, 31, 31))/1000000</f>
        <v>12.063045499999998</v>
      </c>
      <c r="V507" s="57">
        <f>(1000*CHOOSE(CONTROL!$C$42, 500, 500)*CHOOSE(CONTROL!$C$42, 0.275, 0.275)*CHOOSE(CONTROL!$C$42, 31, 31))/1000000</f>
        <v>4.2625000000000002</v>
      </c>
      <c r="W507" s="57">
        <f>(1000*CHOOSE(CONTROL!$C$42, 0.1146, 0.1146)*CHOOSE(CONTROL!$C$42, 121.5, 121.5)*CHOOSE(CONTROL!$C$42, 31, 31))/1000000</f>
        <v>0.43164089999999994</v>
      </c>
      <c r="X507" s="57">
        <f>(31*0.1790888*100000/1000000)+(31*0.2374*100000/1000000)</f>
        <v>1.2911152800000001</v>
      </c>
      <c r="Y507" s="57"/>
      <c r="Z507" s="14"/>
      <c r="AA507" s="56"/>
      <c r="AB507" s="50">
        <f>(B507*122.58+C507*297.941+D507*89.177+E507*40.302+F507*40+G507*160+H507*0+I507*100+J507*300)/(122.58+297.941+89.177+40.302+0+40+160+100+300)</f>
        <v>27.272229855043477</v>
      </c>
      <c r="AC507" s="45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26.759612230215826</v>
      </c>
    </row>
    <row r="508" spans="1:29" ht="15.75" x14ac:dyDescent="0.25">
      <c r="A508" s="33">
        <v>56369</v>
      </c>
      <c r="B508" s="14">
        <f>CHOOSE(CONTROL!$C$42, 27.1708, 27.1708) * CHOOSE(CONTROL!$C$21, $C$9, 100%, $E$9)</f>
        <v>27.1708</v>
      </c>
      <c r="C508" s="14">
        <f>CHOOSE(CONTROL!$C$42, 27.1753, 27.1753) * CHOOSE(CONTROL!$C$21, $C$9, 100%, $E$9)</f>
        <v>27.1753</v>
      </c>
      <c r="D508" s="14">
        <f>CHOOSE(CONTROL!$C$42, 27.4121, 27.4121) * CHOOSE(CONTROL!$C$21, $C$9, 100%, $E$9)</f>
        <v>27.412099999999999</v>
      </c>
      <c r="E508" s="14">
        <f>CHOOSE(CONTROL!$C$42, 27.4442, 27.4442) * CHOOSE(CONTROL!$C$21, $C$9, 100%, $E$9)</f>
        <v>27.444199999999999</v>
      </c>
      <c r="F508" s="14">
        <f>CHOOSE(CONTROL!$C$42, 27.1688, 27.1688)*CHOOSE(CONTROL!$C$21, $C$9, 100%, $E$9)</f>
        <v>27.168800000000001</v>
      </c>
      <c r="G508" s="14">
        <f>CHOOSE(CONTROL!$C$42, 27.1846, 27.1846)*CHOOSE(CONTROL!$C$21, $C$9, 100%, $E$9)</f>
        <v>27.1846</v>
      </c>
      <c r="H508" s="14">
        <f>CHOOSE(CONTROL!$C$42, 27.434, 27.434) * CHOOSE(CONTROL!$C$21, $C$9, 100%, $E$9)</f>
        <v>27.434000000000001</v>
      </c>
      <c r="I508" s="14">
        <f>CHOOSE(CONTROL!$C$42, 27.2732, 27.2732)* CHOOSE(CONTROL!$C$21, $C$9, 100%, $E$9)</f>
        <v>27.273199999999999</v>
      </c>
      <c r="J508" s="14">
        <f>CHOOSE(CONTROL!$C$42, 27.1618, 27.1618)* CHOOSE(CONTROL!$C$21, $C$9, 100%, $E$9)</f>
        <v>27.161799999999999</v>
      </c>
      <c r="K508" s="53">
        <f>CHOOSE(CONTROL!$C$42, 27.2693, 27.2693) * CHOOSE(CONTROL!$C$21, $C$9, 100%, $E$9)</f>
        <v>27.269300000000001</v>
      </c>
      <c r="L508" s="14">
        <f>CHOOSE(CONTROL!$C$42, 28.021, 28.021) * CHOOSE(CONTROL!$C$21, $C$9, 100%, $E$9)</f>
        <v>28.021000000000001</v>
      </c>
      <c r="M508" s="14">
        <f>CHOOSE(CONTROL!$C$42, 26.613, 26.613) * CHOOSE(CONTROL!$C$21, $C$9, 100%, $E$9)</f>
        <v>26.613</v>
      </c>
      <c r="N508" s="14">
        <f>CHOOSE(CONTROL!$C$42, 26.6285, 26.6285) * CHOOSE(CONTROL!$C$21, $C$9, 100%, $E$9)</f>
        <v>26.628499999999999</v>
      </c>
      <c r="O508" s="14">
        <f>CHOOSE(CONTROL!$C$42, 26.8795, 26.8795) * CHOOSE(CONTROL!$C$21, $C$9, 100%, $E$9)</f>
        <v>26.8795</v>
      </c>
      <c r="P508" s="14">
        <f>CHOOSE(CONTROL!$C$42, 26.7205, 26.7205) * CHOOSE(CONTROL!$C$21, $C$9, 100%, $E$9)</f>
        <v>26.720500000000001</v>
      </c>
      <c r="Q508" s="14">
        <f>CHOOSE(CONTROL!$C$42, 27.4742, 27.4742) * CHOOSE(CONTROL!$C$21, $C$9, 100%, $E$9)</f>
        <v>27.4742</v>
      </c>
      <c r="R508" s="14">
        <f>CHOOSE(CONTROL!$C$42, 28.1299, 28.1299) * CHOOSE(CONTROL!$C$21, $C$9, 100%, $E$9)</f>
        <v>28.129899999999999</v>
      </c>
      <c r="S508" s="14">
        <f>CHOOSE(CONTROL!$C$42, 26.0992, 26.0992) * CHOOSE(CONTROL!$C$21, $C$9, 100%, $E$9)</f>
        <v>26.0992</v>
      </c>
      <c r="T5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7">
        <f>(1000*CHOOSE(CONTROL!$C$42, 695, 695)*CHOOSE(CONTROL!$C$42, 0.5599, 0.5599)*CHOOSE(CONTROL!$C$42, 30, 30))/1000000</f>
        <v>11.673914999999997</v>
      </c>
      <c r="V508" s="57">
        <f>(1000*CHOOSE(CONTROL!$C$42, 500, 500)*CHOOSE(CONTROL!$C$42, 0.275, 0.275)*CHOOSE(CONTROL!$C$42, 30, 30))/1000000</f>
        <v>4.125</v>
      </c>
      <c r="W508" s="57">
        <f>(1000*CHOOSE(CONTROL!$C$42, 0.1146, 0.1146)*CHOOSE(CONTROL!$C$42, 121.5, 121.5)*CHOOSE(CONTROL!$C$42, 30, 30))/1000000</f>
        <v>0.417717</v>
      </c>
      <c r="X508" s="57">
        <f>(30*0.1790888*245000/1000000)+(30*0.2374*100000/1000000)</f>
        <v>2.0285026799999999</v>
      </c>
      <c r="Y508" s="57"/>
      <c r="Z508" s="14"/>
      <c r="AA508" s="56"/>
      <c r="AB508" s="50">
        <f>(B508*141.293+C508*267.993+D508*115.016+E508*89.698+F508*40+G508*185+H508*0+I508*100+J508*300)/(141.293+267.993+115.016+89.698+0+40+185+100+300)</f>
        <v>27.222047588781273</v>
      </c>
      <c r="AC508" s="45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26.706809352517983</v>
      </c>
    </row>
    <row r="509" spans="1:29" ht="15.75" x14ac:dyDescent="0.25">
      <c r="A509" s="33">
        <v>56400</v>
      </c>
      <c r="B509" s="14">
        <f>CHOOSE(CONTROL!$C$42, 27.412, 27.412) * CHOOSE(CONTROL!$C$21, $C$9, 100%, $E$9)</f>
        <v>27.411999999999999</v>
      </c>
      <c r="C509" s="14">
        <f>CHOOSE(CONTROL!$C$42, 27.42, 27.42) * CHOOSE(CONTROL!$C$21, $C$9, 100%, $E$9)</f>
        <v>27.42</v>
      </c>
      <c r="D509" s="14">
        <f>CHOOSE(CONTROL!$C$42, 27.6536, 27.6536) * CHOOSE(CONTROL!$C$21, $C$9, 100%, $E$9)</f>
        <v>27.653600000000001</v>
      </c>
      <c r="E509" s="14">
        <f>CHOOSE(CONTROL!$C$42, 27.685, 27.685) * CHOOSE(CONTROL!$C$21, $C$9, 100%, $E$9)</f>
        <v>27.684999999999999</v>
      </c>
      <c r="F509" s="14">
        <f>CHOOSE(CONTROL!$C$42, 27.4087, 27.4087)*CHOOSE(CONTROL!$C$21, $C$9, 100%, $E$9)</f>
        <v>27.4087</v>
      </c>
      <c r="G509" s="14">
        <f>CHOOSE(CONTROL!$C$42, 27.4251, 27.4251)*CHOOSE(CONTROL!$C$21, $C$9, 100%, $E$9)</f>
        <v>27.4251</v>
      </c>
      <c r="H509" s="14">
        <f>CHOOSE(CONTROL!$C$42, 27.6737, 27.6737) * CHOOSE(CONTROL!$C$21, $C$9, 100%, $E$9)</f>
        <v>27.6737</v>
      </c>
      <c r="I509" s="14">
        <f>CHOOSE(CONTROL!$C$42, 27.5137, 27.5137)* CHOOSE(CONTROL!$C$21, $C$9, 100%, $E$9)</f>
        <v>27.5137</v>
      </c>
      <c r="J509" s="14">
        <f>CHOOSE(CONTROL!$C$42, 27.4017, 27.4017)* CHOOSE(CONTROL!$C$21, $C$9, 100%, $E$9)</f>
        <v>27.401700000000002</v>
      </c>
      <c r="K509" s="53">
        <f>CHOOSE(CONTROL!$C$42, 27.5098, 27.5098) * CHOOSE(CONTROL!$C$21, $C$9, 100%, $E$9)</f>
        <v>27.509799999999998</v>
      </c>
      <c r="L509" s="14">
        <f>CHOOSE(CONTROL!$C$42, 28.2607, 28.2607) * CHOOSE(CONTROL!$C$21, $C$9, 100%, $E$9)</f>
        <v>28.2607</v>
      </c>
      <c r="M509" s="14">
        <f>CHOOSE(CONTROL!$C$42, 26.848, 26.848) * CHOOSE(CONTROL!$C$21, $C$9, 100%, $E$9)</f>
        <v>26.847999999999999</v>
      </c>
      <c r="N509" s="14">
        <f>CHOOSE(CONTROL!$C$42, 26.864, 26.864) * CHOOSE(CONTROL!$C$21, $C$9, 100%, $E$9)</f>
        <v>26.864000000000001</v>
      </c>
      <c r="O509" s="14">
        <f>CHOOSE(CONTROL!$C$42, 27.1144, 27.1144) * CHOOSE(CONTROL!$C$21, $C$9, 100%, $E$9)</f>
        <v>27.1144</v>
      </c>
      <c r="P509" s="14">
        <f>CHOOSE(CONTROL!$C$42, 26.956, 26.956) * CHOOSE(CONTROL!$C$21, $C$9, 100%, $E$9)</f>
        <v>26.956</v>
      </c>
      <c r="Q509" s="14">
        <f>CHOOSE(CONTROL!$C$42, 27.7091, 27.7091) * CHOOSE(CONTROL!$C$21, $C$9, 100%, $E$9)</f>
        <v>27.709099999999999</v>
      </c>
      <c r="R509" s="14">
        <f>CHOOSE(CONTROL!$C$42, 28.3653, 28.3653) * CHOOSE(CONTROL!$C$21, $C$9, 100%, $E$9)</f>
        <v>28.365300000000001</v>
      </c>
      <c r="S509" s="14">
        <f>CHOOSE(CONTROL!$C$42, 26.3295, 26.3295) * CHOOSE(CONTROL!$C$21, $C$9, 100%, $E$9)</f>
        <v>26.329499999999999</v>
      </c>
      <c r="T5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7">
        <f>(1000*CHOOSE(CONTROL!$C$42, 695, 695)*CHOOSE(CONTROL!$C$42, 0.5599, 0.5599)*CHOOSE(CONTROL!$C$42, 31, 31))/1000000</f>
        <v>12.063045499999998</v>
      </c>
      <c r="V509" s="57">
        <f>(1000*CHOOSE(CONTROL!$C$42, 500, 500)*CHOOSE(CONTROL!$C$42, 0.275, 0.275)*CHOOSE(CONTROL!$C$42, 31, 31))/1000000</f>
        <v>4.2625000000000002</v>
      </c>
      <c r="W509" s="57">
        <f>(1000*CHOOSE(CONTROL!$C$42, 0.1146, 0.1146)*CHOOSE(CONTROL!$C$42, 121.5, 121.5)*CHOOSE(CONTROL!$C$42, 31, 31))/1000000</f>
        <v>0.43164089999999994</v>
      </c>
      <c r="X509" s="57">
        <f>(31*0.1790888*245000/1000000)+(31*0.2374*100000/1000000)</f>
        <v>2.0961194359999999</v>
      </c>
      <c r="Y509" s="57"/>
      <c r="Z509" s="14"/>
      <c r="AA509" s="56"/>
      <c r="AB509" s="50">
        <f>(B509*194.205+C509*267.466+D509*133.845+E509*53.484+F509*40+G509*185+H509*0+I509*100+J509*300)/(194.205+267.466+133.845+53.484+0+40+185+100+300)</f>
        <v>27.457878580847719</v>
      </c>
      <c r="AC509" s="45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26.941968345323737</v>
      </c>
    </row>
    <row r="510" spans="1:29" ht="15.75" x14ac:dyDescent="0.25">
      <c r="A510" s="33">
        <v>56430</v>
      </c>
      <c r="B510" s="14">
        <f>CHOOSE(CONTROL!$C$42, 28.1892, 28.1892) * CHOOSE(CONTROL!$C$21, $C$9, 100%, $E$9)</f>
        <v>28.1892</v>
      </c>
      <c r="C510" s="14">
        <f>CHOOSE(CONTROL!$C$42, 28.1972, 28.1972) * CHOOSE(CONTROL!$C$21, $C$9, 100%, $E$9)</f>
        <v>28.197199999999999</v>
      </c>
      <c r="D510" s="14">
        <f>CHOOSE(CONTROL!$C$42, 28.4308, 28.4308) * CHOOSE(CONTROL!$C$21, $C$9, 100%, $E$9)</f>
        <v>28.430800000000001</v>
      </c>
      <c r="E510" s="14">
        <f>CHOOSE(CONTROL!$C$42, 28.4623, 28.4623) * CHOOSE(CONTROL!$C$21, $C$9, 100%, $E$9)</f>
        <v>28.462299999999999</v>
      </c>
      <c r="F510" s="14">
        <f>CHOOSE(CONTROL!$C$42, 28.1864, 28.1864)*CHOOSE(CONTROL!$C$21, $C$9, 100%, $E$9)</f>
        <v>28.186399999999999</v>
      </c>
      <c r="G510" s="14">
        <f>CHOOSE(CONTROL!$C$42, 28.2029, 28.2029)*CHOOSE(CONTROL!$C$21, $C$9, 100%, $E$9)</f>
        <v>28.2029</v>
      </c>
      <c r="H510" s="14">
        <f>CHOOSE(CONTROL!$C$42, 28.4509, 28.4509) * CHOOSE(CONTROL!$C$21, $C$9, 100%, $E$9)</f>
        <v>28.450900000000001</v>
      </c>
      <c r="I510" s="14">
        <f>CHOOSE(CONTROL!$C$42, 28.2934, 28.2934)* CHOOSE(CONTROL!$C$21, $C$9, 100%, $E$9)</f>
        <v>28.293399999999998</v>
      </c>
      <c r="J510" s="14">
        <f>CHOOSE(CONTROL!$C$42, 28.1794, 28.1794)* CHOOSE(CONTROL!$C$21, $C$9, 100%, $E$9)</f>
        <v>28.179400000000001</v>
      </c>
      <c r="K510" s="53">
        <f>CHOOSE(CONTROL!$C$42, 28.2895, 28.2895) * CHOOSE(CONTROL!$C$21, $C$9, 100%, $E$9)</f>
        <v>28.2895</v>
      </c>
      <c r="L510" s="14">
        <f>CHOOSE(CONTROL!$C$42, 29.0379, 29.0379) * CHOOSE(CONTROL!$C$21, $C$9, 100%, $E$9)</f>
        <v>29.0379</v>
      </c>
      <c r="M510" s="14">
        <f>CHOOSE(CONTROL!$C$42, 27.6098, 27.6098) * CHOOSE(CONTROL!$C$21, $C$9, 100%, $E$9)</f>
        <v>27.6098</v>
      </c>
      <c r="N510" s="14">
        <f>CHOOSE(CONTROL!$C$42, 27.6259, 27.6259) * CHOOSE(CONTROL!$C$21, $C$9, 100%, $E$9)</f>
        <v>27.625900000000001</v>
      </c>
      <c r="O510" s="14">
        <f>CHOOSE(CONTROL!$C$42, 27.8757, 27.8757) * CHOOSE(CONTROL!$C$21, $C$9, 100%, $E$9)</f>
        <v>27.875699999999998</v>
      </c>
      <c r="P510" s="14">
        <f>CHOOSE(CONTROL!$C$42, 27.7196, 27.7196) * CHOOSE(CONTROL!$C$21, $C$9, 100%, $E$9)</f>
        <v>27.7196</v>
      </c>
      <c r="Q510" s="14">
        <f>CHOOSE(CONTROL!$C$42, 28.4704, 28.4704) * CHOOSE(CONTROL!$C$21, $C$9, 100%, $E$9)</f>
        <v>28.470400000000001</v>
      </c>
      <c r="R510" s="14">
        <f>CHOOSE(CONTROL!$C$42, 29.1285, 29.1285) * CHOOSE(CONTROL!$C$21, $C$9, 100%, $E$9)</f>
        <v>29.128499999999999</v>
      </c>
      <c r="S510" s="14">
        <f>CHOOSE(CONTROL!$C$42, 27.0764, 27.0764) * CHOOSE(CONTROL!$C$21, $C$9, 100%, $E$9)</f>
        <v>27.0764</v>
      </c>
      <c r="T5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7">
        <f>(1000*CHOOSE(CONTROL!$C$42, 695, 695)*CHOOSE(CONTROL!$C$42, 0.5599, 0.5599)*CHOOSE(CONTROL!$C$42, 30, 30))/1000000</f>
        <v>11.673914999999997</v>
      </c>
      <c r="V510" s="57">
        <f>(1000*CHOOSE(CONTROL!$C$42, 500, 500)*CHOOSE(CONTROL!$C$42, 0.275, 0.275)*CHOOSE(CONTROL!$C$42, 30, 30))/1000000</f>
        <v>4.125</v>
      </c>
      <c r="W510" s="57">
        <f>(1000*CHOOSE(CONTROL!$C$42, 0.1146, 0.1146)*CHOOSE(CONTROL!$C$42, 121.5, 121.5)*CHOOSE(CONTROL!$C$42, 30, 30))/1000000</f>
        <v>0.417717</v>
      </c>
      <c r="X510" s="57">
        <f>(30*0.1790888*245000/1000000)+(30*0.2374*100000/1000000)</f>
        <v>2.0285026799999999</v>
      </c>
      <c r="Y510" s="57"/>
      <c r="Z510" s="14"/>
      <c r="AA510" s="56"/>
      <c r="AB510" s="50">
        <f>(B510*194.205+C510*267.466+D510*133.845+E510*53.484+F510*40+G510*185+H510*0+I510*100+J510*300)/(194.205+267.466+133.845+53.484+0+40+185+100+300)</f>
        <v>28.235499576452117</v>
      </c>
      <c r="AC510" s="45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27.703910071942445</v>
      </c>
    </row>
    <row r="511" spans="1:29" ht="15.75" x14ac:dyDescent="0.25">
      <c r="A511" s="33">
        <v>56461</v>
      </c>
      <c r="B511" s="14">
        <f>CHOOSE(CONTROL!$C$42, 27.6486, 27.6486) * CHOOSE(CONTROL!$C$21, $C$9, 100%, $E$9)</f>
        <v>27.648599999999998</v>
      </c>
      <c r="C511" s="14">
        <f>CHOOSE(CONTROL!$C$42, 27.6566, 27.6566) * CHOOSE(CONTROL!$C$21, $C$9, 100%, $E$9)</f>
        <v>27.656600000000001</v>
      </c>
      <c r="D511" s="14">
        <f>CHOOSE(CONTROL!$C$42, 27.8902, 27.8902) * CHOOSE(CONTROL!$C$21, $C$9, 100%, $E$9)</f>
        <v>27.8902</v>
      </c>
      <c r="E511" s="14">
        <f>CHOOSE(CONTROL!$C$42, 27.9217, 27.9217) * CHOOSE(CONTROL!$C$21, $C$9, 100%, $E$9)</f>
        <v>27.921700000000001</v>
      </c>
      <c r="F511" s="14">
        <f>CHOOSE(CONTROL!$C$42, 27.6464, 27.6464)*CHOOSE(CONTROL!$C$21, $C$9, 100%, $E$9)</f>
        <v>27.6464</v>
      </c>
      <c r="G511" s="14">
        <f>CHOOSE(CONTROL!$C$42, 27.663, 27.663)*CHOOSE(CONTROL!$C$21, $C$9, 100%, $E$9)</f>
        <v>27.663</v>
      </c>
      <c r="H511" s="14">
        <f>CHOOSE(CONTROL!$C$42, 27.9103, 27.9103) * CHOOSE(CONTROL!$C$21, $C$9, 100%, $E$9)</f>
        <v>27.910299999999999</v>
      </c>
      <c r="I511" s="14">
        <f>CHOOSE(CONTROL!$C$42, 27.7511, 27.7511)* CHOOSE(CONTROL!$C$21, $C$9, 100%, $E$9)</f>
        <v>27.751100000000001</v>
      </c>
      <c r="J511" s="14">
        <f>CHOOSE(CONTROL!$C$42, 27.6394, 27.6394)* CHOOSE(CONTROL!$C$21, $C$9, 100%, $E$9)</f>
        <v>27.639399999999998</v>
      </c>
      <c r="K511" s="53">
        <f>CHOOSE(CONTROL!$C$42, 27.7472, 27.7472) * CHOOSE(CONTROL!$C$21, $C$9, 100%, $E$9)</f>
        <v>27.747199999999999</v>
      </c>
      <c r="L511" s="14">
        <f>CHOOSE(CONTROL!$C$42, 28.4973, 28.4973) * CHOOSE(CONTROL!$C$21, $C$9, 100%, $E$9)</f>
        <v>28.497299999999999</v>
      </c>
      <c r="M511" s="14">
        <f>CHOOSE(CONTROL!$C$42, 27.0808, 27.0808) * CHOOSE(CONTROL!$C$21, $C$9, 100%, $E$9)</f>
        <v>27.0808</v>
      </c>
      <c r="N511" s="14">
        <f>CHOOSE(CONTROL!$C$42, 27.097, 27.097) * CHOOSE(CONTROL!$C$21, $C$9, 100%, $E$9)</f>
        <v>27.097000000000001</v>
      </c>
      <c r="O511" s="14">
        <f>CHOOSE(CONTROL!$C$42, 27.3462, 27.3462) * CHOOSE(CONTROL!$C$21, $C$9, 100%, $E$9)</f>
        <v>27.3462</v>
      </c>
      <c r="P511" s="14">
        <f>CHOOSE(CONTROL!$C$42, 27.1885, 27.1885) * CHOOSE(CONTROL!$C$21, $C$9, 100%, $E$9)</f>
        <v>27.188500000000001</v>
      </c>
      <c r="Q511" s="14">
        <f>CHOOSE(CONTROL!$C$42, 27.9409, 27.9409) * CHOOSE(CONTROL!$C$21, $C$9, 100%, $E$9)</f>
        <v>27.940899999999999</v>
      </c>
      <c r="R511" s="14">
        <f>CHOOSE(CONTROL!$C$42, 28.5977, 28.5977) * CHOOSE(CONTROL!$C$21, $C$9, 100%, $E$9)</f>
        <v>28.5977</v>
      </c>
      <c r="S511" s="14">
        <f>CHOOSE(CONTROL!$C$42, 26.5569, 26.5569) * CHOOSE(CONTROL!$C$21, $C$9, 100%, $E$9)</f>
        <v>26.556899999999999</v>
      </c>
      <c r="T5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7">
        <f>(1000*CHOOSE(CONTROL!$C$42, 695, 695)*CHOOSE(CONTROL!$C$42, 0.5599, 0.5599)*CHOOSE(CONTROL!$C$42, 31, 31))/1000000</f>
        <v>12.063045499999998</v>
      </c>
      <c r="V511" s="57">
        <f>(1000*CHOOSE(CONTROL!$C$42, 500, 500)*CHOOSE(CONTROL!$C$42, 0.275, 0.275)*CHOOSE(CONTROL!$C$42, 31, 31))/1000000</f>
        <v>4.2625000000000002</v>
      </c>
      <c r="W511" s="57">
        <f>(1000*CHOOSE(CONTROL!$C$42, 0.1146, 0.1146)*CHOOSE(CONTROL!$C$42, 121.5, 121.5)*CHOOSE(CONTROL!$C$42, 31, 31))/1000000</f>
        <v>0.43164089999999994</v>
      </c>
      <c r="X511" s="57">
        <f>(31*0.1790888*245000/1000000)+(31*0.2374*100000/1000000)</f>
        <v>2.0961194359999999</v>
      </c>
      <c r="Y511" s="57"/>
      <c r="Z511" s="14"/>
      <c r="AA511" s="56"/>
      <c r="AB511" s="50">
        <f>(B511*194.205+C511*267.466+D511*133.845+E511*53.484+F511*40+G511*185+H511*0+I511*100+J511*300)/(194.205+267.466+133.845+53.484+0+40+185+100+300)</f>
        <v>27.695027912401883</v>
      </c>
      <c r="AC511" s="45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27.174490647482017</v>
      </c>
    </row>
    <row r="512" spans="1:29" ht="15.75" x14ac:dyDescent="0.25">
      <c r="A512" s="33">
        <v>56492</v>
      </c>
      <c r="B512" s="14">
        <f>CHOOSE(CONTROL!$C$42, 26.2835, 26.2835) * CHOOSE(CONTROL!$C$21, $C$9, 100%, $E$9)</f>
        <v>26.2835</v>
      </c>
      <c r="C512" s="14">
        <f>CHOOSE(CONTROL!$C$42, 26.2915, 26.2915) * CHOOSE(CONTROL!$C$21, $C$9, 100%, $E$9)</f>
        <v>26.291499999999999</v>
      </c>
      <c r="D512" s="14">
        <f>CHOOSE(CONTROL!$C$42, 26.5251, 26.5251) * CHOOSE(CONTROL!$C$21, $C$9, 100%, $E$9)</f>
        <v>26.525099999999998</v>
      </c>
      <c r="E512" s="14">
        <f>CHOOSE(CONTROL!$C$42, 26.5566, 26.5566) * CHOOSE(CONTROL!$C$21, $C$9, 100%, $E$9)</f>
        <v>26.5566</v>
      </c>
      <c r="F512" s="14">
        <f>CHOOSE(CONTROL!$C$42, 26.2815, 26.2815)*CHOOSE(CONTROL!$C$21, $C$9, 100%, $E$9)</f>
        <v>26.281500000000001</v>
      </c>
      <c r="G512" s="14">
        <f>CHOOSE(CONTROL!$C$42, 26.2982, 26.2982)*CHOOSE(CONTROL!$C$21, $C$9, 100%, $E$9)</f>
        <v>26.298200000000001</v>
      </c>
      <c r="H512" s="14">
        <f>CHOOSE(CONTROL!$C$42, 26.5452, 26.5452) * CHOOSE(CONTROL!$C$21, $C$9, 100%, $E$9)</f>
        <v>26.545200000000001</v>
      </c>
      <c r="I512" s="14">
        <f>CHOOSE(CONTROL!$C$42, 26.3817, 26.3817)* CHOOSE(CONTROL!$C$21, $C$9, 100%, $E$9)</f>
        <v>26.381699999999999</v>
      </c>
      <c r="J512" s="14">
        <f>CHOOSE(CONTROL!$C$42, 26.2745, 26.2745)* CHOOSE(CONTROL!$C$21, $C$9, 100%, $E$9)</f>
        <v>26.2745</v>
      </c>
      <c r="K512" s="53">
        <f>CHOOSE(CONTROL!$C$42, 26.3778, 26.3778) * CHOOSE(CONTROL!$C$21, $C$9, 100%, $E$9)</f>
        <v>26.377800000000001</v>
      </c>
      <c r="L512" s="14">
        <f>CHOOSE(CONTROL!$C$42, 27.1322, 27.1322) * CHOOSE(CONTROL!$C$21, $C$9, 100%, $E$9)</f>
        <v>27.132200000000001</v>
      </c>
      <c r="M512" s="14">
        <f>CHOOSE(CONTROL!$C$42, 25.7438, 25.7438) * CHOOSE(CONTROL!$C$21, $C$9, 100%, $E$9)</f>
        <v>25.7438</v>
      </c>
      <c r="N512" s="14">
        <f>CHOOSE(CONTROL!$C$42, 25.7602, 25.7602) * CHOOSE(CONTROL!$C$21, $C$9, 100%, $E$9)</f>
        <v>25.760200000000001</v>
      </c>
      <c r="O512" s="14">
        <f>CHOOSE(CONTROL!$C$42, 26.009, 26.009) * CHOOSE(CONTROL!$C$21, $C$9, 100%, $E$9)</f>
        <v>26.009</v>
      </c>
      <c r="P512" s="14">
        <f>CHOOSE(CONTROL!$C$42, 25.8473, 25.8473) * CHOOSE(CONTROL!$C$21, $C$9, 100%, $E$9)</f>
        <v>25.847300000000001</v>
      </c>
      <c r="Q512" s="14">
        <f>CHOOSE(CONTROL!$C$42, 26.6037, 26.6037) * CHOOSE(CONTROL!$C$21, $C$9, 100%, $E$9)</f>
        <v>26.6037</v>
      </c>
      <c r="R512" s="14">
        <f>CHOOSE(CONTROL!$C$42, 27.2572, 27.2572) * CHOOSE(CONTROL!$C$21, $C$9, 100%, $E$9)</f>
        <v>27.257200000000001</v>
      </c>
      <c r="S512" s="14">
        <f>CHOOSE(CONTROL!$C$42, 25.2452, 25.2452) * CHOOSE(CONTROL!$C$21, $C$9, 100%, $E$9)</f>
        <v>25.245200000000001</v>
      </c>
      <c r="T5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7">
        <f>(1000*CHOOSE(CONTROL!$C$42, 695, 695)*CHOOSE(CONTROL!$C$42, 0.5599, 0.5599)*CHOOSE(CONTROL!$C$42, 31, 31))/1000000</f>
        <v>12.063045499999998</v>
      </c>
      <c r="V512" s="57">
        <f>(1000*CHOOSE(CONTROL!$C$42, 500, 500)*CHOOSE(CONTROL!$C$42, 0.275, 0.275)*CHOOSE(CONTROL!$C$42, 31, 31))/1000000</f>
        <v>4.2625000000000002</v>
      </c>
      <c r="W512" s="57">
        <f>(1000*CHOOSE(CONTROL!$C$42, 0.1146, 0.1146)*CHOOSE(CONTROL!$C$42, 121.5, 121.5)*CHOOSE(CONTROL!$C$42, 31, 31))/1000000</f>
        <v>0.43164089999999994</v>
      </c>
      <c r="X512" s="57">
        <f>(31*0.1790888*245000/1000000)+(31*0.2374*100000/1000000)</f>
        <v>2.0961194359999999</v>
      </c>
      <c r="Y512" s="57"/>
      <c r="Z512" s="14"/>
      <c r="AA512" s="56"/>
      <c r="AB512" s="50">
        <f>(B512*194.205+C512*267.466+D512*133.845+E512*53.484+F512*40+G512*185+H512*0+I512*100+J512*300)/(194.205+267.466+133.845+53.484+0+40+185+100+300)</f>
        <v>26.329687331554155</v>
      </c>
      <c r="AC512" s="45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25.836876258992806</v>
      </c>
    </row>
    <row r="513" spans="1:29" ht="15.75" x14ac:dyDescent="0.25">
      <c r="A513" s="33">
        <v>56522</v>
      </c>
      <c r="B513" s="14">
        <f>CHOOSE(CONTROL!$C$42, 24.6152, 24.6152) * CHOOSE(CONTROL!$C$21, $C$9, 100%, $E$9)</f>
        <v>24.615200000000002</v>
      </c>
      <c r="C513" s="14">
        <f>CHOOSE(CONTROL!$C$42, 24.6232, 24.6232) * CHOOSE(CONTROL!$C$21, $C$9, 100%, $E$9)</f>
        <v>24.623200000000001</v>
      </c>
      <c r="D513" s="14">
        <f>CHOOSE(CONTROL!$C$42, 24.8568, 24.8568) * CHOOSE(CONTROL!$C$21, $C$9, 100%, $E$9)</f>
        <v>24.8568</v>
      </c>
      <c r="E513" s="14">
        <f>CHOOSE(CONTROL!$C$42, 24.8882, 24.8882) * CHOOSE(CONTROL!$C$21, $C$9, 100%, $E$9)</f>
        <v>24.888200000000001</v>
      </c>
      <c r="F513" s="14">
        <f>CHOOSE(CONTROL!$C$42, 24.6132, 24.6132)*CHOOSE(CONTROL!$C$21, $C$9, 100%, $E$9)</f>
        <v>24.613199999999999</v>
      </c>
      <c r="G513" s="14">
        <f>CHOOSE(CONTROL!$C$42, 24.6298, 24.6298)*CHOOSE(CONTROL!$C$21, $C$9, 100%, $E$9)</f>
        <v>24.629799999999999</v>
      </c>
      <c r="H513" s="14">
        <f>CHOOSE(CONTROL!$C$42, 24.8769, 24.8769) * CHOOSE(CONTROL!$C$21, $C$9, 100%, $E$9)</f>
        <v>24.876899999999999</v>
      </c>
      <c r="I513" s="14">
        <f>CHOOSE(CONTROL!$C$42, 24.7081, 24.7081)* CHOOSE(CONTROL!$C$21, $C$9, 100%, $E$9)</f>
        <v>24.708100000000002</v>
      </c>
      <c r="J513" s="14">
        <f>CHOOSE(CONTROL!$C$42, 24.6062, 24.6062)* CHOOSE(CONTROL!$C$21, $C$9, 100%, $E$9)</f>
        <v>24.606200000000001</v>
      </c>
      <c r="K513" s="53">
        <f>CHOOSE(CONTROL!$C$42, 24.7042, 24.7042) * CHOOSE(CONTROL!$C$21, $C$9, 100%, $E$9)</f>
        <v>24.7042</v>
      </c>
      <c r="L513" s="14">
        <f>CHOOSE(CONTROL!$C$42, 25.4639, 25.4639) * CHOOSE(CONTROL!$C$21, $C$9, 100%, $E$9)</f>
        <v>25.463899999999999</v>
      </c>
      <c r="M513" s="14">
        <f>CHOOSE(CONTROL!$C$42, 24.1097, 24.1097) * CHOOSE(CONTROL!$C$21, $C$9, 100%, $E$9)</f>
        <v>24.1097</v>
      </c>
      <c r="N513" s="14">
        <f>CHOOSE(CONTROL!$C$42, 24.126, 24.126) * CHOOSE(CONTROL!$C$21, $C$9, 100%, $E$9)</f>
        <v>24.126000000000001</v>
      </c>
      <c r="O513" s="14">
        <f>CHOOSE(CONTROL!$C$42, 24.3749, 24.3749) * CHOOSE(CONTROL!$C$21, $C$9, 100%, $E$9)</f>
        <v>24.3749</v>
      </c>
      <c r="P513" s="14">
        <f>CHOOSE(CONTROL!$C$42, 24.2081, 24.2081) * CHOOSE(CONTROL!$C$21, $C$9, 100%, $E$9)</f>
        <v>24.208100000000002</v>
      </c>
      <c r="Q513" s="14">
        <f>CHOOSE(CONTROL!$C$42, 24.9696, 24.9696) * CHOOSE(CONTROL!$C$21, $C$9, 100%, $E$9)</f>
        <v>24.9696</v>
      </c>
      <c r="R513" s="14">
        <f>CHOOSE(CONTROL!$C$42, 25.619, 25.619) * CHOOSE(CONTROL!$C$21, $C$9, 100%, $E$9)</f>
        <v>25.619</v>
      </c>
      <c r="S513" s="14">
        <f>CHOOSE(CONTROL!$C$42, 23.6421, 23.6421) * CHOOSE(CONTROL!$C$21, $C$9, 100%, $E$9)</f>
        <v>23.642099999999999</v>
      </c>
      <c r="T5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7">
        <f>(1000*CHOOSE(CONTROL!$C$42, 695, 695)*CHOOSE(CONTROL!$C$42, 0.5599, 0.5599)*CHOOSE(CONTROL!$C$42, 30, 30))/1000000</f>
        <v>11.673914999999997</v>
      </c>
      <c r="V513" s="57">
        <f>(1000*CHOOSE(CONTROL!$C$42, 500, 500)*CHOOSE(CONTROL!$C$42, 0.275, 0.275)*CHOOSE(CONTROL!$C$42, 30, 30))/1000000</f>
        <v>4.125</v>
      </c>
      <c r="W513" s="57">
        <f>(1000*CHOOSE(CONTROL!$C$42, 0.1146, 0.1146)*CHOOSE(CONTROL!$C$42, 121.5, 121.5)*CHOOSE(CONTROL!$C$42, 30, 30))/1000000</f>
        <v>0.417717</v>
      </c>
      <c r="X513" s="57">
        <f>(30*0.1790888*245000/1000000)+(30*0.2374*100000/1000000)</f>
        <v>2.0285026799999999</v>
      </c>
      <c r="Y513" s="57"/>
      <c r="Z513" s="14"/>
      <c r="AA513" s="56"/>
      <c r="AB513" s="50">
        <f>(B513*194.205+C513*267.466+D513*133.845+E513*53.484+F513*40+G513*185+H513*0+I513*100+J513*300)/(194.205+267.466+133.845+53.484+0+40+185+100+300)</f>
        <v>24.660952599686027</v>
      </c>
      <c r="AC513" s="45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24.202019424460431</v>
      </c>
    </row>
    <row r="514" spans="1:29" ht="15.75" x14ac:dyDescent="0.25">
      <c r="A514" s="33">
        <v>56553</v>
      </c>
      <c r="B514" s="14">
        <f>CHOOSE(CONTROL!$C$42, 24.1139, 24.1139) * CHOOSE(CONTROL!$C$21, $C$9, 100%, $E$9)</f>
        <v>24.113900000000001</v>
      </c>
      <c r="C514" s="14">
        <f>CHOOSE(CONTROL!$C$42, 24.1192, 24.1192) * CHOOSE(CONTROL!$C$21, $C$9, 100%, $E$9)</f>
        <v>24.119199999999999</v>
      </c>
      <c r="D514" s="14">
        <f>CHOOSE(CONTROL!$C$42, 24.3577, 24.3577) * CHOOSE(CONTROL!$C$21, $C$9, 100%, $E$9)</f>
        <v>24.357700000000001</v>
      </c>
      <c r="E514" s="14">
        <f>CHOOSE(CONTROL!$C$42, 24.3869, 24.3869) * CHOOSE(CONTROL!$C$21, $C$9, 100%, $E$9)</f>
        <v>24.386900000000001</v>
      </c>
      <c r="F514" s="14">
        <f>CHOOSE(CONTROL!$C$42, 24.1139, 24.1139)*CHOOSE(CONTROL!$C$21, $C$9, 100%, $E$9)</f>
        <v>24.113900000000001</v>
      </c>
      <c r="G514" s="14">
        <f>CHOOSE(CONTROL!$C$42, 24.1302, 24.1302)*CHOOSE(CONTROL!$C$21, $C$9, 100%, $E$9)</f>
        <v>24.130199999999999</v>
      </c>
      <c r="H514" s="14">
        <f>CHOOSE(CONTROL!$C$42, 24.3773, 24.3773) * CHOOSE(CONTROL!$C$21, $C$9, 100%, $E$9)</f>
        <v>24.377300000000002</v>
      </c>
      <c r="I514" s="14">
        <f>CHOOSE(CONTROL!$C$42, 24.207, 24.207)* CHOOSE(CONTROL!$C$21, $C$9, 100%, $E$9)</f>
        <v>24.207000000000001</v>
      </c>
      <c r="J514" s="14">
        <f>CHOOSE(CONTROL!$C$42, 24.1069, 24.1069)* CHOOSE(CONTROL!$C$21, $C$9, 100%, $E$9)</f>
        <v>24.1069</v>
      </c>
      <c r="K514" s="53">
        <f>CHOOSE(CONTROL!$C$42, 24.2031, 24.2031) * CHOOSE(CONTROL!$C$21, $C$9, 100%, $E$9)</f>
        <v>24.203099999999999</v>
      </c>
      <c r="L514" s="14">
        <f>CHOOSE(CONTROL!$C$42, 24.9643, 24.9643) * CHOOSE(CONTROL!$C$21, $C$9, 100%, $E$9)</f>
        <v>24.964300000000001</v>
      </c>
      <c r="M514" s="14">
        <f>CHOOSE(CONTROL!$C$42, 23.6206, 23.6206) * CHOOSE(CONTROL!$C$21, $C$9, 100%, $E$9)</f>
        <v>23.6206</v>
      </c>
      <c r="N514" s="14">
        <f>CHOOSE(CONTROL!$C$42, 23.6366, 23.6366) * CHOOSE(CONTROL!$C$21, $C$9, 100%, $E$9)</f>
        <v>23.636600000000001</v>
      </c>
      <c r="O514" s="14">
        <f>CHOOSE(CONTROL!$C$42, 23.8856, 23.8856) * CHOOSE(CONTROL!$C$21, $C$9, 100%, $E$9)</f>
        <v>23.8856</v>
      </c>
      <c r="P514" s="14">
        <f>CHOOSE(CONTROL!$C$42, 23.7173, 23.7173) * CHOOSE(CONTROL!$C$21, $C$9, 100%, $E$9)</f>
        <v>23.717300000000002</v>
      </c>
      <c r="Q514" s="14">
        <f>CHOOSE(CONTROL!$C$42, 24.4803, 24.4803) * CHOOSE(CONTROL!$C$21, $C$9, 100%, $E$9)</f>
        <v>24.4803</v>
      </c>
      <c r="R514" s="14">
        <f>CHOOSE(CONTROL!$C$42, 25.1285, 25.1285) * CHOOSE(CONTROL!$C$21, $C$9, 100%, $E$9)</f>
        <v>25.128499999999999</v>
      </c>
      <c r="S514" s="14">
        <f>CHOOSE(CONTROL!$C$42, 23.1621, 23.1621) * CHOOSE(CONTROL!$C$21, $C$9, 100%, $E$9)</f>
        <v>23.162099999999999</v>
      </c>
      <c r="T5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7">
        <f>(1000*CHOOSE(CONTROL!$C$42, 695, 695)*CHOOSE(CONTROL!$C$42, 0.5599, 0.5599)*CHOOSE(CONTROL!$C$42, 31, 31))/1000000</f>
        <v>12.063045499999998</v>
      </c>
      <c r="V514" s="57">
        <f>(1000*CHOOSE(CONTROL!$C$42, 500, 500)*CHOOSE(CONTROL!$C$42, 0.275, 0.275)*CHOOSE(CONTROL!$C$42, 31, 31))/1000000</f>
        <v>4.2625000000000002</v>
      </c>
      <c r="W514" s="57">
        <f>(1000*CHOOSE(CONTROL!$C$42, 0.1146, 0.1146)*CHOOSE(CONTROL!$C$42, 121.5, 121.5)*CHOOSE(CONTROL!$C$42, 31, 31))/1000000</f>
        <v>0.43164089999999994</v>
      </c>
      <c r="X514" s="57">
        <f>(31*0.1790888*245000/1000000)+(31*0.2374*100000/1000000)</f>
        <v>2.0961194359999999</v>
      </c>
      <c r="Y514" s="57"/>
      <c r="Z514" s="14"/>
      <c r="AA514" s="56"/>
      <c r="AB514" s="50">
        <f>(B514*131.881+C514*277.167+D514*79.08+E514*125.872+F514*40+G514*185+H514*0+I514*100+J514*300)/(131.881+277.167+79.08+125.872+0+40+185+100+300)</f>
        <v>24.166633853995158</v>
      </c>
      <c r="AC514" s="45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23.712549640287765</v>
      </c>
    </row>
    <row r="515" spans="1:29" ht="15.75" x14ac:dyDescent="0.25">
      <c r="A515" s="33">
        <v>56583</v>
      </c>
      <c r="B515" s="14">
        <f>CHOOSE(CONTROL!$C$42, 24.7484, 24.7484) * CHOOSE(CONTROL!$C$21, $C$9, 100%, $E$9)</f>
        <v>24.7484</v>
      </c>
      <c r="C515" s="14">
        <f>CHOOSE(CONTROL!$C$42, 24.7535, 24.7535) * CHOOSE(CONTROL!$C$21, $C$9, 100%, $E$9)</f>
        <v>24.753499999999999</v>
      </c>
      <c r="D515" s="14">
        <f>CHOOSE(CONTROL!$C$42, 24.8277, 24.8277) * CHOOSE(CONTROL!$C$21, $C$9, 100%, $E$9)</f>
        <v>24.8277</v>
      </c>
      <c r="E515" s="14">
        <f>CHOOSE(CONTROL!$C$42, 24.8618, 24.8618) * CHOOSE(CONTROL!$C$21, $C$9, 100%, $E$9)</f>
        <v>24.861799999999999</v>
      </c>
      <c r="F515" s="14">
        <f>CHOOSE(CONTROL!$C$42, 24.7605, 24.7605)*CHOOSE(CONTROL!$C$21, $C$9, 100%, $E$9)</f>
        <v>24.7605</v>
      </c>
      <c r="G515" s="14">
        <f>CHOOSE(CONTROL!$C$42, 24.7771, 24.7771)*CHOOSE(CONTROL!$C$21, $C$9, 100%, $E$9)</f>
        <v>24.777100000000001</v>
      </c>
      <c r="H515" s="14">
        <f>CHOOSE(CONTROL!$C$42, 24.851, 24.851) * CHOOSE(CONTROL!$C$21, $C$9, 100%, $E$9)</f>
        <v>24.850999999999999</v>
      </c>
      <c r="I515" s="14">
        <f>CHOOSE(CONTROL!$C$42, 24.8503, 24.8503)* CHOOSE(CONTROL!$C$21, $C$9, 100%, $E$9)</f>
        <v>24.850300000000001</v>
      </c>
      <c r="J515" s="14">
        <f>CHOOSE(CONTROL!$C$42, 24.7535, 24.7535)* CHOOSE(CONTROL!$C$21, $C$9, 100%, $E$9)</f>
        <v>24.753499999999999</v>
      </c>
      <c r="K515" s="53">
        <f>CHOOSE(CONTROL!$C$42, 24.8464, 24.8464) * CHOOSE(CONTROL!$C$21, $C$9, 100%, $E$9)</f>
        <v>24.846399999999999</v>
      </c>
      <c r="L515" s="14">
        <f>CHOOSE(CONTROL!$C$42, 25.438, 25.438) * CHOOSE(CONTROL!$C$21, $C$9, 100%, $E$9)</f>
        <v>25.437999999999999</v>
      </c>
      <c r="M515" s="14">
        <f>CHOOSE(CONTROL!$C$42, 24.254, 24.254) * CHOOSE(CONTROL!$C$21, $C$9, 100%, $E$9)</f>
        <v>24.254000000000001</v>
      </c>
      <c r="N515" s="14">
        <f>CHOOSE(CONTROL!$C$42, 24.2703, 24.2703) * CHOOSE(CONTROL!$C$21, $C$9, 100%, $E$9)</f>
        <v>24.270299999999999</v>
      </c>
      <c r="O515" s="14">
        <f>CHOOSE(CONTROL!$C$42, 24.3495, 24.3495) * CHOOSE(CONTROL!$C$21, $C$9, 100%, $E$9)</f>
        <v>24.349499999999999</v>
      </c>
      <c r="P515" s="14">
        <f>CHOOSE(CONTROL!$C$42, 24.3473, 24.3473) * CHOOSE(CONTROL!$C$21, $C$9, 100%, $E$9)</f>
        <v>24.347300000000001</v>
      </c>
      <c r="Q515" s="14">
        <f>CHOOSE(CONTROL!$C$42, 24.9442, 24.9442) * CHOOSE(CONTROL!$C$21, $C$9, 100%, $E$9)</f>
        <v>24.944199999999999</v>
      </c>
      <c r="R515" s="14">
        <f>CHOOSE(CONTROL!$C$42, 25.5936, 25.5936) * CHOOSE(CONTROL!$C$21, $C$9, 100%, $E$9)</f>
        <v>25.593599999999999</v>
      </c>
      <c r="S515" s="14">
        <f>CHOOSE(CONTROL!$C$42, 23.7722, 23.7722) * CHOOSE(CONTROL!$C$21, $C$9, 100%, $E$9)</f>
        <v>23.772200000000002</v>
      </c>
      <c r="T5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7">
        <f>(1000*CHOOSE(CONTROL!$C$42, 695, 695)*CHOOSE(CONTROL!$C$42, 0.5599, 0.5599)*CHOOSE(CONTROL!$C$42, 30, 30))/1000000</f>
        <v>11.673914999999997</v>
      </c>
      <c r="V515" s="57">
        <f>(1000*CHOOSE(CONTROL!$C$42, 500, 500)*CHOOSE(CONTROL!$C$42, 0.275, 0.275)*CHOOSE(CONTROL!$C$42, 30, 30))/1000000</f>
        <v>4.125</v>
      </c>
      <c r="W515" s="57">
        <f>(1000*CHOOSE(CONTROL!$C$42, 0.1146, 0.1146)*CHOOSE(CONTROL!$C$42, 121.5, 121.5)*CHOOSE(CONTROL!$C$42, 30, 30))/1000000</f>
        <v>0.417717</v>
      </c>
      <c r="X515" s="57">
        <f>(30*0.1790888*100000/1000000)+(30*0.2374*100000/1000000)</f>
        <v>1.2494664</v>
      </c>
      <c r="Y515" s="57"/>
      <c r="Z515" s="14"/>
      <c r="AA515" s="56"/>
      <c r="AB515" s="50">
        <f>(B515*122.58+C515*297.941+D515*89.177+E515*40.302+F515*40+G515*160+H515*0+I515*100+J515*300)/(122.58+297.941+89.177+40.302+0+40+160+100+300)</f>
        <v>24.774449984347825</v>
      </c>
      <c r="AC515" s="45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24.311646762589927</v>
      </c>
    </row>
    <row r="516" spans="1:29" ht="15.75" x14ac:dyDescent="0.25">
      <c r="A516" s="33">
        <v>56614</v>
      </c>
      <c r="B516" s="14">
        <f>CHOOSE(CONTROL!$C$42, 26.4351, 26.4351) * CHOOSE(CONTROL!$C$21, $C$9, 100%, $E$9)</f>
        <v>26.435099999999998</v>
      </c>
      <c r="C516" s="14">
        <f>CHOOSE(CONTROL!$C$42, 26.4402, 26.4402) * CHOOSE(CONTROL!$C$21, $C$9, 100%, $E$9)</f>
        <v>26.440200000000001</v>
      </c>
      <c r="D516" s="14">
        <f>CHOOSE(CONTROL!$C$42, 26.5144, 26.5144) * CHOOSE(CONTROL!$C$21, $C$9, 100%, $E$9)</f>
        <v>26.514399999999998</v>
      </c>
      <c r="E516" s="14">
        <f>CHOOSE(CONTROL!$C$42, 26.5485, 26.5485) * CHOOSE(CONTROL!$C$21, $C$9, 100%, $E$9)</f>
        <v>26.548500000000001</v>
      </c>
      <c r="F516" s="14">
        <f>CHOOSE(CONTROL!$C$42, 26.4494, 26.4494)*CHOOSE(CONTROL!$C$21, $C$9, 100%, $E$9)</f>
        <v>26.449400000000001</v>
      </c>
      <c r="G516" s="14">
        <f>CHOOSE(CONTROL!$C$42, 26.4665, 26.4665)*CHOOSE(CONTROL!$C$21, $C$9, 100%, $E$9)</f>
        <v>26.4665</v>
      </c>
      <c r="H516" s="14">
        <f>CHOOSE(CONTROL!$C$42, 26.5377, 26.5377) * CHOOSE(CONTROL!$C$21, $C$9, 100%, $E$9)</f>
        <v>26.537700000000001</v>
      </c>
      <c r="I516" s="14">
        <f>CHOOSE(CONTROL!$C$42, 26.5422, 26.5422)* CHOOSE(CONTROL!$C$21, $C$9, 100%, $E$9)</f>
        <v>26.542200000000001</v>
      </c>
      <c r="J516" s="14">
        <f>CHOOSE(CONTROL!$C$42, 26.4424, 26.4424)* CHOOSE(CONTROL!$C$21, $C$9, 100%, $E$9)</f>
        <v>26.442399999999999</v>
      </c>
      <c r="K516" s="53">
        <f>CHOOSE(CONTROL!$C$42, 26.5383, 26.5383) * CHOOSE(CONTROL!$C$21, $C$9, 100%, $E$9)</f>
        <v>26.5383</v>
      </c>
      <c r="L516" s="14">
        <f>CHOOSE(CONTROL!$C$42, 27.1247, 27.1247) * CHOOSE(CONTROL!$C$21, $C$9, 100%, $E$9)</f>
        <v>27.124700000000001</v>
      </c>
      <c r="M516" s="14">
        <f>CHOOSE(CONTROL!$C$42, 25.9083, 25.9083) * CHOOSE(CONTROL!$C$21, $C$9, 100%, $E$9)</f>
        <v>25.908300000000001</v>
      </c>
      <c r="N516" s="14">
        <f>CHOOSE(CONTROL!$C$42, 25.9251, 25.9251) * CHOOSE(CONTROL!$C$21, $C$9, 100%, $E$9)</f>
        <v>25.9251</v>
      </c>
      <c r="O516" s="14">
        <f>CHOOSE(CONTROL!$C$42, 26.0017, 26.0017) * CHOOSE(CONTROL!$C$21, $C$9, 100%, $E$9)</f>
        <v>26.0017</v>
      </c>
      <c r="P516" s="14">
        <f>CHOOSE(CONTROL!$C$42, 26.0045, 26.0045) * CHOOSE(CONTROL!$C$21, $C$9, 100%, $E$9)</f>
        <v>26.0045</v>
      </c>
      <c r="Q516" s="14">
        <f>CHOOSE(CONTROL!$C$42, 26.5964, 26.5964) * CHOOSE(CONTROL!$C$21, $C$9, 100%, $E$9)</f>
        <v>26.596399999999999</v>
      </c>
      <c r="R516" s="14">
        <f>CHOOSE(CONTROL!$C$42, 27.2498, 27.2498) * CHOOSE(CONTROL!$C$21, $C$9, 100%, $E$9)</f>
        <v>27.2498</v>
      </c>
      <c r="S516" s="14">
        <f>CHOOSE(CONTROL!$C$42, 25.393, 25.393) * CHOOSE(CONTROL!$C$21, $C$9, 100%, $E$9)</f>
        <v>25.393000000000001</v>
      </c>
      <c r="T5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7">
        <f>(1000*CHOOSE(CONTROL!$C$42, 695, 695)*CHOOSE(CONTROL!$C$42, 0.5599, 0.5599)*CHOOSE(CONTROL!$C$42, 31, 31))/1000000</f>
        <v>12.063045499999998</v>
      </c>
      <c r="V516" s="57">
        <f>(1000*CHOOSE(CONTROL!$C$42, 500, 500)*CHOOSE(CONTROL!$C$42, 0.275, 0.275)*CHOOSE(CONTROL!$C$42, 31, 31))/1000000</f>
        <v>4.2625000000000002</v>
      </c>
      <c r="W516" s="57">
        <f>(1000*CHOOSE(CONTROL!$C$42, 0.1146, 0.1146)*CHOOSE(CONTROL!$C$42, 121.5, 121.5)*CHOOSE(CONTROL!$C$42, 31, 31))/1000000</f>
        <v>0.43164089999999994</v>
      </c>
      <c r="X516" s="57">
        <f>(31*0.1790888*100000/1000000)+(31*0.2374*100000/1000000)</f>
        <v>1.2911152800000001</v>
      </c>
      <c r="Y516" s="57"/>
      <c r="Z516" s="14"/>
      <c r="AA516" s="56"/>
      <c r="AB516" s="50">
        <f>(B516*122.58+C516*297.941+D516*89.177+E516*40.302+F516*40+G516*160+H516*0+I516*100+J516*300)/(122.58+297.941+89.177+40.302+0+40+160+100+300)</f>
        <v>26.462628245217392</v>
      </c>
      <c r="AC516" s="45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25.965441007194247</v>
      </c>
    </row>
    <row r="517" spans="1:29" ht="15.75" x14ac:dyDescent="0.25">
      <c r="A517" s="32">
        <v>56645</v>
      </c>
      <c r="B517" s="14">
        <f>CHOOSE(CONTROL!$C$42, 28.6258, 28.6258) * CHOOSE(CONTROL!$C$21, $C$9, 100%, $E$9)</f>
        <v>28.625800000000002</v>
      </c>
      <c r="C517" s="14">
        <f>CHOOSE(CONTROL!$C$42, 28.6309, 28.6309) * CHOOSE(CONTROL!$C$21, $C$9, 100%, $E$9)</f>
        <v>28.6309</v>
      </c>
      <c r="D517" s="14">
        <f>CHOOSE(CONTROL!$C$42, 28.7077, 28.7077) * CHOOSE(CONTROL!$C$21, $C$9, 100%, $E$9)</f>
        <v>28.707699999999999</v>
      </c>
      <c r="E517" s="14">
        <f>CHOOSE(CONTROL!$C$42, 28.7418, 28.7418) * CHOOSE(CONTROL!$C$21, $C$9, 100%, $E$9)</f>
        <v>28.741800000000001</v>
      </c>
      <c r="F517" s="14">
        <f>CHOOSE(CONTROL!$C$42, 28.626, 28.626)*CHOOSE(CONTROL!$C$21, $C$9, 100%, $E$9)</f>
        <v>28.626000000000001</v>
      </c>
      <c r="G517" s="14">
        <f>CHOOSE(CONTROL!$C$42, 28.6422, 28.6422)*CHOOSE(CONTROL!$C$21, $C$9, 100%, $E$9)</f>
        <v>28.642199999999999</v>
      </c>
      <c r="H517" s="14">
        <f>CHOOSE(CONTROL!$C$42, 28.731, 28.731) * CHOOSE(CONTROL!$C$21, $C$9, 100%, $E$9)</f>
        <v>28.731000000000002</v>
      </c>
      <c r="I517" s="14">
        <f>CHOOSE(CONTROL!$C$42, 28.7335, 28.7335)* CHOOSE(CONTROL!$C$21, $C$9, 100%, $E$9)</f>
        <v>28.733499999999999</v>
      </c>
      <c r="J517" s="14">
        <f>CHOOSE(CONTROL!$C$42, 28.619, 28.619)* CHOOSE(CONTROL!$C$21, $C$9, 100%, $E$9)</f>
        <v>28.619</v>
      </c>
      <c r="K517" s="53">
        <f>CHOOSE(CONTROL!$C$42, 28.7296, 28.7296) * CHOOSE(CONTROL!$C$21, $C$9, 100%, $E$9)</f>
        <v>28.729600000000001</v>
      </c>
      <c r="L517" s="14">
        <f>CHOOSE(CONTROL!$C$42, 29.318, 29.318) * CHOOSE(CONTROL!$C$21, $C$9, 100%, $E$9)</f>
        <v>29.318000000000001</v>
      </c>
      <c r="M517" s="14">
        <f>CHOOSE(CONTROL!$C$42, 28.0403, 28.0403) * CHOOSE(CONTROL!$C$21, $C$9, 100%, $E$9)</f>
        <v>28.040299999999998</v>
      </c>
      <c r="N517" s="14">
        <f>CHOOSE(CONTROL!$C$42, 28.0562, 28.0562) * CHOOSE(CONTROL!$C$21, $C$9, 100%, $E$9)</f>
        <v>28.0562</v>
      </c>
      <c r="O517" s="14">
        <f>CHOOSE(CONTROL!$C$42, 28.15, 28.15) * CHOOSE(CONTROL!$C$21, $C$9, 100%, $E$9)</f>
        <v>28.15</v>
      </c>
      <c r="P517" s="14">
        <f>CHOOSE(CONTROL!$C$42, 28.1508, 28.1508) * CHOOSE(CONTROL!$C$21, $C$9, 100%, $E$9)</f>
        <v>28.1508</v>
      </c>
      <c r="Q517" s="14">
        <f>CHOOSE(CONTROL!$C$42, 28.7447, 28.7447) * CHOOSE(CONTROL!$C$21, $C$9, 100%, $E$9)</f>
        <v>28.744700000000002</v>
      </c>
      <c r="R517" s="14">
        <f>CHOOSE(CONTROL!$C$42, 29.4036, 29.4036) * CHOOSE(CONTROL!$C$21, $C$9, 100%, $E$9)</f>
        <v>29.403600000000001</v>
      </c>
      <c r="S517" s="14">
        <f>CHOOSE(CONTROL!$C$42, 27.498, 27.498) * CHOOSE(CONTROL!$C$21, $C$9, 100%, $E$9)</f>
        <v>27.498000000000001</v>
      </c>
      <c r="T5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7">
        <f>(1000*CHOOSE(CONTROL!$C$42, 695, 695)*CHOOSE(CONTROL!$C$42, 0.5599, 0.5599)*CHOOSE(CONTROL!$C$42, 31, 31))/1000000</f>
        <v>12.063045499999998</v>
      </c>
      <c r="V517" s="57">
        <f>(1000*CHOOSE(CONTROL!$C$42, 500, 500)*CHOOSE(CONTROL!$C$42, 0.275, 0.275)*CHOOSE(CONTROL!$C$42, 31, 31))/1000000</f>
        <v>4.2625000000000002</v>
      </c>
      <c r="W517" s="57">
        <f>(1000*CHOOSE(CONTROL!$C$42, 0.1146, 0.1146)*CHOOSE(CONTROL!$C$42, 121.5, 121.5)*CHOOSE(CONTROL!$C$42, 31, 31))/1000000</f>
        <v>0.43164089999999994</v>
      </c>
      <c r="X517" s="57">
        <f>(31*0.1790888*100000/1000000)+(31*0.2374*100000/1000000)</f>
        <v>1.2911152800000001</v>
      </c>
      <c r="Y517" s="57"/>
      <c r="Z517" s="14"/>
      <c r="AA517" s="56"/>
      <c r="AB517" s="50">
        <f>(B517*122.58+C517*297.941+D517*89.177+E517*40.302+F517*40+G517*160+H517*0+I517*100+J517*300)/(122.58+297.941+89.177+40.302+0+40+160+100+300)</f>
        <v>28.647417502086956</v>
      </c>
      <c r="AC517" s="45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28.106834532374101</v>
      </c>
    </row>
    <row r="518" spans="1:29" ht="15.75" x14ac:dyDescent="0.25">
      <c r="A518" s="32">
        <v>56673</v>
      </c>
      <c r="B518" s="14">
        <f>CHOOSE(CONTROL!$C$42, 29.1352, 29.1352) * CHOOSE(CONTROL!$C$21, $C$9, 100%, $E$9)</f>
        <v>29.135200000000001</v>
      </c>
      <c r="C518" s="14">
        <f>CHOOSE(CONTROL!$C$42, 29.1403, 29.1403) * CHOOSE(CONTROL!$C$21, $C$9, 100%, $E$9)</f>
        <v>29.1403</v>
      </c>
      <c r="D518" s="14">
        <f>CHOOSE(CONTROL!$C$42, 29.2171, 29.2171) * CHOOSE(CONTROL!$C$21, $C$9, 100%, $E$9)</f>
        <v>29.217099999999999</v>
      </c>
      <c r="E518" s="14">
        <f>CHOOSE(CONTROL!$C$42, 29.2512, 29.2512) * CHOOSE(CONTROL!$C$21, $C$9, 100%, $E$9)</f>
        <v>29.251200000000001</v>
      </c>
      <c r="F518" s="14">
        <f>CHOOSE(CONTROL!$C$42, 29.1355, 29.1355)*CHOOSE(CONTROL!$C$21, $C$9, 100%, $E$9)</f>
        <v>29.1355</v>
      </c>
      <c r="G518" s="14">
        <f>CHOOSE(CONTROL!$C$42, 29.1517, 29.1517)*CHOOSE(CONTROL!$C$21, $C$9, 100%, $E$9)</f>
        <v>29.151700000000002</v>
      </c>
      <c r="H518" s="14">
        <f>CHOOSE(CONTROL!$C$42, 29.2404, 29.2404) * CHOOSE(CONTROL!$C$21, $C$9, 100%, $E$9)</f>
        <v>29.240400000000001</v>
      </c>
      <c r="I518" s="14">
        <f>CHOOSE(CONTROL!$C$42, 29.2445, 29.2445)* CHOOSE(CONTROL!$C$21, $C$9, 100%, $E$9)</f>
        <v>29.244499999999999</v>
      </c>
      <c r="J518" s="14">
        <f>CHOOSE(CONTROL!$C$42, 29.1285, 29.1285)* CHOOSE(CONTROL!$C$21, $C$9, 100%, $E$9)</f>
        <v>29.128499999999999</v>
      </c>
      <c r="K518" s="53">
        <f>CHOOSE(CONTROL!$C$42, 29.2406, 29.2406) * CHOOSE(CONTROL!$C$21, $C$9, 100%, $E$9)</f>
        <v>29.240600000000001</v>
      </c>
      <c r="L518" s="14">
        <f>CHOOSE(CONTROL!$C$42, 29.8274, 29.8274) * CHOOSE(CONTROL!$C$21, $C$9, 100%, $E$9)</f>
        <v>29.827400000000001</v>
      </c>
      <c r="M518" s="14">
        <f>CHOOSE(CONTROL!$C$42, 28.5393, 28.5393) * CHOOSE(CONTROL!$C$21, $C$9, 100%, $E$9)</f>
        <v>28.539300000000001</v>
      </c>
      <c r="N518" s="14">
        <f>CHOOSE(CONTROL!$C$42, 28.5552, 28.5552) * CHOOSE(CONTROL!$C$21, $C$9, 100%, $E$9)</f>
        <v>28.555199999999999</v>
      </c>
      <c r="O518" s="14">
        <f>CHOOSE(CONTROL!$C$42, 28.649, 28.649) * CHOOSE(CONTROL!$C$21, $C$9, 100%, $E$9)</f>
        <v>28.649000000000001</v>
      </c>
      <c r="P518" s="14">
        <f>CHOOSE(CONTROL!$C$42, 28.6513, 28.6513) * CHOOSE(CONTROL!$C$21, $C$9, 100%, $E$9)</f>
        <v>28.651299999999999</v>
      </c>
      <c r="Q518" s="14">
        <f>CHOOSE(CONTROL!$C$42, 29.2437, 29.2437) * CHOOSE(CONTROL!$C$21, $C$9, 100%, $E$9)</f>
        <v>29.2437</v>
      </c>
      <c r="R518" s="14">
        <f>CHOOSE(CONTROL!$C$42, 29.9038, 29.9038) * CHOOSE(CONTROL!$C$21, $C$9, 100%, $E$9)</f>
        <v>29.9038</v>
      </c>
      <c r="S518" s="14">
        <f>CHOOSE(CONTROL!$C$42, 27.9875, 27.9875) * CHOOSE(CONTROL!$C$21, $C$9, 100%, $E$9)</f>
        <v>27.987500000000001</v>
      </c>
      <c r="T5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7">
        <f>(1000*CHOOSE(CONTROL!$C$42, 695, 695)*CHOOSE(CONTROL!$C$42, 0.5599, 0.5599)*CHOOSE(CONTROL!$C$42, 28, 28))/1000000</f>
        <v>10.895653999999999</v>
      </c>
      <c r="V518" s="57">
        <f>(1000*CHOOSE(CONTROL!$C$42, 500, 500)*CHOOSE(CONTROL!$C$42, 0.275, 0.275)*CHOOSE(CONTROL!$C$42, 28, 28))/1000000</f>
        <v>3.85</v>
      </c>
      <c r="W518" s="57">
        <f>(1000*CHOOSE(CONTROL!$C$42, 0.1146, 0.1146)*CHOOSE(CONTROL!$C$42, 121.5, 121.5)*CHOOSE(CONTROL!$C$42, 28, 28))/1000000</f>
        <v>0.38986920000000003</v>
      </c>
      <c r="X518" s="57">
        <f>(28*0.1790888*100000/1000000)+(28*0.2374*100000/1000000)</f>
        <v>1.16616864</v>
      </c>
      <c r="Y518" s="57"/>
      <c r="Z518" s="14"/>
      <c r="AA518" s="56"/>
      <c r="AB518" s="50">
        <f>(B518*122.58+C518*297.941+D518*89.177+E518*40.302+F518*40+G518*160+H518*0+I518*100+J518*300)/(122.58+297.941+89.177+40.302+0+40+160+100+300)</f>
        <v>29.157000110782608</v>
      </c>
      <c r="AC518" s="45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28.606050359712228</v>
      </c>
    </row>
    <row r="519" spans="1:29" ht="15.75" x14ac:dyDescent="0.25">
      <c r="A519" s="32">
        <v>56704</v>
      </c>
      <c r="B519" s="14">
        <f>CHOOSE(CONTROL!$C$42, 28.3083, 28.3083) * CHOOSE(CONTROL!$C$21, $C$9, 100%, $E$9)</f>
        <v>28.308299999999999</v>
      </c>
      <c r="C519" s="14">
        <f>CHOOSE(CONTROL!$C$42, 28.3134, 28.3134) * CHOOSE(CONTROL!$C$21, $C$9, 100%, $E$9)</f>
        <v>28.313400000000001</v>
      </c>
      <c r="D519" s="14">
        <f>CHOOSE(CONTROL!$C$42, 28.3902, 28.3902) * CHOOSE(CONTROL!$C$21, $C$9, 100%, $E$9)</f>
        <v>28.3902</v>
      </c>
      <c r="E519" s="14">
        <f>CHOOSE(CONTROL!$C$42, 28.4243, 28.4243) * CHOOSE(CONTROL!$C$21, $C$9, 100%, $E$9)</f>
        <v>28.424299999999999</v>
      </c>
      <c r="F519" s="14">
        <f>CHOOSE(CONTROL!$C$42, 28.3081, 28.3081)*CHOOSE(CONTROL!$C$21, $C$9, 100%, $E$9)</f>
        <v>28.3081</v>
      </c>
      <c r="G519" s="14">
        <f>CHOOSE(CONTROL!$C$42, 28.3242, 28.3242)*CHOOSE(CONTROL!$C$21, $C$9, 100%, $E$9)</f>
        <v>28.324200000000001</v>
      </c>
      <c r="H519" s="14">
        <f>CHOOSE(CONTROL!$C$42, 28.4135, 28.4135) * CHOOSE(CONTROL!$C$21, $C$9, 100%, $E$9)</f>
        <v>28.413499999999999</v>
      </c>
      <c r="I519" s="14">
        <f>CHOOSE(CONTROL!$C$42, 28.415, 28.415)* CHOOSE(CONTROL!$C$21, $C$9, 100%, $E$9)</f>
        <v>28.414999999999999</v>
      </c>
      <c r="J519" s="14">
        <f>CHOOSE(CONTROL!$C$42, 28.3011, 28.3011)* CHOOSE(CONTROL!$C$21, $C$9, 100%, $E$9)</f>
        <v>28.301100000000002</v>
      </c>
      <c r="K519" s="53">
        <f>CHOOSE(CONTROL!$C$42, 28.4111, 28.4111) * CHOOSE(CONTROL!$C$21, $C$9, 100%, $E$9)</f>
        <v>28.411100000000001</v>
      </c>
      <c r="L519" s="14">
        <f>CHOOSE(CONTROL!$C$42, 29.0005, 29.0005) * CHOOSE(CONTROL!$C$21, $C$9, 100%, $E$9)</f>
        <v>29.000499999999999</v>
      </c>
      <c r="M519" s="14">
        <f>CHOOSE(CONTROL!$C$42, 27.7289, 27.7289) * CHOOSE(CONTROL!$C$21, $C$9, 100%, $E$9)</f>
        <v>27.728899999999999</v>
      </c>
      <c r="N519" s="14">
        <f>CHOOSE(CONTROL!$C$42, 27.7447, 27.7447) * CHOOSE(CONTROL!$C$21, $C$9, 100%, $E$9)</f>
        <v>27.744700000000002</v>
      </c>
      <c r="O519" s="14">
        <f>CHOOSE(CONTROL!$C$42, 27.839, 27.839) * CHOOSE(CONTROL!$C$21, $C$9, 100%, $E$9)</f>
        <v>27.838999999999999</v>
      </c>
      <c r="P519" s="14">
        <f>CHOOSE(CONTROL!$C$42, 27.8388, 27.8388) * CHOOSE(CONTROL!$C$21, $C$9, 100%, $E$9)</f>
        <v>27.838799999999999</v>
      </c>
      <c r="Q519" s="14">
        <f>CHOOSE(CONTROL!$C$42, 28.4337, 28.4337) * CHOOSE(CONTROL!$C$21, $C$9, 100%, $E$9)</f>
        <v>28.433700000000002</v>
      </c>
      <c r="R519" s="14">
        <f>CHOOSE(CONTROL!$C$42, 29.0918, 29.0918) * CHOOSE(CONTROL!$C$21, $C$9, 100%, $E$9)</f>
        <v>29.091799999999999</v>
      </c>
      <c r="S519" s="14">
        <f>CHOOSE(CONTROL!$C$42, 27.1929, 27.1929) * CHOOSE(CONTROL!$C$21, $C$9, 100%, $E$9)</f>
        <v>27.192900000000002</v>
      </c>
      <c r="T5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7">
        <f>(1000*CHOOSE(CONTROL!$C$42, 695, 695)*CHOOSE(CONTROL!$C$42, 0.5599, 0.5599)*CHOOSE(CONTROL!$C$42, 31, 31))/1000000</f>
        <v>12.063045499999998</v>
      </c>
      <c r="V519" s="57">
        <f>(1000*CHOOSE(CONTROL!$C$42, 500, 500)*CHOOSE(CONTROL!$C$42, 0.275, 0.275)*CHOOSE(CONTROL!$C$42, 31, 31))/1000000</f>
        <v>4.2625000000000002</v>
      </c>
      <c r="W519" s="57">
        <f>(1000*CHOOSE(CONTROL!$C$42, 0.1146, 0.1146)*CHOOSE(CONTROL!$C$42, 121.5, 121.5)*CHOOSE(CONTROL!$C$42, 31, 31))/1000000</f>
        <v>0.43164089999999994</v>
      </c>
      <c r="X519" s="57">
        <f>(31*0.1790888*100000/1000000)+(31*0.2374*100000/1000000)</f>
        <v>1.2911152800000001</v>
      </c>
      <c r="Y519" s="57"/>
      <c r="Z519" s="14"/>
      <c r="AA519" s="56"/>
      <c r="AB519" s="50">
        <f>(B519*122.58+C519*297.941+D519*89.177+E519*40.302+F519*40+G519*160+H519*0+I519*100+J519*300)/(122.58+297.941+89.177+40.302+0+40+160+100+300)</f>
        <v>28.329642719478258</v>
      </c>
      <c r="AC519" s="45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27.795523741007194</v>
      </c>
    </row>
    <row r="520" spans="1:29" ht="15.75" x14ac:dyDescent="0.25">
      <c r="A520" s="32">
        <v>56734</v>
      </c>
      <c r="B520" s="14">
        <f>CHOOSE(CONTROL!$C$42, 28.2248, 28.2248) * CHOOSE(CONTROL!$C$21, $C$9, 100%, $E$9)</f>
        <v>28.224799999999998</v>
      </c>
      <c r="C520" s="14">
        <f>CHOOSE(CONTROL!$C$42, 28.2293, 28.2293) * CHOOSE(CONTROL!$C$21, $C$9, 100%, $E$9)</f>
        <v>28.229299999999999</v>
      </c>
      <c r="D520" s="14">
        <f>CHOOSE(CONTROL!$C$42, 28.466, 28.466) * CHOOSE(CONTROL!$C$21, $C$9, 100%, $E$9)</f>
        <v>28.466000000000001</v>
      </c>
      <c r="E520" s="14">
        <f>CHOOSE(CONTROL!$C$42, 28.4982, 28.4982) * CHOOSE(CONTROL!$C$21, $C$9, 100%, $E$9)</f>
        <v>28.498200000000001</v>
      </c>
      <c r="F520" s="14">
        <f>CHOOSE(CONTROL!$C$42, 28.2228, 28.2228)*CHOOSE(CONTROL!$C$21, $C$9, 100%, $E$9)</f>
        <v>28.222799999999999</v>
      </c>
      <c r="G520" s="14">
        <f>CHOOSE(CONTROL!$C$42, 28.2386, 28.2386)*CHOOSE(CONTROL!$C$21, $C$9, 100%, $E$9)</f>
        <v>28.238600000000002</v>
      </c>
      <c r="H520" s="14">
        <f>CHOOSE(CONTROL!$C$42, 28.4879, 28.4879) * CHOOSE(CONTROL!$C$21, $C$9, 100%, $E$9)</f>
        <v>28.4879</v>
      </c>
      <c r="I520" s="14">
        <f>CHOOSE(CONTROL!$C$42, 28.3305, 28.3305)* CHOOSE(CONTROL!$C$21, $C$9, 100%, $E$9)</f>
        <v>28.330500000000001</v>
      </c>
      <c r="J520" s="14">
        <f>CHOOSE(CONTROL!$C$42, 28.2158, 28.2158)* CHOOSE(CONTROL!$C$21, $C$9, 100%, $E$9)</f>
        <v>28.215800000000002</v>
      </c>
      <c r="K520" s="53">
        <f>CHOOSE(CONTROL!$C$42, 28.3266, 28.3266) * CHOOSE(CONTROL!$C$21, $C$9, 100%, $E$9)</f>
        <v>28.326599999999999</v>
      </c>
      <c r="L520" s="14">
        <f>CHOOSE(CONTROL!$C$42, 29.0749, 29.0749) * CHOOSE(CONTROL!$C$21, $C$9, 100%, $E$9)</f>
        <v>29.0749</v>
      </c>
      <c r="M520" s="14">
        <f>CHOOSE(CONTROL!$C$42, 27.6453, 27.6453) * CHOOSE(CONTROL!$C$21, $C$9, 100%, $E$9)</f>
        <v>27.645299999999999</v>
      </c>
      <c r="N520" s="14">
        <f>CHOOSE(CONTROL!$C$42, 27.6608, 27.6608) * CHOOSE(CONTROL!$C$21, $C$9, 100%, $E$9)</f>
        <v>27.660799999999998</v>
      </c>
      <c r="O520" s="14">
        <f>CHOOSE(CONTROL!$C$42, 27.9119, 27.9119) * CHOOSE(CONTROL!$C$21, $C$9, 100%, $E$9)</f>
        <v>27.911899999999999</v>
      </c>
      <c r="P520" s="14">
        <f>CHOOSE(CONTROL!$C$42, 27.756, 27.756) * CHOOSE(CONTROL!$C$21, $C$9, 100%, $E$9)</f>
        <v>27.756</v>
      </c>
      <c r="Q520" s="14">
        <f>CHOOSE(CONTROL!$C$42, 28.5066, 28.5066) * CHOOSE(CONTROL!$C$21, $C$9, 100%, $E$9)</f>
        <v>28.506599999999999</v>
      </c>
      <c r="R520" s="14">
        <f>CHOOSE(CONTROL!$C$42, 29.1649, 29.1649) * CHOOSE(CONTROL!$C$21, $C$9, 100%, $E$9)</f>
        <v>29.164899999999999</v>
      </c>
      <c r="S520" s="14">
        <f>CHOOSE(CONTROL!$C$42, 27.1119, 27.1119) * CHOOSE(CONTROL!$C$21, $C$9, 100%, $E$9)</f>
        <v>27.111899999999999</v>
      </c>
      <c r="T5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7">
        <f>(1000*CHOOSE(CONTROL!$C$42, 695, 695)*CHOOSE(CONTROL!$C$42, 0.5599, 0.5599)*CHOOSE(CONTROL!$C$42, 30, 30))/1000000</f>
        <v>11.673914999999997</v>
      </c>
      <c r="V520" s="57">
        <f>(1000*CHOOSE(CONTROL!$C$42, 500, 500)*CHOOSE(CONTROL!$C$42, 0.275, 0.275)*CHOOSE(CONTROL!$C$42, 30, 30))/1000000</f>
        <v>4.125</v>
      </c>
      <c r="W520" s="57">
        <f>(1000*CHOOSE(CONTROL!$C$42, 0.1146, 0.1146)*CHOOSE(CONTROL!$C$42, 121.5, 121.5)*CHOOSE(CONTROL!$C$42, 30, 30))/1000000</f>
        <v>0.417717</v>
      </c>
      <c r="X520" s="57">
        <f>(30*0.1790888*245000/1000000)+(30*0.2374*100000/1000000)</f>
        <v>2.0285026799999999</v>
      </c>
      <c r="Y520" s="57"/>
      <c r="Z520" s="14"/>
      <c r="AA520" s="56"/>
      <c r="AB520" s="50">
        <f>(B520*141.293+C520*267.993+D520*115.016+E520*89.698+F520*40+G520*185+H520*0+I520*100+J520*300)/(141.293+267.993+115.016+89.698+0+40+185+100+300)</f>
        <v>28.276304649636799</v>
      </c>
      <c r="AC520" s="45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27.739597841726617</v>
      </c>
    </row>
    <row r="521" spans="1:29" ht="15.75" x14ac:dyDescent="0.25">
      <c r="A521" s="32">
        <v>56765</v>
      </c>
      <c r="B521" s="14">
        <f>CHOOSE(CONTROL!$C$42, 28.4752, 28.4752) * CHOOSE(CONTROL!$C$21, $C$9, 100%, $E$9)</f>
        <v>28.475200000000001</v>
      </c>
      <c r="C521" s="14">
        <f>CHOOSE(CONTROL!$C$42, 28.4833, 28.4833) * CHOOSE(CONTROL!$C$21, $C$9, 100%, $E$9)</f>
        <v>28.4833</v>
      </c>
      <c r="D521" s="14">
        <f>CHOOSE(CONTROL!$C$42, 28.7169, 28.7169) * CHOOSE(CONTROL!$C$21, $C$9, 100%, $E$9)</f>
        <v>28.716899999999999</v>
      </c>
      <c r="E521" s="14">
        <f>CHOOSE(CONTROL!$C$42, 28.7483, 28.7483) * CHOOSE(CONTROL!$C$21, $C$9, 100%, $E$9)</f>
        <v>28.7483</v>
      </c>
      <c r="F521" s="14">
        <f>CHOOSE(CONTROL!$C$42, 28.472, 28.472)*CHOOSE(CONTROL!$C$21, $C$9, 100%, $E$9)</f>
        <v>28.472000000000001</v>
      </c>
      <c r="G521" s="14">
        <f>CHOOSE(CONTROL!$C$42, 28.4884, 28.4884)*CHOOSE(CONTROL!$C$21, $C$9, 100%, $E$9)</f>
        <v>28.488399999999999</v>
      </c>
      <c r="H521" s="14">
        <f>CHOOSE(CONTROL!$C$42, 28.737, 28.737) * CHOOSE(CONTROL!$C$21, $C$9, 100%, $E$9)</f>
        <v>28.736999999999998</v>
      </c>
      <c r="I521" s="14">
        <f>CHOOSE(CONTROL!$C$42, 28.5803, 28.5803)* CHOOSE(CONTROL!$C$21, $C$9, 100%, $E$9)</f>
        <v>28.580300000000001</v>
      </c>
      <c r="J521" s="14">
        <f>CHOOSE(CONTROL!$C$42, 28.465, 28.465)* CHOOSE(CONTROL!$C$21, $C$9, 100%, $E$9)</f>
        <v>28.465</v>
      </c>
      <c r="K521" s="53">
        <f>CHOOSE(CONTROL!$C$42, 28.5764, 28.5764) * CHOOSE(CONTROL!$C$21, $C$9, 100%, $E$9)</f>
        <v>28.5764</v>
      </c>
      <c r="L521" s="14">
        <f>CHOOSE(CONTROL!$C$42, 29.324, 29.324) * CHOOSE(CONTROL!$C$21, $C$9, 100%, $E$9)</f>
        <v>29.324000000000002</v>
      </c>
      <c r="M521" s="14">
        <f>CHOOSE(CONTROL!$C$42, 27.8895, 27.8895) * CHOOSE(CONTROL!$C$21, $C$9, 100%, $E$9)</f>
        <v>27.889500000000002</v>
      </c>
      <c r="N521" s="14">
        <f>CHOOSE(CONTROL!$C$42, 27.9055, 27.9055) * CHOOSE(CONTROL!$C$21, $C$9, 100%, $E$9)</f>
        <v>27.9055</v>
      </c>
      <c r="O521" s="14">
        <f>CHOOSE(CONTROL!$C$42, 28.1558, 28.1558) * CHOOSE(CONTROL!$C$21, $C$9, 100%, $E$9)</f>
        <v>28.155799999999999</v>
      </c>
      <c r="P521" s="14">
        <f>CHOOSE(CONTROL!$C$42, 28.0007, 28.0007) * CHOOSE(CONTROL!$C$21, $C$9, 100%, $E$9)</f>
        <v>28.000699999999998</v>
      </c>
      <c r="Q521" s="14">
        <f>CHOOSE(CONTROL!$C$42, 28.7505, 28.7505) * CHOOSE(CONTROL!$C$21, $C$9, 100%, $E$9)</f>
        <v>28.750499999999999</v>
      </c>
      <c r="R521" s="14">
        <f>CHOOSE(CONTROL!$C$42, 29.4094, 29.4094) * CHOOSE(CONTROL!$C$21, $C$9, 100%, $E$9)</f>
        <v>29.409400000000002</v>
      </c>
      <c r="S521" s="14">
        <f>CHOOSE(CONTROL!$C$42, 27.3512, 27.3512) * CHOOSE(CONTROL!$C$21, $C$9, 100%, $E$9)</f>
        <v>27.351199999999999</v>
      </c>
      <c r="T5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7">
        <f>(1000*CHOOSE(CONTROL!$C$42, 695, 695)*CHOOSE(CONTROL!$C$42, 0.5599, 0.5599)*CHOOSE(CONTROL!$C$42, 31, 31))/1000000</f>
        <v>12.063045499999998</v>
      </c>
      <c r="V521" s="57">
        <f>(1000*CHOOSE(CONTROL!$C$42, 500, 500)*CHOOSE(CONTROL!$C$42, 0.275, 0.275)*CHOOSE(CONTROL!$C$42, 31, 31))/1000000</f>
        <v>4.2625000000000002</v>
      </c>
      <c r="W521" s="57">
        <f>(1000*CHOOSE(CONTROL!$C$42, 0.1146, 0.1146)*CHOOSE(CONTROL!$C$42, 121.5, 121.5)*CHOOSE(CONTROL!$C$42, 31, 31))/1000000</f>
        <v>0.43164089999999994</v>
      </c>
      <c r="X521" s="57">
        <f>(31*0.1790888*245000/1000000)+(31*0.2374*100000/1000000)</f>
        <v>2.0961194359999999</v>
      </c>
      <c r="Y521" s="57"/>
      <c r="Z521" s="14"/>
      <c r="AA521" s="56"/>
      <c r="AB521" s="50">
        <f>(B521*194.205+C521*267.466+D521*133.845+E521*53.484+F521*40+G521*185+H521*0+I521*100+J521*300)/(194.205+267.466+133.845+53.484+0+40+185+100+300)</f>
        <v>28.521422363814757</v>
      </c>
      <c r="AC521" s="45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27.983900719424462</v>
      </c>
    </row>
    <row r="522" spans="1:29" ht="15.75" x14ac:dyDescent="0.25">
      <c r="A522" s="32">
        <v>56795</v>
      </c>
      <c r="B522" s="14">
        <f>CHOOSE(CONTROL!$C$42, 29.2826, 29.2826) * CHOOSE(CONTROL!$C$21, $C$9, 100%, $E$9)</f>
        <v>29.282599999999999</v>
      </c>
      <c r="C522" s="14">
        <f>CHOOSE(CONTROL!$C$42, 29.2907, 29.2907) * CHOOSE(CONTROL!$C$21, $C$9, 100%, $E$9)</f>
        <v>29.290700000000001</v>
      </c>
      <c r="D522" s="14">
        <f>CHOOSE(CONTROL!$C$42, 29.5242, 29.5242) * CHOOSE(CONTROL!$C$21, $C$9, 100%, $E$9)</f>
        <v>29.5242</v>
      </c>
      <c r="E522" s="14">
        <f>CHOOSE(CONTROL!$C$42, 29.5557, 29.5557) * CHOOSE(CONTROL!$C$21, $C$9, 100%, $E$9)</f>
        <v>29.555700000000002</v>
      </c>
      <c r="F522" s="14">
        <f>CHOOSE(CONTROL!$C$42, 29.2799, 29.2799)*CHOOSE(CONTROL!$C$21, $C$9, 100%, $E$9)</f>
        <v>29.279900000000001</v>
      </c>
      <c r="G522" s="14">
        <f>CHOOSE(CONTROL!$C$42, 29.2964, 29.2964)*CHOOSE(CONTROL!$C$21, $C$9, 100%, $E$9)</f>
        <v>29.296399999999998</v>
      </c>
      <c r="H522" s="14">
        <f>CHOOSE(CONTROL!$C$42, 29.5443, 29.5443) * CHOOSE(CONTROL!$C$21, $C$9, 100%, $E$9)</f>
        <v>29.5443</v>
      </c>
      <c r="I522" s="14">
        <f>CHOOSE(CONTROL!$C$42, 29.3902, 29.3902)* CHOOSE(CONTROL!$C$21, $C$9, 100%, $E$9)</f>
        <v>29.3902</v>
      </c>
      <c r="J522" s="14">
        <f>CHOOSE(CONTROL!$C$42, 29.2729, 29.2729)* CHOOSE(CONTROL!$C$21, $C$9, 100%, $E$9)</f>
        <v>29.2729</v>
      </c>
      <c r="K522" s="53">
        <f>CHOOSE(CONTROL!$C$42, 29.3863, 29.3863) * CHOOSE(CONTROL!$C$21, $C$9, 100%, $E$9)</f>
        <v>29.386299999999999</v>
      </c>
      <c r="L522" s="14">
        <f>CHOOSE(CONTROL!$C$42, 30.1313, 30.1313) * CHOOSE(CONTROL!$C$21, $C$9, 100%, $E$9)</f>
        <v>30.1313</v>
      </c>
      <c r="M522" s="14">
        <f>CHOOSE(CONTROL!$C$42, 28.6808, 28.6808) * CHOOSE(CONTROL!$C$21, $C$9, 100%, $E$9)</f>
        <v>28.680800000000001</v>
      </c>
      <c r="N522" s="14">
        <f>CHOOSE(CONTROL!$C$42, 28.6969, 28.6969) * CHOOSE(CONTROL!$C$21, $C$9, 100%, $E$9)</f>
        <v>28.696899999999999</v>
      </c>
      <c r="O522" s="14">
        <f>CHOOSE(CONTROL!$C$42, 28.9467, 28.9467) * CHOOSE(CONTROL!$C$21, $C$9, 100%, $E$9)</f>
        <v>28.9467</v>
      </c>
      <c r="P522" s="14">
        <f>CHOOSE(CONTROL!$C$42, 28.794, 28.794) * CHOOSE(CONTROL!$C$21, $C$9, 100%, $E$9)</f>
        <v>28.794</v>
      </c>
      <c r="Q522" s="14">
        <f>CHOOSE(CONTROL!$C$42, 29.5414, 29.5414) * CHOOSE(CONTROL!$C$21, $C$9, 100%, $E$9)</f>
        <v>29.541399999999999</v>
      </c>
      <c r="R522" s="14">
        <f>CHOOSE(CONTROL!$C$42, 30.2022, 30.2022) * CHOOSE(CONTROL!$C$21, $C$9, 100%, $E$9)</f>
        <v>30.202200000000001</v>
      </c>
      <c r="S522" s="14">
        <f>CHOOSE(CONTROL!$C$42, 28.127, 28.127) * CHOOSE(CONTROL!$C$21, $C$9, 100%, $E$9)</f>
        <v>28.126999999999999</v>
      </c>
      <c r="T5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7">
        <f>(1000*CHOOSE(CONTROL!$C$42, 695, 695)*CHOOSE(CONTROL!$C$42, 0.5599, 0.5599)*CHOOSE(CONTROL!$C$42, 30, 30))/1000000</f>
        <v>11.673914999999997</v>
      </c>
      <c r="V522" s="57">
        <f>(1000*CHOOSE(CONTROL!$C$42, 500, 500)*CHOOSE(CONTROL!$C$42, 0.275, 0.275)*CHOOSE(CONTROL!$C$42, 30, 30))/1000000</f>
        <v>4.125</v>
      </c>
      <c r="W522" s="57">
        <f>(1000*CHOOSE(CONTROL!$C$42, 0.1146, 0.1146)*CHOOSE(CONTROL!$C$42, 121.5, 121.5)*CHOOSE(CONTROL!$C$42, 30, 30))/1000000</f>
        <v>0.417717</v>
      </c>
      <c r="X522" s="57">
        <f>(30*0.1790888*245000/1000000)+(30*0.2374*100000/1000000)</f>
        <v>2.0285026799999999</v>
      </c>
      <c r="Y522" s="57"/>
      <c r="Z522" s="14"/>
      <c r="AA522" s="56"/>
      <c r="AB522" s="50">
        <f>(B522*194.205+C522*267.466+D522*133.845+E522*53.484+F522*40+G522*185+H522*0+I522*100+J522*300)/(194.205+267.466+133.845+53.484+0+40+185+100+300)</f>
        <v>29.329228655416014</v>
      </c>
      <c r="AC522" s="45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28.775399280575545</v>
      </c>
    </row>
    <row r="523" spans="1:29" ht="15.75" x14ac:dyDescent="0.25">
      <c r="A523" s="32">
        <v>56826</v>
      </c>
      <c r="B523" s="14">
        <f>CHOOSE(CONTROL!$C$42, 28.7211, 28.7211) * CHOOSE(CONTROL!$C$21, $C$9, 100%, $E$9)</f>
        <v>28.7211</v>
      </c>
      <c r="C523" s="14">
        <f>CHOOSE(CONTROL!$C$42, 28.7291, 28.7291) * CHOOSE(CONTROL!$C$21, $C$9, 100%, $E$9)</f>
        <v>28.729099999999999</v>
      </c>
      <c r="D523" s="14">
        <f>CHOOSE(CONTROL!$C$42, 28.9627, 28.9627) * CHOOSE(CONTROL!$C$21, $C$9, 100%, $E$9)</f>
        <v>28.962700000000002</v>
      </c>
      <c r="E523" s="14">
        <f>CHOOSE(CONTROL!$C$42, 28.9942, 28.9942) * CHOOSE(CONTROL!$C$21, $C$9, 100%, $E$9)</f>
        <v>28.994199999999999</v>
      </c>
      <c r="F523" s="14">
        <f>CHOOSE(CONTROL!$C$42, 28.7189, 28.7189)*CHOOSE(CONTROL!$C$21, $C$9, 100%, $E$9)</f>
        <v>28.718900000000001</v>
      </c>
      <c r="G523" s="14">
        <f>CHOOSE(CONTROL!$C$42, 28.7355, 28.7355)*CHOOSE(CONTROL!$C$21, $C$9, 100%, $E$9)</f>
        <v>28.735499999999998</v>
      </c>
      <c r="H523" s="14">
        <f>CHOOSE(CONTROL!$C$42, 28.9828, 28.9828) * CHOOSE(CONTROL!$C$21, $C$9, 100%, $E$9)</f>
        <v>28.982800000000001</v>
      </c>
      <c r="I523" s="14">
        <f>CHOOSE(CONTROL!$C$42, 28.8269, 28.8269)* CHOOSE(CONTROL!$C$21, $C$9, 100%, $E$9)</f>
        <v>28.826899999999998</v>
      </c>
      <c r="J523" s="14">
        <f>CHOOSE(CONTROL!$C$42, 28.7119, 28.7119)* CHOOSE(CONTROL!$C$21, $C$9, 100%, $E$9)</f>
        <v>28.7119</v>
      </c>
      <c r="K523" s="53">
        <f>CHOOSE(CONTROL!$C$42, 28.823, 28.823) * CHOOSE(CONTROL!$C$21, $C$9, 100%, $E$9)</f>
        <v>28.823</v>
      </c>
      <c r="L523" s="14">
        <f>CHOOSE(CONTROL!$C$42, 29.5698, 29.5698) * CHOOSE(CONTROL!$C$21, $C$9, 100%, $E$9)</f>
        <v>29.569800000000001</v>
      </c>
      <c r="M523" s="14">
        <f>CHOOSE(CONTROL!$C$42, 28.1313, 28.1313) * CHOOSE(CONTROL!$C$21, $C$9, 100%, $E$9)</f>
        <v>28.1313</v>
      </c>
      <c r="N523" s="14">
        <f>CHOOSE(CONTROL!$C$42, 28.1475, 28.1475) * CHOOSE(CONTROL!$C$21, $C$9, 100%, $E$9)</f>
        <v>28.147500000000001</v>
      </c>
      <c r="O523" s="14">
        <f>CHOOSE(CONTROL!$C$42, 28.3967, 28.3967) * CHOOSE(CONTROL!$C$21, $C$9, 100%, $E$9)</f>
        <v>28.396699999999999</v>
      </c>
      <c r="P523" s="14">
        <f>CHOOSE(CONTROL!$C$42, 28.2422, 28.2422) * CHOOSE(CONTROL!$C$21, $C$9, 100%, $E$9)</f>
        <v>28.2422</v>
      </c>
      <c r="Q523" s="14">
        <f>CHOOSE(CONTROL!$C$42, 28.9914, 28.9914) * CHOOSE(CONTROL!$C$21, $C$9, 100%, $E$9)</f>
        <v>28.991399999999999</v>
      </c>
      <c r="R523" s="14">
        <f>CHOOSE(CONTROL!$C$42, 29.6508, 29.6508) * CHOOSE(CONTROL!$C$21, $C$9, 100%, $E$9)</f>
        <v>29.6508</v>
      </c>
      <c r="S523" s="14">
        <f>CHOOSE(CONTROL!$C$42, 27.5875, 27.5875) * CHOOSE(CONTROL!$C$21, $C$9, 100%, $E$9)</f>
        <v>27.587499999999999</v>
      </c>
      <c r="T5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7">
        <f>(1000*CHOOSE(CONTROL!$C$42, 695, 695)*CHOOSE(CONTROL!$C$42, 0.5599, 0.5599)*CHOOSE(CONTROL!$C$42, 31, 31))/1000000</f>
        <v>12.063045499999998</v>
      </c>
      <c r="V523" s="57">
        <f>(1000*CHOOSE(CONTROL!$C$42, 500, 500)*CHOOSE(CONTROL!$C$42, 0.275, 0.275)*CHOOSE(CONTROL!$C$42, 31, 31))/1000000</f>
        <v>4.2625000000000002</v>
      </c>
      <c r="W523" s="57">
        <f>(1000*CHOOSE(CONTROL!$C$42, 0.1146, 0.1146)*CHOOSE(CONTROL!$C$42, 121.5, 121.5)*CHOOSE(CONTROL!$C$42, 31, 31))/1000000</f>
        <v>0.43164089999999994</v>
      </c>
      <c r="X523" s="57">
        <f>(31*0.1790888*245000/1000000)+(31*0.2374*100000/1000000)</f>
        <v>2.0961194359999999</v>
      </c>
      <c r="Y523" s="57"/>
      <c r="Z523" s="14"/>
      <c r="AA523" s="56"/>
      <c r="AB523" s="50">
        <f>(B523*194.205+C523*267.466+D523*133.845+E523*53.484+F523*40+G523*185+H523*0+I523*100+J523*300)/(194.205+267.466+133.845+53.484+0+40+185+100+300)</f>
        <v>28.767786939089483</v>
      </c>
      <c r="AC523" s="45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28.225451079136697</v>
      </c>
    </row>
    <row r="524" spans="1:29" ht="15.75" x14ac:dyDescent="0.25">
      <c r="A524" s="32">
        <v>56857</v>
      </c>
      <c r="B524" s="14">
        <f>CHOOSE(CONTROL!$C$42, 27.303, 27.303) * CHOOSE(CONTROL!$C$21, $C$9, 100%, $E$9)</f>
        <v>27.303000000000001</v>
      </c>
      <c r="C524" s="14">
        <f>CHOOSE(CONTROL!$C$42, 27.311, 27.311) * CHOOSE(CONTROL!$C$21, $C$9, 100%, $E$9)</f>
        <v>27.311</v>
      </c>
      <c r="D524" s="14">
        <f>CHOOSE(CONTROL!$C$42, 27.5446, 27.5446) * CHOOSE(CONTROL!$C$21, $C$9, 100%, $E$9)</f>
        <v>27.544599999999999</v>
      </c>
      <c r="E524" s="14">
        <f>CHOOSE(CONTROL!$C$42, 27.5761, 27.5761) * CHOOSE(CONTROL!$C$21, $C$9, 100%, $E$9)</f>
        <v>27.5761</v>
      </c>
      <c r="F524" s="14">
        <f>CHOOSE(CONTROL!$C$42, 27.301, 27.301)*CHOOSE(CONTROL!$C$21, $C$9, 100%, $E$9)</f>
        <v>27.300999999999998</v>
      </c>
      <c r="G524" s="14">
        <f>CHOOSE(CONTROL!$C$42, 27.3177, 27.3177)*CHOOSE(CONTROL!$C$21, $C$9, 100%, $E$9)</f>
        <v>27.317699999999999</v>
      </c>
      <c r="H524" s="14">
        <f>CHOOSE(CONTROL!$C$42, 27.5647, 27.5647) * CHOOSE(CONTROL!$C$21, $C$9, 100%, $E$9)</f>
        <v>27.564699999999998</v>
      </c>
      <c r="I524" s="14">
        <f>CHOOSE(CONTROL!$C$42, 27.4044, 27.4044)* CHOOSE(CONTROL!$C$21, $C$9, 100%, $E$9)</f>
        <v>27.404399999999999</v>
      </c>
      <c r="J524" s="14">
        <f>CHOOSE(CONTROL!$C$42, 27.294, 27.294)* CHOOSE(CONTROL!$C$21, $C$9, 100%, $E$9)</f>
        <v>27.294</v>
      </c>
      <c r="K524" s="53">
        <f>CHOOSE(CONTROL!$C$42, 27.4005, 27.4005) * CHOOSE(CONTROL!$C$21, $C$9, 100%, $E$9)</f>
        <v>27.400500000000001</v>
      </c>
      <c r="L524" s="14">
        <f>CHOOSE(CONTROL!$C$42, 28.1517, 28.1517) * CHOOSE(CONTROL!$C$21, $C$9, 100%, $E$9)</f>
        <v>28.151700000000002</v>
      </c>
      <c r="M524" s="14">
        <f>CHOOSE(CONTROL!$C$42, 26.7424, 26.7424) * CHOOSE(CONTROL!$C$21, $C$9, 100%, $E$9)</f>
        <v>26.7424</v>
      </c>
      <c r="N524" s="14">
        <f>CHOOSE(CONTROL!$C$42, 26.7588, 26.7588) * CHOOSE(CONTROL!$C$21, $C$9, 100%, $E$9)</f>
        <v>26.758800000000001</v>
      </c>
      <c r="O524" s="14">
        <f>CHOOSE(CONTROL!$C$42, 27.0076, 27.0076) * CHOOSE(CONTROL!$C$21, $C$9, 100%, $E$9)</f>
        <v>27.0076</v>
      </c>
      <c r="P524" s="14">
        <f>CHOOSE(CONTROL!$C$42, 26.849, 26.849) * CHOOSE(CONTROL!$C$21, $C$9, 100%, $E$9)</f>
        <v>26.849</v>
      </c>
      <c r="Q524" s="14">
        <f>CHOOSE(CONTROL!$C$42, 27.6023, 27.6023) * CHOOSE(CONTROL!$C$21, $C$9, 100%, $E$9)</f>
        <v>27.6023</v>
      </c>
      <c r="R524" s="14">
        <f>CHOOSE(CONTROL!$C$42, 28.2583, 28.2583) * CHOOSE(CONTROL!$C$21, $C$9, 100%, $E$9)</f>
        <v>28.258299999999998</v>
      </c>
      <c r="S524" s="14">
        <f>CHOOSE(CONTROL!$C$42, 26.2248, 26.2248) * CHOOSE(CONTROL!$C$21, $C$9, 100%, $E$9)</f>
        <v>26.224799999999998</v>
      </c>
      <c r="T5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7">
        <f>(1000*CHOOSE(CONTROL!$C$42, 695, 695)*CHOOSE(CONTROL!$C$42, 0.5599, 0.5599)*CHOOSE(CONTROL!$C$42, 31, 31))/1000000</f>
        <v>12.063045499999998</v>
      </c>
      <c r="V524" s="57">
        <f>(1000*CHOOSE(CONTROL!$C$42, 500, 500)*CHOOSE(CONTROL!$C$42, 0.275, 0.275)*CHOOSE(CONTROL!$C$42, 31, 31))/1000000</f>
        <v>4.2625000000000002</v>
      </c>
      <c r="W524" s="57">
        <f>(1000*CHOOSE(CONTROL!$C$42, 0.1146, 0.1146)*CHOOSE(CONTROL!$C$42, 121.5, 121.5)*CHOOSE(CONTROL!$C$42, 31, 31))/1000000</f>
        <v>0.43164089999999994</v>
      </c>
      <c r="X524" s="57">
        <f>(31*0.1790888*245000/1000000)+(31*0.2374*100000/1000000)</f>
        <v>2.0961194359999999</v>
      </c>
      <c r="Y524" s="57"/>
      <c r="Z524" s="14"/>
      <c r="AA524" s="56"/>
      <c r="AB524" s="50">
        <f>(B524*194.205+C524*267.466+D524*133.845+E524*53.484+F524*40+G524*185+H524*0+I524*100+J524*300)/(194.205+267.466+133.845+53.484+0+40+185+100+300)</f>
        <v>27.349438508948197</v>
      </c>
      <c r="AC524" s="45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26.835922302158274</v>
      </c>
    </row>
    <row r="525" spans="1:29" ht="15.75" x14ac:dyDescent="0.25">
      <c r="A525" s="32">
        <v>56887</v>
      </c>
      <c r="B525" s="14">
        <f>CHOOSE(CONTROL!$C$42, 25.5699, 25.5699) * CHOOSE(CONTROL!$C$21, $C$9, 100%, $E$9)</f>
        <v>25.569900000000001</v>
      </c>
      <c r="C525" s="14">
        <f>CHOOSE(CONTROL!$C$42, 25.578, 25.578) * CHOOSE(CONTROL!$C$21, $C$9, 100%, $E$9)</f>
        <v>25.577999999999999</v>
      </c>
      <c r="D525" s="14">
        <f>CHOOSE(CONTROL!$C$42, 25.8115, 25.8115) * CHOOSE(CONTROL!$C$21, $C$9, 100%, $E$9)</f>
        <v>25.811499999999999</v>
      </c>
      <c r="E525" s="14">
        <f>CHOOSE(CONTROL!$C$42, 25.843, 25.843) * CHOOSE(CONTROL!$C$21, $C$9, 100%, $E$9)</f>
        <v>25.843</v>
      </c>
      <c r="F525" s="14">
        <f>CHOOSE(CONTROL!$C$42, 25.5679, 25.5679)*CHOOSE(CONTROL!$C$21, $C$9, 100%, $E$9)</f>
        <v>25.567900000000002</v>
      </c>
      <c r="G525" s="14">
        <f>CHOOSE(CONTROL!$C$42, 25.5846, 25.5846)*CHOOSE(CONTROL!$C$21, $C$9, 100%, $E$9)</f>
        <v>25.584599999999998</v>
      </c>
      <c r="H525" s="14">
        <f>CHOOSE(CONTROL!$C$42, 25.8316, 25.8316) * CHOOSE(CONTROL!$C$21, $C$9, 100%, $E$9)</f>
        <v>25.831600000000002</v>
      </c>
      <c r="I525" s="14">
        <f>CHOOSE(CONTROL!$C$42, 25.6659, 25.6659)* CHOOSE(CONTROL!$C$21, $C$9, 100%, $E$9)</f>
        <v>25.665900000000001</v>
      </c>
      <c r="J525" s="14">
        <f>CHOOSE(CONTROL!$C$42, 25.5609, 25.5609)* CHOOSE(CONTROL!$C$21, $C$9, 100%, $E$9)</f>
        <v>25.5609</v>
      </c>
      <c r="K525" s="53">
        <f>CHOOSE(CONTROL!$C$42, 25.662, 25.662) * CHOOSE(CONTROL!$C$21, $C$9, 100%, $E$9)</f>
        <v>25.661999999999999</v>
      </c>
      <c r="L525" s="14">
        <f>CHOOSE(CONTROL!$C$42, 26.4186, 26.4186) * CHOOSE(CONTROL!$C$21, $C$9, 100%, $E$9)</f>
        <v>26.418600000000001</v>
      </c>
      <c r="M525" s="14">
        <f>CHOOSE(CONTROL!$C$42, 25.0449, 25.0449) * CHOOSE(CONTROL!$C$21, $C$9, 100%, $E$9)</f>
        <v>25.044899999999998</v>
      </c>
      <c r="N525" s="14">
        <f>CHOOSE(CONTROL!$C$42, 25.0612, 25.0612) * CHOOSE(CONTROL!$C$21, $C$9, 100%, $E$9)</f>
        <v>25.061199999999999</v>
      </c>
      <c r="O525" s="14">
        <f>CHOOSE(CONTROL!$C$42, 25.3101, 25.3101) * CHOOSE(CONTROL!$C$21, $C$9, 100%, $E$9)</f>
        <v>25.310099999999998</v>
      </c>
      <c r="P525" s="14">
        <f>CHOOSE(CONTROL!$C$42, 25.1462, 25.1462) * CHOOSE(CONTROL!$C$21, $C$9, 100%, $E$9)</f>
        <v>25.1462</v>
      </c>
      <c r="Q525" s="14">
        <f>CHOOSE(CONTROL!$C$42, 25.9048, 25.9048) * CHOOSE(CONTROL!$C$21, $C$9, 100%, $E$9)</f>
        <v>25.904800000000002</v>
      </c>
      <c r="R525" s="14">
        <f>CHOOSE(CONTROL!$C$42, 26.5565, 26.5565) * CHOOSE(CONTROL!$C$21, $C$9, 100%, $E$9)</f>
        <v>26.5565</v>
      </c>
      <c r="S525" s="14">
        <f>CHOOSE(CONTROL!$C$42, 24.5595, 24.5595) * CHOOSE(CONTROL!$C$21, $C$9, 100%, $E$9)</f>
        <v>24.5595</v>
      </c>
      <c r="T5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7">
        <f>(1000*CHOOSE(CONTROL!$C$42, 695, 695)*CHOOSE(CONTROL!$C$42, 0.5599, 0.5599)*CHOOSE(CONTROL!$C$42, 30, 30))/1000000</f>
        <v>11.673914999999997</v>
      </c>
      <c r="V525" s="57">
        <f>(1000*CHOOSE(CONTROL!$C$42, 500, 500)*CHOOSE(CONTROL!$C$42, 0.275, 0.275)*CHOOSE(CONTROL!$C$42, 30, 30))/1000000</f>
        <v>4.125</v>
      </c>
      <c r="W525" s="57">
        <f>(1000*CHOOSE(CONTROL!$C$42, 0.1146, 0.1146)*CHOOSE(CONTROL!$C$42, 121.5, 121.5)*CHOOSE(CONTROL!$C$42, 30, 30))/1000000</f>
        <v>0.417717</v>
      </c>
      <c r="X525" s="57">
        <f>(30*0.1790888*245000/1000000)+(30*0.2374*100000/1000000)</f>
        <v>2.0285026799999999</v>
      </c>
      <c r="Y525" s="57"/>
      <c r="Z525" s="14"/>
      <c r="AA525" s="56"/>
      <c r="AB525" s="50">
        <f>(B525*194.205+C525*267.466+D525*133.845+E525*53.484+F525*40+G525*185+H525*0+I525*100+J525*300)/(194.205+267.466+133.845+53.484+0+40+185+100+300)</f>
        <v>25.615935641287283</v>
      </c>
      <c r="AC525" s="45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25.137636690647479</v>
      </c>
    </row>
    <row r="526" spans="1:29" ht="15.75" x14ac:dyDescent="0.25">
      <c r="A526" s="32">
        <v>56918</v>
      </c>
      <c r="B526" s="14">
        <f>CHOOSE(CONTROL!$C$42, 25.0492, 25.0492) * CHOOSE(CONTROL!$C$21, $C$9, 100%, $E$9)</f>
        <v>25.049199999999999</v>
      </c>
      <c r="C526" s="14">
        <f>CHOOSE(CONTROL!$C$42, 25.0546, 25.0546) * CHOOSE(CONTROL!$C$21, $C$9, 100%, $E$9)</f>
        <v>25.054600000000001</v>
      </c>
      <c r="D526" s="14">
        <f>CHOOSE(CONTROL!$C$42, 25.2931, 25.2931) * CHOOSE(CONTROL!$C$21, $C$9, 100%, $E$9)</f>
        <v>25.293099999999999</v>
      </c>
      <c r="E526" s="14">
        <f>CHOOSE(CONTROL!$C$42, 25.3222, 25.3222) * CHOOSE(CONTROL!$C$21, $C$9, 100%, $E$9)</f>
        <v>25.322199999999999</v>
      </c>
      <c r="F526" s="14">
        <f>CHOOSE(CONTROL!$C$42, 25.0493, 25.0493)*CHOOSE(CONTROL!$C$21, $C$9, 100%, $E$9)</f>
        <v>25.049299999999999</v>
      </c>
      <c r="G526" s="14">
        <f>CHOOSE(CONTROL!$C$42, 25.0655, 25.0655)*CHOOSE(CONTROL!$C$21, $C$9, 100%, $E$9)</f>
        <v>25.0655</v>
      </c>
      <c r="H526" s="14">
        <f>CHOOSE(CONTROL!$C$42, 25.3127, 25.3127) * CHOOSE(CONTROL!$C$21, $C$9, 100%, $E$9)</f>
        <v>25.3127</v>
      </c>
      <c r="I526" s="14">
        <f>CHOOSE(CONTROL!$C$42, 25.1453, 25.1453)* CHOOSE(CONTROL!$C$21, $C$9, 100%, $E$9)</f>
        <v>25.145299999999999</v>
      </c>
      <c r="J526" s="14">
        <f>CHOOSE(CONTROL!$C$42, 25.0423, 25.0423)* CHOOSE(CONTROL!$C$21, $C$9, 100%, $E$9)</f>
        <v>25.042300000000001</v>
      </c>
      <c r="K526" s="53">
        <f>CHOOSE(CONTROL!$C$42, 25.1414, 25.1414) * CHOOSE(CONTROL!$C$21, $C$9, 100%, $E$9)</f>
        <v>25.141400000000001</v>
      </c>
      <c r="L526" s="14">
        <f>CHOOSE(CONTROL!$C$42, 25.8997, 25.8997) * CHOOSE(CONTROL!$C$21, $C$9, 100%, $E$9)</f>
        <v>25.899699999999999</v>
      </c>
      <c r="M526" s="14">
        <f>CHOOSE(CONTROL!$C$42, 24.5369, 24.5369) * CHOOSE(CONTROL!$C$21, $C$9, 100%, $E$9)</f>
        <v>24.536899999999999</v>
      </c>
      <c r="N526" s="14">
        <f>CHOOSE(CONTROL!$C$42, 24.5528, 24.5528) * CHOOSE(CONTROL!$C$21, $C$9, 100%, $E$9)</f>
        <v>24.552800000000001</v>
      </c>
      <c r="O526" s="14">
        <f>CHOOSE(CONTROL!$C$42, 24.8018, 24.8018) * CHOOSE(CONTROL!$C$21, $C$9, 100%, $E$9)</f>
        <v>24.8018</v>
      </c>
      <c r="P526" s="14">
        <f>CHOOSE(CONTROL!$C$42, 24.6363, 24.6363) * CHOOSE(CONTROL!$C$21, $C$9, 100%, $E$9)</f>
        <v>24.636299999999999</v>
      </c>
      <c r="Q526" s="14">
        <f>CHOOSE(CONTROL!$C$42, 25.3965, 25.3965) * CHOOSE(CONTROL!$C$21, $C$9, 100%, $E$9)</f>
        <v>25.3965</v>
      </c>
      <c r="R526" s="14">
        <f>CHOOSE(CONTROL!$C$42, 26.047, 26.047) * CHOOSE(CONTROL!$C$21, $C$9, 100%, $E$9)</f>
        <v>26.047000000000001</v>
      </c>
      <c r="S526" s="14">
        <f>CHOOSE(CONTROL!$C$42, 24.0609, 24.0609) * CHOOSE(CONTROL!$C$21, $C$9, 100%, $E$9)</f>
        <v>24.0609</v>
      </c>
      <c r="T5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7">
        <f>(1000*CHOOSE(CONTROL!$C$42, 695, 695)*CHOOSE(CONTROL!$C$42, 0.5599, 0.5599)*CHOOSE(CONTROL!$C$42, 31, 31))/1000000</f>
        <v>12.063045499999998</v>
      </c>
      <c r="V526" s="57">
        <f>(1000*CHOOSE(CONTROL!$C$42, 500, 500)*CHOOSE(CONTROL!$C$42, 0.275, 0.275)*CHOOSE(CONTROL!$C$42, 31, 31))/1000000</f>
        <v>4.2625000000000002</v>
      </c>
      <c r="W526" s="57">
        <f>(1000*CHOOSE(CONTROL!$C$42, 0.1146, 0.1146)*CHOOSE(CONTROL!$C$42, 121.5, 121.5)*CHOOSE(CONTROL!$C$42, 31, 31))/1000000</f>
        <v>0.43164089999999994</v>
      </c>
      <c r="X526" s="57">
        <f>(31*0.1790888*245000/1000000)+(31*0.2374*100000/1000000)</f>
        <v>2.0961194359999999</v>
      </c>
      <c r="Y526" s="57"/>
      <c r="Z526" s="14"/>
      <c r="AA526" s="56"/>
      <c r="AB526" s="50">
        <f>(B526*131.881+C526*277.167+D526*79.08+E526*125.872+F526*40+G526*185+H526*0+I526*100+J526*300)/(131.881+277.167+79.08+125.872+0+40+185+100+300)</f>
        <v>25.102232179015335</v>
      </c>
      <c r="AC526" s="45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24.629187050359711</v>
      </c>
    </row>
    <row r="527" spans="1:29" ht="15.75" x14ac:dyDescent="0.25">
      <c r="A527" s="32">
        <v>56948</v>
      </c>
      <c r="B527" s="14">
        <f>CHOOSE(CONTROL!$C$42, 25.7085, 25.7085) * CHOOSE(CONTROL!$C$21, $C$9, 100%, $E$9)</f>
        <v>25.708500000000001</v>
      </c>
      <c r="C527" s="14">
        <f>CHOOSE(CONTROL!$C$42, 25.7135, 25.7135) * CHOOSE(CONTROL!$C$21, $C$9, 100%, $E$9)</f>
        <v>25.7135</v>
      </c>
      <c r="D527" s="14">
        <f>CHOOSE(CONTROL!$C$42, 25.7878, 25.7878) * CHOOSE(CONTROL!$C$21, $C$9, 100%, $E$9)</f>
        <v>25.787800000000001</v>
      </c>
      <c r="E527" s="14">
        <f>CHOOSE(CONTROL!$C$42, 25.8219, 25.8219) * CHOOSE(CONTROL!$C$21, $C$9, 100%, $E$9)</f>
        <v>25.821899999999999</v>
      </c>
      <c r="F527" s="14">
        <f>CHOOSE(CONTROL!$C$42, 25.7205, 25.7205)*CHOOSE(CONTROL!$C$21, $C$9, 100%, $E$9)</f>
        <v>25.720500000000001</v>
      </c>
      <c r="G527" s="14">
        <f>CHOOSE(CONTROL!$C$42, 25.7371, 25.7371)*CHOOSE(CONTROL!$C$21, $C$9, 100%, $E$9)</f>
        <v>25.737100000000002</v>
      </c>
      <c r="H527" s="14">
        <f>CHOOSE(CONTROL!$C$42, 25.8111, 25.8111) * CHOOSE(CONTROL!$C$21, $C$9, 100%, $E$9)</f>
        <v>25.8111</v>
      </c>
      <c r="I527" s="14">
        <f>CHOOSE(CONTROL!$C$42, 25.8133, 25.8133)* CHOOSE(CONTROL!$C$21, $C$9, 100%, $E$9)</f>
        <v>25.813300000000002</v>
      </c>
      <c r="J527" s="14">
        <f>CHOOSE(CONTROL!$C$42, 25.7135, 25.7135)* CHOOSE(CONTROL!$C$21, $C$9, 100%, $E$9)</f>
        <v>25.7135</v>
      </c>
      <c r="K527" s="53">
        <f>CHOOSE(CONTROL!$C$42, 25.8094, 25.8094) * CHOOSE(CONTROL!$C$21, $C$9, 100%, $E$9)</f>
        <v>25.8094</v>
      </c>
      <c r="L527" s="14">
        <f>CHOOSE(CONTROL!$C$42, 26.3981, 26.3981) * CHOOSE(CONTROL!$C$21, $C$9, 100%, $E$9)</f>
        <v>26.398099999999999</v>
      </c>
      <c r="M527" s="14">
        <f>CHOOSE(CONTROL!$C$42, 25.1944, 25.1944) * CHOOSE(CONTROL!$C$21, $C$9, 100%, $E$9)</f>
        <v>25.194400000000002</v>
      </c>
      <c r="N527" s="14">
        <f>CHOOSE(CONTROL!$C$42, 25.2106, 25.2106) * CHOOSE(CONTROL!$C$21, $C$9, 100%, $E$9)</f>
        <v>25.210599999999999</v>
      </c>
      <c r="O527" s="14">
        <f>CHOOSE(CONTROL!$C$42, 25.2899, 25.2899) * CHOOSE(CONTROL!$C$21, $C$9, 100%, $E$9)</f>
        <v>25.289899999999999</v>
      </c>
      <c r="P527" s="14">
        <f>CHOOSE(CONTROL!$C$42, 25.2906, 25.2906) * CHOOSE(CONTROL!$C$21, $C$9, 100%, $E$9)</f>
        <v>25.290600000000001</v>
      </c>
      <c r="Q527" s="14">
        <f>CHOOSE(CONTROL!$C$42, 25.8846, 25.8846) * CHOOSE(CONTROL!$C$21, $C$9, 100%, $E$9)</f>
        <v>25.884599999999999</v>
      </c>
      <c r="R527" s="14">
        <f>CHOOSE(CONTROL!$C$42, 26.5363, 26.5363) * CHOOSE(CONTROL!$C$21, $C$9, 100%, $E$9)</f>
        <v>26.536300000000001</v>
      </c>
      <c r="S527" s="14">
        <f>CHOOSE(CONTROL!$C$42, 24.6947, 24.6947) * CHOOSE(CONTROL!$C$21, $C$9, 100%, $E$9)</f>
        <v>24.694700000000001</v>
      </c>
      <c r="T5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7">
        <f>(1000*CHOOSE(CONTROL!$C$42, 695, 695)*CHOOSE(CONTROL!$C$42, 0.5599, 0.5599)*CHOOSE(CONTROL!$C$42, 30, 30))/1000000</f>
        <v>11.673914999999997</v>
      </c>
      <c r="V527" s="57">
        <f>(1000*CHOOSE(CONTROL!$C$42, 500, 500)*CHOOSE(CONTROL!$C$42, 0.275, 0.275)*CHOOSE(CONTROL!$C$42, 30, 30))/1000000</f>
        <v>4.125</v>
      </c>
      <c r="W527" s="57">
        <f>(1000*CHOOSE(CONTROL!$C$42, 0.1146, 0.1146)*CHOOSE(CONTROL!$C$42, 121.5, 121.5)*CHOOSE(CONTROL!$C$42, 30, 30))/1000000</f>
        <v>0.417717</v>
      </c>
      <c r="X527" s="57">
        <f>(30*0.1790888*100000/1000000)+(30*0.2374*100000/1000000)</f>
        <v>1.2494664</v>
      </c>
      <c r="Y527" s="57"/>
      <c r="Z527" s="14"/>
      <c r="AA527" s="56"/>
      <c r="AB527" s="50">
        <f>(B527*122.58+C527*297.941+D527*89.177+E527*40.302+F527*40+G527*160+H527*0+I527*100+J527*300)/(122.58+297.941+89.177+40.302+0+40+160+100+300)</f>
        <v>25.734732772086957</v>
      </c>
      <c r="AC527" s="45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25.252458273381297</v>
      </c>
    </row>
    <row r="528" spans="1:29" ht="15.75" x14ac:dyDescent="0.25">
      <c r="A528" s="32">
        <v>56979</v>
      </c>
      <c r="B528" s="14">
        <f>CHOOSE(CONTROL!$C$42, 27.4606, 27.4606) * CHOOSE(CONTROL!$C$21, $C$9, 100%, $E$9)</f>
        <v>27.460599999999999</v>
      </c>
      <c r="C528" s="14">
        <f>CHOOSE(CONTROL!$C$42, 27.4657, 27.4657) * CHOOSE(CONTROL!$C$21, $C$9, 100%, $E$9)</f>
        <v>27.465699999999998</v>
      </c>
      <c r="D528" s="14">
        <f>CHOOSE(CONTROL!$C$42, 27.5399, 27.5399) * CHOOSE(CONTROL!$C$21, $C$9, 100%, $E$9)</f>
        <v>27.539899999999999</v>
      </c>
      <c r="E528" s="14">
        <f>CHOOSE(CONTROL!$C$42, 27.574, 27.574) * CHOOSE(CONTROL!$C$21, $C$9, 100%, $E$9)</f>
        <v>27.574000000000002</v>
      </c>
      <c r="F528" s="14">
        <f>CHOOSE(CONTROL!$C$42, 27.4748, 27.4748)*CHOOSE(CONTROL!$C$21, $C$9, 100%, $E$9)</f>
        <v>27.474799999999998</v>
      </c>
      <c r="G528" s="14">
        <f>CHOOSE(CONTROL!$C$42, 27.492, 27.492)*CHOOSE(CONTROL!$C$21, $C$9, 100%, $E$9)</f>
        <v>27.492000000000001</v>
      </c>
      <c r="H528" s="14">
        <f>CHOOSE(CONTROL!$C$42, 27.5632, 27.5632) * CHOOSE(CONTROL!$C$21, $C$9, 100%, $E$9)</f>
        <v>27.563199999999998</v>
      </c>
      <c r="I528" s="14">
        <f>CHOOSE(CONTROL!$C$42, 27.5709, 27.5709)* CHOOSE(CONTROL!$C$21, $C$9, 100%, $E$9)</f>
        <v>27.570900000000002</v>
      </c>
      <c r="J528" s="14">
        <f>CHOOSE(CONTROL!$C$42, 27.4678, 27.4678)* CHOOSE(CONTROL!$C$21, $C$9, 100%, $E$9)</f>
        <v>27.4678</v>
      </c>
      <c r="K528" s="53">
        <f>CHOOSE(CONTROL!$C$42, 27.567, 27.567) * CHOOSE(CONTROL!$C$21, $C$9, 100%, $E$9)</f>
        <v>27.567</v>
      </c>
      <c r="L528" s="14">
        <f>CHOOSE(CONTROL!$C$42, 28.1502, 28.1502) * CHOOSE(CONTROL!$C$21, $C$9, 100%, $E$9)</f>
        <v>28.150200000000002</v>
      </c>
      <c r="M528" s="14">
        <f>CHOOSE(CONTROL!$C$42, 26.9127, 26.9127) * CHOOSE(CONTROL!$C$21, $C$9, 100%, $E$9)</f>
        <v>26.912700000000001</v>
      </c>
      <c r="N528" s="14">
        <f>CHOOSE(CONTROL!$C$42, 26.9295, 26.9295) * CHOOSE(CONTROL!$C$21, $C$9, 100%, $E$9)</f>
        <v>26.929500000000001</v>
      </c>
      <c r="O528" s="14">
        <f>CHOOSE(CONTROL!$C$42, 27.0061, 27.0061) * CHOOSE(CONTROL!$C$21, $C$9, 100%, $E$9)</f>
        <v>27.0061</v>
      </c>
      <c r="P528" s="14">
        <f>CHOOSE(CONTROL!$C$42, 27.0121, 27.0121) * CHOOSE(CONTROL!$C$21, $C$9, 100%, $E$9)</f>
        <v>27.0121</v>
      </c>
      <c r="Q528" s="14">
        <f>CHOOSE(CONTROL!$C$42, 27.6008, 27.6008) * CHOOSE(CONTROL!$C$21, $C$9, 100%, $E$9)</f>
        <v>27.6008</v>
      </c>
      <c r="R528" s="14">
        <f>CHOOSE(CONTROL!$C$42, 28.2568, 28.2568) * CHOOSE(CONTROL!$C$21, $C$9, 100%, $E$9)</f>
        <v>28.256799999999998</v>
      </c>
      <c r="S528" s="14">
        <f>CHOOSE(CONTROL!$C$42, 26.3783, 26.3783) * CHOOSE(CONTROL!$C$21, $C$9, 100%, $E$9)</f>
        <v>26.378299999999999</v>
      </c>
      <c r="T5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7">
        <f>(1000*CHOOSE(CONTROL!$C$42, 695, 695)*CHOOSE(CONTROL!$C$42, 0.5599, 0.5599)*CHOOSE(CONTROL!$C$42, 31, 31))/1000000</f>
        <v>12.063045499999998</v>
      </c>
      <c r="V528" s="57">
        <f>(1000*CHOOSE(CONTROL!$C$42, 500, 500)*CHOOSE(CONTROL!$C$42, 0.275, 0.275)*CHOOSE(CONTROL!$C$42, 31, 31))/1000000</f>
        <v>4.2625000000000002</v>
      </c>
      <c r="W528" s="57">
        <f>(1000*CHOOSE(CONTROL!$C$42, 0.1146, 0.1146)*CHOOSE(CONTROL!$C$42, 121.5, 121.5)*CHOOSE(CONTROL!$C$42, 31, 31))/1000000</f>
        <v>0.43164089999999994</v>
      </c>
      <c r="X528" s="57">
        <f>(31*0.1790888*100000/1000000)+(31*0.2374*100000/1000000)</f>
        <v>1.2911152800000001</v>
      </c>
      <c r="Y528" s="57"/>
      <c r="Z528" s="14"/>
      <c r="AA528" s="56"/>
      <c r="AB528" s="50">
        <f>(B528*122.58+C528*297.941+D528*89.177+E528*40.302+F528*40+G528*160+H528*0+I528*100+J528*300)/(122.58+297.941+89.177+40.302+0+40+160+100+300)</f>
        <v>27.488376940869568</v>
      </c>
      <c r="AC528" s="45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26.970301438848924</v>
      </c>
    </row>
    <row r="529" spans="1:29" ht="15.75" x14ac:dyDescent="0.25">
      <c r="A529" s="32">
        <v>57010</v>
      </c>
      <c r="B529" s="14">
        <f>CHOOSE(CONTROL!$C$42, 29.7363, 29.7363) * CHOOSE(CONTROL!$C$21, $C$9, 100%, $E$9)</f>
        <v>29.7363</v>
      </c>
      <c r="C529" s="14">
        <f>CHOOSE(CONTROL!$C$42, 29.7414, 29.7414) * CHOOSE(CONTROL!$C$21, $C$9, 100%, $E$9)</f>
        <v>29.741399999999999</v>
      </c>
      <c r="D529" s="14">
        <f>CHOOSE(CONTROL!$C$42, 29.8182, 29.8182) * CHOOSE(CONTROL!$C$21, $C$9, 100%, $E$9)</f>
        <v>29.818200000000001</v>
      </c>
      <c r="E529" s="14">
        <f>CHOOSE(CONTROL!$C$42, 29.8523, 29.8523) * CHOOSE(CONTROL!$C$21, $C$9, 100%, $E$9)</f>
        <v>29.8523</v>
      </c>
      <c r="F529" s="14">
        <f>CHOOSE(CONTROL!$C$42, 29.7365, 29.7365)*CHOOSE(CONTROL!$C$21, $C$9, 100%, $E$9)</f>
        <v>29.736499999999999</v>
      </c>
      <c r="G529" s="14">
        <f>CHOOSE(CONTROL!$C$42, 29.7527, 29.7527)*CHOOSE(CONTROL!$C$21, $C$9, 100%, $E$9)</f>
        <v>29.752700000000001</v>
      </c>
      <c r="H529" s="14">
        <f>CHOOSE(CONTROL!$C$42, 29.8415, 29.8415) * CHOOSE(CONTROL!$C$21, $C$9, 100%, $E$9)</f>
        <v>29.8415</v>
      </c>
      <c r="I529" s="14">
        <f>CHOOSE(CONTROL!$C$42, 29.8475, 29.8475)* CHOOSE(CONTROL!$C$21, $C$9, 100%, $E$9)</f>
        <v>29.8475</v>
      </c>
      <c r="J529" s="14">
        <f>CHOOSE(CONTROL!$C$42, 29.7295, 29.7295)* CHOOSE(CONTROL!$C$21, $C$9, 100%, $E$9)</f>
        <v>29.729500000000002</v>
      </c>
      <c r="K529" s="53">
        <f>CHOOSE(CONTROL!$C$42, 29.8436, 29.8436) * CHOOSE(CONTROL!$C$21, $C$9, 100%, $E$9)</f>
        <v>29.843599999999999</v>
      </c>
      <c r="L529" s="14">
        <f>CHOOSE(CONTROL!$C$42, 30.4285, 30.4285) * CHOOSE(CONTROL!$C$21, $C$9, 100%, $E$9)</f>
        <v>30.4285</v>
      </c>
      <c r="M529" s="14">
        <f>CHOOSE(CONTROL!$C$42, 29.1281, 29.1281) * CHOOSE(CONTROL!$C$21, $C$9, 100%, $E$9)</f>
        <v>29.1281</v>
      </c>
      <c r="N529" s="14">
        <f>CHOOSE(CONTROL!$C$42, 29.1439, 29.1439) * CHOOSE(CONTROL!$C$21, $C$9, 100%, $E$9)</f>
        <v>29.143899999999999</v>
      </c>
      <c r="O529" s="14">
        <f>CHOOSE(CONTROL!$C$42, 29.2377, 29.2377) * CHOOSE(CONTROL!$C$21, $C$9, 100%, $E$9)</f>
        <v>29.2377</v>
      </c>
      <c r="P529" s="14">
        <f>CHOOSE(CONTROL!$C$42, 29.2418, 29.2418) * CHOOSE(CONTROL!$C$21, $C$9, 100%, $E$9)</f>
        <v>29.241800000000001</v>
      </c>
      <c r="Q529" s="14">
        <f>CHOOSE(CONTROL!$C$42, 29.8324, 29.8324) * CHOOSE(CONTROL!$C$21, $C$9, 100%, $E$9)</f>
        <v>29.8324</v>
      </c>
      <c r="R529" s="14">
        <f>CHOOSE(CONTROL!$C$42, 30.494, 30.494) * CHOOSE(CONTROL!$C$21, $C$9, 100%, $E$9)</f>
        <v>30.494</v>
      </c>
      <c r="S529" s="14">
        <f>CHOOSE(CONTROL!$C$42, 28.5651, 28.5651) * CHOOSE(CONTROL!$C$21, $C$9, 100%, $E$9)</f>
        <v>28.565100000000001</v>
      </c>
      <c r="T5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7">
        <f>(1000*CHOOSE(CONTROL!$C$42, 695, 695)*CHOOSE(CONTROL!$C$42, 0.5599, 0.5599)*CHOOSE(CONTROL!$C$42, 31, 31))/1000000</f>
        <v>12.063045499999998</v>
      </c>
      <c r="V529" s="57">
        <f>(1000*CHOOSE(CONTROL!$C$42, 500, 500)*CHOOSE(CONTROL!$C$42, 0.275, 0.275)*CHOOSE(CONTROL!$C$42, 31, 31))/1000000</f>
        <v>4.2625000000000002</v>
      </c>
      <c r="W529" s="57">
        <f>(1000*CHOOSE(CONTROL!$C$42, 0.1146, 0.1146)*CHOOSE(CONTROL!$C$42, 121.5, 121.5)*CHOOSE(CONTROL!$C$42, 31, 31))/1000000</f>
        <v>0.43164089999999994</v>
      </c>
      <c r="X529" s="57">
        <f>(31*0.1790888*100000/1000000)+(31*0.2374*100000/1000000)</f>
        <v>1.2911152800000001</v>
      </c>
      <c r="Y529" s="57"/>
      <c r="Z529" s="14"/>
      <c r="AA529" s="56"/>
      <c r="AB529" s="50">
        <f>(B529*122.58+C529*297.941+D529*89.177+E529*40.302+F529*40+G529*160+H529*0+I529*100+J529*300)/(122.58+297.941+89.177+40.302+0+40+160+100+300)</f>
        <v>29.758221849913042</v>
      </c>
      <c r="AC529" s="45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29.19504388489209</v>
      </c>
    </row>
    <row r="530" spans="1:29" ht="15.75" x14ac:dyDescent="0.25">
      <c r="A530" s="32">
        <v>57038</v>
      </c>
      <c r="B530" s="14">
        <f>CHOOSE(CONTROL!$C$42, 30.2655, 30.2655) * CHOOSE(CONTROL!$C$21, $C$9, 100%, $E$9)</f>
        <v>30.265499999999999</v>
      </c>
      <c r="C530" s="14">
        <f>CHOOSE(CONTROL!$C$42, 30.2705, 30.2705) * CHOOSE(CONTROL!$C$21, $C$9, 100%, $E$9)</f>
        <v>30.270499999999998</v>
      </c>
      <c r="D530" s="14">
        <f>CHOOSE(CONTROL!$C$42, 30.3473, 30.3473) * CHOOSE(CONTROL!$C$21, $C$9, 100%, $E$9)</f>
        <v>30.347300000000001</v>
      </c>
      <c r="E530" s="14">
        <f>CHOOSE(CONTROL!$C$42, 30.3815, 30.3815) * CHOOSE(CONTROL!$C$21, $C$9, 100%, $E$9)</f>
        <v>30.381499999999999</v>
      </c>
      <c r="F530" s="14">
        <f>CHOOSE(CONTROL!$C$42, 30.2657, 30.2657)*CHOOSE(CONTROL!$C$21, $C$9, 100%, $E$9)</f>
        <v>30.265699999999999</v>
      </c>
      <c r="G530" s="14">
        <f>CHOOSE(CONTROL!$C$42, 30.282, 30.282)*CHOOSE(CONTROL!$C$21, $C$9, 100%, $E$9)</f>
        <v>30.282</v>
      </c>
      <c r="H530" s="14">
        <f>CHOOSE(CONTROL!$C$42, 30.3706, 30.3706) * CHOOSE(CONTROL!$C$21, $C$9, 100%, $E$9)</f>
        <v>30.3706</v>
      </c>
      <c r="I530" s="14">
        <f>CHOOSE(CONTROL!$C$42, 30.3783, 30.3783)* CHOOSE(CONTROL!$C$21, $C$9, 100%, $E$9)</f>
        <v>30.378299999999999</v>
      </c>
      <c r="J530" s="14">
        <f>CHOOSE(CONTROL!$C$42, 30.2587, 30.2587)* CHOOSE(CONTROL!$C$21, $C$9, 100%, $E$9)</f>
        <v>30.258700000000001</v>
      </c>
      <c r="K530" s="53">
        <f>CHOOSE(CONTROL!$C$42, 30.3744, 30.3744) * CHOOSE(CONTROL!$C$21, $C$9, 100%, $E$9)</f>
        <v>30.374400000000001</v>
      </c>
      <c r="L530" s="14">
        <f>CHOOSE(CONTROL!$C$42, 30.9576, 30.9576) * CHOOSE(CONTROL!$C$21, $C$9, 100%, $E$9)</f>
        <v>30.957599999999999</v>
      </c>
      <c r="M530" s="14">
        <f>CHOOSE(CONTROL!$C$42, 29.6464, 29.6464) * CHOOSE(CONTROL!$C$21, $C$9, 100%, $E$9)</f>
        <v>29.6464</v>
      </c>
      <c r="N530" s="14">
        <f>CHOOSE(CONTROL!$C$42, 29.6623, 29.6623) * CHOOSE(CONTROL!$C$21, $C$9, 100%, $E$9)</f>
        <v>29.662299999999998</v>
      </c>
      <c r="O530" s="14">
        <f>CHOOSE(CONTROL!$C$42, 29.7561, 29.7561) * CHOOSE(CONTROL!$C$21, $C$9, 100%, $E$9)</f>
        <v>29.7561</v>
      </c>
      <c r="P530" s="14">
        <f>CHOOSE(CONTROL!$C$42, 29.7617, 29.7617) * CHOOSE(CONTROL!$C$21, $C$9, 100%, $E$9)</f>
        <v>29.761700000000001</v>
      </c>
      <c r="Q530" s="14">
        <f>CHOOSE(CONTROL!$C$42, 30.3508, 30.3508) * CHOOSE(CONTROL!$C$21, $C$9, 100%, $E$9)</f>
        <v>30.3508</v>
      </c>
      <c r="R530" s="14">
        <f>CHOOSE(CONTROL!$C$42, 31.0136, 31.0136) * CHOOSE(CONTROL!$C$21, $C$9, 100%, $E$9)</f>
        <v>31.0136</v>
      </c>
      <c r="S530" s="14">
        <f>CHOOSE(CONTROL!$C$42, 29.0735, 29.0735) * CHOOSE(CONTROL!$C$21, $C$9, 100%, $E$9)</f>
        <v>29.073499999999999</v>
      </c>
      <c r="T53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7">
        <f>(1000*CHOOSE(CONTROL!$C$42, 695, 695)*CHOOSE(CONTROL!$C$42, 0.5599, 0.5599)*CHOOSE(CONTROL!$C$42, 29, 29))/1000000</f>
        <v>11.284784499999999</v>
      </c>
      <c r="V530" s="57">
        <f>(1000*CHOOSE(CONTROL!$C$42, 500, 500)*CHOOSE(CONTROL!$C$42, 0.275, 0.275)*CHOOSE(CONTROL!$C$42, 29, 29))/1000000</f>
        <v>3.9874999999999998</v>
      </c>
      <c r="W530" s="57">
        <f>(1000*CHOOSE(CONTROL!$C$42, 0.1146, 0.1146)*CHOOSE(CONTROL!$C$42, 121.5, 121.5)*CHOOSE(CONTROL!$C$42, 29, 29))/1000000</f>
        <v>0.40379309999999996</v>
      </c>
      <c r="X530" s="57">
        <f>(29*0.1790888*100000/1000000)+(29*0.2374*100000/1000000)</f>
        <v>1.2078175199999999</v>
      </c>
      <c r="Y530" s="57"/>
      <c r="Z530" s="14"/>
      <c r="AA530" s="56"/>
      <c r="AB530" s="50">
        <f>(B530*122.58+C530*297.941+D530*89.177+E530*40.302+F530*40+G530*160+H530*0+I530*100+J530*300)/(122.58+297.941+89.177+40.302+0+40+160+100+300)</f>
        <v>30.287541230956521</v>
      </c>
      <c r="AC530" s="45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29.713625179856113</v>
      </c>
    </row>
    <row r="531" spans="1:29" ht="15.75" x14ac:dyDescent="0.25">
      <c r="A531" s="32">
        <v>57070</v>
      </c>
      <c r="B531" s="14">
        <f>CHOOSE(CONTROL!$C$42, 29.4065, 29.4065) * CHOOSE(CONTROL!$C$21, $C$9, 100%, $E$9)</f>
        <v>29.406500000000001</v>
      </c>
      <c r="C531" s="14">
        <f>CHOOSE(CONTROL!$C$42, 29.4115, 29.4115) * CHOOSE(CONTROL!$C$21, $C$9, 100%, $E$9)</f>
        <v>29.4115</v>
      </c>
      <c r="D531" s="14">
        <f>CHOOSE(CONTROL!$C$42, 29.4884, 29.4884) * CHOOSE(CONTROL!$C$21, $C$9, 100%, $E$9)</f>
        <v>29.488399999999999</v>
      </c>
      <c r="E531" s="14">
        <f>CHOOSE(CONTROL!$C$42, 29.5225, 29.5225) * CHOOSE(CONTROL!$C$21, $C$9, 100%, $E$9)</f>
        <v>29.522500000000001</v>
      </c>
      <c r="F531" s="14">
        <f>CHOOSE(CONTROL!$C$42, 29.4063, 29.4063)*CHOOSE(CONTROL!$C$21, $C$9, 100%, $E$9)</f>
        <v>29.406300000000002</v>
      </c>
      <c r="G531" s="14">
        <f>CHOOSE(CONTROL!$C$42, 29.4224, 29.4224)*CHOOSE(CONTROL!$C$21, $C$9, 100%, $E$9)</f>
        <v>29.4224</v>
      </c>
      <c r="H531" s="14">
        <f>CHOOSE(CONTROL!$C$42, 29.5117, 29.5117) * CHOOSE(CONTROL!$C$21, $C$9, 100%, $E$9)</f>
        <v>29.511700000000001</v>
      </c>
      <c r="I531" s="14">
        <f>CHOOSE(CONTROL!$C$42, 29.5166, 29.5166)* CHOOSE(CONTROL!$C$21, $C$9, 100%, $E$9)</f>
        <v>29.5166</v>
      </c>
      <c r="J531" s="14">
        <f>CHOOSE(CONTROL!$C$42, 29.3993, 29.3993)* CHOOSE(CONTROL!$C$21, $C$9, 100%, $E$9)</f>
        <v>29.3993</v>
      </c>
      <c r="K531" s="53">
        <f>CHOOSE(CONTROL!$C$42, 29.5128, 29.5128) * CHOOSE(CONTROL!$C$21, $C$9, 100%, $E$9)</f>
        <v>29.512799999999999</v>
      </c>
      <c r="L531" s="14">
        <f>CHOOSE(CONTROL!$C$42, 30.0987, 30.0987) * CHOOSE(CONTROL!$C$21, $C$9, 100%, $E$9)</f>
        <v>30.098700000000001</v>
      </c>
      <c r="M531" s="14">
        <f>CHOOSE(CONTROL!$C$42, 28.8046, 28.8046) * CHOOSE(CONTROL!$C$21, $C$9, 100%, $E$9)</f>
        <v>28.804600000000001</v>
      </c>
      <c r="N531" s="14">
        <f>CHOOSE(CONTROL!$C$42, 28.8204, 28.8204) * CHOOSE(CONTROL!$C$21, $C$9, 100%, $E$9)</f>
        <v>28.820399999999999</v>
      </c>
      <c r="O531" s="14">
        <f>CHOOSE(CONTROL!$C$42, 28.9147, 28.9147) * CHOOSE(CONTROL!$C$21, $C$9, 100%, $E$9)</f>
        <v>28.9147</v>
      </c>
      <c r="P531" s="14">
        <f>CHOOSE(CONTROL!$C$42, 28.9178, 28.9178) * CHOOSE(CONTROL!$C$21, $C$9, 100%, $E$9)</f>
        <v>28.9178</v>
      </c>
      <c r="Q531" s="14">
        <f>CHOOSE(CONTROL!$C$42, 29.5094, 29.5094) * CHOOSE(CONTROL!$C$21, $C$9, 100%, $E$9)</f>
        <v>29.509399999999999</v>
      </c>
      <c r="R531" s="14">
        <f>CHOOSE(CONTROL!$C$42, 30.1702, 30.1702) * CHOOSE(CONTROL!$C$21, $C$9, 100%, $E$9)</f>
        <v>30.170200000000001</v>
      </c>
      <c r="S531" s="14">
        <f>CHOOSE(CONTROL!$C$42, 28.2481, 28.2481) * CHOOSE(CONTROL!$C$21, $C$9, 100%, $E$9)</f>
        <v>28.248100000000001</v>
      </c>
      <c r="T5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7">
        <f>(1000*CHOOSE(CONTROL!$C$42, 695, 695)*CHOOSE(CONTROL!$C$42, 0.5599, 0.5599)*CHOOSE(CONTROL!$C$42, 31, 31))/1000000</f>
        <v>12.063045499999998</v>
      </c>
      <c r="V531" s="57">
        <f>(1000*CHOOSE(CONTROL!$C$42, 500, 500)*CHOOSE(CONTROL!$C$42, 0.275, 0.275)*CHOOSE(CONTROL!$C$42, 31, 31))/1000000</f>
        <v>4.2625000000000002</v>
      </c>
      <c r="W531" s="57">
        <f>(1000*CHOOSE(CONTROL!$C$42, 0.1146, 0.1146)*CHOOSE(CONTROL!$C$42, 121.5, 121.5)*CHOOSE(CONTROL!$C$42, 31, 31))/1000000</f>
        <v>0.43164089999999994</v>
      </c>
      <c r="X531" s="57">
        <f>(31*0.1790888*100000/1000000)+(31*0.2374*100000/1000000)</f>
        <v>1.2911152800000001</v>
      </c>
      <c r="Y531" s="57"/>
      <c r="Z531" s="14"/>
      <c r="AA531" s="56"/>
      <c r="AB531" s="50">
        <f>(B531*122.58+C531*297.941+D531*89.177+E531*40.302+F531*40+G531*160+H531*0+I531*100+J531*300)/(122.58+297.941+89.177+40.302+0+40+160+100+300)</f>
        <v>29.428112463739133</v>
      </c>
      <c r="AC531" s="45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28.871698561151074</v>
      </c>
    </row>
    <row r="532" spans="1:29" ht="15.75" x14ac:dyDescent="0.25">
      <c r="A532" s="32">
        <v>57100</v>
      </c>
      <c r="B532" s="14">
        <f>CHOOSE(CONTROL!$C$42, 29.3197, 29.3197) * CHOOSE(CONTROL!$C$21, $C$9, 100%, $E$9)</f>
        <v>29.319700000000001</v>
      </c>
      <c r="C532" s="14">
        <f>CHOOSE(CONTROL!$C$42, 29.3242, 29.3242) * CHOOSE(CONTROL!$C$21, $C$9, 100%, $E$9)</f>
        <v>29.324200000000001</v>
      </c>
      <c r="D532" s="14">
        <f>CHOOSE(CONTROL!$C$42, 29.5609, 29.5609) * CHOOSE(CONTROL!$C$21, $C$9, 100%, $E$9)</f>
        <v>29.5609</v>
      </c>
      <c r="E532" s="14">
        <f>CHOOSE(CONTROL!$C$42, 29.593, 29.593) * CHOOSE(CONTROL!$C$21, $C$9, 100%, $E$9)</f>
        <v>29.593</v>
      </c>
      <c r="F532" s="14">
        <f>CHOOSE(CONTROL!$C$42, 29.3176, 29.3176)*CHOOSE(CONTROL!$C$21, $C$9, 100%, $E$9)</f>
        <v>29.317599999999999</v>
      </c>
      <c r="G532" s="14">
        <f>CHOOSE(CONTROL!$C$42, 29.3335, 29.3335)*CHOOSE(CONTROL!$C$21, $C$9, 100%, $E$9)</f>
        <v>29.333500000000001</v>
      </c>
      <c r="H532" s="14">
        <f>CHOOSE(CONTROL!$C$42, 29.5828, 29.5828) * CHOOSE(CONTROL!$C$21, $C$9, 100%, $E$9)</f>
        <v>29.582799999999999</v>
      </c>
      <c r="I532" s="14">
        <f>CHOOSE(CONTROL!$C$42, 29.4288, 29.4288)* CHOOSE(CONTROL!$C$21, $C$9, 100%, $E$9)</f>
        <v>29.428799999999999</v>
      </c>
      <c r="J532" s="14">
        <f>CHOOSE(CONTROL!$C$42, 29.3106, 29.3106)* CHOOSE(CONTROL!$C$21, $C$9, 100%, $E$9)</f>
        <v>29.310600000000001</v>
      </c>
      <c r="K532" s="53">
        <f>CHOOSE(CONTROL!$C$42, 29.4249, 29.4249) * CHOOSE(CONTROL!$C$21, $C$9, 100%, $E$9)</f>
        <v>29.424900000000001</v>
      </c>
      <c r="L532" s="14">
        <f>CHOOSE(CONTROL!$C$42, 30.1698, 30.1698) * CHOOSE(CONTROL!$C$21, $C$9, 100%, $E$9)</f>
        <v>30.169799999999999</v>
      </c>
      <c r="M532" s="14">
        <f>CHOOSE(CONTROL!$C$42, 28.7178, 28.7178) * CHOOSE(CONTROL!$C$21, $C$9, 100%, $E$9)</f>
        <v>28.7178</v>
      </c>
      <c r="N532" s="14">
        <f>CHOOSE(CONTROL!$C$42, 28.7333, 28.7333) * CHOOSE(CONTROL!$C$21, $C$9, 100%, $E$9)</f>
        <v>28.7333</v>
      </c>
      <c r="O532" s="14">
        <f>CHOOSE(CONTROL!$C$42, 28.9844, 28.9844) * CHOOSE(CONTROL!$C$21, $C$9, 100%, $E$9)</f>
        <v>28.984400000000001</v>
      </c>
      <c r="P532" s="14">
        <f>CHOOSE(CONTROL!$C$42, 28.8318, 28.8318) * CHOOSE(CONTROL!$C$21, $C$9, 100%, $E$9)</f>
        <v>28.831800000000001</v>
      </c>
      <c r="Q532" s="14">
        <f>CHOOSE(CONTROL!$C$42, 29.5791, 29.5791) * CHOOSE(CONTROL!$C$21, $C$9, 100%, $E$9)</f>
        <v>29.5791</v>
      </c>
      <c r="R532" s="14">
        <f>CHOOSE(CONTROL!$C$42, 30.24, 30.24) * CHOOSE(CONTROL!$C$21, $C$9, 100%, $E$9)</f>
        <v>30.24</v>
      </c>
      <c r="S532" s="14">
        <f>CHOOSE(CONTROL!$C$42, 28.164, 28.164) * CHOOSE(CONTROL!$C$21, $C$9, 100%, $E$9)</f>
        <v>28.164000000000001</v>
      </c>
      <c r="T5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7">
        <f>(1000*CHOOSE(CONTROL!$C$42, 695, 695)*CHOOSE(CONTROL!$C$42, 0.5599, 0.5599)*CHOOSE(CONTROL!$C$42, 30, 30))/1000000</f>
        <v>11.673914999999997</v>
      </c>
      <c r="V532" s="57">
        <f>(1000*CHOOSE(CONTROL!$C$42, 500, 500)*CHOOSE(CONTROL!$C$42, 0.275, 0.275)*CHOOSE(CONTROL!$C$42, 30, 30))/1000000</f>
        <v>4.125</v>
      </c>
      <c r="W532" s="57">
        <f>(1000*CHOOSE(CONTROL!$C$42, 0.1146, 0.1146)*CHOOSE(CONTROL!$C$42, 121.5, 121.5)*CHOOSE(CONTROL!$C$42, 30, 30))/1000000</f>
        <v>0.417717</v>
      </c>
      <c r="X532" s="57">
        <f>(30*0.1790888*245000/1000000)+(30*0.2374*100000/1000000)</f>
        <v>2.0285026799999999</v>
      </c>
      <c r="Y532" s="57"/>
      <c r="Z532" s="14"/>
      <c r="AA532" s="56"/>
      <c r="AB532" s="50">
        <f>(B532*141.293+C532*267.993+D532*115.016+E532*89.698+F532*40+G532*185+H532*0+I532*100+J532*300)/(141.293+267.993+115.016+89.698+0+40+185+100+300)</f>
        <v>29.371444383454399</v>
      </c>
      <c r="AC532" s="45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28.812572661870501</v>
      </c>
    </row>
    <row r="533" spans="1:29" ht="15.75" x14ac:dyDescent="0.25">
      <c r="A533" s="32">
        <v>57131</v>
      </c>
      <c r="B533" s="14">
        <f>CHOOSE(CONTROL!$C$42, 29.5798, 29.5798) * CHOOSE(CONTROL!$C$21, $C$9, 100%, $E$9)</f>
        <v>29.579799999999999</v>
      </c>
      <c r="C533" s="14">
        <f>CHOOSE(CONTROL!$C$42, 29.5878, 29.5878) * CHOOSE(CONTROL!$C$21, $C$9, 100%, $E$9)</f>
        <v>29.587800000000001</v>
      </c>
      <c r="D533" s="14">
        <f>CHOOSE(CONTROL!$C$42, 29.8214, 29.8214) * CHOOSE(CONTROL!$C$21, $C$9, 100%, $E$9)</f>
        <v>29.821400000000001</v>
      </c>
      <c r="E533" s="14">
        <f>CHOOSE(CONTROL!$C$42, 29.8529, 29.8529) * CHOOSE(CONTROL!$C$21, $C$9, 100%, $E$9)</f>
        <v>29.852900000000002</v>
      </c>
      <c r="F533" s="14">
        <f>CHOOSE(CONTROL!$C$42, 29.5766, 29.5766)*CHOOSE(CONTROL!$C$21, $C$9, 100%, $E$9)</f>
        <v>29.576599999999999</v>
      </c>
      <c r="G533" s="14">
        <f>CHOOSE(CONTROL!$C$42, 29.5929, 29.5929)*CHOOSE(CONTROL!$C$21, $C$9, 100%, $E$9)</f>
        <v>29.5929</v>
      </c>
      <c r="H533" s="14">
        <f>CHOOSE(CONTROL!$C$42, 29.8415, 29.8415) * CHOOSE(CONTROL!$C$21, $C$9, 100%, $E$9)</f>
        <v>29.8415</v>
      </c>
      <c r="I533" s="14">
        <f>CHOOSE(CONTROL!$C$42, 29.6883, 29.6883)* CHOOSE(CONTROL!$C$21, $C$9, 100%, $E$9)</f>
        <v>29.688300000000002</v>
      </c>
      <c r="J533" s="14">
        <f>CHOOSE(CONTROL!$C$42, 29.5696, 29.5696)* CHOOSE(CONTROL!$C$21, $C$9, 100%, $E$9)</f>
        <v>29.569600000000001</v>
      </c>
      <c r="K533" s="53">
        <f>CHOOSE(CONTROL!$C$42, 29.6844, 29.6844) * CHOOSE(CONTROL!$C$21, $C$9, 100%, $E$9)</f>
        <v>29.6844</v>
      </c>
      <c r="L533" s="14">
        <f>CHOOSE(CONTROL!$C$42, 30.4285, 30.4285) * CHOOSE(CONTROL!$C$21, $C$9, 100%, $E$9)</f>
        <v>30.4285</v>
      </c>
      <c r="M533" s="14">
        <f>CHOOSE(CONTROL!$C$42, 28.9714, 28.9714) * CHOOSE(CONTROL!$C$21, $C$9, 100%, $E$9)</f>
        <v>28.971399999999999</v>
      </c>
      <c r="N533" s="14">
        <f>CHOOSE(CONTROL!$C$42, 28.9874, 28.9874) * CHOOSE(CONTROL!$C$21, $C$9, 100%, $E$9)</f>
        <v>28.987400000000001</v>
      </c>
      <c r="O533" s="14">
        <f>CHOOSE(CONTROL!$C$42, 29.2378, 29.2378) * CHOOSE(CONTROL!$C$21, $C$9, 100%, $E$9)</f>
        <v>29.2378</v>
      </c>
      <c r="P533" s="14">
        <f>CHOOSE(CONTROL!$C$42, 29.0859, 29.0859) * CHOOSE(CONTROL!$C$21, $C$9, 100%, $E$9)</f>
        <v>29.085899999999999</v>
      </c>
      <c r="Q533" s="14">
        <f>CHOOSE(CONTROL!$C$42, 29.8325, 29.8325) * CHOOSE(CONTROL!$C$21, $C$9, 100%, $E$9)</f>
        <v>29.8325</v>
      </c>
      <c r="R533" s="14">
        <f>CHOOSE(CONTROL!$C$42, 30.494, 30.494) * CHOOSE(CONTROL!$C$21, $C$9, 100%, $E$9)</f>
        <v>30.494</v>
      </c>
      <c r="S533" s="14">
        <f>CHOOSE(CONTROL!$C$42, 28.4126, 28.4126) * CHOOSE(CONTROL!$C$21, $C$9, 100%, $E$9)</f>
        <v>28.412600000000001</v>
      </c>
      <c r="T5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7">
        <f>(1000*CHOOSE(CONTROL!$C$42, 695, 695)*CHOOSE(CONTROL!$C$42, 0.5599, 0.5599)*CHOOSE(CONTROL!$C$42, 31, 31))/1000000</f>
        <v>12.063045499999998</v>
      </c>
      <c r="V533" s="57">
        <f>(1000*CHOOSE(CONTROL!$C$42, 500, 500)*CHOOSE(CONTROL!$C$42, 0.275, 0.275)*CHOOSE(CONTROL!$C$42, 31, 31))/1000000</f>
        <v>4.2625000000000002</v>
      </c>
      <c r="W533" s="57">
        <f>(1000*CHOOSE(CONTROL!$C$42, 0.1146, 0.1146)*CHOOSE(CONTROL!$C$42, 121.5, 121.5)*CHOOSE(CONTROL!$C$42, 31, 31))/1000000</f>
        <v>0.43164089999999994</v>
      </c>
      <c r="X533" s="57">
        <f>(31*0.1790888*245000/1000000)+(31*0.2374*100000/1000000)</f>
        <v>2.0961194359999999</v>
      </c>
      <c r="Y533" s="57"/>
      <c r="Z533" s="14"/>
      <c r="AA533" s="56"/>
      <c r="AB533" s="50">
        <f>(B533*194.205+C533*267.466+D533*133.845+E533*53.484+F533*40+G533*185+H533*0+I533*100+J533*300)/(194.205+267.466+133.845+53.484+0+40+185+100+300)</f>
        <v>29.626243218524333</v>
      </c>
      <c r="AC533" s="45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29.0663035971223</v>
      </c>
    </row>
    <row r="534" spans="1:29" ht="15.75" x14ac:dyDescent="0.25">
      <c r="A534" s="32">
        <v>57161</v>
      </c>
      <c r="B534" s="14">
        <f>CHOOSE(CONTROL!$C$42, 30.4185, 30.4185) * CHOOSE(CONTROL!$C$21, $C$9, 100%, $E$9)</f>
        <v>30.418500000000002</v>
      </c>
      <c r="C534" s="14">
        <f>CHOOSE(CONTROL!$C$42, 30.4265, 30.4265) * CHOOSE(CONTROL!$C$21, $C$9, 100%, $E$9)</f>
        <v>30.426500000000001</v>
      </c>
      <c r="D534" s="14">
        <f>CHOOSE(CONTROL!$C$42, 30.6601, 30.6601) * CHOOSE(CONTROL!$C$21, $C$9, 100%, $E$9)</f>
        <v>30.6601</v>
      </c>
      <c r="E534" s="14">
        <f>CHOOSE(CONTROL!$C$42, 30.6916, 30.6916) * CHOOSE(CONTROL!$C$21, $C$9, 100%, $E$9)</f>
        <v>30.691600000000001</v>
      </c>
      <c r="F534" s="14">
        <f>CHOOSE(CONTROL!$C$42, 30.4158, 30.4158)*CHOOSE(CONTROL!$C$21, $C$9, 100%, $E$9)</f>
        <v>30.415800000000001</v>
      </c>
      <c r="G534" s="14">
        <f>CHOOSE(CONTROL!$C$42, 30.4322, 30.4322)*CHOOSE(CONTROL!$C$21, $C$9, 100%, $E$9)</f>
        <v>30.432200000000002</v>
      </c>
      <c r="H534" s="14">
        <f>CHOOSE(CONTROL!$C$42, 30.6802, 30.6802) * CHOOSE(CONTROL!$C$21, $C$9, 100%, $E$9)</f>
        <v>30.680199999999999</v>
      </c>
      <c r="I534" s="14">
        <f>CHOOSE(CONTROL!$C$42, 30.5296, 30.5296)* CHOOSE(CONTROL!$C$21, $C$9, 100%, $E$9)</f>
        <v>30.529599999999999</v>
      </c>
      <c r="J534" s="14">
        <f>CHOOSE(CONTROL!$C$42, 30.4088, 30.4088)* CHOOSE(CONTROL!$C$21, $C$9, 100%, $E$9)</f>
        <v>30.408799999999999</v>
      </c>
      <c r="K534" s="53">
        <f>CHOOSE(CONTROL!$C$42, 30.5258, 30.5258) * CHOOSE(CONTROL!$C$21, $C$9, 100%, $E$9)</f>
        <v>30.5258</v>
      </c>
      <c r="L534" s="14">
        <f>CHOOSE(CONTROL!$C$42, 31.2672, 31.2672) * CHOOSE(CONTROL!$C$21, $C$9, 100%, $E$9)</f>
        <v>31.267199999999999</v>
      </c>
      <c r="M534" s="14">
        <f>CHOOSE(CONTROL!$C$42, 29.7934, 29.7934) * CHOOSE(CONTROL!$C$21, $C$9, 100%, $E$9)</f>
        <v>29.793399999999998</v>
      </c>
      <c r="N534" s="14">
        <f>CHOOSE(CONTROL!$C$42, 29.8095, 29.8095) * CHOOSE(CONTROL!$C$21, $C$9, 100%, $E$9)</f>
        <v>29.8095</v>
      </c>
      <c r="O534" s="14">
        <f>CHOOSE(CONTROL!$C$42, 30.0593, 30.0593) * CHOOSE(CONTROL!$C$21, $C$9, 100%, $E$9)</f>
        <v>30.0593</v>
      </c>
      <c r="P534" s="14">
        <f>CHOOSE(CONTROL!$C$42, 29.91, 29.91) * CHOOSE(CONTROL!$C$21, $C$9, 100%, $E$9)</f>
        <v>29.91</v>
      </c>
      <c r="Q534" s="14">
        <f>CHOOSE(CONTROL!$C$42, 30.654, 30.654) * CHOOSE(CONTROL!$C$21, $C$9, 100%, $E$9)</f>
        <v>30.654</v>
      </c>
      <c r="R534" s="14">
        <f>CHOOSE(CONTROL!$C$42, 31.3176, 31.3176) * CHOOSE(CONTROL!$C$21, $C$9, 100%, $E$9)</f>
        <v>31.317599999999999</v>
      </c>
      <c r="S534" s="14">
        <f>CHOOSE(CONTROL!$C$42, 29.2185, 29.2185) * CHOOSE(CONTROL!$C$21, $C$9, 100%, $E$9)</f>
        <v>29.218499999999999</v>
      </c>
      <c r="T5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7">
        <f>(1000*CHOOSE(CONTROL!$C$42, 695, 695)*CHOOSE(CONTROL!$C$42, 0.5599, 0.5599)*CHOOSE(CONTROL!$C$42, 30, 30))/1000000</f>
        <v>11.673914999999997</v>
      </c>
      <c r="V534" s="57">
        <f>(1000*CHOOSE(CONTROL!$C$42, 500, 500)*CHOOSE(CONTROL!$C$42, 0.275, 0.275)*CHOOSE(CONTROL!$C$42, 30, 30))/1000000</f>
        <v>4.125</v>
      </c>
      <c r="W534" s="57">
        <f>(1000*CHOOSE(CONTROL!$C$42, 0.1146, 0.1146)*CHOOSE(CONTROL!$C$42, 121.5, 121.5)*CHOOSE(CONTROL!$C$42, 30, 30))/1000000</f>
        <v>0.417717</v>
      </c>
      <c r="X534" s="57">
        <f>(30*0.1790888*245000/1000000)+(30*0.2374*100000/1000000)</f>
        <v>2.0285026799999999</v>
      </c>
      <c r="Y534" s="57"/>
      <c r="Z534" s="14"/>
      <c r="AA534" s="56"/>
      <c r="AB534" s="50">
        <f>(B534*194.205+C534*267.466+D534*133.845+E534*53.484+F534*40+G534*185+H534*0+I534*100+J534*300)/(194.205+267.466+133.845+53.484+0+40+185+100+300)</f>
        <v>30.465367865306128</v>
      </c>
      <c r="AC534" s="45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29.88848848920863</v>
      </c>
    </row>
    <row r="535" spans="1:29" ht="15.75" x14ac:dyDescent="0.25">
      <c r="A535" s="32">
        <v>57192</v>
      </c>
      <c r="B535" s="14">
        <f>CHOOSE(CONTROL!$C$42, 29.8352, 29.8352) * CHOOSE(CONTROL!$C$21, $C$9, 100%, $E$9)</f>
        <v>29.8352</v>
      </c>
      <c r="C535" s="14">
        <f>CHOOSE(CONTROL!$C$42, 29.8432, 29.8432) * CHOOSE(CONTROL!$C$21, $C$9, 100%, $E$9)</f>
        <v>29.8432</v>
      </c>
      <c r="D535" s="14">
        <f>CHOOSE(CONTROL!$C$42, 30.0768, 30.0768) * CHOOSE(CONTROL!$C$21, $C$9, 100%, $E$9)</f>
        <v>30.076799999999999</v>
      </c>
      <c r="E535" s="14">
        <f>CHOOSE(CONTROL!$C$42, 30.1083, 30.1083) * CHOOSE(CONTROL!$C$21, $C$9, 100%, $E$9)</f>
        <v>30.1083</v>
      </c>
      <c r="F535" s="14">
        <f>CHOOSE(CONTROL!$C$42, 29.8329, 29.8329)*CHOOSE(CONTROL!$C$21, $C$9, 100%, $E$9)</f>
        <v>29.832899999999999</v>
      </c>
      <c r="G535" s="14">
        <f>CHOOSE(CONTROL!$C$42, 29.8496, 29.8496)*CHOOSE(CONTROL!$C$21, $C$9, 100%, $E$9)</f>
        <v>29.849599999999999</v>
      </c>
      <c r="H535" s="14">
        <f>CHOOSE(CONTROL!$C$42, 30.0969, 30.0969) * CHOOSE(CONTROL!$C$21, $C$9, 100%, $E$9)</f>
        <v>30.096900000000002</v>
      </c>
      <c r="I535" s="14">
        <f>CHOOSE(CONTROL!$C$42, 29.9445, 29.9445)* CHOOSE(CONTROL!$C$21, $C$9, 100%, $E$9)</f>
        <v>29.944500000000001</v>
      </c>
      <c r="J535" s="14">
        <f>CHOOSE(CONTROL!$C$42, 29.8259, 29.8259)* CHOOSE(CONTROL!$C$21, $C$9, 100%, $E$9)</f>
        <v>29.825900000000001</v>
      </c>
      <c r="K535" s="53">
        <f>CHOOSE(CONTROL!$C$42, 29.9406, 29.9406) * CHOOSE(CONTROL!$C$21, $C$9, 100%, $E$9)</f>
        <v>29.9406</v>
      </c>
      <c r="L535" s="14">
        <f>CHOOSE(CONTROL!$C$42, 30.6839, 30.6839) * CHOOSE(CONTROL!$C$21, $C$9, 100%, $E$9)</f>
        <v>30.683900000000001</v>
      </c>
      <c r="M535" s="14">
        <f>CHOOSE(CONTROL!$C$42, 29.2225, 29.2225) * CHOOSE(CONTROL!$C$21, $C$9, 100%, $E$9)</f>
        <v>29.2225</v>
      </c>
      <c r="N535" s="14">
        <f>CHOOSE(CONTROL!$C$42, 29.2388, 29.2388) * CHOOSE(CONTROL!$C$21, $C$9, 100%, $E$9)</f>
        <v>29.238800000000001</v>
      </c>
      <c r="O535" s="14">
        <f>CHOOSE(CONTROL!$C$42, 29.4879, 29.4879) * CHOOSE(CONTROL!$C$21, $C$9, 100%, $E$9)</f>
        <v>29.4879</v>
      </c>
      <c r="P535" s="14">
        <f>CHOOSE(CONTROL!$C$42, 29.3368, 29.3368) * CHOOSE(CONTROL!$C$21, $C$9, 100%, $E$9)</f>
        <v>29.3368</v>
      </c>
      <c r="Q535" s="14">
        <f>CHOOSE(CONTROL!$C$42, 30.0826, 30.0826) * CHOOSE(CONTROL!$C$21, $C$9, 100%, $E$9)</f>
        <v>30.082599999999999</v>
      </c>
      <c r="R535" s="14">
        <f>CHOOSE(CONTROL!$C$42, 30.7448, 30.7448) * CHOOSE(CONTROL!$C$21, $C$9, 100%, $E$9)</f>
        <v>30.744800000000001</v>
      </c>
      <c r="S535" s="14">
        <f>CHOOSE(CONTROL!$C$42, 28.658, 28.658) * CHOOSE(CONTROL!$C$21, $C$9, 100%, $E$9)</f>
        <v>28.658000000000001</v>
      </c>
      <c r="T5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7">
        <f>(1000*CHOOSE(CONTROL!$C$42, 695, 695)*CHOOSE(CONTROL!$C$42, 0.5599, 0.5599)*CHOOSE(CONTROL!$C$42, 31, 31))/1000000</f>
        <v>12.063045499999998</v>
      </c>
      <c r="V535" s="57">
        <f>(1000*CHOOSE(CONTROL!$C$42, 500, 500)*CHOOSE(CONTROL!$C$42, 0.275, 0.275)*CHOOSE(CONTROL!$C$42, 31, 31))/1000000</f>
        <v>4.2625000000000002</v>
      </c>
      <c r="W535" s="57">
        <f>(1000*CHOOSE(CONTROL!$C$42, 0.1146, 0.1146)*CHOOSE(CONTROL!$C$42, 121.5, 121.5)*CHOOSE(CONTROL!$C$42, 31, 31))/1000000</f>
        <v>0.43164089999999994</v>
      </c>
      <c r="X535" s="57">
        <f>(31*0.1790888*245000/1000000)+(31*0.2374*100000/1000000)</f>
        <v>2.0961194359999999</v>
      </c>
      <c r="Y535" s="57"/>
      <c r="Z535" s="14"/>
      <c r="AA535" s="56"/>
      <c r="AB535" s="50">
        <f>(B535*194.205+C535*267.466+D535*133.845+E535*53.484+F535*40+G535*185+H535*0+I535*100+J535*300)/(194.205+267.466+133.845+53.484+0+40+185+100+300)</f>
        <v>29.882134976766093</v>
      </c>
      <c r="AC535" s="45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29.317163309352519</v>
      </c>
    </row>
    <row r="536" spans="1:29" ht="15.75" x14ac:dyDescent="0.25">
      <c r="A536" s="32">
        <v>57223</v>
      </c>
      <c r="B536" s="14">
        <f>CHOOSE(CONTROL!$C$42, 28.3621, 28.3621) * CHOOSE(CONTROL!$C$21, $C$9, 100%, $E$9)</f>
        <v>28.362100000000002</v>
      </c>
      <c r="C536" s="14">
        <f>CHOOSE(CONTROL!$C$42, 28.3701, 28.3701) * CHOOSE(CONTROL!$C$21, $C$9, 100%, $E$9)</f>
        <v>28.370100000000001</v>
      </c>
      <c r="D536" s="14">
        <f>CHOOSE(CONTROL!$C$42, 28.6037, 28.6037) * CHOOSE(CONTROL!$C$21, $C$9, 100%, $E$9)</f>
        <v>28.6037</v>
      </c>
      <c r="E536" s="14">
        <f>CHOOSE(CONTROL!$C$42, 28.6351, 28.6351) * CHOOSE(CONTROL!$C$21, $C$9, 100%, $E$9)</f>
        <v>28.635100000000001</v>
      </c>
      <c r="F536" s="14">
        <f>CHOOSE(CONTROL!$C$42, 28.36, 28.36)*CHOOSE(CONTROL!$C$21, $C$9, 100%, $E$9)</f>
        <v>28.36</v>
      </c>
      <c r="G536" s="14">
        <f>CHOOSE(CONTROL!$C$42, 28.3767, 28.3767)*CHOOSE(CONTROL!$C$21, $C$9, 100%, $E$9)</f>
        <v>28.3767</v>
      </c>
      <c r="H536" s="14">
        <f>CHOOSE(CONTROL!$C$42, 28.6238, 28.6238) * CHOOSE(CONTROL!$C$21, $C$9, 100%, $E$9)</f>
        <v>28.623799999999999</v>
      </c>
      <c r="I536" s="14">
        <f>CHOOSE(CONTROL!$C$42, 28.4668, 28.4668)* CHOOSE(CONTROL!$C$21, $C$9, 100%, $E$9)</f>
        <v>28.466799999999999</v>
      </c>
      <c r="J536" s="14">
        <f>CHOOSE(CONTROL!$C$42, 28.353, 28.353)* CHOOSE(CONTROL!$C$21, $C$9, 100%, $E$9)</f>
        <v>28.353000000000002</v>
      </c>
      <c r="K536" s="53">
        <f>CHOOSE(CONTROL!$C$42, 28.4629, 28.4629) * CHOOSE(CONTROL!$C$21, $C$9, 100%, $E$9)</f>
        <v>28.462900000000001</v>
      </c>
      <c r="L536" s="14">
        <f>CHOOSE(CONTROL!$C$42, 29.2108, 29.2108) * CHOOSE(CONTROL!$C$21, $C$9, 100%, $E$9)</f>
        <v>29.210799999999999</v>
      </c>
      <c r="M536" s="14">
        <f>CHOOSE(CONTROL!$C$42, 27.7798, 27.7798) * CHOOSE(CONTROL!$C$21, $C$9, 100%, $E$9)</f>
        <v>27.779800000000002</v>
      </c>
      <c r="N536" s="14">
        <f>CHOOSE(CONTROL!$C$42, 27.7961, 27.7961) * CHOOSE(CONTROL!$C$21, $C$9, 100%, $E$9)</f>
        <v>27.796099999999999</v>
      </c>
      <c r="O536" s="14">
        <f>CHOOSE(CONTROL!$C$42, 28.045, 28.045) * CHOOSE(CONTROL!$C$21, $C$9, 100%, $E$9)</f>
        <v>28.045000000000002</v>
      </c>
      <c r="P536" s="14">
        <f>CHOOSE(CONTROL!$C$42, 27.8895, 27.8895) * CHOOSE(CONTROL!$C$21, $C$9, 100%, $E$9)</f>
        <v>27.889500000000002</v>
      </c>
      <c r="Q536" s="14">
        <f>CHOOSE(CONTROL!$C$42, 28.6397, 28.6397) * CHOOSE(CONTROL!$C$21, $C$9, 100%, $E$9)</f>
        <v>28.639700000000001</v>
      </c>
      <c r="R536" s="14">
        <f>CHOOSE(CONTROL!$C$42, 29.2983, 29.2983) * CHOOSE(CONTROL!$C$21, $C$9, 100%, $E$9)</f>
        <v>29.298300000000001</v>
      </c>
      <c r="S536" s="14">
        <f>CHOOSE(CONTROL!$C$42, 27.2425, 27.2425) * CHOOSE(CONTROL!$C$21, $C$9, 100%, $E$9)</f>
        <v>27.2425</v>
      </c>
      <c r="T5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7">
        <f>(1000*CHOOSE(CONTROL!$C$42, 695, 695)*CHOOSE(CONTROL!$C$42, 0.5599, 0.5599)*CHOOSE(CONTROL!$C$42, 31, 31))/1000000</f>
        <v>12.063045499999998</v>
      </c>
      <c r="V536" s="57">
        <f>(1000*CHOOSE(CONTROL!$C$42, 500, 500)*CHOOSE(CONTROL!$C$42, 0.275, 0.275)*CHOOSE(CONTROL!$C$42, 31, 31))/1000000</f>
        <v>4.2625000000000002</v>
      </c>
      <c r="W536" s="57">
        <f>(1000*CHOOSE(CONTROL!$C$42, 0.1146, 0.1146)*CHOOSE(CONTROL!$C$42, 121.5, 121.5)*CHOOSE(CONTROL!$C$42, 31, 31))/1000000</f>
        <v>0.43164089999999994</v>
      </c>
      <c r="X536" s="57">
        <f>(31*0.1790888*245000/1000000)+(31*0.2374*100000/1000000)</f>
        <v>2.0961194359999999</v>
      </c>
      <c r="Y536" s="57"/>
      <c r="Z536" s="14"/>
      <c r="AA536" s="56"/>
      <c r="AB536" s="50">
        <f>(B536*194.205+C536*267.466+D536*133.845+E536*53.484+F536*40+G536*185+H536*0+I536*100+J536*300)/(194.205+267.466+133.845+53.484+0+40+185+100+300)</f>
        <v>28.408752128728413</v>
      </c>
      <c r="AC536" s="45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27.873745323741009</v>
      </c>
    </row>
    <row r="537" spans="1:29" ht="15.75" x14ac:dyDescent="0.25">
      <c r="A537" s="32">
        <v>57253</v>
      </c>
      <c r="B537" s="14">
        <f>CHOOSE(CONTROL!$C$42, 26.5617, 26.5617) * CHOOSE(CONTROL!$C$21, $C$9, 100%, $E$9)</f>
        <v>26.561699999999998</v>
      </c>
      <c r="C537" s="14">
        <f>CHOOSE(CONTROL!$C$42, 26.5698, 26.5698) * CHOOSE(CONTROL!$C$21, $C$9, 100%, $E$9)</f>
        <v>26.569800000000001</v>
      </c>
      <c r="D537" s="14">
        <f>CHOOSE(CONTROL!$C$42, 26.8034, 26.8034) * CHOOSE(CONTROL!$C$21, $C$9, 100%, $E$9)</f>
        <v>26.8034</v>
      </c>
      <c r="E537" s="14">
        <f>CHOOSE(CONTROL!$C$42, 26.8348, 26.8348) * CHOOSE(CONTROL!$C$21, $C$9, 100%, $E$9)</f>
        <v>26.834800000000001</v>
      </c>
      <c r="F537" s="14">
        <f>CHOOSE(CONTROL!$C$42, 26.5597, 26.5597)*CHOOSE(CONTROL!$C$21, $C$9, 100%, $E$9)</f>
        <v>26.559699999999999</v>
      </c>
      <c r="G537" s="14">
        <f>CHOOSE(CONTROL!$C$42, 26.5764, 26.5764)*CHOOSE(CONTROL!$C$21, $C$9, 100%, $E$9)</f>
        <v>26.5764</v>
      </c>
      <c r="H537" s="14">
        <f>CHOOSE(CONTROL!$C$42, 26.8235, 26.8235) * CHOOSE(CONTROL!$C$21, $C$9, 100%, $E$9)</f>
        <v>26.823499999999999</v>
      </c>
      <c r="I537" s="14">
        <f>CHOOSE(CONTROL!$C$42, 26.6608, 26.6608)* CHOOSE(CONTROL!$C$21, $C$9, 100%, $E$9)</f>
        <v>26.660799999999998</v>
      </c>
      <c r="J537" s="14">
        <f>CHOOSE(CONTROL!$C$42, 26.5527, 26.5527)* CHOOSE(CONTROL!$C$21, $C$9, 100%, $E$9)</f>
        <v>26.552700000000002</v>
      </c>
      <c r="K537" s="53">
        <f>CHOOSE(CONTROL!$C$42, 26.6569, 26.6569) * CHOOSE(CONTROL!$C$21, $C$9, 100%, $E$9)</f>
        <v>26.6569</v>
      </c>
      <c r="L537" s="14">
        <f>CHOOSE(CONTROL!$C$42, 27.4105, 27.4105) * CHOOSE(CONTROL!$C$21, $C$9, 100%, $E$9)</f>
        <v>27.410499999999999</v>
      </c>
      <c r="M537" s="14">
        <f>CHOOSE(CONTROL!$C$42, 26.0164, 26.0164) * CHOOSE(CONTROL!$C$21, $C$9, 100%, $E$9)</f>
        <v>26.016400000000001</v>
      </c>
      <c r="N537" s="14">
        <f>CHOOSE(CONTROL!$C$42, 26.0327, 26.0327) * CHOOSE(CONTROL!$C$21, $C$9, 100%, $E$9)</f>
        <v>26.032699999999998</v>
      </c>
      <c r="O537" s="14">
        <f>CHOOSE(CONTROL!$C$42, 26.2816, 26.2816) * CHOOSE(CONTROL!$C$21, $C$9, 100%, $E$9)</f>
        <v>26.281600000000001</v>
      </c>
      <c r="P537" s="14">
        <f>CHOOSE(CONTROL!$C$42, 26.1206, 26.1206) * CHOOSE(CONTROL!$C$21, $C$9, 100%, $E$9)</f>
        <v>26.1206</v>
      </c>
      <c r="Q537" s="14">
        <f>CHOOSE(CONTROL!$C$42, 26.8763, 26.8763) * CHOOSE(CONTROL!$C$21, $C$9, 100%, $E$9)</f>
        <v>26.876300000000001</v>
      </c>
      <c r="R537" s="14">
        <f>CHOOSE(CONTROL!$C$42, 27.5304, 27.5304) * CHOOSE(CONTROL!$C$21, $C$9, 100%, $E$9)</f>
        <v>27.5304</v>
      </c>
      <c r="S537" s="14">
        <f>CHOOSE(CONTROL!$C$42, 25.5125, 25.5125) * CHOOSE(CONTROL!$C$21, $C$9, 100%, $E$9)</f>
        <v>25.512499999999999</v>
      </c>
      <c r="T5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7">
        <f>(1000*CHOOSE(CONTROL!$C$42, 695, 695)*CHOOSE(CONTROL!$C$42, 0.5599, 0.5599)*CHOOSE(CONTROL!$C$42, 30, 30))/1000000</f>
        <v>11.673914999999997</v>
      </c>
      <c r="V537" s="57">
        <f>(1000*CHOOSE(CONTROL!$C$42, 500, 500)*CHOOSE(CONTROL!$C$42, 0.275, 0.275)*CHOOSE(CONTROL!$C$42, 30, 30))/1000000</f>
        <v>4.125</v>
      </c>
      <c r="W537" s="57">
        <f>(1000*CHOOSE(CONTROL!$C$42, 0.1146, 0.1146)*CHOOSE(CONTROL!$C$42, 121.5, 121.5)*CHOOSE(CONTROL!$C$42, 30, 30))/1000000</f>
        <v>0.417717</v>
      </c>
      <c r="X537" s="57">
        <f>(30*0.1790888*245000/1000000)+(30*0.2374*100000/1000000)</f>
        <v>2.0285026799999999</v>
      </c>
      <c r="Y537" s="57"/>
      <c r="Z537" s="14"/>
      <c r="AA537" s="56"/>
      <c r="AB537" s="50">
        <f>(B537*194.205+C537*267.466+D537*133.845+E537*53.484+F537*40+G537*185+H537*0+I537*100+J537*300)/(194.205+267.466+133.845+53.484+0+40+185+100+300)</f>
        <v>26.607989475274721</v>
      </c>
      <c r="AC537" s="45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26.109553956834535</v>
      </c>
    </row>
    <row r="538" spans="1:29" ht="15.75" x14ac:dyDescent="0.25">
      <c r="A538" s="32">
        <v>57284</v>
      </c>
      <c r="B538" s="14">
        <f>CHOOSE(CONTROL!$C$42, 26.0209, 26.0209) * CHOOSE(CONTROL!$C$21, $C$9, 100%, $E$9)</f>
        <v>26.020900000000001</v>
      </c>
      <c r="C538" s="14">
        <f>CHOOSE(CONTROL!$C$42, 26.0262, 26.0262) * CHOOSE(CONTROL!$C$21, $C$9, 100%, $E$9)</f>
        <v>26.026199999999999</v>
      </c>
      <c r="D538" s="14">
        <f>CHOOSE(CONTROL!$C$42, 26.2648, 26.2648) * CHOOSE(CONTROL!$C$21, $C$9, 100%, $E$9)</f>
        <v>26.264800000000001</v>
      </c>
      <c r="E538" s="14">
        <f>CHOOSE(CONTROL!$C$42, 26.2939, 26.2939) * CHOOSE(CONTROL!$C$21, $C$9, 100%, $E$9)</f>
        <v>26.293900000000001</v>
      </c>
      <c r="F538" s="14">
        <f>CHOOSE(CONTROL!$C$42, 26.0209, 26.0209)*CHOOSE(CONTROL!$C$21, $C$9, 100%, $E$9)</f>
        <v>26.020900000000001</v>
      </c>
      <c r="G538" s="14">
        <f>CHOOSE(CONTROL!$C$42, 26.0372, 26.0372)*CHOOSE(CONTROL!$C$21, $C$9, 100%, $E$9)</f>
        <v>26.037199999999999</v>
      </c>
      <c r="H538" s="14">
        <f>CHOOSE(CONTROL!$C$42, 26.2844, 26.2844) * CHOOSE(CONTROL!$C$21, $C$9, 100%, $E$9)</f>
        <v>26.284400000000002</v>
      </c>
      <c r="I538" s="14">
        <f>CHOOSE(CONTROL!$C$42, 26.1201, 26.1201)* CHOOSE(CONTROL!$C$21, $C$9, 100%, $E$9)</f>
        <v>26.120100000000001</v>
      </c>
      <c r="J538" s="14">
        <f>CHOOSE(CONTROL!$C$42, 26.0139, 26.0139)* CHOOSE(CONTROL!$C$21, $C$9, 100%, $E$9)</f>
        <v>26.0139</v>
      </c>
      <c r="K538" s="53">
        <f>CHOOSE(CONTROL!$C$42, 26.1162, 26.1162) * CHOOSE(CONTROL!$C$21, $C$9, 100%, $E$9)</f>
        <v>26.116199999999999</v>
      </c>
      <c r="L538" s="14">
        <f>CHOOSE(CONTROL!$C$42, 26.8714, 26.8714) * CHOOSE(CONTROL!$C$21, $C$9, 100%, $E$9)</f>
        <v>26.871400000000001</v>
      </c>
      <c r="M538" s="14">
        <f>CHOOSE(CONTROL!$C$42, 25.4886, 25.4886) * CHOOSE(CONTROL!$C$21, $C$9, 100%, $E$9)</f>
        <v>25.488600000000002</v>
      </c>
      <c r="N538" s="14">
        <f>CHOOSE(CONTROL!$C$42, 25.5046, 25.5046) * CHOOSE(CONTROL!$C$21, $C$9, 100%, $E$9)</f>
        <v>25.5046</v>
      </c>
      <c r="O538" s="14">
        <f>CHOOSE(CONTROL!$C$42, 25.7535, 25.7535) * CHOOSE(CONTROL!$C$21, $C$9, 100%, $E$9)</f>
        <v>25.753499999999999</v>
      </c>
      <c r="P538" s="14">
        <f>CHOOSE(CONTROL!$C$42, 25.591, 25.591) * CHOOSE(CONTROL!$C$21, $C$9, 100%, $E$9)</f>
        <v>25.591000000000001</v>
      </c>
      <c r="Q538" s="14">
        <f>CHOOSE(CONTROL!$C$42, 26.3482, 26.3482) * CHOOSE(CONTROL!$C$21, $C$9, 100%, $E$9)</f>
        <v>26.348199999999999</v>
      </c>
      <c r="R538" s="14">
        <f>CHOOSE(CONTROL!$C$42, 27.0011, 27.0011) * CHOOSE(CONTROL!$C$21, $C$9, 100%, $E$9)</f>
        <v>27.001100000000001</v>
      </c>
      <c r="S538" s="14">
        <f>CHOOSE(CONTROL!$C$42, 24.9946, 24.9946) * CHOOSE(CONTROL!$C$21, $C$9, 100%, $E$9)</f>
        <v>24.994599999999998</v>
      </c>
      <c r="T5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7">
        <f>(1000*CHOOSE(CONTROL!$C$42, 695, 695)*CHOOSE(CONTROL!$C$42, 0.5599, 0.5599)*CHOOSE(CONTROL!$C$42, 31, 31))/1000000</f>
        <v>12.063045499999998</v>
      </c>
      <c r="V538" s="57">
        <f>(1000*CHOOSE(CONTROL!$C$42, 500, 500)*CHOOSE(CONTROL!$C$42, 0.275, 0.275)*CHOOSE(CONTROL!$C$42, 31, 31))/1000000</f>
        <v>4.2625000000000002</v>
      </c>
      <c r="W538" s="57">
        <f>(1000*CHOOSE(CONTROL!$C$42, 0.1146, 0.1146)*CHOOSE(CONTROL!$C$42, 121.5, 121.5)*CHOOSE(CONTROL!$C$42, 31, 31))/1000000</f>
        <v>0.43164089999999994</v>
      </c>
      <c r="X538" s="57">
        <f>(31*0.1790888*245000/1000000)+(31*0.2374*100000/1000000)</f>
        <v>2.0961194359999999</v>
      </c>
      <c r="Y538" s="57"/>
      <c r="Z538" s="14"/>
      <c r="AA538" s="56"/>
      <c r="AB538" s="50">
        <f>(B538*131.881+C538*277.167+D538*79.08+E538*125.872+F538*40+G538*185+H538*0+I538*100+J538*300)/(131.881+277.167+79.08+125.872+0+40+185+100+300)</f>
        <v>26.074132569087972</v>
      </c>
      <c r="AC538" s="45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25.581341726618703</v>
      </c>
    </row>
    <row r="539" spans="1:29" ht="15.75" x14ac:dyDescent="0.25">
      <c r="A539" s="32">
        <v>57314</v>
      </c>
      <c r="B539" s="14">
        <f>CHOOSE(CONTROL!$C$42, 26.7057, 26.7057) * CHOOSE(CONTROL!$C$21, $C$9, 100%, $E$9)</f>
        <v>26.7057</v>
      </c>
      <c r="C539" s="14">
        <f>CHOOSE(CONTROL!$C$42, 26.7108, 26.7108) * CHOOSE(CONTROL!$C$21, $C$9, 100%, $E$9)</f>
        <v>26.710799999999999</v>
      </c>
      <c r="D539" s="14">
        <f>CHOOSE(CONTROL!$C$42, 26.785, 26.785) * CHOOSE(CONTROL!$C$21, $C$9, 100%, $E$9)</f>
        <v>26.785</v>
      </c>
      <c r="E539" s="14">
        <f>CHOOSE(CONTROL!$C$42, 26.8191, 26.8191) * CHOOSE(CONTROL!$C$21, $C$9, 100%, $E$9)</f>
        <v>26.819099999999999</v>
      </c>
      <c r="F539" s="14">
        <f>CHOOSE(CONTROL!$C$42, 26.7178, 26.7178)*CHOOSE(CONTROL!$C$21, $C$9, 100%, $E$9)</f>
        <v>26.7178</v>
      </c>
      <c r="G539" s="14">
        <f>CHOOSE(CONTROL!$C$42, 26.7344, 26.7344)*CHOOSE(CONTROL!$C$21, $C$9, 100%, $E$9)</f>
        <v>26.734400000000001</v>
      </c>
      <c r="H539" s="14">
        <f>CHOOSE(CONTROL!$C$42, 26.8083, 26.8083) * CHOOSE(CONTROL!$C$21, $C$9, 100%, $E$9)</f>
        <v>26.808299999999999</v>
      </c>
      <c r="I539" s="14">
        <f>CHOOSE(CONTROL!$C$42, 26.8137, 26.8137)* CHOOSE(CONTROL!$C$21, $C$9, 100%, $E$9)</f>
        <v>26.813700000000001</v>
      </c>
      <c r="J539" s="14">
        <f>CHOOSE(CONTROL!$C$42, 26.7108, 26.7108)* CHOOSE(CONTROL!$C$21, $C$9, 100%, $E$9)</f>
        <v>26.710799999999999</v>
      </c>
      <c r="K539" s="53">
        <f>CHOOSE(CONTROL!$C$42, 26.8098, 26.8098) * CHOOSE(CONTROL!$C$21, $C$9, 100%, $E$9)</f>
        <v>26.809799999999999</v>
      </c>
      <c r="L539" s="14">
        <f>CHOOSE(CONTROL!$C$42, 27.3953, 27.3953) * CHOOSE(CONTROL!$C$21, $C$9, 100%, $E$9)</f>
        <v>27.395299999999999</v>
      </c>
      <c r="M539" s="14">
        <f>CHOOSE(CONTROL!$C$42, 26.1712, 26.1712) * CHOOSE(CONTROL!$C$21, $C$9, 100%, $E$9)</f>
        <v>26.171199999999999</v>
      </c>
      <c r="N539" s="14">
        <f>CHOOSE(CONTROL!$C$42, 26.1875, 26.1875) * CHOOSE(CONTROL!$C$21, $C$9, 100%, $E$9)</f>
        <v>26.1875</v>
      </c>
      <c r="O539" s="14">
        <f>CHOOSE(CONTROL!$C$42, 26.2667, 26.2667) * CHOOSE(CONTROL!$C$21, $C$9, 100%, $E$9)</f>
        <v>26.2667</v>
      </c>
      <c r="P539" s="14">
        <f>CHOOSE(CONTROL!$C$42, 26.2704, 26.2704) * CHOOSE(CONTROL!$C$21, $C$9, 100%, $E$9)</f>
        <v>26.270399999999999</v>
      </c>
      <c r="Q539" s="14">
        <f>CHOOSE(CONTROL!$C$42, 26.8614, 26.8614) * CHOOSE(CONTROL!$C$21, $C$9, 100%, $E$9)</f>
        <v>26.8614</v>
      </c>
      <c r="R539" s="14">
        <f>CHOOSE(CONTROL!$C$42, 27.5156, 27.5156) * CHOOSE(CONTROL!$C$21, $C$9, 100%, $E$9)</f>
        <v>27.515599999999999</v>
      </c>
      <c r="S539" s="14">
        <f>CHOOSE(CONTROL!$C$42, 25.653, 25.653) * CHOOSE(CONTROL!$C$21, $C$9, 100%, $E$9)</f>
        <v>25.652999999999999</v>
      </c>
      <c r="T5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7">
        <f>(1000*CHOOSE(CONTROL!$C$42, 695, 695)*CHOOSE(CONTROL!$C$42, 0.5599, 0.5599)*CHOOSE(CONTROL!$C$42, 30, 30))/1000000</f>
        <v>11.673914999999997</v>
      </c>
      <c r="V539" s="57">
        <f>(1000*CHOOSE(CONTROL!$C$42, 500, 500)*CHOOSE(CONTROL!$C$42, 0.275, 0.275)*CHOOSE(CONTROL!$C$42, 30, 30))/1000000</f>
        <v>4.125</v>
      </c>
      <c r="W539" s="57">
        <f>(1000*CHOOSE(CONTROL!$C$42, 0.1146, 0.1146)*CHOOSE(CONTROL!$C$42, 121.5, 121.5)*CHOOSE(CONTROL!$C$42, 30, 30))/1000000</f>
        <v>0.417717</v>
      </c>
      <c r="X539" s="57">
        <f>(30*0.1790888*100000/1000000)+(30*0.2374*100000/1000000)</f>
        <v>1.2494664</v>
      </c>
      <c r="Y539" s="57"/>
      <c r="Z539" s="14"/>
      <c r="AA539" s="56"/>
      <c r="AB539" s="50">
        <f>(B539*122.58+C539*297.941+D539*89.177+E539*40.302+F539*40+G539*160+H539*0+I539*100+J539*300)/(122.58+297.941+89.177+40.302+0+40+160+100+300)</f>
        <v>26.732280419130433</v>
      </c>
      <c r="AC539" s="45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26.22969568345324</v>
      </c>
    </row>
    <row r="540" spans="1:29" ht="15.75" x14ac:dyDescent="0.25">
      <c r="A540" s="32">
        <v>57345</v>
      </c>
      <c r="B540" s="14">
        <f>CHOOSE(CONTROL!$C$42, 28.5259, 28.5259) * CHOOSE(CONTROL!$C$21, $C$9, 100%, $E$9)</f>
        <v>28.5259</v>
      </c>
      <c r="C540" s="14">
        <f>CHOOSE(CONTROL!$C$42, 28.5309, 28.5309) * CHOOSE(CONTROL!$C$21, $C$9, 100%, $E$9)</f>
        <v>28.530899999999999</v>
      </c>
      <c r="D540" s="14">
        <f>CHOOSE(CONTROL!$C$42, 28.6051, 28.6051) * CHOOSE(CONTROL!$C$21, $C$9, 100%, $E$9)</f>
        <v>28.6051</v>
      </c>
      <c r="E540" s="14">
        <f>CHOOSE(CONTROL!$C$42, 28.6393, 28.6393) * CHOOSE(CONTROL!$C$21, $C$9, 100%, $E$9)</f>
        <v>28.639299999999999</v>
      </c>
      <c r="F540" s="14">
        <f>CHOOSE(CONTROL!$C$42, 28.5401, 28.5401)*CHOOSE(CONTROL!$C$21, $C$9, 100%, $E$9)</f>
        <v>28.540099999999999</v>
      </c>
      <c r="G540" s="14">
        <f>CHOOSE(CONTROL!$C$42, 28.5573, 28.5573)*CHOOSE(CONTROL!$C$21, $C$9, 100%, $E$9)</f>
        <v>28.557300000000001</v>
      </c>
      <c r="H540" s="14">
        <f>CHOOSE(CONTROL!$C$42, 28.6284, 28.6284) * CHOOSE(CONTROL!$C$21, $C$9, 100%, $E$9)</f>
        <v>28.628399999999999</v>
      </c>
      <c r="I540" s="14">
        <f>CHOOSE(CONTROL!$C$42, 28.6395, 28.6395)* CHOOSE(CONTROL!$C$21, $C$9, 100%, $E$9)</f>
        <v>28.639500000000002</v>
      </c>
      <c r="J540" s="14">
        <f>CHOOSE(CONTROL!$C$42, 28.5331, 28.5331)* CHOOSE(CONTROL!$C$21, $C$9, 100%, $E$9)</f>
        <v>28.533100000000001</v>
      </c>
      <c r="K540" s="53">
        <f>CHOOSE(CONTROL!$C$42, 28.6356, 28.6356) * CHOOSE(CONTROL!$C$21, $C$9, 100%, $E$9)</f>
        <v>28.6356</v>
      </c>
      <c r="L540" s="14">
        <f>CHOOSE(CONTROL!$C$42, 29.2154, 29.2154) * CHOOSE(CONTROL!$C$21, $C$9, 100%, $E$9)</f>
        <v>29.215399999999999</v>
      </c>
      <c r="M540" s="14">
        <f>CHOOSE(CONTROL!$C$42, 27.9562, 27.9562) * CHOOSE(CONTROL!$C$21, $C$9, 100%, $E$9)</f>
        <v>27.956199999999999</v>
      </c>
      <c r="N540" s="14">
        <f>CHOOSE(CONTROL!$C$42, 27.973, 27.973) * CHOOSE(CONTROL!$C$21, $C$9, 100%, $E$9)</f>
        <v>27.972999999999999</v>
      </c>
      <c r="O540" s="14">
        <f>CHOOSE(CONTROL!$C$42, 28.0496, 28.0496) * CHOOSE(CONTROL!$C$21, $C$9, 100%, $E$9)</f>
        <v>28.049600000000002</v>
      </c>
      <c r="P540" s="14">
        <f>CHOOSE(CONTROL!$C$42, 28.0587, 28.0587) * CHOOSE(CONTROL!$C$21, $C$9, 100%, $E$9)</f>
        <v>28.058700000000002</v>
      </c>
      <c r="Q540" s="14">
        <f>CHOOSE(CONTROL!$C$42, 28.6443, 28.6443) * CHOOSE(CONTROL!$C$21, $C$9, 100%, $E$9)</f>
        <v>28.644300000000001</v>
      </c>
      <c r="R540" s="14">
        <f>CHOOSE(CONTROL!$C$42, 29.3029, 29.3029) * CHOOSE(CONTROL!$C$21, $C$9, 100%, $E$9)</f>
        <v>29.302900000000001</v>
      </c>
      <c r="S540" s="14">
        <f>CHOOSE(CONTROL!$C$42, 27.402, 27.402) * CHOOSE(CONTROL!$C$21, $C$9, 100%, $E$9)</f>
        <v>27.402000000000001</v>
      </c>
      <c r="T5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7">
        <f>(1000*CHOOSE(CONTROL!$C$42, 695, 695)*CHOOSE(CONTROL!$C$42, 0.5599, 0.5599)*CHOOSE(CONTROL!$C$42, 31, 31))/1000000</f>
        <v>12.063045499999998</v>
      </c>
      <c r="V540" s="57">
        <f>(1000*CHOOSE(CONTROL!$C$42, 500, 500)*CHOOSE(CONTROL!$C$42, 0.275, 0.275)*CHOOSE(CONTROL!$C$42, 31, 31))/1000000</f>
        <v>4.2625000000000002</v>
      </c>
      <c r="W540" s="57">
        <f>(1000*CHOOSE(CONTROL!$C$42, 0.1146, 0.1146)*CHOOSE(CONTROL!$C$42, 121.5, 121.5)*CHOOSE(CONTROL!$C$42, 31, 31))/1000000</f>
        <v>0.43164089999999994</v>
      </c>
      <c r="X540" s="57">
        <f>(31*0.1790888*100000/1000000)+(31*0.2374*100000/1000000)</f>
        <v>1.2911152800000001</v>
      </c>
      <c r="Y540" s="57"/>
      <c r="Z540" s="14"/>
      <c r="AA540" s="56"/>
      <c r="AB540" s="50">
        <f>(B540*122.58+C540*297.941+D540*89.177+E540*40.302+F540*40+G540*160+H540*0+I540*100+J540*300)/(122.58+297.941+89.177+40.302+0+40+160+100+300)</f>
        <v>28.553930234956521</v>
      </c>
      <c r="AC540" s="45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28.014247482014387</v>
      </c>
    </row>
    <row r="541" spans="1:29" ht="15.75" x14ac:dyDescent="0.25">
      <c r="A541" s="32">
        <v>57376</v>
      </c>
      <c r="B541" s="14">
        <f>CHOOSE(CONTROL!$C$42, 30.8899, 30.8899) * CHOOSE(CONTROL!$C$21, $C$9, 100%, $E$9)</f>
        <v>30.889900000000001</v>
      </c>
      <c r="C541" s="14">
        <f>CHOOSE(CONTROL!$C$42, 30.8949, 30.8949) * CHOOSE(CONTROL!$C$21, $C$9, 100%, $E$9)</f>
        <v>30.8949</v>
      </c>
      <c r="D541" s="14">
        <f>CHOOSE(CONTROL!$C$42, 30.9718, 30.9718) * CHOOSE(CONTROL!$C$21, $C$9, 100%, $E$9)</f>
        <v>30.971800000000002</v>
      </c>
      <c r="E541" s="14">
        <f>CHOOSE(CONTROL!$C$42, 31.0059, 31.0059) * CHOOSE(CONTROL!$C$21, $C$9, 100%, $E$9)</f>
        <v>31.0059</v>
      </c>
      <c r="F541" s="14">
        <f>CHOOSE(CONTROL!$C$42, 30.8901, 30.8901)*CHOOSE(CONTROL!$C$21, $C$9, 100%, $E$9)</f>
        <v>30.8901</v>
      </c>
      <c r="G541" s="14">
        <f>CHOOSE(CONTROL!$C$42, 30.9063, 30.9063)*CHOOSE(CONTROL!$C$21, $C$9, 100%, $E$9)</f>
        <v>30.906300000000002</v>
      </c>
      <c r="H541" s="14">
        <f>CHOOSE(CONTROL!$C$42, 30.9951, 30.9951) * CHOOSE(CONTROL!$C$21, $C$9, 100%, $E$9)</f>
        <v>30.995100000000001</v>
      </c>
      <c r="I541" s="14">
        <f>CHOOSE(CONTROL!$C$42, 31.0047, 31.0047)* CHOOSE(CONTROL!$C$21, $C$9, 100%, $E$9)</f>
        <v>31.0047</v>
      </c>
      <c r="J541" s="14">
        <f>CHOOSE(CONTROL!$C$42, 30.8831, 30.8831)* CHOOSE(CONTROL!$C$21, $C$9, 100%, $E$9)</f>
        <v>30.883099999999999</v>
      </c>
      <c r="K541" s="53">
        <f>CHOOSE(CONTROL!$C$42, 31.0008, 31.0008) * CHOOSE(CONTROL!$C$21, $C$9, 100%, $E$9)</f>
        <v>31.000800000000002</v>
      </c>
      <c r="L541" s="14">
        <f>CHOOSE(CONTROL!$C$42, 31.5821, 31.5821) * CHOOSE(CONTROL!$C$21, $C$9, 100%, $E$9)</f>
        <v>31.582100000000001</v>
      </c>
      <c r="M541" s="14">
        <f>CHOOSE(CONTROL!$C$42, 30.258, 30.258) * CHOOSE(CONTROL!$C$21, $C$9, 100%, $E$9)</f>
        <v>30.257999999999999</v>
      </c>
      <c r="N541" s="14">
        <f>CHOOSE(CONTROL!$C$42, 30.2739, 30.2739) * CHOOSE(CONTROL!$C$21, $C$9, 100%, $E$9)</f>
        <v>30.273900000000001</v>
      </c>
      <c r="O541" s="14">
        <f>CHOOSE(CONTROL!$C$42, 30.3677, 30.3677) * CHOOSE(CONTROL!$C$21, $C$9, 100%, $E$9)</f>
        <v>30.367699999999999</v>
      </c>
      <c r="P541" s="14">
        <f>CHOOSE(CONTROL!$C$42, 30.3752, 30.3752) * CHOOSE(CONTROL!$C$21, $C$9, 100%, $E$9)</f>
        <v>30.3752</v>
      </c>
      <c r="Q541" s="14">
        <f>CHOOSE(CONTROL!$C$42, 30.9624, 30.9624) * CHOOSE(CONTROL!$C$21, $C$9, 100%, $E$9)</f>
        <v>30.962399999999999</v>
      </c>
      <c r="R541" s="14">
        <f>CHOOSE(CONTROL!$C$42, 31.6268, 31.6268) * CHOOSE(CONTROL!$C$21, $C$9, 100%, $E$9)</f>
        <v>31.626799999999999</v>
      </c>
      <c r="S541" s="14">
        <f>CHOOSE(CONTROL!$C$42, 29.6735, 29.6735) * CHOOSE(CONTROL!$C$21, $C$9, 100%, $E$9)</f>
        <v>29.673500000000001</v>
      </c>
      <c r="T5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7">
        <f>(1000*CHOOSE(CONTROL!$C$42, 695, 695)*CHOOSE(CONTROL!$C$42, 0.5599, 0.5599)*CHOOSE(CONTROL!$C$42, 31, 31))/1000000</f>
        <v>12.063045499999998</v>
      </c>
      <c r="V541" s="57">
        <f>(1000*CHOOSE(CONTROL!$C$42, 500, 500)*CHOOSE(CONTROL!$C$42, 0.275, 0.275)*CHOOSE(CONTROL!$C$42, 31, 31))/1000000</f>
        <v>4.2625000000000002</v>
      </c>
      <c r="W541" s="57">
        <f>(1000*CHOOSE(CONTROL!$C$42, 0.1146, 0.1146)*CHOOSE(CONTROL!$C$42, 121.5, 121.5)*CHOOSE(CONTROL!$C$42, 31, 31))/1000000</f>
        <v>0.43164089999999994</v>
      </c>
      <c r="X541" s="57">
        <f>(31*0.1790888*100000/1000000)+(31*0.2374*100000/1000000)</f>
        <v>1.2911152800000001</v>
      </c>
      <c r="Y541" s="57"/>
      <c r="Z541" s="14"/>
      <c r="AA541" s="56"/>
      <c r="AB541" s="50">
        <f>(B541*122.58+C541*297.941+D541*89.177+E541*40.302+F541*40+G541*160+H541*0+I541*100+J541*300)/(122.58+297.941+89.177+40.302+0+40+160+100+300)</f>
        <v>30.912108985478262</v>
      </c>
      <c r="AC541" s="45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30.325498561151079</v>
      </c>
    </row>
    <row r="542" spans="1:29" ht="15.75" x14ac:dyDescent="0.25">
      <c r="A542" s="32">
        <v>57404</v>
      </c>
      <c r="B542" s="14">
        <f>CHOOSE(CONTROL!$C$42, 31.4396, 31.4396) * CHOOSE(CONTROL!$C$21, $C$9, 100%, $E$9)</f>
        <v>31.439599999999999</v>
      </c>
      <c r="C542" s="14">
        <f>CHOOSE(CONTROL!$C$42, 31.4446, 31.4446) * CHOOSE(CONTROL!$C$21, $C$9, 100%, $E$9)</f>
        <v>31.444600000000001</v>
      </c>
      <c r="D542" s="14">
        <f>CHOOSE(CONTROL!$C$42, 31.5215, 31.5215) * CHOOSE(CONTROL!$C$21, $C$9, 100%, $E$9)</f>
        <v>31.5215</v>
      </c>
      <c r="E542" s="14">
        <f>CHOOSE(CONTROL!$C$42, 31.5556, 31.5556) * CHOOSE(CONTROL!$C$21, $C$9, 100%, $E$9)</f>
        <v>31.555599999999998</v>
      </c>
      <c r="F542" s="14">
        <f>CHOOSE(CONTROL!$C$42, 31.4398, 31.4398)*CHOOSE(CONTROL!$C$21, $C$9, 100%, $E$9)</f>
        <v>31.439800000000002</v>
      </c>
      <c r="G542" s="14">
        <f>CHOOSE(CONTROL!$C$42, 31.4561, 31.4561)*CHOOSE(CONTROL!$C$21, $C$9, 100%, $E$9)</f>
        <v>31.456099999999999</v>
      </c>
      <c r="H542" s="14">
        <f>CHOOSE(CONTROL!$C$42, 31.5448, 31.5448) * CHOOSE(CONTROL!$C$21, $C$9, 100%, $E$9)</f>
        <v>31.544799999999999</v>
      </c>
      <c r="I542" s="14">
        <f>CHOOSE(CONTROL!$C$42, 31.5561, 31.5561)* CHOOSE(CONTROL!$C$21, $C$9, 100%, $E$9)</f>
        <v>31.556100000000001</v>
      </c>
      <c r="J542" s="14">
        <f>CHOOSE(CONTROL!$C$42, 31.4328, 31.4328)* CHOOSE(CONTROL!$C$21, $C$9, 100%, $E$9)</f>
        <v>31.4328</v>
      </c>
      <c r="K542" s="53">
        <f>CHOOSE(CONTROL!$C$42, 31.5522, 31.5522) * CHOOSE(CONTROL!$C$21, $C$9, 100%, $E$9)</f>
        <v>31.552199999999999</v>
      </c>
      <c r="L542" s="14">
        <f>CHOOSE(CONTROL!$C$42, 32.1318, 32.1318) * CHOOSE(CONTROL!$C$21, $C$9, 100%, $E$9)</f>
        <v>32.131799999999998</v>
      </c>
      <c r="M542" s="14">
        <f>CHOOSE(CONTROL!$C$42, 30.7965, 30.7965) * CHOOSE(CONTROL!$C$21, $C$9, 100%, $E$9)</f>
        <v>30.796500000000002</v>
      </c>
      <c r="N542" s="14">
        <f>CHOOSE(CONTROL!$C$42, 30.8124, 30.8124) * CHOOSE(CONTROL!$C$21, $C$9, 100%, $E$9)</f>
        <v>30.8124</v>
      </c>
      <c r="O542" s="14">
        <f>CHOOSE(CONTROL!$C$42, 30.9061, 30.9061) * CHOOSE(CONTROL!$C$21, $C$9, 100%, $E$9)</f>
        <v>30.906099999999999</v>
      </c>
      <c r="P542" s="14">
        <f>CHOOSE(CONTROL!$C$42, 30.9153, 30.9153) * CHOOSE(CONTROL!$C$21, $C$9, 100%, $E$9)</f>
        <v>30.915299999999998</v>
      </c>
      <c r="Q542" s="14">
        <f>CHOOSE(CONTROL!$C$42, 31.5008, 31.5008) * CHOOSE(CONTROL!$C$21, $C$9, 100%, $E$9)</f>
        <v>31.500800000000002</v>
      </c>
      <c r="R542" s="14">
        <f>CHOOSE(CONTROL!$C$42, 32.1666, 32.1666) * CHOOSE(CONTROL!$C$21, $C$9, 100%, $E$9)</f>
        <v>32.166600000000003</v>
      </c>
      <c r="S542" s="14">
        <f>CHOOSE(CONTROL!$C$42, 30.2017, 30.2017) * CHOOSE(CONTROL!$C$21, $C$9, 100%, $E$9)</f>
        <v>30.201699999999999</v>
      </c>
      <c r="T5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7">
        <f>(1000*CHOOSE(CONTROL!$C$42, 695, 695)*CHOOSE(CONTROL!$C$42, 0.5599, 0.5599)*CHOOSE(CONTROL!$C$42, 28, 28))/1000000</f>
        <v>10.895653999999999</v>
      </c>
      <c r="V542" s="57">
        <f>(1000*CHOOSE(CONTROL!$C$42, 500, 500)*CHOOSE(CONTROL!$C$42, 0.275, 0.275)*CHOOSE(CONTROL!$C$42, 28, 28))/1000000</f>
        <v>3.85</v>
      </c>
      <c r="W542" s="57">
        <f>(1000*CHOOSE(CONTROL!$C$42, 0.1146, 0.1146)*CHOOSE(CONTROL!$C$42, 121.5, 121.5)*CHOOSE(CONTROL!$C$42, 28, 28))/1000000</f>
        <v>0.38986920000000003</v>
      </c>
      <c r="X542" s="57">
        <f>(28*0.1790888*100000/1000000)+(28*0.2374*100000/1000000)</f>
        <v>1.16616864</v>
      </c>
      <c r="Y542" s="57"/>
      <c r="Z542" s="14"/>
      <c r="AA542" s="56"/>
      <c r="AB542" s="50">
        <f>(B542*122.58+C542*297.941+D542*89.177+E542*40.302+F542*40+G542*160+H542*0+I542*100+J542*300)/(122.58+297.941+89.177+40.302+0+40+160+100+300)</f>
        <v>31.46197072460869</v>
      </c>
      <c r="AC542" s="45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30.864183453237409</v>
      </c>
    </row>
    <row r="543" spans="1:29" ht="15.75" x14ac:dyDescent="0.25">
      <c r="A543" s="32">
        <v>57435</v>
      </c>
      <c r="B543" s="14">
        <f>CHOOSE(CONTROL!$C$42, 30.5473, 30.5473) * CHOOSE(CONTROL!$C$21, $C$9, 100%, $E$9)</f>
        <v>30.5473</v>
      </c>
      <c r="C543" s="14">
        <f>CHOOSE(CONTROL!$C$42, 30.5523, 30.5523) * CHOOSE(CONTROL!$C$21, $C$9, 100%, $E$9)</f>
        <v>30.552299999999999</v>
      </c>
      <c r="D543" s="14">
        <f>CHOOSE(CONTROL!$C$42, 30.6292, 30.6292) * CHOOSE(CONTROL!$C$21, $C$9, 100%, $E$9)</f>
        <v>30.629200000000001</v>
      </c>
      <c r="E543" s="14">
        <f>CHOOSE(CONTROL!$C$42, 30.6633, 30.6633) * CHOOSE(CONTROL!$C$21, $C$9, 100%, $E$9)</f>
        <v>30.6633</v>
      </c>
      <c r="F543" s="14">
        <f>CHOOSE(CONTROL!$C$42, 30.5471, 30.5471)*CHOOSE(CONTROL!$C$21, $C$9, 100%, $E$9)</f>
        <v>30.5471</v>
      </c>
      <c r="G543" s="14">
        <f>CHOOSE(CONTROL!$C$42, 30.5632, 30.5632)*CHOOSE(CONTROL!$C$21, $C$9, 100%, $E$9)</f>
        <v>30.563199999999998</v>
      </c>
      <c r="H543" s="14">
        <f>CHOOSE(CONTROL!$C$42, 30.6525, 30.6525) * CHOOSE(CONTROL!$C$21, $C$9, 100%, $E$9)</f>
        <v>30.6525</v>
      </c>
      <c r="I543" s="14">
        <f>CHOOSE(CONTROL!$C$42, 30.661, 30.661)* CHOOSE(CONTROL!$C$21, $C$9, 100%, $E$9)</f>
        <v>30.661000000000001</v>
      </c>
      <c r="J543" s="14">
        <f>CHOOSE(CONTROL!$C$42, 30.5401, 30.5401)* CHOOSE(CONTROL!$C$21, $C$9, 100%, $E$9)</f>
        <v>30.540099999999999</v>
      </c>
      <c r="K543" s="53">
        <f>CHOOSE(CONTROL!$C$42, 30.6571, 30.6571) * CHOOSE(CONTROL!$C$21, $C$9, 100%, $E$9)</f>
        <v>30.6571</v>
      </c>
      <c r="L543" s="14">
        <f>CHOOSE(CONTROL!$C$42, 31.2395, 31.2395) * CHOOSE(CONTROL!$C$21, $C$9, 100%, $E$9)</f>
        <v>31.2395</v>
      </c>
      <c r="M543" s="14">
        <f>CHOOSE(CONTROL!$C$42, 29.922, 29.922) * CHOOSE(CONTROL!$C$21, $C$9, 100%, $E$9)</f>
        <v>29.922000000000001</v>
      </c>
      <c r="N543" s="14">
        <f>CHOOSE(CONTROL!$C$42, 29.9378, 29.9378) * CHOOSE(CONTROL!$C$21, $C$9, 100%, $E$9)</f>
        <v>29.937799999999999</v>
      </c>
      <c r="O543" s="14">
        <f>CHOOSE(CONTROL!$C$42, 30.0321, 30.0321) * CHOOSE(CONTROL!$C$21, $C$9, 100%, $E$9)</f>
        <v>30.0321</v>
      </c>
      <c r="P543" s="14">
        <f>CHOOSE(CONTROL!$C$42, 30.0386, 30.0386) * CHOOSE(CONTROL!$C$21, $C$9, 100%, $E$9)</f>
        <v>30.038599999999999</v>
      </c>
      <c r="Q543" s="14">
        <f>CHOOSE(CONTROL!$C$42, 30.6268, 30.6268) * CHOOSE(CONTROL!$C$21, $C$9, 100%, $E$9)</f>
        <v>30.626799999999999</v>
      </c>
      <c r="R543" s="14">
        <f>CHOOSE(CONTROL!$C$42, 31.2904, 31.2904) * CHOOSE(CONTROL!$C$21, $C$9, 100%, $E$9)</f>
        <v>31.290400000000002</v>
      </c>
      <c r="S543" s="14">
        <f>CHOOSE(CONTROL!$C$42, 29.3443, 29.3443) * CHOOSE(CONTROL!$C$21, $C$9, 100%, $E$9)</f>
        <v>29.3443</v>
      </c>
      <c r="T5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7">
        <f>(1000*CHOOSE(CONTROL!$C$42, 695, 695)*CHOOSE(CONTROL!$C$42, 0.5599, 0.5599)*CHOOSE(CONTROL!$C$42, 31, 31))/1000000</f>
        <v>12.063045499999998</v>
      </c>
      <c r="V543" s="57">
        <f>(1000*CHOOSE(CONTROL!$C$42, 500, 500)*CHOOSE(CONTROL!$C$42, 0.275, 0.275)*CHOOSE(CONTROL!$C$42, 31, 31))/1000000</f>
        <v>4.2625000000000002</v>
      </c>
      <c r="W543" s="57">
        <f>(1000*CHOOSE(CONTROL!$C$42, 0.1146, 0.1146)*CHOOSE(CONTROL!$C$42, 121.5, 121.5)*CHOOSE(CONTROL!$C$42, 31, 31))/1000000</f>
        <v>0.43164089999999994</v>
      </c>
      <c r="X543" s="57">
        <f>(31*0.1790888*100000/1000000)+(31*0.2374*100000/1000000)</f>
        <v>1.2911152800000001</v>
      </c>
      <c r="Y543" s="57"/>
      <c r="Z543" s="14"/>
      <c r="AA543" s="56"/>
      <c r="AB543" s="50">
        <f>(B543*122.58+C543*297.941+D543*89.177+E543*40.302+F543*40+G543*160+H543*0+I543*100+J543*300)/(122.58+297.941+89.177+40.302+0+40+160+100+300)</f>
        <v>30.569225507217386</v>
      </c>
      <c r="AC543" s="45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29.989587769784173</v>
      </c>
    </row>
    <row r="544" spans="1:29" ht="15.75" x14ac:dyDescent="0.25">
      <c r="A544" s="32">
        <v>57465</v>
      </c>
      <c r="B544" s="14">
        <f>CHOOSE(CONTROL!$C$42, 30.4571, 30.4571) * CHOOSE(CONTROL!$C$21, $C$9, 100%, $E$9)</f>
        <v>30.457100000000001</v>
      </c>
      <c r="C544" s="14">
        <f>CHOOSE(CONTROL!$C$42, 30.4616, 30.4616) * CHOOSE(CONTROL!$C$21, $C$9, 100%, $E$9)</f>
        <v>30.461600000000001</v>
      </c>
      <c r="D544" s="14">
        <f>CHOOSE(CONTROL!$C$42, 30.6983, 30.6983) * CHOOSE(CONTROL!$C$21, $C$9, 100%, $E$9)</f>
        <v>30.6983</v>
      </c>
      <c r="E544" s="14">
        <f>CHOOSE(CONTROL!$C$42, 30.7304, 30.7304) * CHOOSE(CONTROL!$C$21, $C$9, 100%, $E$9)</f>
        <v>30.730399999999999</v>
      </c>
      <c r="F544" s="14">
        <f>CHOOSE(CONTROL!$C$42, 30.455, 30.455)*CHOOSE(CONTROL!$C$21, $C$9, 100%, $E$9)</f>
        <v>30.454999999999998</v>
      </c>
      <c r="G544" s="14">
        <f>CHOOSE(CONTROL!$C$42, 30.4708, 30.4708)*CHOOSE(CONTROL!$C$21, $C$9, 100%, $E$9)</f>
        <v>30.470800000000001</v>
      </c>
      <c r="H544" s="14">
        <f>CHOOSE(CONTROL!$C$42, 30.7202, 30.7202) * CHOOSE(CONTROL!$C$21, $C$9, 100%, $E$9)</f>
        <v>30.720199999999998</v>
      </c>
      <c r="I544" s="14">
        <f>CHOOSE(CONTROL!$C$42, 30.5697, 30.5697)* CHOOSE(CONTROL!$C$21, $C$9, 100%, $E$9)</f>
        <v>30.569700000000001</v>
      </c>
      <c r="J544" s="14">
        <f>CHOOSE(CONTROL!$C$42, 30.448, 30.448)* CHOOSE(CONTROL!$C$21, $C$9, 100%, $E$9)</f>
        <v>30.448</v>
      </c>
      <c r="K544" s="53">
        <f>CHOOSE(CONTROL!$C$42, 30.5658, 30.5658) * CHOOSE(CONTROL!$C$21, $C$9, 100%, $E$9)</f>
        <v>30.565799999999999</v>
      </c>
      <c r="L544" s="14">
        <f>CHOOSE(CONTROL!$C$42, 31.3072, 31.3072) * CHOOSE(CONTROL!$C$21, $C$9, 100%, $E$9)</f>
        <v>31.307200000000002</v>
      </c>
      <c r="M544" s="14">
        <f>CHOOSE(CONTROL!$C$42, 29.8318, 29.8318) * CHOOSE(CONTROL!$C$21, $C$9, 100%, $E$9)</f>
        <v>29.831800000000001</v>
      </c>
      <c r="N544" s="14">
        <f>CHOOSE(CONTROL!$C$42, 29.8473, 29.8473) * CHOOSE(CONTROL!$C$21, $C$9, 100%, $E$9)</f>
        <v>29.847300000000001</v>
      </c>
      <c r="O544" s="14">
        <f>CHOOSE(CONTROL!$C$42, 30.0984, 30.0984) * CHOOSE(CONTROL!$C$21, $C$9, 100%, $E$9)</f>
        <v>30.098400000000002</v>
      </c>
      <c r="P544" s="14">
        <f>CHOOSE(CONTROL!$C$42, 29.9492, 29.9492) * CHOOSE(CONTROL!$C$21, $C$9, 100%, $E$9)</f>
        <v>29.949200000000001</v>
      </c>
      <c r="Q544" s="14">
        <f>CHOOSE(CONTROL!$C$42, 30.6931, 30.6931) * CHOOSE(CONTROL!$C$21, $C$9, 100%, $E$9)</f>
        <v>30.693100000000001</v>
      </c>
      <c r="R544" s="14">
        <f>CHOOSE(CONTROL!$C$42, 31.3569, 31.3569) * CHOOSE(CONTROL!$C$21, $C$9, 100%, $E$9)</f>
        <v>31.3569</v>
      </c>
      <c r="S544" s="14">
        <f>CHOOSE(CONTROL!$C$42, 29.2569, 29.2569) * CHOOSE(CONTROL!$C$21, $C$9, 100%, $E$9)</f>
        <v>29.256900000000002</v>
      </c>
      <c r="T5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7">
        <f>(1000*CHOOSE(CONTROL!$C$42, 695, 695)*CHOOSE(CONTROL!$C$42, 0.5599, 0.5599)*CHOOSE(CONTROL!$C$42, 30, 30))/1000000</f>
        <v>11.673914999999997</v>
      </c>
      <c r="V544" s="57">
        <f>(1000*CHOOSE(CONTROL!$C$42, 500, 500)*CHOOSE(CONTROL!$C$42, 0.275, 0.275)*CHOOSE(CONTROL!$C$42, 30, 30))/1000000</f>
        <v>4.125</v>
      </c>
      <c r="W544" s="57">
        <f>(1000*CHOOSE(CONTROL!$C$42, 0.1146, 0.1146)*CHOOSE(CONTROL!$C$42, 121.5, 121.5)*CHOOSE(CONTROL!$C$42, 30, 30))/1000000</f>
        <v>0.417717</v>
      </c>
      <c r="X544" s="57">
        <f>(30*0.1790888*245000/1000000)+(30*0.2374*100000/1000000)</f>
        <v>2.0285026799999999</v>
      </c>
      <c r="Y544" s="57"/>
      <c r="Z544" s="14"/>
      <c r="AA544" s="56"/>
      <c r="AB544" s="50">
        <f>(B544*141.293+C544*267.993+D544*115.016+E544*89.698+F544*40+G544*185+H544*0+I544*100+J544*300)/(141.293+267.993+115.016+89.698+0+40+185+100+300)</f>
        <v>30.509111937933824</v>
      </c>
      <c r="AC544" s="45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29.927061870503593</v>
      </c>
    </row>
    <row r="545" spans="1:29" ht="15.75" x14ac:dyDescent="0.25">
      <c r="A545" s="32">
        <v>57496</v>
      </c>
      <c r="B545" s="14">
        <f>CHOOSE(CONTROL!$C$42, 30.7272, 30.7272) * CHOOSE(CONTROL!$C$21, $C$9, 100%, $E$9)</f>
        <v>30.7272</v>
      </c>
      <c r="C545" s="14">
        <f>CHOOSE(CONTROL!$C$42, 30.7352, 30.7352) * CHOOSE(CONTROL!$C$21, $C$9, 100%, $E$9)</f>
        <v>30.735199999999999</v>
      </c>
      <c r="D545" s="14">
        <f>CHOOSE(CONTROL!$C$42, 30.9688, 30.9688) * CHOOSE(CONTROL!$C$21, $C$9, 100%, $E$9)</f>
        <v>30.968800000000002</v>
      </c>
      <c r="E545" s="14">
        <f>CHOOSE(CONTROL!$C$42, 31.0003, 31.0003) * CHOOSE(CONTROL!$C$21, $C$9, 100%, $E$9)</f>
        <v>31.000299999999999</v>
      </c>
      <c r="F545" s="14">
        <f>CHOOSE(CONTROL!$C$42, 30.724, 30.724)*CHOOSE(CONTROL!$C$21, $C$9, 100%, $E$9)</f>
        <v>30.724</v>
      </c>
      <c r="G545" s="14">
        <f>CHOOSE(CONTROL!$C$42, 30.7403, 30.7403)*CHOOSE(CONTROL!$C$21, $C$9, 100%, $E$9)</f>
        <v>30.740300000000001</v>
      </c>
      <c r="H545" s="14">
        <f>CHOOSE(CONTROL!$C$42, 30.9889, 30.9889) * CHOOSE(CONTROL!$C$21, $C$9, 100%, $E$9)</f>
        <v>30.988900000000001</v>
      </c>
      <c r="I545" s="14">
        <f>CHOOSE(CONTROL!$C$42, 30.8393, 30.8393)* CHOOSE(CONTROL!$C$21, $C$9, 100%, $E$9)</f>
        <v>30.839300000000001</v>
      </c>
      <c r="J545" s="14">
        <f>CHOOSE(CONTROL!$C$42, 30.717, 30.717)* CHOOSE(CONTROL!$C$21, $C$9, 100%, $E$9)</f>
        <v>30.716999999999999</v>
      </c>
      <c r="K545" s="53">
        <f>CHOOSE(CONTROL!$C$42, 30.8354, 30.8354) * CHOOSE(CONTROL!$C$21, $C$9, 100%, $E$9)</f>
        <v>30.8354</v>
      </c>
      <c r="L545" s="14">
        <f>CHOOSE(CONTROL!$C$42, 31.5759, 31.5759) * CHOOSE(CONTROL!$C$21, $C$9, 100%, $E$9)</f>
        <v>31.575900000000001</v>
      </c>
      <c r="M545" s="14">
        <f>CHOOSE(CONTROL!$C$42, 30.0953, 30.0953) * CHOOSE(CONTROL!$C$21, $C$9, 100%, $E$9)</f>
        <v>30.095300000000002</v>
      </c>
      <c r="N545" s="14">
        <f>CHOOSE(CONTROL!$C$42, 30.1113, 30.1113) * CHOOSE(CONTROL!$C$21, $C$9, 100%, $E$9)</f>
        <v>30.1113</v>
      </c>
      <c r="O545" s="14">
        <f>CHOOSE(CONTROL!$C$42, 30.3617, 30.3617) * CHOOSE(CONTROL!$C$21, $C$9, 100%, $E$9)</f>
        <v>30.361699999999999</v>
      </c>
      <c r="P545" s="14">
        <f>CHOOSE(CONTROL!$C$42, 30.2133, 30.2133) * CHOOSE(CONTROL!$C$21, $C$9, 100%, $E$9)</f>
        <v>30.2133</v>
      </c>
      <c r="Q545" s="14">
        <f>CHOOSE(CONTROL!$C$42, 30.9564, 30.9564) * CHOOSE(CONTROL!$C$21, $C$9, 100%, $E$9)</f>
        <v>30.956399999999999</v>
      </c>
      <c r="R545" s="14">
        <f>CHOOSE(CONTROL!$C$42, 31.6207, 31.6207) * CHOOSE(CONTROL!$C$21, $C$9, 100%, $E$9)</f>
        <v>31.620699999999999</v>
      </c>
      <c r="S545" s="14">
        <f>CHOOSE(CONTROL!$C$42, 29.5151, 29.5151) * CHOOSE(CONTROL!$C$21, $C$9, 100%, $E$9)</f>
        <v>29.5151</v>
      </c>
      <c r="T5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7">
        <f>(1000*CHOOSE(CONTROL!$C$42, 695, 695)*CHOOSE(CONTROL!$C$42, 0.5599, 0.5599)*CHOOSE(CONTROL!$C$42, 31, 31))/1000000</f>
        <v>12.063045499999998</v>
      </c>
      <c r="V545" s="57">
        <f>(1000*CHOOSE(CONTROL!$C$42, 500, 500)*CHOOSE(CONTROL!$C$42, 0.275, 0.275)*CHOOSE(CONTROL!$C$42, 31, 31))/1000000</f>
        <v>4.2625000000000002</v>
      </c>
      <c r="W545" s="57">
        <f>(1000*CHOOSE(CONTROL!$C$42, 0.1146, 0.1146)*CHOOSE(CONTROL!$C$42, 121.5, 121.5)*CHOOSE(CONTROL!$C$42, 31, 31))/1000000</f>
        <v>0.43164089999999994</v>
      </c>
      <c r="X545" s="57">
        <f>(31*0.1790888*245000/1000000)+(31*0.2374*100000/1000000)</f>
        <v>2.0961194359999999</v>
      </c>
      <c r="Y545" s="57"/>
      <c r="Z545" s="14"/>
      <c r="AA545" s="56"/>
      <c r="AB545" s="50">
        <f>(B545*194.205+C545*267.466+D545*133.845+E545*53.484+F545*40+G545*185+H545*0+I545*100+J545*300)/(194.205+267.466+133.845+53.484+0+40+185+100+300)</f>
        <v>30.773925793092619</v>
      </c>
      <c r="AC545" s="45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30.190707194244602</v>
      </c>
    </row>
    <row r="546" spans="1:29" ht="15.75" x14ac:dyDescent="0.25">
      <c r="A546" s="32">
        <v>57526</v>
      </c>
      <c r="B546" s="14">
        <f>CHOOSE(CONTROL!$C$42, 31.5985, 31.5985) * CHOOSE(CONTROL!$C$21, $C$9, 100%, $E$9)</f>
        <v>31.598500000000001</v>
      </c>
      <c r="C546" s="14">
        <f>CHOOSE(CONTROL!$C$42, 31.6065, 31.6065) * CHOOSE(CONTROL!$C$21, $C$9, 100%, $E$9)</f>
        <v>31.6065</v>
      </c>
      <c r="D546" s="14">
        <f>CHOOSE(CONTROL!$C$42, 31.8401, 31.8401) * CHOOSE(CONTROL!$C$21, $C$9, 100%, $E$9)</f>
        <v>31.8401</v>
      </c>
      <c r="E546" s="14">
        <f>CHOOSE(CONTROL!$C$42, 31.8715, 31.8715) * CHOOSE(CONTROL!$C$21, $C$9, 100%, $E$9)</f>
        <v>31.871500000000001</v>
      </c>
      <c r="F546" s="14">
        <f>CHOOSE(CONTROL!$C$42, 31.5957, 31.5957)*CHOOSE(CONTROL!$C$21, $C$9, 100%, $E$9)</f>
        <v>31.595700000000001</v>
      </c>
      <c r="G546" s="14">
        <f>CHOOSE(CONTROL!$C$42, 31.6122, 31.6122)*CHOOSE(CONTROL!$C$21, $C$9, 100%, $E$9)</f>
        <v>31.612200000000001</v>
      </c>
      <c r="H546" s="14">
        <f>CHOOSE(CONTROL!$C$42, 31.8602, 31.8602) * CHOOSE(CONTROL!$C$21, $C$9, 100%, $E$9)</f>
        <v>31.860199999999999</v>
      </c>
      <c r="I546" s="14">
        <f>CHOOSE(CONTROL!$C$42, 31.7133, 31.7133)* CHOOSE(CONTROL!$C$21, $C$9, 100%, $E$9)</f>
        <v>31.7133</v>
      </c>
      <c r="J546" s="14">
        <f>CHOOSE(CONTROL!$C$42, 31.5887, 31.5887)* CHOOSE(CONTROL!$C$21, $C$9, 100%, $E$9)</f>
        <v>31.588699999999999</v>
      </c>
      <c r="K546" s="53">
        <f>CHOOSE(CONTROL!$C$42, 31.7094, 31.7094) * CHOOSE(CONTROL!$C$21, $C$9, 100%, $E$9)</f>
        <v>31.709399999999999</v>
      </c>
      <c r="L546" s="14">
        <f>CHOOSE(CONTROL!$C$42, 32.4472, 32.4472) * CHOOSE(CONTROL!$C$21, $C$9, 100%, $E$9)</f>
        <v>32.447200000000002</v>
      </c>
      <c r="M546" s="14">
        <f>CHOOSE(CONTROL!$C$42, 30.9492, 30.9492) * CHOOSE(CONTROL!$C$21, $C$9, 100%, $E$9)</f>
        <v>30.949200000000001</v>
      </c>
      <c r="N546" s="14">
        <f>CHOOSE(CONTROL!$C$42, 30.9653, 30.9653) * CHOOSE(CONTROL!$C$21, $C$9, 100%, $E$9)</f>
        <v>30.965299999999999</v>
      </c>
      <c r="O546" s="14">
        <f>CHOOSE(CONTROL!$C$42, 31.2151, 31.2151) * CHOOSE(CONTROL!$C$21, $C$9, 100%, $E$9)</f>
        <v>31.2151</v>
      </c>
      <c r="P546" s="14">
        <f>CHOOSE(CONTROL!$C$42, 31.0693, 31.0693) * CHOOSE(CONTROL!$C$21, $C$9, 100%, $E$9)</f>
        <v>31.069299999999998</v>
      </c>
      <c r="Q546" s="14">
        <f>CHOOSE(CONTROL!$C$42, 31.8098, 31.8098) * CHOOSE(CONTROL!$C$21, $C$9, 100%, $E$9)</f>
        <v>31.809799999999999</v>
      </c>
      <c r="R546" s="14">
        <f>CHOOSE(CONTROL!$C$42, 32.4763, 32.4763) * CHOOSE(CONTROL!$C$21, $C$9, 100%, $E$9)</f>
        <v>32.476300000000002</v>
      </c>
      <c r="S546" s="14">
        <f>CHOOSE(CONTROL!$C$42, 30.3523, 30.3523) * CHOOSE(CONTROL!$C$21, $C$9, 100%, $E$9)</f>
        <v>30.3523</v>
      </c>
      <c r="T5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7">
        <f>(1000*CHOOSE(CONTROL!$C$42, 695, 695)*CHOOSE(CONTROL!$C$42, 0.5599, 0.5599)*CHOOSE(CONTROL!$C$42, 30, 30))/1000000</f>
        <v>11.673914999999997</v>
      </c>
      <c r="V546" s="57">
        <f>(1000*CHOOSE(CONTROL!$C$42, 500, 500)*CHOOSE(CONTROL!$C$42, 0.275, 0.275)*CHOOSE(CONTROL!$C$42, 30, 30))/1000000</f>
        <v>4.125</v>
      </c>
      <c r="W546" s="57">
        <f>(1000*CHOOSE(CONTROL!$C$42, 0.1146, 0.1146)*CHOOSE(CONTROL!$C$42, 121.5, 121.5)*CHOOSE(CONTROL!$C$42, 30, 30))/1000000</f>
        <v>0.417717</v>
      </c>
      <c r="X546" s="57">
        <f>(30*0.1790888*245000/1000000)+(30*0.2374*100000/1000000)</f>
        <v>2.0285026799999999</v>
      </c>
      <c r="Y546" s="57"/>
      <c r="Z546" s="14"/>
      <c r="AA546" s="56"/>
      <c r="AB546" s="50">
        <f>(B546*194.205+C546*267.466+D546*133.845+E546*53.484+F546*40+G546*185+H546*0+I546*100+J546*300)/(194.205+267.466+133.845+53.484+0+40+185+100+300)</f>
        <v>31.645627403453695</v>
      </c>
      <c r="AC546" s="45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31.044792086330933</v>
      </c>
    </row>
    <row r="547" spans="1:29" ht="15.75" x14ac:dyDescent="0.25">
      <c r="A547" s="32">
        <v>57557</v>
      </c>
      <c r="B547" s="14">
        <f>CHOOSE(CONTROL!$C$42, 30.9925, 30.9925) * CHOOSE(CONTROL!$C$21, $C$9, 100%, $E$9)</f>
        <v>30.9925</v>
      </c>
      <c r="C547" s="14">
        <f>CHOOSE(CONTROL!$C$42, 31.0005, 31.0005) * CHOOSE(CONTROL!$C$21, $C$9, 100%, $E$9)</f>
        <v>31.000499999999999</v>
      </c>
      <c r="D547" s="14">
        <f>CHOOSE(CONTROL!$C$42, 31.2341, 31.2341) * CHOOSE(CONTROL!$C$21, $C$9, 100%, $E$9)</f>
        <v>31.234100000000002</v>
      </c>
      <c r="E547" s="14">
        <f>CHOOSE(CONTROL!$C$42, 31.2656, 31.2656) * CHOOSE(CONTROL!$C$21, $C$9, 100%, $E$9)</f>
        <v>31.265599999999999</v>
      </c>
      <c r="F547" s="14">
        <f>CHOOSE(CONTROL!$C$42, 30.9903, 30.9903)*CHOOSE(CONTROL!$C$21, $C$9, 100%, $E$9)</f>
        <v>30.990300000000001</v>
      </c>
      <c r="G547" s="14">
        <f>CHOOSE(CONTROL!$C$42, 31.0069, 31.0069)*CHOOSE(CONTROL!$C$21, $C$9, 100%, $E$9)</f>
        <v>31.006900000000002</v>
      </c>
      <c r="H547" s="14">
        <f>CHOOSE(CONTROL!$C$42, 31.2542, 31.2542) * CHOOSE(CONTROL!$C$21, $C$9, 100%, $E$9)</f>
        <v>31.254200000000001</v>
      </c>
      <c r="I547" s="14">
        <f>CHOOSE(CONTROL!$C$42, 31.1054, 31.1054)* CHOOSE(CONTROL!$C$21, $C$9, 100%, $E$9)</f>
        <v>31.105399999999999</v>
      </c>
      <c r="J547" s="14">
        <f>CHOOSE(CONTROL!$C$42, 30.9833, 30.9833)* CHOOSE(CONTROL!$C$21, $C$9, 100%, $E$9)</f>
        <v>30.9833</v>
      </c>
      <c r="K547" s="53">
        <f>CHOOSE(CONTROL!$C$42, 31.1015, 31.1015) * CHOOSE(CONTROL!$C$21, $C$9, 100%, $E$9)</f>
        <v>31.101500000000001</v>
      </c>
      <c r="L547" s="14">
        <f>CHOOSE(CONTROL!$C$42, 31.8412, 31.8412) * CHOOSE(CONTROL!$C$21, $C$9, 100%, $E$9)</f>
        <v>31.841200000000001</v>
      </c>
      <c r="M547" s="14">
        <f>CHOOSE(CONTROL!$C$42, 30.3561, 30.3561) * CHOOSE(CONTROL!$C$21, $C$9, 100%, $E$9)</f>
        <v>30.356100000000001</v>
      </c>
      <c r="N547" s="14">
        <f>CHOOSE(CONTROL!$C$42, 30.3724, 30.3724) * CHOOSE(CONTROL!$C$21, $C$9, 100%, $E$9)</f>
        <v>30.372399999999999</v>
      </c>
      <c r="O547" s="14">
        <f>CHOOSE(CONTROL!$C$42, 30.6215, 30.6215) * CHOOSE(CONTROL!$C$21, $C$9, 100%, $E$9)</f>
        <v>30.621500000000001</v>
      </c>
      <c r="P547" s="14">
        <f>CHOOSE(CONTROL!$C$42, 30.4739, 30.4739) * CHOOSE(CONTROL!$C$21, $C$9, 100%, $E$9)</f>
        <v>30.4739</v>
      </c>
      <c r="Q547" s="14">
        <f>CHOOSE(CONTROL!$C$42, 31.2162, 31.2162) * CHOOSE(CONTROL!$C$21, $C$9, 100%, $E$9)</f>
        <v>31.216200000000001</v>
      </c>
      <c r="R547" s="14">
        <f>CHOOSE(CONTROL!$C$42, 31.8813, 31.8813) * CHOOSE(CONTROL!$C$21, $C$9, 100%, $E$9)</f>
        <v>31.8813</v>
      </c>
      <c r="S547" s="14">
        <f>CHOOSE(CONTROL!$C$42, 29.77, 29.77) * CHOOSE(CONTROL!$C$21, $C$9, 100%, $E$9)</f>
        <v>29.77</v>
      </c>
      <c r="T5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7">
        <f>(1000*CHOOSE(CONTROL!$C$42, 695, 695)*CHOOSE(CONTROL!$C$42, 0.5599, 0.5599)*CHOOSE(CONTROL!$C$42, 31, 31))/1000000</f>
        <v>12.063045499999998</v>
      </c>
      <c r="V547" s="57">
        <f>(1000*CHOOSE(CONTROL!$C$42, 500, 500)*CHOOSE(CONTROL!$C$42, 0.275, 0.275)*CHOOSE(CONTROL!$C$42, 31, 31))/1000000</f>
        <v>4.2625000000000002</v>
      </c>
      <c r="W547" s="57">
        <f>(1000*CHOOSE(CONTROL!$C$42, 0.1146, 0.1146)*CHOOSE(CONTROL!$C$42, 121.5, 121.5)*CHOOSE(CONTROL!$C$42, 31, 31))/1000000</f>
        <v>0.43164089999999994</v>
      </c>
      <c r="X547" s="57">
        <f>(31*0.1790888*245000/1000000)+(31*0.2374*100000/1000000)</f>
        <v>2.0961194359999999</v>
      </c>
      <c r="Y547" s="57"/>
      <c r="Z547" s="14"/>
      <c r="AA547" s="56"/>
      <c r="AB547" s="50">
        <f>(B547*194.205+C547*267.466+D547*133.845+E547*53.484+F547*40+G547*185+H547*0+I547*100+J547*300)/(194.205+267.466+133.845+53.484+0+40+185+100+300)</f>
        <v>31.039744238932499</v>
      </c>
      <c r="AC547" s="45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30.451266906474817</v>
      </c>
    </row>
    <row r="548" spans="1:29" ht="15.75" x14ac:dyDescent="0.25">
      <c r="A548" s="32">
        <v>57588</v>
      </c>
      <c r="B548" s="14">
        <f>CHOOSE(CONTROL!$C$42, 29.4622, 29.4622) * CHOOSE(CONTROL!$C$21, $C$9, 100%, $E$9)</f>
        <v>29.462199999999999</v>
      </c>
      <c r="C548" s="14">
        <f>CHOOSE(CONTROL!$C$42, 29.4702, 29.4702) * CHOOSE(CONTROL!$C$21, $C$9, 100%, $E$9)</f>
        <v>29.470199999999998</v>
      </c>
      <c r="D548" s="14">
        <f>CHOOSE(CONTROL!$C$42, 29.7038, 29.7038) * CHOOSE(CONTROL!$C$21, $C$9, 100%, $E$9)</f>
        <v>29.703800000000001</v>
      </c>
      <c r="E548" s="14">
        <f>CHOOSE(CONTROL!$C$42, 29.7353, 29.7353) * CHOOSE(CONTROL!$C$21, $C$9, 100%, $E$9)</f>
        <v>29.735299999999999</v>
      </c>
      <c r="F548" s="14">
        <f>CHOOSE(CONTROL!$C$42, 29.4602, 29.4602)*CHOOSE(CONTROL!$C$21, $C$9, 100%, $E$9)</f>
        <v>29.4602</v>
      </c>
      <c r="G548" s="14">
        <f>CHOOSE(CONTROL!$C$42, 29.4769, 29.4769)*CHOOSE(CONTROL!$C$21, $C$9, 100%, $E$9)</f>
        <v>29.476900000000001</v>
      </c>
      <c r="H548" s="14">
        <f>CHOOSE(CONTROL!$C$42, 29.7239, 29.7239) * CHOOSE(CONTROL!$C$21, $C$9, 100%, $E$9)</f>
        <v>29.7239</v>
      </c>
      <c r="I548" s="14">
        <f>CHOOSE(CONTROL!$C$42, 29.5704, 29.5704)* CHOOSE(CONTROL!$C$21, $C$9, 100%, $E$9)</f>
        <v>29.570399999999999</v>
      </c>
      <c r="J548" s="14">
        <f>CHOOSE(CONTROL!$C$42, 29.4532, 29.4532)* CHOOSE(CONTROL!$C$21, $C$9, 100%, $E$9)</f>
        <v>29.453199999999999</v>
      </c>
      <c r="K548" s="53">
        <f>CHOOSE(CONTROL!$C$42, 29.5665, 29.5665) * CHOOSE(CONTROL!$C$21, $C$9, 100%, $E$9)</f>
        <v>29.566500000000001</v>
      </c>
      <c r="L548" s="14">
        <f>CHOOSE(CONTROL!$C$42, 30.3109, 30.3109) * CHOOSE(CONTROL!$C$21, $C$9, 100%, $E$9)</f>
        <v>30.3109</v>
      </c>
      <c r="M548" s="14">
        <f>CHOOSE(CONTROL!$C$42, 28.8574, 28.8574) * CHOOSE(CONTROL!$C$21, $C$9, 100%, $E$9)</f>
        <v>28.857399999999998</v>
      </c>
      <c r="N548" s="14">
        <f>CHOOSE(CONTROL!$C$42, 28.8737, 28.8737) * CHOOSE(CONTROL!$C$21, $C$9, 100%, $E$9)</f>
        <v>28.873699999999999</v>
      </c>
      <c r="O548" s="14">
        <f>CHOOSE(CONTROL!$C$42, 29.1226, 29.1226) * CHOOSE(CONTROL!$C$21, $C$9, 100%, $E$9)</f>
        <v>29.122599999999998</v>
      </c>
      <c r="P548" s="14">
        <f>CHOOSE(CONTROL!$C$42, 28.9704, 28.9704) * CHOOSE(CONTROL!$C$21, $C$9, 100%, $E$9)</f>
        <v>28.970400000000001</v>
      </c>
      <c r="Q548" s="14">
        <f>CHOOSE(CONTROL!$C$42, 29.7173, 29.7173) * CHOOSE(CONTROL!$C$21, $C$9, 100%, $E$9)</f>
        <v>29.717300000000002</v>
      </c>
      <c r="R548" s="14">
        <f>CHOOSE(CONTROL!$C$42, 30.3786, 30.3786) * CHOOSE(CONTROL!$C$21, $C$9, 100%, $E$9)</f>
        <v>30.378599999999999</v>
      </c>
      <c r="S548" s="14">
        <f>CHOOSE(CONTROL!$C$42, 28.2996, 28.2996) * CHOOSE(CONTROL!$C$21, $C$9, 100%, $E$9)</f>
        <v>28.299600000000002</v>
      </c>
      <c r="T5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7">
        <f>(1000*CHOOSE(CONTROL!$C$42, 695, 695)*CHOOSE(CONTROL!$C$42, 0.5599, 0.5599)*CHOOSE(CONTROL!$C$42, 31, 31))/1000000</f>
        <v>12.063045499999998</v>
      </c>
      <c r="V548" s="57">
        <f>(1000*CHOOSE(CONTROL!$C$42, 500, 500)*CHOOSE(CONTROL!$C$42, 0.275, 0.275)*CHOOSE(CONTROL!$C$42, 31, 31))/1000000</f>
        <v>4.2625000000000002</v>
      </c>
      <c r="W548" s="57">
        <f>(1000*CHOOSE(CONTROL!$C$42, 0.1146, 0.1146)*CHOOSE(CONTROL!$C$42, 121.5, 121.5)*CHOOSE(CONTROL!$C$42, 31, 31))/1000000</f>
        <v>0.43164089999999994</v>
      </c>
      <c r="X548" s="57">
        <f>(31*0.1790888*245000/1000000)+(31*0.2374*100000/1000000)</f>
        <v>2.0961194359999999</v>
      </c>
      <c r="Y548" s="57"/>
      <c r="Z548" s="14"/>
      <c r="AA548" s="56"/>
      <c r="AB548" s="50">
        <f>(B548*194.205+C548*267.466+D548*133.845+E548*53.484+F548*40+G548*185+H548*0+I548*100+J548*300)/(194.205+267.466+133.845+53.484+0+40+185+100+300)</f>
        <v>29.509172260910514</v>
      </c>
      <c r="AC548" s="45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28.951820143884891</v>
      </c>
    </row>
    <row r="549" spans="1:29" ht="15.75" x14ac:dyDescent="0.25">
      <c r="A549" s="32">
        <v>57618</v>
      </c>
      <c r="B549" s="14">
        <f>CHOOSE(CONTROL!$C$42, 27.592, 27.592) * CHOOSE(CONTROL!$C$21, $C$9, 100%, $E$9)</f>
        <v>27.591999999999999</v>
      </c>
      <c r="C549" s="14">
        <f>CHOOSE(CONTROL!$C$42, 27.6001, 27.6001) * CHOOSE(CONTROL!$C$21, $C$9, 100%, $E$9)</f>
        <v>27.600100000000001</v>
      </c>
      <c r="D549" s="14">
        <f>CHOOSE(CONTROL!$C$42, 27.8337, 27.8337) * CHOOSE(CONTROL!$C$21, $C$9, 100%, $E$9)</f>
        <v>27.8337</v>
      </c>
      <c r="E549" s="14">
        <f>CHOOSE(CONTROL!$C$42, 27.8651, 27.8651) * CHOOSE(CONTROL!$C$21, $C$9, 100%, $E$9)</f>
        <v>27.865100000000002</v>
      </c>
      <c r="F549" s="14">
        <f>CHOOSE(CONTROL!$C$42, 27.5901, 27.5901)*CHOOSE(CONTROL!$C$21, $C$9, 100%, $E$9)</f>
        <v>27.5901</v>
      </c>
      <c r="G549" s="14">
        <f>CHOOSE(CONTROL!$C$42, 27.6067, 27.6067)*CHOOSE(CONTROL!$C$21, $C$9, 100%, $E$9)</f>
        <v>27.6067</v>
      </c>
      <c r="H549" s="14">
        <f>CHOOSE(CONTROL!$C$42, 27.8538, 27.8538) * CHOOSE(CONTROL!$C$21, $C$9, 100%, $E$9)</f>
        <v>27.8538</v>
      </c>
      <c r="I549" s="14">
        <f>CHOOSE(CONTROL!$C$42, 27.6943, 27.6943)* CHOOSE(CONTROL!$C$21, $C$9, 100%, $E$9)</f>
        <v>27.694299999999998</v>
      </c>
      <c r="J549" s="14">
        <f>CHOOSE(CONTROL!$C$42, 27.5831, 27.5831)* CHOOSE(CONTROL!$C$21, $C$9, 100%, $E$9)</f>
        <v>27.583100000000002</v>
      </c>
      <c r="K549" s="53">
        <f>CHOOSE(CONTROL!$C$42, 27.6904, 27.6904) * CHOOSE(CONTROL!$C$21, $C$9, 100%, $E$9)</f>
        <v>27.6904</v>
      </c>
      <c r="L549" s="14">
        <f>CHOOSE(CONTROL!$C$42, 28.4408, 28.4408) * CHOOSE(CONTROL!$C$21, $C$9, 100%, $E$9)</f>
        <v>28.440799999999999</v>
      </c>
      <c r="M549" s="14">
        <f>CHOOSE(CONTROL!$C$42, 27.0256, 27.0256) * CHOOSE(CONTROL!$C$21, $C$9, 100%, $E$9)</f>
        <v>27.025600000000001</v>
      </c>
      <c r="N549" s="14">
        <f>CHOOSE(CONTROL!$C$42, 27.0419, 27.0419) * CHOOSE(CONTROL!$C$21, $C$9, 100%, $E$9)</f>
        <v>27.041899999999998</v>
      </c>
      <c r="O549" s="14">
        <f>CHOOSE(CONTROL!$C$42, 27.2907, 27.2907) * CHOOSE(CONTROL!$C$21, $C$9, 100%, $E$9)</f>
        <v>27.290700000000001</v>
      </c>
      <c r="P549" s="14">
        <f>CHOOSE(CONTROL!$C$42, 27.1329, 27.1329) * CHOOSE(CONTROL!$C$21, $C$9, 100%, $E$9)</f>
        <v>27.132899999999999</v>
      </c>
      <c r="Q549" s="14">
        <f>CHOOSE(CONTROL!$C$42, 27.8854, 27.8854) * CHOOSE(CONTROL!$C$21, $C$9, 100%, $E$9)</f>
        <v>27.885400000000001</v>
      </c>
      <c r="R549" s="14">
        <f>CHOOSE(CONTROL!$C$42, 28.5422, 28.5422) * CHOOSE(CONTROL!$C$21, $C$9, 100%, $E$9)</f>
        <v>28.542200000000001</v>
      </c>
      <c r="S549" s="14">
        <f>CHOOSE(CONTROL!$C$42, 26.5026, 26.5026) * CHOOSE(CONTROL!$C$21, $C$9, 100%, $E$9)</f>
        <v>26.502600000000001</v>
      </c>
      <c r="T5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7">
        <f>(1000*CHOOSE(CONTROL!$C$42, 695, 695)*CHOOSE(CONTROL!$C$42, 0.5599, 0.5599)*CHOOSE(CONTROL!$C$42, 30, 30))/1000000</f>
        <v>11.673914999999997</v>
      </c>
      <c r="V549" s="57">
        <f>(1000*CHOOSE(CONTROL!$C$42, 500, 500)*CHOOSE(CONTROL!$C$42, 0.275, 0.275)*CHOOSE(CONTROL!$C$42, 30, 30))/1000000</f>
        <v>4.125</v>
      </c>
      <c r="W549" s="57">
        <f>(1000*CHOOSE(CONTROL!$C$42, 0.1146, 0.1146)*CHOOSE(CONTROL!$C$42, 121.5, 121.5)*CHOOSE(CONTROL!$C$42, 30, 30))/1000000</f>
        <v>0.417717</v>
      </c>
      <c r="X549" s="57">
        <f>(30*0.1790888*245000/1000000)+(30*0.2374*100000/1000000)</f>
        <v>2.0285026799999999</v>
      </c>
      <c r="Y549" s="57"/>
      <c r="Z549" s="14"/>
      <c r="AA549" s="56"/>
      <c r="AB549" s="50">
        <f>(B549*194.205+C549*267.466+D549*133.845+E549*53.484+F549*40+G549*185+H549*0+I549*100+J549*300)/(194.205+267.466+133.845+53.484+0+40+185+100+300)</f>
        <v>27.638567340266878</v>
      </c>
      <c r="AC549" s="45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27.119171942446041</v>
      </c>
    </row>
    <row r="550" spans="1:29" ht="15.75" x14ac:dyDescent="0.25">
      <c r="A550" s="32">
        <v>57649</v>
      </c>
      <c r="B550" s="14">
        <f>CHOOSE(CONTROL!$C$42, 27.0303, 27.0303) * CHOOSE(CONTROL!$C$21, $C$9, 100%, $E$9)</f>
        <v>27.0303</v>
      </c>
      <c r="C550" s="14">
        <f>CHOOSE(CONTROL!$C$42, 27.0356, 27.0356) * CHOOSE(CONTROL!$C$21, $C$9, 100%, $E$9)</f>
        <v>27.035599999999999</v>
      </c>
      <c r="D550" s="14">
        <f>CHOOSE(CONTROL!$C$42, 27.2742, 27.2742) * CHOOSE(CONTROL!$C$21, $C$9, 100%, $E$9)</f>
        <v>27.2742</v>
      </c>
      <c r="E550" s="14">
        <f>CHOOSE(CONTROL!$C$42, 27.3033, 27.3033) * CHOOSE(CONTROL!$C$21, $C$9, 100%, $E$9)</f>
        <v>27.3033</v>
      </c>
      <c r="F550" s="14">
        <f>CHOOSE(CONTROL!$C$42, 27.0303, 27.0303)*CHOOSE(CONTROL!$C$21, $C$9, 100%, $E$9)</f>
        <v>27.0303</v>
      </c>
      <c r="G550" s="14">
        <f>CHOOSE(CONTROL!$C$42, 27.0466, 27.0466)*CHOOSE(CONTROL!$C$21, $C$9, 100%, $E$9)</f>
        <v>27.046600000000002</v>
      </c>
      <c r="H550" s="14">
        <f>CHOOSE(CONTROL!$C$42, 27.2938, 27.2938) * CHOOSE(CONTROL!$C$21, $C$9, 100%, $E$9)</f>
        <v>27.293800000000001</v>
      </c>
      <c r="I550" s="14">
        <f>CHOOSE(CONTROL!$C$42, 27.1326, 27.1326)* CHOOSE(CONTROL!$C$21, $C$9, 100%, $E$9)</f>
        <v>27.1326</v>
      </c>
      <c r="J550" s="14">
        <f>CHOOSE(CONTROL!$C$42, 27.0233, 27.0233)* CHOOSE(CONTROL!$C$21, $C$9, 100%, $E$9)</f>
        <v>27.023299999999999</v>
      </c>
      <c r="K550" s="53">
        <f>CHOOSE(CONTROL!$C$42, 27.1287, 27.1287) * CHOOSE(CONTROL!$C$21, $C$9, 100%, $E$9)</f>
        <v>27.128699999999998</v>
      </c>
      <c r="L550" s="14">
        <f>CHOOSE(CONTROL!$C$42, 27.8808, 27.8808) * CHOOSE(CONTROL!$C$21, $C$9, 100%, $E$9)</f>
        <v>27.880800000000001</v>
      </c>
      <c r="M550" s="14">
        <f>CHOOSE(CONTROL!$C$42, 26.4773, 26.4773) * CHOOSE(CONTROL!$C$21, $C$9, 100%, $E$9)</f>
        <v>26.4773</v>
      </c>
      <c r="N550" s="14">
        <f>CHOOSE(CONTROL!$C$42, 26.4933, 26.4933) * CHOOSE(CONTROL!$C$21, $C$9, 100%, $E$9)</f>
        <v>26.493300000000001</v>
      </c>
      <c r="O550" s="14">
        <f>CHOOSE(CONTROL!$C$42, 26.7422, 26.7422) * CHOOSE(CONTROL!$C$21, $C$9, 100%, $E$9)</f>
        <v>26.7422</v>
      </c>
      <c r="P550" s="14">
        <f>CHOOSE(CONTROL!$C$42, 26.5827, 26.5827) * CHOOSE(CONTROL!$C$21, $C$9, 100%, $E$9)</f>
        <v>26.582699999999999</v>
      </c>
      <c r="Q550" s="14">
        <f>CHOOSE(CONTROL!$C$42, 27.3369, 27.3369) * CHOOSE(CONTROL!$C$21, $C$9, 100%, $E$9)</f>
        <v>27.3369</v>
      </c>
      <c r="R550" s="14">
        <f>CHOOSE(CONTROL!$C$42, 27.9923, 27.9923) * CHOOSE(CONTROL!$C$21, $C$9, 100%, $E$9)</f>
        <v>27.9923</v>
      </c>
      <c r="S550" s="14">
        <f>CHOOSE(CONTROL!$C$42, 25.9645, 25.9645) * CHOOSE(CONTROL!$C$21, $C$9, 100%, $E$9)</f>
        <v>25.964500000000001</v>
      </c>
      <c r="T5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7">
        <f>(1000*CHOOSE(CONTROL!$C$42, 695, 695)*CHOOSE(CONTROL!$C$42, 0.5599, 0.5599)*CHOOSE(CONTROL!$C$42, 31, 31))/1000000</f>
        <v>12.063045499999998</v>
      </c>
      <c r="V550" s="57">
        <f>(1000*CHOOSE(CONTROL!$C$42, 500, 500)*CHOOSE(CONTROL!$C$42, 0.275, 0.275)*CHOOSE(CONTROL!$C$42, 31, 31))/1000000</f>
        <v>4.2625000000000002</v>
      </c>
      <c r="W550" s="57">
        <f>(1000*CHOOSE(CONTROL!$C$42, 0.1146, 0.1146)*CHOOSE(CONTROL!$C$42, 121.5, 121.5)*CHOOSE(CONTROL!$C$42, 31, 31))/1000000</f>
        <v>0.43164089999999994</v>
      </c>
      <c r="X550" s="57">
        <f>(31*0.1790888*245000/1000000)+(31*0.2374*100000/1000000)</f>
        <v>2.0961194359999999</v>
      </c>
      <c r="Y550" s="57"/>
      <c r="Z550" s="14"/>
      <c r="AA550" s="56"/>
      <c r="AB550" s="50">
        <f>(B550*131.881+C550*277.167+D550*79.08+E550*125.872+F550*40+G550*185+H550*0+I550*100+J550*300)/(131.881+277.167+79.08+125.872+0+40+185+100+300)</f>
        <v>27.083782770863596</v>
      </c>
      <c r="AC550" s="45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26.570473381294963</v>
      </c>
    </row>
    <row r="551" spans="1:29" ht="15.75" x14ac:dyDescent="0.25">
      <c r="A551" s="32">
        <v>57679</v>
      </c>
      <c r="B551" s="14">
        <f>CHOOSE(CONTROL!$C$42, 27.7417, 27.7417) * CHOOSE(CONTROL!$C$21, $C$9, 100%, $E$9)</f>
        <v>27.741700000000002</v>
      </c>
      <c r="C551" s="14">
        <f>CHOOSE(CONTROL!$C$42, 27.7468, 27.7468) * CHOOSE(CONTROL!$C$21, $C$9, 100%, $E$9)</f>
        <v>27.7468</v>
      </c>
      <c r="D551" s="14">
        <f>CHOOSE(CONTROL!$C$42, 27.821, 27.821) * CHOOSE(CONTROL!$C$21, $C$9, 100%, $E$9)</f>
        <v>27.821000000000002</v>
      </c>
      <c r="E551" s="14">
        <f>CHOOSE(CONTROL!$C$42, 27.8551, 27.8551) * CHOOSE(CONTROL!$C$21, $C$9, 100%, $E$9)</f>
        <v>27.8551</v>
      </c>
      <c r="F551" s="14">
        <f>CHOOSE(CONTROL!$C$42, 27.7538, 27.7538)*CHOOSE(CONTROL!$C$21, $C$9, 100%, $E$9)</f>
        <v>27.753799999999998</v>
      </c>
      <c r="G551" s="14">
        <f>CHOOSE(CONTROL!$C$42, 27.7704, 27.7704)*CHOOSE(CONTROL!$C$21, $C$9, 100%, $E$9)</f>
        <v>27.770399999999999</v>
      </c>
      <c r="H551" s="14">
        <f>CHOOSE(CONTROL!$C$42, 27.8443, 27.8443) * CHOOSE(CONTROL!$C$21, $C$9, 100%, $E$9)</f>
        <v>27.8443</v>
      </c>
      <c r="I551" s="14">
        <f>CHOOSE(CONTROL!$C$42, 27.8529, 27.8529)* CHOOSE(CONTROL!$C$21, $C$9, 100%, $E$9)</f>
        <v>27.852900000000002</v>
      </c>
      <c r="J551" s="14">
        <f>CHOOSE(CONTROL!$C$42, 27.7468, 27.7468)* CHOOSE(CONTROL!$C$21, $C$9, 100%, $E$9)</f>
        <v>27.7468</v>
      </c>
      <c r="K551" s="53">
        <f>CHOOSE(CONTROL!$C$42, 27.849, 27.849) * CHOOSE(CONTROL!$C$21, $C$9, 100%, $E$9)</f>
        <v>27.849</v>
      </c>
      <c r="L551" s="14">
        <f>CHOOSE(CONTROL!$C$42, 28.4313, 28.4313) * CHOOSE(CONTROL!$C$21, $C$9, 100%, $E$9)</f>
        <v>28.4313</v>
      </c>
      <c r="M551" s="14">
        <f>CHOOSE(CONTROL!$C$42, 27.1859, 27.1859) * CHOOSE(CONTROL!$C$21, $C$9, 100%, $E$9)</f>
        <v>27.1859</v>
      </c>
      <c r="N551" s="14">
        <f>CHOOSE(CONTROL!$C$42, 27.2022, 27.2022) * CHOOSE(CONTROL!$C$21, $C$9, 100%, $E$9)</f>
        <v>27.202200000000001</v>
      </c>
      <c r="O551" s="14">
        <f>CHOOSE(CONTROL!$C$42, 27.2815, 27.2815) * CHOOSE(CONTROL!$C$21, $C$9, 100%, $E$9)</f>
        <v>27.281500000000001</v>
      </c>
      <c r="P551" s="14">
        <f>CHOOSE(CONTROL!$C$42, 27.2883, 27.2883) * CHOOSE(CONTROL!$C$21, $C$9, 100%, $E$9)</f>
        <v>27.2883</v>
      </c>
      <c r="Q551" s="14">
        <f>CHOOSE(CONTROL!$C$42, 27.8762, 27.8762) * CHOOSE(CONTROL!$C$21, $C$9, 100%, $E$9)</f>
        <v>27.876200000000001</v>
      </c>
      <c r="R551" s="14">
        <f>CHOOSE(CONTROL!$C$42, 28.5329, 28.5329) * CHOOSE(CONTROL!$C$21, $C$9, 100%, $E$9)</f>
        <v>28.532900000000001</v>
      </c>
      <c r="S551" s="14">
        <f>CHOOSE(CONTROL!$C$42, 26.6485, 26.6485) * CHOOSE(CONTROL!$C$21, $C$9, 100%, $E$9)</f>
        <v>26.648499999999999</v>
      </c>
      <c r="T5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7">
        <f>(1000*CHOOSE(CONTROL!$C$42, 695, 695)*CHOOSE(CONTROL!$C$42, 0.5599, 0.5599)*CHOOSE(CONTROL!$C$42, 30, 30))/1000000</f>
        <v>11.673914999999997</v>
      </c>
      <c r="V551" s="57">
        <f>(1000*CHOOSE(CONTROL!$C$42, 500, 500)*CHOOSE(CONTROL!$C$42, 0.275, 0.275)*CHOOSE(CONTROL!$C$42, 30, 30))/1000000</f>
        <v>4.125</v>
      </c>
      <c r="W551" s="57">
        <f>(1000*CHOOSE(CONTROL!$C$42, 0.1146, 0.1146)*CHOOSE(CONTROL!$C$42, 121.5, 121.5)*CHOOSE(CONTROL!$C$42, 30, 30))/1000000</f>
        <v>0.417717</v>
      </c>
      <c r="X551" s="57">
        <f>(30*0.1790888*100000/1000000)+(30*0.2374*100000/1000000)</f>
        <v>1.2494664</v>
      </c>
      <c r="Y551" s="57"/>
      <c r="Z551" s="14"/>
      <c r="AA551" s="56"/>
      <c r="AB551" s="50">
        <f>(B551*122.58+C551*297.941+D551*89.177+E551*40.302+F551*40+G551*160+H551*0+I551*100+J551*300)/(122.58+297.941+89.177+40.302+0+40+160+100+300)</f>
        <v>27.768558680000002</v>
      </c>
      <c r="AC551" s="45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27.24490143884892</v>
      </c>
    </row>
    <row r="552" spans="1:29" ht="15.75" x14ac:dyDescent="0.25">
      <c r="A552" s="32">
        <v>57710</v>
      </c>
      <c r="B552" s="14">
        <f>CHOOSE(CONTROL!$C$42, 29.6325, 29.6325) * CHOOSE(CONTROL!$C$21, $C$9, 100%, $E$9)</f>
        <v>29.6325</v>
      </c>
      <c r="C552" s="14">
        <f>CHOOSE(CONTROL!$C$42, 29.6375, 29.6375) * CHOOSE(CONTROL!$C$21, $C$9, 100%, $E$9)</f>
        <v>29.637499999999999</v>
      </c>
      <c r="D552" s="14">
        <f>CHOOSE(CONTROL!$C$42, 29.7118, 29.7118) * CHOOSE(CONTROL!$C$21, $C$9, 100%, $E$9)</f>
        <v>29.7118</v>
      </c>
      <c r="E552" s="14">
        <f>CHOOSE(CONTROL!$C$42, 29.7459, 29.7459) * CHOOSE(CONTROL!$C$21, $C$9, 100%, $E$9)</f>
        <v>29.745899999999999</v>
      </c>
      <c r="F552" s="14">
        <f>CHOOSE(CONTROL!$C$42, 29.6467, 29.6467)*CHOOSE(CONTROL!$C$21, $C$9, 100%, $E$9)</f>
        <v>29.646699999999999</v>
      </c>
      <c r="G552" s="14">
        <f>CHOOSE(CONTROL!$C$42, 29.6639, 29.6639)*CHOOSE(CONTROL!$C$21, $C$9, 100%, $E$9)</f>
        <v>29.663900000000002</v>
      </c>
      <c r="H552" s="14">
        <f>CHOOSE(CONTROL!$C$42, 29.7351, 29.7351) * CHOOSE(CONTROL!$C$21, $C$9, 100%, $E$9)</f>
        <v>29.735099999999999</v>
      </c>
      <c r="I552" s="14">
        <f>CHOOSE(CONTROL!$C$42, 29.7496, 29.7496)* CHOOSE(CONTROL!$C$21, $C$9, 100%, $E$9)</f>
        <v>29.749600000000001</v>
      </c>
      <c r="J552" s="14">
        <f>CHOOSE(CONTROL!$C$42, 29.6397, 29.6397)* CHOOSE(CONTROL!$C$21, $C$9, 100%, $E$9)</f>
        <v>29.639700000000001</v>
      </c>
      <c r="K552" s="53">
        <f>CHOOSE(CONTROL!$C$42, 29.7457, 29.7457) * CHOOSE(CONTROL!$C$21, $C$9, 100%, $E$9)</f>
        <v>29.745699999999999</v>
      </c>
      <c r="L552" s="14">
        <f>CHOOSE(CONTROL!$C$42, 30.3221, 30.3221) * CHOOSE(CONTROL!$C$21, $C$9, 100%, $E$9)</f>
        <v>30.322099999999999</v>
      </c>
      <c r="M552" s="14">
        <f>CHOOSE(CONTROL!$C$42, 29.0401, 29.0401) * CHOOSE(CONTROL!$C$21, $C$9, 100%, $E$9)</f>
        <v>29.040099999999999</v>
      </c>
      <c r="N552" s="14">
        <f>CHOOSE(CONTROL!$C$42, 29.0569, 29.0569) * CHOOSE(CONTROL!$C$21, $C$9, 100%, $E$9)</f>
        <v>29.056899999999999</v>
      </c>
      <c r="O552" s="14">
        <f>CHOOSE(CONTROL!$C$42, 29.1335, 29.1335) * CHOOSE(CONTROL!$C$21, $C$9, 100%, $E$9)</f>
        <v>29.133500000000002</v>
      </c>
      <c r="P552" s="14">
        <f>CHOOSE(CONTROL!$C$42, 29.146, 29.146) * CHOOSE(CONTROL!$C$21, $C$9, 100%, $E$9)</f>
        <v>29.146000000000001</v>
      </c>
      <c r="Q552" s="14">
        <f>CHOOSE(CONTROL!$C$42, 29.7282, 29.7282) * CHOOSE(CONTROL!$C$21, $C$9, 100%, $E$9)</f>
        <v>29.728200000000001</v>
      </c>
      <c r="R552" s="14">
        <f>CHOOSE(CONTROL!$C$42, 30.3895, 30.3895) * CHOOSE(CONTROL!$C$21, $C$9, 100%, $E$9)</f>
        <v>30.389500000000002</v>
      </c>
      <c r="S552" s="14">
        <f>CHOOSE(CONTROL!$C$42, 28.4653, 28.4653) * CHOOSE(CONTROL!$C$21, $C$9, 100%, $E$9)</f>
        <v>28.465299999999999</v>
      </c>
      <c r="T5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7">
        <f>(1000*CHOOSE(CONTROL!$C$42, 695, 695)*CHOOSE(CONTROL!$C$42, 0.5599, 0.5599)*CHOOSE(CONTROL!$C$42, 31, 31))/1000000</f>
        <v>12.063045499999998</v>
      </c>
      <c r="V552" s="57">
        <f>(1000*CHOOSE(CONTROL!$C$42, 500, 500)*CHOOSE(CONTROL!$C$42, 0.275, 0.275)*CHOOSE(CONTROL!$C$42, 31, 31))/1000000</f>
        <v>4.2625000000000002</v>
      </c>
      <c r="W552" s="57">
        <f>(1000*CHOOSE(CONTROL!$C$42, 0.1146, 0.1146)*CHOOSE(CONTROL!$C$42, 121.5, 121.5)*CHOOSE(CONTROL!$C$42, 31, 31))/1000000</f>
        <v>0.43164089999999994</v>
      </c>
      <c r="X552" s="57">
        <f>(31*0.1790888*100000/1000000)+(31*0.2374*100000/1000000)</f>
        <v>1.2911152800000001</v>
      </c>
      <c r="Y552" s="57"/>
      <c r="Z552" s="14"/>
      <c r="AA552" s="56"/>
      <c r="AB552" s="50">
        <f>(B552*122.58+C552*297.941+D552*89.177+E552*40.302+F552*40+G552*160+H552*0+I552*100+J552*300)/(122.58+297.941+89.177+40.302+0+40+160+100+300)</f>
        <v>29.660842337304341</v>
      </c>
      <c r="AC552" s="45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29.098636690647478</v>
      </c>
    </row>
    <row r="553" spans="1:29" ht="15.75" x14ac:dyDescent="0.25">
      <c r="A553" s="32">
        <v>57741</v>
      </c>
      <c r="B553" s="14">
        <f>CHOOSE(CONTROL!$C$42, 32.0882, 32.0882) * CHOOSE(CONTROL!$C$21, $C$9, 100%, $E$9)</f>
        <v>32.088200000000001</v>
      </c>
      <c r="C553" s="14">
        <f>CHOOSE(CONTROL!$C$42, 32.0933, 32.0933) * CHOOSE(CONTROL!$C$21, $C$9, 100%, $E$9)</f>
        <v>32.093299999999999</v>
      </c>
      <c r="D553" s="14">
        <f>CHOOSE(CONTROL!$C$42, 32.1701, 32.1701) * CHOOSE(CONTROL!$C$21, $C$9, 100%, $E$9)</f>
        <v>32.170099999999998</v>
      </c>
      <c r="E553" s="14">
        <f>CHOOSE(CONTROL!$C$42, 32.2042, 32.2042) * CHOOSE(CONTROL!$C$21, $C$9, 100%, $E$9)</f>
        <v>32.2042</v>
      </c>
      <c r="F553" s="14">
        <f>CHOOSE(CONTROL!$C$42, 32.0884, 32.0884)*CHOOSE(CONTROL!$C$21, $C$9, 100%, $E$9)</f>
        <v>32.0884</v>
      </c>
      <c r="G553" s="14">
        <f>CHOOSE(CONTROL!$C$42, 32.1046, 32.1046)*CHOOSE(CONTROL!$C$21, $C$9, 100%, $E$9)</f>
        <v>32.104599999999998</v>
      </c>
      <c r="H553" s="14">
        <f>CHOOSE(CONTROL!$C$42, 32.1934, 32.1934) * CHOOSE(CONTROL!$C$21, $C$9, 100%, $E$9)</f>
        <v>32.193399999999997</v>
      </c>
      <c r="I553" s="14">
        <f>CHOOSE(CONTROL!$C$42, 32.2068, 32.2068)* CHOOSE(CONTROL!$C$21, $C$9, 100%, $E$9)</f>
        <v>32.206800000000001</v>
      </c>
      <c r="J553" s="14">
        <f>CHOOSE(CONTROL!$C$42, 32.0814, 32.0814)* CHOOSE(CONTROL!$C$21, $C$9, 100%, $E$9)</f>
        <v>32.081400000000002</v>
      </c>
      <c r="K553" s="53">
        <f>CHOOSE(CONTROL!$C$42, 32.2029, 32.2029) * CHOOSE(CONTROL!$C$21, $C$9, 100%, $E$9)</f>
        <v>32.2029</v>
      </c>
      <c r="L553" s="14">
        <f>CHOOSE(CONTROL!$C$42, 32.7804, 32.7804) * CHOOSE(CONTROL!$C$21, $C$9, 100%, $E$9)</f>
        <v>32.7804</v>
      </c>
      <c r="M553" s="14">
        <f>CHOOSE(CONTROL!$C$42, 31.4318, 31.4318) * CHOOSE(CONTROL!$C$21, $C$9, 100%, $E$9)</f>
        <v>31.431799999999999</v>
      </c>
      <c r="N553" s="14">
        <f>CHOOSE(CONTROL!$C$42, 31.4477, 31.4477) * CHOOSE(CONTROL!$C$21, $C$9, 100%, $E$9)</f>
        <v>31.447700000000001</v>
      </c>
      <c r="O553" s="14">
        <f>CHOOSE(CONTROL!$C$42, 31.5415, 31.5415) * CHOOSE(CONTROL!$C$21, $C$9, 100%, $E$9)</f>
        <v>31.541499999999999</v>
      </c>
      <c r="P553" s="14">
        <f>CHOOSE(CONTROL!$C$42, 31.5526, 31.5526) * CHOOSE(CONTROL!$C$21, $C$9, 100%, $E$9)</f>
        <v>31.552600000000002</v>
      </c>
      <c r="Q553" s="14">
        <f>CHOOSE(CONTROL!$C$42, 32.1362, 32.1362) * CHOOSE(CONTROL!$C$21, $C$9, 100%, $E$9)</f>
        <v>32.136200000000002</v>
      </c>
      <c r="R553" s="14">
        <f>CHOOSE(CONTROL!$C$42, 32.8035, 32.8035) * CHOOSE(CONTROL!$C$21, $C$9, 100%, $E$9)</f>
        <v>32.8035</v>
      </c>
      <c r="S553" s="14">
        <f>CHOOSE(CONTROL!$C$42, 30.825, 30.825) * CHOOSE(CONTROL!$C$21, $C$9, 100%, $E$9)</f>
        <v>30.824999999999999</v>
      </c>
      <c r="T5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7">
        <f>(1000*CHOOSE(CONTROL!$C$42, 695, 695)*CHOOSE(CONTROL!$C$42, 0.5599, 0.5599)*CHOOSE(CONTROL!$C$42, 31, 31))/1000000</f>
        <v>12.063045499999998</v>
      </c>
      <c r="V553" s="57">
        <f>(1000*CHOOSE(CONTROL!$C$42, 500, 500)*CHOOSE(CONTROL!$C$42, 0.275, 0.275)*CHOOSE(CONTROL!$C$42, 31, 31))/1000000</f>
        <v>4.2625000000000002</v>
      </c>
      <c r="W553" s="57">
        <f>(1000*CHOOSE(CONTROL!$C$42, 0.1146, 0.1146)*CHOOSE(CONTROL!$C$42, 121.5, 121.5)*CHOOSE(CONTROL!$C$42, 31, 31))/1000000</f>
        <v>0.43164089999999994</v>
      </c>
      <c r="X553" s="57">
        <f>(31*0.1790888*100000/1000000)+(31*0.2374*100000/1000000)</f>
        <v>1.2911152800000001</v>
      </c>
      <c r="Y553" s="57"/>
      <c r="Z553" s="14"/>
      <c r="AA553" s="56"/>
      <c r="AB553" s="50">
        <f>(B553*122.58+C553*297.941+D553*89.177+E553*40.302+F553*40+G553*160+H553*0+I553*100+J553*300)/(122.58+297.941+89.177+40.302+0+40+160+100+300)</f>
        <v>32.110765328173912</v>
      </c>
      <c r="AC553" s="45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31.499816546762588</v>
      </c>
    </row>
    <row r="554" spans="1:29" ht="15.75" x14ac:dyDescent="0.25">
      <c r="A554" s="32">
        <v>57769</v>
      </c>
      <c r="B554" s="14">
        <f>CHOOSE(CONTROL!$C$42, 32.6593, 32.6593) * CHOOSE(CONTROL!$C$21, $C$9, 100%, $E$9)</f>
        <v>32.659300000000002</v>
      </c>
      <c r="C554" s="14">
        <f>CHOOSE(CONTROL!$C$42, 32.6643, 32.6643) * CHOOSE(CONTROL!$C$21, $C$9, 100%, $E$9)</f>
        <v>32.664299999999997</v>
      </c>
      <c r="D554" s="14">
        <f>CHOOSE(CONTROL!$C$42, 32.7411, 32.7411) * CHOOSE(CONTROL!$C$21, $C$9, 100%, $E$9)</f>
        <v>32.741100000000003</v>
      </c>
      <c r="E554" s="14">
        <f>CHOOSE(CONTROL!$C$42, 32.7752, 32.7752) * CHOOSE(CONTROL!$C$21, $C$9, 100%, $E$9)</f>
        <v>32.775199999999998</v>
      </c>
      <c r="F554" s="14">
        <f>CHOOSE(CONTROL!$C$42, 32.6595, 32.6595)*CHOOSE(CONTROL!$C$21, $C$9, 100%, $E$9)</f>
        <v>32.659500000000001</v>
      </c>
      <c r="G554" s="14">
        <f>CHOOSE(CONTROL!$C$42, 32.6758, 32.6758)*CHOOSE(CONTROL!$C$21, $C$9, 100%, $E$9)</f>
        <v>32.675800000000002</v>
      </c>
      <c r="H554" s="14">
        <f>CHOOSE(CONTROL!$C$42, 32.7644, 32.7644) * CHOOSE(CONTROL!$C$21, $C$9, 100%, $E$9)</f>
        <v>32.764400000000002</v>
      </c>
      <c r="I554" s="14">
        <f>CHOOSE(CONTROL!$C$42, 32.7796, 32.7796)* CHOOSE(CONTROL!$C$21, $C$9, 100%, $E$9)</f>
        <v>32.779600000000002</v>
      </c>
      <c r="J554" s="14">
        <f>CHOOSE(CONTROL!$C$42, 32.6525, 32.6525)* CHOOSE(CONTROL!$C$21, $C$9, 100%, $E$9)</f>
        <v>32.652500000000003</v>
      </c>
      <c r="K554" s="53">
        <f>CHOOSE(CONTROL!$C$42, 32.7757, 32.7757) * CHOOSE(CONTROL!$C$21, $C$9, 100%, $E$9)</f>
        <v>32.775700000000001</v>
      </c>
      <c r="L554" s="14">
        <f>CHOOSE(CONTROL!$C$42, 33.3514, 33.3514) * CHOOSE(CONTROL!$C$21, $C$9, 100%, $E$9)</f>
        <v>33.351399999999998</v>
      </c>
      <c r="M554" s="14">
        <f>CHOOSE(CONTROL!$C$42, 31.9912, 31.9912) * CHOOSE(CONTROL!$C$21, $C$9, 100%, $E$9)</f>
        <v>31.991199999999999</v>
      </c>
      <c r="N554" s="14">
        <f>CHOOSE(CONTROL!$C$42, 32.0071, 32.0071) * CHOOSE(CONTROL!$C$21, $C$9, 100%, $E$9)</f>
        <v>32.007100000000001</v>
      </c>
      <c r="O554" s="14">
        <f>CHOOSE(CONTROL!$C$42, 32.1008, 32.1008) * CHOOSE(CONTROL!$C$21, $C$9, 100%, $E$9)</f>
        <v>32.1008</v>
      </c>
      <c r="P554" s="14">
        <f>CHOOSE(CONTROL!$C$42, 32.1137, 32.1137) * CHOOSE(CONTROL!$C$21, $C$9, 100%, $E$9)</f>
        <v>32.113700000000001</v>
      </c>
      <c r="Q554" s="14">
        <f>CHOOSE(CONTROL!$C$42, 32.6955, 32.6955) * CHOOSE(CONTROL!$C$21, $C$9, 100%, $E$9)</f>
        <v>32.695500000000003</v>
      </c>
      <c r="R554" s="14">
        <f>CHOOSE(CONTROL!$C$42, 33.3643, 33.3643) * CHOOSE(CONTROL!$C$21, $C$9, 100%, $E$9)</f>
        <v>33.3643</v>
      </c>
      <c r="S554" s="14">
        <f>CHOOSE(CONTROL!$C$42, 31.3737, 31.3737) * CHOOSE(CONTROL!$C$21, $C$9, 100%, $E$9)</f>
        <v>31.373699999999999</v>
      </c>
      <c r="T5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7">
        <f>(1000*CHOOSE(CONTROL!$C$42, 695, 695)*CHOOSE(CONTROL!$C$42, 0.5599, 0.5599)*CHOOSE(CONTROL!$C$42, 28, 28))/1000000</f>
        <v>10.895653999999999</v>
      </c>
      <c r="V554" s="57">
        <f>(1000*CHOOSE(CONTROL!$C$42, 500, 500)*CHOOSE(CONTROL!$C$42, 0.275, 0.275)*CHOOSE(CONTROL!$C$42, 28, 28))/1000000</f>
        <v>3.85</v>
      </c>
      <c r="W554" s="57">
        <f>(1000*CHOOSE(CONTROL!$C$42, 0.1146, 0.1146)*CHOOSE(CONTROL!$C$42, 121.5, 121.5)*CHOOSE(CONTROL!$C$42, 28, 28))/1000000</f>
        <v>0.38986920000000003</v>
      </c>
      <c r="X554" s="57">
        <f>(28*0.1790888*100000/1000000)+(28*0.2374*100000/1000000)</f>
        <v>1.16616864</v>
      </c>
      <c r="Y554" s="57"/>
      <c r="Z554" s="14"/>
      <c r="AA554" s="56"/>
      <c r="AB554" s="50">
        <f>(B554*122.58+C554*297.941+D554*89.177+E554*40.302+F554*40+G554*160+H554*0+I554*100+J554*300)/(122.58+297.941+89.177+40.302+0+40+160+100+300)</f>
        <v>32.68198990034783</v>
      </c>
      <c r="AC554" s="45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32.059415827338128</v>
      </c>
    </row>
    <row r="555" spans="1:29" ht="15.75" x14ac:dyDescent="0.25">
      <c r="A555" s="32">
        <v>57800</v>
      </c>
      <c r="B555" s="14">
        <f>CHOOSE(CONTROL!$C$42, 31.7323, 31.7323) * CHOOSE(CONTROL!$C$21, $C$9, 100%, $E$9)</f>
        <v>31.732299999999999</v>
      </c>
      <c r="C555" s="14">
        <f>CHOOSE(CONTROL!$C$42, 31.7374, 31.7374) * CHOOSE(CONTROL!$C$21, $C$9, 100%, $E$9)</f>
        <v>31.737400000000001</v>
      </c>
      <c r="D555" s="14">
        <f>CHOOSE(CONTROL!$C$42, 31.8142, 31.8142) * CHOOSE(CONTROL!$C$21, $C$9, 100%, $E$9)</f>
        <v>31.8142</v>
      </c>
      <c r="E555" s="14">
        <f>CHOOSE(CONTROL!$C$42, 31.8483, 31.8483) * CHOOSE(CONTROL!$C$21, $C$9, 100%, $E$9)</f>
        <v>31.848299999999998</v>
      </c>
      <c r="F555" s="14">
        <f>CHOOSE(CONTROL!$C$42, 31.7321, 31.7321)*CHOOSE(CONTROL!$C$21, $C$9, 100%, $E$9)</f>
        <v>31.732099999999999</v>
      </c>
      <c r="G555" s="14">
        <f>CHOOSE(CONTROL!$C$42, 31.7482, 31.7482)*CHOOSE(CONTROL!$C$21, $C$9, 100%, $E$9)</f>
        <v>31.748200000000001</v>
      </c>
      <c r="H555" s="14">
        <f>CHOOSE(CONTROL!$C$42, 31.8375, 31.8375) * CHOOSE(CONTROL!$C$21, $C$9, 100%, $E$9)</f>
        <v>31.837499999999999</v>
      </c>
      <c r="I555" s="14">
        <f>CHOOSE(CONTROL!$C$42, 31.8498, 31.8498)* CHOOSE(CONTROL!$C$21, $C$9, 100%, $E$9)</f>
        <v>31.849799999999998</v>
      </c>
      <c r="J555" s="14">
        <f>CHOOSE(CONTROL!$C$42, 31.7251, 31.7251)* CHOOSE(CONTROL!$C$21, $C$9, 100%, $E$9)</f>
        <v>31.725100000000001</v>
      </c>
      <c r="K555" s="53">
        <f>CHOOSE(CONTROL!$C$42, 31.8459, 31.8459) * CHOOSE(CONTROL!$C$21, $C$9, 100%, $E$9)</f>
        <v>31.8459</v>
      </c>
      <c r="L555" s="14">
        <f>CHOOSE(CONTROL!$C$42, 32.4245, 32.4245) * CHOOSE(CONTROL!$C$21, $C$9, 100%, $E$9)</f>
        <v>32.424500000000002</v>
      </c>
      <c r="M555" s="14">
        <f>CHOOSE(CONTROL!$C$42, 31.0828, 31.0828) * CHOOSE(CONTROL!$C$21, $C$9, 100%, $E$9)</f>
        <v>31.082799999999999</v>
      </c>
      <c r="N555" s="14">
        <f>CHOOSE(CONTROL!$C$42, 31.0986, 31.0986) * CHOOSE(CONTROL!$C$21, $C$9, 100%, $E$9)</f>
        <v>31.098600000000001</v>
      </c>
      <c r="O555" s="14">
        <f>CHOOSE(CONTROL!$C$42, 31.1929, 31.1929) * CHOOSE(CONTROL!$C$21, $C$9, 100%, $E$9)</f>
        <v>31.192900000000002</v>
      </c>
      <c r="P555" s="14">
        <f>CHOOSE(CONTROL!$C$42, 31.2029, 31.2029) * CHOOSE(CONTROL!$C$21, $C$9, 100%, $E$9)</f>
        <v>31.2029</v>
      </c>
      <c r="Q555" s="14">
        <f>CHOOSE(CONTROL!$C$42, 31.7876, 31.7876) * CHOOSE(CONTROL!$C$21, $C$9, 100%, $E$9)</f>
        <v>31.787600000000001</v>
      </c>
      <c r="R555" s="14">
        <f>CHOOSE(CONTROL!$C$42, 32.454, 32.454) * CHOOSE(CONTROL!$C$21, $C$9, 100%, $E$9)</f>
        <v>32.454000000000001</v>
      </c>
      <c r="S555" s="14">
        <f>CHOOSE(CONTROL!$C$42, 30.483, 30.483) * CHOOSE(CONTROL!$C$21, $C$9, 100%, $E$9)</f>
        <v>30.483000000000001</v>
      </c>
      <c r="T5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7">
        <f>(1000*CHOOSE(CONTROL!$C$42, 695, 695)*CHOOSE(CONTROL!$C$42, 0.5599, 0.5599)*CHOOSE(CONTROL!$C$42, 31, 31))/1000000</f>
        <v>12.063045499999998</v>
      </c>
      <c r="V555" s="57">
        <f>(1000*CHOOSE(CONTROL!$C$42, 500, 500)*CHOOSE(CONTROL!$C$42, 0.275, 0.275)*CHOOSE(CONTROL!$C$42, 31, 31))/1000000</f>
        <v>4.2625000000000002</v>
      </c>
      <c r="W555" s="57">
        <f>(1000*CHOOSE(CONTROL!$C$42, 0.1146, 0.1146)*CHOOSE(CONTROL!$C$42, 121.5, 121.5)*CHOOSE(CONTROL!$C$42, 31, 31))/1000000</f>
        <v>0.43164089999999994</v>
      </c>
      <c r="X555" s="57">
        <f>(31*0.1790888*100000/1000000)+(31*0.2374*100000/1000000)</f>
        <v>1.2911152800000001</v>
      </c>
      <c r="Y555" s="57"/>
      <c r="Z555" s="14"/>
      <c r="AA555" s="56"/>
      <c r="AB555" s="50">
        <f>(B555*122.58+C555*297.941+D555*89.177+E555*40.302+F555*40+G555*160+H555*0+I555*100+J555*300)/(122.58+297.941+89.177+40.302+0+40+160+100+300)</f>
        <v>31.754581849913038</v>
      </c>
      <c r="AC555" s="45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31.150891366906475</v>
      </c>
    </row>
    <row r="556" spans="1:29" ht="15.75" x14ac:dyDescent="0.25">
      <c r="A556" s="32">
        <v>57830</v>
      </c>
      <c r="B556" s="14">
        <f>CHOOSE(CONTROL!$C$42, 31.6386, 31.6386) * CHOOSE(CONTROL!$C$21, $C$9, 100%, $E$9)</f>
        <v>31.6386</v>
      </c>
      <c r="C556" s="14">
        <f>CHOOSE(CONTROL!$C$42, 31.6431, 31.6431) * CHOOSE(CONTROL!$C$21, $C$9, 100%, $E$9)</f>
        <v>31.6431</v>
      </c>
      <c r="D556" s="14">
        <f>CHOOSE(CONTROL!$C$42, 31.8798, 31.8798) * CHOOSE(CONTROL!$C$21, $C$9, 100%, $E$9)</f>
        <v>31.879799999999999</v>
      </c>
      <c r="E556" s="14">
        <f>CHOOSE(CONTROL!$C$42, 31.9119, 31.9119) * CHOOSE(CONTROL!$C$21, $C$9, 100%, $E$9)</f>
        <v>31.911899999999999</v>
      </c>
      <c r="F556" s="14">
        <f>CHOOSE(CONTROL!$C$42, 31.6365, 31.6365)*CHOOSE(CONTROL!$C$21, $C$9, 100%, $E$9)</f>
        <v>31.636500000000002</v>
      </c>
      <c r="G556" s="14">
        <f>CHOOSE(CONTROL!$C$42, 31.6523, 31.6523)*CHOOSE(CONTROL!$C$21, $C$9, 100%, $E$9)</f>
        <v>31.6523</v>
      </c>
      <c r="H556" s="14">
        <f>CHOOSE(CONTROL!$C$42, 31.9017, 31.9017) * CHOOSE(CONTROL!$C$21, $C$9, 100%, $E$9)</f>
        <v>31.901700000000002</v>
      </c>
      <c r="I556" s="14">
        <f>CHOOSE(CONTROL!$C$42, 31.7549, 31.7549)* CHOOSE(CONTROL!$C$21, $C$9, 100%, $E$9)</f>
        <v>31.754899999999999</v>
      </c>
      <c r="J556" s="14">
        <f>CHOOSE(CONTROL!$C$42, 31.6295, 31.6295)* CHOOSE(CONTROL!$C$21, $C$9, 100%, $E$9)</f>
        <v>31.6295</v>
      </c>
      <c r="K556" s="53">
        <f>CHOOSE(CONTROL!$C$42, 31.751, 31.751) * CHOOSE(CONTROL!$C$21, $C$9, 100%, $E$9)</f>
        <v>31.751000000000001</v>
      </c>
      <c r="L556" s="14">
        <f>CHOOSE(CONTROL!$C$42, 32.4887, 32.4887) * CHOOSE(CONTROL!$C$21, $C$9, 100%, $E$9)</f>
        <v>32.488700000000001</v>
      </c>
      <c r="M556" s="14">
        <f>CHOOSE(CONTROL!$C$42, 30.9891, 30.9891) * CHOOSE(CONTROL!$C$21, $C$9, 100%, $E$9)</f>
        <v>30.989100000000001</v>
      </c>
      <c r="N556" s="14">
        <f>CHOOSE(CONTROL!$C$42, 31.0046, 31.0046) * CHOOSE(CONTROL!$C$21, $C$9, 100%, $E$9)</f>
        <v>31.0046</v>
      </c>
      <c r="O556" s="14">
        <f>CHOOSE(CONTROL!$C$42, 31.2557, 31.2557) * CHOOSE(CONTROL!$C$21, $C$9, 100%, $E$9)</f>
        <v>31.255700000000001</v>
      </c>
      <c r="P556" s="14">
        <f>CHOOSE(CONTROL!$C$42, 31.1101, 31.1101) * CHOOSE(CONTROL!$C$21, $C$9, 100%, $E$9)</f>
        <v>31.110099999999999</v>
      </c>
      <c r="Q556" s="14">
        <f>CHOOSE(CONTROL!$C$42, 31.8504, 31.8504) * CHOOSE(CONTROL!$C$21, $C$9, 100%, $E$9)</f>
        <v>31.8504</v>
      </c>
      <c r="R556" s="14">
        <f>CHOOSE(CONTROL!$C$42, 32.5171, 32.5171) * CHOOSE(CONTROL!$C$21, $C$9, 100%, $E$9)</f>
        <v>32.517099999999999</v>
      </c>
      <c r="S556" s="14">
        <f>CHOOSE(CONTROL!$C$42, 30.3922, 30.3922) * CHOOSE(CONTROL!$C$21, $C$9, 100%, $E$9)</f>
        <v>30.392199999999999</v>
      </c>
      <c r="T5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7">
        <f>(1000*CHOOSE(CONTROL!$C$42, 695, 695)*CHOOSE(CONTROL!$C$42, 0.5599, 0.5599)*CHOOSE(CONTROL!$C$42, 30, 30))/1000000</f>
        <v>11.673914999999997</v>
      </c>
      <c r="V556" s="57">
        <f>(1000*CHOOSE(CONTROL!$C$42, 500, 500)*CHOOSE(CONTROL!$C$42, 0.275, 0.275)*CHOOSE(CONTROL!$C$42, 30, 30))/1000000</f>
        <v>4.125</v>
      </c>
      <c r="W556" s="57">
        <f>(1000*CHOOSE(CONTROL!$C$42, 0.1146, 0.1146)*CHOOSE(CONTROL!$C$42, 121.5, 121.5)*CHOOSE(CONTROL!$C$42, 30, 30))/1000000</f>
        <v>0.417717</v>
      </c>
      <c r="X556" s="57">
        <f>(30*0.1790888*245000/1000000)+(30*0.2374*100000/1000000)</f>
        <v>2.0285026799999999</v>
      </c>
      <c r="Y556" s="57"/>
      <c r="Z556" s="14"/>
      <c r="AA556" s="56"/>
      <c r="AB556" s="50">
        <f>(B556*141.293+C556*267.993+D556*115.016+E556*89.698+F556*40+G556*185+H556*0+I556*100+J556*300)/(141.293+267.993+115.016+89.698+0+40+185+100+300)</f>
        <v>31.690910565859564</v>
      </c>
      <c r="AC556" s="45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31.084879856115101</v>
      </c>
    </row>
    <row r="557" spans="1:29" ht="15.75" x14ac:dyDescent="0.25">
      <c r="A557" s="32">
        <v>57861</v>
      </c>
      <c r="B557" s="14">
        <f>CHOOSE(CONTROL!$C$42, 31.9191, 31.9191) * CHOOSE(CONTROL!$C$21, $C$9, 100%, $E$9)</f>
        <v>31.9191</v>
      </c>
      <c r="C557" s="14">
        <f>CHOOSE(CONTROL!$C$42, 31.9271, 31.9271) * CHOOSE(CONTROL!$C$21, $C$9, 100%, $E$9)</f>
        <v>31.927099999999999</v>
      </c>
      <c r="D557" s="14">
        <f>CHOOSE(CONTROL!$C$42, 32.1607, 32.1607) * CHOOSE(CONTROL!$C$21, $C$9, 100%, $E$9)</f>
        <v>32.160699999999999</v>
      </c>
      <c r="E557" s="14">
        <f>CHOOSE(CONTROL!$C$42, 32.1922, 32.1922) * CHOOSE(CONTROL!$C$21, $C$9, 100%, $E$9)</f>
        <v>32.1922</v>
      </c>
      <c r="F557" s="14">
        <f>CHOOSE(CONTROL!$C$42, 31.9159, 31.9159)*CHOOSE(CONTROL!$C$21, $C$9, 100%, $E$9)</f>
        <v>31.915900000000001</v>
      </c>
      <c r="G557" s="14">
        <f>CHOOSE(CONTROL!$C$42, 31.9322, 31.9322)*CHOOSE(CONTROL!$C$21, $C$9, 100%, $E$9)</f>
        <v>31.932200000000002</v>
      </c>
      <c r="H557" s="14">
        <f>CHOOSE(CONTROL!$C$42, 32.1808, 32.1808) * CHOOSE(CONTROL!$C$21, $C$9, 100%, $E$9)</f>
        <v>32.180799999999998</v>
      </c>
      <c r="I557" s="14">
        <f>CHOOSE(CONTROL!$C$42, 32.035, 32.035)* CHOOSE(CONTROL!$C$21, $C$9, 100%, $E$9)</f>
        <v>32.034999999999997</v>
      </c>
      <c r="J557" s="14">
        <f>CHOOSE(CONTROL!$C$42, 31.9089, 31.9089)* CHOOSE(CONTROL!$C$21, $C$9, 100%, $E$9)</f>
        <v>31.908899999999999</v>
      </c>
      <c r="K557" s="53">
        <f>CHOOSE(CONTROL!$C$42, 32.0311, 32.0311) * CHOOSE(CONTROL!$C$21, $C$9, 100%, $E$9)</f>
        <v>32.031100000000002</v>
      </c>
      <c r="L557" s="14">
        <f>CHOOSE(CONTROL!$C$42, 32.7678, 32.7678) * CHOOSE(CONTROL!$C$21, $C$9, 100%, $E$9)</f>
        <v>32.767800000000001</v>
      </c>
      <c r="M557" s="14">
        <f>CHOOSE(CONTROL!$C$42, 31.2628, 31.2628) * CHOOSE(CONTROL!$C$21, $C$9, 100%, $E$9)</f>
        <v>31.262799999999999</v>
      </c>
      <c r="N557" s="14">
        <f>CHOOSE(CONTROL!$C$42, 31.2788, 31.2788) * CHOOSE(CONTROL!$C$21, $C$9, 100%, $E$9)</f>
        <v>31.2788</v>
      </c>
      <c r="O557" s="14">
        <f>CHOOSE(CONTROL!$C$42, 31.5292, 31.5292) * CHOOSE(CONTROL!$C$21, $C$9, 100%, $E$9)</f>
        <v>31.529199999999999</v>
      </c>
      <c r="P557" s="14">
        <f>CHOOSE(CONTROL!$C$42, 31.3843, 31.3843) * CHOOSE(CONTROL!$C$21, $C$9, 100%, $E$9)</f>
        <v>31.3843</v>
      </c>
      <c r="Q557" s="14">
        <f>CHOOSE(CONTROL!$C$42, 32.1239, 32.1239) * CHOOSE(CONTROL!$C$21, $C$9, 100%, $E$9)</f>
        <v>32.123899999999999</v>
      </c>
      <c r="R557" s="14">
        <f>CHOOSE(CONTROL!$C$42, 32.7912, 32.7912) * CHOOSE(CONTROL!$C$21, $C$9, 100%, $E$9)</f>
        <v>32.791200000000003</v>
      </c>
      <c r="S557" s="14">
        <f>CHOOSE(CONTROL!$C$42, 30.6604, 30.6604) * CHOOSE(CONTROL!$C$21, $C$9, 100%, $E$9)</f>
        <v>30.660399999999999</v>
      </c>
      <c r="T5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7">
        <f>(1000*CHOOSE(CONTROL!$C$42, 695, 695)*CHOOSE(CONTROL!$C$42, 0.5599, 0.5599)*CHOOSE(CONTROL!$C$42, 31, 31))/1000000</f>
        <v>12.063045499999998</v>
      </c>
      <c r="V557" s="57">
        <f>(1000*CHOOSE(CONTROL!$C$42, 500, 500)*CHOOSE(CONTROL!$C$42, 0.275, 0.275)*CHOOSE(CONTROL!$C$42, 31, 31))/1000000</f>
        <v>4.2625000000000002</v>
      </c>
      <c r="W557" s="57">
        <f>(1000*CHOOSE(CONTROL!$C$42, 0.1146, 0.1146)*CHOOSE(CONTROL!$C$42, 121.5, 121.5)*CHOOSE(CONTROL!$C$42, 31, 31))/1000000</f>
        <v>0.43164089999999994</v>
      </c>
      <c r="X557" s="57">
        <f>(31*0.1790888*245000/1000000)+(31*0.2374*100000/1000000)</f>
        <v>2.0961194359999999</v>
      </c>
      <c r="Y557" s="57"/>
      <c r="Z557" s="14"/>
      <c r="AA557" s="56"/>
      <c r="AB557" s="50">
        <f>(B557*194.205+C557*267.466+D557*133.845+E557*53.484+F557*40+G557*185+H557*0+I557*100+J557*300)/(194.205+267.466+133.845+53.484+0+40+185+100+300)</f>
        <v>31.966124066248035</v>
      </c>
      <c r="AC557" s="45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31.358710791366907</v>
      </c>
    </row>
    <row r="558" spans="1:29" ht="15.75" x14ac:dyDescent="0.25">
      <c r="A558" s="32">
        <v>57891</v>
      </c>
      <c r="B558" s="14">
        <f>CHOOSE(CONTROL!$C$42, 32.8242, 32.8242) * CHOOSE(CONTROL!$C$21, $C$9, 100%, $E$9)</f>
        <v>32.824199999999998</v>
      </c>
      <c r="C558" s="14">
        <f>CHOOSE(CONTROL!$C$42, 32.8322, 32.8322) * CHOOSE(CONTROL!$C$21, $C$9, 100%, $E$9)</f>
        <v>32.8322</v>
      </c>
      <c r="D558" s="14">
        <f>CHOOSE(CONTROL!$C$42, 33.0658, 33.0658) * CHOOSE(CONTROL!$C$21, $C$9, 100%, $E$9)</f>
        <v>33.065800000000003</v>
      </c>
      <c r="E558" s="14">
        <f>CHOOSE(CONTROL!$C$42, 33.0973, 33.0973) * CHOOSE(CONTROL!$C$21, $C$9, 100%, $E$9)</f>
        <v>33.097299999999997</v>
      </c>
      <c r="F558" s="14">
        <f>CHOOSE(CONTROL!$C$42, 32.8215, 32.8215)*CHOOSE(CONTROL!$C$21, $C$9, 100%, $E$9)</f>
        <v>32.8215</v>
      </c>
      <c r="G558" s="14">
        <f>CHOOSE(CONTROL!$C$42, 32.8379, 32.8379)*CHOOSE(CONTROL!$C$21, $C$9, 100%, $E$9)</f>
        <v>32.837899999999998</v>
      </c>
      <c r="H558" s="14">
        <f>CHOOSE(CONTROL!$C$42, 33.0859, 33.0859) * CHOOSE(CONTROL!$C$21, $C$9, 100%, $E$9)</f>
        <v>33.085900000000002</v>
      </c>
      <c r="I558" s="14">
        <f>CHOOSE(CONTROL!$C$42, 32.9429, 32.9429)* CHOOSE(CONTROL!$C$21, $C$9, 100%, $E$9)</f>
        <v>32.942900000000002</v>
      </c>
      <c r="J558" s="14">
        <f>CHOOSE(CONTROL!$C$42, 32.8145, 32.8145)* CHOOSE(CONTROL!$C$21, $C$9, 100%, $E$9)</f>
        <v>32.814500000000002</v>
      </c>
      <c r="K558" s="53">
        <f>CHOOSE(CONTROL!$C$42, 32.939, 32.939) * CHOOSE(CONTROL!$C$21, $C$9, 100%, $E$9)</f>
        <v>32.939</v>
      </c>
      <c r="L558" s="14">
        <f>CHOOSE(CONTROL!$C$42, 33.6729, 33.6729) * CHOOSE(CONTROL!$C$21, $C$9, 100%, $E$9)</f>
        <v>33.672899999999998</v>
      </c>
      <c r="M558" s="14">
        <f>CHOOSE(CONTROL!$C$42, 32.1498, 32.1498) * CHOOSE(CONTROL!$C$21, $C$9, 100%, $E$9)</f>
        <v>32.149799999999999</v>
      </c>
      <c r="N558" s="14">
        <f>CHOOSE(CONTROL!$C$42, 32.1659, 32.1659) * CHOOSE(CONTROL!$C$21, $C$9, 100%, $E$9)</f>
        <v>32.165900000000001</v>
      </c>
      <c r="O558" s="14">
        <f>CHOOSE(CONTROL!$C$42, 32.4157, 32.4157) * CHOOSE(CONTROL!$C$21, $C$9, 100%, $E$9)</f>
        <v>32.415700000000001</v>
      </c>
      <c r="P558" s="14">
        <f>CHOOSE(CONTROL!$C$42, 32.2736, 32.2736) * CHOOSE(CONTROL!$C$21, $C$9, 100%, $E$9)</f>
        <v>32.273600000000002</v>
      </c>
      <c r="Q558" s="14">
        <f>CHOOSE(CONTROL!$C$42, 33.0104, 33.0104) * CHOOSE(CONTROL!$C$21, $C$9, 100%, $E$9)</f>
        <v>33.010399999999997</v>
      </c>
      <c r="R558" s="14">
        <f>CHOOSE(CONTROL!$C$42, 33.6799, 33.6799) * CHOOSE(CONTROL!$C$21, $C$9, 100%, $E$9)</f>
        <v>33.679900000000004</v>
      </c>
      <c r="S558" s="14">
        <f>CHOOSE(CONTROL!$C$42, 31.5301, 31.5301) * CHOOSE(CONTROL!$C$21, $C$9, 100%, $E$9)</f>
        <v>31.530100000000001</v>
      </c>
      <c r="T5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7">
        <f>(1000*CHOOSE(CONTROL!$C$42, 695, 695)*CHOOSE(CONTROL!$C$42, 0.5599, 0.5599)*CHOOSE(CONTROL!$C$42, 30, 30))/1000000</f>
        <v>11.673914999999997</v>
      </c>
      <c r="V558" s="57">
        <f>(1000*CHOOSE(CONTROL!$C$42, 500, 500)*CHOOSE(CONTROL!$C$42, 0.275, 0.275)*CHOOSE(CONTROL!$C$42, 30, 30))/1000000</f>
        <v>4.125</v>
      </c>
      <c r="W558" s="57">
        <f>(1000*CHOOSE(CONTROL!$C$42, 0.1146, 0.1146)*CHOOSE(CONTROL!$C$42, 121.5, 121.5)*CHOOSE(CONTROL!$C$42, 30, 30))/1000000</f>
        <v>0.417717</v>
      </c>
      <c r="X558" s="57">
        <f>(30*0.1790888*245000/1000000)+(30*0.2374*100000/1000000)</f>
        <v>2.0285026799999999</v>
      </c>
      <c r="Y558" s="57"/>
      <c r="Z558" s="14"/>
      <c r="AA558" s="56"/>
      <c r="AB558" s="50">
        <f>(B558*194.205+C558*267.466+D558*133.845+E558*53.484+F558*40+G558*185+H558*0+I558*100+J558*300)/(194.205+267.466+133.845+53.484+0+40+185+100+300)</f>
        <v>32.871664411616955</v>
      </c>
      <c r="AC558" s="45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32.245924460431652</v>
      </c>
    </row>
    <row r="559" spans="1:29" ht="15.75" x14ac:dyDescent="0.25">
      <c r="A559" s="32">
        <v>57922</v>
      </c>
      <c r="B559" s="14">
        <f>CHOOSE(CONTROL!$C$42, 32.1947, 32.1947) * CHOOSE(CONTROL!$C$21, $C$9, 100%, $E$9)</f>
        <v>32.194699999999997</v>
      </c>
      <c r="C559" s="14">
        <f>CHOOSE(CONTROL!$C$42, 32.2027, 32.2027) * CHOOSE(CONTROL!$C$21, $C$9, 100%, $E$9)</f>
        <v>32.2027</v>
      </c>
      <c r="D559" s="14">
        <f>CHOOSE(CONTROL!$C$42, 32.4363, 32.4363) * CHOOSE(CONTROL!$C$21, $C$9, 100%, $E$9)</f>
        <v>32.436300000000003</v>
      </c>
      <c r="E559" s="14">
        <f>CHOOSE(CONTROL!$C$42, 32.4678, 32.4678) * CHOOSE(CONTROL!$C$21, $C$9, 100%, $E$9)</f>
        <v>32.467799999999997</v>
      </c>
      <c r="F559" s="14">
        <f>CHOOSE(CONTROL!$C$42, 32.1925, 32.1925)*CHOOSE(CONTROL!$C$21, $C$9, 100%, $E$9)</f>
        <v>32.192500000000003</v>
      </c>
      <c r="G559" s="14">
        <f>CHOOSE(CONTROL!$C$42, 32.2091, 32.2091)*CHOOSE(CONTROL!$C$21, $C$9, 100%, $E$9)</f>
        <v>32.209099999999999</v>
      </c>
      <c r="H559" s="14">
        <f>CHOOSE(CONTROL!$C$42, 32.4564, 32.4564) * CHOOSE(CONTROL!$C$21, $C$9, 100%, $E$9)</f>
        <v>32.456400000000002</v>
      </c>
      <c r="I559" s="14">
        <f>CHOOSE(CONTROL!$C$42, 32.3114, 32.3114)* CHOOSE(CONTROL!$C$21, $C$9, 100%, $E$9)</f>
        <v>32.311399999999999</v>
      </c>
      <c r="J559" s="14">
        <f>CHOOSE(CONTROL!$C$42, 32.1855, 32.1855)* CHOOSE(CONTROL!$C$21, $C$9, 100%, $E$9)</f>
        <v>32.185499999999998</v>
      </c>
      <c r="K559" s="53">
        <f>CHOOSE(CONTROL!$C$42, 32.3075, 32.3075) * CHOOSE(CONTROL!$C$21, $C$9, 100%, $E$9)</f>
        <v>32.307499999999997</v>
      </c>
      <c r="L559" s="14">
        <f>CHOOSE(CONTROL!$C$42, 33.0434, 33.0434) * CHOOSE(CONTROL!$C$21, $C$9, 100%, $E$9)</f>
        <v>33.043399999999998</v>
      </c>
      <c r="M559" s="14">
        <f>CHOOSE(CONTROL!$C$42, 31.5337, 31.5337) * CHOOSE(CONTROL!$C$21, $C$9, 100%, $E$9)</f>
        <v>31.5337</v>
      </c>
      <c r="N559" s="14">
        <f>CHOOSE(CONTROL!$C$42, 31.55, 31.55) * CHOOSE(CONTROL!$C$21, $C$9, 100%, $E$9)</f>
        <v>31.55</v>
      </c>
      <c r="O559" s="14">
        <f>CHOOSE(CONTROL!$C$42, 31.7991, 31.7991) * CHOOSE(CONTROL!$C$21, $C$9, 100%, $E$9)</f>
        <v>31.799099999999999</v>
      </c>
      <c r="P559" s="14">
        <f>CHOOSE(CONTROL!$C$42, 31.6551, 31.6551) * CHOOSE(CONTROL!$C$21, $C$9, 100%, $E$9)</f>
        <v>31.655100000000001</v>
      </c>
      <c r="Q559" s="14">
        <f>CHOOSE(CONTROL!$C$42, 32.3938, 32.3938) * CHOOSE(CONTROL!$C$21, $C$9, 100%, $E$9)</f>
        <v>32.393799999999999</v>
      </c>
      <c r="R559" s="14">
        <f>CHOOSE(CONTROL!$C$42, 33.0618, 33.0618) * CHOOSE(CONTROL!$C$21, $C$9, 100%, $E$9)</f>
        <v>33.061799999999998</v>
      </c>
      <c r="S559" s="14">
        <f>CHOOSE(CONTROL!$C$42, 30.9253, 30.9253) * CHOOSE(CONTROL!$C$21, $C$9, 100%, $E$9)</f>
        <v>30.9253</v>
      </c>
      <c r="T5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7">
        <f>(1000*CHOOSE(CONTROL!$C$42, 695, 695)*CHOOSE(CONTROL!$C$42, 0.5599, 0.5599)*CHOOSE(CONTROL!$C$42, 31, 31))/1000000</f>
        <v>12.063045499999998</v>
      </c>
      <c r="V559" s="57">
        <f>(1000*CHOOSE(CONTROL!$C$42, 500, 500)*CHOOSE(CONTROL!$C$42, 0.275, 0.275)*CHOOSE(CONTROL!$C$42, 31, 31))/1000000</f>
        <v>4.2625000000000002</v>
      </c>
      <c r="W559" s="57">
        <f>(1000*CHOOSE(CONTROL!$C$42, 0.1146, 0.1146)*CHOOSE(CONTROL!$C$42, 121.5, 121.5)*CHOOSE(CONTROL!$C$42, 31, 31))/1000000</f>
        <v>0.43164089999999994</v>
      </c>
      <c r="X559" s="57">
        <f>(31*0.1790888*245000/1000000)+(31*0.2374*100000/1000000)</f>
        <v>2.0961194359999999</v>
      </c>
      <c r="Y559" s="57"/>
      <c r="Z559" s="14"/>
      <c r="AA559" s="56"/>
      <c r="AB559" s="50">
        <f>(B559*194.205+C559*267.466+D559*133.845+E559*53.484+F559*40+G559*185+H559*0+I559*100+J559*300)/(194.205+267.466+133.845+53.484+0+40+185+100+300)</f>
        <v>32.242242512087905</v>
      </c>
      <c r="AC559" s="45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31.629384892086332</v>
      </c>
    </row>
    <row r="560" spans="1:29" ht="15.75" x14ac:dyDescent="0.25">
      <c r="A560" s="32">
        <v>57953</v>
      </c>
      <c r="B560" s="14">
        <f>CHOOSE(CONTROL!$C$42, 30.6051, 30.6051) * CHOOSE(CONTROL!$C$21, $C$9, 100%, $E$9)</f>
        <v>30.6051</v>
      </c>
      <c r="C560" s="14">
        <f>CHOOSE(CONTROL!$C$42, 30.6131, 30.6131) * CHOOSE(CONTROL!$C$21, $C$9, 100%, $E$9)</f>
        <v>30.613099999999999</v>
      </c>
      <c r="D560" s="14">
        <f>CHOOSE(CONTROL!$C$42, 30.8467, 30.8467) * CHOOSE(CONTROL!$C$21, $C$9, 100%, $E$9)</f>
        <v>30.846699999999998</v>
      </c>
      <c r="E560" s="14">
        <f>CHOOSE(CONTROL!$C$42, 30.8781, 30.8781) * CHOOSE(CONTROL!$C$21, $C$9, 100%, $E$9)</f>
        <v>30.8781</v>
      </c>
      <c r="F560" s="14">
        <f>CHOOSE(CONTROL!$C$42, 30.603, 30.603)*CHOOSE(CONTROL!$C$21, $C$9, 100%, $E$9)</f>
        <v>30.603000000000002</v>
      </c>
      <c r="G560" s="14">
        <f>CHOOSE(CONTROL!$C$42, 30.6197, 30.6197)*CHOOSE(CONTROL!$C$21, $C$9, 100%, $E$9)</f>
        <v>30.619700000000002</v>
      </c>
      <c r="H560" s="14">
        <f>CHOOSE(CONTROL!$C$42, 30.8668, 30.8668) * CHOOSE(CONTROL!$C$21, $C$9, 100%, $E$9)</f>
        <v>30.866800000000001</v>
      </c>
      <c r="I560" s="14">
        <f>CHOOSE(CONTROL!$C$42, 30.7168, 30.7168)* CHOOSE(CONTROL!$C$21, $C$9, 100%, $E$9)</f>
        <v>30.716799999999999</v>
      </c>
      <c r="J560" s="14">
        <f>CHOOSE(CONTROL!$C$42, 30.596, 30.596)* CHOOSE(CONTROL!$C$21, $C$9, 100%, $E$9)</f>
        <v>30.596</v>
      </c>
      <c r="K560" s="53">
        <f>CHOOSE(CONTROL!$C$42, 30.7129, 30.7129) * CHOOSE(CONTROL!$C$21, $C$9, 100%, $E$9)</f>
        <v>30.712900000000001</v>
      </c>
      <c r="L560" s="14">
        <f>CHOOSE(CONTROL!$C$42, 31.4538, 31.4538) * CHOOSE(CONTROL!$C$21, $C$9, 100%, $E$9)</f>
        <v>31.453800000000001</v>
      </c>
      <c r="M560" s="14">
        <f>CHOOSE(CONTROL!$C$42, 29.9768, 29.9768) * CHOOSE(CONTROL!$C$21, $C$9, 100%, $E$9)</f>
        <v>29.976800000000001</v>
      </c>
      <c r="N560" s="14">
        <f>CHOOSE(CONTROL!$C$42, 29.9932, 29.9932) * CHOOSE(CONTROL!$C$21, $C$9, 100%, $E$9)</f>
        <v>29.993200000000002</v>
      </c>
      <c r="O560" s="14">
        <f>CHOOSE(CONTROL!$C$42, 30.242, 30.242) * CHOOSE(CONTROL!$C$21, $C$9, 100%, $E$9)</f>
        <v>30.242000000000001</v>
      </c>
      <c r="P560" s="14">
        <f>CHOOSE(CONTROL!$C$42, 30.0933, 30.0933) * CHOOSE(CONTROL!$C$21, $C$9, 100%, $E$9)</f>
        <v>30.093299999999999</v>
      </c>
      <c r="Q560" s="14">
        <f>CHOOSE(CONTROL!$C$42, 30.8367, 30.8367) * CHOOSE(CONTROL!$C$21, $C$9, 100%, $E$9)</f>
        <v>30.8367</v>
      </c>
      <c r="R560" s="14">
        <f>CHOOSE(CONTROL!$C$42, 31.5008, 31.5008) * CHOOSE(CONTROL!$C$21, $C$9, 100%, $E$9)</f>
        <v>31.500800000000002</v>
      </c>
      <c r="S560" s="14">
        <f>CHOOSE(CONTROL!$C$42, 29.3978, 29.3978) * CHOOSE(CONTROL!$C$21, $C$9, 100%, $E$9)</f>
        <v>29.3978</v>
      </c>
      <c r="T5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7">
        <f>(1000*CHOOSE(CONTROL!$C$42, 695, 695)*CHOOSE(CONTROL!$C$42, 0.5599, 0.5599)*CHOOSE(CONTROL!$C$42, 31, 31))/1000000</f>
        <v>12.063045499999998</v>
      </c>
      <c r="V560" s="57">
        <f>(1000*CHOOSE(CONTROL!$C$42, 500, 500)*CHOOSE(CONTROL!$C$42, 0.275, 0.275)*CHOOSE(CONTROL!$C$42, 31, 31))/1000000</f>
        <v>4.2625000000000002</v>
      </c>
      <c r="W560" s="57">
        <f>(1000*CHOOSE(CONTROL!$C$42, 0.1146, 0.1146)*CHOOSE(CONTROL!$C$42, 121.5, 121.5)*CHOOSE(CONTROL!$C$42, 31, 31))/1000000</f>
        <v>0.43164089999999994</v>
      </c>
      <c r="X560" s="57">
        <f>(31*0.1790888*245000/1000000)+(31*0.2374*100000/1000000)</f>
        <v>2.0961194359999999</v>
      </c>
      <c r="Y560" s="57"/>
      <c r="Z560" s="14"/>
      <c r="AA560" s="56"/>
      <c r="AB560" s="50">
        <f>(B560*194.205+C560*267.466+D560*133.845+E560*53.484+F560*40+G560*185+H560*0+I560*100+J560*300)/(194.205+267.466+133.845+53.484+0+40+185+100+300)</f>
        <v>30.652301579277868</v>
      </c>
      <c r="AC560" s="45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30.071746762589932</v>
      </c>
    </row>
    <row r="561" spans="1:29" ht="15.75" x14ac:dyDescent="0.25">
      <c r="A561" s="32">
        <v>57983</v>
      </c>
      <c r="B561" s="14">
        <f>CHOOSE(CONTROL!$C$42, 28.6623, 28.6623) * CHOOSE(CONTROL!$C$21, $C$9, 100%, $E$9)</f>
        <v>28.662299999999998</v>
      </c>
      <c r="C561" s="14">
        <f>CHOOSE(CONTROL!$C$42, 28.6704, 28.6704) * CHOOSE(CONTROL!$C$21, $C$9, 100%, $E$9)</f>
        <v>28.670400000000001</v>
      </c>
      <c r="D561" s="14">
        <f>CHOOSE(CONTROL!$C$42, 28.9039, 28.9039) * CHOOSE(CONTROL!$C$21, $C$9, 100%, $E$9)</f>
        <v>28.9039</v>
      </c>
      <c r="E561" s="14">
        <f>CHOOSE(CONTROL!$C$42, 28.9354, 28.9354) * CHOOSE(CONTROL!$C$21, $C$9, 100%, $E$9)</f>
        <v>28.935400000000001</v>
      </c>
      <c r="F561" s="14">
        <f>CHOOSE(CONTROL!$C$42, 28.6603, 28.6603)*CHOOSE(CONTROL!$C$21, $C$9, 100%, $E$9)</f>
        <v>28.660299999999999</v>
      </c>
      <c r="G561" s="14">
        <f>CHOOSE(CONTROL!$C$42, 28.677, 28.677)*CHOOSE(CONTROL!$C$21, $C$9, 100%, $E$9)</f>
        <v>28.677</v>
      </c>
      <c r="H561" s="14">
        <f>CHOOSE(CONTROL!$C$42, 28.924, 28.924) * CHOOSE(CONTROL!$C$21, $C$9, 100%, $E$9)</f>
        <v>28.923999999999999</v>
      </c>
      <c r="I561" s="14">
        <f>CHOOSE(CONTROL!$C$42, 28.768, 28.768)* CHOOSE(CONTROL!$C$21, $C$9, 100%, $E$9)</f>
        <v>28.768000000000001</v>
      </c>
      <c r="J561" s="14">
        <f>CHOOSE(CONTROL!$C$42, 28.6533, 28.6533)* CHOOSE(CONTROL!$C$21, $C$9, 100%, $E$9)</f>
        <v>28.653300000000002</v>
      </c>
      <c r="K561" s="53">
        <f>CHOOSE(CONTROL!$C$42, 28.7641, 28.7641) * CHOOSE(CONTROL!$C$21, $C$9, 100%, $E$9)</f>
        <v>28.764099999999999</v>
      </c>
      <c r="L561" s="14">
        <f>CHOOSE(CONTROL!$C$42, 29.511, 29.511) * CHOOSE(CONTROL!$C$21, $C$9, 100%, $E$9)</f>
        <v>29.510999999999999</v>
      </c>
      <c r="M561" s="14">
        <f>CHOOSE(CONTROL!$C$42, 28.0739, 28.0739) * CHOOSE(CONTROL!$C$21, $C$9, 100%, $E$9)</f>
        <v>28.073899999999998</v>
      </c>
      <c r="N561" s="14">
        <f>CHOOSE(CONTROL!$C$42, 28.0903, 28.0903) * CHOOSE(CONTROL!$C$21, $C$9, 100%, $E$9)</f>
        <v>28.090299999999999</v>
      </c>
      <c r="O561" s="14">
        <f>CHOOSE(CONTROL!$C$42, 28.3391, 28.3391) * CHOOSE(CONTROL!$C$21, $C$9, 100%, $E$9)</f>
        <v>28.339099999999998</v>
      </c>
      <c r="P561" s="14">
        <f>CHOOSE(CONTROL!$C$42, 28.1845, 28.1845) * CHOOSE(CONTROL!$C$21, $C$9, 100%, $E$9)</f>
        <v>28.1845</v>
      </c>
      <c r="Q561" s="14">
        <f>CHOOSE(CONTROL!$C$42, 28.9338, 28.9338) * CHOOSE(CONTROL!$C$21, $C$9, 100%, $E$9)</f>
        <v>28.933800000000002</v>
      </c>
      <c r="R561" s="14">
        <f>CHOOSE(CONTROL!$C$42, 29.5931, 29.5931) * CHOOSE(CONTROL!$C$21, $C$9, 100%, $E$9)</f>
        <v>29.5931</v>
      </c>
      <c r="S561" s="14">
        <f>CHOOSE(CONTROL!$C$42, 27.531, 27.531) * CHOOSE(CONTROL!$C$21, $C$9, 100%, $E$9)</f>
        <v>27.530999999999999</v>
      </c>
      <c r="T5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7">
        <f>(1000*CHOOSE(CONTROL!$C$42, 695, 695)*CHOOSE(CONTROL!$C$42, 0.5599, 0.5599)*CHOOSE(CONTROL!$C$42, 30, 30))/1000000</f>
        <v>11.673914999999997</v>
      </c>
      <c r="V561" s="57">
        <f>(1000*CHOOSE(CONTROL!$C$42, 500, 500)*CHOOSE(CONTROL!$C$42, 0.275, 0.275)*CHOOSE(CONTROL!$C$42, 30, 30))/1000000</f>
        <v>4.125</v>
      </c>
      <c r="W561" s="57">
        <f>(1000*CHOOSE(CONTROL!$C$42, 0.1146, 0.1146)*CHOOSE(CONTROL!$C$42, 121.5, 121.5)*CHOOSE(CONTROL!$C$42, 30, 30))/1000000</f>
        <v>0.417717</v>
      </c>
      <c r="X561" s="57">
        <f>(30*0.1790888*245000/1000000)+(30*0.2374*100000/1000000)</f>
        <v>2.0285026799999999</v>
      </c>
      <c r="Y561" s="57"/>
      <c r="Z561" s="14"/>
      <c r="AA561" s="56"/>
      <c r="AB561" s="50">
        <f>(B561*194.205+C561*267.466+D561*133.845+E561*53.484+F561*40+G561*185+H561*0+I561*100+J561*300)/(194.205+267.466+133.845+53.484+0+40+185+100+300)</f>
        <v>28.709097022762951</v>
      </c>
      <c r="AC561" s="45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28.167997841726617</v>
      </c>
    </row>
    <row r="562" spans="1:29" ht="15.75" x14ac:dyDescent="0.25">
      <c r="A562" s="32">
        <v>58014</v>
      </c>
      <c r="B562" s="14">
        <f>CHOOSE(CONTROL!$C$42, 28.0789, 28.0789) * CHOOSE(CONTROL!$C$21, $C$9, 100%, $E$9)</f>
        <v>28.078900000000001</v>
      </c>
      <c r="C562" s="14">
        <f>CHOOSE(CONTROL!$C$42, 28.0842, 28.0842) * CHOOSE(CONTROL!$C$21, $C$9, 100%, $E$9)</f>
        <v>28.084199999999999</v>
      </c>
      <c r="D562" s="14">
        <f>CHOOSE(CONTROL!$C$42, 28.3227, 28.3227) * CHOOSE(CONTROL!$C$21, $C$9, 100%, $E$9)</f>
        <v>28.322700000000001</v>
      </c>
      <c r="E562" s="14">
        <f>CHOOSE(CONTROL!$C$42, 28.3519, 28.3519) * CHOOSE(CONTROL!$C$21, $C$9, 100%, $E$9)</f>
        <v>28.351900000000001</v>
      </c>
      <c r="F562" s="14">
        <f>CHOOSE(CONTROL!$C$42, 28.0789, 28.0789)*CHOOSE(CONTROL!$C$21, $C$9, 100%, $E$9)</f>
        <v>28.078900000000001</v>
      </c>
      <c r="G562" s="14">
        <f>CHOOSE(CONTROL!$C$42, 28.0951, 28.0951)*CHOOSE(CONTROL!$C$21, $C$9, 100%, $E$9)</f>
        <v>28.095099999999999</v>
      </c>
      <c r="H562" s="14">
        <f>CHOOSE(CONTROL!$C$42, 28.3423, 28.3423) * CHOOSE(CONTROL!$C$21, $C$9, 100%, $E$9)</f>
        <v>28.342300000000002</v>
      </c>
      <c r="I562" s="14">
        <f>CHOOSE(CONTROL!$C$42, 28.1844, 28.1844)* CHOOSE(CONTROL!$C$21, $C$9, 100%, $E$9)</f>
        <v>28.1844</v>
      </c>
      <c r="J562" s="14">
        <f>CHOOSE(CONTROL!$C$42, 28.0719, 28.0719)* CHOOSE(CONTROL!$C$21, $C$9, 100%, $E$9)</f>
        <v>28.071899999999999</v>
      </c>
      <c r="K562" s="53">
        <f>CHOOSE(CONTROL!$C$42, 28.1805, 28.1805) * CHOOSE(CONTROL!$C$21, $C$9, 100%, $E$9)</f>
        <v>28.180499999999999</v>
      </c>
      <c r="L562" s="14">
        <f>CHOOSE(CONTROL!$C$42, 28.9293, 28.9293) * CHOOSE(CONTROL!$C$21, $C$9, 100%, $E$9)</f>
        <v>28.929300000000001</v>
      </c>
      <c r="M562" s="14">
        <f>CHOOSE(CONTROL!$C$42, 27.5044, 27.5044) * CHOOSE(CONTROL!$C$21, $C$9, 100%, $E$9)</f>
        <v>27.5044</v>
      </c>
      <c r="N562" s="14">
        <f>CHOOSE(CONTROL!$C$42, 27.5203, 27.5203) * CHOOSE(CONTROL!$C$21, $C$9, 100%, $E$9)</f>
        <v>27.520299999999999</v>
      </c>
      <c r="O562" s="14">
        <f>CHOOSE(CONTROL!$C$42, 27.7693, 27.7693) * CHOOSE(CONTROL!$C$21, $C$9, 100%, $E$9)</f>
        <v>27.769300000000001</v>
      </c>
      <c r="P562" s="14">
        <f>CHOOSE(CONTROL!$C$42, 27.613, 27.613) * CHOOSE(CONTROL!$C$21, $C$9, 100%, $E$9)</f>
        <v>27.613</v>
      </c>
      <c r="Q562" s="14">
        <f>CHOOSE(CONTROL!$C$42, 28.364, 28.364) * CHOOSE(CONTROL!$C$21, $C$9, 100%, $E$9)</f>
        <v>28.364000000000001</v>
      </c>
      <c r="R562" s="14">
        <f>CHOOSE(CONTROL!$C$42, 29.0219, 29.0219) * CHOOSE(CONTROL!$C$21, $C$9, 100%, $E$9)</f>
        <v>29.021899999999999</v>
      </c>
      <c r="S562" s="14">
        <f>CHOOSE(CONTROL!$C$42, 26.972, 26.972) * CHOOSE(CONTROL!$C$21, $C$9, 100%, $E$9)</f>
        <v>26.972000000000001</v>
      </c>
      <c r="T5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7">
        <f>(1000*CHOOSE(CONTROL!$C$42, 695, 695)*CHOOSE(CONTROL!$C$42, 0.5599, 0.5599)*CHOOSE(CONTROL!$C$42, 31, 31))/1000000</f>
        <v>12.063045499999998</v>
      </c>
      <c r="V562" s="57">
        <f>(1000*CHOOSE(CONTROL!$C$42, 500, 500)*CHOOSE(CONTROL!$C$42, 0.275, 0.275)*CHOOSE(CONTROL!$C$42, 31, 31))/1000000</f>
        <v>4.2625000000000002</v>
      </c>
      <c r="W562" s="57">
        <f>(1000*CHOOSE(CONTROL!$C$42, 0.1146, 0.1146)*CHOOSE(CONTROL!$C$42, 121.5, 121.5)*CHOOSE(CONTROL!$C$42, 31, 31))/1000000</f>
        <v>0.43164089999999994</v>
      </c>
      <c r="X562" s="57">
        <f>(31*0.1790888*245000/1000000)+(31*0.2374*100000/1000000)</f>
        <v>2.0961194359999999</v>
      </c>
      <c r="Y562" s="57"/>
      <c r="Z562" s="14"/>
      <c r="AA562" s="56"/>
      <c r="AB562" s="50">
        <f>(B562*131.881+C562*277.167+D562*79.08+E562*125.872+F562*40+G562*185+H562*0+I562*100+J562*300)/(131.881+277.167+79.08+125.872+0+40+185+100+300)</f>
        <v>28.132619729701364</v>
      </c>
      <c r="AC562" s="45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27.598010791366907</v>
      </c>
    </row>
    <row r="563" spans="1:29" ht="15.75" x14ac:dyDescent="0.25">
      <c r="A563" s="32">
        <v>58044</v>
      </c>
      <c r="B563" s="14">
        <f>CHOOSE(CONTROL!$C$42, 28.8179, 28.8179) * CHOOSE(CONTROL!$C$21, $C$9, 100%, $E$9)</f>
        <v>28.817900000000002</v>
      </c>
      <c r="C563" s="14">
        <f>CHOOSE(CONTROL!$C$42, 28.823, 28.823) * CHOOSE(CONTROL!$C$21, $C$9, 100%, $E$9)</f>
        <v>28.823</v>
      </c>
      <c r="D563" s="14">
        <f>CHOOSE(CONTROL!$C$42, 28.8972, 28.8972) * CHOOSE(CONTROL!$C$21, $C$9, 100%, $E$9)</f>
        <v>28.897200000000002</v>
      </c>
      <c r="E563" s="14">
        <f>CHOOSE(CONTROL!$C$42, 28.9313, 28.9313) * CHOOSE(CONTROL!$C$21, $C$9, 100%, $E$9)</f>
        <v>28.9313</v>
      </c>
      <c r="F563" s="14">
        <f>CHOOSE(CONTROL!$C$42, 28.8299, 28.8299)*CHOOSE(CONTROL!$C$21, $C$9, 100%, $E$9)</f>
        <v>28.829899999999999</v>
      </c>
      <c r="G563" s="14">
        <f>CHOOSE(CONTROL!$C$42, 28.8465, 28.8465)*CHOOSE(CONTROL!$C$21, $C$9, 100%, $E$9)</f>
        <v>28.846499999999999</v>
      </c>
      <c r="H563" s="14">
        <f>CHOOSE(CONTROL!$C$42, 28.9205, 28.9205) * CHOOSE(CONTROL!$C$21, $C$9, 100%, $E$9)</f>
        <v>28.920500000000001</v>
      </c>
      <c r="I563" s="14">
        <f>CHOOSE(CONTROL!$C$42, 28.9325, 28.9325)* CHOOSE(CONTROL!$C$21, $C$9, 100%, $E$9)</f>
        <v>28.932500000000001</v>
      </c>
      <c r="J563" s="14">
        <f>CHOOSE(CONTROL!$C$42, 28.8229, 28.8229)* CHOOSE(CONTROL!$C$21, $C$9, 100%, $E$9)</f>
        <v>28.822900000000001</v>
      </c>
      <c r="K563" s="53">
        <f>CHOOSE(CONTROL!$C$42, 28.9286, 28.9286) * CHOOSE(CONTROL!$C$21, $C$9, 100%, $E$9)</f>
        <v>28.928599999999999</v>
      </c>
      <c r="L563" s="14">
        <f>CHOOSE(CONTROL!$C$42, 29.5075, 29.5075) * CHOOSE(CONTROL!$C$21, $C$9, 100%, $E$9)</f>
        <v>29.5075</v>
      </c>
      <c r="M563" s="14">
        <f>CHOOSE(CONTROL!$C$42, 28.2401, 28.2401) * CHOOSE(CONTROL!$C$21, $C$9, 100%, $E$9)</f>
        <v>28.240100000000002</v>
      </c>
      <c r="N563" s="14">
        <f>CHOOSE(CONTROL!$C$42, 28.2563, 28.2563) * CHOOSE(CONTROL!$C$21, $C$9, 100%, $E$9)</f>
        <v>28.2563</v>
      </c>
      <c r="O563" s="14">
        <f>CHOOSE(CONTROL!$C$42, 28.3356, 28.3356) * CHOOSE(CONTROL!$C$21, $C$9, 100%, $E$9)</f>
        <v>28.335599999999999</v>
      </c>
      <c r="P563" s="14">
        <f>CHOOSE(CONTROL!$C$42, 28.3456, 28.3456) * CHOOSE(CONTROL!$C$21, $C$9, 100%, $E$9)</f>
        <v>28.345600000000001</v>
      </c>
      <c r="Q563" s="14">
        <f>CHOOSE(CONTROL!$C$42, 28.9303, 28.9303) * CHOOSE(CONTROL!$C$21, $C$9, 100%, $E$9)</f>
        <v>28.930299999999999</v>
      </c>
      <c r="R563" s="14">
        <f>CHOOSE(CONTROL!$C$42, 29.5896, 29.5896) * CHOOSE(CONTROL!$C$21, $C$9, 100%, $E$9)</f>
        <v>29.589600000000001</v>
      </c>
      <c r="S563" s="14">
        <f>CHOOSE(CONTROL!$C$42, 27.6826, 27.6826) * CHOOSE(CONTROL!$C$21, $C$9, 100%, $E$9)</f>
        <v>27.682600000000001</v>
      </c>
      <c r="T5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7">
        <f>(1000*CHOOSE(CONTROL!$C$42, 695, 695)*CHOOSE(CONTROL!$C$42, 0.5599, 0.5599)*CHOOSE(CONTROL!$C$42, 30, 30))/1000000</f>
        <v>11.673914999999997</v>
      </c>
      <c r="V563" s="57">
        <f>(1000*CHOOSE(CONTROL!$C$42, 500, 500)*CHOOSE(CONTROL!$C$42, 0.275, 0.275)*CHOOSE(CONTROL!$C$42, 30, 30))/1000000</f>
        <v>4.125</v>
      </c>
      <c r="W563" s="57">
        <f>(1000*CHOOSE(CONTROL!$C$42, 0.1146, 0.1146)*CHOOSE(CONTROL!$C$42, 121.5, 121.5)*CHOOSE(CONTROL!$C$42, 30, 30))/1000000</f>
        <v>0.417717</v>
      </c>
      <c r="X563" s="57">
        <f>(30*0.1790888*100000/1000000)+(30*0.2374*100000/1000000)</f>
        <v>1.2494664</v>
      </c>
      <c r="Y563" s="57"/>
      <c r="Z563" s="14"/>
      <c r="AA563" s="56"/>
      <c r="AB563" s="50">
        <f>(B563*122.58+C563*297.941+D563*89.177+E563*40.302+F563*40+G563*160+H563*0+I563*100+J563*300)/(122.58+297.941+89.177+40.302+0+40+160+100+300)</f>
        <v>28.845010853913042</v>
      </c>
      <c r="AC563" s="45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28.299496402877701</v>
      </c>
    </row>
    <row r="564" spans="1:29" ht="15.75" x14ac:dyDescent="0.25">
      <c r="A564" s="32">
        <v>58075</v>
      </c>
      <c r="B564" s="14">
        <f>CHOOSE(CONTROL!$C$42, 30.782, 30.782) * CHOOSE(CONTROL!$C$21, $C$9, 100%, $E$9)</f>
        <v>30.782</v>
      </c>
      <c r="C564" s="14">
        <f>CHOOSE(CONTROL!$C$42, 30.7871, 30.7871) * CHOOSE(CONTROL!$C$21, $C$9, 100%, $E$9)</f>
        <v>30.787099999999999</v>
      </c>
      <c r="D564" s="14">
        <f>CHOOSE(CONTROL!$C$42, 30.8613, 30.8613) * CHOOSE(CONTROL!$C$21, $C$9, 100%, $E$9)</f>
        <v>30.8613</v>
      </c>
      <c r="E564" s="14">
        <f>CHOOSE(CONTROL!$C$42, 30.8954, 30.8954) * CHOOSE(CONTROL!$C$21, $C$9, 100%, $E$9)</f>
        <v>30.895399999999999</v>
      </c>
      <c r="F564" s="14">
        <f>CHOOSE(CONTROL!$C$42, 30.7963, 30.7963)*CHOOSE(CONTROL!$C$21, $C$9, 100%, $E$9)</f>
        <v>30.796299999999999</v>
      </c>
      <c r="G564" s="14">
        <f>CHOOSE(CONTROL!$C$42, 30.8134, 30.8134)*CHOOSE(CONTROL!$C$21, $C$9, 100%, $E$9)</f>
        <v>30.813400000000001</v>
      </c>
      <c r="H564" s="14">
        <f>CHOOSE(CONTROL!$C$42, 30.8846, 30.8846) * CHOOSE(CONTROL!$C$21, $C$9, 100%, $E$9)</f>
        <v>30.884599999999999</v>
      </c>
      <c r="I564" s="14">
        <f>CHOOSE(CONTROL!$C$42, 30.9028, 30.9028)* CHOOSE(CONTROL!$C$21, $C$9, 100%, $E$9)</f>
        <v>30.902799999999999</v>
      </c>
      <c r="J564" s="14">
        <f>CHOOSE(CONTROL!$C$42, 30.7893, 30.7893)* CHOOSE(CONTROL!$C$21, $C$9, 100%, $E$9)</f>
        <v>30.789300000000001</v>
      </c>
      <c r="K564" s="53">
        <f>CHOOSE(CONTROL!$C$42, 30.8989, 30.8989) * CHOOSE(CONTROL!$C$21, $C$9, 100%, $E$9)</f>
        <v>30.898900000000001</v>
      </c>
      <c r="L564" s="14">
        <f>CHOOSE(CONTROL!$C$42, 31.4716, 31.4716) * CHOOSE(CONTROL!$C$21, $C$9, 100%, $E$9)</f>
        <v>31.471599999999999</v>
      </c>
      <c r="M564" s="14">
        <f>CHOOSE(CONTROL!$C$42, 30.1661, 30.1661) * CHOOSE(CONTROL!$C$21, $C$9, 100%, $E$9)</f>
        <v>30.1661</v>
      </c>
      <c r="N564" s="14">
        <f>CHOOSE(CONTROL!$C$42, 30.1829, 30.1829) * CHOOSE(CONTROL!$C$21, $C$9, 100%, $E$9)</f>
        <v>30.1829</v>
      </c>
      <c r="O564" s="14">
        <f>CHOOSE(CONTROL!$C$42, 30.2595, 30.2595) * CHOOSE(CONTROL!$C$21, $C$9, 100%, $E$9)</f>
        <v>30.259499999999999</v>
      </c>
      <c r="P564" s="14">
        <f>CHOOSE(CONTROL!$C$42, 30.2754, 30.2754) * CHOOSE(CONTROL!$C$21, $C$9, 100%, $E$9)</f>
        <v>30.275400000000001</v>
      </c>
      <c r="Q564" s="14">
        <f>CHOOSE(CONTROL!$C$42, 30.8542, 30.8542) * CHOOSE(CONTROL!$C$21, $C$9, 100%, $E$9)</f>
        <v>30.854199999999999</v>
      </c>
      <c r="R564" s="14">
        <f>CHOOSE(CONTROL!$C$42, 31.5183, 31.5183) * CHOOSE(CONTROL!$C$21, $C$9, 100%, $E$9)</f>
        <v>31.5183</v>
      </c>
      <c r="S564" s="14">
        <f>CHOOSE(CONTROL!$C$42, 29.5699, 29.5699) * CHOOSE(CONTROL!$C$21, $C$9, 100%, $E$9)</f>
        <v>29.569900000000001</v>
      </c>
      <c r="T5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7">
        <f>(1000*CHOOSE(CONTROL!$C$42, 695, 695)*CHOOSE(CONTROL!$C$42, 0.5599, 0.5599)*CHOOSE(CONTROL!$C$42, 31, 31))/1000000</f>
        <v>12.063045499999998</v>
      </c>
      <c r="V564" s="57">
        <f>(1000*CHOOSE(CONTROL!$C$42, 500, 500)*CHOOSE(CONTROL!$C$42, 0.275, 0.275)*CHOOSE(CONTROL!$C$42, 31, 31))/1000000</f>
        <v>4.2625000000000002</v>
      </c>
      <c r="W564" s="57">
        <f>(1000*CHOOSE(CONTROL!$C$42, 0.1146, 0.1146)*CHOOSE(CONTROL!$C$42, 121.5, 121.5)*CHOOSE(CONTROL!$C$42, 31, 31))/1000000</f>
        <v>0.43164089999999994</v>
      </c>
      <c r="X564" s="57">
        <f>(31*0.1790888*100000/1000000)+(31*0.2374*100000/1000000)</f>
        <v>1.2911152800000001</v>
      </c>
      <c r="Y564" s="57"/>
      <c r="Z564" s="14"/>
      <c r="AA564" s="56"/>
      <c r="AB564" s="50">
        <f>(B564*122.58+C564*297.941+D564*89.177+E564*40.302+F564*40+G564*160+H564*0+I564*100+J564*300)/(122.58+297.941+89.177+40.302+0+40+160+100+300)</f>
        <v>30.81071954956521</v>
      </c>
      <c r="AC564" s="45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30.225125899280577</v>
      </c>
    </row>
    <row r="565" spans="1:29" ht="15.75" x14ac:dyDescent="0.25">
      <c r="A565" s="32">
        <v>58106</v>
      </c>
      <c r="B565" s="14">
        <f>CHOOSE(CONTROL!$C$42, 33.3331, 33.3331) * CHOOSE(CONTROL!$C$21, $C$9, 100%, $E$9)</f>
        <v>33.333100000000002</v>
      </c>
      <c r="C565" s="14">
        <f>CHOOSE(CONTROL!$C$42, 33.3381, 33.3381) * CHOOSE(CONTROL!$C$21, $C$9, 100%, $E$9)</f>
        <v>33.338099999999997</v>
      </c>
      <c r="D565" s="14">
        <f>CHOOSE(CONTROL!$C$42, 33.415, 33.415) * CHOOSE(CONTROL!$C$21, $C$9, 100%, $E$9)</f>
        <v>33.414999999999999</v>
      </c>
      <c r="E565" s="14">
        <f>CHOOSE(CONTROL!$C$42, 33.4491, 33.4491) * CHOOSE(CONTROL!$C$21, $C$9, 100%, $E$9)</f>
        <v>33.449100000000001</v>
      </c>
      <c r="F565" s="14">
        <f>CHOOSE(CONTROL!$C$42, 33.3333, 33.3333)*CHOOSE(CONTROL!$C$21, $C$9, 100%, $E$9)</f>
        <v>33.333300000000001</v>
      </c>
      <c r="G565" s="14">
        <f>CHOOSE(CONTROL!$C$42, 33.3495, 33.3495)*CHOOSE(CONTROL!$C$21, $C$9, 100%, $E$9)</f>
        <v>33.349499999999999</v>
      </c>
      <c r="H565" s="14">
        <f>CHOOSE(CONTROL!$C$42, 33.4383, 33.4383) * CHOOSE(CONTROL!$C$21, $C$9, 100%, $E$9)</f>
        <v>33.438299999999998</v>
      </c>
      <c r="I565" s="14">
        <f>CHOOSE(CONTROL!$C$42, 33.4555, 33.4555)* CHOOSE(CONTROL!$C$21, $C$9, 100%, $E$9)</f>
        <v>33.455500000000001</v>
      </c>
      <c r="J565" s="14">
        <f>CHOOSE(CONTROL!$C$42, 33.3263, 33.3263)* CHOOSE(CONTROL!$C$21, $C$9, 100%, $E$9)</f>
        <v>33.326300000000003</v>
      </c>
      <c r="K565" s="53">
        <f>CHOOSE(CONTROL!$C$42, 33.4516, 33.4516) * CHOOSE(CONTROL!$C$21, $C$9, 100%, $E$9)</f>
        <v>33.451599999999999</v>
      </c>
      <c r="L565" s="14">
        <f>CHOOSE(CONTROL!$C$42, 34.0253, 34.0253) * CHOOSE(CONTROL!$C$21, $C$9, 100%, $E$9)</f>
        <v>34.025300000000001</v>
      </c>
      <c r="M565" s="14">
        <f>CHOOSE(CONTROL!$C$42, 32.6511, 32.6511) * CHOOSE(CONTROL!$C$21, $C$9, 100%, $E$9)</f>
        <v>32.6511</v>
      </c>
      <c r="N565" s="14">
        <f>CHOOSE(CONTROL!$C$42, 32.667, 32.667) * CHOOSE(CONTROL!$C$21, $C$9, 100%, $E$9)</f>
        <v>32.667000000000002</v>
      </c>
      <c r="O565" s="14">
        <f>CHOOSE(CONTROL!$C$42, 32.7608, 32.7608) * CHOOSE(CONTROL!$C$21, $C$9, 100%, $E$9)</f>
        <v>32.760800000000003</v>
      </c>
      <c r="P565" s="14">
        <f>CHOOSE(CONTROL!$C$42, 32.7757, 32.7757) * CHOOSE(CONTROL!$C$21, $C$9, 100%, $E$9)</f>
        <v>32.775700000000001</v>
      </c>
      <c r="Q565" s="14">
        <f>CHOOSE(CONTROL!$C$42, 33.3555, 33.3555) * CHOOSE(CONTROL!$C$21, $C$9, 100%, $E$9)</f>
        <v>33.355499999999999</v>
      </c>
      <c r="R565" s="14">
        <f>CHOOSE(CONTROL!$C$42, 34.0259, 34.0259) * CHOOSE(CONTROL!$C$21, $C$9, 100%, $E$9)</f>
        <v>34.0259</v>
      </c>
      <c r="S565" s="14">
        <f>CHOOSE(CONTROL!$C$42, 32.0212, 32.0212) * CHOOSE(CONTROL!$C$21, $C$9, 100%, $E$9)</f>
        <v>32.0212</v>
      </c>
      <c r="T5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7">
        <f>(1000*CHOOSE(CONTROL!$C$42, 695, 695)*CHOOSE(CONTROL!$C$42, 0.5599, 0.5599)*CHOOSE(CONTROL!$C$42, 31, 31))/1000000</f>
        <v>12.063045499999998</v>
      </c>
      <c r="V565" s="57">
        <f>(1000*CHOOSE(CONTROL!$C$42, 500, 500)*CHOOSE(CONTROL!$C$42, 0.275, 0.275)*CHOOSE(CONTROL!$C$42, 31, 31))/1000000</f>
        <v>4.2625000000000002</v>
      </c>
      <c r="W565" s="57">
        <f>(1000*CHOOSE(CONTROL!$C$42, 0.1146, 0.1146)*CHOOSE(CONTROL!$C$42, 121.5, 121.5)*CHOOSE(CONTROL!$C$42, 31, 31))/1000000</f>
        <v>0.43164089999999994</v>
      </c>
      <c r="X565" s="57">
        <f>(31*0.1790888*100000/1000000)+(31*0.2374*100000/1000000)</f>
        <v>1.2911152800000001</v>
      </c>
      <c r="Y565" s="57"/>
      <c r="Z565" s="14"/>
      <c r="AA565" s="56"/>
      <c r="AB565" s="50">
        <f>(B565*122.58+C565*297.941+D565*89.177+E565*40.302+F565*40+G565*160+H565*0+I565*100+J565*300)/(122.58+297.941+89.177+40.302+0+40+160+100+300)</f>
        <v>33.355969855043483</v>
      </c>
      <c r="AC565" s="45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32.719663309352519</v>
      </c>
    </row>
    <row r="566" spans="1:29" ht="15.75" x14ac:dyDescent="0.25">
      <c r="A566" s="32">
        <v>58134</v>
      </c>
      <c r="B566" s="14">
        <f>CHOOSE(CONTROL!$C$42, 33.9263, 33.9263) * CHOOSE(CONTROL!$C$21, $C$9, 100%, $E$9)</f>
        <v>33.926299999999998</v>
      </c>
      <c r="C566" s="14">
        <f>CHOOSE(CONTROL!$C$42, 33.9313, 33.9313) * CHOOSE(CONTROL!$C$21, $C$9, 100%, $E$9)</f>
        <v>33.9313</v>
      </c>
      <c r="D566" s="14">
        <f>CHOOSE(CONTROL!$C$42, 34.0082, 34.0082) * CHOOSE(CONTROL!$C$21, $C$9, 100%, $E$9)</f>
        <v>34.008200000000002</v>
      </c>
      <c r="E566" s="14">
        <f>CHOOSE(CONTROL!$C$42, 34.0423, 34.0423) * CHOOSE(CONTROL!$C$21, $C$9, 100%, $E$9)</f>
        <v>34.042299999999997</v>
      </c>
      <c r="F566" s="14">
        <f>CHOOSE(CONTROL!$C$42, 33.9265, 33.9265)*CHOOSE(CONTROL!$C$21, $C$9, 100%, $E$9)</f>
        <v>33.926499999999997</v>
      </c>
      <c r="G566" s="14">
        <f>CHOOSE(CONTROL!$C$42, 33.9428, 33.9428)*CHOOSE(CONTROL!$C$21, $C$9, 100%, $E$9)</f>
        <v>33.942799999999998</v>
      </c>
      <c r="H566" s="14">
        <f>CHOOSE(CONTROL!$C$42, 34.0315, 34.0315) * CHOOSE(CONTROL!$C$21, $C$9, 100%, $E$9)</f>
        <v>34.031500000000001</v>
      </c>
      <c r="I566" s="14">
        <f>CHOOSE(CONTROL!$C$42, 34.0506, 34.0506)* CHOOSE(CONTROL!$C$21, $C$9, 100%, $E$9)</f>
        <v>34.050600000000003</v>
      </c>
      <c r="J566" s="14">
        <f>CHOOSE(CONTROL!$C$42, 33.9195, 33.9195)* CHOOSE(CONTROL!$C$21, $C$9, 100%, $E$9)</f>
        <v>33.919499999999999</v>
      </c>
      <c r="K566" s="53">
        <f>CHOOSE(CONTROL!$C$42, 34.0467, 34.0467) * CHOOSE(CONTROL!$C$21, $C$9, 100%, $E$9)</f>
        <v>34.046700000000001</v>
      </c>
      <c r="L566" s="14">
        <f>CHOOSE(CONTROL!$C$42, 34.6185, 34.6185) * CHOOSE(CONTROL!$C$21, $C$9, 100%, $E$9)</f>
        <v>34.618499999999997</v>
      </c>
      <c r="M566" s="14">
        <f>CHOOSE(CONTROL!$C$42, 33.2322, 33.2322) * CHOOSE(CONTROL!$C$21, $C$9, 100%, $E$9)</f>
        <v>33.232199999999999</v>
      </c>
      <c r="N566" s="14">
        <f>CHOOSE(CONTROL!$C$42, 33.2481, 33.2481) * CHOOSE(CONTROL!$C$21, $C$9, 100%, $E$9)</f>
        <v>33.248100000000001</v>
      </c>
      <c r="O566" s="14">
        <f>CHOOSE(CONTROL!$C$42, 33.3419, 33.3419) * CHOOSE(CONTROL!$C$21, $C$9, 100%, $E$9)</f>
        <v>33.341900000000003</v>
      </c>
      <c r="P566" s="14">
        <f>CHOOSE(CONTROL!$C$42, 33.3585, 33.3585) * CHOOSE(CONTROL!$C$21, $C$9, 100%, $E$9)</f>
        <v>33.358499999999999</v>
      </c>
      <c r="Q566" s="14">
        <f>CHOOSE(CONTROL!$C$42, 33.9366, 33.9366) * CHOOSE(CONTROL!$C$21, $C$9, 100%, $E$9)</f>
        <v>33.936599999999999</v>
      </c>
      <c r="R566" s="14">
        <f>CHOOSE(CONTROL!$C$42, 34.6084, 34.6084) * CHOOSE(CONTROL!$C$21, $C$9, 100%, $E$9)</f>
        <v>34.608400000000003</v>
      </c>
      <c r="S566" s="14">
        <f>CHOOSE(CONTROL!$C$42, 32.5912, 32.5912) * CHOOSE(CONTROL!$C$21, $C$9, 100%, $E$9)</f>
        <v>32.591200000000001</v>
      </c>
      <c r="T5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7">
        <f>(1000*CHOOSE(CONTROL!$C$42, 695, 695)*CHOOSE(CONTROL!$C$42, 0.5599, 0.5599)*CHOOSE(CONTROL!$C$42, 28, 28))/1000000</f>
        <v>10.895653999999999</v>
      </c>
      <c r="V566" s="57">
        <f>(1000*CHOOSE(CONTROL!$C$42, 500, 500)*CHOOSE(CONTROL!$C$42, 0.275, 0.275)*CHOOSE(CONTROL!$C$42, 28, 28))/1000000</f>
        <v>3.85</v>
      </c>
      <c r="W566" s="57">
        <f>(1000*CHOOSE(CONTROL!$C$42, 0.1146, 0.1146)*CHOOSE(CONTROL!$C$42, 121.5, 121.5)*CHOOSE(CONTROL!$C$42, 28, 28))/1000000</f>
        <v>0.38986920000000003</v>
      </c>
      <c r="X566" s="57">
        <f>(28*0.1790888*100000/1000000)+(28*0.2374*100000/1000000)</f>
        <v>1.16616864</v>
      </c>
      <c r="Y566" s="57"/>
      <c r="Z566" s="14"/>
      <c r="AA566" s="56"/>
      <c r="AB566" s="50">
        <f>(B566*122.58+C566*297.941+D566*89.177+E566*40.302+F566*40+G566*160+H566*0+I566*100+J566*300)/(122.58+297.941+89.177+40.302+0+40+160+100+300)</f>
        <v>33.94934898547826</v>
      </c>
      <c r="AC566" s="45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33.301007913669061</v>
      </c>
    </row>
    <row r="567" spans="1:29" ht="15.75" x14ac:dyDescent="0.25">
      <c r="A567" s="32">
        <v>58165</v>
      </c>
      <c r="B567" s="14">
        <f>CHOOSE(CONTROL!$C$42, 32.9634, 32.9634) * CHOOSE(CONTROL!$C$21, $C$9, 100%, $E$9)</f>
        <v>32.9634</v>
      </c>
      <c r="C567" s="14">
        <f>CHOOSE(CONTROL!$C$42, 32.9684, 32.9684) * CHOOSE(CONTROL!$C$21, $C$9, 100%, $E$9)</f>
        <v>32.968400000000003</v>
      </c>
      <c r="D567" s="14">
        <f>CHOOSE(CONTROL!$C$42, 33.0452, 33.0452) * CHOOSE(CONTROL!$C$21, $C$9, 100%, $E$9)</f>
        <v>33.045200000000001</v>
      </c>
      <c r="E567" s="14">
        <f>CHOOSE(CONTROL!$C$42, 33.0793, 33.0793) * CHOOSE(CONTROL!$C$21, $C$9, 100%, $E$9)</f>
        <v>33.079300000000003</v>
      </c>
      <c r="F567" s="14">
        <f>CHOOSE(CONTROL!$C$42, 32.9632, 32.9632)*CHOOSE(CONTROL!$C$21, $C$9, 100%, $E$9)</f>
        <v>32.963200000000001</v>
      </c>
      <c r="G567" s="14">
        <f>CHOOSE(CONTROL!$C$42, 32.9793, 32.9793)*CHOOSE(CONTROL!$C$21, $C$9, 100%, $E$9)</f>
        <v>32.979300000000002</v>
      </c>
      <c r="H567" s="14">
        <f>CHOOSE(CONTROL!$C$42, 33.0685, 33.0685) * CHOOSE(CONTROL!$C$21, $C$9, 100%, $E$9)</f>
        <v>33.0685</v>
      </c>
      <c r="I567" s="14">
        <f>CHOOSE(CONTROL!$C$42, 33.0847, 33.0847)* CHOOSE(CONTROL!$C$21, $C$9, 100%, $E$9)</f>
        <v>33.084699999999998</v>
      </c>
      <c r="J567" s="14">
        <f>CHOOSE(CONTROL!$C$42, 32.9562, 32.9562)* CHOOSE(CONTROL!$C$21, $C$9, 100%, $E$9)</f>
        <v>32.956200000000003</v>
      </c>
      <c r="K567" s="53">
        <f>CHOOSE(CONTROL!$C$42, 33.0808, 33.0808) * CHOOSE(CONTROL!$C$21, $C$9, 100%, $E$9)</f>
        <v>33.080800000000004</v>
      </c>
      <c r="L567" s="14">
        <f>CHOOSE(CONTROL!$C$42, 33.6555, 33.6555) * CHOOSE(CONTROL!$C$21, $C$9, 100%, $E$9)</f>
        <v>33.655500000000004</v>
      </c>
      <c r="M567" s="14">
        <f>CHOOSE(CONTROL!$C$42, 32.2886, 32.2886) * CHOOSE(CONTROL!$C$21, $C$9, 100%, $E$9)</f>
        <v>32.288600000000002</v>
      </c>
      <c r="N567" s="14">
        <f>CHOOSE(CONTROL!$C$42, 32.3044, 32.3044) * CHOOSE(CONTROL!$C$21, $C$9, 100%, $E$9)</f>
        <v>32.304400000000001</v>
      </c>
      <c r="O567" s="14">
        <f>CHOOSE(CONTROL!$C$42, 32.3987, 32.3987) * CHOOSE(CONTROL!$C$21, $C$9, 100%, $E$9)</f>
        <v>32.398699999999998</v>
      </c>
      <c r="P567" s="14">
        <f>CHOOSE(CONTROL!$C$42, 32.4125, 32.4125) * CHOOSE(CONTROL!$C$21, $C$9, 100%, $E$9)</f>
        <v>32.412500000000001</v>
      </c>
      <c r="Q567" s="14">
        <f>CHOOSE(CONTROL!$C$42, 32.9934, 32.9934) * CHOOSE(CONTROL!$C$21, $C$9, 100%, $E$9)</f>
        <v>32.993400000000001</v>
      </c>
      <c r="R567" s="14">
        <f>CHOOSE(CONTROL!$C$42, 33.6629, 33.6629) * CHOOSE(CONTROL!$C$21, $C$9, 100%, $E$9)</f>
        <v>33.6629</v>
      </c>
      <c r="S567" s="14">
        <f>CHOOSE(CONTROL!$C$42, 31.6659, 31.6659) * CHOOSE(CONTROL!$C$21, $C$9, 100%, $E$9)</f>
        <v>31.665900000000001</v>
      </c>
      <c r="T5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7">
        <f>(1000*CHOOSE(CONTROL!$C$42, 695, 695)*CHOOSE(CONTROL!$C$42, 0.5599, 0.5599)*CHOOSE(CONTROL!$C$42, 31, 31))/1000000</f>
        <v>12.063045499999998</v>
      </c>
      <c r="V567" s="57">
        <f>(1000*CHOOSE(CONTROL!$C$42, 500, 500)*CHOOSE(CONTROL!$C$42, 0.275, 0.275)*CHOOSE(CONTROL!$C$42, 31, 31))/1000000</f>
        <v>4.2625000000000002</v>
      </c>
      <c r="W567" s="57">
        <f>(1000*CHOOSE(CONTROL!$C$42, 0.1146, 0.1146)*CHOOSE(CONTROL!$C$42, 121.5, 121.5)*CHOOSE(CONTROL!$C$42, 31, 31))/1000000</f>
        <v>0.43164089999999994</v>
      </c>
      <c r="X567" s="57">
        <f>(31*0.1790888*100000/1000000)+(31*0.2374*100000/1000000)</f>
        <v>1.2911152800000001</v>
      </c>
      <c r="Y567" s="57"/>
      <c r="Z567" s="14"/>
      <c r="AA567" s="56"/>
      <c r="AB567" s="50">
        <f>(B567*122.58+C567*297.941+D567*89.177+E567*40.302+F567*40+G567*160+H567*0+I567*100+J567*300)/(122.58+297.941+89.177+40.302+0+40+160+100+300)</f>
        <v>32.98597511773913</v>
      </c>
      <c r="AC567" s="45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32.357238129496402</v>
      </c>
    </row>
    <row r="568" spans="1:29" ht="15.75" x14ac:dyDescent="0.25">
      <c r="A568" s="32">
        <v>58195</v>
      </c>
      <c r="B568" s="14">
        <f>CHOOSE(CONTROL!$C$42, 32.8659, 32.8659) * CHOOSE(CONTROL!$C$21, $C$9, 100%, $E$9)</f>
        <v>32.865900000000003</v>
      </c>
      <c r="C568" s="14">
        <f>CHOOSE(CONTROL!$C$42, 32.8704, 32.8704) * CHOOSE(CONTROL!$C$21, $C$9, 100%, $E$9)</f>
        <v>32.870399999999997</v>
      </c>
      <c r="D568" s="14">
        <f>CHOOSE(CONTROL!$C$42, 33.1071, 33.1071) * CHOOSE(CONTROL!$C$21, $C$9, 100%, $E$9)</f>
        <v>33.107100000000003</v>
      </c>
      <c r="E568" s="14">
        <f>CHOOSE(CONTROL!$C$42, 33.1393, 33.1393) * CHOOSE(CONTROL!$C$21, $C$9, 100%, $E$9)</f>
        <v>33.139299999999999</v>
      </c>
      <c r="F568" s="14">
        <f>CHOOSE(CONTROL!$C$42, 32.8639, 32.8639)*CHOOSE(CONTROL!$C$21, $C$9, 100%, $E$9)</f>
        <v>32.863900000000001</v>
      </c>
      <c r="G568" s="14">
        <f>CHOOSE(CONTROL!$C$42, 32.8797, 32.8797)*CHOOSE(CONTROL!$C$21, $C$9, 100%, $E$9)</f>
        <v>32.8797</v>
      </c>
      <c r="H568" s="14">
        <f>CHOOSE(CONTROL!$C$42, 33.129, 33.129) * CHOOSE(CONTROL!$C$21, $C$9, 100%, $E$9)</f>
        <v>33.128999999999998</v>
      </c>
      <c r="I568" s="14">
        <f>CHOOSE(CONTROL!$C$42, 32.9861, 32.9861)* CHOOSE(CONTROL!$C$21, $C$9, 100%, $E$9)</f>
        <v>32.9861</v>
      </c>
      <c r="J568" s="14">
        <f>CHOOSE(CONTROL!$C$42, 32.8569, 32.8569)* CHOOSE(CONTROL!$C$21, $C$9, 100%, $E$9)</f>
        <v>32.856900000000003</v>
      </c>
      <c r="K568" s="53">
        <f>CHOOSE(CONTROL!$C$42, 32.9822, 32.9822) * CHOOSE(CONTROL!$C$21, $C$9, 100%, $E$9)</f>
        <v>32.982199999999999</v>
      </c>
      <c r="L568" s="14">
        <f>CHOOSE(CONTROL!$C$42, 33.716, 33.716) * CHOOSE(CONTROL!$C$21, $C$9, 100%, $E$9)</f>
        <v>33.716000000000001</v>
      </c>
      <c r="M568" s="14">
        <f>CHOOSE(CONTROL!$C$42, 32.1913, 32.1913) * CHOOSE(CONTROL!$C$21, $C$9, 100%, $E$9)</f>
        <v>32.191299999999998</v>
      </c>
      <c r="N568" s="14">
        <f>CHOOSE(CONTROL!$C$42, 32.2068, 32.2068) * CHOOSE(CONTROL!$C$21, $C$9, 100%, $E$9)</f>
        <v>32.206800000000001</v>
      </c>
      <c r="O568" s="14">
        <f>CHOOSE(CONTROL!$C$42, 32.4579, 32.4579) * CHOOSE(CONTROL!$C$21, $C$9, 100%, $E$9)</f>
        <v>32.457900000000002</v>
      </c>
      <c r="P568" s="14">
        <f>CHOOSE(CONTROL!$C$42, 32.316, 32.316) * CHOOSE(CONTROL!$C$21, $C$9, 100%, $E$9)</f>
        <v>32.316000000000003</v>
      </c>
      <c r="Q568" s="14">
        <f>CHOOSE(CONTROL!$C$42, 33.0526, 33.0526) * CHOOSE(CONTROL!$C$21, $C$9, 100%, $E$9)</f>
        <v>33.052599999999998</v>
      </c>
      <c r="R568" s="14">
        <f>CHOOSE(CONTROL!$C$42, 33.7223, 33.7223) * CHOOSE(CONTROL!$C$21, $C$9, 100%, $E$9)</f>
        <v>33.722299999999997</v>
      </c>
      <c r="S568" s="14">
        <f>CHOOSE(CONTROL!$C$42, 31.5716, 31.5716) * CHOOSE(CONTROL!$C$21, $C$9, 100%, $E$9)</f>
        <v>31.5716</v>
      </c>
      <c r="T5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7">
        <f>(1000*CHOOSE(CONTROL!$C$42, 695, 695)*CHOOSE(CONTROL!$C$42, 0.5599, 0.5599)*CHOOSE(CONTROL!$C$42, 30, 30))/1000000</f>
        <v>11.673914999999997</v>
      </c>
      <c r="V568" s="57">
        <f>(1000*CHOOSE(CONTROL!$C$42, 500, 500)*CHOOSE(CONTROL!$C$42, 0.275, 0.275)*CHOOSE(CONTROL!$C$42, 30, 30))/1000000</f>
        <v>4.125</v>
      </c>
      <c r="W568" s="57">
        <f>(1000*CHOOSE(CONTROL!$C$42, 0.1146, 0.1146)*CHOOSE(CONTROL!$C$42, 121.5, 121.5)*CHOOSE(CONTROL!$C$42, 30, 30))/1000000</f>
        <v>0.417717</v>
      </c>
      <c r="X568" s="57">
        <f>(30*0.1790888*245000/1000000)+(30*0.2374*100000/1000000)</f>
        <v>2.0285026799999999</v>
      </c>
      <c r="Y568" s="57"/>
      <c r="Z568" s="14"/>
      <c r="AA568" s="56"/>
      <c r="AB568" s="50">
        <f>(B568*141.293+C568*267.993+D568*115.016+E568*89.698+F568*40+G568*185+H568*0+I568*100+J568*300)/(141.293+267.993+115.016+89.698+0+40+185+100+300)</f>
        <v>32.918574948264734</v>
      </c>
      <c r="AC568" s="45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32.287612230215828</v>
      </c>
    </row>
    <row r="569" spans="1:29" ht="15.75" x14ac:dyDescent="0.25">
      <c r="A569" s="32">
        <v>58226</v>
      </c>
      <c r="B569" s="14">
        <f>CHOOSE(CONTROL!$C$42, 33.1573, 33.1573) * CHOOSE(CONTROL!$C$21, $C$9, 100%, $E$9)</f>
        <v>33.157299999999999</v>
      </c>
      <c r="C569" s="14">
        <f>CHOOSE(CONTROL!$C$42, 33.1653, 33.1653) * CHOOSE(CONTROL!$C$21, $C$9, 100%, $E$9)</f>
        <v>33.165300000000002</v>
      </c>
      <c r="D569" s="14">
        <f>CHOOSE(CONTROL!$C$42, 33.3989, 33.3989) * CHOOSE(CONTROL!$C$21, $C$9, 100%, $E$9)</f>
        <v>33.398899999999998</v>
      </c>
      <c r="E569" s="14">
        <f>CHOOSE(CONTROL!$C$42, 33.4304, 33.4304) * CHOOSE(CONTROL!$C$21, $C$9, 100%, $E$9)</f>
        <v>33.430399999999999</v>
      </c>
      <c r="F569" s="14">
        <f>CHOOSE(CONTROL!$C$42, 33.1541, 33.1541)*CHOOSE(CONTROL!$C$21, $C$9, 100%, $E$9)</f>
        <v>33.1541</v>
      </c>
      <c r="G569" s="14">
        <f>CHOOSE(CONTROL!$C$42, 33.1704, 33.1704)*CHOOSE(CONTROL!$C$21, $C$9, 100%, $E$9)</f>
        <v>33.170400000000001</v>
      </c>
      <c r="H569" s="14">
        <f>CHOOSE(CONTROL!$C$42, 33.419, 33.419) * CHOOSE(CONTROL!$C$21, $C$9, 100%, $E$9)</f>
        <v>33.418999999999997</v>
      </c>
      <c r="I569" s="14">
        <f>CHOOSE(CONTROL!$C$42, 33.277, 33.277)* CHOOSE(CONTROL!$C$21, $C$9, 100%, $E$9)</f>
        <v>33.277000000000001</v>
      </c>
      <c r="J569" s="14">
        <f>CHOOSE(CONTROL!$C$42, 33.1471, 33.1471)* CHOOSE(CONTROL!$C$21, $C$9, 100%, $E$9)</f>
        <v>33.147100000000002</v>
      </c>
      <c r="K569" s="53">
        <f>CHOOSE(CONTROL!$C$42, 33.2731, 33.2731) * CHOOSE(CONTROL!$C$21, $C$9, 100%, $E$9)</f>
        <v>33.273099999999999</v>
      </c>
      <c r="L569" s="14">
        <f>CHOOSE(CONTROL!$C$42, 34.006, 34.006) * CHOOSE(CONTROL!$C$21, $C$9, 100%, $E$9)</f>
        <v>34.006</v>
      </c>
      <c r="M569" s="14">
        <f>CHOOSE(CONTROL!$C$42, 32.4756, 32.4756) * CHOOSE(CONTROL!$C$21, $C$9, 100%, $E$9)</f>
        <v>32.4756</v>
      </c>
      <c r="N569" s="14">
        <f>CHOOSE(CONTROL!$C$42, 32.4916, 32.4916) * CHOOSE(CONTROL!$C$21, $C$9, 100%, $E$9)</f>
        <v>32.491599999999998</v>
      </c>
      <c r="O569" s="14">
        <f>CHOOSE(CONTROL!$C$42, 32.742, 32.742) * CHOOSE(CONTROL!$C$21, $C$9, 100%, $E$9)</f>
        <v>32.741999999999997</v>
      </c>
      <c r="P569" s="14">
        <f>CHOOSE(CONTROL!$C$42, 32.6009, 32.6009) * CHOOSE(CONTROL!$C$21, $C$9, 100%, $E$9)</f>
        <v>32.600900000000003</v>
      </c>
      <c r="Q569" s="14">
        <f>CHOOSE(CONTROL!$C$42, 33.3367, 33.3367) * CHOOSE(CONTROL!$C$21, $C$9, 100%, $E$9)</f>
        <v>33.3367</v>
      </c>
      <c r="R569" s="14">
        <f>CHOOSE(CONTROL!$C$42, 34.007, 34.007) * CHOOSE(CONTROL!$C$21, $C$9, 100%, $E$9)</f>
        <v>34.006999999999998</v>
      </c>
      <c r="S569" s="14">
        <f>CHOOSE(CONTROL!$C$42, 31.8502, 31.8502) * CHOOSE(CONTROL!$C$21, $C$9, 100%, $E$9)</f>
        <v>31.850200000000001</v>
      </c>
      <c r="T5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7">
        <f>(1000*CHOOSE(CONTROL!$C$42, 695, 695)*CHOOSE(CONTROL!$C$42, 0.5599, 0.5599)*CHOOSE(CONTROL!$C$42, 31, 31))/1000000</f>
        <v>12.063045499999998</v>
      </c>
      <c r="V569" s="57">
        <f>(1000*CHOOSE(CONTROL!$C$42, 500, 500)*CHOOSE(CONTROL!$C$42, 0.275, 0.275)*CHOOSE(CONTROL!$C$42, 31, 31))/1000000</f>
        <v>4.2625000000000002</v>
      </c>
      <c r="W569" s="57">
        <f>(1000*CHOOSE(CONTROL!$C$42, 0.1146, 0.1146)*CHOOSE(CONTROL!$C$42, 121.5, 121.5)*CHOOSE(CONTROL!$C$42, 31, 31))/1000000</f>
        <v>0.43164089999999994</v>
      </c>
      <c r="X569" s="57">
        <f>(31*0.1790888*245000/1000000)+(31*0.2374*100000/1000000)</f>
        <v>2.0961194359999999</v>
      </c>
      <c r="Y569" s="57"/>
      <c r="Z569" s="14"/>
      <c r="AA569" s="56"/>
      <c r="AB569" s="50">
        <f>(B569*194.205+C569*267.466+D569*133.845+E569*53.484+F569*40+G569*185+H569*0+I569*100+J569*300)/(194.205+267.466+133.845+53.484+0+40+185+100+300)</f>
        <v>33.204622339403457</v>
      </c>
      <c r="AC569" s="45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32.572057553956832</v>
      </c>
    </row>
    <row r="570" spans="1:29" ht="15.75" x14ac:dyDescent="0.25">
      <c r="A570" s="32">
        <v>58256</v>
      </c>
      <c r="B570" s="14">
        <f>CHOOSE(CONTROL!$C$42, 34.0975, 34.0975) * CHOOSE(CONTROL!$C$21, $C$9, 100%, $E$9)</f>
        <v>34.097499999999997</v>
      </c>
      <c r="C570" s="14">
        <f>CHOOSE(CONTROL!$C$42, 34.1055, 34.1055) * CHOOSE(CONTROL!$C$21, $C$9, 100%, $E$9)</f>
        <v>34.105499999999999</v>
      </c>
      <c r="D570" s="14">
        <f>CHOOSE(CONTROL!$C$42, 34.3391, 34.3391) * CHOOSE(CONTROL!$C$21, $C$9, 100%, $E$9)</f>
        <v>34.339100000000002</v>
      </c>
      <c r="E570" s="14">
        <f>CHOOSE(CONTROL!$C$42, 34.3706, 34.3706) * CHOOSE(CONTROL!$C$21, $C$9, 100%, $E$9)</f>
        <v>34.370600000000003</v>
      </c>
      <c r="F570" s="14">
        <f>CHOOSE(CONTROL!$C$42, 34.0948, 34.0948)*CHOOSE(CONTROL!$C$21, $C$9, 100%, $E$9)</f>
        <v>34.094799999999999</v>
      </c>
      <c r="G570" s="14">
        <f>CHOOSE(CONTROL!$C$42, 34.1112, 34.1112)*CHOOSE(CONTROL!$C$21, $C$9, 100%, $E$9)</f>
        <v>34.111199999999997</v>
      </c>
      <c r="H570" s="14">
        <f>CHOOSE(CONTROL!$C$42, 34.3592, 34.3592) * CHOOSE(CONTROL!$C$21, $C$9, 100%, $E$9)</f>
        <v>34.359200000000001</v>
      </c>
      <c r="I570" s="14">
        <f>CHOOSE(CONTROL!$C$42, 34.2202, 34.2202)* CHOOSE(CONTROL!$C$21, $C$9, 100%, $E$9)</f>
        <v>34.220199999999998</v>
      </c>
      <c r="J570" s="14">
        <f>CHOOSE(CONTROL!$C$42, 34.0878, 34.0878)* CHOOSE(CONTROL!$C$21, $C$9, 100%, $E$9)</f>
        <v>34.087800000000001</v>
      </c>
      <c r="K570" s="53">
        <f>CHOOSE(CONTROL!$C$42, 34.2163, 34.2163) * CHOOSE(CONTROL!$C$21, $C$9, 100%, $E$9)</f>
        <v>34.216299999999997</v>
      </c>
      <c r="L570" s="14">
        <f>CHOOSE(CONTROL!$C$42, 34.9462, 34.9462) * CHOOSE(CONTROL!$C$21, $C$9, 100%, $E$9)</f>
        <v>34.946199999999997</v>
      </c>
      <c r="M570" s="14">
        <f>CHOOSE(CONTROL!$C$42, 33.397, 33.397) * CHOOSE(CONTROL!$C$21, $C$9, 100%, $E$9)</f>
        <v>33.396999999999998</v>
      </c>
      <c r="N570" s="14">
        <f>CHOOSE(CONTROL!$C$42, 33.4132, 33.4132) * CHOOSE(CONTROL!$C$21, $C$9, 100%, $E$9)</f>
        <v>33.413200000000003</v>
      </c>
      <c r="O570" s="14">
        <f>CHOOSE(CONTROL!$C$42, 33.6629, 33.6629) * CHOOSE(CONTROL!$C$21, $C$9, 100%, $E$9)</f>
        <v>33.6629</v>
      </c>
      <c r="P570" s="14">
        <f>CHOOSE(CONTROL!$C$42, 33.5246, 33.5246) * CHOOSE(CONTROL!$C$21, $C$9, 100%, $E$9)</f>
        <v>33.5246</v>
      </c>
      <c r="Q570" s="14">
        <f>CHOOSE(CONTROL!$C$42, 34.2576, 34.2576) * CHOOSE(CONTROL!$C$21, $C$9, 100%, $E$9)</f>
        <v>34.257599999999996</v>
      </c>
      <c r="R570" s="14">
        <f>CHOOSE(CONTROL!$C$42, 34.9303, 34.9303) * CHOOSE(CONTROL!$C$21, $C$9, 100%, $E$9)</f>
        <v>34.930300000000003</v>
      </c>
      <c r="S570" s="14">
        <f>CHOOSE(CONTROL!$C$42, 32.7537, 32.7537) * CHOOSE(CONTROL!$C$21, $C$9, 100%, $E$9)</f>
        <v>32.753700000000002</v>
      </c>
      <c r="T5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7">
        <f>(1000*CHOOSE(CONTROL!$C$42, 695, 695)*CHOOSE(CONTROL!$C$42, 0.5599, 0.5599)*CHOOSE(CONTROL!$C$42, 30, 30))/1000000</f>
        <v>11.673914999999997</v>
      </c>
      <c r="V570" s="57">
        <f>(1000*CHOOSE(CONTROL!$C$42, 500, 500)*CHOOSE(CONTROL!$C$42, 0.275, 0.275)*CHOOSE(CONTROL!$C$42, 30, 30))/1000000</f>
        <v>4.125</v>
      </c>
      <c r="W570" s="57">
        <f>(1000*CHOOSE(CONTROL!$C$42, 0.1146, 0.1146)*CHOOSE(CONTROL!$C$42, 121.5, 121.5)*CHOOSE(CONTROL!$C$42, 30, 30))/1000000</f>
        <v>0.417717</v>
      </c>
      <c r="X570" s="57">
        <f>(30*0.1790888*245000/1000000)+(30*0.2374*100000/1000000)</f>
        <v>2.0285026799999999</v>
      </c>
      <c r="Y570" s="57"/>
      <c r="Z570" s="14"/>
      <c r="AA570" s="56"/>
      <c r="AB570" s="50">
        <f>(B570*194.205+C570*267.466+D570*133.845+E570*53.484+F570*40+G570*185+H570*0+I570*100+J570*300)/(194.205+267.466+133.845+53.484+0+40+185+100+300)</f>
        <v>34.145278383359496</v>
      </c>
      <c r="AC570" s="45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33.49369424460432</v>
      </c>
    </row>
    <row r="571" spans="1:29" ht="15.75" x14ac:dyDescent="0.25">
      <c r="A571" s="32">
        <v>58287</v>
      </c>
      <c r="B571" s="14">
        <f>CHOOSE(CONTROL!$C$42, 33.4436, 33.4436) * CHOOSE(CONTROL!$C$21, $C$9, 100%, $E$9)</f>
        <v>33.443600000000004</v>
      </c>
      <c r="C571" s="14">
        <f>CHOOSE(CONTROL!$C$42, 33.4516, 33.4516) * CHOOSE(CONTROL!$C$21, $C$9, 100%, $E$9)</f>
        <v>33.451599999999999</v>
      </c>
      <c r="D571" s="14">
        <f>CHOOSE(CONTROL!$C$42, 33.6852, 33.6852) * CHOOSE(CONTROL!$C$21, $C$9, 100%, $E$9)</f>
        <v>33.685200000000002</v>
      </c>
      <c r="E571" s="14">
        <f>CHOOSE(CONTROL!$C$42, 33.7167, 33.7167) * CHOOSE(CONTROL!$C$21, $C$9, 100%, $E$9)</f>
        <v>33.716700000000003</v>
      </c>
      <c r="F571" s="14">
        <f>CHOOSE(CONTROL!$C$42, 33.4414, 33.4414)*CHOOSE(CONTROL!$C$21, $C$9, 100%, $E$9)</f>
        <v>33.441400000000002</v>
      </c>
      <c r="G571" s="14">
        <f>CHOOSE(CONTROL!$C$42, 33.458, 33.458)*CHOOSE(CONTROL!$C$21, $C$9, 100%, $E$9)</f>
        <v>33.457999999999998</v>
      </c>
      <c r="H571" s="14">
        <f>CHOOSE(CONTROL!$C$42, 33.7053, 33.7053) * CHOOSE(CONTROL!$C$21, $C$9, 100%, $E$9)</f>
        <v>33.705300000000001</v>
      </c>
      <c r="I571" s="14">
        <f>CHOOSE(CONTROL!$C$42, 33.5642, 33.5642)* CHOOSE(CONTROL!$C$21, $C$9, 100%, $E$9)</f>
        <v>33.5642</v>
      </c>
      <c r="J571" s="14">
        <f>CHOOSE(CONTROL!$C$42, 33.4344, 33.4344)* CHOOSE(CONTROL!$C$21, $C$9, 100%, $E$9)</f>
        <v>33.434399999999997</v>
      </c>
      <c r="K571" s="53">
        <f>CHOOSE(CONTROL!$C$42, 33.5603, 33.5603) * CHOOSE(CONTROL!$C$21, $C$9, 100%, $E$9)</f>
        <v>33.560299999999998</v>
      </c>
      <c r="L571" s="14">
        <f>CHOOSE(CONTROL!$C$42, 34.2923, 34.2923) * CHOOSE(CONTROL!$C$21, $C$9, 100%, $E$9)</f>
        <v>34.292299999999997</v>
      </c>
      <c r="M571" s="14">
        <f>CHOOSE(CONTROL!$C$42, 32.757, 32.757) * CHOOSE(CONTROL!$C$21, $C$9, 100%, $E$9)</f>
        <v>32.756999999999998</v>
      </c>
      <c r="N571" s="14">
        <f>CHOOSE(CONTROL!$C$42, 32.7733, 32.7733) * CHOOSE(CONTROL!$C$21, $C$9, 100%, $E$9)</f>
        <v>32.773299999999999</v>
      </c>
      <c r="O571" s="14">
        <f>CHOOSE(CONTROL!$C$42, 33.0224, 33.0224) * CHOOSE(CONTROL!$C$21, $C$9, 100%, $E$9)</f>
        <v>33.022399999999998</v>
      </c>
      <c r="P571" s="14">
        <f>CHOOSE(CONTROL!$C$42, 32.8822, 32.8822) * CHOOSE(CONTROL!$C$21, $C$9, 100%, $E$9)</f>
        <v>32.882199999999997</v>
      </c>
      <c r="Q571" s="14">
        <f>CHOOSE(CONTROL!$C$42, 33.6171, 33.6171) * CHOOSE(CONTROL!$C$21, $C$9, 100%, $E$9)</f>
        <v>33.617100000000001</v>
      </c>
      <c r="R571" s="14">
        <f>CHOOSE(CONTROL!$C$42, 34.2881, 34.2881) * CHOOSE(CONTROL!$C$21, $C$9, 100%, $E$9)</f>
        <v>34.2881</v>
      </c>
      <c r="S571" s="14">
        <f>CHOOSE(CONTROL!$C$42, 32.1253, 32.1253) * CHOOSE(CONTROL!$C$21, $C$9, 100%, $E$9)</f>
        <v>32.125300000000003</v>
      </c>
      <c r="T5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7">
        <f>(1000*CHOOSE(CONTROL!$C$42, 695, 695)*CHOOSE(CONTROL!$C$42, 0.5599, 0.5599)*CHOOSE(CONTROL!$C$42, 31, 31))/1000000</f>
        <v>12.063045499999998</v>
      </c>
      <c r="V571" s="57">
        <f>(1000*CHOOSE(CONTROL!$C$42, 500, 500)*CHOOSE(CONTROL!$C$42, 0.275, 0.275)*CHOOSE(CONTROL!$C$42, 31, 31))/1000000</f>
        <v>4.2625000000000002</v>
      </c>
      <c r="W571" s="57">
        <f>(1000*CHOOSE(CONTROL!$C$42, 0.1146, 0.1146)*CHOOSE(CONTROL!$C$42, 121.5, 121.5)*CHOOSE(CONTROL!$C$42, 31, 31))/1000000</f>
        <v>0.43164089999999994</v>
      </c>
      <c r="X571" s="57">
        <f>(31*0.1790888*245000/1000000)+(31*0.2374*100000/1000000)</f>
        <v>2.0961194359999999</v>
      </c>
      <c r="Y571" s="57"/>
      <c r="Z571" s="14"/>
      <c r="AA571" s="56"/>
      <c r="AB571" s="50">
        <f>(B571*194.205+C571*267.466+D571*133.845+E571*53.484+F571*40+G571*185+H571*0+I571*100+J571*300)/(194.205+267.466+133.845+53.484+0+40+185+100+300)</f>
        <v>33.491448634536894</v>
      </c>
      <c r="AC571" s="45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32.853231654676257</v>
      </c>
    </row>
    <row r="572" spans="1:29" ht="15.75" x14ac:dyDescent="0.25">
      <c r="A572" s="32">
        <v>58318</v>
      </c>
      <c r="B572" s="14">
        <f>CHOOSE(CONTROL!$C$42, 31.7922, 31.7922) * CHOOSE(CONTROL!$C$21, $C$9, 100%, $E$9)</f>
        <v>31.792200000000001</v>
      </c>
      <c r="C572" s="14">
        <f>CHOOSE(CONTROL!$C$42, 31.8003, 31.8003) * CHOOSE(CONTROL!$C$21, $C$9, 100%, $E$9)</f>
        <v>31.8003</v>
      </c>
      <c r="D572" s="14">
        <f>CHOOSE(CONTROL!$C$42, 32.0339, 32.0339) * CHOOSE(CONTROL!$C$21, $C$9, 100%, $E$9)</f>
        <v>32.033900000000003</v>
      </c>
      <c r="E572" s="14">
        <f>CHOOSE(CONTROL!$C$42, 32.0653, 32.0653) * CHOOSE(CONTROL!$C$21, $C$9, 100%, $E$9)</f>
        <v>32.065300000000001</v>
      </c>
      <c r="F572" s="14">
        <f>CHOOSE(CONTROL!$C$42, 31.7902, 31.7902)*CHOOSE(CONTROL!$C$21, $C$9, 100%, $E$9)</f>
        <v>31.790199999999999</v>
      </c>
      <c r="G572" s="14">
        <f>CHOOSE(CONTROL!$C$42, 31.8069, 31.8069)*CHOOSE(CONTROL!$C$21, $C$9, 100%, $E$9)</f>
        <v>31.806899999999999</v>
      </c>
      <c r="H572" s="14">
        <f>CHOOSE(CONTROL!$C$42, 32.054, 32.054) * CHOOSE(CONTROL!$C$21, $C$9, 100%, $E$9)</f>
        <v>32.054000000000002</v>
      </c>
      <c r="I572" s="14">
        <f>CHOOSE(CONTROL!$C$42, 31.9077, 31.9077)* CHOOSE(CONTROL!$C$21, $C$9, 100%, $E$9)</f>
        <v>31.907699999999998</v>
      </c>
      <c r="J572" s="14">
        <f>CHOOSE(CONTROL!$C$42, 31.7832, 31.7832)* CHOOSE(CONTROL!$C$21, $C$9, 100%, $E$9)</f>
        <v>31.783200000000001</v>
      </c>
      <c r="K572" s="53">
        <f>CHOOSE(CONTROL!$C$42, 31.9038, 31.9038) * CHOOSE(CONTROL!$C$21, $C$9, 100%, $E$9)</f>
        <v>31.9038</v>
      </c>
      <c r="L572" s="14">
        <f>CHOOSE(CONTROL!$C$42, 32.641, 32.641) * CHOOSE(CONTROL!$C$21, $C$9, 100%, $E$9)</f>
        <v>32.640999999999998</v>
      </c>
      <c r="M572" s="14">
        <f>CHOOSE(CONTROL!$C$42, 31.1397, 31.1397) * CHOOSE(CONTROL!$C$21, $C$9, 100%, $E$9)</f>
        <v>31.139700000000001</v>
      </c>
      <c r="N572" s="14">
        <f>CHOOSE(CONTROL!$C$42, 31.156, 31.156) * CHOOSE(CONTROL!$C$21, $C$9, 100%, $E$9)</f>
        <v>31.155999999999999</v>
      </c>
      <c r="O572" s="14">
        <f>CHOOSE(CONTROL!$C$42, 31.4049, 31.4049) * CHOOSE(CONTROL!$C$21, $C$9, 100%, $E$9)</f>
        <v>31.404900000000001</v>
      </c>
      <c r="P572" s="14">
        <f>CHOOSE(CONTROL!$C$42, 31.2597, 31.2597) * CHOOSE(CONTROL!$C$21, $C$9, 100%, $E$9)</f>
        <v>31.259699999999999</v>
      </c>
      <c r="Q572" s="14">
        <f>CHOOSE(CONTROL!$C$42, 31.9996, 31.9996) * CHOOSE(CONTROL!$C$21, $C$9, 100%, $E$9)</f>
        <v>31.999600000000001</v>
      </c>
      <c r="R572" s="14">
        <f>CHOOSE(CONTROL!$C$42, 32.6666, 32.6666) * CHOOSE(CONTROL!$C$21, $C$9, 100%, $E$9)</f>
        <v>32.666600000000003</v>
      </c>
      <c r="S572" s="14">
        <f>CHOOSE(CONTROL!$C$42, 30.5385, 30.5385) * CHOOSE(CONTROL!$C$21, $C$9, 100%, $E$9)</f>
        <v>30.538499999999999</v>
      </c>
      <c r="T5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7">
        <f>(1000*CHOOSE(CONTROL!$C$42, 695, 695)*CHOOSE(CONTROL!$C$42, 0.5599, 0.5599)*CHOOSE(CONTROL!$C$42, 31, 31))/1000000</f>
        <v>12.063045499999998</v>
      </c>
      <c r="V572" s="57">
        <f>(1000*CHOOSE(CONTROL!$C$42, 500, 500)*CHOOSE(CONTROL!$C$42, 0.275, 0.275)*CHOOSE(CONTROL!$C$42, 31, 31))/1000000</f>
        <v>4.2625000000000002</v>
      </c>
      <c r="W572" s="57">
        <f>(1000*CHOOSE(CONTROL!$C$42, 0.1146, 0.1146)*CHOOSE(CONTROL!$C$42, 121.5, 121.5)*CHOOSE(CONTROL!$C$42, 31, 31))/1000000</f>
        <v>0.43164089999999994</v>
      </c>
      <c r="X572" s="57">
        <f>(31*0.1790888*245000/1000000)+(31*0.2374*100000/1000000)</f>
        <v>2.0961194359999999</v>
      </c>
      <c r="Y572" s="57"/>
      <c r="Z572" s="14"/>
      <c r="AA572" s="56"/>
      <c r="AB572" s="50">
        <f>(B572*194.205+C572*267.466+D572*133.845+E572*53.484+F572*40+G572*185+H572*0+I572*100+J572*300)/(194.205+267.466+133.845+53.484+0+40+185+100+300)</f>
        <v>31.839776759419159</v>
      </c>
      <c r="AC572" s="45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31.235127338129502</v>
      </c>
    </row>
    <row r="573" spans="1:29" ht="15.75" x14ac:dyDescent="0.25">
      <c r="A573" s="32">
        <v>58348</v>
      </c>
      <c r="B573" s="14">
        <f>CHOOSE(CONTROL!$C$42, 29.7742, 29.7742) * CHOOSE(CONTROL!$C$21, $C$9, 100%, $E$9)</f>
        <v>29.7742</v>
      </c>
      <c r="C573" s="14">
        <f>CHOOSE(CONTROL!$C$42, 29.7822, 29.7822) * CHOOSE(CONTROL!$C$21, $C$9, 100%, $E$9)</f>
        <v>29.7822</v>
      </c>
      <c r="D573" s="14">
        <f>CHOOSE(CONTROL!$C$42, 30.0158, 30.0158) * CHOOSE(CONTROL!$C$21, $C$9, 100%, $E$9)</f>
        <v>30.015799999999999</v>
      </c>
      <c r="E573" s="14">
        <f>CHOOSE(CONTROL!$C$42, 30.0472, 30.0472) * CHOOSE(CONTROL!$C$21, $C$9, 100%, $E$9)</f>
        <v>30.0472</v>
      </c>
      <c r="F573" s="14">
        <f>CHOOSE(CONTROL!$C$42, 29.7722, 29.7722)*CHOOSE(CONTROL!$C$21, $C$9, 100%, $E$9)</f>
        <v>29.772200000000002</v>
      </c>
      <c r="G573" s="14">
        <f>CHOOSE(CONTROL!$C$42, 29.7888, 29.7888)*CHOOSE(CONTROL!$C$21, $C$9, 100%, $E$9)</f>
        <v>29.788799999999998</v>
      </c>
      <c r="H573" s="14">
        <f>CHOOSE(CONTROL!$C$42, 30.0359, 30.0359) * CHOOSE(CONTROL!$C$21, $C$9, 100%, $E$9)</f>
        <v>30.035900000000002</v>
      </c>
      <c r="I573" s="14">
        <f>CHOOSE(CONTROL!$C$42, 29.8833, 29.8833)* CHOOSE(CONTROL!$C$21, $C$9, 100%, $E$9)</f>
        <v>29.883299999999998</v>
      </c>
      <c r="J573" s="14">
        <f>CHOOSE(CONTROL!$C$42, 29.7652, 29.7652)* CHOOSE(CONTROL!$C$21, $C$9, 100%, $E$9)</f>
        <v>29.7652</v>
      </c>
      <c r="K573" s="53">
        <f>CHOOSE(CONTROL!$C$42, 29.8794, 29.8794) * CHOOSE(CONTROL!$C$21, $C$9, 100%, $E$9)</f>
        <v>29.8794</v>
      </c>
      <c r="L573" s="14">
        <f>CHOOSE(CONTROL!$C$42, 30.6229, 30.6229) * CHOOSE(CONTROL!$C$21, $C$9, 100%, $E$9)</f>
        <v>30.622900000000001</v>
      </c>
      <c r="M573" s="14">
        <f>CHOOSE(CONTROL!$C$42, 29.163, 29.163) * CHOOSE(CONTROL!$C$21, $C$9, 100%, $E$9)</f>
        <v>29.163</v>
      </c>
      <c r="N573" s="14">
        <f>CHOOSE(CONTROL!$C$42, 29.1793, 29.1793) * CHOOSE(CONTROL!$C$21, $C$9, 100%, $E$9)</f>
        <v>29.179300000000001</v>
      </c>
      <c r="O573" s="14">
        <f>CHOOSE(CONTROL!$C$42, 29.4281, 29.4281) * CHOOSE(CONTROL!$C$21, $C$9, 100%, $E$9)</f>
        <v>29.428100000000001</v>
      </c>
      <c r="P573" s="14">
        <f>CHOOSE(CONTROL!$C$42, 29.2769, 29.2769) * CHOOSE(CONTROL!$C$21, $C$9, 100%, $E$9)</f>
        <v>29.276900000000001</v>
      </c>
      <c r="Q573" s="14">
        <f>CHOOSE(CONTROL!$C$42, 30.0228, 30.0228) * CHOOSE(CONTROL!$C$21, $C$9, 100%, $E$9)</f>
        <v>30.0228</v>
      </c>
      <c r="R573" s="14">
        <f>CHOOSE(CONTROL!$C$42, 30.6849, 30.6849) * CHOOSE(CONTROL!$C$21, $C$9, 100%, $E$9)</f>
        <v>30.684899999999999</v>
      </c>
      <c r="S573" s="14">
        <f>CHOOSE(CONTROL!$C$42, 28.5993, 28.5993) * CHOOSE(CONTROL!$C$21, $C$9, 100%, $E$9)</f>
        <v>28.599299999999999</v>
      </c>
      <c r="T5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7">
        <f>(1000*CHOOSE(CONTROL!$C$42, 695, 695)*CHOOSE(CONTROL!$C$42, 0.5599, 0.5599)*CHOOSE(CONTROL!$C$42, 30, 30))/1000000</f>
        <v>11.673914999999997</v>
      </c>
      <c r="V573" s="57">
        <f>(1000*CHOOSE(CONTROL!$C$42, 500, 500)*CHOOSE(CONTROL!$C$42, 0.275, 0.275)*CHOOSE(CONTROL!$C$42, 30, 30))/1000000</f>
        <v>4.125</v>
      </c>
      <c r="W573" s="57">
        <f>(1000*CHOOSE(CONTROL!$C$42, 0.1146, 0.1146)*CHOOSE(CONTROL!$C$42, 121.5, 121.5)*CHOOSE(CONTROL!$C$42, 30, 30))/1000000</f>
        <v>0.417717</v>
      </c>
      <c r="X573" s="57">
        <f>(30*0.1790888*245000/1000000)+(30*0.2374*100000/1000000)</f>
        <v>2.0285026799999999</v>
      </c>
      <c r="Y573" s="57"/>
      <c r="Z573" s="14"/>
      <c r="AA573" s="56"/>
      <c r="AB573" s="50">
        <f>(B573*194.205+C573*267.466+D573*133.845+E573*53.484+F573*40+G573*185+H573*0+I573*100+J573*300)/(194.205+267.466+133.845+53.484+0+40+185+100+300)</f>
        <v>29.821224185243327</v>
      </c>
      <c r="AC573" s="45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29.257521582733816</v>
      </c>
    </row>
    <row r="574" spans="1:29" ht="15.75" x14ac:dyDescent="0.25">
      <c r="A574" s="32">
        <v>58379</v>
      </c>
      <c r="B574" s="14">
        <f>CHOOSE(CONTROL!$C$42, 29.1681, 29.1681) * CHOOSE(CONTROL!$C$21, $C$9, 100%, $E$9)</f>
        <v>29.168099999999999</v>
      </c>
      <c r="C574" s="14">
        <f>CHOOSE(CONTROL!$C$42, 29.1734, 29.1734) * CHOOSE(CONTROL!$C$21, $C$9, 100%, $E$9)</f>
        <v>29.173400000000001</v>
      </c>
      <c r="D574" s="14">
        <f>CHOOSE(CONTROL!$C$42, 29.412, 29.412) * CHOOSE(CONTROL!$C$21, $C$9, 100%, $E$9)</f>
        <v>29.411999999999999</v>
      </c>
      <c r="E574" s="14">
        <f>CHOOSE(CONTROL!$C$42, 29.4411, 29.4411) * CHOOSE(CONTROL!$C$21, $C$9, 100%, $E$9)</f>
        <v>29.441099999999999</v>
      </c>
      <c r="F574" s="14">
        <f>CHOOSE(CONTROL!$C$42, 29.1681, 29.1681)*CHOOSE(CONTROL!$C$21, $C$9, 100%, $E$9)</f>
        <v>29.168099999999999</v>
      </c>
      <c r="G574" s="14">
        <f>CHOOSE(CONTROL!$C$42, 29.1844, 29.1844)*CHOOSE(CONTROL!$C$21, $C$9, 100%, $E$9)</f>
        <v>29.1844</v>
      </c>
      <c r="H574" s="14">
        <f>CHOOSE(CONTROL!$C$42, 29.4316, 29.4316) * CHOOSE(CONTROL!$C$21, $C$9, 100%, $E$9)</f>
        <v>29.4316</v>
      </c>
      <c r="I574" s="14">
        <f>CHOOSE(CONTROL!$C$42, 29.2771, 29.2771)* CHOOSE(CONTROL!$C$21, $C$9, 100%, $E$9)</f>
        <v>29.277100000000001</v>
      </c>
      <c r="J574" s="14">
        <f>CHOOSE(CONTROL!$C$42, 29.1611, 29.1611)* CHOOSE(CONTROL!$C$21, $C$9, 100%, $E$9)</f>
        <v>29.161100000000001</v>
      </c>
      <c r="K574" s="53">
        <f>CHOOSE(CONTROL!$C$42, 29.2732, 29.2732) * CHOOSE(CONTROL!$C$21, $C$9, 100%, $E$9)</f>
        <v>29.273199999999999</v>
      </c>
      <c r="L574" s="14">
        <f>CHOOSE(CONTROL!$C$42, 30.0186, 30.0186) * CHOOSE(CONTROL!$C$21, $C$9, 100%, $E$9)</f>
        <v>30.018599999999999</v>
      </c>
      <c r="M574" s="14">
        <f>CHOOSE(CONTROL!$C$42, 28.5713, 28.5713) * CHOOSE(CONTROL!$C$21, $C$9, 100%, $E$9)</f>
        <v>28.571300000000001</v>
      </c>
      <c r="N574" s="14">
        <f>CHOOSE(CONTROL!$C$42, 28.5873, 28.5873) * CHOOSE(CONTROL!$C$21, $C$9, 100%, $E$9)</f>
        <v>28.587299999999999</v>
      </c>
      <c r="O574" s="14">
        <f>CHOOSE(CONTROL!$C$42, 28.8362, 28.8362) * CHOOSE(CONTROL!$C$21, $C$9, 100%, $E$9)</f>
        <v>28.836200000000002</v>
      </c>
      <c r="P574" s="14">
        <f>CHOOSE(CONTROL!$C$42, 28.6832, 28.6832) * CHOOSE(CONTROL!$C$21, $C$9, 100%, $E$9)</f>
        <v>28.683199999999999</v>
      </c>
      <c r="Q574" s="14">
        <f>CHOOSE(CONTROL!$C$42, 29.4309, 29.4309) * CHOOSE(CONTROL!$C$21, $C$9, 100%, $E$9)</f>
        <v>29.430900000000001</v>
      </c>
      <c r="R574" s="14">
        <f>CHOOSE(CONTROL!$C$42, 30.0915, 30.0915) * CHOOSE(CONTROL!$C$21, $C$9, 100%, $E$9)</f>
        <v>30.0915</v>
      </c>
      <c r="S574" s="14">
        <f>CHOOSE(CONTROL!$C$42, 28.0187, 28.0187) * CHOOSE(CONTROL!$C$21, $C$9, 100%, $E$9)</f>
        <v>28.018699999999999</v>
      </c>
      <c r="T5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7">
        <f>(1000*CHOOSE(CONTROL!$C$42, 695, 695)*CHOOSE(CONTROL!$C$42, 0.5599, 0.5599)*CHOOSE(CONTROL!$C$42, 31, 31))/1000000</f>
        <v>12.063045499999998</v>
      </c>
      <c r="V574" s="57">
        <f>(1000*CHOOSE(CONTROL!$C$42, 500, 500)*CHOOSE(CONTROL!$C$42, 0.275, 0.275)*CHOOSE(CONTROL!$C$42, 31, 31))/1000000</f>
        <v>4.2625000000000002</v>
      </c>
      <c r="W574" s="57">
        <f>(1000*CHOOSE(CONTROL!$C$42, 0.1146, 0.1146)*CHOOSE(CONTROL!$C$42, 121.5, 121.5)*CHOOSE(CONTROL!$C$42, 31, 31))/1000000</f>
        <v>0.43164089999999994</v>
      </c>
      <c r="X574" s="57">
        <f>(31*0.1790888*245000/1000000)+(31*0.2374*100000/1000000)</f>
        <v>2.0961194359999999</v>
      </c>
      <c r="Y574" s="57"/>
      <c r="Z574" s="14"/>
      <c r="AA574" s="56"/>
      <c r="AB574" s="50">
        <f>(B574*131.881+C574*277.167+D574*79.08+E574*125.872+F574*40+G574*185+H574*0+I574*100+J574*300)/(131.881+277.167+79.08+125.872+0+40+185+100+300)</f>
        <v>29.222123529539953</v>
      </c>
      <c r="AC574" s="45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28.665408633093524</v>
      </c>
    </row>
    <row r="575" spans="1:29" ht="15.75" x14ac:dyDescent="0.25">
      <c r="A575" s="32">
        <v>58409</v>
      </c>
      <c r="B575" s="14">
        <f>CHOOSE(CONTROL!$C$42, 29.9358, 29.9358) * CHOOSE(CONTROL!$C$21, $C$9, 100%, $E$9)</f>
        <v>29.9358</v>
      </c>
      <c r="C575" s="14">
        <f>CHOOSE(CONTROL!$C$42, 29.9409, 29.9409) * CHOOSE(CONTROL!$C$21, $C$9, 100%, $E$9)</f>
        <v>29.940899999999999</v>
      </c>
      <c r="D575" s="14">
        <f>CHOOSE(CONTROL!$C$42, 30.0151, 30.0151) * CHOOSE(CONTROL!$C$21, $C$9, 100%, $E$9)</f>
        <v>30.0151</v>
      </c>
      <c r="E575" s="14">
        <f>CHOOSE(CONTROL!$C$42, 30.0492, 30.0492) * CHOOSE(CONTROL!$C$21, $C$9, 100%, $E$9)</f>
        <v>30.049199999999999</v>
      </c>
      <c r="F575" s="14">
        <f>CHOOSE(CONTROL!$C$42, 29.9479, 29.9479)*CHOOSE(CONTROL!$C$21, $C$9, 100%, $E$9)</f>
        <v>29.947900000000001</v>
      </c>
      <c r="G575" s="14">
        <f>CHOOSE(CONTROL!$C$42, 29.9645, 29.9645)*CHOOSE(CONTROL!$C$21, $C$9, 100%, $E$9)</f>
        <v>29.964500000000001</v>
      </c>
      <c r="H575" s="14">
        <f>CHOOSE(CONTROL!$C$42, 30.0384, 30.0384) * CHOOSE(CONTROL!$C$21, $C$9, 100%, $E$9)</f>
        <v>30.038399999999999</v>
      </c>
      <c r="I575" s="14">
        <f>CHOOSE(CONTROL!$C$42, 30.0539, 30.0539)* CHOOSE(CONTROL!$C$21, $C$9, 100%, $E$9)</f>
        <v>30.053899999999999</v>
      </c>
      <c r="J575" s="14">
        <f>CHOOSE(CONTROL!$C$42, 29.9409, 29.9409)* CHOOSE(CONTROL!$C$21, $C$9, 100%, $E$9)</f>
        <v>29.940899999999999</v>
      </c>
      <c r="K575" s="53">
        <f>CHOOSE(CONTROL!$C$42, 30.05, 30.05) * CHOOSE(CONTROL!$C$21, $C$9, 100%, $E$9)</f>
        <v>30.05</v>
      </c>
      <c r="L575" s="14">
        <f>CHOOSE(CONTROL!$C$42, 30.6254, 30.6254) * CHOOSE(CONTROL!$C$21, $C$9, 100%, $E$9)</f>
        <v>30.625399999999999</v>
      </c>
      <c r="M575" s="14">
        <f>CHOOSE(CONTROL!$C$42, 29.3351, 29.3351) * CHOOSE(CONTROL!$C$21, $C$9, 100%, $E$9)</f>
        <v>29.335100000000001</v>
      </c>
      <c r="N575" s="14">
        <f>CHOOSE(CONTROL!$C$42, 29.3514, 29.3514) * CHOOSE(CONTROL!$C$21, $C$9, 100%, $E$9)</f>
        <v>29.351400000000002</v>
      </c>
      <c r="O575" s="14">
        <f>CHOOSE(CONTROL!$C$42, 29.4307, 29.4307) * CHOOSE(CONTROL!$C$21, $C$9, 100%, $E$9)</f>
        <v>29.430700000000002</v>
      </c>
      <c r="P575" s="14">
        <f>CHOOSE(CONTROL!$C$42, 29.444, 29.444) * CHOOSE(CONTROL!$C$21, $C$9, 100%, $E$9)</f>
        <v>29.443999999999999</v>
      </c>
      <c r="Q575" s="14">
        <f>CHOOSE(CONTROL!$C$42, 30.0254, 30.0254) * CHOOSE(CONTROL!$C$21, $C$9, 100%, $E$9)</f>
        <v>30.025400000000001</v>
      </c>
      <c r="R575" s="14">
        <f>CHOOSE(CONTROL!$C$42, 30.6874, 30.6874) * CHOOSE(CONTROL!$C$21, $C$9, 100%, $E$9)</f>
        <v>30.6874</v>
      </c>
      <c r="S575" s="14">
        <f>CHOOSE(CONTROL!$C$42, 28.7568, 28.7568) * CHOOSE(CONTROL!$C$21, $C$9, 100%, $E$9)</f>
        <v>28.756799999999998</v>
      </c>
      <c r="T5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7">
        <f>(1000*CHOOSE(CONTROL!$C$42, 695, 695)*CHOOSE(CONTROL!$C$42, 0.5599, 0.5599)*CHOOSE(CONTROL!$C$42, 30, 30))/1000000</f>
        <v>11.673914999999997</v>
      </c>
      <c r="V575" s="57">
        <f>(1000*CHOOSE(CONTROL!$C$42, 500, 500)*CHOOSE(CONTROL!$C$42, 0.275, 0.275)*CHOOSE(CONTROL!$C$42, 30, 30))/1000000</f>
        <v>4.125</v>
      </c>
      <c r="W575" s="57">
        <f>(1000*CHOOSE(CONTROL!$C$42, 0.1146, 0.1146)*CHOOSE(CONTROL!$C$42, 121.5, 121.5)*CHOOSE(CONTROL!$C$42, 30, 30))/1000000</f>
        <v>0.417717</v>
      </c>
      <c r="X575" s="57">
        <f>(30*0.1790888*100000/1000000)+(30*0.2374*100000/1000000)</f>
        <v>1.2494664</v>
      </c>
      <c r="Y575" s="57"/>
      <c r="Z575" s="14"/>
      <c r="AA575" s="56"/>
      <c r="AB575" s="50">
        <f>(B575*122.58+C575*297.941+D575*89.177+E575*40.302+F575*40+G575*160+H575*0+I575*100+J575*300)/(122.58+297.941+89.177+40.302+0+40+160+100+300)</f>
        <v>29.963258679999999</v>
      </c>
      <c r="AC575" s="45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29.395036690647483</v>
      </c>
    </row>
    <row r="576" spans="1:29" ht="15.75" x14ac:dyDescent="0.25">
      <c r="A576" s="32">
        <v>58440</v>
      </c>
      <c r="B576" s="14">
        <f>CHOOSE(CONTROL!$C$42, 31.9762, 31.9762) * CHOOSE(CONTROL!$C$21, $C$9, 100%, $E$9)</f>
        <v>31.976199999999999</v>
      </c>
      <c r="C576" s="14">
        <f>CHOOSE(CONTROL!$C$42, 31.9812, 31.9812) * CHOOSE(CONTROL!$C$21, $C$9, 100%, $E$9)</f>
        <v>31.981200000000001</v>
      </c>
      <c r="D576" s="14">
        <f>CHOOSE(CONTROL!$C$42, 32.0555, 32.0555) * CHOOSE(CONTROL!$C$21, $C$9, 100%, $E$9)</f>
        <v>32.055500000000002</v>
      </c>
      <c r="E576" s="14">
        <f>CHOOSE(CONTROL!$C$42, 32.0896, 32.0896) * CHOOSE(CONTROL!$C$21, $C$9, 100%, $E$9)</f>
        <v>32.089599999999997</v>
      </c>
      <c r="F576" s="14">
        <f>CHOOSE(CONTROL!$C$42, 31.9904, 31.9904)*CHOOSE(CONTROL!$C$21, $C$9, 100%, $E$9)</f>
        <v>31.990400000000001</v>
      </c>
      <c r="G576" s="14">
        <f>CHOOSE(CONTROL!$C$42, 32.0076, 32.0076)*CHOOSE(CONTROL!$C$21, $C$9, 100%, $E$9)</f>
        <v>32.007599999999996</v>
      </c>
      <c r="H576" s="14">
        <f>CHOOSE(CONTROL!$C$42, 32.0788, 32.0788) * CHOOSE(CONTROL!$C$21, $C$9, 100%, $E$9)</f>
        <v>32.078800000000001</v>
      </c>
      <c r="I576" s="14">
        <f>CHOOSE(CONTROL!$C$42, 32.1007, 32.1007)* CHOOSE(CONTROL!$C$21, $C$9, 100%, $E$9)</f>
        <v>32.100700000000003</v>
      </c>
      <c r="J576" s="14">
        <f>CHOOSE(CONTROL!$C$42, 31.9834, 31.9834)* CHOOSE(CONTROL!$C$21, $C$9, 100%, $E$9)</f>
        <v>31.9834</v>
      </c>
      <c r="K576" s="53">
        <f>CHOOSE(CONTROL!$C$42, 32.0968, 32.0968) * CHOOSE(CONTROL!$C$21, $C$9, 100%, $E$9)</f>
        <v>32.096800000000002</v>
      </c>
      <c r="L576" s="14">
        <f>CHOOSE(CONTROL!$C$42, 32.6658, 32.6658) * CHOOSE(CONTROL!$C$21, $C$9, 100%, $E$9)</f>
        <v>32.665799999999997</v>
      </c>
      <c r="M576" s="14">
        <f>CHOOSE(CONTROL!$C$42, 31.3358, 31.3358) * CHOOSE(CONTROL!$C$21, $C$9, 100%, $E$9)</f>
        <v>31.335799999999999</v>
      </c>
      <c r="N576" s="14">
        <f>CHOOSE(CONTROL!$C$42, 31.3526, 31.3526) * CHOOSE(CONTROL!$C$21, $C$9, 100%, $E$9)</f>
        <v>31.352599999999999</v>
      </c>
      <c r="O576" s="14">
        <f>CHOOSE(CONTROL!$C$42, 31.4292, 31.4292) * CHOOSE(CONTROL!$C$21, $C$9, 100%, $E$9)</f>
        <v>31.429200000000002</v>
      </c>
      <c r="P576" s="14">
        <f>CHOOSE(CONTROL!$C$42, 31.4487, 31.4487) * CHOOSE(CONTROL!$C$21, $C$9, 100%, $E$9)</f>
        <v>31.448699999999999</v>
      </c>
      <c r="Q576" s="14">
        <f>CHOOSE(CONTROL!$C$42, 32.0239, 32.0239) * CHOOSE(CONTROL!$C$21, $C$9, 100%, $E$9)</f>
        <v>32.023899999999998</v>
      </c>
      <c r="R576" s="14">
        <f>CHOOSE(CONTROL!$C$42, 32.691, 32.691) * CHOOSE(CONTROL!$C$21, $C$9, 100%, $E$9)</f>
        <v>32.691000000000003</v>
      </c>
      <c r="S576" s="14">
        <f>CHOOSE(CONTROL!$C$42, 30.7174, 30.7174) * CHOOSE(CONTROL!$C$21, $C$9, 100%, $E$9)</f>
        <v>30.717400000000001</v>
      </c>
      <c r="T5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7">
        <f>(1000*CHOOSE(CONTROL!$C$42, 695, 695)*CHOOSE(CONTROL!$C$42, 0.5599, 0.5599)*CHOOSE(CONTROL!$C$42, 31, 31))/1000000</f>
        <v>12.063045499999998</v>
      </c>
      <c r="V576" s="57">
        <f>(1000*CHOOSE(CONTROL!$C$42, 500, 500)*CHOOSE(CONTROL!$C$42, 0.275, 0.275)*CHOOSE(CONTROL!$C$42, 31, 31))/1000000</f>
        <v>4.2625000000000002</v>
      </c>
      <c r="W576" s="57">
        <f>(1000*CHOOSE(CONTROL!$C$42, 0.1146, 0.1146)*CHOOSE(CONTROL!$C$42, 121.5, 121.5)*CHOOSE(CONTROL!$C$42, 31, 31))/1000000</f>
        <v>0.43164089999999994</v>
      </c>
      <c r="X576" s="57">
        <f>(31*0.1790888*100000/1000000)+(31*0.2374*100000/1000000)</f>
        <v>1.2911152800000001</v>
      </c>
      <c r="Y576" s="57"/>
      <c r="Z576" s="14"/>
      <c r="AA576" s="56"/>
      <c r="AB576" s="50">
        <f>(B576*122.58+C576*297.941+D576*89.177+E576*40.302+F576*40+G576*160+H576*0+I576*100+J576*300)/(122.58+297.941+89.177+40.302+0+40+160+100+300)</f>
        <v>32.00518581556522</v>
      </c>
      <c r="AC576" s="45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31.395343884892085</v>
      </c>
    </row>
    <row r="577" spans="1:29" ht="15.75" x14ac:dyDescent="0.25">
      <c r="A577" s="32">
        <v>58471</v>
      </c>
      <c r="B577" s="14">
        <f>CHOOSE(CONTROL!$C$42, 34.6262, 34.6262) * CHOOSE(CONTROL!$C$21, $C$9, 100%, $E$9)</f>
        <v>34.626199999999997</v>
      </c>
      <c r="C577" s="14">
        <f>CHOOSE(CONTROL!$C$42, 34.6313, 34.6313) * CHOOSE(CONTROL!$C$21, $C$9, 100%, $E$9)</f>
        <v>34.631300000000003</v>
      </c>
      <c r="D577" s="14">
        <f>CHOOSE(CONTROL!$C$42, 34.7081, 34.7081) * CHOOSE(CONTROL!$C$21, $C$9, 100%, $E$9)</f>
        <v>34.708100000000002</v>
      </c>
      <c r="E577" s="14">
        <f>CHOOSE(CONTROL!$C$42, 34.7422, 34.7422) * CHOOSE(CONTROL!$C$21, $C$9, 100%, $E$9)</f>
        <v>34.742199999999997</v>
      </c>
      <c r="F577" s="14">
        <f>CHOOSE(CONTROL!$C$42, 34.6264, 34.6264)*CHOOSE(CONTROL!$C$21, $C$9, 100%, $E$9)</f>
        <v>34.626399999999997</v>
      </c>
      <c r="G577" s="14">
        <f>CHOOSE(CONTROL!$C$42, 34.6426, 34.6426)*CHOOSE(CONTROL!$C$21, $C$9, 100%, $E$9)</f>
        <v>34.642600000000002</v>
      </c>
      <c r="H577" s="14">
        <f>CHOOSE(CONTROL!$C$42, 34.7314, 34.7314) * CHOOSE(CONTROL!$C$21, $C$9, 100%, $E$9)</f>
        <v>34.731400000000001</v>
      </c>
      <c r="I577" s="14">
        <f>CHOOSE(CONTROL!$C$42, 34.7527, 34.7527)* CHOOSE(CONTROL!$C$21, $C$9, 100%, $E$9)</f>
        <v>34.752699999999997</v>
      </c>
      <c r="J577" s="14">
        <f>CHOOSE(CONTROL!$C$42, 34.6194, 34.6194)* CHOOSE(CONTROL!$C$21, $C$9, 100%, $E$9)</f>
        <v>34.619399999999999</v>
      </c>
      <c r="K577" s="53">
        <f>CHOOSE(CONTROL!$C$42, 34.7488, 34.7488) * CHOOSE(CONTROL!$C$21, $C$9, 100%, $E$9)</f>
        <v>34.748800000000003</v>
      </c>
      <c r="L577" s="14">
        <f>CHOOSE(CONTROL!$C$42, 35.3184, 35.3184) * CHOOSE(CONTROL!$C$21, $C$9, 100%, $E$9)</f>
        <v>35.318399999999997</v>
      </c>
      <c r="M577" s="14">
        <f>CHOOSE(CONTROL!$C$42, 33.9178, 33.9178) * CHOOSE(CONTROL!$C$21, $C$9, 100%, $E$9)</f>
        <v>33.9178</v>
      </c>
      <c r="N577" s="14">
        <f>CHOOSE(CONTROL!$C$42, 33.9337, 33.9337) * CHOOSE(CONTROL!$C$21, $C$9, 100%, $E$9)</f>
        <v>33.933700000000002</v>
      </c>
      <c r="O577" s="14">
        <f>CHOOSE(CONTROL!$C$42, 34.0275, 34.0275) * CHOOSE(CONTROL!$C$21, $C$9, 100%, $E$9)</f>
        <v>34.027500000000003</v>
      </c>
      <c r="P577" s="14">
        <f>CHOOSE(CONTROL!$C$42, 34.0463, 34.0463) * CHOOSE(CONTROL!$C$21, $C$9, 100%, $E$9)</f>
        <v>34.046300000000002</v>
      </c>
      <c r="Q577" s="14">
        <f>CHOOSE(CONTROL!$C$42, 34.6222, 34.6222) * CHOOSE(CONTROL!$C$21, $C$9, 100%, $E$9)</f>
        <v>34.622199999999999</v>
      </c>
      <c r="R577" s="14">
        <f>CHOOSE(CONTROL!$C$42, 35.2957, 35.2957) * CHOOSE(CONTROL!$C$21, $C$9, 100%, $E$9)</f>
        <v>35.295699999999997</v>
      </c>
      <c r="S577" s="14">
        <f>CHOOSE(CONTROL!$C$42, 33.2638, 33.2638) * CHOOSE(CONTROL!$C$21, $C$9, 100%, $E$9)</f>
        <v>33.263800000000003</v>
      </c>
      <c r="T5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7">
        <f>(1000*CHOOSE(CONTROL!$C$42, 695, 695)*CHOOSE(CONTROL!$C$42, 0.5599, 0.5599)*CHOOSE(CONTROL!$C$42, 31, 31))/1000000</f>
        <v>12.063045499999998</v>
      </c>
      <c r="V577" s="57">
        <f>(1000*CHOOSE(CONTROL!$C$42, 500, 500)*CHOOSE(CONTROL!$C$42, 0.275, 0.275)*CHOOSE(CONTROL!$C$42, 31, 31))/1000000</f>
        <v>4.2625000000000002</v>
      </c>
      <c r="W577" s="57">
        <f>(1000*CHOOSE(CONTROL!$C$42, 0.1146, 0.1146)*CHOOSE(CONTROL!$C$42, 121.5, 121.5)*CHOOSE(CONTROL!$C$42, 31, 31))/1000000</f>
        <v>0.43164089999999994</v>
      </c>
      <c r="X577" s="57">
        <f>(31*0.1790888*100000/1000000)+(31*0.2374*100000/1000000)</f>
        <v>1.2911152800000001</v>
      </c>
      <c r="Y577" s="57"/>
      <c r="Z577" s="14"/>
      <c r="AA577" s="56"/>
      <c r="AB577" s="50">
        <f>(B577*122.58+C577*297.941+D577*89.177+E577*40.302+F577*40+G577*160+H577*0+I577*100+J577*300)/(122.58+297.941+89.177+40.302+0+40+160+100+300)</f>
        <v>34.649452284695656</v>
      </c>
      <c r="AC577" s="45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33.986924460431659</v>
      </c>
    </row>
    <row r="578" spans="1:29" ht="15.75" x14ac:dyDescent="0.25">
      <c r="A578" s="32">
        <v>58499</v>
      </c>
      <c r="B578" s="14">
        <f>CHOOSE(CONTROL!$C$42, 35.2424, 35.2424) * CHOOSE(CONTROL!$C$21, $C$9, 100%, $E$9)</f>
        <v>35.242400000000004</v>
      </c>
      <c r="C578" s="14">
        <f>CHOOSE(CONTROL!$C$42, 35.2475, 35.2475) * CHOOSE(CONTROL!$C$21, $C$9, 100%, $E$9)</f>
        <v>35.247500000000002</v>
      </c>
      <c r="D578" s="14">
        <f>CHOOSE(CONTROL!$C$42, 35.3243, 35.3243) * CHOOSE(CONTROL!$C$21, $C$9, 100%, $E$9)</f>
        <v>35.324300000000001</v>
      </c>
      <c r="E578" s="14">
        <f>CHOOSE(CONTROL!$C$42, 35.3584, 35.3584) * CHOOSE(CONTROL!$C$21, $C$9, 100%, $E$9)</f>
        <v>35.358400000000003</v>
      </c>
      <c r="F578" s="14">
        <f>CHOOSE(CONTROL!$C$42, 35.2427, 35.2427)*CHOOSE(CONTROL!$C$21, $C$9, 100%, $E$9)</f>
        <v>35.242699999999999</v>
      </c>
      <c r="G578" s="14">
        <f>CHOOSE(CONTROL!$C$42, 35.2589, 35.2589)*CHOOSE(CONTROL!$C$21, $C$9, 100%, $E$9)</f>
        <v>35.258899999999997</v>
      </c>
      <c r="H578" s="14">
        <f>CHOOSE(CONTROL!$C$42, 35.3476, 35.3476) * CHOOSE(CONTROL!$C$21, $C$9, 100%, $E$9)</f>
        <v>35.3476</v>
      </c>
      <c r="I578" s="14">
        <f>CHOOSE(CONTROL!$C$42, 35.3709, 35.3709)* CHOOSE(CONTROL!$C$21, $C$9, 100%, $E$9)</f>
        <v>35.370899999999999</v>
      </c>
      <c r="J578" s="14">
        <f>CHOOSE(CONTROL!$C$42, 35.2357, 35.2357)* CHOOSE(CONTROL!$C$21, $C$9, 100%, $E$9)</f>
        <v>35.235700000000001</v>
      </c>
      <c r="K578" s="53">
        <f>CHOOSE(CONTROL!$C$42, 35.367, 35.367) * CHOOSE(CONTROL!$C$21, $C$9, 100%, $E$9)</f>
        <v>35.366999999999997</v>
      </c>
      <c r="L578" s="14">
        <f>CHOOSE(CONTROL!$C$42, 35.9346, 35.9346) * CHOOSE(CONTROL!$C$21, $C$9, 100%, $E$9)</f>
        <v>35.934600000000003</v>
      </c>
      <c r="M578" s="14">
        <f>CHOOSE(CONTROL!$C$42, 34.5214, 34.5214) * CHOOSE(CONTROL!$C$21, $C$9, 100%, $E$9)</f>
        <v>34.5214</v>
      </c>
      <c r="N578" s="14">
        <f>CHOOSE(CONTROL!$C$42, 34.5373, 34.5373) * CHOOSE(CONTROL!$C$21, $C$9, 100%, $E$9)</f>
        <v>34.537300000000002</v>
      </c>
      <c r="O578" s="14">
        <f>CHOOSE(CONTROL!$C$42, 34.6311, 34.6311) * CHOOSE(CONTROL!$C$21, $C$9, 100%, $E$9)</f>
        <v>34.631100000000004</v>
      </c>
      <c r="P578" s="14">
        <f>CHOOSE(CONTROL!$C$42, 34.6517, 34.6517) * CHOOSE(CONTROL!$C$21, $C$9, 100%, $E$9)</f>
        <v>34.651699999999998</v>
      </c>
      <c r="Q578" s="14">
        <f>CHOOSE(CONTROL!$C$42, 35.2258, 35.2258) * CHOOSE(CONTROL!$C$21, $C$9, 100%, $E$9)</f>
        <v>35.2258</v>
      </c>
      <c r="R578" s="14">
        <f>CHOOSE(CONTROL!$C$42, 35.9008, 35.9008) * CHOOSE(CONTROL!$C$21, $C$9, 100%, $E$9)</f>
        <v>35.900799999999997</v>
      </c>
      <c r="S578" s="14">
        <f>CHOOSE(CONTROL!$C$42, 33.8559, 33.8559) * CHOOSE(CONTROL!$C$21, $C$9, 100%, $E$9)</f>
        <v>33.855899999999998</v>
      </c>
      <c r="T57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7">
        <f>(1000*CHOOSE(CONTROL!$C$42, 695, 695)*CHOOSE(CONTROL!$C$42, 0.5599, 0.5599)*CHOOSE(CONTROL!$C$42, 29, 29))/1000000</f>
        <v>11.284784499999999</v>
      </c>
      <c r="V578" s="57">
        <f>(1000*CHOOSE(CONTROL!$C$42, 500, 500)*CHOOSE(CONTROL!$C$42, 0.275, 0.275)*CHOOSE(CONTROL!$C$42, 29, 29))/1000000</f>
        <v>3.9874999999999998</v>
      </c>
      <c r="W578" s="57">
        <f>(1000*CHOOSE(CONTROL!$C$42, 0.1146, 0.1146)*CHOOSE(CONTROL!$C$42, 121.5, 121.5)*CHOOSE(CONTROL!$C$42, 29, 29))/1000000</f>
        <v>0.40379309999999996</v>
      </c>
      <c r="X578" s="57">
        <f>(29*0.1790888*100000/1000000)+(29*0.2374*100000/1000000)</f>
        <v>1.2078175199999999</v>
      </c>
      <c r="Y578" s="57"/>
      <c r="Z578" s="14"/>
      <c r="AA578" s="56"/>
      <c r="AB578" s="50">
        <f>(B578*122.58+C578*297.941+D578*89.177+E578*40.302+F578*40+G578*160+H578*0+I578*100+J578*300)/(122.58+297.941+89.177+40.302+0+40+160+100+300)</f>
        <v>35.265869676000001</v>
      </c>
      <c r="AC578" s="45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34.590783453237407</v>
      </c>
    </row>
    <row r="579" spans="1:29" ht="15.75" x14ac:dyDescent="0.25">
      <c r="A579" s="32">
        <v>58531</v>
      </c>
      <c r="B579" s="14">
        <f>CHOOSE(CONTROL!$C$42, 34.2422, 34.2422) * CHOOSE(CONTROL!$C$21, $C$9, 100%, $E$9)</f>
        <v>34.242199999999997</v>
      </c>
      <c r="C579" s="14">
        <f>CHOOSE(CONTROL!$C$42, 34.2472, 34.2472) * CHOOSE(CONTROL!$C$21, $C$9, 100%, $E$9)</f>
        <v>34.247199999999999</v>
      </c>
      <c r="D579" s="14">
        <f>CHOOSE(CONTROL!$C$42, 34.3241, 34.3241) * CHOOSE(CONTROL!$C$21, $C$9, 100%, $E$9)</f>
        <v>34.324100000000001</v>
      </c>
      <c r="E579" s="14">
        <f>CHOOSE(CONTROL!$C$42, 34.3582, 34.3582) * CHOOSE(CONTROL!$C$21, $C$9, 100%, $E$9)</f>
        <v>34.358199999999997</v>
      </c>
      <c r="F579" s="14">
        <f>CHOOSE(CONTROL!$C$42, 34.242, 34.242)*CHOOSE(CONTROL!$C$21, $C$9, 100%, $E$9)</f>
        <v>34.241999999999997</v>
      </c>
      <c r="G579" s="14">
        <f>CHOOSE(CONTROL!$C$42, 34.2581, 34.2581)*CHOOSE(CONTROL!$C$21, $C$9, 100%, $E$9)</f>
        <v>34.258099999999999</v>
      </c>
      <c r="H579" s="14">
        <f>CHOOSE(CONTROL!$C$42, 34.3474, 34.3474) * CHOOSE(CONTROL!$C$21, $C$9, 100%, $E$9)</f>
        <v>34.3474</v>
      </c>
      <c r="I579" s="14">
        <f>CHOOSE(CONTROL!$C$42, 34.3675, 34.3675)* CHOOSE(CONTROL!$C$21, $C$9, 100%, $E$9)</f>
        <v>34.3675</v>
      </c>
      <c r="J579" s="14">
        <f>CHOOSE(CONTROL!$C$42, 34.235, 34.235)* CHOOSE(CONTROL!$C$21, $C$9, 100%, $E$9)</f>
        <v>34.234999999999999</v>
      </c>
      <c r="K579" s="53">
        <f>CHOOSE(CONTROL!$C$42, 34.3636, 34.3636) * CHOOSE(CONTROL!$C$21, $C$9, 100%, $E$9)</f>
        <v>34.363599999999998</v>
      </c>
      <c r="L579" s="14">
        <f>CHOOSE(CONTROL!$C$42, 34.9344, 34.9344) * CHOOSE(CONTROL!$C$21, $C$9, 100%, $E$9)</f>
        <v>34.934399999999997</v>
      </c>
      <c r="M579" s="14">
        <f>CHOOSE(CONTROL!$C$42, 33.5412, 33.5412) * CHOOSE(CONTROL!$C$21, $C$9, 100%, $E$9)</f>
        <v>33.541200000000003</v>
      </c>
      <c r="N579" s="14">
        <f>CHOOSE(CONTROL!$C$42, 33.557, 33.557) * CHOOSE(CONTROL!$C$21, $C$9, 100%, $E$9)</f>
        <v>33.557000000000002</v>
      </c>
      <c r="O579" s="14">
        <f>CHOOSE(CONTROL!$C$42, 33.6513, 33.6513) * CHOOSE(CONTROL!$C$21, $C$9, 100%, $E$9)</f>
        <v>33.651299999999999</v>
      </c>
      <c r="P579" s="14">
        <f>CHOOSE(CONTROL!$C$42, 33.6689, 33.6689) * CHOOSE(CONTROL!$C$21, $C$9, 100%, $E$9)</f>
        <v>33.668900000000001</v>
      </c>
      <c r="Q579" s="14">
        <f>CHOOSE(CONTROL!$C$42, 34.246, 34.246) * CHOOSE(CONTROL!$C$21, $C$9, 100%, $E$9)</f>
        <v>34.246000000000002</v>
      </c>
      <c r="R579" s="14">
        <f>CHOOSE(CONTROL!$C$42, 34.9186, 34.9186) * CHOOSE(CONTROL!$C$21, $C$9, 100%, $E$9)</f>
        <v>34.918599999999998</v>
      </c>
      <c r="S579" s="14">
        <f>CHOOSE(CONTROL!$C$42, 32.8948, 32.8948) * CHOOSE(CONTROL!$C$21, $C$9, 100%, $E$9)</f>
        <v>32.894799999999996</v>
      </c>
      <c r="T5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7">
        <f>(1000*CHOOSE(CONTROL!$C$42, 695, 695)*CHOOSE(CONTROL!$C$42, 0.5599, 0.5599)*CHOOSE(CONTROL!$C$42, 31, 31))/1000000</f>
        <v>12.063045499999998</v>
      </c>
      <c r="V579" s="57">
        <f>(1000*CHOOSE(CONTROL!$C$42, 500, 500)*CHOOSE(CONTROL!$C$42, 0.275, 0.275)*CHOOSE(CONTROL!$C$42, 31, 31))/1000000</f>
        <v>4.2625000000000002</v>
      </c>
      <c r="W579" s="57">
        <f>(1000*CHOOSE(CONTROL!$C$42, 0.1146, 0.1146)*CHOOSE(CONTROL!$C$42, 121.5, 121.5)*CHOOSE(CONTROL!$C$42, 31, 31))/1000000</f>
        <v>0.43164089999999994</v>
      </c>
      <c r="X579" s="57">
        <f>(31*0.1790888*100000/1000000)+(31*0.2374*100000/1000000)</f>
        <v>1.2911152800000001</v>
      </c>
      <c r="Y579" s="57"/>
      <c r="Z579" s="14"/>
      <c r="AA579" s="56"/>
      <c r="AB579" s="50">
        <f>(B579*122.58+C579*297.941+D579*89.177+E579*40.302+F579*40+G579*160+H579*0+I579*100+J579*300)/(122.58+297.941+89.177+40.302+0+40+160+100+300)</f>
        <v>34.265134202869568</v>
      </c>
      <c r="AC579" s="45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33.61038489208633</v>
      </c>
    </row>
    <row r="580" spans="1:29" ht="15.75" x14ac:dyDescent="0.25">
      <c r="A580" s="32">
        <v>58561</v>
      </c>
      <c r="B580" s="14">
        <f>CHOOSE(CONTROL!$C$42, 34.1409, 34.1409) * CHOOSE(CONTROL!$C$21, $C$9, 100%, $E$9)</f>
        <v>34.140900000000002</v>
      </c>
      <c r="C580" s="14">
        <f>CHOOSE(CONTROL!$C$42, 34.1454, 34.1454) * CHOOSE(CONTROL!$C$21, $C$9, 100%, $E$9)</f>
        <v>34.145400000000002</v>
      </c>
      <c r="D580" s="14">
        <f>CHOOSE(CONTROL!$C$42, 34.3821, 34.3821) * CHOOSE(CONTROL!$C$21, $C$9, 100%, $E$9)</f>
        <v>34.382100000000001</v>
      </c>
      <c r="E580" s="14">
        <f>CHOOSE(CONTROL!$C$42, 34.4142, 34.4142) * CHOOSE(CONTROL!$C$21, $C$9, 100%, $E$9)</f>
        <v>34.414200000000001</v>
      </c>
      <c r="F580" s="14">
        <f>CHOOSE(CONTROL!$C$42, 34.1389, 34.1389)*CHOOSE(CONTROL!$C$21, $C$9, 100%, $E$9)</f>
        <v>34.1389</v>
      </c>
      <c r="G580" s="14">
        <f>CHOOSE(CONTROL!$C$42, 34.1547, 34.1547)*CHOOSE(CONTROL!$C$21, $C$9, 100%, $E$9)</f>
        <v>34.154699999999998</v>
      </c>
      <c r="H580" s="14">
        <f>CHOOSE(CONTROL!$C$42, 34.404, 34.404) * CHOOSE(CONTROL!$C$21, $C$9, 100%, $E$9)</f>
        <v>34.404000000000003</v>
      </c>
      <c r="I580" s="14">
        <f>CHOOSE(CONTROL!$C$42, 34.2651, 34.2651)* CHOOSE(CONTROL!$C$21, $C$9, 100%, $E$9)</f>
        <v>34.265099999999997</v>
      </c>
      <c r="J580" s="14">
        <f>CHOOSE(CONTROL!$C$42, 34.1319, 34.1319)* CHOOSE(CONTROL!$C$21, $C$9, 100%, $E$9)</f>
        <v>34.131900000000002</v>
      </c>
      <c r="K580" s="53">
        <f>CHOOSE(CONTROL!$C$42, 34.2612, 34.2612) * CHOOSE(CONTROL!$C$21, $C$9, 100%, $E$9)</f>
        <v>34.261200000000002</v>
      </c>
      <c r="L580" s="14">
        <f>CHOOSE(CONTROL!$C$42, 34.991, 34.991) * CHOOSE(CONTROL!$C$21, $C$9, 100%, $E$9)</f>
        <v>34.991</v>
      </c>
      <c r="M580" s="14">
        <f>CHOOSE(CONTROL!$C$42, 33.4402, 33.4402) * CHOOSE(CONTROL!$C$21, $C$9, 100%, $E$9)</f>
        <v>33.440199999999997</v>
      </c>
      <c r="N580" s="14">
        <f>CHOOSE(CONTROL!$C$42, 33.4557, 33.4557) * CHOOSE(CONTROL!$C$21, $C$9, 100%, $E$9)</f>
        <v>33.4557</v>
      </c>
      <c r="O580" s="14">
        <f>CHOOSE(CONTROL!$C$42, 33.7068, 33.7068) * CHOOSE(CONTROL!$C$21, $C$9, 100%, $E$9)</f>
        <v>33.706800000000001</v>
      </c>
      <c r="P580" s="14">
        <f>CHOOSE(CONTROL!$C$42, 33.5687, 33.5687) * CHOOSE(CONTROL!$C$21, $C$9, 100%, $E$9)</f>
        <v>33.5687</v>
      </c>
      <c r="Q580" s="14">
        <f>CHOOSE(CONTROL!$C$42, 34.3015, 34.3015) * CHOOSE(CONTROL!$C$21, $C$9, 100%, $E$9)</f>
        <v>34.301499999999997</v>
      </c>
      <c r="R580" s="14">
        <f>CHOOSE(CONTROL!$C$42, 34.9743, 34.9743) * CHOOSE(CONTROL!$C$21, $C$9, 100%, $E$9)</f>
        <v>34.974299999999999</v>
      </c>
      <c r="S580" s="14">
        <f>CHOOSE(CONTROL!$C$42, 32.7967, 32.7967) * CHOOSE(CONTROL!$C$21, $C$9, 100%, $E$9)</f>
        <v>32.796700000000001</v>
      </c>
      <c r="T5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7">
        <f>(1000*CHOOSE(CONTROL!$C$42, 695, 695)*CHOOSE(CONTROL!$C$42, 0.5599, 0.5599)*CHOOSE(CONTROL!$C$42, 30, 30))/1000000</f>
        <v>11.673914999999997</v>
      </c>
      <c r="V580" s="57">
        <f>(1000*CHOOSE(CONTROL!$C$42, 500, 500)*CHOOSE(CONTROL!$C$42, 0.275, 0.275)*CHOOSE(CONTROL!$C$42, 30, 30))/1000000</f>
        <v>4.125</v>
      </c>
      <c r="W580" s="57">
        <f>(1000*CHOOSE(CONTROL!$C$42, 0.1146, 0.1146)*CHOOSE(CONTROL!$C$42, 121.5, 121.5)*CHOOSE(CONTROL!$C$42, 30, 30))/1000000</f>
        <v>0.417717</v>
      </c>
      <c r="X580" s="57">
        <f>(30*0.1790888*245000/1000000)+(30*0.2374*100000/1000000)</f>
        <v>2.0285026799999999</v>
      </c>
      <c r="Y580" s="57"/>
      <c r="Z580" s="14"/>
      <c r="AA580" s="56"/>
      <c r="AB580" s="50">
        <f>(B580*141.293+C580*267.993+D580*115.016+E580*89.698+F580*40+G580*185+H580*0+I580*100+J580*300)/(141.293+267.993+115.016+89.698+0+40+185+100+300)</f>
        <v>34.193890549717516</v>
      </c>
      <c r="AC580" s="45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33.537058992805754</v>
      </c>
    </row>
    <row r="581" spans="1:29" ht="15.75" x14ac:dyDescent="0.25">
      <c r="A581" s="32">
        <v>58592</v>
      </c>
      <c r="B581" s="14">
        <f>CHOOSE(CONTROL!$C$42, 34.4435, 34.4435) * CHOOSE(CONTROL!$C$21, $C$9, 100%, $E$9)</f>
        <v>34.4435</v>
      </c>
      <c r="C581" s="14">
        <f>CHOOSE(CONTROL!$C$42, 34.4516, 34.4516) * CHOOSE(CONTROL!$C$21, $C$9, 100%, $E$9)</f>
        <v>34.451599999999999</v>
      </c>
      <c r="D581" s="14">
        <f>CHOOSE(CONTROL!$C$42, 34.6852, 34.6852) * CHOOSE(CONTROL!$C$21, $C$9, 100%, $E$9)</f>
        <v>34.685200000000002</v>
      </c>
      <c r="E581" s="14">
        <f>CHOOSE(CONTROL!$C$42, 34.7166, 34.7166) * CHOOSE(CONTROL!$C$21, $C$9, 100%, $E$9)</f>
        <v>34.7166</v>
      </c>
      <c r="F581" s="14">
        <f>CHOOSE(CONTROL!$C$42, 34.4403, 34.4403)*CHOOSE(CONTROL!$C$21, $C$9, 100%, $E$9)</f>
        <v>34.440300000000001</v>
      </c>
      <c r="G581" s="14">
        <f>CHOOSE(CONTROL!$C$42, 34.4567, 34.4567)*CHOOSE(CONTROL!$C$21, $C$9, 100%, $E$9)</f>
        <v>34.456699999999998</v>
      </c>
      <c r="H581" s="14">
        <f>CHOOSE(CONTROL!$C$42, 34.7053, 34.7053) * CHOOSE(CONTROL!$C$21, $C$9, 100%, $E$9)</f>
        <v>34.705300000000001</v>
      </c>
      <c r="I581" s="14">
        <f>CHOOSE(CONTROL!$C$42, 34.5673, 34.5673)* CHOOSE(CONTROL!$C$21, $C$9, 100%, $E$9)</f>
        <v>34.567300000000003</v>
      </c>
      <c r="J581" s="14">
        <f>CHOOSE(CONTROL!$C$42, 34.4333, 34.4333)* CHOOSE(CONTROL!$C$21, $C$9, 100%, $E$9)</f>
        <v>34.433300000000003</v>
      </c>
      <c r="K581" s="53">
        <f>CHOOSE(CONTROL!$C$42, 34.5634, 34.5634) * CHOOSE(CONTROL!$C$21, $C$9, 100%, $E$9)</f>
        <v>34.563400000000001</v>
      </c>
      <c r="L581" s="14">
        <f>CHOOSE(CONTROL!$C$42, 35.2923, 35.2923) * CHOOSE(CONTROL!$C$21, $C$9, 100%, $E$9)</f>
        <v>35.292299999999997</v>
      </c>
      <c r="M581" s="14">
        <f>CHOOSE(CONTROL!$C$42, 33.7355, 33.7355) * CHOOSE(CONTROL!$C$21, $C$9, 100%, $E$9)</f>
        <v>33.735500000000002</v>
      </c>
      <c r="N581" s="14">
        <f>CHOOSE(CONTROL!$C$42, 33.7515, 33.7515) * CHOOSE(CONTROL!$C$21, $C$9, 100%, $E$9)</f>
        <v>33.7515</v>
      </c>
      <c r="O581" s="14">
        <f>CHOOSE(CONTROL!$C$42, 34.0019, 34.0019) * CHOOSE(CONTROL!$C$21, $C$9, 100%, $E$9)</f>
        <v>34.001899999999999</v>
      </c>
      <c r="P581" s="14">
        <f>CHOOSE(CONTROL!$C$42, 33.8646, 33.8646) * CHOOSE(CONTROL!$C$21, $C$9, 100%, $E$9)</f>
        <v>33.864600000000003</v>
      </c>
      <c r="Q581" s="14">
        <f>CHOOSE(CONTROL!$C$42, 34.5966, 34.5966) * CHOOSE(CONTROL!$C$21, $C$9, 100%, $E$9)</f>
        <v>34.596600000000002</v>
      </c>
      <c r="R581" s="14">
        <f>CHOOSE(CONTROL!$C$42, 35.2701, 35.2701) * CHOOSE(CONTROL!$C$21, $C$9, 100%, $E$9)</f>
        <v>35.270099999999999</v>
      </c>
      <c r="S581" s="14">
        <f>CHOOSE(CONTROL!$C$42, 33.0862, 33.0862) * CHOOSE(CONTROL!$C$21, $C$9, 100%, $E$9)</f>
        <v>33.086199999999998</v>
      </c>
      <c r="T5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7">
        <f>(1000*CHOOSE(CONTROL!$C$42, 695, 695)*CHOOSE(CONTROL!$C$42, 0.5599, 0.5599)*CHOOSE(CONTROL!$C$42, 31, 31))/1000000</f>
        <v>12.063045499999998</v>
      </c>
      <c r="V581" s="57">
        <f>(1000*CHOOSE(CONTROL!$C$42, 500, 500)*CHOOSE(CONTROL!$C$42, 0.275, 0.275)*CHOOSE(CONTROL!$C$42, 31, 31))/1000000</f>
        <v>4.2625000000000002</v>
      </c>
      <c r="W581" s="57">
        <f>(1000*CHOOSE(CONTROL!$C$42, 0.1146, 0.1146)*CHOOSE(CONTROL!$C$42, 121.5, 121.5)*CHOOSE(CONTROL!$C$42, 31, 31))/1000000</f>
        <v>0.43164089999999994</v>
      </c>
      <c r="X581" s="57">
        <f>(31*0.1790888*245000/1000000)+(31*0.2374*100000/1000000)</f>
        <v>2.0961194359999999</v>
      </c>
      <c r="Y581" s="57"/>
      <c r="Z581" s="14"/>
      <c r="AA581" s="56"/>
      <c r="AB581" s="50">
        <f>(B581*194.205+C581*267.466+D581*133.845+E581*53.484+F581*40+G581*185+H581*0+I581*100+J581*300)/(194.205+267.466+133.845+53.484+0+40+185+100+300)</f>
        <v>34.491190181711147</v>
      </c>
      <c r="AC581" s="45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33.83250431654676</v>
      </c>
    </row>
    <row r="582" spans="1:29" ht="15.75" x14ac:dyDescent="0.25">
      <c r="A582" s="32">
        <v>58622</v>
      </c>
      <c r="B582" s="14">
        <f>CHOOSE(CONTROL!$C$42, 35.4202, 35.4202) * CHOOSE(CONTROL!$C$21, $C$9, 100%, $E$9)</f>
        <v>35.420200000000001</v>
      </c>
      <c r="C582" s="14">
        <f>CHOOSE(CONTROL!$C$42, 35.4283, 35.4283) * CHOOSE(CONTROL!$C$21, $C$9, 100%, $E$9)</f>
        <v>35.4283</v>
      </c>
      <c r="D582" s="14">
        <f>CHOOSE(CONTROL!$C$42, 35.6618, 35.6618) * CHOOSE(CONTROL!$C$21, $C$9, 100%, $E$9)</f>
        <v>35.661799999999999</v>
      </c>
      <c r="E582" s="14">
        <f>CHOOSE(CONTROL!$C$42, 35.6933, 35.6933) * CHOOSE(CONTROL!$C$21, $C$9, 100%, $E$9)</f>
        <v>35.693300000000001</v>
      </c>
      <c r="F582" s="14">
        <f>CHOOSE(CONTROL!$C$42, 35.4175, 35.4175)*CHOOSE(CONTROL!$C$21, $C$9, 100%, $E$9)</f>
        <v>35.417499999999997</v>
      </c>
      <c r="G582" s="14">
        <f>CHOOSE(CONTROL!$C$42, 35.434, 35.434)*CHOOSE(CONTROL!$C$21, $C$9, 100%, $E$9)</f>
        <v>35.433999999999997</v>
      </c>
      <c r="H582" s="14">
        <f>CHOOSE(CONTROL!$C$42, 35.6819, 35.6819) * CHOOSE(CONTROL!$C$21, $C$9, 100%, $E$9)</f>
        <v>35.681899999999999</v>
      </c>
      <c r="I582" s="14">
        <f>CHOOSE(CONTROL!$C$42, 35.547, 35.547)* CHOOSE(CONTROL!$C$21, $C$9, 100%, $E$9)</f>
        <v>35.546999999999997</v>
      </c>
      <c r="J582" s="14">
        <f>CHOOSE(CONTROL!$C$42, 35.4105, 35.4105)* CHOOSE(CONTROL!$C$21, $C$9, 100%, $E$9)</f>
        <v>35.410499999999999</v>
      </c>
      <c r="K582" s="53">
        <f>CHOOSE(CONTROL!$C$42, 35.5431, 35.5431) * CHOOSE(CONTROL!$C$21, $C$9, 100%, $E$9)</f>
        <v>35.543100000000003</v>
      </c>
      <c r="L582" s="14">
        <f>CHOOSE(CONTROL!$C$42, 36.2689, 36.2689) * CHOOSE(CONTROL!$C$21, $C$9, 100%, $E$9)</f>
        <v>36.268900000000002</v>
      </c>
      <c r="M582" s="14">
        <f>CHOOSE(CONTROL!$C$42, 34.6926, 34.6926) * CHOOSE(CONTROL!$C$21, $C$9, 100%, $E$9)</f>
        <v>34.692599999999999</v>
      </c>
      <c r="N582" s="14">
        <f>CHOOSE(CONTROL!$C$42, 34.7088, 34.7088) * CHOOSE(CONTROL!$C$21, $C$9, 100%, $E$9)</f>
        <v>34.708799999999997</v>
      </c>
      <c r="O582" s="14">
        <f>CHOOSE(CONTROL!$C$42, 34.9585, 34.9585) * CHOOSE(CONTROL!$C$21, $C$9, 100%, $E$9)</f>
        <v>34.958500000000001</v>
      </c>
      <c r="P582" s="14">
        <f>CHOOSE(CONTROL!$C$42, 34.8242, 34.8242) * CHOOSE(CONTROL!$C$21, $C$9, 100%, $E$9)</f>
        <v>34.824199999999998</v>
      </c>
      <c r="Q582" s="14">
        <f>CHOOSE(CONTROL!$C$42, 35.5532, 35.5532) * CHOOSE(CONTROL!$C$21, $C$9, 100%, $E$9)</f>
        <v>35.553199999999997</v>
      </c>
      <c r="R582" s="14">
        <f>CHOOSE(CONTROL!$C$42, 36.2291, 36.2291) * CHOOSE(CONTROL!$C$21, $C$9, 100%, $E$9)</f>
        <v>36.229100000000003</v>
      </c>
      <c r="S582" s="14">
        <f>CHOOSE(CONTROL!$C$42, 34.0247, 34.0247) * CHOOSE(CONTROL!$C$21, $C$9, 100%, $E$9)</f>
        <v>34.024700000000003</v>
      </c>
      <c r="T5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7">
        <f>(1000*CHOOSE(CONTROL!$C$42, 695, 695)*CHOOSE(CONTROL!$C$42, 0.5599, 0.5599)*CHOOSE(CONTROL!$C$42, 30, 30))/1000000</f>
        <v>11.673914999999997</v>
      </c>
      <c r="V582" s="57">
        <f>(1000*CHOOSE(CONTROL!$C$42, 500, 500)*CHOOSE(CONTROL!$C$42, 0.275, 0.275)*CHOOSE(CONTROL!$C$42, 30, 30))/1000000</f>
        <v>4.125</v>
      </c>
      <c r="W582" s="57">
        <f>(1000*CHOOSE(CONTROL!$C$42, 0.1146, 0.1146)*CHOOSE(CONTROL!$C$42, 121.5, 121.5)*CHOOSE(CONTROL!$C$42, 30, 30))/1000000</f>
        <v>0.417717</v>
      </c>
      <c r="X582" s="57">
        <f>(30*0.1790888*245000/1000000)+(30*0.2374*100000/1000000)</f>
        <v>2.0285026799999999</v>
      </c>
      <c r="Y582" s="57"/>
      <c r="Z582" s="14"/>
      <c r="AA582" s="56"/>
      <c r="AB582" s="50">
        <f>(B582*194.205+C582*267.466+D582*133.845+E582*53.484+F582*40+G582*185+H582*0+I582*100+J582*300)/(194.205+267.466+133.845+53.484+0+40+185+100+300)</f>
        <v>35.468335719780228</v>
      </c>
      <c r="AC582" s="45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34.789869784172659</v>
      </c>
    </row>
    <row r="583" spans="1:29" ht="15.75" x14ac:dyDescent="0.25">
      <c r="A583" s="32">
        <v>58653</v>
      </c>
      <c r="B583" s="14">
        <f>CHOOSE(CONTROL!$C$42, 34.7409, 34.7409) * CHOOSE(CONTROL!$C$21, $C$9, 100%, $E$9)</f>
        <v>34.740900000000003</v>
      </c>
      <c r="C583" s="14">
        <f>CHOOSE(CONTROL!$C$42, 34.749, 34.749) * CHOOSE(CONTROL!$C$21, $C$9, 100%, $E$9)</f>
        <v>34.749000000000002</v>
      </c>
      <c r="D583" s="14">
        <f>CHOOSE(CONTROL!$C$42, 34.9826, 34.9826) * CHOOSE(CONTROL!$C$21, $C$9, 100%, $E$9)</f>
        <v>34.982599999999998</v>
      </c>
      <c r="E583" s="14">
        <f>CHOOSE(CONTROL!$C$42, 35.014, 35.014) * CHOOSE(CONTROL!$C$21, $C$9, 100%, $E$9)</f>
        <v>35.014000000000003</v>
      </c>
      <c r="F583" s="14">
        <f>CHOOSE(CONTROL!$C$42, 34.7387, 34.7387)*CHOOSE(CONTROL!$C$21, $C$9, 100%, $E$9)</f>
        <v>34.738700000000001</v>
      </c>
      <c r="G583" s="14">
        <f>CHOOSE(CONTROL!$C$42, 34.7553, 34.7553)*CHOOSE(CONTROL!$C$21, $C$9, 100%, $E$9)</f>
        <v>34.755299999999998</v>
      </c>
      <c r="H583" s="14">
        <f>CHOOSE(CONTROL!$C$42, 35.0027, 35.0027) * CHOOSE(CONTROL!$C$21, $C$9, 100%, $E$9)</f>
        <v>35.002699999999997</v>
      </c>
      <c r="I583" s="14">
        <f>CHOOSE(CONTROL!$C$42, 34.8656, 34.8656)* CHOOSE(CONTROL!$C$21, $C$9, 100%, $E$9)</f>
        <v>34.865600000000001</v>
      </c>
      <c r="J583" s="14">
        <f>CHOOSE(CONTROL!$C$42, 34.7317, 34.7317)* CHOOSE(CONTROL!$C$21, $C$9, 100%, $E$9)</f>
        <v>34.731699999999996</v>
      </c>
      <c r="K583" s="53">
        <f>CHOOSE(CONTROL!$C$42, 34.8617, 34.8617) * CHOOSE(CONTROL!$C$21, $C$9, 100%, $E$9)</f>
        <v>34.861699999999999</v>
      </c>
      <c r="L583" s="14">
        <f>CHOOSE(CONTROL!$C$42, 35.5897, 35.5897) * CHOOSE(CONTROL!$C$21, $C$9, 100%, $E$9)</f>
        <v>35.589700000000001</v>
      </c>
      <c r="M583" s="14">
        <f>CHOOSE(CONTROL!$C$42, 34.0278, 34.0278) * CHOOSE(CONTROL!$C$21, $C$9, 100%, $E$9)</f>
        <v>34.027799999999999</v>
      </c>
      <c r="N583" s="14">
        <f>CHOOSE(CONTROL!$C$42, 34.044, 34.044) * CHOOSE(CONTROL!$C$21, $C$9, 100%, $E$9)</f>
        <v>34.043999999999997</v>
      </c>
      <c r="O583" s="14">
        <f>CHOOSE(CONTROL!$C$42, 34.2932, 34.2932) * CHOOSE(CONTROL!$C$21, $C$9, 100%, $E$9)</f>
        <v>34.293199999999999</v>
      </c>
      <c r="P583" s="14">
        <f>CHOOSE(CONTROL!$C$42, 34.1568, 34.1568) * CHOOSE(CONTROL!$C$21, $C$9, 100%, $E$9)</f>
        <v>34.156799999999997</v>
      </c>
      <c r="Q583" s="14">
        <f>CHOOSE(CONTROL!$C$42, 34.8879, 34.8879) * CHOOSE(CONTROL!$C$21, $C$9, 100%, $E$9)</f>
        <v>34.887900000000002</v>
      </c>
      <c r="R583" s="14">
        <f>CHOOSE(CONTROL!$C$42, 35.5621, 35.5621) * CHOOSE(CONTROL!$C$21, $C$9, 100%, $E$9)</f>
        <v>35.562100000000001</v>
      </c>
      <c r="S583" s="14">
        <f>CHOOSE(CONTROL!$C$42, 33.3719, 33.3719) * CHOOSE(CONTROL!$C$21, $C$9, 100%, $E$9)</f>
        <v>33.371899999999997</v>
      </c>
      <c r="T5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7">
        <f>(1000*CHOOSE(CONTROL!$C$42, 695, 695)*CHOOSE(CONTROL!$C$42, 0.5599, 0.5599)*CHOOSE(CONTROL!$C$42, 31, 31))/1000000</f>
        <v>12.063045499999998</v>
      </c>
      <c r="V583" s="57">
        <f>(1000*CHOOSE(CONTROL!$C$42, 500, 500)*CHOOSE(CONTROL!$C$42, 0.275, 0.275)*CHOOSE(CONTROL!$C$42, 31, 31))/1000000</f>
        <v>4.2625000000000002</v>
      </c>
      <c r="W583" s="57">
        <f>(1000*CHOOSE(CONTROL!$C$42, 0.1146, 0.1146)*CHOOSE(CONTROL!$C$42, 121.5, 121.5)*CHOOSE(CONTROL!$C$42, 31, 31))/1000000</f>
        <v>0.43164089999999994</v>
      </c>
      <c r="X583" s="57">
        <f>(31*0.1790888*245000/1000000)+(31*0.2374*100000/1000000)</f>
        <v>2.0961194359999999</v>
      </c>
      <c r="Y583" s="57"/>
      <c r="Z583" s="14"/>
      <c r="AA583" s="56"/>
      <c r="AB583" s="50">
        <f>(B583*194.205+C583*267.466+D583*133.845+E583*53.484+F583*40+G583*185+H583*0+I583*100+J583*300)/(194.205+267.466+133.845+53.484+0+40+185+100+300)</f>
        <v>34.789101955651489</v>
      </c>
      <c r="AC583" s="45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34.124555395683451</v>
      </c>
    </row>
    <row r="584" spans="1:29" ht="15.75" x14ac:dyDescent="0.25">
      <c r="A584" s="32">
        <v>58684</v>
      </c>
      <c r="B584" s="14">
        <f>CHOOSE(CONTROL!$C$42, 33.0255, 33.0255) * CHOOSE(CONTROL!$C$21, $C$9, 100%, $E$9)</f>
        <v>33.025500000000001</v>
      </c>
      <c r="C584" s="14">
        <f>CHOOSE(CONTROL!$C$42, 33.0335, 33.0335) * CHOOSE(CONTROL!$C$21, $C$9, 100%, $E$9)</f>
        <v>33.033499999999997</v>
      </c>
      <c r="D584" s="14">
        <f>CHOOSE(CONTROL!$C$42, 33.2671, 33.2671) * CHOOSE(CONTROL!$C$21, $C$9, 100%, $E$9)</f>
        <v>33.267099999999999</v>
      </c>
      <c r="E584" s="14">
        <f>CHOOSE(CONTROL!$C$42, 33.2986, 33.2986) * CHOOSE(CONTROL!$C$21, $C$9, 100%, $E$9)</f>
        <v>33.2986</v>
      </c>
      <c r="F584" s="14">
        <f>CHOOSE(CONTROL!$C$42, 33.0235, 33.0235)*CHOOSE(CONTROL!$C$21, $C$9, 100%, $E$9)</f>
        <v>33.023499999999999</v>
      </c>
      <c r="G584" s="14">
        <f>CHOOSE(CONTROL!$C$42, 33.0401, 33.0401)*CHOOSE(CONTROL!$C$21, $C$9, 100%, $E$9)</f>
        <v>33.040100000000002</v>
      </c>
      <c r="H584" s="14">
        <f>CHOOSE(CONTROL!$C$42, 33.2872, 33.2872) * CHOOSE(CONTROL!$C$21, $C$9, 100%, $E$9)</f>
        <v>33.287199999999999</v>
      </c>
      <c r="I584" s="14">
        <f>CHOOSE(CONTROL!$C$42, 33.1448, 33.1448)* CHOOSE(CONTROL!$C$21, $C$9, 100%, $E$9)</f>
        <v>33.144799999999996</v>
      </c>
      <c r="J584" s="14">
        <f>CHOOSE(CONTROL!$C$42, 33.0165, 33.0165)* CHOOSE(CONTROL!$C$21, $C$9, 100%, $E$9)</f>
        <v>33.016500000000001</v>
      </c>
      <c r="K584" s="53">
        <f>CHOOSE(CONTROL!$C$42, 33.1409, 33.1409) * CHOOSE(CONTROL!$C$21, $C$9, 100%, $E$9)</f>
        <v>33.140900000000002</v>
      </c>
      <c r="L584" s="14">
        <f>CHOOSE(CONTROL!$C$42, 33.8742, 33.8742) * CHOOSE(CONTROL!$C$21, $C$9, 100%, $E$9)</f>
        <v>33.874200000000002</v>
      </c>
      <c r="M584" s="14">
        <f>CHOOSE(CONTROL!$C$42, 32.3477, 32.3477) * CHOOSE(CONTROL!$C$21, $C$9, 100%, $E$9)</f>
        <v>32.347700000000003</v>
      </c>
      <c r="N584" s="14">
        <f>CHOOSE(CONTROL!$C$42, 32.364, 32.364) * CHOOSE(CONTROL!$C$21, $C$9, 100%, $E$9)</f>
        <v>32.363999999999997</v>
      </c>
      <c r="O584" s="14">
        <f>CHOOSE(CONTROL!$C$42, 32.6129, 32.6129) * CHOOSE(CONTROL!$C$21, $C$9, 100%, $E$9)</f>
        <v>32.612900000000003</v>
      </c>
      <c r="P584" s="14">
        <f>CHOOSE(CONTROL!$C$42, 32.4714, 32.4714) * CHOOSE(CONTROL!$C$21, $C$9, 100%, $E$9)</f>
        <v>32.471400000000003</v>
      </c>
      <c r="Q584" s="14">
        <f>CHOOSE(CONTROL!$C$42, 33.2076, 33.2076) * CHOOSE(CONTROL!$C$21, $C$9, 100%, $E$9)</f>
        <v>33.207599999999999</v>
      </c>
      <c r="R584" s="14">
        <f>CHOOSE(CONTROL!$C$42, 33.8776, 33.8776) * CHOOSE(CONTROL!$C$21, $C$9, 100%, $E$9)</f>
        <v>33.877600000000001</v>
      </c>
      <c r="S584" s="14">
        <f>CHOOSE(CONTROL!$C$42, 31.7236, 31.7236) * CHOOSE(CONTROL!$C$21, $C$9, 100%, $E$9)</f>
        <v>31.723600000000001</v>
      </c>
      <c r="T5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7">
        <f>(1000*CHOOSE(CONTROL!$C$42, 695, 695)*CHOOSE(CONTROL!$C$42, 0.5599, 0.5599)*CHOOSE(CONTROL!$C$42, 31, 31))/1000000</f>
        <v>12.063045499999998</v>
      </c>
      <c r="V584" s="57">
        <f>(1000*CHOOSE(CONTROL!$C$42, 500, 500)*CHOOSE(CONTROL!$C$42, 0.275, 0.275)*CHOOSE(CONTROL!$C$42, 31, 31))/1000000</f>
        <v>4.2625000000000002</v>
      </c>
      <c r="W584" s="57">
        <f>(1000*CHOOSE(CONTROL!$C$42, 0.1146, 0.1146)*CHOOSE(CONTROL!$C$42, 121.5, 121.5)*CHOOSE(CONTROL!$C$42, 31, 31))/1000000</f>
        <v>0.43164089999999994</v>
      </c>
      <c r="X584" s="57">
        <f>(31*0.1790888*245000/1000000)+(31*0.2374*100000/1000000)</f>
        <v>2.0961194359999999</v>
      </c>
      <c r="Y584" s="57"/>
      <c r="Z584" s="14"/>
      <c r="AA584" s="56"/>
      <c r="AB584" s="50">
        <f>(B584*194.205+C584*267.466+D584*133.845+E584*53.484+F584*40+G584*185+H584*0+I584*100+J584*300)/(194.205+267.466+133.845+53.484+0+40+185+100+300)</f>
        <v>33.073329011302981</v>
      </c>
      <c r="AC584" s="45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32.443659712230215</v>
      </c>
    </row>
    <row r="585" spans="1:29" ht="15.75" x14ac:dyDescent="0.25">
      <c r="A585" s="32">
        <v>58714</v>
      </c>
      <c r="B585" s="14">
        <f>CHOOSE(CONTROL!$C$42, 30.9291, 30.9291) * CHOOSE(CONTROL!$C$21, $C$9, 100%, $E$9)</f>
        <v>30.929099999999998</v>
      </c>
      <c r="C585" s="14">
        <f>CHOOSE(CONTROL!$C$42, 30.9371, 30.9371) * CHOOSE(CONTROL!$C$21, $C$9, 100%, $E$9)</f>
        <v>30.937100000000001</v>
      </c>
      <c r="D585" s="14">
        <f>CHOOSE(CONTROL!$C$42, 31.1707, 31.1707) * CHOOSE(CONTROL!$C$21, $C$9, 100%, $E$9)</f>
        <v>31.1707</v>
      </c>
      <c r="E585" s="14">
        <f>CHOOSE(CONTROL!$C$42, 31.2022, 31.2022) * CHOOSE(CONTROL!$C$21, $C$9, 100%, $E$9)</f>
        <v>31.202200000000001</v>
      </c>
      <c r="F585" s="14">
        <f>CHOOSE(CONTROL!$C$42, 30.9271, 30.9271)*CHOOSE(CONTROL!$C$21, $C$9, 100%, $E$9)</f>
        <v>30.927099999999999</v>
      </c>
      <c r="G585" s="14">
        <f>CHOOSE(CONTROL!$C$42, 30.9438, 30.9438)*CHOOSE(CONTROL!$C$21, $C$9, 100%, $E$9)</f>
        <v>30.9438</v>
      </c>
      <c r="H585" s="14">
        <f>CHOOSE(CONTROL!$C$42, 31.1908, 31.1908) * CHOOSE(CONTROL!$C$21, $C$9, 100%, $E$9)</f>
        <v>31.190799999999999</v>
      </c>
      <c r="I585" s="14">
        <f>CHOOSE(CONTROL!$C$42, 31.0419, 31.0419)* CHOOSE(CONTROL!$C$21, $C$9, 100%, $E$9)</f>
        <v>31.041899999999998</v>
      </c>
      <c r="J585" s="14">
        <f>CHOOSE(CONTROL!$C$42, 30.9201, 30.9201)* CHOOSE(CONTROL!$C$21, $C$9, 100%, $E$9)</f>
        <v>30.920100000000001</v>
      </c>
      <c r="K585" s="53">
        <f>CHOOSE(CONTROL!$C$42, 31.038, 31.038) * CHOOSE(CONTROL!$C$21, $C$9, 100%, $E$9)</f>
        <v>31.038</v>
      </c>
      <c r="L585" s="14">
        <f>CHOOSE(CONTROL!$C$42, 31.7778, 31.7778) * CHOOSE(CONTROL!$C$21, $C$9, 100%, $E$9)</f>
        <v>31.777799999999999</v>
      </c>
      <c r="M585" s="14">
        <f>CHOOSE(CONTROL!$C$42, 30.2943, 30.2943) * CHOOSE(CONTROL!$C$21, $C$9, 100%, $E$9)</f>
        <v>30.2943</v>
      </c>
      <c r="N585" s="14">
        <f>CHOOSE(CONTROL!$C$42, 30.3106, 30.3106) * CHOOSE(CONTROL!$C$21, $C$9, 100%, $E$9)</f>
        <v>30.310600000000001</v>
      </c>
      <c r="O585" s="14">
        <f>CHOOSE(CONTROL!$C$42, 30.5594, 30.5594) * CHOOSE(CONTROL!$C$21, $C$9, 100%, $E$9)</f>
        <v>30.5594</v>
      </c>
      <c r="P585" s="14">
        <f>CHOOSE(CONTROL!$C$42, 30.4117, 30.4117) * CHOOSE(CONTROL!$C$21, $C$9, 100%, $E$9)</f>
        <v>30.4117</v>
      </c>
      <c r="Q585" s="14">
        <f>CHOOSE(CONTROL!$C$42, 31.1541, 31.1541) * CHOOSE(CONTROL!$C$21, $C$9, 100%, $E$9)</f>
        <v>31.1541</v>
      </c>
      <c r="R585" s="14">
        <f>CHOOSE(CONTROL!$C$42, 31.819, 31.819) * CHOOSE(CONTROL!$C$21, $C$9, 100%, $E$9)</f>
        <v>31.818999999999999</v>
      </c>
      <c r="S585" s="14">
        <f>CHOOSE(CONTROL!$C$42, 29.7092, 29.7092) * CHOOSE(CONTROL!$C$21, $C$9, 100%, $E$9)</f>
        <v>29.709199999999999</v>
      </c>
      <c r="T5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7">
        <f>(1000*CHOOSE(CONTROL!$C$42, 695, 695)*CHOOSE(CONTROL!$C$42, 0.5599, 0.5599)*CHOOSE(CONTROL!$C$42, 30, 30))/1000000</f>
        <v>11.673914999999997</v>
      </c>
      <c r="V585" s="57">
        <f>(1000*CHOOSE(CONTROL!$C$42, 500, 500)*CHOOSE(CONTROL!$C$42, 0.275, 0.275)*CHOOSE(CONTROL!$C$42, 30, 30))/1000000</f>
        <v>4.125</v>
      </c>
      <c r="W585" s="57">
        <f>(1000*CHOOSE(CONTROL!$C$42, 0.1146, 0.1146)*CHOOSE(CONTROL!$C$42, 121.5, 121.5)*CHOOSE(CONTROL!$C$42, 30, 30))/1000000</f>
        <v>0.417717</v>
      </c>
      <c r="X585" s="57">
        <f>(30*0.1790888*245000/1000000)+(30*0.2374*100000/1000000)</f>
        <v>2.0285026799999999</v>
      </c>
      <c r="Y585" s="57"/>
      <c r="Z585" s="14"/>
      <c r="AA585" s="56"/>
      <c r="AB585" s="50">
        <f>(B585*194.205+C585*267.466+D585*133.845+E585*53.484+F585*40+G585*185+H585*0+I585*100+J585*300)/(194.205+267.466+133.845+53.484+0+40+185+100+300)</f>
        <v>30.976433328414441</v>
      </c>
      <c r="AC585" s="45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30.389325179856112</v>
      </c>
    </row>
    <row r="586" spans="1:29" ht="15.75" x14ac:dyDescent="0.25">
      <c r="A586" s="32">
        <v>58745</v>
      </c>
      <c r="B586" s="14">
        <f>CHOOSE(CONTROL!$C$42, 30.2996, 30.2996) * CHOOSE(CONTROL!$C$21, $C$9, 100%, $E$9)</f>
        <v>30.299600000000002</v>
      </c>
      <c r="C586" s="14">
        <f>CHOOSE(CONTROL!$C$42, 30.3049, 30.3049) * CHOOSE(CONTROL!$C$21, $C$9, 100%, $E$9)</f>
        <v>30.3049</v>
      </c>
      <c r="D586" s="14">
        <f>CHOOSE(CONTROL!$C$42, 30.5435, 30.5435) * CHOOSE(CONTROL!$C$21, $C$9, 100%, $E$9)</f>
        <v>30.543500000000002</v>
      </c>
      <c r="E586" s="14">
        <f>CHOOSE(CONTROL!$C$42, 30.5726, 30.5726) * CHOOSE(CONTROL!$C$21, $C$9, 100%, $E$9)</f>
        <v>30.572600000000001</v>
      </c>
      <c r="F586" s="14">
        <f>CHOOSE(CONTROL!$C$42, 30.2996, 30.2996)*CHOOSE(CONTROL!$C$21, $C$9, 100%, $E$9)</f>
        <v>30.299600000000002</v>
      </c>
      <c r="G586" s="14">
        <f>CHOOSE(CONTROL!$C$42, 30.3159, 30.3159)*CHOOSE(CONTROL!$C$21, $C$9, 100%, $E$9)</f>
        <v>30.315899999999999</v>
      </c>
      <c r="H586" s="14">
        <f>CHOOSE(CONTROL!$C$42, 30.5631, 30.5631) * CHOOSE(CONTROL!$C$21, $C$9, 100%, $E$9)</f>
        <v>30.563099999999999</v>
      </c>
      <c r="I586" s="14">
        <f>CHOOSE(CONTROL!$C$42, 30.4122, 30.4122)* CHOOSE(CONTROL!$C$21, $C$9, 100%, $E$9)</f>
        <v>30.412199999999999</v>
      </c>
      <c r="J586" s="14">
        <f>CHOOSE(CONTROL!$C$42, 30.2926, 30.2926)* CHOOSE(CONTROL!$C$21, $C$9, 100%, $E$9)</f>
        <v>30.2926</v>
      </c>
      <c r="K586" s="53">
        <f>CHOOSE(CONTROL!$C$42, 30.4083, 30.4083) * CHOOSE(CONTROL!$C$21, $C$9, 100%, $E$9)</f>
        <v>30.408300000000001</v>
      </c>
      <c r="L586" s="14">
        <f>CHOOSE(CONTROL!$C$42, 31.1501, 31.1501) * CHOOSE(CONTROL!$C$21, $C$9, 100%, $E$9)</f>
        <v>31.150099999999998</v>
      </c>
      <c r="M586" s="14">
        <f>CHOOSE(CONTROL!$C$42, 29.6797, 29.6797) * CHOOSE(CONTROL!$C$21, $C$9, 100%, $E$9)</f>
        <v>29.6797</v>
      </c>
      <c r="N586" s="14">
        <f>CHOOSE(CONTROL!$C$42, 29.6956, 29.6956) * CHOOSE(CONTROL!$C$21, $C$9, 100%, $E$9)</f>
        <v>29.695599999999999</v>
      </c>
      <c r="O586" s="14">
        <f>CHOOSE(CONTROL!$C$42, 29.9446, 29.9446) * CHOOSE(CONTROL!$C$21, $C$9, 100%, $E$9)</f>
        <v>29.944600000000001</v>
      </c>
      <c r="P586" s="14">
        <f>CHOOSE(CONTROL!$C$42, 29.7949, 29.7949) * CHOOSE(CONTROL!$C$21, $C$9, 100%, $E$9)</f>
        <v>29.794899999999998</v>
      </c>
      <c r="Q586" s="14">
        <f>CHOOSE(CONTROL!$C$42, 30.5393, 30.5393) * CHOOSE(CONTROL!$C$21, $C$9, 100%, $E$9)</f>
        <v>30.539300000000001</v>
      </c>
      <c r="R586" s="14">
        <f>CHOOSE(CONTROL!$C$42, 31.2026, 31.2026) * CHOOSE(CONTROL!$C$21, $C$9, 100%, $E$9)</f>
        <v>31.2026</v>
      </c>
      <c r="S586" s="14">
        <f>CHOOSE(CONTROL!$C$42, 29.106, 29.106) * CHOOSE(CONTROL!$C$21, $C$9, 100%, $E$9)</f>
        <v>29.106000000000002</v>
      </c>
      <c r="T5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7">
        <f>(1000*CHOOSE(CONTROL!$C$42, 695, 695)*CHOOSE(CONTROL!$C$42, 0.5599, 0.5599)*CHOOSE(CONTROL!$C$42, 31, 31))/1000000</f>
        <v>12.063045499999998</v>
      </c>
      <c r="V586" s="57">
        <f>(1000*CHOOSE(CONTROL!$C$42, 500, 500)*CHOOSE(CONTROL!$C$42, 0.275, 0.275)*CHOOSE(CONTROL!$C$42, 31, 31))/1000000</f>
        <v>4.2625000000000002</v>
      </c>
      <c r="W586" s="57">
        <f>(1000*CHOOSE(CONTROL!$C$42, 0.1146, 0.1146)*CHOOSE(CONTROL!$C$42, 121.5, 121.5)*CHOOSE(CONTROL!$C$42, 31, 31))/1000000</f>
        <v>0.43164089999999994</v>
      </c>
      <c r="X586" s="57">
        <f>(31*0.1790888*245000/1000000)+(31*0.2374*100000/1000000)</f>
        <v>2.0961194359999999</v>
      </c>
      <c r="Y586" s="57"/>
      <c r="Z586" s="14"/>
      <c r="AA586" s="56"/>
      <c r="AB586" s="50">
        <f>(B586*131.881+C586*277.167+D586*79.08+E586*125.872+F586*40+G586*185+H586*0+I586*100+J586*300)/(131.881+277.167+79.08+125.872+0+40+185+100+300)</f>
        <v>30.353914086440678</v>
      </c>
      <c r="AC586" s="45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29.774260431654671</v>
      </c>
    </row>
    <row r="587" spans="1:29" ht="15.75" x14ac:dyDescent="0.25">
      <c r="A587" s="32">
        <v>58775</v>
      </c>
      <c r="B587" s="14">
        <f>CHOOSE(CONTROL!$C$42, 31.0972, 31.0972) * CHOOSE(CONTROL!$C$21, $C$9, 100%, $E$9)</f>
        <v>31.097200000000001</v>
      </c>
      <c r="C587" s="14">
        <f>CHOOSE(CONTROL!$C$42, 31.1022, 31.1022) * CHOOSE(CONTROL!$C$21, $C$9, 100%, $E$9)</f>
        <v>31.1022</v>
      </c>
      <c r="D587" s="14">
        <f>CHOOSE(CONTROL!$C$42, 31.1764, 31.1764) * CHOOSE(CONTROL!$C$21, $C$9, 100%, $E$9)</f>
        <v>31.176400000000001</v>
      </c>
      <c r="E587" s="14">
        <f>CHOOSE(CONTROL!$C$42, 31.2106, 31.2106) * CHOOSE(CONTROL!$C$21, $C$9, 100%, $E$9)</f>
        <v>31.210599999999999</v>
      </c>
      <c r="F587" s="14">
        <f>CHOOSE(CONTROL!$C$42, 31.1092, 31.1092)*CHOOSE(CONTROL!$C$21, $C$9, 100%, $E$9)</f>
        <v>31.109200000000001</v>
      </c>
      <c r="G587" s="14">
        <f>CHOOSE(CONTROL!$C$42, 31.1258, 31.1258)*CHOOSE(CONTROL!$C$21, $C$9, 100%, $E$9)</f>
        <v>31.125800000000002</v>
      </c>
      <c r="H587" s="14">
        <f>CHOOSE(CONTROL!$C$42, 31.1997, 31.1997) * CHOOSE(CONTROL!$C$21, $C$9, 100%, $E$9)</f>
        <v>31.1997</v>
      </c>
      <c r="I587" s="14">
        <f>CHOOSE(CONTROL!$C$42, 31.2189, 31.2189)* CHOOSE(CONTROL!$C$21, $C$9, 100%, $E$9)</f>
        <v>31.218900000000001</v>
      </c>
      <c r="J587" s="14">
        <f>CHOOSE(CONTROL!$C$42, 31.1022, 31.1022)* CHOOSE(CONTROL!$C$21, $C$9, 100%, $E$9)</f>
        <v>31.1022</v>
      </c>
      <c r="K587" s="53">
        <f>CHOOSE(CONTROL!$C$42, 31.215, 31.215) * CHOOSE(CONTROL!$C$21, $C$9, 100%, $E$9)</f>
        <v>31.215</v>
      </c>
      <c r="L587" s="14">
        <f>CHOOSE(CONTROL!$C$42, 31.7867, 31.7867) * CHOOSE(CONTROL!$C$21, $C$9, 100%, $E$9)</f>
        <v>31.7867</v>
      </c>
      <c r="M587" s="14">
        <f>CHOOSE(CONTROL!$C$42, 30.4726, 30.4726) * CHOOSE(CONTROL!$C$21, $C$9, 100%, $E$9)</f>
        <v>30.4726</v>
      </c>
      <c r="N587" s="14">
        <f>CHOOSE(CONTROL!$C$42, 30.4889, 30.4889) * CHOOSE(CONTROL!$C$21, $C$9, 100%, $E$9)</f>
        <v>30.488900000000001</v>
      </c>
      <c r="O587" s="14">
        <f>CHOOSE(CONTROL!$C$42, 30.5682, 30.5682) * CHOOSE(CONTROL!$C$21, $C$9, 100%, $E$9)</f>
        <v>30.568200000000001</v>
      </c>
      <c r="P587" s="14">
        <f>CHOOSE(CONTROL!$C$42, 30.585, 30.585) * CHOOSE(CONTROL!$C$21, $C$9, 100%, $E$9)</f>
        <v>30.585000000000001</v>
      </c>
      <c r="Q587" s="14">
        <f>CHOOSE(CONTROL!$C$42, 31.1629, 31.1629) * CHOOSE(CONTROL!$C$21, $C$9, 100%, $E$9)</f>
        <v>31.1629</v>
      </c>
      <c r="R587" s="14">
        <f>CHOOSE(CONTROL!$C$42, 31.8278, 31.8278) * CHOOSE(CONTROL!$C$21, $C$9, 100%, $E$9)</f>
        <v>31.8278</v>
      </c>
      <c r="S587" s="14">
        <f>CHOOSE(CONTROL!$C$42, 29.8727, 29.8727) * CHOOSE(CONTROL!$C$21, $C$9, 100%, $E$9)</f>
        <v>29.872699999999998</v>
      </c>
      <c r="T5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7">
        <f>(1000*CHOOSE(CONTROL!$C$42, 695, 695)*CHOOSE(CONTROL!$C$42, 0.5599, 0.5599)*CHOOSE(CONTROL!$C$42, 30, 30))/1000000</f>
        <v>11.673914999999997</v>
      </c>
      <c r="V587" s="57">
        <f>(1000*CHOOSE(CONTROL!$C$42, 500, 500)*CHOOSE(CONTROL!$C$42, 0.275, 0.275)*CHOOSE(CONTROL!$C$42, 30, 30))/1000000</f>
        <v>4.125</v>
      </c>
      <c r="W587" s="57">
        <f>(1000*CHOOSE(CONTROL!$C$42, 0.1146, 0.1146)*CHOOSE(CONTROL!$C$42, 121.5, 121.5)*CHOOSE(CONTROL!$C$42, 30, 30))/1000000</f>
        <v>0.417717</v>
      </c>
      <c r="X587" s="57">
        <f>(30*0.1790888*100000/1000000)+(30*0.2374*100000/1000000)</f>
        <v>1.2494664</v>
      </c>
      <c r="Y587" s="57"/>
      <c r="Z587" s="14"/>
      <c r="AA587" s="56"/>
      <c r="AB587" s="50">
        <f>(B587*122.58+C587*297.941+D587*89.177+E587*40.302+F587*40+G587*160+H587*0+I587*100+J587*300)/(122.58+297.941+89.177+40.302+0+40+160+100+300)</f>
        <v>31.124894582782606</v>
      </c>
      <c r="AC587" s="45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30.533040287769783</v>
      </c>
    </row>
    <row r="588" spans="1:29" ht="15.75" x14ac:dyDescent="0.25">
      <c r="A588" s="32">
        <v>58806</v>
      </c>
      <c r="B588" s="14">
        <f>CHOOSE(CONTROL!$C$42, 33.2167, 33.2167) * CHOOSE(CONTROL!$C$21, $C$9, 100%, $E$9)</f>
        <v>33.216700000000003</v>
      </c>
      <c r="C588" s="14">
        <f>CHOOSE(CONTROL!$C$42, 33.2218, 33.2218) * CHOOSE(CONTROL!$C$21, $C$9, 100%, $E$9)</f>
        <v>33.221800000000002</v>
      </c>
      <c r="D588" s="14">
        <f>CHOOSE(CONTROL!$C$42, 33.296, 33.296) * CHOOSE(CONTROL!$C$21, $C$9, 100%, $E$9)</f>
        <v>33.295999999999999</v>
      </c>
      <c r="E588" s="14">
        <f>CHOOSE(CONTROL!$C$42, 33.3301, 33.3301) * CHOOSE(CONTROL!$C$21, $C$9, 100%, $E$9)</f>
        <v>33.330100000000002</v>
      </c>
      <c r="F588" s="14">
        <f>CHOOSE(CONTROL!$C$42, 33.2309, 33.2309)*CHOOSE(CONTROL!$C$21, $C$9, 100%, $E$9)</f>
        <v>33.230899999999998</v>
      </c>
      <c r="G588" s="14">
        <f>CHOOSE(CONTROL!$C$42, 33.2481, 33.2481)*CHOOSE(CONTROL!$C$21, $C$9, 100%, $E$9)</f>
        <v>33.248100000000001</v>
      </c>
      <c r="H588" s="14">
        <f>CHOOSE(CONTROL!$C$42, 33.3193, 33.3193) * CHOOSE(CONTROL!$C$21, $C$9, 100%, $E$9)</f>
        <v>33.319299999999998</v>
      </c>
      <c r="I588" s="14">
        <f>CHOOSE(CONTROL!$C$42, 33.345, 33.345)* CHOOSE(CONTROL!$C$21, $C$9, 100%, $E$9)</f>
        <v>33.344999999999999</v>
      </c>
      <c r="J588" s="14">
        <f>CHOOSE(CONTROL!$C$42, 33.2239, 33.2239)* CHOOSE(CONTROL!$C$21, $C$9, 100%, $E$9)</f>
        <v>33.2239</v>
      </c>
      <c r="K588" s="53">
        <f>CHOOSE(CONTROL!$C$42, 33.3412, 33.3412) * CHOOSE(CONTROL!$C$21, $C$9, 100%, $E$9)</f>
        <v>33.341200000000001</v>
      </c>
      <c r="L588" s="14">
        <f>CHOOSE(CONTROL!$C$42, 33.9063, 33.9063) * CHOOSE(CONTROL!$C$21, $C$9, 100%, $E$9)</f>
        <v>33.906300000000002</v>
      </c>
      <c r="M588" s="14">
        <f>CHOOSE(CONTROL!$C$42, 32.5509, 32.5509) * CHOOSE(CONTROL!$C$21, $C$9, 100%, $E$9)</f>
        <v>32.550899999999999</v>
      </c>
      <c r="N588" s="14">
        <f>CHOOSE(CONTROL!$C$42, 32.5677, 32.5677) * CHOOSE(CONTROL!$C$21, $C$9, 100%, $E$9)</f>
        <v>32.567700000000002</v>
      </c>
      <c r="O588" s="14">
        <f>CHOOSE(CONTROL!$C$42, 32.6443, 32.6443) * CHOOSE(CONTROL!$C$21, $C$9, 100%, $E$9)</f>
        <v>32.644300000000001</v>
      </c>
      <c r="P588" s="14">
        <f>CHOOSE(CONTROL!$C$42, 32.6675, 32.6675) * CHOOSE(CONTROL!$C$21, $C$9, 100%, $E$9)</f>
        <v>32.667499999999997</v>
      </c>
      <c r="Q588" s="14">
        <f>CHOOSE(CONTROL!$C$42, 33.239, 33.239) * CHOOSE(CONTROL!$C$21, $C$9, 100%, $E$9)</f>
        <v>33.238999999999997</v>
      </c>
      <c r="R588" s="14">
        <f>CHOOSE(CONTROL!$C$42, 33.9091, 33.9091) * CHOOSE(CONTROL!$C$21, $C$9, 100%, $E$9)</f>
        <v>33.909100000000002</v>
      </c>
      <c r="S588" s="14">
        <f>CHOOSE(CONTROL!$C$42, 31.9094, 31.9094) * CHOOSE(CONTROL!$C$21, $C$9, 100%, $E$9)</f>
        <v>31.909400000000002</v>
      </c>
      <c r="T5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7">
        <f>(1000*CHOOSE(CONTROL!$C$42, 695, 695)*CHOOSE(CONTROL!$C$42, 0.5599, 0.5599)*CHOOSE(CONTROL!$C$42, 31, 31))/1000000</f>
        <v>12.063045499999998</v>
      </c>
      <c r="V588" s="57">
        <f>(1000*CHOOSE(CONTROL!$C$42, 500, 500)*CHOOSE(CONTROL!$C$42, 0.275, 0.275)*CHOOSE(CONTROL!$C$42, 31, 31))/1000000</f>
        <v>4.2625000000000002</v>
      </c>
      <c r="W588" s="57">
        <f>(1000*CHOOSE(CONTROL!$C$42, 0.1146, 0.1146)*CHOOSE(CONTROL!$C$42, 121.5, 121.5)*CHOOSE(CONTROL!$C$42, 31, 31))/1000000</f>
        <v>0.43164089999999994</v>
      </c>
      <c r="X588" s="57">
        <f>(31*0.1790888*100000/1000000)+(31*0.2374*100000/1000000)</f>
        <v>1.2911152800000001</v>
      </c>
      <c r="Y588" s="57"/>
      <c r="Z588" s="14"/>
      <c r="AA588" s="56"/>
      <c r="AB588" s="50">
        <f>(B588*122.58+C588*297.941+D588*89.177+E588*40.302+F588*40+G588*160+H588*0+I588*100+J588*300)/(122.58+297.941+89.177+40.302+0+40+160+100+300)</f>
        <v>33.24604215826087</v>
      </c>
      <c r="AC588" s="45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32.610976258992807</v>
      </c>
    </row>
    <row r="589" spans="1:29" ht="15.75" x14ac:dyDescent="0.25">
      <c r="A589" s="32">
        <v>58837</v>
      </c>
      <c r="B589" s="14">
        <f>CHOOSE(CONTROL!$C$42, 35.9696, 35.9696) * CHOOSE(CONTROL!$C$21, $C$9, 100%, $E$9)</f>
        <v>35.9696</v>
      </c>
      <c r="C589" s="14">
        <f>CHOOSE(CONTROL!$C$42, 35.9746, 35.9746) * CHOOSE(CONTROL!$C$21, $C$9, 100%, $E$9)</f>
        <v>35.974600000000002</v>
      </c>
      <c r="D589" s="14">
        <f>CHOOSE(CONTROL!$C$42, 36.0515, 36.0515) * CHOOSE(CONTROL!$C$21, $C$9, 100%, $E$9)</f>
        <v>36.051499999999997</v>
      </c>
      <c r="E589" s="14">
        <f>CHOOSE(CONTROL!$C$42, 36.0856, 36.0856) * CHOOSE(CONTROL!$C$21, $C$9, 100%, $E$9)</f>
        <v>36.085599999999999</v>
      </c>
      <c r="F589" s="14">
        <f>CHOOSE(CONTROL!$C$42, 35.9698, 35.9698)*CHOOSE(CONTROL!$C$21, $C$9, 100%, $E$9)</f>
        <v>35.969799999999999</v>
      </c>
      <c r="G589" s="14">
        <f>CHOOSE(CONTROL!$C$42, 35.986, 35.986)*CHOOSE(CONTROL!$C$21, $C$9, 100%, $E$9)</f>
        <v>35.985999999999997</v>
      </c>
      <c r="H589" s="14">
        <f>CHOOSE(CONTROL!$C$42, 36.0748, 36.0748) * CHOOSE(CONTROL!$C$21, $C$9, 100%, $E$9)</f>
        <v>36.074800000000003</v>
      </c>
      <c r="I589" s="14">
        <f>CHOOSE(CONTROL!$C$42, 36.1003, 36.1003)* CHOOSE(CONTROL!$C$21, $C$9, 100%, $E$9)</f>
        <v>36.100299999999997</v>
      </c>
      <c r="J589" s="14">
        <f>CHOOSE(CONTROL!$C$42, 35.9628, 35.9628)* CHOOSE(CONTROL!$C$21, $C$9, 100%, $E$9)</f>
        <v>35.962800000000001</v>
      </c>
      <c r="K589" s="53">
        <f>CHOOSE(CONTROL!$C$42, 36.0964, 36.0964) * CHOOSE(CONTROL!$C$21, $C$9, 100%, $E$9)</f>
        <v>36.096400000000003</v>
      </c>
      <c r="L589" s="14">
        <f>CHOOSE(CONTROL!$C$42, 36.6618, 36.6618) * CHOOSE(CONTROL!$C$21, $C$9, 100%, $E$9)</f>
        <v>36.661799999999999</v>
      </c>
      <c r="M589" s="14">
        <f>CHOOSE(CONTROL!$C$42, 35.2336, 35.2336) * CHOOSE(CONTROL!$C$21, $C$9, 100%, $E$9)</f>
        <v>35.233600000000003</v>
      </c>
      <c r="N589" s="14">
        <f>CHOOSE(CONTROL!$C$42, 35.2495, 35.2495) * CHOOSE(CONTROL!$C$21, $C$9, 100%, $E$9)</f>
        <v>35.249499999999998</v>
      </c>
      <c r="O589" s="14">
        <f>CHOOSE(CONTROL!$C$42, 35.3433, 35.3433) * CHOOSE(CONTROL!$C$21, $C$9, 100%, $E$9)</f>
        <v>35.343299999999999</v>
      </c>
      <c r="P589" s="14">
        <f>CHOOSE(CONTROL!$C$42, 35.3661, 35.3661) * CHOOSE(CONTROL!$C$21, $C$9, 100%, $E$9)</f>
        <v>35.366100000000003</v>
      </c>
      <c r="Q589" s="14">
        <f>CHOOSE(CONTROL!$C$42, 35.938, 35.938) * CHOOSE(CONTROL!$C$21, $C$9, 100%, $E$9)</f>
        <v>35.938000000000002</v>
      </c>
      <c r="R589" s="14">
        <f>CHOOSE(CONTROL!$C$42, 36.6148, 36.6148) * CHOOSE(CONTROL!$C$21, $C$9, 100%, $E$9)</f>
        <v>36.614800000000002</v>
      </c>
      <c r="S589" s="14">
        <f>CHOOSE(CONTROL!$C$42, 34.5546, 34.5546) * CHOOSE(CONTROL!$C$21, $C$9, 100%, $E$9)</f>
        <v>34.554600000000001</v>
      </c>
      <c r="T5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7">
        <f>(1000*CHOOSE(CONTROL!$C$42, 695, 695)*CHOOSE(CONTROL!$C$42, 0.5599, 0.5599)*CHOOSE(CONTROL!$C$42, 31, 31))/1000000</f>
        <v>12.063045499999998</v>
      </c>
      <c r="V589" s="57">
        <f>(1000*CHOOSE(CONTROL!$C$42, 500, 500)*CHOOSE(CONTROL!$C$42, 0.275, 0.275)*CHOOSE(CONTROL!$C$42, 31, 31))/1000000</f>
        <v>4.2625000000000002</v>
      </c>
      <c r="W589" s="57">
        <f>(1000*CHOOSE(CONTROL!$C$42, 0.1146, 0.1146)*CHOOSE(CONTROL!$C$42, 121.5, 121.5)*CHOOSE(CONTROL!$C$42, 31, 31))/1000000</f>
        <v>0.43164089999999994</v>
      </c>
      <c r="X589" s="57">
        <f>(31*0.1790888*100000/1000000)+(31*0.2374*100000/1000000)</f>
        <v>1.2911152800000001</v>
      </c>
      <c r="Y589" s="57"/>
      <c r="Z589" s="14"/>
      <c r="AA589" s="56"/>
      <c r="AB589" s="50">
        <f>(B589*122.58+C589*297.941+D589*89.177+E589*40.302+F589*40+G589*160+H589*0+I589*100+J589*300)/(122.58+297.941+89.177+40.302+0+40+160+100+300)</f>
        <v>35.993191594173908</v>
      </c>
      <c r="AC589" s="45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35.3033</v>
      </c>
    </row>
    <row r="590" spans="1:29" ht="15.75" x14ac:dyDescent="0.25">
      <c r="A590" s="32">
        <v>58865</v>
      </c>
      <c r="B590" s="14">
        <f>CHOOSE(CONTROL!$C$42, 36.6097, 36.6097) * CHOOSE(CONTROL!$C$21, $C$9, 100%, $E$9)</f>
        <v>36.609699999999997</v>
      </c>
      <c r="C590" s="14">
        <f>CHOOSE(CONTROL!$C$42, 36.6148, 36.6148) * CHOOSE(CONTROL!$C$21, $C$9, 100%, $E$9)</f>
        <v>36.614800000000002</v>
      </c>
      <c r="D590" s="14">
        <f>CHOOSE(CONTROL!$C$42, 36.6916, 36.6916) * CHOOSE(CONTROL!$C$21, $C$9, 100%, $E$9)</f>
        <v>36.691600000000001</v>
      </c>
      <c r="E590" s="14">
        <f>CHOOSE(CONTROL!$C$42, 36.7257, 36.7257) * CHOOSE(CONTROL!$C$21, $C$9, 100%, $E$9)</f>
        <v>36.725700000000003</v>
      </c>
      <c r="F590" s="14">
        <f>CHOOSE(CONTROL!$C$42, 36.61, 36.61)*CHOOSE(CONTROL!$C$21, $C$9, 100%, $E$9)</f>
        <v>36.61</v>
      </c>
      <c r="G590" s="14">
        <f>CHOOSE(CONTROL!$C$42, 36.6262, 36.6262)*CHOOSE(CONTROL!$C$21, $C$9, 100%, $E$9)</f>
        <v>36.626199999999997</v>
      </c>
      <c r="H590" s="14">
        <f>CHOOSE(CONTROL!$C$42, 36.7149, 36.7149) * CHOOSE(CONTROL!$C$21, $C$9, 100%, $E$9)</f>
        <v>36.7149</v>
      </c>
      <c r="I590" s="14">
        <f>CHOOSE(CONTROL!$C$42, 36.7424, 36.7424)* CHOOSE(CONTROL!$C$21, $C$9, 100%, $E$9)</f>
        <v>36.742400000000004</v>
      </c>
      <c r="J590" s="14">
        <f>CHOOSE(CONTROL!$C$42, 36.603, 36.603)* CHOOSE(CONTROL!$C$21, $C$9, 100%, $E$9)</f>
        <v>36.603000000000002</v>
      </c>
      <c r="K590" s="53">
        <f>CHOOSE(CONTROL!$C$42, 36.7385, 36.7385) * CHOOSE(CONTROL!$C$21, $C$9, 100%, $E$9)</f>
        <v>36.738500000000002</v>
      </c>
      <c r="L590" s="14">
        <f>CHOOSE(CONTROL!$C$42, 37.3019, 37.3019) * CHOOSE(CONTROL!$C$21, $C$9, 100%, $E$9)</f>
        <v>37.301900000000003</v>
      </c>
      <c r="M590" s="14">
        <f>CHOOSE(CONTROL!$C$42, 35.8607, 35.8607) * CHOOSE(CONTROL!$C$21, $C$9, 100%, $E$9)</f>
        <v>35.860700000000001</v>
      </c>
      <c r="N590" s="14">
        <f>CHOOSE(CONTROL!$C$42, 35.8766, 35.8766) * CHOOSE(CONTROL!$C$21, $C$9, 100%, $E$9)</f>
        <v>35.876600000000003</v>
      </c>
      <c r="O590" s="14">
        <f>CHOOSE(CONTROL!$C$42, 35.9703, 35.9703) * CHOOSE(CONTROL!$C$21, $C$9, 100%, $E$9)</f>
        <v>35.970300000000002</v>
      </c>
      <c r="P590" s="14">
        <f>CHOOSE(CONTROL!$C$42, 35.9951, 35.9951) * CHOOSE(CONTROL!$C$21, $C$9, 100%, $E$9)</f>
        <v>35.995100000000001</v>
      </c>
      <c r="Q590" s="14">
        <f>CHOOSE(CONTROL!$C$42, 36.565, 36.565) * CHOOSE(CONTROL!$C$21, $C$9, 100%, $E$9)</f>
        <v>36.564999999999998</v>
      </c>
      <c r="R590" s="14">
        <f>CHOOSE(CONTROL!$C$42, 37.2434, 37.2434) * CHOOSE(CONTROL!$C$21, $C$9, 100%, $E$9)</f>
        <v>37.243400000000001</v>
      </c>
      <c r="S590" s="14">
        <f>CHOOSE(CONTROL!$C$42, 35.1697, 35.1697) * CHOOSE(CONTROL!$C$21, $C$9, 100%, $E$9)</f>
        <v>35.169699999999999</v>
      </c>
      <c r="T5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7">
        <f>(1000*CHOOSE(CONTROL!$C$42, 695, 695)*CHOOSE(CONTROL!$C$42, 0.5599, 0.5599)*CHOOSE(CONTROL!$C$42, 28, 28))/1000000</f>
        <v>10.895653999999999</v>
      </c>
      <c r="V590" s="57">
        <f>(1000*CHOOSE(CONTROL!$C$42, 500, 500)*CHOOSE(CONTROL!$C$42, 0.275, 0.275)*CHOOSE(CONTROL!$C$42, 28, 28))/1000000</f>
        <v>3.85</v>
      </c>
      <c r="W590" s="57">
        <f>(1000*CHOOSE(CONTROL!$C$42, 0.1146, 0.1146)*CHOOSE(CONTROL!$C$42, 121.5, 121.5)*CHOOSE(CONTROL!$C$42, 28, 28))/1000000</f>
        <v>0.38986920000000003</v>
      </c>
      <c r="X590" s="57">
        <f>(28*0.1790888*100000/1000000)+(28*0.2374*100000/1000000)</f>
        <v>1.16616864</v>
      </c>
      <c r="Y590" s="57"/>
      <c r="Z590" s="14"/>
      <c r="AA590" s="56"/>
      <c r="AB590" s="50">
        <f>(B590*122.58+C590*297.941+D590*89.177+E590*40.302+F590*40+G590*160+H590*0+I590*100+J590*300)/(122.58+297.941+89.177+40.302+0+40+160+100+300)</f>
        <v>36.633534893391307</v>
      </c>
      <c r="AC590" s="45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35.93062805755396</v>
      </c>
    </row>
    <row r="591" spans="1:29" ht="15.75" x14ac:dyDescent="0.25">
      <c r="A591" s="32">
        <v>58893</v>
      </c>
      <c r="B591" s="14">
        <f>CHOOSE(CONTROL!$C$42, 35.5706, 35.5706) * CHOOSE(CONTROL!$C$21, $C$9, 100%, $E$9)</f>
        <v>35.570599999999999</v>
      </c>
      <c r="C591" s="14">
        <f>CHOOSE(CONTROL!$C$42, 35.5757, 35.5757) * CHOOSE(CONTROL!$C$21, $C$9, 100%, $E$9)</f>
        <v>35.575699999999998</v>
      </c>
      <c r="D591" s="14">
        <f>CHOOSE(CONTROL!$C$42, 35.6525, 35.6525) * CHOOSE(CONTROL!$C$21, $C$9, 100%, $E$9)</f>
        <v>35.652500000000003</v>
      </c>
      <c r="E591" s="14">
        <f>CHOOSE(CONTROL!$C$42, 35.6866, 35.6866) * CHOOSE(CONTROL!$C$21, $C$9, 100%, $E$9)</f>
        <v>35.686599999999999</v>
      </c>
      <c r="F591" s="14">
        <f>CHOOSE(CONTROL!$C$42, 35.5704, 35.5704)*CHOOSE(CONTROL!$C$21, $C$9, 100%, $E$9)</f>
        <v>35.570399999999999</v>
      </c>
      <c r="G591" s="14">
        <f>CHOOSE(CONTROL!$C$42, 35.5865, 35.5865)*CHOOSE(CONTROL!$C$21, $C$9, 100%, $E$9)</f>
        <v>35.586500000000001</v>
      </c>
      <c r="H591" s="14">
        <f>CHOOSE(CONTROL!$C$42, 35.6758, 35.6758) * CHOOSE(CONTROL!$C$21, $C$9, 100%, $E$9)</f>
        <v>35.675800000000002</v>
      </c>
      <c r="I591" s="14">
        <f>CHOOSE(CONTROL!$C$42, 35.7001, 35.7001)* CHOOSE(CONTROL!$C$21, $C$9, 100%, $E$9)</f>
        <v>35.700099999999999</v>
      </c>
      <c r="J591" s="14">
        <f>CHOOSE(CONTROL!$C$42, 35.5634, 35.5634)* CHOOSE(CONTROL!$C$21, $C$9, 100%, $E$9)</f>
        <v>35.563400000000001</v>
      </c>
      <c r="K591" s="53">
        <f>CHOOSE(CONTROL!$C$42, 35.6962, 35.6962) * CHOOSE(CONTROL!$C$21, $C$9, 100%, $E$9)</f>
        <v>35.696199999999997</v>
      </c>
      <c r="L591" s="14">
        <f>CHOOSE(CONTROL!$C$42, 36.2628, 36.2628) * CHOOSE(CONTROL!$C$21, $C$9, 100%, $E$9)</f>
        <v>36.262799999999999</v>
      </c>
      <c r="M591" s="14">
        <f>CHOOSE(CONTROL!$C$42, 34.8424, 34.8424) * CHOOSE(CONTROL!$C$21, $C$9, 100%, $E$9)</f>
        <v>34.842399999999998</v>
      </c>
      <c r="N591" s="14">
        <f>CHOOSE(CONTROL!$C$42, 34.8582, 34.8582) * CHOOSE(CONTROL!$C$21, $C$9, 100%, $E$9)</f>
        <v>34.858199999999997</v>
      </c>
      <c r="O591" s="14">
        <f>CHOOSE(CONTROL!$C$42, 34.9525, 34.9525) * CHOOSE(CONTROL!$C$21, $C$9, 100%, $E$9)</f>
        <v>34.952500000000001</v>
      </c>
      <c r="P591" s="14">
        <f>CHOOSE(CONTROL!$C$42, 34.9741, 34.9741) * CHOOSE(CONTROL!$C$21, $C$9, 100%, $E$9)</f>
        <v>34.9741</v>
      </c>
      <c r="Q591" s="14">
        <f>CHOOSE(CONTROL!$C$42, 35.5472, 35.5472) * CHOOSE(CONTROL!$C$21, $C$9, 100%, $E$9)</f>
        <v>35.547199999999997</v>
      </c>
      <c r="R591" s="14">
        <f>CHOOSE(CONTROL!$C$42, 36.2231, 36.2231) * CHOOSE(CONTROL!$C$21, $C$9, 100%, $E$9)</f>
        <v>36.223100000000002</v>
      </c>
      <c r="S591" s="14">
        <f>CHOOSE(CONTROL!$C$42, 34.1713, 34.1713) * CHOOSE(CONTROL!$C$21, $C$9, 100%, $E$9)</f>
        <v>34.171300000000002</v>
      </c>
      <c r="T5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7">
        <f>(1000*CHOOSE(CONTROL!$C$42, 695, 695)*CHOOSE(CONTROL!$C$42, 0.5599, 0.5599)*CHOOSE(CONTROL!$C$42, 31, 31))/1000000</f>
        <v>12.063045499999998</v>
      </c>
      <c r="V591" s="57">
        <f>(1000*CHOOSE(CONTROL!$C$42, 500, 500)*CHOOSE(CONTROL!$C$42, 0.275, 0.275)*CHOOSE(CONTROL!$C$42, 31, 31))/1000000</f>
        <v>4.2625000000000002</v>
      </c>
      <c r="W591" s="57">
        <f>(1000*CHOOSE(CONTROL!$C$42, 0.1146, 0.1146)*CHOOSE(CONTROL!$C$42, 121.5, 121.5)*CHOOSE(CONTROL!$C$42, 31, 31))/1000000</f>
        <v>0.43164089999999994</v>
      </c>
      <c r="X591" s="57">
        <f>(31*0.1790888*100000/1000000)+(31*0.2374*100000/1000000)</f>
        <v>1.2911152800000001</v>
      </c>
      <c r="Y591" s="57"/>
      <c r="Z591" s="14"/>
      <c r="AA591" s="56"/>
      <c r="AB591" s="50">
        <f>(B591*122.58+C591*297.941+D591*89.177+E591*40.302+F591*40+G591*160+H591*0+I591*100+J591*300)/(122.58+297.941+89.177+40.302+0+40+160+100+300)</f>
        <v>35.593925328173903</v>
      </c>
      <c r="AC591" s="45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34.912160431654677</v>
      </c>
    </row>
    <row r="592" spans="1:29" ht="15.75" x14ac:dyDescent="0.25">
      <c r="A592" s="32">
        <v>58926</v>
      </c>
      <c r="B592" s="14">
        <f>CHOOSE(CONTROL!$C$42, 35.4654, 35.4654) * CHOOSE(CONTROL!$C$21, $C$9, 100%, $E$9)</f>
        <v>35.465400000000002</v>
      </c>
      <c r="C592" s="14">
        <f>CHOOSE(CONTROL!$C$42, 35.4699, 35.4699) * CHOOSE(CONTROL!$C$21, $C$9, 100%, $E$9)</f>
        <v>35.469900000000003</v>
      </c>
      <c r="D592" s="14">
        <f>CHOOSE(CONTROL!$C$42, 35.7066, 35.7066) * CHOOSE(CONTROL!$C$21, $C$9, 100%, $E$9)</f>
        <v>35.706600000000002</v>
      </c>
      <c r="E592" s="14">
        <f>CHOOSE(CONTROL!$C$42, 35.7387, 35.7387) * CHOOSE(CONTROL!$C$21, $C$9, 100%, $E$9)</f>
        <v>35.738700000000001</v>
      </c>
      <c r="F592" s="14">
        <f>CHOOSE(CONTROL!$C$42, 35.4633, 35.4633)*CHOOSE(CONTROL!$C$21, $C$9, 100%, $E$9)</f>
        <v>35.463299999999997</v>
      </c>
      <c r="G592" s="14">
        <f>CHOOSE(CONTROL!$C$42, 35.4791, 35.4791)*CHOOSE(CONTROL!$C$21, $C$9, 100%, $E$9)</f>
        <v>35.479100000000003</v>
      </c>
      <c r="H592" s="14">
        <f>CHOOSE(CONTROL!$C$42, 35.7285, 35.7285) * CHOOSE(CONTROL!$C$21, $C$9, 100%, $E$9)</f>
        <v>35.728499999999997</v>
      </c>
      <c r="I592" s="14">
        <f>CHOOSE(CONTROL!$C$42, 35.5937, 35.5937)* CHOOSE(CONTROL!$C$21, $C$9, 100%, $E$9)</f>
        <v>35.593699999999998</v>
      </c>
      <c r="J592" s="14">
        <f>CHOOSE(CONTROL!$C$42, 35.4563, 35.4563)* CHOOSE(CONTROL!$C$21, $C$9, 100%, $E$9)</f>
        <v>35.456299999999999</v>
      </c>
      <c r="K592" s="53">
        <f>CHOOSE(CONTROL!$C$42, 35.5898, 35.5898) * CHOOSE(CONTROL!$C$21, $C$9, 100%, $E$9)</f>
        <v>35.589799999999997</v>
      </c>
      <c r="L592" s="14">
        <f>CHOOSE(CONTROL!$C$42, 36.3155, 36.3155) * CHOOSE(CONTROL!$C$21, $C$9, 100%, $E$9)</f>
        <v>36.3155</v>
      </c>
      <c r="M592" s="14">
        <f>CHOOSE(CONTROL!$C$42, 34.7375, 34.7375) * CHOOSE(CONTROL!$C$21, $C$9, 100%, $E$9)</f>
        <v>34.737499999999997</v>
      </c>
      <c r="N592" s="14">
        <f>CHOOSE(CONTROL!$C$42, 34.753, 34.753) * CHOOSE(CONTROL!$C$21, $C$9, 100%, $E$9)</f>
        <v>34.753</v>
      </c>
      <c r="O592" s="14">
        <f>CHOOSE(CONTROL!$C$42, 35.0041, 35.0041) * CHOOSE(CONTROL!$C$21, $C$9, 100%, $E$9)</f>
        <v>35.004100000000001</v>
      </c>
      <c r="P592" s="14">
        <f>CHOOSE(CONTROL!$C$42, 34.87, 34.87) * CHOOSE(CONTROL!$C$21, $C$9, 100%, $E$9)</f>
        <v>34.869999999999997</v>
      </c>
      <c r="Q592" s="14">
        <f>CHOOSE(CONTROL!$C$42, 35.5988, 35.5988) * CHOOSE(CONTROL!$C$21, $C$9, 100%, $E$9)</f>
        <v>35.598799999999997</v>
      </c>
      <c r="R592" s="14">
        <f>CHOOSE(CONTROL!$C$42, 36.2748, 36.2748) * CHOOSE(CONTROL!$C$21, $C$9, 100%, $E$9)</f>
        <v>36.274799999999999</v>
      </c>
      <c r="S592" s="14">
        <f>CHOOSE(CONTROL!$C$42, 34.0694, 34.0694) * CHOOSE(CONTROL!$C$21, $C$9, 100%, $E$9)</f>
        <v>34.069400000000002</v>
      </c>
      <c r="T5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7">
        <f>(1000*CHOOSE(CONTROL!$C$42, 695, 695)*CHOOSE(CONTROL!$C$42, 0.5599, 0.5599)*CHOOSE(CONTROL!$C$42, 30, 30))/1000000</f>
        <v>11.673914999999997</v>
      </c>
      <c r="V592" s="57">
        <f>(1000*CHOOSE(CONTROL!$C$42, 500, 500)*CHOOSE(CONTROL!$C$42, 0.275, 0.275)*CHOOSE(CONTROL!$C$42, 30, 30))/1000000</f>
        <v>4.125</v>
      </c>
      <c r="W592" s="57">
        <f>(1000*CHOOSE(CONTROL!$C$42, 0.1146, 0.1146)*CHOOSE(CONTROL!$C$42, 121.5, 121.5)*CHOOSE(CONTROL!$C$42, 30, 30))/1000000</f>
        <v>0.417717</v>
      </c>
      <c r="X592" s="57">
        <f>(30*0.1790888*245000/1000000)+(30*0.2374*100000/1000000)</f>
        <v>2.0285026799999999</v>
      </c>
      <c r="Y592" s="57"/>
      <c r="Z592" s="14"/>
      <c r="AA592" s="56"/>
      <c r="AB592" s="50">
        <f>(B592*141.293+C592*267.993+D592*115.016+E592*89.698+F592*40+G592*185+H592*0+I592*100+J592*300)/(141.293+267.993+115.016+89.698+0+40+185+100+300)</f>
        <v>35.518679088861987</v>
      </c>
      <c r="AC592" s="45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34.834934532374099</v>
      </c>
    </row>
    <row r="593" spans="1:29" ht="15.75" x14ac:dyDescent="0.25">
      <c r="A593" s="32">
        <v>58957</v>
      </c>
      <c r="B593" s="14">
        <f>CHOOSE(CONTROL!$C$42, 35.7797, 35.7797) * CHOOSE(CONTROL!$C$21, $C$9, 100%, $E$9)</f>
        <v>35.779699999999998</v>
      </c>
      <c r="C593" s="14">
        <f>CHOOSE(CONTROL!$C$42, 35.7877, 35.7877) * CHOOSE(CONTROL!$C$21, $C$9, 100%, $E$9)</f>
        <v>35.787700000000001</v>
      </c>
      <c r="D593" s="14">
        <f>CHOOSE(CONTROL!$C$42, 36.0213, 36.0213) * CHOOSE(CONTROL!$C$21, $C$9, 100%, $E$9)</f>
        <v>36.021299999999997</v>
      </c>
      <c r="E593" s="14">
        <f>CHOOSE(CONTROL!$C$42, 36.0528, 36.0528) * CHOOSE(CONTROL!$C$21, $C$9, 100%, $E$9)</f>
        <v>36.052799999999998</v>
      </c>
      <c r="F593" s="14">
        <f>CHOOSE(CONTROL!$C$42, 35.7765, 35.7765)*CHOOSE(CONTROL!$C$21, $C$9, 100%, $E$9)</f>
        <v>35.776499999999999</v>
      </c>
      <c r="G593" s="14">
        <f>CHOOSE(CONTROL!$C$42, 35.7928, 35.7928)*CHOOSE(CONTROL!$C$21, $C$9, 100%, $E$9)</f>
        <v>35.7928</v>
      </c>
      <c r="H593" s="14">
        <f>CHOOSE(CONTROL!$C$42, 36.0414, 36.0414) * CHOOSE(CONTROL!$C$21, $C$9, 100%, $E$9)</f>
        <v>36.041400000000003</v>
      </c>
      <c r="I593" s="14">
        <f>CHOOSE(CONTROL!$C$42, 35.9076, 35.9076)* CHOOSE(CONTROL!$C$21, $C$9, 100%, $E$9)</f>
        <v>35.907600000000002</v>
      </c>
      <c r="J593" s="14">
        <f>CHOOSE(CONTROL!$C$42, 35.7695, 35.7695)* CHOOSE(CONTROL!$C$21, $C$9, 100%, $E$9)</f>
        <v>35.769500000000001</v>
      </c>
      <c r="K593" s="53">
        <f>CHOOSE(CONTROL!$C$42, 35.9037, 35.9037) * CHOOSE(CONTROL!$C$21, $C$9, 100%, $E$9)</f>
        <v>35.903700000000001</v>
      </c>
      <c r="L593" s="14">
        <f>CHOOSE(CONTROL!$C$42, 36.6284, 36.6284) * CHOOSE(CONTROL!$C$21, $C$9, 100%, $E$9)</f>
        <v>36.628399999999999</v>
      </c>
      <c r="M593" s="14">
        <f>CHOOSE(CONTROL!$C$42, 35.0443, 35.0443) * CHOOSE(CONTROL!$C$21, $C$9, 100%, $E$9)</f>
        <v>35.0443</v>
      </c>
      <c r="N593" s="14">
        <f>CHOOSE(CONTROL!$C$42, 35.0603, 35.0603) * CHOOSE(CONTROL!$C$21, $C$9, 100%, $E$9)</f>
        <v>35.060299999999998</v>
      </c>
      <c r="O593" s="14">
        <f>CHOOSE(CONTROL!$C$42, 35.3106, 35.3106) * CHOOSE(CONTROL!$C$21, $C$9, 100%, $E$9)</f>
        <v>35.310600000000001</v>
      </c>
      <c r="P593" s="14">
        <f>CHOOSE(CONTROL!$C$42, 35.1774, 35.1774) * CHOOSE(CONTROL!$C$21, $C$9, 100%, $E$9)</f>
        <v>35.177399999999999</v>
      </c>
      <c r="Q593" s="14">
        <f>CHOOSE(CONTROL!$C$42, 35.9053, 35.9053) * CHOOSE(CONTROL!$C$21, $C$9, 100%, $E$9)</f>
        <v>35.905299999999997</v>
      </c>
      <c r="R593" s="14">
        <f>CHOOSE(CONTROL!$C$42, 36.5821, 36.5821) * CHOOSE(CONTROL!$C$21, $C$9, 100%, $E$9)</f>
        <v>36.582099999999997</v>
      </c>
      <c r="S593" s="14">
        <f>CHOOSE(CONTROL!$C$42, 34.3701, 34.3701) * CHOOSE(CONTROL!$C$21, $C$9, 100%, $E$9)</f>
        <v>34.370100000000001</v>
      </c>
      <c r="T5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7">
        <f>(1000*CHOOSE(CONTROL!$C$42, 695, 695)*CHOOSE(CONTROL!$C$42, 0.5599, 0.5599)*CHOOSE(CONTROL!$C$42, 31, 31))/1000000</f>
        <v>12.063045499999998</v>
      </c>
      <c r="V593" s="57">
        <f>(1000*CHOOSE(CONTROL!$C$42, 500, 500)*CHOOSE(CONTROL!$C$42, 0.275, 0.275)*CHOOSE(CONTROL!$C$42, 31, 31))/1000000</f>
        <v>4.2625000000000002</v>
      </c>
      <c r="W593" s="57">
        <f>(1000*CHOOSE(CONTROL!$C$42, 0.1146, 0.1146)*CHOOSE(CONTROL!$C$42, 121.5, 121.5)*CHOOSE(CONTROL!$C$42, 31, 31))/1000000</f>
        <v>0.43164089999999994</v>
      </c>
      <c r="X593" s="57">
        <f>(31*0.1790888*245000/1000000)+(31*0.2374*100000/1000000)</f>
        <v>2.0961194359999999</v>
      </c>
      <c r="Y593" s="57"/>
      <c r="Z593" s="14"/>
      <c r="AA593" s="56"/>
      <c r="AB593" s="50">
        <f>(B593*194.205+C593*267.466+D593*133.845+E593*53.484+F593*40+G593*185+H593*0+I593*100+J593*300)/(194.205+267.466+133.845+53.484+0+40+185+100+300)</f>
        <v>35.827665981475668</v>
      </c>
      <c r="AC593" s="45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35.141851798561149</v>
      </c>
    </row>
    <row r="594" spans="1:29" ht="15.75" x14ac:dyDescent="0.25">
      <c r="A594" s="32">
        <v>58987</v>
      </c>
      <c r="B594" s="14">
        <f>CHOOSE(CONTROL!$C$42, 36.7943, 36.7943) * CHOOSE(CONTROL!$C$21, $C$9, 100%, $E$9)</f>
        <v>36.7943</v>
      </c>
      <c r="C594" s="14">
        <f>CHOOSE(CONTROL!$C$42, 36.8023, 36.8023) * CHOOSE(CONTROL!$C$21, $C$9, 100%, $E$9)</f>
        <v>36.802300000000002</v>
      </c>
      <c r="D594" s="14">
        <f>CHOOSE(CONTROL!$C$42, 37.0359, 37.0359) * CHOOSE(CONTROL!$C$21, $C$9, 100%, $E$9)</f>
        <v>37.035899999999998</v>
      </c>
      <c r="E594" s="14">
        <f>CHOOSE(CONTROL!$C$42, 37.0674, 37.0674) * CHOOSE(CONTROL!$C$21, $C$9, 100%, $E$9)</f>
        <v>37.067399999999999</v>
      </c>
      <c r="F594" s="14">
        <f>CHOOSE(CONTROL!$C$42, 36.7915, 36.7915)*CHOOSE(CONTROL!$C$21, $C$9, 100%, $E$9)</f>
        <v>36.791499999999999</v>
      </c>
      <c r="G594" s="14">
        <f>CHOOSE(CONTROL!$C$42, 36.808, 36.808)*CHOOSE(CONTROL!$C$21, $C$9, 100%, $E$9)</f>
        <v>36.808</v>
      </c>
      <c r="H594" s="14">
        <f>CHOOSE(CONTROL!$C$42, 37.056, 37.056) * CHOOSE(CONTROL!$C$21, $C$9, 100%, $E$9)</f>
        <v>37.055999999999997</v>
      </c>
      <c r="I594" s="14">
        <f>CHOOSE(CONTROL!$C$42, 36.9254, 36.9254)* CHOOSE(CONTROL!$C$21, $C$9, 100%, $E$9)</f>
        <v>36.925400000000003</v>
      </c>
      <c r="J594" s="14">
        <f>CHOOSE(CONTROL!$C$42, 36.7845, 36.7845)* CHOOSE(CONTROL!$C$21, $C$9, 100%, $E$9)</f>
        <v>36.784500000000001</v>
      </c>
      <c r="K594" s="53">
        <f>CHOOSE(CONTROL!$C$42, 36.9215, 36.9215) * CHOOSE(CONTROL!$C$21, $C$9, 100%, $E$9)</f>
        <v>36.921500000000002</v>
      </c>
      <c r="L594" s="14">
        <f>CHOOSE(CONTROL!$C$42, 37.643, 37.643) * CHOOSE(CONTROL!$C$21, $C$9, 100%, $E$9)</f>
        <v>37.643000000000001</v>
      </c>
      <c r="M594" s="14">
        <f>CHOOSE(CONTROL!$C$42, 36.0385, 36.0385) * CHOOSE(CONTROL!$C$21, $C$9, 100%, $E$9)</f>
        <v>36.038499999999999</v>
      </c>
      <c r="N594" s="14">
        <f>CHOOSE(CONTROL!$C$42, 36.0547, 36.0547) * CHOOSE(CONTROL!$C$21, $C$9, 100%, $E$9)</f>
        <v>36.054699999999997</v>
      </c>
      <c r="O594" s="14">
        <f>CHOOSE(CONTROL!$C$42, 36.3044, 36.3044) * CHOOSE(CONTROL!$C$21, $C$9, 100%, $E$9)</f>
        <v>36.304400000000001</v>
      </c>
      <c r="P594" s="14">
        <f>CHOOSE(CONTROL!$C$42, 36.1743, 36.1743) * CHOOSE(CONTROL!$C$21, $C$9, 100%, $E$9)</f>
        <v>36.174300000000002</v>
      </c>
      <c r="Q594" s="14">
        <f>CHOOSE(CONTROL!$C$42, 36.8991, 36.8991) * CHOOSE(CONTROL!$C$21, $C$9, 100%, $E$9)</f>
        <v>36.899099999999997</v>
      </c>
      <c r="R594" s="14">
        <f>CHOOSE(CONTROL!$C$42, 37.5784, 37.5784) * CHOOSE(CONTROL!$C$21, $C$9, 100%, $E$9)</f>
        <v>37.578400000000002</v>
      </c>
      <c r="S594" s="14">
        <f>CHOOSE(CONTROL!$C$42, 35.345, 35.345) * CHOOSE(CONTROL!$C$21, $C$9, 100%, $E$9)</f>
        <v>35.344999999999999</v>
      </c>
      <c r="T5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7">
        <f>(1000*CHOOSE(CONTROL!$C$42, 695, 695)*CHOOSE(CONTROL!$C$42, 0.5599, 0.5599)*CHOOSE(CONTROL!$C$42, 30, 30))/1000000</f>
        <v>11.673914999999997</v>
      </c>
      <c r="V594" s="57">
        <f>(1000*CHOOSE(CONTROL!$C$42, 500, 500)*CHOOSE(CONTROL!$C$42, 0.275, 0.275)*CHOOSE(CONTROL!$C$42, 30, 30))/1000000</f>
        <v>4.125</v>
      </c>
      <c r="W594" s="57">
        <f>(1000*CHOOSE(CONTROL!$C$42, 0.1146, 0.1146)*CHOOSE(CONTROL!$C$42, 121.5, 121.5)*CHOOSE(CONTROL!$C$42, 30, 30))/1000000</f>
        <v>0.417717</v>
      </c>
      <c r="X594" s="57">
        <f>(30*0.1790888*245000/1000000)+(30*0.2374*100000/1000000)</f>
        <v>2.0285026799999999</v>
      </c>
      <c r="Y594" s="57"/>
      <c r="Z594" s="14"/>
      <c r="AA594" s="56"/>
      <c r="AB594" s="50">
        <f>(B594*194.205+C594*267.466+D594*133.845+E594*53.484+F594*40+G594*185+H594*0+I594*100+J594*300)/(194.205+267.466+133.845+53.484+0+40+185+100+300)</f>
        <v>36.842711036420724</v>
      </c>
      <c r="AC594" s="45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36.136374100719422</v>
      </c>
    </row>
    <row r="595" spans="1:29" ht="15.75" x14ac:dyDescent="0.25">
      <c r="A595" s="32">
        <v>59018</v>
      </c>
      <c r="B595" s="14">
        <f>CHOOSE(CONTROL!$C$42, 36.0886, 36.0886) * CHOOSE(CONTROL!$C$21, $C$9, 100%, $E$9)</f>
        <v>36.0886</v>
      </c>
      <c r="C595" s="14">
        <f>CHOOSE(CONTROL!$C$42, 36.0967, 36.0967) * CHOOSE(CONTROL!$C$21, $C$9, 100%, $E$9)</f>
        <v>36.096699999999998</v>
      </c>
      <c r="D595" s="14">
        <f>CHOOSE(CONTROL!$C$42, 36.3302, 36.3302) * CHOOSE(CONTROL!$C$21, $C$9, 100%, $E$9)</f>
        <v>36.330199999999998</v>
      </c>
      <c r="E595" s="14">
        <f>CHOOSE(CONTROL!$C$42, 36.3617, 36.3617) * CHOOSE(CONTROL!$C$21, $C$9, 100%, $E$9)</f>
        <v>36.361699999999999</v>
      </c>
      <c r="F595" s="14">
        <f>CHOOSE(CONTROL!$C$42, 36.0864, 36.0864)*CHOOSE(CONTROL!$C$21, $C$9, 100%, $E$9)</f>
        <v>36.086399999999998</v>
      </c>
      <c r="G595" s="14">
        <f>CHOOSE(CONTROL!$C$42, 36.103, 36.103)*CHOOSE(CONTROL!$C$21, $C$9, 100%, $E$9)</f>
        <v>36.103000000000002</v>
      </c>
      <c r="H595" s="14">
        <f>CHOOSE(CONTROL!$C$42, 36.3503, 36.3503) * CHOOSE(CONTROL!$C$21, $C$9, 100%, $E$9)</f>
        <v>36.350299999999997</v>
      </c>
      <c r="I595" s="14">
        <f>CHOOSE(CONTROL!$C$42, 36.2175, 36.2175)* CHOOSE(CONTROL!$C$21, $C$9, 100%, $E$9)</f>
        <v>36.217500000000001</v>
      </c>
      <c r="J595" s="14">
        <f>CHOOSE(CONTROL!$C$42, 36.0794, 36.0794)* CHOOSE(CONTROL!$C$21, $C$9, 100%, $E$9)</f>
        <v>36.0794</v>
      </c>
      <c r="K595" s="53">
        <f>CHOOSE(CONTROL!$C$42, 36.2136, 36.2136) * CHOOSE(CONTROL!$C$21, $C$9, 100%, $E$9)</f>
        <v>36.2136</v>
      </c>
      <c r="L595" s="14">
        <f>CHOOSE(CONTROL!$C$42, 36.9373, 36.9373) * CHOOSE(CONTROL!$C$21, $C$9, 100%, $E$9)</f>
        <v>36.9373</v>
      </c>
      <c r="M595" s="14">
        <f>CHOOSE(CONTROL!$C$42, 35.3479, 35.3479) * CHOOSE(CONTROL!$C$21, $C$9, 100%, $E$9)</f>
        <v>35.347900000000003</v>
      </c>
      <c r="N595" s="14">
        <f>CHOOSE(CONTROL!$C$42, 35.3641, 35.3641) * CHOOSE(CONTROL!$C$21, $C$9, 100%, $E$9)</f>
        <v>35.364100000000001</v>
      </c>
      <c r="O595" s="14">
        <f>CHOOSE(CONTROL!$C$42, 35.6132, 35.6132) * CHOOSE(CONTROL!$C$21, $C$9, 100%, $E$9)</f>
        <v>35.613199999999999</v>
      </c>
      <c r="P595" s="14">
        <f>CHOOSE(CONTROL!$C$42, 35.481, 35.481) * CHOOSE(CONTROL!$C$21, $C$9, 100%, $E$9)</f>
        <v>35.481000000000002</v>
      </c>
      <c r="Q595" s="14">
        <f>CHOOSE(CONTROL!$C$42, 36.2079, 36.2079) * CHOOSE(CONTROL!$C$21, $C$9, 100%, $E$9)</f>
        <v>36.207900000000002</v>
      </c>
      <c r="R595" s="14">
        <f>CHOOSE(CONTROL!$C$42, 36.8855, 36.8855) * CHOOSE(CONTROL!$C$21, $C$9, 100%, $E$9)</f>
        <v>36.8855</v>
      </c>
      <c r="S595" s="14">
        <f>CHOOSE(CONTROL!$C$42, 34.6669, 34.6669) * CHOOSE(CONTROL!$C$21, $C$9, 100%, $E$9)</f>
        <v>34.666899999999998</v>
      </c>
      <c r="T5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7">
        <f>(1000*CHOOSE(CONTROL!$C$42, 695, 695)*CHOOSE(CONTROL!$C$42, 0.5599, 0.5599)*CHOOSE(CONTROL!$C$42, 31, 31))/1000000</f>
        <v>12.063045499999998</v>
      </c>
      <c r="V595" s="57">
        <f>(1000*CHOOSE(CONTROL!$C$42, 500, 500)*CHOOSE(CONTROL!$C$42, 0.275, 0.275)*CHOOSE(CONTROL!$C$42, 31, 31))/1000000</f>
        <v>4.2625000000000002</v>
      </c>
      <c r="W595" s="57">
        <f>(1000*CHOOSE(CONTROL!$C$42, 0.1146, 0.1146)*CHOOSE(CONTROL!$C$42, 121.5, 121.5)*CHOOSE(CONTROL!$C$42, 31, 31))/1000000</f>
        <v>0.43164089999999994</v>
      </c>
      <c r="X595" s="57">
        <f>(31*0.1790888*245000/1000000)+(31*0.2374*100000/1000000)</f>
        <v>2.0961194359999999</v>
      </c>
      <c r="Y595" s="57"/>
      <c r="Z595" s="14"/>
      <c r="AA595" s="56"/>
      <c r="AB595" s="50">
        <f>(B595*194.205+C595*267.466+D595*133.845+E595*53.484+F595*40+G595*185+H595*0+I595*100+J595*300)/(194.205+267.466+133.845+53.484+0+40+185+100+300)</f>
        <v>36.137121120094193</v>
      </c>
      <c r="AC595" s="45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35.445217266187051</v>
      </c>
    </row>
    <row r="596" spans="1:29" ht="15.75" x14ac:dyDescent="0.25">
      <c r="A596" s="32">
        <v>59049</v>
      </c>
      <c r="B596" s="14">
        <f>CHOOSE(CONTROL!$C$42, 34.3066, 34.3066) * CHOOSE(CONTROL!$C$21, $C$9, 100%, $E$9)</f>
        <v>34.306600000000003</v>
      </c>
      <c r="C596" s="14">
        <f>CHOOSE(CONTROL!$C$42, 34.3147, 34.3147) * CHOOSE(CONTROL!$C$21, $C$9, 100%, $E$9)</f>
        <v>34.314700000000002</v>
      </c>
      <c r="D596" s="14">
        <f>CHOOSE(CONTROL!$C$42, 34.5482, 34.5482) * CHOOSE(CONTROL!$C$21, $C$9, 100%, $E$9)</f>
        <v>34.548200000000001</v>
      </c>
      <c r="E596" s="14">
        <f>CHOOSE(CONTROL!$C$42, 34.5797, 34.5797) * CHOOSE(CONTROL!$C$21, $C$9, 100%, $E$9)</f>
        <v>34.579700000000003</v>
      </c>
      <c r="F596" s="14">
        <f>CHOOSE(CONTROL!$C$42, 34.3046, 34.3046)*CHOOSE(CONTROL!$C$21, $C$9, 100%, $E$9)</f>
        <v>34.304600000000001</v>
      </c>
      <c r="G596" s="14">
        <f>CHOOSE(CONTROL!$C$42, 34.3213, 34.3213)*CHOOSE(CONTROL!$C$21, $C$9, 100%, $E$9)</f>
        <v>34.321300000000001</v>
      </c>
      <c r="H596" s="14">
        <f>CHOOSE(CONTROL!$C$42, 34.5683, 34.5683) * CHOOSE(CONTROL!$C$21, $C$9, 100%, $E$9)</f>
        <v>34.568300000000001</v>
      </c>
      <c r="I596" s="14">
        <f>CHOOSE(CONTROL!$C$42, 34.43, 34.43)* CHOOSE(CONTROL!$C$21, $C$9, 100%, $E$9)</f>
        <v>34.43</v>
      </c>
      <c r="J596" s="14">
        <f>CHOOSE(CONTROL!$C$42, 34.2976, 34.2976)* CHOOSE(CONTROL!$C$21, $C$9, 100%, $E$9)</f>
        <v>34.297600000000003</v>
      </c>
      <c r="K596" s="53">
        <f>CHOOSE(CONTROL!$C$42, 34.4261, 34.4261) * CHOOSE(CONTROL!$C$21, $C$9, 100%, $E$9)</f>
        <v>34.426099999999998</v>
      </c>
      <c r="L596" s="14">
        <f>CHOOSE(CONTROL!$C$42, 35.1553, 35.1553) * CHOOSE(CONTROL!$C$21, $C$9, 100%, $E$9)</f>
        <v>35.155299999999997</v>
      </c>
      <c r="M596" s="14">
        <f>CHOOSE(CONTROL!$C$42, 33.6026, 33.6026) * CHOOSE(CONTROL!$C$21, $C$9, 100%, $E$9)</f>
        <v>33.602600000000002</v>
      </c>
      <c r="N596" s="14">
        <f>CHOOSE(CONTROL!$C$42, 33.6189, 33.6189) * CHOOSE(CONTROL!$C$21, $C$9, 100%, $E$9)</f>
        <v>33.618899999999996</v>
      </c>
      <c r="O596" s="14">
        <f>CHOOSE(CONTROL!$C$42, 33.8678, 33.8678) * CHOOSE(CONTROL!$C$21, $C$9, 100%, $E$9)</f>
        <v>33.867800000000003</v>
      </c>
      <c r="P596" s="14">
        <f>CHOOSE(CONTROL!$C$42, 33.7301, 33.7301) * CHOOSE(CONTROL!$C$21, $C$9, 100%, $E$9)</f>
        <v>33.7301</v>
      </c>
      <c r="Q596" s="14">
        <f>CHOOSE(CONTROL!$C$42, 34.4625, 34.4625) * CHOOSE(CONTROL!$C$21, $C$9, 100%, $E$9)</f>
        <v>34.462499999999999</v>
      </c>
      <c r="R596" s="14">
        <f>CHOOSE(CONTROL!$C$42, 35.1356, 35.1356) * CHOOSE(CONTROL!$C$21, $C$9, 100%, $E$9)</f>
        <v>35.135599999999997</v>
      </c>
      <c r="S596" s="14">
        <f>CHOOSE(CONTROL!$C$42, 32.9546, 32.9546) * CHOOSE(CONTROL!$C$21, $C$9, 100%, $E$9)</f>
        <v>32.954599999999999</v>
      </c>
      <c r="T5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7">
        <f>(1000*CHOOSE(CONTROL!$C$42, 695, 695)*CHOOSE(CONTROL!$C$42, 0.5599, 0.5599)*CHOOSE(CONTROL!$C$42, 31, 31))/1000000</f>
        <v>12.063045499999998</v>
      </c>
      <c r="V596" s="57">
        <f>(1000*CHOOSE(CONTROL!$C$42, 500, 500)*CHOOSE(CONTROL!$C$42, 0.275, 0.275)*CHOOSE(CONTROL!$C$42, 31, 31))/1000000</f>
        <v>4.2625000000000002</v>
      </c>
      <c r="W596" s="57">
        <f>(1000*CHOOSE(CONTROL!$C$42, 0.1146, 0.1146)*CHOOSE(CONTROL!$C$42, 121.5, 121.5)*CHOOSE(CONTROL!$C$42, 31, 31))/1000000</f>
        <v>0.43164089999999994</v>
      </c>
      <c r="X596" s="57">
        <f>(31*0.1790888*245000/1000000)+(31*0.2374*100000/1000000)</f>
        <v>2.0961194359999999</v>
      </c>
      <c r="Y596" s="57"/>
      <c r="Z596" s="14"/>
      <c r="AA596" s="56"/>
      <c r="AB596" s="50">
        <f>(B596*194.205+C596*267.466+D596*133.845+E596*53.484+F596*40+G596*185+H596*0+I596*100+J596*300)/(194.205+267.466+133.845+53.484+0+40+185+100+300)</f>
        <v>34.35478634772371</v>
      </c>
      <c r="AC596" s="45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33.699106474820148</v>
      </c>
    </row>
    <row r="597" spans="1:29" ht="15.75" x14ac:dyDescent="0.25">
      <c r="A597" s="32">
        <v>59079</v>
      </c>
      <c r="B597" s="14">
        <f>CHOOSE(CONTROL!$C$42, 32.1289, 32.1289) * CHOOSE(CONTROL!$C$21, $C$9, 100%, $E$9)</f>
        <v>32.128900000000002</v>
      </c>
      <c r="C597" s="14">
        <f>CHOOSE(CONTROL!$C$42, 32.1369, 32.1369) * CHOOSE(CONTROL!$C$21, $C$9, 100%, $E$9)</f>
        <v>32.136899999999997</v>
      </c>
      <c r="D597" s="14">
        <f>CHOOSE(CONTROL!$C$42, 32.3705, 32.3705) * CHOOSE(CONTROL!$C$21, $C$9, 100%, $E$9)</f>
        <v>32.3705</v>
      </c>
      <c r="E597" s="14">
        <f>CHOOSE(CONTROL!$C$42, 32.402, 32.402) * CHOOSE(CONTROL!$C$21, $C$9, 100%, $E$9)</f>
        <v>32.402000000000001</v>
      </c>
      <c r="F597" s="14">
        <f>CHOOSE(CONTROL!$C$42, 32.1269, 32.1269)*CHOOSE(CONTROL!$C$21, $C$9, 100%, $E$9)</f>
        <v>32.126899999999999</v>
      </c>
      <c r="G597" s="14">
        <f>CHOOSE(CONTROL!$C$42, 32.1436, 32.1436)*CHOOSE(CONTROL!$C$21, $C$9, 100%, $E$9)</f>
        <v>32.143599999999999</v>
      </c>
      <c r="H597" s="14">
        <f>CHOOSE(CONTROL!$C$42, 32.3906, 32.3906) * CHOOSE(CONTROL!$C$21, $C$9, 100%, $E$9)</f>
        <v>32.390599999999999</v>
      </c>
      <c r="I597" s="14">
        <f>CHOOSE(CONTROL!$C$42, 32.2454, 32.2454)* CHOOSE(CONTROL!$C$21, $C$9, 100%, $E$9)</f>
        <v>32.245399999999997</v>
      </c>
      <c r="J597" s="14">
        <f>CHOOSE(CONTROL!$C$42, 32.1199, 32.1199)* CHOOSE(CONTROL!$C$21, $C$9, 100%, $E$9)</f>
        <v>32.119900000000001</v>
      </c>
      <c r="K597" s="53">
        <f>CHOOSE(CONTROL!$C$42, 32.2415, 32.2415) * CHOOSE(CONTROL!$C$21, $C$9, 100%, $E$9)</f>
        <v>32.241500000000002</v>
      </c>
      <c r="L597" s="14">
        <f>CHOOSE(CONTROL!$C$42, 32.9776, 32.9776) * CHOOSE(CONTROL!$C$21, $C$9, 100%, $E$9)</f>
        <v>32.977600000000002</v>
      </c>
      <c r="M597" s="14">
        <f>CHOOSE(CONTROL!$C$42, 31.4695, 31.4695) * CHOOSE(CONTROL!$C$21, $C$9, 100%, $E$9)</f>
        <v>31.4695</v>
      </c>
      <c r="N597" s="14">
        <f>CHOOSE(CONTROL!$C$42, 31.4858, 31.4858) * CHOOSE(CONTROL!$C$21, $C$9, 100%, $E$9)</f>
        <v>31.485800000000001</v>
      </c>
      <c r="O597" s="14">
        <f>CHOOSE(CONTROL!$C$42, 31.7346, 31.7346) * CHOOSE(CONTROL!$C$21, $C$9, 100%, $E$9)</f>
        <v>31.7346</v>
      </c>
      <c r="P597" s="14">
        <f>CHOOSE(CONTROL!$C$42, 31.5905, 31.5905) * CHOOSE(CONTROL!$C$21, $C$9, 100%, $E$9)</f>
        <v>31.590499999999999</v>
      </c>
      <c r="Q597" s="14">
        <f>CHOOSE(CONTROL!$C$42, 32.3293, 32.3293) * CHOOSE(CONTROL!$C$21, $C$9, 100%, $E$9)</f>
        <v>32.329300000000003</v>
      </c>
      <c r="R597" s="14">
        <f>CHOOSE(CONTROL!$C$42, 32.9972, 32.9972) * CHOOSE(CONTROL!$C$21, $C$9, 100%, $E$9)</f>
        <v>32.997199999999999</v>
      </c>
      <c r="S597" s="14">
        <f>CHOOSE(CONTROL!$C$42, 30.862, 30.862) * CHOOSE(CONTROL!$C$21, $C$9, 100%, $E$9)</f>
        <v>30.861999999999998</v>
      </c>
      <c r="T5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7">
        <f>(1000*CHOOSE(CONTROL!$C$42, 695, 695)*CHOOSE(CONTROL!$C$42, 0.5599, 0.5599)*CHOOSE(CONTROL!$C$42, 30, 30))/1000000</f>
        <v>11.673914999999997</v>
      </c>
      <c r="V597" s="57">
        <f>(1000*CHOOSE(CONTROL!$C$42, 500, 500)*CHOOSE(CONTROL!$C$42, 0.275, 0.275)*CHOOSE(CONTROL!$C$42, 30, 30))/1000000</f>
        <v>4.125</v>
      </c>
      <c r="W597" s="57">
        <f>(1000*CHOOSE(CONTROL!$C$42, 0.1146, 0.1146)*CHOOSE(CONTROL!$C$42, 121.5, 121.5)*CHOOSE(CONTROL!$C$42, 30, 30))/1000000</f>
        <v>0.417717</v>
      </c>
      <c r="X597" s="57">
        <f>(30*0.1790888*245000/1000000)+(30*0.2374*100000/1000000)</f>
        <v>2.0285026799999999</v>
      </c>
      <c r="Y597" s="57"/>
      <c r="Z597" s="14"/>
      <c r="AA597" s="56"/>
      <c r="AB597" s="50">
        <f>(B597*194.205+C597*267.466+D597*133.845+E597*53.484+F597*40+G597*185+H597*0+I597*100+J597*300)/(194.205+267.466+133.845+53.484+0+40+185+100+300)</f>
        <v>32.176523752276296</v>
      </c>
      <c r="AC597" s="45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31.565043165467625</v>
      </c>
    </row>
    <row r="598" spans="1:29" ht="15.75" x14ac:dyDescent="0.25">
      <c r="A598" s="32">
        <v>59110</v>
      </c>
      <c r="B598" s="14">
        <f>CHOOSE(CONTROL!$C$42, 31.475, 31.475) * CHOOSE(CONTROL!$C$21, $C$9, 100%, $E$9)</f>
        <v>31.475000000000001</v>
      </c>
      <c r="C598" s="14">
        <f>CHOOSE(CONTROL!$C$42, 31.4804, 31.4804) * CHOOSE(CONTROL!$C$21, $C$9, 100%, $E$9)</f>
        <v>31.480399999999999</v>
      </c>
      <c r="D598" s="14">
        <f>CHOOSE(CONTROL!$C$42, 31.7189, 31.7189) * CHOOSE(CONTROL!$C$21, $C$9, 100%, $E$9)</f>
        <v>31.718900000000001</v>
      </c>
      <c r="E598" s="14">
        <f>CHOOSE(CONTROL!$C$42, 31.748, 31.748) * CHOOSE(CONTROL!$C$21, $C$9, 100%, $E$9)</f>
        <v>31.748000000000001</v>
      </c>
      <c r="F598" s="14">
        <f>CHOOSE(CONTROL!$C$42, 31.4751, 31.4751)*CHOOSE(CONTROL!$C$21, $C$9, 100%, $E$9)</f>
        <v>31.475100000000001</v>
      </c>
      <c r="G598" s="14">
        <f>CHOOSE(CONTROL!$C$42, 31.4913, 31.4913)*CHOOSE(CONTROL!$C$21, $C$9, 100%, $E$9)</f>
        <v>31.491299999999999</v>
      </c>
      <c r="H598" s="14">
        <f>CHOOSE(CONTROL!$C$42, 31.7385, 31.7385) * CHOOSE(CONTROL!$C$21, $C$9, 100%, $E$9)</f>
        <v>31.738499999999998</v>
      </c>
      <c r="I598" s="14">
        <f>CHOOSE(CONTROL!$C$42, 31.5913, 31.5913)* CHOOSE(CONTROL!$C$21, $C$9, 100%, $E$9)</f>
        <v>31.5913</v>
      </c>
      <c r="J598" s="14">
        <f>CHOOSE(CONTROL!$C$42, 31.4681, 31.4681)* CHOOSE(CONTROL!$C$21, $C$9, 100%, $E$9)</f>
        <v>31.4681</v>
      </c>
      <c r="K598" s="53">
        <f>CHOOSE(CONTROL!$C$42, 31.5874, 31.5874) * CHOOSE(CONTROL!$C$21, $C$9, 100%, $E$9)</f>
        <v>31.587399999999999</v>
      </c>
      <c r="L598" s="14">
        <f>CHOOSE(CONTROL!$C$42, 32.3255, 32.3255) * CHOOSE(CONTROL!$C$21, $C$9, 100%, $E$9)</f>
        <v>32.325499999999998</v>
      </c>
      <c r="M598" s="14">
        <f>CHOOSE(CONTROL!$C$42, 30.831, 30.831) * CHOOSE(CONTROL!$C$21, $C$9, 100%, $E$9)</f>
        <v>30.831</v>
      </c>
      <c r="N598" s="14">
        <f>CHOOSE(CONTROL!$C$42, 30.8469, 30.8469) * CHOOSE(CONTROL!$C$21, $C$9, 100%, $E$9)</f>
        <v>30.846900000000002</v>
      </c>
      <c r="O598" s="14">
        <f>CHOOSE(CONTROL!$C$42, 31.0959, 31.0959) * CHOOSE(CONTROL!$C$21, $C$9, 100%, $E$9)</f>
        <v>31.0959</v>
      </c>
      <c r="P598" s="14">
        <f>CHOOSE(CONTROL!$C$42, 30.9498, 30.9498) * CHOOSE(CONTROL!$C$21, $C$9, 100%, $E$9)</f>
        <v>30.9498</v>
      </c>
      <c r="Q598" s="14">
        <f>CHOOSE(CONTROL!$C$42, 31.6906, 31.6906) * CHOOSE(CONTROL!$C$21, $C$9, 100%, $E$9)</f>
        <v>31.6906</v>
      </c>
      <c r="R598" s="14">
        <f>CHOOSE(CONTROL!$C$42, 32.3568, 32.3568) * CHOOSE(CONTROL!$C$21, $C$9, 100%, $E$9)</f>
        <v>32.3568</v>
      </c>
      <c r="S598" s="14">
        <f>CHOOSE(CONTROL!$C$42, 30.2354, 30.2354) * CHOOSE(CONTROL!$C$21, $C$9, 100%, $E$9)</f>
        <v>30.235399999999998</v>
      </c>
      <c r="T5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7">
        <f>(1000*CHOOSE(CONTROL!$C$42, 695, 695)*CHOOSE(CONTROL!$C$42, 0.5599, 0.5599)*CHOOSE(CONTROL!$C$42, 31, 31))/1000000</f>
        <v>12.063045499999998</v>
      </c>
      <c r="V598" s="57">
        <f>(1000*CHOOSE(CONTROL!$C$42, 500, 500)*CHOOSE(CONTROL!$C$42, 0.275, 0.275)*CHOOSE(CONTROL!$C$42, 31, 31))/1000000</f>
        <v>4.2625000000000002</v>
      </c>
      <c r="W598" s="57">
        <f>(1000*CHOOSE(CONTROL!$C$42, 0.1146, 0.1146)*CHOOSE(CONTROL!$C$42, 121.5, 121.5)*CHOOSE(CONTROL!$C$42, 31, 31))/1000000</f>
        <v>0.43164089999999994</v>
      </c>
      <c r="X598" s="57">
        <f>(31*0.1790888*245000/1000000)+(31*0.2374*100000/1000000)</f>
        <v>2.0961194359999999</v>
      </c>
      <c r="Y598" s="57"/>
      <c r="Z598" s="14"/>
      <c r="AA598" s="56"/>
      <c r="AB598" s="50">
        <f>(B598*131.881+C598*277.167+D598*79.08+E598*125.872+F598*40+G598*185+H598*0+I598*100+J598*300)/(131.881+277.167+79.08+125.872+0+40+185+100+300)</f>
        <v>31.529662526069416</v>
      </c>
      <c r="AC598" s="45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30.926078417266183</v>
      </c>
    </row>
    <row r="599" spans="1:29" ht="15.75" x14ac:dyDescent="0.25">
      <c r="A599" s="32">
        <v>59140</v>
      </c>
      <c r="B599" s="14">
        <f>CHOOSE(CONTROL!$C$42, 32.3036, 32.3036) * CHOOSE(CONTROL!$C$21, $C$9, 100%, $E$9)</f>
        <v>32.303600000000003</v>
      </c>
      <c r="C599" s="14">
        <f>CHOOSE(CONTROL!$C$42, 32.3086, 32.3086) * CHOOSE(CONTROL!$C$21, $C$9, 100%, $E$9)</f>
        <v>32.308599999999998</v>
      </c>
      <c r="D599" s="14">
        <f>CHOOSE(CONTROL!$C$42, 32.3828, 32.3828) * CHOOSE(CONTROL!$C$21, $C$9, 100%, $E$9)</f>
        <v>32.382800000000003</v>
      </c>
      <c r="E599" s="14">
        <f>CHOOSE(CONTROL!$C$42, 32.4169, 32.4169) * CHOOSE(CONTROL!$C$21, $C$9, 100%, $E$9)</f>
        <v>32.416899999999998</v>
      </c>
      <c r="F599" s="14">
        <f>CHOOSE(CONTROL!$C$42, 32.3156, 32.3156)*CHOOSE(CONTROL!$C$21, $C$9, 100%, $E$9)</f>
        <v>32.315600000000003</v>
      </c>
      <c r="G599" s="14">
        <f>CHOOSE(CONTROL!$C$42, 32.3322, 32.3322)*CHOOSE(CONTROL!$C$21, $C$9, 100%, $E$9)</f>
        <v>32.3322</v>
      </c>
      <c r="H599" s="14">
        <f>CHOOSE(CONTROL!$C$42, 32.4061, 32.4061) * CHOOSE(CONTROL!$C$21, $C$9, 100%, $E$9)</f>
        <v>32.406100000000002</v>
      </c>
      <c r="I599" s="14">
        <f>CHOOSE(CONTROL!$C$42, 32.4291, 32.4291)* CHOOSE(CONTROL!$C$21, $C$9, 100%, $E$9)</f>
        <v>32.429099999999998</v>
      </c>
      <c r="J599" s="14">
        <f>CHOOSE(CONTROL!$C$42, 32.3086, 32.3086)* CHOOSE(CONTROL!$C$21, $C$9, 100%, $E$9)</f>
        <v>32.308599999999998</v>
      </c>
      <c r="K599" s="53">
        <f>CHOOSE(CONTROL!$C$42, 32.4252, 32.4252) * CHOOSE(CONTROL!$C$21, $C$9, 100%, $E$9)</f>
        <v>32.425199999999997</v>
      </c>
      <c r="L599" s="14">
        <f>CHOOSE(CONTROL!$C$42, 32.9931, 32.9931) * CHOOSE(CONTROL!$C$21, $C$9, 100%, $E$9)</f>
        <v>32.993099999999998</v>
      </c>
      <c r="M599" s="14">
        <f>CHOOSE(CONTROL!$C$42, 31.6543, 31.6543) * CHOOSE(CONTROL!$C$21, $C$9, 100%, $E$9)</f>
        <v>31.654299999999999</v>
      </c>
      <c r="N599" s="14">
        <f>CHOOSE(CONTROL!$C$42, 31.6706, 31.6706) * CHOOSE(CONTROL!$C$21, $C$9, 100%, $E$9)</f>
        <v>31.6706</v>
      </c>
      <c r="O599" s="14">
        <f>CHOOSE(CONTROL!$C$42, 31.7499, 31.7499) * CHOOSE(CONTROL!$C$21, $C$9, 100%, $E$9)</f>
        <v>31.7499</v>
      </c>
      <c r="P599" s="14">
        <f>CHOOSE(CONTROL!$C$42, 31.7703, 31.7703) * CHOOSE(CONTROL!$C$21, $C$9, 100%, $E$9)</f>
        <v>31.770299999999999</v>
      </c>
      <c r="Q599" s="14">
        <f>CHOOSE(CONTROL!$C$42, 32.3446, 32.3446) * CHOOSE(CONTROL!$C$21, $C$9, 100%, $E$9)</f>
        <v>32.3446</v>
      </c>
      <c r="R599" s="14">
        <f>CHOOSE(CONTROL!$C$42, 33.0124, 33.0124) * CHOOSE(CONTROL!$C$21, $C$9, 100%, $E$9)</f>
        <v>33.0124</v>
      </c>
      <c r="S599" s="14">
        <f>CHOOSE(CONTROL!$C$42, 31.0319, 31.0319) * CHOOSE(CONTROL!$C$21, $C$9, 100%, $E$9)</f>
        <v>31.0319</v>
      </c>
      <c r="T5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7">
        <f>(1000*CHOOSE(CONTROL!$C$42, 695, 695)*CHOOSE(CONTROL!$C$42, 0.5599, 0.5599)*CHOOSE(CONTROL!$C$42, 30, 30))/1000000</f>
        <v>11.673914999999997</v>
      </c>
      <c r="V599" s="57">
        <f>(1000*CHOOSE(CONTROL!$C$42, 500, 500)*CHOOSE(CONTROL!$C$42, 0.275, 0.275)*CHOOSE(CONTROL!$C$42, 30, 30))/1000000</f>
        <v>4.125</v>
      </c>
      <c r="W599" s="57">
        <f>(1000*CHOOSE(CONTROL!$C$42, 0.1146, 0.1146)*CHOOSE(CONTROL!$C$42, 121.5, 121.5)*CHOOSE(CONTROL!$C$42, 30, 30))/1000000</f>
        <v>0.417717</v>
      </c>
      <c r="X599" s="57">
        <f>(30*0.1790888*100000/1000000)+(30*0.2374*100000/1000000)</f>
        <v>1.2494664</v>
      </c>
      <c r="Y599" s="57"/>
      <c r="Z599" s="14"/>
      <c r="AA599" s="56"/>
      <c r="AB599" s="50">
        <f>(B599*122.58+C599*297.941+D599*89.177+E599*40.302+F599*40+G599*160+H599*0+I599*100+J599*300)/(122.58+297.941+89.177+40.302+0+40+160+100+300)</f>
        <v>32.331621513043473</v>
      </c>
      <c r="AC599" s="45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31.715258273381298</v>
      </c>
    </row>
    <row r="600" spans="1:29" ht="15.75" x14ac:dyDescent="0.25">
      <c r="A600" s="32">
        <v>59171</v>
      </c>
      <c r="B600" s="14">
        <f>CHOOSE(CONTROL!$C$42, 34.5053, 34.5053) * CHOOSE(CONTROL!$C$21, $C$9, 100%, $E$9)</f>
        <v>34.505299999999998</v>
      </c>
      <c r="C600" s="14">
        <f>CHOOSE(CONTROL!$C$42, 34.5104, 34.5104) * CHOOSE(CONTROL!$C$21, $C$9, 100%, $E$9)</f>
        <v>34.510399999999997</v>
      </c>
      <c r="D600" s="14">
        <f>CHOOSE(CONTROL!$C$42, 34.5846, 34.5846) * CHOOSE(CONTROL!$C$21, $C$9, 100%, $E$9)</f>
        <v>34.584600000000002</v>
      </c>
      <c r="E600" s="14">
        <f>CHOOSE(CONTROL!$C$42, 34.6187, 34.6187) * CHOOSE(CONTROL!$C$21, $C$9, 100%, $E$9)</f>
        <v>34.618699999999997</v>
      </c>
      <c r="F600" s="14">
        <f>CHOOSE(CONTROL!$C$42, 34.5196, 34.5196)*CHOOSE(CONTROL!$C$21, $C$9, 100%, $E$9)</f>
        <v>34.519599999999997</v>
      </c>
      <c r="G600" s="14">
        <f>CHOOSE(CONTROL!$C$42, 34.5367, 34.5367)*CHOOSE(CONTROL!$C$21, $C$9, 100%, $E$9)</f>
        <v>34.536700000000003</v>
      </c>
      <c r="H600" s="14">
        <f>CHOOSE(CONTROL!$C$42, 34.6079, 34.6079) * CHOOSE(CONTROL!$C$21, $C$9, 100%, $E$9)</f>
        <v>34.607900000000001</v>
      </c>
      <c r="I600" s="14">
        <f>CHOOSE(CONTROL!$C$42, 34.6377, 34.6377)* CHOOSE(CONTROL!$C$21, $C$9, 100%, $E$9)</f>
        <v>34.637700000000002</v>
      </c>
      <c r="J600" s="14">
        <f>CHOOSE(CONTROL!$C$42, 34.5126, 34.5126)* CHOOSE(CONTROL!$C$21, $C$9, 100%, $E$9)</f>
        <v>34.512599999999999</v>
      </c>
      <c r="K600" s="53">
        <f>CHOOSE(CONTROL!$C$42, 34.6338, 34.6338) * CHOOSE(CONTROL!$C$21, $C$9, 100%, $E$9)</f>
        <v>34.633800000000001</v>
      </c>
      <c r="L600" s="14">
        <f>CHOOSE(CONTROL!$C$42, 35.1949, 35.1949) * CHOOSE(CONTROL!$C$21, $C$9, 100%, $E$9)</f>
        <v>35.194899999999997</v>
      </c>
      <c r="M600" s="14">
        <f>CHOOSE(CONTROL!$C$42, 33.8131, 33.8131) * CHOOSE(CONTROL!$C$21, $C$9, 100%, $E$9)</f>
        <v>33.813099999999999</v>
      </c>
      <c r="N600" s="14">
        <f>CHOOSE(CONTROL!$C$42, 33.8299, 33.8299) * CHOOSE(CONTROL!$C$21, $C$9, 100%, $E$9)</f>
        <v>33.829900000000002</v>
      </c>
      <c r="O600" s="14">
        <f>CHOOSE(CONTROL!$C$42, 33.9065, 33.9065) * CHOOSE(CONTROL!$C$21, $C$9, 100%, $E$9)</f>
        <v>33.906500000000001</v>
      </c>
      <c r="P600" s="14">
        <f>CHOOSE(CONTROL!$C$42, 33.9336, 33.9336) * CHOOSE(CONTROL!$C$21, $C$9, 100%, $E$9)</f>
        <v>33.933599999999998</v>
      </c>
      <c r="Q600" s="14">
        <f>CHOOSE(CONTROL!$C$42, 34.5012, 34.5012) * CHOOSE(CONTROL!$C$21, $C$9, 100%, $E$9)</f>
        <v>34.501199999999997</v>
      </c>
      <c r="R600" s="14">
        <f>CHOOSE(CONTROL!$C$42, 35.1745, 35.1745) * CHOOSE(CONTROL!$C$21, $C$9, 100%, $E$9)</f>
        <v>35.174500000000002</v>
      </c>
      <c r="S600" s="14">
        <f>CHOOSE(CONTROL!$C$42, 33.1476, 33.1476) * CHOOSE(CONTROL!$C$21, $C$9, 100%, $E$9)</f>
        <v>33.147599999999997</v>
      </c>
      <c r="T6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7">
        <f>(1000*CHOOSE(CONTROL!$C$42, 695, 695)*CHOOSE(CONTROL!$C$42, 0.5599, 0.5599)*CHOOSE(CONTROL!$C$42, 31, 31))/1000000</f>
        <v>12.063045499999998</v>
      </c>
      <c r="V600" s="57">
        <f>(1000*CHOOSE(CONTROL!$C$42, 500, 500)*CHOOSE(CONTROL!$C$42, 0.275, 0.275)*CHOOSE(CONTROL!$C$42, 31, 31))/1000000</f>
        <v>4.2625000000000002</v>
      </c>
      <c r="W600" s="57">
        <f>(1000*CHOOSE(CONTROL!$C$42, 0.1146, 0.1146)*CHOOSE(CONTROL!$C$42, 121.5, 121.5)*CHOOSE(CONTROL!$C$42, 31, 31))/1000000</f>
        <v>0.43164089999999994</v>
      </c>
      <c r="X600" s="57">
        <f>(31*0.1790888*100000/1000000)+(31*0.2374*100000/1000000)</f>
        <v>1.2911152800000001</v>
      </c>
      <c r="Y600" s="57"/>
      <c r="Z600" s="14"/>
      <c r="AA600" s="56"/>
      <c r="AB600" s="50">
        <f>(B600*122.58+C600*297.941+D600*89.177+E600*40.302+F600*40+G600*160+H600*0+I600*100+J600*300)/(122.58+297.941+89.177+40.302+0+40+160+100+300)</f>
        <v>34.53502824521739</v>
      </c>
      <c r="AC600" s="45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33.873737410071946</v>
      </c>
    </row>
    <row r="601" spans="1:29" ht="15.75" x14ac:dyDescent="0.25">
      <c r="A601" s="32">
        <v>59202</v>
      </c>
      <c r="B601" s="14">
        <f>CHOOSE(CONTROL!$C$42, 37.365, 37.365) * CHOOSE(CONTROL!$C$21, $C$9, 100%, $E$9)</f>
        <v>37.365000000000002</v>
      </c>
      <c r="C601" s="14">
        <f>CHOOSE(CONTROL!$C$42, 37.3701, 37.3701) * CHOOSE(CONTROL!$C$21, $C$9, 100%, $E$9)</f>
        <v>37.370100000000001</v>
      </c>
      <c r="D601" s="14">
        <f>CHOOSE(CONTROL!$C$42, 37.4469, 37.4469) * CHOOSE(CONTROL!$C$21, $C$9, 100%, $E$9)</f>
        <v>37.446899999999999</v>
      </c>
      <c r="E601" s="14">
        <f>CHOOSE(CONTROL!$C$42, 37.481, 37.481) * CHOOSE(CONTROL!$C$21, $C$9, 100%, $E$9)</f>
        <v>37.481000000000002</v>
      </c>
      <c r="F601" s="14">
        <f>CHOOSE(CONTROL!$C$42, 37.3652, 37.3652)*CHOOSE(CONTROL!$C$21, $C$9, 100%, $E$9)</f>
        <v>37.365200000000002</v>
      </c>
      <c r="G601" s="14">
        <f>CHOOSE(CONTROL!$C$42, 37.3815, 37.3815)*CHOOSE(CONTROL!$C$21, $C$9, 100%, $E$9)</f>
        <v>37.381500000000003</v>
      </c>
      <c r="H601" s="14">
        <f>CHOOSE(CONTROL!$C$42, 37.4702, 37.4702) * CHOOSE(CONTROL!$C$21, $C$9, 100%, $E$9)</f>
        <v>37.470199999999998</v>
      </c>
      <c r="I601" s="14">
        <f>CHOOSE(CONTROL!$C$42, 37.5001, 37.5001)* CHOOSE(CONTROL!$C$21, $C$9, 100%, $E$9)</f>
        <v>37.500100000000003</v>
      </c>
      <c r="J601" s="14">
        <f>CHOOSE(CONTROL!$C$42, 37.3582, 37.3582)* CHOOSE(CONTROL!$C$21, $C$9, 100%, $E$9)</f>
        <v>37.358199999999997</v>
      </c>
      <c r="K601" s="53">
        <f>CHOOSE(CONTROL!$C$42, 37.4962, 37.4962) * CHOOSE(CONTROL!$C$21, $C$9, 100%, $E$9)</f>
        <v>37.496200000000002</v>
      </c>
      <c r="L601" s="14">
        <f>CHOOSE(CONTROL!$C$42, 38.0572, 38.0572) * CHOOSE(CONTROL!$C$21, $C$9, 100%, $E$9)</f>
        <v>38.057200000000002</v>
      </c>
      <c r="M601" s="14">
        <f>CHOOSE(CONTROL!$C$42, 36.6005, 36.6005) * CHOOSE(CONTROL!$C$21, $C$9, 100%, $E$9)</f>
        <v>36.600499999999997</v>
      </c>
      <c r="N601" s="14">
        <f>CHOOSE(CONTROL!$C$42, 36.6164, 36.6164) * CHOOSE(CONTROL!$C$21, $C$9, 100%, $E$9)</f>
        <v>36.616399999999999</v>
      </c>
      <c r="O601" s="14">
        <f>CHOOSE(CONTROL!$C$42, 36.7102, 36.7102) * CHOOSE(CONTROL!$C$21, $C$9, 100%, $E$9)</f>
        <v>36.7102</v>
      </c>
      <c r="P601" s="14">
        <f>CHOOSE(CONTROL!$C$42, 36.7372, 36.7372) * CHOOSE(CONTROL!$C$21, $C$9, 100%, $E$9)</f>
        <v>36.737200000000001</v>
      </c>
      <c r="Q601" s="14">
        <f>CHOOSE(CONTROL!$C$42, 37.3049, 37.3049) * CHOOSE(CONTROL!$C$21, $C$9, 100%, $E$9)</f>
        <v>37.304900000000004</v>
      </c>
      <c r="R601" s="14">
        <f>CHOOSE(CONTROL!$C$42, 37.9851, 37.9851) * CHOOSE(CONTROL!$C$21, $C$9, 100%, $E$9)</f>
        <v>37.985100000000003</v>
      </c>
      <c r="S601" s="14">
        <f>CHOOSE(CONTROL!$C$42, 35.8955, 35.8955) * CHOOSE(CONTROL!$C$21, $C$9, 100%, $E$9)</f>
        <v>35.895499999999998</v>
      </c>
      <c r="T6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7">
        <f>(1000*CHOOSE(CONTROL!$C$42, 695, 695)*CHOOSE(CONTROL!$C$42, 0.5599, 0.5599)*CHOOSE(CONTROL!$C$42, 31, 31))/1000000</f>
        <v>12.063045499999998</v>
      </c>
      <c r="V601" s="57">
        <f>(1000*CHOOSE(CONTROL!$C$42, 500, 500)*CHOOSE(CONTROL!$C$42, 0.275, 0.275)*CHOOSE(CONTROL!$C$42, 31, 31))/1000000</f>
        <v>4.2625000000000002</v>
      </c>
      <c r="W601" s="57">
        <f>(1000*CHOOSE(CONTROL!$C$42, 0.1146, 0.1146)*CHOOSE(CONTROL!$C$42, 121.5, 121.5)*CHOOSE(CONTROL!$C$42, 31, 31))/1000000</f>
        <v>0.43164089999999994</v>
      </c>
      <c r="X601" s="57">
        <f>(31*0.1790888*100000/1000000)+(31*0.2374*100000/1000000)</f>
        <v>1.2911152800000001</v>
      </c>
      <c r="Y601" s="57"/>
      <c r="Z601" s="14"/>
      <c r="AA601" s="56"/>
      <c r="AB601" s="50">
        <f>(B601*122.58+C601*297.941+D601*89.177+E601*40.302+F601*40+G601*160+H601*0+I601*100+J601*300)/(122.58+297.941+89.177+40.302+0+40+160+100+300)</f>
        <v>37.389014023826086</v>
      </c>
      <c r="AC601" s="45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36.670804316546764</v>
      </c>
    </row>
    <row r="602" spans="1:29" ht="15.75" x14ac:dyDescent="0.25">
      <c r="A602" s="32">
        <v>59230</v>
      </c>
      <c r="B602" s="14">
        <f>CHOOSE(CONTROL!$C$42, 38.03, 38.03) * CHOOSE(CONTROL!$C$21, $C$9, 100%, $E$9)</f>
        <v>38.03</v>
      </c>
      <c r="C602" s="14">
        <f>CHOOSE(CONTROL!$C$42, 38.0351, 38.0351) * CHOOSE(CONTROL!$C$21, $C$9, 100%, $E$9)</f>
        <v>38.0351</v>
      </c>
      <c r="D602" s="14">
        <f>CHOOSE(CONTROL!$C$42, 38.1119, 38.1119) * CHOOSE(CONTROL!$C$21, $C$9, 100%, $E$9)</f>
        <v>38.111899999999999</v>
      </c>
      <c r="E602" s="14">
        <f>CHOOSE(CONTROL!$C$42, 38.146, 38.146) * CHOOSE(CONTROL!$C$21, $C$9, 100%, $E$9)</f>
        <v>38.146000000000001</v>
      </c>
      <c r="F602" s="14">
        <f>CHOOSE(CONTROL!$C$42, 38.0303, 38.0303)*CHOOSE(CONTROL!$C$21, $C$9, 100%, $E$9)</f>
        <v>38.030299999999997</v>
      </c>
      <c r="G602" s="14">
        <f>CHOOSE(CONTROL!$C$42, 38.0465, 38.0465)*CHOOSE(CONTROL!$C$21, $C$9, 100%, $E$9)</f>
        <v>38.046500000000002</v>
      </c>
      <c r="H602" s="14">
        <f>CHOOSE(CONTROL!$C$42, 38.1352, 38.1352) * CHOOSE(CONTROL!$C$21, $C$9, 100%, $E$9)</f>
        <v>38.135199999999998</v>
      </c>
      <c r="I602" s="14">
        <f>CHOOSE(CONTROL!$C$42, 38.1672, 38.1672)* CHOOSE(CONTROL!$C$21, $C$9, 100%, $E$9)</f>
        <v>38.167200000000001</v>
      </c>
      <c r="J602" s="14">
        <f>CHOOSE(CONTROL!$C$42, 38.0233, 38.0233)* CHOOSE(CONTROL!$C$21, $C$9, 100%, $E$9)</f>
        <v>38.023299999999999</v>
      </c>
      <c r="K602" s="53">
        <f>CHOOSE(CONTROL!$C$42, 38.1633, 38.1633) * CHOOSE(CONTROL!$C$21, $C$9, 100%, $E$9)</f>
        <v>38.1633</v>
      </c>
      <c r="L602" s="14">
        <f>CHOOSE(CONTROL!$C$42, 38.7222, 38.7222) * CHOOSE(CONTROL!$C$21, $C$9, 100%, $E$9)</f>
        <v>38.722200000000001</v>
      </c>
      <c r="M602" s="14">
        <f>CHOOSE(CONTROL!$C$42, 37.2519, 37.2519) * CHOOSE(CONTROL!$C$21, $C$9, 100%, $E$9)</f>
        <v>37.251899999999999</v>
      </c>
      <c r="N602" s="14">
        <f>CHOOSE(CONTROL!$C$42, 37.2678, 37.2678) * CHOOSE(CONTROL!$C$21, $C$9, 100%, $E$9)</f>
        <v>37.267800000000001</v>
      </c>
      <c r="O602" s="14">
        <f>CHOOSE(CONTROL!$C$42, 37.3615, 37.3615) * CHOOSE(CONTROL!$C$21, $C$9, 100%, $E$9)</f>
        <v>37.361499999999999</v>
      </c>
      <c r="P602" s="14">
        <f>CHOOSE(CONTROL!$C$42, 37.3905, 37.3905) * CHOOSE(CONTROL!$C$21, $C$9, 100%, $E$9)</f>
        <v>37.390500000000003</v>
      </c>
      <c r="Q602" s="14">
        <f>CHOOSE(CONTROL!$C$42, 37.9562, 37.9562) * CHOOSE(CONTROL!$C$21, $C$9, 100%, $E$9)</f>
        <v>37.956200000000003</v>
      </c>
      <c r="R602" s="14">
        <f>CHOOSE(CONTROL!$C$42, 38.6381, 38.6381) * CHOOSE(CONTROL!$C$21, $C$9, 100%, $E$9)</f>
        <v>38.638100000000001</v>
      </c>
      <c r="S602" s="14">
        <f>CHOOSE(CONTROL!$C$42, 36.5345, 36.5345) * CHOOSE(CONTROL!$C$21, $C$9, 100%, $E$9)</f>
        <v>36.534500000000001</v>
      </c>
      <c r="T6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7">
        <f>(1000*CHOOSE(CONTROL!$C$42, 695, 695)*CHOOSE(CONTROL!$C$42, 0.5599, 0.5599)*CHOOSE(CONTROL!$C$42, 28, 28))/1000000</f>
        <v>10.895653999999999</v>
      </c>
      <c r="V602" s="57">
        <f>(1000*CHOOSE(CONTROL!$C$42, 500, 500)*CHOOSE(CONTROL!$C$42, 0.275, 0.275)*CHOOSE(CONTROL!$C$42, 28, 28))/1000000</f>
        <v>3.85</v>
      </c>
      <c r="W602" s="57">
        <f>(1000*CHOOSE(CONTROL!$C$42, 0.1146, 0.1146)*CHOOSE(CONTROL!$C$42, 121.5, 121.5)*CHOOSE(CONTROL!$C$42, 28, 28))/1000000</f>
        <v>0.38986920000000003</v>
      </c>
      <c r="X602" s="57">
        <f>(28*0.1790888*100000/1000000)+(28*0.2374*100000/1000000)</f>
        <v>1.16616864</v>
      </c>
      <c r="Y602" s="57"/>
      <c r="Z602" s="14"/>
      <c r="AA602" s="56"/>
      <c r="AB602" s="50">
        <f>(B602*122.58+C602*297.941+D602*89.177+E602*40.302+F602*40+G602*160+H602*0+I602*100+J602*300)/(122.58+297.941+89.177+40.302+0+40+160+100+300)</f>
        <v>38.054226197739126</v>
      </c>
      <c r="AC602" s="45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37.322432374100714</v>
      </c>
    </row>
    <row r="603" spans="1:29" ht="15.75" x14ac:dyDescent="0.25">
      <c r="A603" s="32">
        <v>59261</v>
      </c>
      <c r="B603" s="14">
        <f>CHOOSE(CONTROL!$C$42, 36.9506, 36.9506) * CHOOSE(CONTROL!$C$21, $C$9, 100%, $E$9)</f>
        <v>36.950600000000001</v>
      </c>
      <c r="C603" s="14">
        <f>CHOOSE(CONTROL!$C$42, 36.9557, 36.9557) * CHOOSE(CONTROL!$C$21, $C$9, 100%, $E$9)</f>
        <v>36.9557</v>
      </c>
      <c r="D603" s="14">
        <f>CHOOSE(CONTROL!$C$42, 37.0325, 37.0325) * CHOOSE(CONTROL!$C$21, $C$9, 100%, $E$9)</f>
        <v>37.032499999999999</v>
      </c>
      <c r="E603" s="14">
        <f>CHOOSE(CONTROL!$C$42, 37.0666, 37.0666) * CHOOSE(CONTROL!$C$21, $C$9, 100%, $E$9)</f>
        <v>37.066600000000001</v>
      </c>
      <c r="F603" s="14">
        <f>CHOOSE(CONTROL!$C$42, 36.9504, 36.9504)*CHOOSE(CONTROL!$C$21, $C$9, 100%, $E$9)</f>
        <v>36.950400000000002</v>
      </c>
      <c r="G603" s="14">
        <f>CHOOSE(CONTROL!$C$42, 36.9665, 36.9665)*CHOOSE(CONTROL!$C$21, $C$9, 100%, $E$9)</f>
        <v>36.966500000000003</v>
      </c>
      <c r="H603" s="14">
        <f>CHOOSE(CONTROL!$C$42, 37.0558, 37.0558) * CHOOSE(CONTROL!$C$21, $C$9, 100%, $E$9)</f>
        <v>37.055799999999998</v>
      </c>
      <c r="I603" s="14">
        <f>CHOOSE(CONTROL!$C$42, 37.0844, 37.0844)* CHOOSE(CONTROL!$C$21, $C$9, 100%, $E$9)</f>
        <v>37.084400000000002</v>
      </c>
      <c r="J603" s="14">
        <f>CHOOSE(CONTROL!$C$42, 36.9434, 36.9434)* CHOOSE(CONTROL!$C$21, $C$9, 100%, $E$9)</f>
        <v>36.943399999999997</v>
      </c>
      <c r="K603" s="53">
        <f>CHOOSE(CONTROL!$C$42, 37.0805, 37.0805) * CHOOSE(CONTROL!$C$21, $C$9, 100%, $E$9)</f>
        <v>37.080500000000001</v>
      </c>
      <c r="L603" s="14">
        <f>CHOOSE(CONTROL!$C$42, 37.6428, 37.6428) * CHOOSE(CONTROL!$C$21, $C$9, 100%, $E$9)</f>
        <v>37.642800000000001</v>
      </c>
      <c r="M603" s="14">
        <f>CHOOSE(CONTROL!$C$42, 36.1941, 36.1941) * CHOOSE(CONTROL!$C$21, $C$9, 100%, $E$9)</f>
        <v>36.194099999999999</v>
      </c>
      <c r="N603" s="14">
        <f>CHOOSE(CONTROL!$C$42, 36.2099, 36.2099) * CHOOSE(CONTROL!$C$21, $C$9, 100%, $E$9)</f>
        <v>36.209899999999998</v>
      </c>
      <c r="O603" s="14">
        <f>CHOOSE(CONTROL!$C$42, 36.3042, 36.3042) * CHOOSE(CONTROL!$C$21, $C$9, 100%, $E$9)</f>
        <v>36.304200000000002</v>
      </c>
      <c r="P603" s="14">
        <f>CHOOSE(CONTROL!$C$42, 36.33, 36.33) * CHOOSE(CONTROL!$C$21, $C$9, 100%, $E$9)</f>
        <v>36.33</v>
      </c>
      <c r="Q603" s="14">
        <f>CHOOSE(CONTROL!$C$42, 36.8989, 36.8989) * CHOOSE(CONTROL!$C$21, $C$9, 100%, $E$9)</f>
        <v>36.898899999999998</v>
      </c>
      <c r="R603" s="14">
        <f>CHOOSE(CONTROL!$C$42, 37.5782, 37.5782) * CHOOSE(CONTROL!$C$21, $C$9, 100%, $E$9)</f>
        <v>37.578200000000002</v>
      </c>
      <c r="S603" s="14">
        <f>CHOOSE(CONTROL!$C$42, 35.4973, 35.4973) * CHOOSE(CONTROL!$C$21, $C$9, 100%, $E$9)</f>
        <v>35.497300000000003</v>
      </c>
      <c r="T6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7">
        <f>(1000*CHOOSE(CONTROL!$C$42, 695, 695)*CHOOSE(CONTROL!$C$42, 0.5599, 0.5599)*CHOOSE(CONTROL!$C$42, 31, 31))/1000000</f>
        <v>12.063045499999998</v>
      </c>
      <c r="V603" s="57">
        <f>(1000*CHOOSE(CONTROL!$C$42, 500, 500)*CHOOSE(CONTROL!$C$42, 0.275, 0.275)*CHOOSE(CONTROL!$C$42, 31, 31))/1000000</f>
        <v>4.2625000000000002</v>
      </c>
      <c r="W603" s="57">
        <f>(1000*CHOOSE(CONTROL!$C$42, 0.1146, 0.1146)*CHOOSE(CONTROL!$C$42, 121.5, 121.5)*CHOOSE(CONTROL!$C$42, 31, 31))/1000000</f>
        <v>0.43164089999999994</v>
      </c>
      <c r="X603" s="57">
        <f>(31*0.1790888*100000/1000000)+(31*0.2374*100000/1000000)</f>
        <v>1.2911152800000001</v>
      </c>
      <c r="Y603" s="57"/>
      <c r="Z603" s="14"/>
      <c r="AA603" s="56"/>
      <c r="AB603" s="50">
        <f>(B603*122.58+C603*297.941+D603*89.177+E603*40.302+F603*40+G603*160+H603*0+I603*100+J603*300)/(122.58+297.941+89.177+40.302+0+40+160+100+300)</f>
        <v>36.974299241217388</v>
      </c>
      <c r="AC603" s="45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36.264464748201441</v>
      </c>
    </row>
    <row r="604" spans="1:29" ht="15.75" x14ac:dyDescent="0.25">
      <c r="A604" s="32">
        <v>59291</v>
      </c>
      <c r="B604" s="14">
        <f>CHOOSE(CONTROL!$C$42, 36.8412, 36.8412) * CHOOSE(CONTROL!$C$21, $C$9, 100%, $E$9)</f>
        <v>36.841200000000001</v>
      </c>
      <c r="C604" s="14">
        <f>CHOOSE(CONTROL!$C$42, 36.8457, 36.8457) * CHOOSE(CONTROL!$C$21, $C$9, 100%, $E$9)</f>
        <v>36.845700000000001</v>
      </c>
      <c r="D604" s="14">
        <f>CHOOSE(CONTROL!$C$42, 37.0824, 37.0824) * CHOOSE(CONTROL!$C$21, $C$9, 100%, $E$9)</f>
        <v>37.0824</v>
      </c>
      <c r="E604" s="14">
        <f>CHOOSE(CONTROL!$C$42, 37.1146, 37.1146) * CHOOSE(CONTROL!$C$21, $C$9, 100%, $E$9)</f>
        <v>37.114600000000003</v>
      </c>
      <c r="F604" s="14">
        <f>CHOOSE(CONTROL!$C$42, 36.8392, 36.8392)*CHOOSE(CONTROL!$C$21, $C$9, 100%, $E$9)</f>
        <v>36.839199999999998</v>
      </c>
      <c r="G604" s="14">
        <f>CHOOSE(CONTROL!$C$42, 36.855, 36.855)*CHOOSE(CONTROL!$C$21, $C$9, 100%, $E$9)</f>
        <v>36.854999999999997</v>
      </c>
      <c r="H604" s="14">
        <f>CHOOSE(CONTROL!$C$42, 37.1043, 37.1043) * CHOOSE(CONTROL!$C$21, $C$9, 100%, $E$9)</f>
        <v>37.104300000000002</v>
      </c>
      <c r="I604" s="14">
        <f>CHOOSE(CONTROL!$C$42, 36.9739, 36.9739)* CHOOSE(CONTROL!$C$21, $C$9, 100%, $E$9)</f>
        <v>36.9739</v>
      </c>
      <c r="J604" s="14">
        <f>CHOOSE(CONTROL!$C$42, 36.8322, 36.8322)* CHOOSE(CONTROL!$C$21, $C$9, 100%, $E$9)</f>
        <v>36.8322</v>
      </c>
      <c r="K604" s="53">
        <f>CHOOSE(CONTROL!$C$42, 36.97, 36.97) * CHOOSE(CONTROL!$C$21, $C$9, 100%, $E$9)</f>
        <v>36.97</v>
      </c>
      <c r="L604" s="14">
        <f>CHOOSE(CONTROL!$C$42, 37.6913, 37.6913) * CHOOSE(CONTROL!$C$21, $C$9, 100%, $E$9)</f>
        <v>37.691299999999998</v>
      </c>
      <c r="M604" s="14">
        <f>CHOOSE(CONTROL!$C$42, 36.0852, 36.0852) * CHOOSE(CONTROL!$C$21, $C$9, 100%, $E$9)</f>
        <v>36.0852</v>
      </c>
      <c r="N604" s="14">
        <f>CHOOSE(CONTROL!$C$42, 36.1007, 36.1007) * CHOOSE(CONTROL!$C$21, $C$9, 100%, $E$9)</f>
        <v>36.100700000000003</v>
      </c>
      <c r="O604" s="14">
        <f>CHOOSE(CONTROL!$C$42, 36.3518, 36.3518) * CHOOSE(CONTROL!$C$21, $C$9, 100%, $E$9)</f>
        <v>36.351799999999997</v>
      </c>
      <c r="P604" s="14">
        <f>CHOOSE(CONTROL!$C$42, 36.2218, 36.2218) * CHOOSE(CONTROL!$C$21, $C$9, 100%, $E$9)</f>
        <v>36.221800000000002</v>
      </c>
      <c r="Q604" s="14">
        <f>CHOOSE(CONTROL!$C$42, 36.9465, 36.9465) * CHOOSE(CONTROL!$C$21, $C$9, 100%, $E$9)</f>
        <v>36.9465</v>
      </c>
      <c r="R604" s="14">
        <f>CHOOSE(CONTROL!$C$42, 37.6259, 37.6259) * CHOOSE(CONTROL!$C$21, $C$9, 100%, $E$9)</f>
        <v>37.625900000000001</v>
      </c>
      <c r="S604" s="14">
        <f>CHOOSE(CONTROL!$C$42, 35.3914, 35.3914) * CHOOSE(CONTROL!$C$21, $C$9, 100%, $E$9)</f>
        <v>35.391399999999997</v>
      </c>
      <c r="T6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7">
        <f>(1000*CHOOSE(CONTROL!$C$42, 695, 695)*CHOOSE(CONTROL!$C$42, 0.5599, 0.5599)*CHOOSE(CONTROL!$C$42, 30, 30))/1000000</f>
        <v>11.673914999999997</v>
      </c>
      <c r="V604" s="57">
        <f>(1000*CHOOSE(CONTROL!$C$42, 500, 500)*CHOOSE(CONTROL!$C$42, 0.275, 0.275)*CHOOSE(CONTROL!$C$42, 30, 30))/1000000</f>
        <v>4.125</v>
      </c>
      <c r="W604" s="57">
        <f>(1000*CHOOSE(CONTROL!$C$42, 0.1146, 0.1146)*CHOOSE(CONTROL!$C$42, 121.5, 121.5)*CHOOSE(CONTROL!$C$42, 30, 30))/1000000</f>
        <v>0.417717</v>
      </c>
      <c r="X604" s="57">
        <f>(30*0.1790888*245000/1000000)+(30*0.2374*100000/1000000)</f>
        <v>2.0285026799999999</v>
      </c>
      <c r="Y604" s="57"/>
      <c r="Z604" s="14"/>
      <c r="AA604" s="56"/>
      <c r="AB604" s="50">
        <f>(B604*141.293+C604*267.993+D604*115.016+E604*89.698+F604*40+G604*185+H604*0+I604*100+J604*300)/(141.293+267.993+115.016+89.698+0+40+185+100+300)</f>
        <v>36.894883826392253</v>
      </c>
      <c r="AC604" s="45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36.226579856115109</v>
      </c>
    </row>
    <row r="605" spans="1:29" ht="15.75" x14ac:dyDescent="0.25">
      <c r="A605" s="32">
        <v>59322</v>
      </c>
      <c r="B605" s="14">
        <f>CHOOSE(CONTROL!$C$42, 37.1677, 37.1677) * CHOOSE(CONTROL!$C$21, $C$9, 100%, $E$9)</f>
        <v>37.167700000000004</v>
      </c>
      <c r="C605" s="14">
        <f>CHOOSE(CONTROL!$C$42, 37.1757, 37.1757) * CHOOSE(CONTROL!$C$21, $C$9, 100%, $E$9)</f>
        <v>37.175699999999999</v>
      </c>
      <c r="D605" s="14">
        <f>CHOOSE(CONTROL!$C$42, 37.4093, 37.4093) * CHOOSE(CONTROL!$C$21, $C$9, 100%, $E$9)</f>
        <v>37.409300000000002</v>
      </c>
      <c r="E605" s="14">
        <f>CHOOSE(CONTROL!$C$42, 37.4408, 37.4408) * CHOOSE(CONTROL!$C$21, $C$9, 100%, $E$9)</f>
        <v>37.440800000000003</v>
      </c>
      <c r="F605" s="14">
        <f>CHOOSE(CONTROL!$C$42, 37.1645, 37.1645)*CHOOSE(CONTROL!$C$21, $C$9, 100%, $E$9)</f>
        <v>37.164499999999997</v>
      </c>
      <c r="G605" s="14">
        <f>CHOOSE(CONTROL!$C$42, 37.1808, 37.1808)*CHOOSE(CONTROL!$C$21, $C$9, 100%, $E$9)</f>
        <v>37.180799999999998</v>
      </c>
      <c r="H605" s="14">
        <f>CHOOSE(CONTROL!$C$42, 37.4294, 37.4294) * CHOOSE(CONTROL!$C$21, $C$9, 100%, $E$9)</f>
        <v>37.429400000000001</v>
      </c>
      <c r="I605" s="14">
        <f>CHOOSE(CONTROL!$C$42, 37.3, 37.3)* CHOOSE(CONTROL!$C$21, $C$9, 100%, $E$9)</f>
        <v>37.299999999999997</v>
      </c>
      <c r="J605" s="14">
        <f>CHOOSE(CONTROL!$C$42, 37.1575, 37.1575)* CHOOSE(CONTROL!$C$21, $C$9, 100%, $E$9)</f>
        <v>37.157499999999999</v>
      </c>
      <c r="K605" s="53">
        <f>CHOOSE(CONTROL!$C$42, 37.2961, 37.2961) * CHOOSE(CONTROL!$C$21, $C$9, 100%, $E$9)</f>
        <v>37.296100000000003</v>
      </c>
      <c r="L605" s="14">
        <f>CHOOSE(CONTROL!$C$42, 38.0164, 38.0164) * CHOOSE(CONTROL!$C$21, $C$9, 100%, $E$9)</f>
        <v>38.016399999999997</v>
      </c>
      <c r="M605" s="14">
        <f>CHOOSE(CONTROL!$C$42, 36.4038, 36.4038) * CHOOSE(CONTROL!$C$21, $C$9, 100%, $E$9)</f>
        <v>36.403799999999997</v>
      </c>
      <c r="N605" s="14">
        <f>CHOOSE(CONTROL!$C$42, 36.4198, 36.4198) * CHOOSE(CONTROL!$C$21, $C$9, 100%, $E$9)</f>
        <v>36.419800000000002</v>
      </c>
      <c r="O605" s="14">
        <f>CHOOSE(CONTROL!$C$42, 36.6702, 36.6702) * CHOOSE(CONTROL!$C$21, $C$9, 100%, $E$9)</f>
        <v>36.670200000000001</v>
      </c>
      <c r="P605" s="14">
        <f>CHOOSE(CONTROL!$C$42, 36.5412, 36.5412) * CHOOSE(CONTROL!$C$21, $C$9, 100%, $E$9)</f>
        <v>36.541200000000003</v>
      </c>
      <c r="Q605" s="14">
        <f>CHOOSE(CONTROL!$C$42, 37.2649, 37.2649) * CHOOSE(CONTROL!$C$21, $C$9, 100%, $E$9)</f>
        <v>37.264899999999997</v>
      </c>
      <c r="R605" s="14">
        <f>CHOOSE(CONTROL!$C$42, 37.9451, 37.9451) * CHOOSE(CONTROL!$C$21, $C$9, 100%, $E$9)</f>
        <v>37.945099999999996</v>
      </c>
      <c r="S605" s="14">
        <f>CHOOSE(CONTROL!$C$42, 35.7038, 35.7038) * CHOOSE(CONTROL!$C$21, $C$9, 100%, $E$9)</f>
        <v>35.703800000000001</v>
      </c>
      <c r="T6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7">
        <f>(1000*CHOOSE(CONTROL!$C$42, 695, 695)*CHOOSE(CONTROL!$C$42, 0.5599, 0.5599)*CHOOSE(CONTROL!$C$42, 31, 31))/1000000</f>
        <v>12.063045499999998</v>
      </c>
      <c r="V605" s="57">
        <f>(1000*CHOOSE(CONTROL!$C$42, 500, 500)*CHOOSE(CONTROL!$C$42, 0.275, 0.275)*CHOOSE(CONTROL!$C$42, 31, 31))/1000000</f>
        <v>4.2625000000000002</v>
      </c>
      <c r="W605" s="57">
        <f>(1000*CHOOSE(CONTROL!$C$42, 0.1146, 0.1146)*CHOOSE(CONTROL!$C$42, 121.5, 121.5)*CHOOSE(CONTROL!$C$42, 31, 31))/1000000</f>
        <v>0.43164089999999994</v>
      </c>
      <c r="X605" s="57">
        <f>(31*0.1790888*245000/1000000)+(31*0.2374*100000/1000000)</f>
        <v>2.0961194359999999</v>
      </c>
      <c r="Y605" s="57"/>
      <c r="Z605" s="14"/>
      <c r="AA605" s="56"/>
      <c r="AB605" s="50">
        <f>(B605*194.205+C605*267.466+D605*133.845+E605*53.484+F605*40+G605*185+H605*0+I605*100+J605*300)/(194.205+267.466+133.845+53.484+0+40+185+100+300)</f>
        <v>37.216011350392463</v>
      </c>
      <c r="AC605" s="45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36.545233093525177</v>
      </c>
    </row>
    <row r="606" spans="1:29" ht="15.75" x14ac:dyDescent="0.25">
      <c r="A606" s="32">
        <v>59352</v>
      </c>
      <c r="B606" s="14">
        <f>CHOOSE(CONTROL!$C$42, 38.2217, 38.2217) * CHOOSE(CONTROL!$C$21, $C$9, 100%, $E$9)</f>
        <v>38.221699999999998</v>
      </c>
      <c r="C606" s="14">
        <f>CHOOSE(CONTROL!$C$42, 38.2297, 38.2297) * CHOOSE(CONTROL!$C$21, $C$9, 100%, $E$9)</f>
        <v>38.229700000000001</v>
      </c>
      <c r="D606" s="14">
        <f>CHOOSE(CONTROL!$C$42, 38.4633, 38.4633) * CHOOSE(CONTROL!$C$21, $C$9, 100%, $E$9)</f>
        <v>38.463299999999997</v>
      </c>
      <c r="E606" s="14">
        <f>CHOOSE(CONTROL!$C$42, 38.4947, 38.4947) * CHOOSE(CONTROL!$C$21, $C$9, 100%, $E$9)</f>
        <v>38.494700000000002</v>
      </c>
      <c r="F606" s="14">
        <f>CHOOSE(CONTROL!$C$42, 38.2189, 38.2189)*CHOOSE(CONTROL!$C$21, $C$9, 100%, $E$9)</f>
        <v>38.218899999999998</v>
      </c>
      <c r="G606" s="14">
        <f>CHOOSE(CONTROL!$C$42, 38.2354, 38.2354)*CHOOSE(CONTROL!$C$21, $C$9, 100%, $E$9)</f>
        <v>38.235399999999998</v>
      </c>
      <c r="H606" s="14">
        <f>CHOOSE(CONTROL!$C$42, 38.4834, 38.4834) * CHOOSE(CONTROL!$C$21, $C$9, 100%, $E$9)</f>
        <v>38.483400000000003</v>
      </c>
      <c r="I606" s="14">
        <f>CHOOSE(CONTROL!$C$42, 38.3572, 38.3572)* CHOOSE(CONTROL!$C$21, $C$9, 100%, $E$9)</f>
        <v>38.357199999999999</v>
      </c>
      <c r="J606" s="14">
        <f>CHOOSE(CONTROL!$C$42, 38.2119, 38.2119)* CHOOSE(CONTROL!$C$21, $C$9, 100%, $E$9)</f>
        <v>38.2119</v>
      </c>
      <c r="K606" s="53">
        <f>CHOOSE(CONTROL!$C$42, 38.3533, 38.3533) * CHOOSE(CONTROL!$C$21, $C$9, 100%, $E$9)</f>
        <v>38.353299999999997</v>
      </c>
      <c r="L606" s="14">
        <f>CHOOSE(CONTROL!$C$42, 39.0704, 39.0704) * CHOOSE(CONTROL!$C$21, $C$9, 100%, $E$9)</f>
        <v>39.070399999999999</v>
      </c>
      <c r="M606" s="14">
        <f>CHOOSE(CONTROL!$C$42, 37.4367, 37.4367) * CHOOSE(CONTROL!$C$21, $C$9, 100%, $E$9)</f>
        <v>37.436700000000002</v>
      </c>
      <c r="N606" s="14">
        <f>CHOOSE(CONTROL!$C$42, 37.4528, 37.4528) * CHOOSE(CONTROL!$C$21, $C$9, 100%, $E$9)</f>
        <v>37.452800000000003</v>
      </c>
      <c r="O606" s="14">
        <f>CHOOSE(CONTROL!$C$42, 37.7026, 37.7026) * CHOOSE(CONTROL!$C$21, $C$9, 100%, $E$9)</f>
        <v>37.702599999999997</v>
      </c>
      <c r="P606" s="14">
        <f>CHOOSE(CONTROL!$C$42, 37.5767, 37.5767) * CHOOSE(CONTROL!$C$21, $C$9, 100%, $E$9)</f>
        <v>37.576700000000002</v>
      </c>
      <c r="Q606" s="14">
        <f>CHOOSE(CONTROL!$C$42, 38.2973, 38.2973) * CHOOSE(CONTROL!$C$21, $C$9, 100%, $E$9)</f>
        <v>38.2973</v>
      </c>
      <c r="R606" s="14">
        <f>CHOOSE(CONTROL!$C$42, 38.98, 38.98) * CHOOSE(CONTROL!$C$21, $C$9, 100%, $E$9)</f>
        <v>38.979999999999997</v>
      </c>
      <c r="S606" s="14">
        <f>CHOOSE(CONTROL!$C$42, 36.7166, 36.7166) * CHOOSE(CONTROL!$C$21, $C$9, 100%, $E$9)</f>
        <v>36.7166</v>
      </c>
      <c r="T6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7">
        <f>(1000*CHOOSE(CONTROL!$C$42, 695, 695)*CHOOSE(CONTROL!$C$42, 0.5599, 0.5599)*CHOOSE(CONTROL!$C$42, 30, 30))/1000000</f>
        <v>11.673914999999997</v>
      </c>
      <c r="V606" s="57">
        <f>(1000*CHOOSE(CONTROL!$C$42, 500, 500)*CHOOSE(CONTROL!$C$42, 0.275, 0.275)*CHOOSE(CONTROL!$C$42, 30, 30))/1000000</f>
        <v>4.125</v>
      </c>
      <c r="W606" s="57">
        <f>(1000*CHOOSE(CONTROL!$C$42, 0.1146, 0.1146)*CHOOSE(CONTROL!$C$42, 121.5, 121.5)*CHOOSE(CONTROL!$C$42, 30, 30))/1000000</f>
        <v>0.417717</v>
      </c>
      <c r="X606" s="57">
        <f>(30*0.1790888*245000/1000000)+(30*0.2374*100000/1000000)</f>
        <v>2.0285026799999999</v>
      </c>
      <c r="Y606" s="57"/>
      <c r="Z606" s="14"/>
      <c r="AA606" s="56"/>
      <c r="AB606" s="50">
        <f>(B606*194.205+C606*267.466+D606*133.845+E606*53.484+F606*40+G606*185+H606*0+I606*100+J606*300)/(194.205+267.466+133.845+53.484+0+40+185+100+300)</f>
        <v>38.270452207221354</v>
      </c>
      <c r="AC606" s="45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37.578286330935249</v>
      </c>
    </row>
    <row r="607" spans="1:29" ht="15.75" x14ac:dyDescent="0.25">
      <c r="A607" s="32">
        <v>59383</v>
      </c>
      <c r="B607" s="14">
        <f>CHOOSE(CONTROL!$C$42, 37.4886, 37.4886) * CHOOSE(CONTROL!$C$21, $C$9, 100%, $E$9)</f>
        <v>37.488599999999998</v>
      </c>
      <c r="C607" s="14">
        <f>CHOOSE(CONTROL!$C$42, 37.4966, 37.4966) * CHOOSE(CONTROL!$C$21, $C$9, 100%, $E$9)</f>
        <v>37.496600000000001</v>
      </c>
      <c r="D607" s="14">
        <f>CHOOSE(CONTROL!$C$42, 37.7302, 37.7302) * CHOOSE(CONTROL!$C$21, $C$9, 100%, $E$9)</f>
        <v>37.730200000000004</v>
      </c>
      <c r="E607" s="14">
        <f>CHOOSE(CONTROL!$C$42, 37.7617, 37.7617) * CHOOSE(CONTROL!$C$21, $C$9, 100%, $E$9)</f>
        <v>37.761699999999998</v>
      </c>
      <c r="F607" s="14">
        <f>CHOOSE(CONTROL!$C$42, 37.4864, 37.4864)*CHOOSE(CONTROL!$C$21, $C$9, 100%, $E$9)</f>
        <v>37.486400000000003</v>
      </c>
      <c r="G607" s="14">
        <f>CHOOSE(CONTROL!$C$42, 37.503, 37.503)*CHOOSE(CONTROL!$C$21, $C$9, 100%, $E$9)</f>
        <v>37.503</v>
      </c>
      <c r="H607" s="14">
        <f>CHOOSE(CONTROL!$C$42, 37.7503, 37.7503) * CHOOSE(CONTROL!$C$21, $C$9, 100%, $E$9)</f>
        <v>37.750300000000003</v>
      </c>
      <c r="I607" s="14">
        <f>CHOOSE(CONTROL!$C$42, 37.6219, 37.6219)* CHOOSE(CONTROL!$C$21, $C$9, 100%, $E$9)</f>
        <v>37.621899999999997</v>
      </c>
      <c r="J607" s="14">
        <f>CHOOSE(CONTROL!$C$42, 37.4794, 37.4794)* CHOOSE(CONTROL!$C$21, $C$9, 100%, $E$9)</f>
        <v>37.479399999999998</v>
      </c>
      <c r="K607" s="53">
        <f>CHOOSE(CONTROL!$C$42, 37.618, 37.618) * CHOOSE(CONTROL!$C$21, $C$9, 100%, $E$9)</f>
        <v>37.618000000000002</v>
      </c>
      <c r="L607" s="14">
        <f>CHOOSE(CONTROL!$C$42, 38.3373, 38.3373) * CHOOSE(CONTROL!$C$21, $C$9, 100%, $E$9)</f>
        <v>38.337299999999999</v>
      </c>
      <c r="M607" s="14">
        <f>CHOOSE(CONTROL!$C$42, 36.7192, 36.7192) * CHOOSE(CONTROL!$C$21, $C$9, 100%, $E$9)</f>
        <v>36.719200000000001</v>
      </c>
      <c r="N607" s="14">
        <f>CHOOSE(CONTROL!$C$42, 36.7354, 36.7354) * CHOOSE(CONTROL!$C$21, $C$9, 100%, $E$9)</f>
        <v>36.735399999999998</v>
      </c>
      <c r="O607" s="14">
        <f>CHOOSE(CONTROL!$C$42, 36.9845, 36.9845) * CHOOSE(CONTROL!$C$21, $C$9, 100%, $E$9)</f>
        <v>36.984499999999997</v>
      </c>
      <c r="P607" s="14">
        <f>CHOOSE(CONTROL!$C$42, 36.8565, 36.8565) * CHOOSE(CONTROL!$C$21, $C$9, 100%, $E$9)</f>
        <v>36.856499999999997</v>
      </c>
      <c r="Q607" s="14">
        <f>CHOOSE(CONTROL!$C$42, 37.5792, 37.5792) * CHOOSE(CONTROL!$C$21, $C$9, 100%, $E$9)</f>
        <v>37.5792</v>
      </c>
      <c r="R607" s="14">
        <f>CHOOSE(CONTROL!$C$42, 38.2602, 38.2602) * CHOOSE(CONTROL!$C$21, $C$9, 100%, $E$9)</f>
        <v>38.260199999999998</v>
      </c>
      <c r="S607" s="14">
        <f>CHOOSE(CONTROL!$C$42, 36.0122, 36.0122) * CHOOSE(CONTROL!$C$21, $C$9, 100%, $E$9)</f>
        <v>36.0122</v>
      </c>
      <c r="T6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7">
        <f>(1000*CHOOSE(CONTROL!$C$42, 695, 695)*CHOOSE(CONTROL!$C$42, 0.5599, 0.5599)*CHOOSE(CONTROL!$C$42, 31, 31))/1000000</f>
        <v>12.063045499999998</v>
      </c>
      <c r="V607" s="57">
        <f>(1000*CHOOSE(CONTROL!$C$42, 500, 500)*CHOOSE(CONTROL!$C$42, 0.275, 0.275)*CHOOSE(CONTROL!$C$42, 31, 31))/1000000</f>
        <v>4.2625000000000002</v>
      </c>
      <c r="W607" s="57">
        <f>(1000*CHOOSE(CONTROL!$C$42, 0.1146, 0.1146)*CHOOSE(CONTROL!$C$42, 121.5, 121.5)*CHOOSE(CONTROL!$C$42, 31, 31))/1000000</f>
        <v>0.43164089999999994</v>
      </c>
      <c r="X607" s="57">
        <f>(31*0.1790888*245000/1000000)+(31*0.2374*100000/1000000)</f>
        <v>2.0961194359999999</v>
      </c>
      <c r="Y607" s="57"/>
      <c r="Z607" s="14"/>
      <c r="AA607" s="56"/>
      <c r="AB607" s="50">
        <f>(B607*194.205+C607*267.466+D607*133.845+E607*53.484+F607*40+G607*185+H607*0+I607*100+J607*300)/(194.205+267.466+133.845+53.484+0+40+185+100+300)</f>
        <v>37.537445494819472</v>
      </c>
      <c r="AC607" s="45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36.860131654676259</v>
      </c>
    </row>
    <row r="608" spans="1:29" ht="15.75" x14ac:dyDescent="0.25">
      <c r="A608" s="32">
        <v>59414</v>
      </c>
      <c r="B608" s="14">
        <f>CHOOSE(CONTROL!$C$42, 35.6375, 35.6375) * CHOOSE(CONTROL!$C$21, $C$9, 100%, $E$9)</f>
        <v>35.637500000000003</v>
      </c>
      <c r="C608" s="14">
        <f>CHOOSE(CONTROL!$C$42, 35.6455, 35.6455) * CHOOSE(CONTROL!$C$21, $C$9, 100%, $E$9)</f>
        <v>35.645499999999998</v>
      </c>
      <c r="D608" s="14">
        <f>CHOOSE(CONTROL!$C$42, 35.8791, 35.8791) * CHOOSE(CONTROL!$C$21, $C$9, 100%, $E$9)</f>
        <v>35.879100000000001</v>
      </c>
      <c r="E608" s="14">
        <f>CHOOSE(CONTROL!$C$42, 35.9106, 35.9106) * CHOOSE(CONTROL!$C$21, $C$9, 100%, $E$9)</f>
        <v>35.910600000000002</v>
      </c>
      <c r="F608" s="14">
        <f>CHOOSE(CONTROL!$C$42, 35.6354, 35.6354)*CHOOSE(CONTROL!$C$21, $C$9, 100%, $E$9)</f>
        <v>35.635399999999997</v>
      </c>
      <c r="G608" s="14">
        <f>CHOOSE(CONTROL!$C$42, 35.6521, 35.6521)*CHOOSE(CONTROL!$C$21, $C$9, 100%, $E$9)</f>
        <v>35.652099999999997</v>
      </c>
      <c r="H608" s="14">
        <f>CHOOSE(CONTROL!$C$42, 35.8992, 35.8992) * CHOOSE(CONTROL!$C$21, $C$9, 100%, $E$9)</f>
        <v>35.8992</v>
      </c>
      <c r="I608" s="14">
        <f>CHOOSE(CONTROL!$C$42, 35.765, 35.765)* CHOOSE(CONTROL!$C$21, $C$9, 100%, $E$9)</f>
        <v>35.765000000000001</v>
      </c>
      <c r="J608" s="14">
        <f>CHOOSE(CONTROL!$C$42, 35.6284, 35.6284)* CHOOSE(CONTROL!$C$21, $C$9, 100%, $E$9)</f>
        <v>35.628399999999999</v>
      </c>
      <c r="K608" s="53">
        <f>CHOOSE(CONTROL!$C$42, 35.7611, 35.7611) * CHOOSE(CONTROL!$C$21, $C$9, 100%, $E$9)</f>
        <v>35.761099999999999</v>
      </c>
      <c r="L608" s="14">
        <f>CHOOSE(CONTROL!$C$42, 36.4862, 36.4862) * CHOOSE(CONTROL!$C$21, $C$9, 100%, $E$9)</f>
        <v>36.486199999999997</v>
      </c>
      <c r="M608" s="14">
        <f>CHOOSE(CONTROL!$C$42, 34.9061, 34.9061) * CHOOSE(CONTROL!$C$21, $C$9, 100%, $E$9)</f>
        <v>34.906100000000002</v>
      </c>
      <c r="N608" s="14">
        <f>CHOOSE(CONTROL!$C$42, 34.9225, 34.9225) * CHOOSE(CONTROL!$C$21, $C$9, 100%, $E$9)</f>
        <v>34.922499999999999</v>
      </c>
      <c r="O608" s="14">
        <f>CHOOSE(CONTROL!$C$42, 35.1713, 35.1713) * CHOOSE(CONTROL!$C$21, $C$9, 100%, $E$9)</f>
        <v>35.171300000000002</v>
      </c>
      <c r="P608" s="14">
        <f>CHOOSE(CONTROL!$C$42, 35.0377, 35.0377) * CHOOSE(CONTROL!$C$21, $C$9, 100%, $E$9)</f>
        <v>35.037700000000001</v>
      </c>
      <c r="Q608" s="14">
        <f>CHOOSE(CONTROL!$C$42, 35.766, 35.766) * CHOOSE(CONTROL!$C$21, $C$9, 100%, $E$9)</f>
        <v>35.765999999999998</v>
      </c>
      <c r="R608" s="14">
        <f>CHOOSE(CONTROL!$C$42, 36.4424, 36.4424) * CHOOSE(CONTROL!$C$21, $C$9, 100%, $E$9)</f>
        <v>36.442399999999999</v>
      </c>
      <c r="S608" s="14">
        <f>CHOOSE(CONTROL!$C$42, 34.2334, 34.2334) * CHOOSE(CONTROL!$C$21, $C$9, 100%, $E$9)</f>
        <v>34.233400000000003</v>
      </c>
      <c r="T6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7">
        <f>(1000*CHOOSE(CONTROL!$C$42, 695, 695)*CHOOSE(CONTROL!$C$42, 0.5599, 0.5599)*CHOOSE(CONTROL!$C$42, 31, 31))/1000000</f>
        <v>12.063045499999998</v>
      </c>
      <c r="V608" s="57">
        <f>(1000*CHOOSE(CONTROL!$C$42, 500, 500)*CHOOSE(CONTROL!$C$42, 0.275, 0.275)*CHOOSE(CONTROL!$C$42, 31, 31))/1000000</f>
        <v>4.2625000000000002</v>
      </c>
      <c r="W608" s="57">
        <f>(1000*CHOOSE(CONTROL!$C$42, 0.1146, 0.1146)*CHOOSE(CONTROL!$C$42, 121.5, 121.5)*CHOOSE(CONTROL!$C$42, 31, 31))/1000000</f>
        <v>0.43164089999999994</v>
      </c>
      <c r="X608" s="57">
        <f>(31*0.1790888*245000/1000000)+(31*0.2374*100000/1000000)</f>
        <v>2.0961194359999999</v>
      </c>
      <c r="Y608" s="57"/>
      <c r="Z608" s="14"/>
      <c r="AA608" s="56"/>
      <c r="AB608" s="50">
        <f>(B608*194.205+C608*267.466+D608*133.845+E608*53.484+F608*40+G608*185+H608*0+I608*100+J608*300)/(194.205+267.466+133.845+53.484+0+40+185+100+300)</f>
        <v>35.68594596577708</v>
      </c>
      <c r="AC608" s="45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35.046177697841728</v>
      </c>
    </row>
    <row r="609" spans="1:29" ht="15.75" x14ac:dyDescent="0.25">
      <c r="A609" s="32">
        <v>59444</v>
      </c>
      <c r="B609" s="14">
        <f>CHOOSE(CONTROL!$C$42, 33.3752, 33.3752) * CHOOSE(CONTROL!$C$21, $C$9, 100%, $E$9)</f>
        <v>33.3752</v>
      </c>
      <c r="C609" s="14">
        <f>CHOOSE(CONTROL!$C$42, 33.3833, 33.3833) * CHOOSE(CONTROL!$C$21, $C$9, 100%, $E$9)</f>
        <v>33.383299999999998</v>
      </c>
      <c r="D609" s="14">
        <f>CHOOSE(CONTROL!$C$42, 33.6169, 33.6169) * CHOOSE(CONTROL!$C$21, $C$9, 100%, $E$9)</f>
        <v>33.616900000000001</v>
      </c>
      <c r="E609" s="14">
        <f>CHOOSE(CONTROL!$C$42, 33.6483, 33.6483) * CHOOSE(CONTROL!$C$21, $C$9, 100%, $E$9)</f>
        <v>33.648299999999999</v>
      </c>
      <c r="F609" s="14">
        <f>CHOOSE(CONTROL!$C$42, 33.3733, 33.3733)*CHOOSE(CONTROL!$C$21, $C$9, 100%, $E$9)</f>
        <v>33.3733</v>
      </c>
      <c r="G609" s="14">
        <f>CHOOSE(CONTROL!$C$42, 33.3899, 33.3899)*CHOOSE(CONTROL!$C$21, $C$9, 100%, $E$9)</f>
        <v>33.389899999999997</v>
      </c>
      <c r="H609" s="14">
        <f>CHOOSE(CONTROL!$C$42, 33.637, 33.637) * CHOOSE(CONTROL!$C$21, $C$9, 100%, $E$9)</f>
        <v>33.637</v>
      </c>
      <c r="I609" s="14">
        <f>CHOOSE(CONTROL!$C$42, 33.4957, 33.4957)* CHOOSE(CONTROL!$C$21, $C$9, 100%, $E$9)</f>
        <v>33.495699999999999</v>
      </c>
      <c r="J609" s="14">
        <f>CHOOSE(CONTROL!$C$42, 33.3663, 33.3663)* CHOOSE(CONTROL!$C$21, $C$9, 100%, $E$9)</f>
        <v>33.366300000000003</v>
      </c>
      <c r="K609" s="53">
        <f>CHOOSE(CONTROL!$C$42, 33.4918, 33.4918) * CHOOSE(CONTROL!$C$21, $C$9, 100%, $E$9)</f>
        <v>33.491799999999998</v>
      </c>
      <c r="L609" s="14">
        <f>CHOOSE(CONTROL!$C$42, 34.224, 34.224) * CHOOSE(CONTROL!$C$21, $C$9, 100%, $E$9)</f>
        <v>34.223999999999997</v>
      </c>
      <c r="M609" s="14">
        <f>CHOOSE(CONTROL!$C$42, 32.6903, 32.6903) * CHOOSE(CONTROL!$C$21, $C$9, 100%, $E$9)</f>
        <v>32.690300000000001</v>
      </c>
      <c r="N609" s="14">
        <f>CHOOSE(CONTROL!$C$42, 32.7066, 32.7066) * CHOOSE(CONTROL!$C$21, $C$9, 100%, $E$9)</f>
        <v>32.706600000000002</v>
      </c>
      <c r="O609" s="14">
        <f>CHOOSE(CONTROL!$C$42, 32.9555, 32.9555) * CHOOSE(CONTROL!$C$21, $C$9, 100%, $E$9)</f>
        <v>32.955500000000001</v>
      </c>
      <c r="P609" s="14">
        <f>CHOOSE(CONTROL!$C$42, 32.815, 32.815) * CHOOSE(CONTROL!$C$21, $C$9, 100%, $E$9)</f>
        <v>32.814999999999998</v>
      </c>
      <c r="Q609" s="14">
        <f>CHOOSE(CONTROL!$C$42, 33.5502, 33.5502) * CHOOSE(CONTROL!$C$21, $C$9, 100%, $E$9)</f>
        <v>33.550199999999997</v>
      </c>
      <c r="R609" s="14">
        <f>CHOOSE(CONTROL!$C$42, 34.221, 34.221) * CHOOSE(CONTROL!$C$21, $C$9, 100%, $E$9)</f>
        <v>34.220999999999997</v>
      </c>
      <c r="S609" s="14">
        <f>CHOOSE(CONTROL!$C$42, 32.0596, 32.0596) * CHOOSE(CONTROL!$C$21, $C$9, 100%, $E$9)</f>
        <v>32.059600000000003</v>
      </c>
      <c r="T6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7">
        <f>(1000*CHOOSE(CONTROL!$C$42, 695, 695)*CHOOSE(CONTROL!$C$42, 0.5599, 0.5599)*CHOOSE(CONTROL!$C$42, 30, 30))/1000000</f>
        <v>11.673914999999997</v>
      </c>
      <c r="V609" s="57">
        <f>(1000*CHOOSE(CONTROL!$C$42, 500, 500)*CHOOSE(CONTROL!$C$42, 0.275, 0.275)*CHOOSE(CONTROL!$C$42, 30, 30))/1000000</f>
        <v>4.125</v>
      </c>
      <c r="W609" s="57">
        <f>(1000*CHOOSE(CONTROL!$C$42, 0.1146, 0.1146)*CHOOSE(CONTROL!$C$42, 121.5, 121.5)*CHOOSE(CONTROL!$C$42, 30, 30))/1000000</f>
        <v>0.417717</v>
      </c>
      <c r="X609" s="57">
        <f>(30*0.1790888*245000/1000000)+(30*0.2374*100000/1000000)</f>
        <v>2.0285026799999999</v>
      </c>
      <c r="Y609" s="57"/>
      <c r="Z609" s="14"/>
      <c r="AA609" s="56"/>
      <c r="AB609" s="50">
        <f>(B609*194.205+C609*267.466+D609*133.845+E609*53.484+F609*40+G609*185+H609*0+I609*100+J609*300)/(194.205+267.466+133.845+53.484+0+40+185+100+300)</f>
        <v>33.423195911695444</v>
      </c>
      <c r="AC609" s="45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32.829379136690648</v>
      </c>
    </row>
    <row r="610" spans="1:29" ht="15.75" x14ac:dyDescent="0.25">
      <c r="A610" s="32">
        <v>59475</v>
      </c>
      <c r="B610" s="14">
        <f>CHOOSE(CONTROL!$C$42, 32.6961, 32.6961) * CHOOSE(CONTROL!$C$21, $C$9, 100%, $E$9)</f>
        <v>32.696100000000001</v>
      </c>
      <c r="C610" s="14">
        <f>CHOOSE(CONTROL!$C$42, 32.7014, 32.7014) * CHOOSE(CONTROL!$C$21, $C$9, 100%, $E$9)</f>
        <v>32.7014</v>
      </c>
      <c r="D610" s="14">
        <f>CHOOSE(CONTROL!$C$42, 32.94, 32.94) * CHOOSE(CONTROL!$C$21, $C$9, 100%, $E$9)</f>
        <v>32.94</v>
      </c>
      <c r="E610" s="14">
        <f>CHOOSE(CONTROL!$C$42, 32.9691, 32.9691) * CHOOSE(CONTROL!$C$21, $C$9, 100%, $E$9)</f>
        <v>32.969099999999997</v>
      </c>
      <c r="F610" s="14">
        <f>CHOOSE(CONTROL!$C$42, 32.6961, 32.6961)*CHOOSE(CONTROL!$C$21, $C$9, 100%, $E$9)</f>
        <v>32.696100000000001</v>
      </c>
      <c r="G610" s="14">
        <f>CHOOSE(CONTROL!$C$42, 32.7124, 32.7124)*CHOOSE(CONTROL!$C$21, $C$9, 100%, $E$9)</f>
        <v>32.712400000000002</v>
      </c>
      <c r="H610" s="14">
        <f>CHOOSE(CONTROL!$C$42, 32.9596, 32.9596) * CHOOSE(CONTROL!$C$21, $C$9, 100%, $E$9)</f>
        <v>32.959600000000002</v>
      </c>
      <c r="I610" s="14">
        <f>CHOOSE(CONTROL!$C$42, 32.8161, 32.8161)* CHOOSE(CONTROL!$C$21, $C$9, 100%, $E$9)</f>
        <v>32.816099999999999</v>
      </c>
      <c r="J610" s="14">
        <f>CHOOSE(CONTROL!$C$42, 32.6891, 32.6891)* CHOOSE(CONTROL!$C$21, $C$9, 100%, $E$9)</f>
        <v>32.689100000000003</v>
      </c>
      <c r="K610" s="53">
        <f>CHOOSE(CONTROL!$C$42, 32.8122, 32.8122) * CHOOSE(CONTROL!$C$21, $C$9, 100%, $E$9)</f>
        <v>32.812199999999997</v>
      </c>
      <c r="L610" s="14">
        <f>CHOOSE(CONTROL!$C$42, 33.5466, 33.5466) * CHOOSE(CONTROL!$C$21, $C$9, 100%, $E$9)</f>
        <v>33.546599999999998</v>
      </c>
      <c r="M610" s="14">
        <f>CHOOSE(CONTROL!$C$42, 32.027, 32.027) * CHOOSE(CONTROL!$C$21, $C$9, 100%, $E$9)</f>
        <v>32.027000000000001</v>
      </c>
      <c r="N610" s="14">
        <f>CHOOSE(CONTROL!$C$42, 32.043, 32.043) * CHOOSE(CONTROL!$C$21, $C$9, 100%, $E$9)</f>
        <v>32.042999999999999</v>
      </c>
      <c r="O610" s="14">
        <f>CHOOSE(CONTROL!$C$42, 32.2919, 32.2919) * CHOOSE(CONTROL!$C$21, $C$9, 100%, $E$9)</f>
        <v>32.291899999999998</v>
      </c>
      <c r="P610" s="14">
        <f>CHOOSE(CONTROL!$C$42, 32.1495, 32.1495) * CHOOSE(CONTROL!$C$21, $C$9, 100%, $E$9)</f>
        <v>32.149500000000003</v>
      </c>
      <c r="Q610" s="14">
        <f>CHOOSE(CONTROL!$C$42, 32.8866, 32.8866) * CHOOSE(CONTROL!$C$21, $C$9, 100%, $E$9)</f>
        <v>32.886600000000001</v>
      </c>
      <c r="R610" s="14">
        <f>CHOOSE(CONTROL!$C$42, 33.5558, 33.5558) * CHOOSE(CONTROL!$C$21, $C$9, 100%, $E$9)</f>
        <v>33.555799999999998</v>
      </c>
      <c r="S610" s="14">
        <f>CHOOSE(CONTROL!$C$42, 31.4087, 31.4087) * CHOOSE(CONTROL!$C$21, $C$9, 100%, $E$9)</f>
        <v>31.4087</v>
      </c>
      <c r="T6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7">
        <f>(1000*CHOOSE(CONTROL!$C$42, 695, 695)*CHOOSE(CONTROL!$C$42, 0.5599, 0.5599)*CHOOSE(CONTROL!$C$42, 31, 31))/1000000</f>
        <v>12.063045499999998</v>
      </c>
      <c r="V610" s="57">
        <f>(1000*CHOOSE(CONTROL!$C$42, 500, 500)*CHOOSE(CONTROL!$C$42, 0.275, 0.275)*CHOOSE(CONTROL!$C$42, 31, 31))/1000000</f>
        <v>4.2625000000000002</v>
      </c>
      <c r="W610" s="57">
        <f>(1000*CHOOSE(CONTROL!$C$42, 0.1146, 0.1146)*CHOOSE(CONTROL!$C$42, 121.5, 121.5)*CHOOSE(CONTROL!$C$42, 31, 31))/1000000</f>
        <v>0.43164089999999994</v>
      </c>
      <c r="X610" s="57">
        <f>(31*0.1790888*245000/1000000)+(31*0.2374*100000/1000000)</f>
        <v>2.0961194359999999</v>
      </c>
      <c r="Y610" s="57"/>
      <c r="Z610" s="14"/>
      <c r="AA610" s="56"/>
      <c r="AB610" s="50">
        <f>(B610*131.881+C610*277.167+D610*79.08+E610*125.872+F610*40+G610*185+H610*0+I610*100+J610*300)/(131.881+277.167+79.08+125.872+0+40+185+100+300)</f>
        <v>32.751011342292173</v>
      </c>
      <c r="AC610" s="45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32.165609352517983</v>
      </c>
    </row>
    <row r="611" spans="1:29" ht="15.75" x14ac:dyDescent="0.25">
      <c r="A611" s="32">
        <v>59505</v>
      </c>
      <c r="B611" s="14">
        <f>CHOOSE(CONTROL!$C$42, 33.5568, 33.5568) * CHOOSE(CONTROL!$C$21, $C$9, 100%, $E$9)</f>
        <v>33.556800000000003</v>
      </c>
      <c r="C611" s="14">
        <f>CHOOSE(CONTROL!$C$42, 33.5618, 33.5618) * CHOOSE(CONTROL!$C$21, $C$9, 100%, $E$9)</f>
        <v>33.561799999999998</v>
      </c>
      <c r="D611" s="14">
        <f>CHOOSE(CONTROL!$C$42, 33.636, 33.636) * CHOOSE(CONTROL!$C$21, $C$9, 100%, $E$9)</f>
        <v>33.636000000000003</v>
      </c>
      <c r="E611" s="14">
        <f>CHOOSE(CONTROL!$C$42, 33.6702, 33.6702) * CHOOSE(CONTROL!$C$21, $C$9, 100%, $E$9)</f>
        <v>33.670200000000001</v>
      </c>
      <c r="F611" s="14">
        <f>CHOOSE(CONTROL!$C$42, 33.5688, 33.5688)*CHOOSE(CONTROL!$C$21, $C$9, 100%, $E$9)</f>
        <v>33.568800000000003</v>
      </c>
      <c r="G611" s="14">
        <f>CHOOSE(CONTROL!$C$42, 33.5854, 33.5854)*CHOOSE(CONTROL!$C$21, $C$9, 100%, $E$9)</f>
        <v>33.5854</v>
      </c>
      <c r="H611" s="14">
        <f>CHOOSE(CONTROL!$C$42, 33.6593, 33.6593) * CHOOSE(CONTROL!$C$21, $C$9, 100%, $E$9)</f>
        <v>33.659300000000002</v>
      </c>
      <c r="I611" s="14">
        <f>CHOOSE(CONTROL!$C$42, 33.6862, 33.6862)* CHOOSE(CONTROL!$C$21, $C$9, 100%, $E$9)</f>
        <v>33.686199999999999</v>
      </c>
      <c r="J611" s="14">
        <f>CHOOSE(CONTROL!$C$42, 33.5618, 33.5618)* CHOOSE(CONTROL!$C$21, $C$9, 100%, $E$9)</f>
        <v>33.561799999999998</v>
      </c>
      <c r="K611" s="53">
        <f>CHOOSE(CONTROL!$C$42, 33.6823, 33.6823) * CHOOSE(CONTROL!$C$21, $C$9, 100%, $E$9)</f>
        <v>33.682299999999998</v>
      </c>
      <c r="L611" s="14">
        <f>CHOOSE(CONTROL!$C$42, 34.2463, 34.2463) * CHOOSE(CONTROL!$C$21, $C$9, 100%, $E$9)</f>
        <v>34.246299999999998</v>
      </c>
      <c r="M611" s="14">
        <f>CHOOSE(CONTROL!$C$42, 32.8818, 32.8818) * CHOOSE(CONTROL!$C$21, $C$9, 100%, $E$9)</f>
        <v>32.881799999999998</v>
      </c>
      <c r="N611" s="14">
        <f>CHOOSE(CONTROL!$C$42, 32.8981, 32.8981) * CHOOSE(CONTROL!$C$21, $C$9, 100%, $E$9)</f>
        <v>32.898099999999999</v>
      </c>
      <c r="O611" s="14">
        <f>CHOOSE(CONTROL!$C$42, 32.9774, 32.9774) * CHOOSE(CONTROL!$C$21, $C$9, 100%, $E$9)</f>
        <v>32.977400000000003</v>
      </c>
      <c r="P611" s="14">
        <f>CHOOSE(CONTROL!$C$42, 33.0016, 33.0016) * CHOOSE(CONTROL!$C$21, $C$9, 100%, $E$9)</f>
        <v>33.001600000000003</v>
      </c>
      <c r="Q611" s="14">
        <f>CHOOSE(CONTROL!$C$42, 33.5721, 33.5721) * CHOOSE(CONTROL!$C$21, $C$9, 100%, $E$9)</f>
        <v>33.572099999999999</v>
      </c>
      <c r="R611" s="14">
        <f>CHOOSE(CONTROL!$C$42, 34.243, 34.243) * CHOOSE(CONTROL!$C$21, $C$9, 100%, $E$9)</f>
        <v>34.243000000000002</v>
      </c>
      <c r="S611" s="14">
        <f>CHOOSE(CONTROL!$C$42, 32.2362, 32.2362) * CHOOSE(CONTROL!$C$21, $C$9, 100%, $E$9)</f>
        <v>32.236199999999997</v>
      </c>
      <c r="T6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7">
        <f>(1000*CHOOSE(CONTROL!$C$42, 695, 695)*CHOOSE(CONTROL!$C$42, 0.5599, 0.5599)*CHOOSE(CONTROL!$C$42, 30, 30))/1000000</f>
        <v>11.673914999999997</v>
      </c>
      <c r="V611" s="57">
        <f>(1000*CHOOSE(CONTROL!$C$42, 500, 500)*CHOOSE(CONTROL!$C$42, 0.275, 0.275)*CHOOSE(CONTROL!$C$42, 30, 30))/1000000</f>
        <v>4.125</v>
      </c>
      <c r="W611" s="57">
        <f>(1000*CHOOSE(CONTROL!$C$42, 0.1146, 0.1146)*CHOOSE(CONTROL!$C$42, 121.5, 121.5)*CHOOSE(CONTROL!$C$42, 30, 30))/1000000</f>
        <v>0.417717</v>
      </c>
      <c r="X611" s="57">
        <f>(30*0.1790888*100000/1000000)+(30*0.2374*100000/1000000)</f>
        <v>1.2494664</v>
      </c>
      <c r="Y611" s="57"/>
      <c r="Z611" s="14"/>
      <c r="AA611" s="56"/>
      <c r="AB611" s="50">
        <f>(B611*122.58+C611*297.941+D611*89.177+E611*40.302+F611*40+G611*160+H611*0+I611*100+J611*300)/(122.58+297.941+89.177+40.302+0+40+160+100+300)</f>
        <v>33.585164147999997</v>
      </c>
      <c r="AC611" s="45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32.943305035971228</v>
      </c>
    </row>
    <row r="612" spans="1:29" ht="15.75" x14ac:dyDescent="0.25">
      <c r="A612" s="32">
        <v>59536</v>
      </c>
      <c r="B612" s="14">
        <f>CHOOSE(CONTROL!$C$42, 35.844, 35.844) * CHOOSE(CONTROL!$C$21, $C$9, 100%, $E$9)</f>
        <v>35.844000000000001</v>
      </c>
      <c r="C612" s="14">
        <f>CHOOSE(CONTROL!$C$42, 35.849, 35.849) * CHOOSE(CONTROL!$C$21, $C$9, 100%, $E$9)</f>
        <v>35.848999999999997</v>
      </c>
      <c r="D612" s="14">
        <f>CHOOSE(CONTROL!$C$42, 35.9233, 35.9233) * CHOOSE(CONTROL!$C$21, $C$9, 100%, $E$9)</f>
        <v>35.923299999999998</v>
      </c>
      <c r="E612" s="14">
        <f>CHOOSE(CONTROL!$C$42, 35.9574, 35.9574) * CHOOSE(CONTROL!$C$21, $C$9, 100%, $E$9)</f>
        <v>35.9574</v>
      </c>
      <c r="F612" s="14">
        <f>CHOOSE(CONTROL!$C$42, 35.8582, 35.8582)*CHOOSE(CONTROL!$C$21, $C$9, 100%, $E$9)</f>
        <v>35.858199999999997</v>
      </c>
      <c r="G612" s="14">
        <f>CHOOSE(CONTROL!$C$42, 35.8754, 35.8754)*CHOOSE(CONTROL!$C$21, $C$9, 100%, $E$9)</f>
        <v>35.875399999999999</v>
      </c>
      <c r="H612" s="14">
        <f>CHOOSE(CONTROL!$C$42, 35.9466, 35.9466) * CHOOSE(CONTROL!$C$21, $C$9, 100%, $E$9)</f>
        <v>35.946599999999997</v>
      </c>
      <c r="I612" s="14">
        <f>CHOOSE(CONTROL!$C$42, 35.9806, 35.9806)* CHOOSE(CONTROL!$C$21, $C$9, 100%, $E$9)</f>
        <v>35.980600000000003</v>
      </c>
      <c r="J612" s="14">
        <f>CHOOSE(CONTROL!$C$42, 35.8512, 35.8512)* CHOOSE(CONTROL!$C$21, $C$9, 100%, $E$9)</f>
        <v>35.851199999999999</v>
      </c>
      <c r="K612" s="53">
        <f>CHOOSE(CONTROL!$C$42, 35.9767, 35.9767) * CHOOSE(CONTROL!$C$21, $C$9, 100%, $E$9)</f>
        <v>35.976700000000001</v>
      </c>
      <c r="L612" s="14">
        <f>CHOOSE(CONTROL!$C$42, 36.5336, 36.5336) * CHOOSE(CONTROL!$C$21, $C$9, 100%, $E$9)</f>
        <v>36.5336</v>
      </c>
      <c r="M612" s="14">
        <f>CHOOSE(CONTROL!$C$42, 35.1243, 35.1243) * CHOOSE(CONTROL!$C$21, $C$9, 100%, $E$9)</f>
        <v>35.124299999999998</v>
      </c>
      <c r="N612" s="14">
        <f>CHOOSE(CONTROL!$C$42, 35.1412, 35.1412) * CHOOSE(CONTROL!$C$21, $C$9, 100%, $E$9)</f>
        <v>35.141199999999998</v>
      </c>
      <c r="O612" s="14">
        <f>CHOOSE(CONTROL!$C$42, 35.2177, 35.2177) * CHOOSE(CONTROL!$C$21, $C$9, 100%, $E$9)</f>
        <v>35.217700000000001</v>
      </c>
      <c r="P612" s="14">
        <f>CHOOSE(CONTROL!$C$42, 35.2489, 35.2489) * CHOOSE(CONTROL!$C$21, $C$9, 100%, $E$9)</f>
        <v>35.248899999999999</v>
      </c>
      <c r="Q612" s="14">
        <f>CHOOSE(CONTROL!$C$42, 35.8124, 35.8124) * CHOOSE(CONTROL!$C$21, $C$9, 100%, $E$9)</f>
        <v>35.812399999999997</v>
      </c>
      <c r="R612" s="14">
        <f>CHOOSE(CONTROL!$C$42, 36.489, 36.489) * CHOOSE(CONTROL!$C$21, $C$9, 100%, $E$9)</f>
        <v>36.488999999999997</v>
      </c>
      <c r="S612" s="14">
        <f>CHOOSE(CONTROL!$C$42, 34.4339, 34.4339) * CHOOSE(CONTROL!$C$21, $C$9, 100%, $E$9)</f>
        <v>34.433900000000001</v>
      </c>
      <c r="T6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7">
        <f>(1000*CHOOSE(CONTROL!$C$42, 695, 695)*CHOOSE(CONTROL!$C$42, 0.5599, 0.5599)*CHOOSE(CONTROL!$C$42, 31, 31))/1000000</f>
        <v>12.063045499999998</v>
      </c>
      <c r="V612" s="57">
        <f>(1000*CHOOSE(CONTROL!$C$42, 500, 500)*CHOOSE(CONTROL!$C$42, 0.275, 0.275)*CHOOSE(CONTROL!$C$42, 31, 31))/1000000</f>
        <v>4.2625000000000002</v>
      </c>
      <c r="W612" s="57">
        <f>(1000*CHOOSE(CONTROL!$C$42, 0.1146, 0.1146)*CHOOSE(CONTROL!$C$42, 121.5, 121.5)*CHOOSE(CONTROL!$C$42, 31, 31))/1000000</f>
        <v>0.43164089999999994</v>
      </c>
      <c r="X612" s="57">
        <f>(31*0.1790888*100000/1000000)+(31*0.2374*100000/1000000)</f>
        <v>1.2911152800000001</v>
      </c>
      <c r="Y612" s="57"/>
      <c r="Z612" s="14"/>
      <c r="AA612" s="56"/>
      <c r="AB612" s="50">
        <f>(B612*122.58+C612*297.941+D612*89.177+E612*40.302+F612*40+G612*160+H612*0+I612*100+J612*300)/(122.58+297.941+89.177+40.302+0+40+160+100+300)</f>
        <v>35.874037989478261</v>
      </c>
      <c r="AC612" s="45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35.18553309352518</v>
      </c>
    </row>
    <row r="613" spans="1:29" ht="15.75" x14ac:dyDescent="0.25">
      <c r="A613" s="32">
        <v>59567</v>
      </c>
      <c r="B613" s="14">
        <f>CHOOSE(CONTROL!$C$42, 38.8147, 38.8147) * CHOOSE(CONTROL!$C$21, $C$9, 100%, $E$9)</f>
        <v>38.814700000000002</v>
      </c>
      <c r="C613" s="14">
        <f>CHOOSE(CONTROL!$C$42, 38.8197, 38.8197) * CHOOSE(CONTROL!$C$21, $C$9, 100%, $E$9)</f>
        <v>38.819699999999997</v>
      </c>
      <c r="D613" s="14">
        <f>CHOOSE(CONTROL!$C$42, 38.8965, 38.8965) * CHOOSE(CONTROL!$C$21, $C$9, 100%, $E$9)</f>
        <v>38.896500000000003</v>
      </c>
      <c r="E613" s="14">
        <f>CHOOSE(CONTROL!$C$42, 38.9307, 38.9307) * CHOOSE(CONTROL!$C$21, $C$9, 100%, $E$9)</f>
        <v>38.930700000000002</v>
      </c>
      <c r="F613" s="14">
        <f>CHOOSE(CONTROL!$C$42, 38.8149, 38.8149)*CHOOSE(CONTROL!$C$21, $C$9, 100%, $E$9)</f>
        <v>38.814900000000002</v>
      </c>
      <c r="G613" s="14">
        <f>CHOOSE(CONTROL!$C$42, 38.8311, 38.8311)*CHOOSE(CONTROL!$C$21, $C$9, 100%, $E$9)</f>
        <v>38.831099999999999</v>
      </c>
      <c r="H613" s="14">
        <f>CHOOSE(CONTROL!$C$42, 38.9199, 38.9199) * CHOOSE(CONTROL!$C$21, $C$9, 100%, $E$9)</f>
        <v>38.919899999999998</v>
      </c>
      <c r="I613" s="14">
        <f>CHOOSE(CONTROL!$C$42, 38.9543, 38.9543)* CHOOSE(CONTROL!$C$21, $C$9, 100%, $E$9)</f>
        <v>38.954300000000003</v>
      </c>
      <c r="J613" s="14">
        <f>CHOOSE(CONTROL!$C$42, 38.8079, 38.8079)* CHOOSE(CONTROL!$C$21, $C$9, 100%, $E$9)</f>
        <v>38.807899999999997</v>
      </c>
      <c r="K613" s="53">
        <f>CHOOSE(CONTROL!$C$42, 38.9504, 38.9504) * CHOOSE(CONTROL!$C$21, $C$9, 100%, $E$9)</f>
        <v>38.950400000000002</v>
      </c>
      <c r="L613" s="14">
        <f>CHOOSE(CONTROL!$C$42, 39.5069, 39.5069) * CHOOSE(CONTROL!$C$21, $C$9, 100%, $E$9)</f>
        <v>39.506900000000002</v>
      </c>
      <c r="M613" s="14">
        <f>CHOOSE(CONTROL!$C$42, 38.0204, 38.0204) * CHOOSE(CONTROL!$C$21, $C$9, 100%, $E$9)</f>
        <v>38.020400000000002</v>
      </c>
      <c r="N613" s="14">
        <f>CHOOSE(CONTROL!$C$42, 38.0363, 38.0363) * CHOOSE(CONTROL!$C$21, $C$9, 100%, $E$9)</f>
        <v>38.036299999999997</v>
      </c>
      <c r="O613" s="14">
        <f>CHOOSE(CONTROL!$C$42, 38.1301, 38.1301) * CHOOSE(CONTROL!$C$21, $C$9, 100%, $E$9)</f>
        <v>38.130099999999999</v>
      </c>
      <c r="P613" s="14">
        <f>CHOOSE(CONTROL!$C$42, 38.1615, 38.1615) * CHOOSE(CONTROL!$C$21, $C$9, 100%, $E$9)</f>
        <v>38.161499999999997</v>
      </c>
      <c r="Q613" s="14">
        <f>CHOOSE(CONTROL!$C$42, 38.7248, 38.7248) * CHOOSE(CONTROL!$C$21, $C$9, 100%, $E$9)</f>
        <v>38.724800000000002</v>
      </c>
      <c r="R613" s="14">
        <f>CHOOSE(CONTROL!$C$42, 39.4086, 39.4086) * CHOOSE(CONTROL!$C$21, $C$9, 100%, $E$9)</f>
        <v>39.4086</v>
      </c>
      <c r="S613" s="14">
        <f>CHOOSE(CONTROL!$C$42, 37.2885, 37.2885) * CHOOSE(CONTROL!$C$21, $C$9, 100%, $E$9)</f>
        <v>37.288499999999999</v>
      </c>
      <c r="T6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7">
        <f>(1000*CHOOSE(CONTROL!$C$42, 695, 695)*CHOOSE(CONTROL!$C$42, 0.5599, 0.5599)*CHOOSE(CONTROL!$C$42, 31, 31))/1000000</f>
        <v>12.063045499999998</v>
      </c>
      <c r="V613" s="57">
        <f>(1000*CHOOSE(CONTROL!$C$42, 500, 500)*CHOOSE(CONTROL!$C$42, 0.275, 0.275)*CHOOSE(CONTROL!$C$42, 31, 31))/1000000</f>
        <v>4.2625000000000002</v>
      </c>
      <c r="W613" s="57">
        <f>(1000*CHOOSE(CONTROL!$C$42, 0.1146, 0.1146)*CHOOSE(CONTROL!$C$42, 121.5, 121.5)*CHOOSE(CONTROL!$C$42, 31, 31))/1000000</f>
        <v>0.43164089999999994</v>
      </c>
      <c r="X613" s="57">
        <f>(31*0.1790888*100000/1000000)+(31*0.2374*100000/1000000)</f>
        <v>1.2911152800000001</v>
      </c>
      <c r="Y613" s="57"/>
      <c r="Z613" s="14"/>
      <c r="AA613" s="56"/>
      <c r="AB613" s="50">
        <f>(B613*122.58+C613*297.941+D613*89.177+E613*40.302+F613*40+G613*160+H613*0+I613*100+J613*300)/(122.58+297.941+89.177+40.302+0+40+160+100+300)</f>
        <v>38.839057752695645</v>
      </c>
      <c r="AC613" s="45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38.091337410071944</v>
      </c>
    </row>
    <row r="614" spans="1:29" ht="15.75" x14ac:dyDescent="0.25">
      <c r="A614" s="32">
        <v>59595</v>
      </c>
      <c r="B614" s="14">
        <f>CHOOSE(CONTROL!$C$42, 39.5054, 39.5054) * CHOOSE(CONTROL!$C$21, $C$9, 100%, $E$9)</f>
        <v>39.505400000000002</v>
      </c>
      <c r="C614" s="14">
        <f>CHOOSE(CONTROL!$C$42, 39.5105, 39.5105) * CHOOSE(CONTROL!$C$21, $C$9, 100%, $E$9)</f>
        <v>39.5105</v>
      </c>
      <c r="D614" s="14">
        <f>CHOOSE(CONTROL!$C$42, 39.5873, 39.5873) * CHOOSE(CONTROL!$C$21, $C$9, 100%, $E$9)</f>
        <v>39.587299999999999</v>
      </c>
      <c r="E614" s="14">
        <f>CHOOSE(CONTROL!$C$42, 39.6214, 39.6214) * CHOOSE(CONTROL!$C$21, $C$9, 100%, $E$9)</f>
        <v>39.621400000000001</v>
      </c>
      <c r="F614" s="14">
        <f>CHOOSE(CONTROL!$C$42, 39.5057, 39.5057)*CHOOSE(CONTROL!$C$21, $C$9, 100%, $E$9)</f>
        <v>39.505699999999997</v>
      </c>
      <c r="G614" s="14">
        <f>CHOOSE(CONTROL!$C$42, 39.5219, 39.5219)*CHOOSE(CONTROL!$C$21, $C$9, 100%, $E$9)</f>
        <v>39.521900000000002</v>
      </c>
      <c r="H614" s="14">
        <f>CHOOSE(CONTROL!$C$42, 39.6106, 39.6106) * CHOOSE(CONTROL!$C$21, $C$9, 100%, $E$9)</f>
        <v>39.610599999999998</v>
      </c>
      <c r="I614" s="14">
        <f>CHOOSE(CONTROL!$C$42, 39.6472, 39.6472)* CHOOSE(CONTROL!$C$21, $C$9, 100%, $E$9)</f>
        <v>39.647199999999998</v>
      </c>
      <c r="J614" s="14">
        <f>CHOOSE(CONTROL!$C$42, 39.4987, 39.4987)* CHOOSE(CONTROL!$C$21, $C$9, 100%, $E$9)</f>
        <v>39.498699999999999</v>
      </c>
      <c r="K614" s="53">
        <f>CHOOSE(CONTROL!$C$42, 39.6433, 39.6433) * CHOOSE(CONTROL!$C$21, $C$9, 100%, $E$9)</f>
        <v>39.643300000000004</v>
      </c>
      <c r="L614" s="14">
        <f>CHOOSE(CONTROL!$C$42, 40.1976, 40.1976) * CHOOSE(CONTROL!$C$21, $C$9, 100%, $E$9)</f>
        <v>40.197600000000001</v>
      </c>
      <c r="M614" s="14">
        <f>CHOOSE(CONTROL!$C$42, 38.6971, 38.6971) * CHOOSE(CONTROL!$C$21, $C$9, 100%, $E$9)</f>
        <v>38.697099999999999</v>
      </c>
      <c r="N614" s="14">
        <f>CHOOSE(CONTROL!$C$42, 38.713, 38.713) * CHOOSE(CONTROL!$C$21, $C$9, 100%, $E$9)</f>
        <v>38.713000000000001</v>
      </c>
      <c r="O614" s="14">
        <f>CHOOSE(CONTROL!$C$42, 38.8067, 38.8067) * CHOOSE(CONTROL!$C$21, $C$9, 100%, $E$9)</f>
        <v>38.806699999999999</v>
      </c>
      <c r="P614" s="14">
        <f>CHOOSE(CONTROL!$C$42, 38.8402, 38.8402) * CHOOSE(CONTROL!$C$21, $C$9, 100%, $E$9)</f>
        <v>38.840200000000003</v>
      </c>
      <c r="Q614" s="14">
        <f>CHOOSE(CONTROL!$C$42, 39.4014, 39.4014) * CHOOSE(CONTROL!$C$21, $C$9, 100%, $E$9)</f>
        <v>39.401400000000002</v>
      </c>
      <c r="R614" s="14">
        <f>CHOOSE(CONTROL!$C$42, 40.0869, 40.0869) * CHOOSE(CONTROL!$C$21, $C$9, 100%, $E$9)</f>
        <v>40.0869</v>
      </c>
      <c r="S614" s="14">
        <f>CHOOSE(CONTROL!$C$42, 37.9522, 37.9522) * CHOOSE(CONTROL!$C$21, $C$9, 100%, $E$9)</f>
        <v>37.952199999999998</v>
      </c>
      <c r="T6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7">
        <f>(1000*CHOOSE(CONTROL!$C$42, 695, 695)*CHOOSE(CONTROL!$C$42, 0.5599, 0.5599)*CHOOSE(CONTROL!$C$42, 28, 28))/1000000</f>
        <v>10.895653999999999</v>
      </c>
      <c r="V614" s="57">
        <f>(1000*CHOOSE(CONTROL!$C$42, 500, 500)*CHOOSE(CONTROL!$C$42, 0.275, 0.275)*CHOOSE(CONTROL!$C$42, 28, 28))/1000000</f>
        <v>3.85</v>
      </c>
      <c r="W614" s="57">
        <f>(1000*CHOOSE(CONTROL!$C$42, 0.1146, 0.1146)*CHOOSE(CONTROL!$C$42, 121.5, 121.5)*CHOOSE(CONTROL!$C$42, 28, 28))/1000000</f>
        <v>0.38986920000000003</v>
      </c>
      <c r="X614" s="57">
        <f>(28*0.1790888*100000/1000000)+(28*0.2374*100000/1000000)</f>
        <v>1.16616864</v>
      </c>
      <c r="Y614" s="57"/>
      <c r="Z614" s="14"/>
      <c r="AA614" s="56"/>
      <c r="AB614" s="50">
        <f>(B614*122.58+C614*297.941+D614*89.177+E614*40.302+F614*40+G614*160+H614*0+I614*100+J614*300)/(122.58+297.941+89.177+40.302+0+40+160+100+300)</f>
        <v>39.530026197739133</v>
      </c>
      <c r="AC614" s="45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38.768279856115115</v>
      </c>
    </row>
    <row r="615" spans="1:29" ht="15.75" x14ac:dyDescent="0.25">
      <c r="A615" s="32">
        <v>59626</v>
      </c>
      <c r="B615" s="14">
        <f>CHOOSE(CONTROL!$C$42, 38.3841, 38.3841) * CHOOSE(CONTROL!$C$21, $C$9, 100%, $E$9)</f>
        <v>38.384099999999997</v>
      </c>
      <c r="C615" s="14">
        <f>CHOOSE(CONTROL!$C$42, 38.3892, 38.3892) * CHOOSE(CONTROL!$C$21, $C$9, 100%, $E$9)</f>
        <v>38.389200000000002</v>
      </c>
      <c r="D615" s="14">
        <f>CHOOSE(CONTROL!$C$42, 38.466, 38.466) * CHOOSE(CONTROL!$C$21, $C$9, 100%, $E$9)</f>
        <v>38.466000000000001</v>
      </c>
      <c r="E615" s="14">
        <f>CHOOSE(CONTROL!$C$42, 38.5001, 38.5001) * CHOOSE(CONTROL!$C$21, $C$9, 100%, $E$9)</f>
        <v>38.500100000000003</v>
      </c>
      <c r="F615" s="14">
        <f>CHOOSE(CONTROL!$C$42, 38.3839, 38.3839)*CHOOSE(CONTROL!$C$21, $C$9, 100%, $E$9)</f>
        <v>38.383899999999997</v>
      </c>
      <c r="G615" s="14">
        <f>CHOOSE(CONTROL!$C$42, 38.4, 38.4)*CHOOSE(CONTROL!$C$21, $C$9, 100%, $E$9)</f>
        <v>38.4</v>
      </c>
      <c r="H615" s="14">
        <f>CHOOSE(CONTROL!$C$42, 38.4893, 38.4893) * CHOOSE(CONTROL!$C$21, $C$9, 100%, $E$9)</f>
        <v>38.4893</v>
      </c>
      <c r="I615" s="14">
        <f>CHOOSE(CONTROL!$C$42, 38.5224, 38.5224)* CHOOSE(CONTROL!$C$21, $C$9, 100%, $E$9)</f>
        <v>38.522399999999998</v>
      </c>
      <c r="J615" s="14">
        <f>CHOOSE(CONTROL!$C$42, 38.3769, 38.3769)* CHOOSE(CONTROL!$C$21, $C$9, 100%, $E$9)</f>
        <v>38.376899999999999</v>
      </c>
      <c r="K615" s="53">
        <f>CHOOSE(CONTROL!$C$42, 38.5185, 38.5185) * CHOOSE(CONTROL!$C$21, $C$9, 100%, $E$9)</f>
        <v>38.518500000000003</v>
      </c>
      <c r="L615" s="14">
        <f>CHOOSE(CONTROL!$C$42, 39.0763, 39.0763) * CHOOSE(CONTROL!$C$21, $C$9, 100%, $E$9)</f>
        <v>39.076300000000003</v>
      </c>
      <c r="M615" s="14">
        <f>CHOOSE(CONTROL!$C$42, 37.5983, 37.5983) * CHOOSE(CONTROL!$C$21, $C$9, 100%, $E$9)</f>
        <v>37.598300000000002</v>
      </c>
      <c r="N615" s="14">
        <f>CHOOSE(CONTROL!$C$42, 37.6141, 37.6141) * CHOOSE(CONTROL!$C$21, $C$9, 100%, $E$9)</f>
        <v>37.614100000000001</v>
      </c>
      <c r="O615" s="14">
        <f>CHOOSE(CONTROL!$C$42, 37.7084, 37.7084) * CHOOSE(CONTROL!$C$21, $C$9, 100%, $E$9)</f>
        <v>37.708399999999997</v>
      </c>
      <c r="P615" s="14">
        <f>CHOOSE(CONTROL!$C$42, 37.7385, 37.7385) * CHOOSE(CONTROL!$C$21, $C$9, 100%, $E$9)</f>
        <v>37.738500000000002</v>
      </c>
      <c r="Q615" s="14">
        <f>CHOOSE(CONTROL!$C$42, 38.3031, 38.3031) * CHOOSE(CONTROL!$C$21, $C$9, 100%, $E$9)</f>
        <v>38.303100000000001</v>
      </c>
      <c r="R615" s="14">
        <f>CHOOSE(CONTROL!$C$42, 38.9859, 38.9859) * CHOOSE(CONTROL!$C$21, $C$9, 100%, $E$9)</f>
        <v>38.985900000000001</v>
      </c>
      <c r="S615" s="14">
        <f>CHOOSE(CONTROL!$C$42, 36.8748, 36.8748) * CHOOSE(CONTROL!$C$21, $C$9, 100%, $E$9)</f>
        <v>36.8748</v>
      </c>
      <c r="T6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7">
        <f>(1000*CHOOSE(CONTROL!$C$42, 695, 695)*CHOOSE(CONTROL!$C$42, 0.5599, 0.5599)*CHOOSE(CONTROL!$C$42, 31, 31))/1000000</f>
        <v>12.063045499999998</v>
      </c>
      <c r="V615" s="57">
        <f>(1000*CHOOSE(CONTROL!$C$42, 500, 500)*CHOOSE(CONTROL!$C$42, 0.275, 0.275)*CHOOSE(CONTROL!$C$42, 31, 31))/1000000</f>
        <v>4.2625000000000002</v>
      </c>
      <c r="W615" s="57">
        <f>(1000*CHOOSE(CONTROL!$C$42, 0.1146, 0.1146)*CHOOSE(CONTROL!$C$42, 121.5, 121.5)*CHOOSE(CONTROL!$C$42, 31, 31))/1000000</f>
        <v>0.43164089999999994</v>
      </c>
      <c r="X615" s="57">
        <f>(31*0.1790888*100000/1000000)+(31*0.2374*100000/1000000)</f>
        <v>1.2911152800000001</v>
      </c>
      <c r="Y615" s="57"/>
      <c r="Z615" s="14"/>
      <c r="AA615" s="56"/>
      <c r="AB615" s="50">
        <f>(B615*122.58+C615*297.941+D615*89.177+E615*40.302+F615*40+G615*160+H615*0+I615*100+J615*300)/(122.58+297.941+89.177+40.302+0+40+160+100+300)</f>
        <v>38.408190545565212</v>
      </c>
      <c r="AC615" s="45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37.669283453237412</v>
      </c>
    </row>
    <row r="616" spans="1:29" ht="15.75" x14ac:dyDescent="0.25">
      <c r="A616" s="32">
        <v>59656</v>
      </c>
      <c r="B616" s="14">
        <f>CHOOSE(CONTROL!$C$42, 38.2705, 38.2705) * CHOOSE(CONTROL!$C$21, $C$9, 100%, $E$9)</f>
        <v>38.270499999999998</v>
      </c>
      <c r="C616" s="14">
        <f>CHOOSE(CONTROL!$C$42, 38.275, 38.275) * CHOOSE(CONTROL!$C$21, $C$9, 100%, $E$9)</f>
        <v>38.274999999999999</v>
      </c>
      <c r="D616" s="14">
        <f>CHOOSE(CONTROL!$C$42, 38.5117, 38.5117) * CHOOSE(CONTROL!$C$21, $C$9, 100%, $E$9)</f>
        <v>38.511699999999998</v>
      </c>
      <c r="E616" s="14">
        <f>CHOOSE(CONTROL!$C$42, 38.5438, 38.5438) * CHOOSE(CONTROL!$C$21, $C$9, 100%, $E$9)</f>
        <v>38.543799999999997</v>
      </c>
      <c r="F616" s="14">
        <f>CHOOSE(CONTROL!$C$42, 38.2684, 38.2684)*CHOOSE(CONTROL!$C$21, $C$9, 100%, $E$9)</f>
        <v>38.2684</v>
      </c>
      <c r="G616" s="14">
        <f>CHOOSE(CONTROL!$C$42, 38.2842, 38.2842)*CHOOSE(CONTROL!$C$21, $C$9, 100%, $E$9)</f>
        <v>38.284199999999998</v>
      </c>
      <c r="H616" s="14">
        <f>CHOOSE(CONTROL!$C$42, 38.5336, 38.5336) * CHOOSE(CONTROL!$C$21, $C$9, 100%, $E$9)</f>
        <v>38.5336</v>
      </c>
      <c r="I616" s="14">
        <f>CHOOSE(CONTROL!$C$42, 38.4076, 38.4076)* CHOOSE(CONTROL!$C$21, $C$9, 100%, $E$9)</f>
        <v>38.407600000000002</v>
      </c>
      <c r="J616" s="14">
        <f>CHOOSE(CONTROL!$C$42, 38.2614, 38.2614)* CHOOSE(CONTROL!$C$21, $C$9, 100%, $E$9)</f>
        <v>38.261400000000002</v>
      </c>
      <c r="K616" s="53">
        <f>CHOOSE(CONTROL!$C$42, 38.4037, 38.4037) * CHOOSE(CONTROL!$C$21, $C$9, 100%, $E$9)</f>
        <v>38.403700000000001</v>
      </c>
      <c r="L616" s="14">
        <f>CHOOSE(CONTROL!$C$42, 39.1206, 39.1206) * CHOOSE(CONTROL!$C$21, $C$9, 100%, $E$9)</f>
        <v>39.120600000000003</v>
      </c>
      <c r="M616" s="14">
        <f>CHOOSE(CONTROL!$C$42, 37.4852, 37.4852) * CHOOSE(CONTROL!$C$21, $C$9, 100%, $E$9)</f>
        <v>37.485199999999999</v>
      </c>
      <c r="N616" s="14">
        <f>CHOOSE(CONTROL!$C$42, 37.5007, 37.5007) * CHOOSE(CONTROL!$C$21, $C$9, 100%, $E$9)</f>
        <v>37.500700000000002</v>
      </c>
      <c r="O616" s="14">
        <f>CHOOSE(CONTROL!$C$42, 37.7518, 37.7518) * CHOOSE(CONTROL!$C$21, $C$9, 100%, $E$9)</f>
        <v>37.751800000000003</v>
      </c>
      <c r="P616" s="14">
        <f>CHOOSE(CONTROL!$C$42, 37.626, 37.626) * CHOOSE(CONTROL!$C$21, $C$9, 100%, $E$9)</f>
        <v>37.625999999999998</v>
      </c>
      <c r="Q616" s="14">
        <f>CHOOSE(CONTROL!$C$42, 38.3465, 38.3465) * CHOOSE(CONTROL!$C$21, $C$9, 100%, $E$9)</f>
        <v>38.346499999999999</v>
      </c>
      <c r="R616" s="14">
        <f>CHOOSE(CONTROL!$C$42, 39.0293, 39.0293) * CHOOSE(CONTROL!$C$21, $C$9, 100%, $E$9)</f>
        <v>39.029299999999999</v>
      </c>
      <c r="S616" s="14">
        <f>CHOOSE(CONTROL!$C$42, 36.7648, 36.7648) * CHOOSE(CONTROL!$C$21, $C$9, 100%, $E$9)</f>
        <v>36.764800000000001</v>
      </c>
      <c r="T6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7">
        <f>(1000*CHOOSE(CONTROL!$C$42, 695, 695)*CHOOSE(CONTROL!$C$42, 0.5599, 0.5599)*CHOOSE(CONTROL!$C$42, 30, 30))/1000000</f>
        <v>11.673914999999997</v>
      </c>
      <c r="V616" s="57">
        <f>(1000*CHOOSE(CONTROL!$C$42, 500, 500)*CHOOSE(CONTROL!$C$42, 0.275, 0.275)*CHOOSE(CONTROL!$C$42, 30, 30))/1000000</f>
        <v>4.125</v>
      </c>
      <c r="W616" s="57">
        <f>(1000*CHOOSE(CONTROL!$C$42, 0.1146, 0.1146)*CHOOSE(CONTROL!$C$42, 121.5, 121.5)*CHOOSE(CONTROL!$C$42, 30, 30))/1000000</f>
        <v>0.417717</v>
      </c>
      <c r="X616" s="57">
        <f>(30*0.1790888*245000/1000000)+(30*0.2374*100000/1000000)</f>
        <v>2.0285026799999999</v>
      </c>
      <c r="Y616" s="57"/>
      <c r="Z616" s="14"/>
      <c r="AA616" s="56"/>
      <c r="AB616" s="50">
        <f>(B616*141.293+C616*267.993+D616*115.016+E616*89.698+F616*40+G616*185+H616*0+I616*100+J616*300)/(141.293+267.993+115.016+89.698+0+40+185+100+300)</f>
        <v>38.32448933906376</v>
      </c>
      <c r="AC616" s="45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37.62718417266187</v>
      </c>
    </row>
    <row r="617" spans="1:29" ht="15.75" x14ac:dyDescent="0.25">
      <c r="A617" s="32">
        <v>59687</v>
      </c>
      <c r="B617" s="14">
        <f>CHOOSE(CONTROL!$C$42, 38.6096, 38.6096) * CHOOSE(CONTROL!$C$21, $C$9, 100%, $E$9)</f>
        <v>38.6096</v>
      </c>
      <c r="C617" s="14">
        <f>CHOOSE(CONTROL!$C$42, 38.6176, 38.6176) * CHOOSE(CONTROL!$C$21, $C$9, 100%, $E$9)</f>
        <v>38.617600000000003</v>
      </c>
      <c r="D617" s="14">
        <f>CHOOSE(CONTROL!$C$42, 38.8512, 38.8512) * CHOOSE(CONTROL!$C$21, $C$9, 100%, $E$9)</f>
        <v>38.851199999999999</v>
      </c>
      <c r="E617" s="14">
        <f>CHOOSE(CONTROL!$C$42, 38.8826, 38.8826) * CHOOSE(CONTROL!$C$21, $C$9, 100%, $E$9)</f>
        <v>38.882599999999996</v>
      </c>
      <c r="F617" s="14">
        <f>CHOOSE(CONTROL!$C$42, 38.6063, 38.6063)*CHOOSE(CONTROL!$C$21, $C$9, 100%, $E$9)</f>
        <v>38.606299999999997</v>
      </c>
      <c r="G617" s="14">
        <f>CHOOSE(CONTROL!$C$42, 38.6227, 38.6227)*CHOOSE(CONTROL!$C$21, $C$9, 100%, $E$9)</f>
        <v>38.622700000000002</v>
      </c>
      <c r="H617" s="14">
        <f>CHOOSE(CONTROL!$C$42, 38.8713, 38.8713) * CHOOSE(CONTROL!$C$21, $C$9, 100%, $E$9)</f>
        <v>38.871299999999998</v>
      </c>
      <c r="I617" s="14">
        <f>CHOOSE(CONTROL!$C$42, 38.7464, 38.7464)* CHOOSE(CONTROL!$C$21, $C$9, 100%, $E$9)</f>
        <v>38.746400000000001</v>
      </c>
      <c r="J617" s="14">
        <f>CHOOSE(CONTROL!$C$42, 38.5993, 38.5993)* CHOOSE(CONTROL!$C$21, $C$9, 100%, $E$9)</f>
        <v>38.599299999999999</v>
      </c>
      <c r="K617" s="53">
        <f>CHOOSE(CONTROL!$C$42, 38.7425, 38.7425) * CHOOSE(CONTROL!$C$21, $C$9, 100%, $E$9)</f>
        <v>38.7425</v>
      </c>
      <c r="L617" s="14">
        <f>CHOOSE(CONTROL!$C$42, 39.4583, 39.4583) * CHOOSE(CONTROL!$C$21, $C$9, 100%, $E$9)</f>
        <v>39.458300000000001</v>
      </c>
      <c r="M617" s="14">
        <f>CHOOSE(CONTROL!$C$42, 37.8162, 37.8162) * CHOOSE(CONTROL!$C$21, $C$9, 100%, $E$9)</f>
        <v>37.816200000000002</v>
      </c>
      <c r="N617" s="14">
        <f>CHOOSE(CONTROL!$C$42, 37.8322, 37.8322) * CHOOSE(CONTROL!$C$21, $C$9, 100%, $E$9)</f>
        <v>37.8322</v>
      </c>
      <c r="O617" s="14">
        <f>CHOOSE(CONTROL!$C$42, 38.0825, 38.0825) * CHOOSE(CONTROL!$C$21, $C$9, 100%, $E$9)</f>
        <v>38.082500000000003</v>
      </c>
      <c r="P617" s="14">
        <f>CHOOSE(CONTROL!$C$42, 37.9578, 37.9578) * CHOOSE(CONTROL!$C$21, $C$9, 100%, $E$9)</f>
        <v>37.957799999999999</v>
      </c>
      <c r="Q617" s="14">
        <f>CHOOSE(CONTROL!$C$42, 38.6772, 38.6772) * CHOOSE(CONTROL!$C$21, $C$9, 100%, $E$9)</f>
        <v>38.677199999999999</v>
      </c>
      <c r="R617" s="14">
        <f>CHOOSE(CONTROL!$C$42, 39.3609, 39.3609) * CHOOSE(CONTROL!$C$21, $C$9, 100%, $E$9)</f>
        <v>39.360900000000001</v>
      </c>
      <c r="S617" s="14">
        <f>CHOOSE(CONTROL!$C$42, 37.0893, 37.0893) * CHOOSE(CONTROL!$C$21, $C$9, 100%, $E$9)</f>
        <v>37.089300000000001</v>
      </c>
      <c r="T6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7">
        <f>(1000*CHOOSE(CONTROL!$C$42, 695, 695)*CHOOSE(CONTROL!$C$42, 0.5599, 0.5599)*CHOOSE(CONTROL!$C$42, 31, 31))/1000000</f>
        <v>12.063045499999998</v>
      </c>
      <c r="V617" s="57">
        <f>(1000*CHOOSE(CONTROL!$C$42, 500, 500)*CHOOSE(CONTROL!$C$42, 0.275, 0.275)*CHOOSE(CONTROL!$C$42, 31, 31))/1000000</f>
        <v>4.2625000000000002</v>
      </c>
      <c r="W617" s="57">
        <f>(1000*CHOOSE(CONTROL!$C$42, 0.1146, 0.1146)*CHOOSE(CONTROL!$C$42, 121.5, 121.5)*CHOOSE(CONTROL!$C$42, 31, 31))/1000000</f>
        <v>0.43164089999999994</v>
      </c>
      <c r="X617" s="57">
        <f>(31*0.1790888*245000/1000000)+(31*0.2374*100000/1000000)</f>
        <v>2.0961194359999999</v>
      </c>
      <c r="Y617" s="57"/>
      <c r="Z617" s="14"/>
      <c r="AA617" s="56"/>
      <c r="AB617" s="50">
        <f>(B617*194.205+C617*267.466+D617*133.845+E617*53.484+F617*40+G617*185+H617*0+I617*100+J617*300)/(194.205+267.466+133.845+53.484+0+40+185+100+300)</f>
        <v>38.658233682888543</v>
      </c>
      <c r="AC617" s="45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37.958192086330939</v>
      </c>
    </row>
    <row r="618" spans="1:29" ht="15.75" x14ac:dyDescent="0.25">
      <c r="A618" s="32">
        <v>59717</v>
      </c>
      <c r="B618" s="14">
        <f>CHOOSE(CONTROL!$C$42, 39.7044, 39.7044) * CHOOSE(CONTROL!$C$21, $C$9, 100%, $E$9)</f>
        <v>39.7044</v>
      </c>
      <c r="C618" s="14">
        <f>CHOOSE(CONTROL!$C$42, 39.7124, 39.7124) * CHOOSE(CONTROL!$C$21, $C$9, 100%, $E$9)</f>
        <v>39.712400000000002</v>
      </c>
      <c r="D618" s="14">
        <f>CHOOSE(CONTROL!$C$42, 39.946, 39.946) * CHOOSE(CONTROL!$C$21, $C$9, 100%, $E$9)</f>
        <v>39.945999999999998</v>
      </c>
      <c r="E618" s="14">
        <f>CHOOSE(CONTROL!$C$42, 39.9775, 39.9775) * CHOOSE(CONTROL!$C$21, $C$9, 100%, $E$9)</f>
        <v>39.977499999999999</v>
      </c>
      <c r="F618" s="14">
        <f>CHOOSE(CONTROL!$C$42, 39.7017, 39.7017)*CHOOSE(CONTROL!$C$21, $C$9, 100%, $E$9)</f>
        <v>39.701700000000002</v>
      </c>
      <c r="G618" s="14">
        <f>CHOOSE(CONTROL!$C$42, 39.7181, 39.7181)*CHOOSE(CONTROL!$C$21, $C$9, 100%, $E$9)</f>
        <v>39.7181</v>
      </c>
      <c r="H618" s="14">
        <f>CHOOSE(CONTROL!$C$42, 39.9661, 39.9661) * CHOOSE(CONTROL!$C$21, $C$9, 100%, $E$9)</f>
        <v>39.966099999999997</v>
      </c>
      <c r="I618" s="14">
        <f>CHOOSE(CONTROL!$C$42, 39.8446, 39.8446)* CHOOSE(CONTROL!$C$21, $C$9, 100%, $E$9)</f>
        <v>39.8446</v>
      </c>
      <c r="J618" s="14">
        <f>CHOOSE(CONTROL!$C$42, 39.6947, 39.6947)* CHOOSE(CONTROL!$C$21, $C$9, 100%, $E$9)</f>
        <v>39.694699999999997</v>
      </c>
      <c r="K618" s="53">
        <f>CHOOSE(CONTROL!$C$42, 39.8408, 39.8408) * CHOOSE(CONTROL!$C$21, $C$9, 100%, $E$9)</f>
        <v>39.840800000000002</v>
      </c>
      <c r="L618" s="14">
        <f>CHOOSE(CONTROL!$C$42, 40.5531, 40.5531) * CHOOSE(CONTROL!$C$21, $C$9, 100%, $E$9)</f>
        <v>40.553100000000001</v>
      </c>
      <c r="M618" s="14">
        <f>CHOOSE(CONTROL!$C$42, 38.8891, 38.8891) * CHOOSE(CONTROL!$C$21, $C$9, 100%, $E$9)</f>
        <v>38.889099999999999</v>
      </c>
      <c r="N618" s="14">
        <f>CHOOSE(CONTROL!$C$42, 38.9052, 38.9052) * CHOOSE(CONTROL!$C$21, $C$9, 100%, $E$9)</f>
        <v>38.905200000000001</v>
      </c>
      <c r="O618" s="14">
        <f>CHOOSE(CONTROL!$C$42, 39.155, 39.155) * CHOOSE(CONTROL!$C$21, $C$9, 100%, $E$9)</f>
        <v>39.155000000000001</v>
      </c>
      <c r="P618" s="14">
        <f>CHOOSE(CONTROL!$C$42, 39.0335, 39.0335) * CHOOSE(CONTROL!$C$21, $C$9, 100%, $E$9)</f>
        <v>39.033499999999997</v>
      </c>
      <c r="Q618" s="14">
        <f>CHOOSE(CONTROL!$C$42, 39.7497, 39.7497) * CHOOSE(CONTROL!$C$21, $C$9, 100%, $E$9)</f>
        <v>39.749699999999997</v>
      </c>
      <c r="R618" s="14">
        <f>CHOOSE(CONTROL!$C$42, 40.436, 40.436) * CHOOSE(CONTROL!$C$21, $C$9, 100%, $E$9)</f>
        <v>40.436</v>
      </c>
      <c r="S618" s="14">
        <f>CHOOSE(CONTROL!$C$42, 38.1413, 38.1413) * CHOOSE(CONTROL!$C$21, $C$9, 100%, $E$9)</f>
        <v>38.141300000000001</v>
      </c>
      <c r="T6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7">
        <f>(1000*CHOOSE(CONTROL!$C$42, 695, 695)*CHOOSE(CONTROL!$C$42, 0.5599, 0.5599)*CHOOSE(CONTROL!$C$42, 30, 30))/1000000</f>
        <v>11.673914999999997</v>
      </c>
      <c r="V618" s="57">
        <f>(1000*CHOOSE(CONTROL!$C$42, 500, 500)*CHOOSE(CONTROL!$C$42, 0.275, 0.275)*CHOOSE(CONTROL!$C$42, 30, 30))/1000000</f>
        <v>4.125</v>
      </c>
      <c r="W618" s="57">
        <f>(1000*CHOOSE(CONTROL!$C$42, 0.1146, 0.1146)*CHOOSE(CONTROL!$C$42, 121.5, 121.5)*CHOOSE(CONTROL!$C$42, 30, 30))/1000000</f>
        <v>0.417717</v>
      </c>
      <c r="X618" s="57">
        <f>(30*0.1790888*245000/1000000)+(30*0.2374*100000/1000000)</f>
        <v>2.0285026799999999</v>
      </c>
      <c r="Y618" s="57"/>
      <c r="Z618" s="14"/>
      <c r="AA618" s="56"/>
      <c r="AB618" s="50">
        <f>(B618*194.205+C618*267.466+D618*133.845+E618*53.484+F618*40+G618*185+H618*0+I618*100+J618*300)/(194.205+267.466+133.845+53.484+0+40+185+100+300)</f>
        <v>39.75355200973312</v>
      </c>
      <c r="AC618" s="45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39.031319424460435</v>
      </c>
    </row>
    <row r="619" spans="1:29" ht="15.75" x14ac:dyDescent="0.25">
      <c r="A619" s="32">
        <v>59748</v>
      </c>
      <c r="B619" s="14">
        <f>CHOOSE(CONTROL!$C$42, 38.9429, 38.9429) * CHOOSE(CONTROL!$C$21, $C$9, 100%, $E$9)</f>
        <v>38.942900000000002</v>
      </c>
      <c r="C619" s="14">
        <f>CHOOSE(CONTROL!$C$42, 38.951, 38.951) * CHOOSE(CONTROL!$C$21, $C$9, 100%, $E$9)</f>
        <v>38.951000000000001</v>
      </c>
      <c r="D619" s="14">
        <f>CHOOSE(CONTROL!$C$42, 39.1846, 39.1846) * CHOOSE(CONTROL!$C$21, $C$9, 100%, $E$9)</f>
        <v>39.184600000000003</v>
      </c>
      <c r="E619" s="14">
        <f>CHOOSE(CONTROL!$C$42, 39.216, 39.216) * CHOOSE(CONTROL!$C$21, $C$9, 100%, $E$9)</f>
        <v>39.216000000000001</v>
      </c>
      <c r="F619" s="14">
        <f>CHOOSE(CONTROL!$C$42, 38.9407, 38.9407)*CHOOSE(CONTROL!$C$21, $C$9, 100%, $E$9)</f>
        <v>38.9407</v>
      </c>
      <c r="G619" s="14">
        <f>CHOOSE(CONTROL!$C$42, 38.9573, 38.9573)*CHOOSE(CONTROL!$C$21, $C$9, 100%, $E$9)</f>
        <v>38.957299999999996</v>
      </c>
      <c r="H619" s="14">
        <f>CHOOSE(CONTROL!$C$42, 39.2047, 39.2047) * CHOOSE(CONTROL!$C$21, $C$9, 100%, $E$9)</f>
        <v>39.204700000000003</v>
      </c>
      <c r="I619" s="14">
        <f>CHOOSE(CONTROL!$C$42, 39.0808, 39.0808)* CHOOSE(CONTROL!$C$21, $C$9, 100%, $E$9)</f>
        <v>39.080800000000004</v>
      </c>
      <c r="J619" s="14">
        <f>CHOOSE(CONTROL!$C$42, 38.9337, 38.9337)* CHOOSE(CONTROL!$C$21, $C$9, 100%, $E$9)</f>
        <v>38.933700000000002</v>
      </c>
      <c r="K619" s="53">
        <f>CHOOSE(CONTROL!$C$42, 39.0769, 39.0769) * CHOOSE(CONTROL!$C$21, $C$9, 100%, $E$9)</f>
        <v>39.076900000000002</v>
      </c>
      <c r="L619" s="14">
        <f>CHOOSE(CONTROL!$C$42, 39.7917, 39.7917) * CHOOSE(CONTROL!$C$21, $C$9, 100%, $E$9)</f>
        <v>39.791699999999999</v>
      </c>
      <c r="M619" s="14">
        <f>CHOOSE(CONTROL!$C$42, 38.1437, 38.1437) * CHOOSE(CONTROL!$C$21, $C$9, 100%, $E$9)</f>
        <v>38.143700000000003</v>
      </c>
      <c r="N619" s="14">
        <f>CHOOSE(CONTROL!$C$42, 38.16, 38.16) * CHOOSE(CONTROL!$C$21, $C$9, 100%, $E$9)</f>
        <v>38.159999999999997</v>
      </c>
      <c r="O619" s="14">
        <f>CHOOSE(CONTROL!$C$42, 38.4091, 38.4091) * CHOOSE(CONTROL!$C$21, $C$9, 100%, $E$9)</f>
        <v>38.409100000000002</v>
      </c>
      <c r="P619" s="14">
        <f>CHOOSE(CONTROL!$C$42, 38.2854, 38.2854) * CHOOSE(CONTROL!$C$21, $C$9, 100%, $E$9)</f>
        <v>38.285400000000003</v>
      </c>
      <c r="Q619" s="14">
        <f>CHOOSE(CONTROL!$C$42, 39.0038, 39.0038) * CHOOSE(CONTROL!$C$21, $C$9, 100%, $E$9)</f>
        <v>39.003799999999998</v>
      </c>
      <c r="R619" s="14">
        <f>CHOOSE(CONTROL!$C$42, 39.6883, 39.6883) * CHOOSE(CONTROL!$C$21, $C$9, 100%, $E$9)</f>
        <v>39.688299999999998</v>
      </c>
      <c r="S619" s="14">
        <f>CHOOSE(CONTROL!$C$42, 37.4096, 37.4096) * CHOOSE(CONTROL!$C$21, $C$9, 100%, $E$9)</f>
        <v>37.409599999999998</v>
      </c>
      <c r="T6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7">
        <f>(1000*CHOOSE(CONTROL!$C$42, 695, 695)*CHOOSE(CONTROL!$C$42, 0.5599, 0.5599)*CHOOSE(CONTROL!$C$42, 31, 31))/1000000</f>
        <v>12.063045499999998</v>
      </c>
      <c r="V619" s="57">
        <f>(1000*CHOOSE(CONTROL!$C$42, 500, 500)*CHOOSE(CONTROL!$C$42, 0.275, 0.275)*CHOOSE(CONTROL!$C$42, 31, 31))/1000000</f>
        <v>4.2625000000000002</v>
      </c>
      <c r="W619" s="57">
        <f>(1000*CHOOSE(CONTROL!$C$42, 0.1146, 0.1146)*CHOOSE(CONTROL!$C$42, 121.5, 121.5)*CHOOSE(CONTROL!$C$42, 31, 31))/1000000</f>
        <v>0.43164089999999994</v>
      </c>
      <c r="X619" s="57">
        <f>(31*0.1790888*245000/1000000)+(31*0.2374*100000/1000000)</f>
        <v>2.0961194359999999</v>
      </c>
      <c r="Y619" s="57"/>
      <c r="Z619" s="14"/>
      <c r="AA619" s="56"/>
      <c r="AB619" s="50">
        <f>(B619*194.205+C619*267.466+D619*133.845+E619*53.484+F619*40+G619*185+H619*0+I619*100+J619*300)/(194.205+267.466+133.845+53.484+0+40+185+100+300)</f>
        <v>38.992138062401885</v>
      </c>
      <c r="AC619" s="45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38.285315827338138</v>
      </c>
    </row>
    <row r="620" spans="1:29" ht="15.75" x14ac:dyDescent="0.25">
      <c r="A620" s="32">
        <v>59779</v>
      </c>
      <c r="B620" s="14">
        <f>CHOOSE(CONTROL!$C$42, 37.02, 37.02) * CHOOSE(CONTROL!$C$21, $C$9, 100%, $E$9)</f>
        <v>37.020000000000003</v>
      </c>
      <c r="C620" s="14">
        <f>CHOOSE(CONTROL!$C$42, 37.028, 37.028) * CHOOSE(CONTROL!$C$21, $C$9, 100%, $E$9)</f>
        <v>37.027999999999999</v>
      </c>
      <c r="D620" s="14">
        <f>CHOOSE(CONTROL!$C$42, 37.2616, 37.2616) * CHOOSE(CONTROL!$C$21, $C$9, 100%, $E$9)</f>
        <v>37.261600000000001</v>
      </c>
      <c r="E620" s="14">
        <f>CHOOSE(CONTROL!$C$42, 37.293, 37.293) * CHOOSE(CONTROL!$C$21, $C$9, 100%, $E$9)</f>
        <v>37.292999999999999</v>
      </c>
      <c r="F620" s="14">
        <f>CHOOSE(CONTROL!$C$42, 37.0179, 37.0179)*CHOOSE(CONTROL!$C$21, $C$9, 100%, $E$9)</f>
        <v>37.017899999999997</v>
      </c>
      <c r="G620" s="14">
        <f>CHOOSE(CONTROL!$C$42, 37.0346, 37.0346)*CHOOSE(CONTROL!$C$21, $C$9, 100%, $E$9)</f>
        <v>37.034599999999998</v>
      </c>
      <c r="H620" s="14">
        <f>CHOOSE(CONTROL!$C$42, 37.2817, 37.2817) * CHOOSE(CONTROL!$C$21, $C$9, 100%, $E$9)</f>
        <v>37.281700000000001</v>
      </c>
      <c r="I620" s="14">
        <f>CHOOSE(CONTROL!$C$42, 37.1518, 37.1518)* CHOOSE(CONTROL!$C$21, $C$9, 100%, $E$9)</f>
        <v>37.151800000000001</v>
      </c>
      <c r="J620" s="14">
        <f>CHOOSE(CONTROL!$C$42, 37.0109, 37.0109)* CHOOSE(CONTROL!$C$21, $C$9, 100%, $E$9)</f>
        <v>37.010899999999999</v>
      </c>
      <c r="K620" s="53">
        <f>CHOOSE(CONTROL!$C$42, 37.1479, 37.1479) * CHOOSE(CONTROL!$C$21, $C$9, 100%, $E$9)</f>
        <v>37.1479</v>
      </c>
      <c r="L620" s="14">
        <f>CHOOSE(CONTROL!$C$42, 37.8687, 37.8687) * CHOOSE(CONTROL!$C$21, $C$9, 100%, $E$9)</f>
        <v>37.868699999999997</v>
      </c>
      <c r="M620" s="14">
        <f>CHOOSE(CONTROL!$C$42, 36.2603, 36.2603) * CHOOSE(CONTROL!$C$21, $C$9, 100%, $E$9)</f>
        <v>36.260300000000001</v>
      </c>
      <c r="N620" s="14">
        <f>CHOOSE(CONTROL!$C$42, 36.2766, 36.2766) * CHOOSE(CONTROL!$C$21, $C$9, 100%, $E$9)</f>
        <v>36.276600000000002</v>
      </c>
      <c r="O620" s="14">
        <f>CHOOSE(CONTROL!$C$42, 36.5255, 36.5255) * CHOOSE(CONTROL!$C$21, $C$9, 100%, $E$9)</f>
        <v>36.525500000000001</v>
      </c>
      <c r="P620" s="14">
        <f>CHOOSE(CONTROL!$C$42, 36.396, 36.396) * CHOOSE(CONTROL!$C$21, $C$9, 100%, $E$9)</f>
        <v>36.396000000000001</v>
      </c>
      <c r="Q620" s="14">
        <f>CHOOSE(CONTROL!$C$42, 37.1202, 37.1202) * CHOOSE(CONTROL!$C$21, $C$9, 100%, $E$9)</f>
        <v>37.120199999999997</v>
      </c>
      <c r="R620" s="14">
        <f>CHOOSE(CONTROL!$C$42, 37.8, 37.8) * CHOOSE(CONTROL!$C$21, $C$9, 100%, $E$9)</f>
        <v>37.799999999999997</v>
      </c>
      <c r="S620" s="14">
        <f>CHOOSE(CONTROL!$C$42, 35.5618, 35.5618) * CHOOSE(CONTROL!$C$21, $C$9, 100%, $E$9)</f>
        <v>35.561799999999998</v>
      </c>
      <c r="T6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7">
        <f>(1000*CHOOSE(CONTROL!$C$42, 695, 695)*CHOOSE(CONTROL!$C$42, 0.5599, 0.5599)*CHOOSE(CONTROL!$C$42, 31, 31))/1000000</f>
        <v>12.063045499999998</v>
      </c>
      <c r="V620" s="57">
        <f>(1000*CHOOSE(CONTROL!$C$42, 500, 500)*CHOOSE(CONTROL!$C$42, 0.275, 0.275)*CHOOSE(CONTROL!$C$42, 31, 31))/1000000</f>
        <v>4.2625000000000002</v>
      </c>
      <c r="W620" s="57">
        <f>(1000*CHOOSE(CONTROL!$C$42, 0.1146, 0.1146)*CHOOSE(CONTROL!$C$42, 121.5, 121.5)*CHOOSE(CONTROL!$C$42, 31, 31))/1000000</f>
        <v>0.43164089999999994</v>
      </c>
      <c r="X620" s="57">
        <f>(31*0.1790888*245000/1000000)+(31*0.2374*100000/1000000)</f>
        <v>2.0961194359999999</v>
      </c>
      <c r="Y620" s="57"/>
      <c r="Z620" s="14"/>
      <c r="AA620" s="56"/>
      <c r="AB620" s="50">
        <f>(B620*194.205+C620*267.466+D620*133.845+E620*53.484+F620*40+G620*185+H620*0+I620*100+J620*300)/(194.205+267.466+133.845+53.484+0+40+185+100+300)</f>
        <v>37.068779287284137</v>
      </c>
      <c r="AC620" s="45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36.400961870503593</v>
      </c>
    </row>
    <row r="621" spans="1:29" ht="15.75" x14ac:dyDescent="0.25">
      <c r="A621" s="32">
        <v>59809</v>
      </c>
      <c r="B621" s="14">
        <f>CHOOSE(CONTROL!$C$42, 34.67, 34.67) * CHOOSE(CONTROL!$C$21, $C$9, 100%, $E$9)</f>
        <v>34.67</v>
      </c>
      <c r="C621" s="14">
        <f>CHOOSE(CONTROL!$C$42, 34.678, 34.678) * CHOOSE(CONTROL!$C$21, $C$9, 100%, $E$9)</f>
        <v>34.677999999999997</v>
      </c>
      <c r="D621" s="14">
        <f>CHOOSE(CONTROL!$C$42, 34.9116, 34.9116) * CHOOSE(CONTROL!$C$21, $C$9, 100%, $E$9)</f>
        <v>34.9116</v>
      </c>
      <c r="E621" s="14">
        <f>CHOOSE(CONTROL!$C$42, 34.943, 34.943) * CHOOSE(CONTROL!$C$21, $C$9, 100%, $E$9)</f>
        <v>34.942999999999998</v>
      </c>
      <c r="F621" s="14">
        <f>CHOOSE(CONTROL!$C$42, 34.668, 34.668)*CHOOSE(CONTROL!$C$21, $C$9, 100%, $E$9)</f>
        <v>34.667999999999999</v>
      </c>
      <c r="G621" s="14">
        <f>CHOOSE(CONTROL!$C$42, 34.6846, 34.6846)*CHOOSE(CONTROL!$C$21, $C$9, 100%, $E$9)</f>
        <v>34.684600000000003</v>
      </c>
      <c r="H621" s="14">
        <f>CHOOSE(CONTROL!$C$42, 34.9317, 34.9317) * CHOOSE(CONTROL!$C$21, $C$9, 100%, $E$9)</f>
        <v>34.931699999999999</v>
      </c>
      <c r="I621" s="14">
        <f>CHOOSE(CONTROL!$C$42, 34.7944, 34.7944)* CHOOSE(CONTROL!$C$21, $C$9, 100%, $E$9)</f>
        <v>34.794400000000003</v>
      </c>
      <c r="J621" s="14">
        <f>CHOOSE(CONTROL!$C$42, 34.661, 34.661)* CHOOSE(CONTROL!$C$21, $C$9, 100%, $E$9)</f>
        <v>34.661000000000001</v>
      </c>
      <c r="K621" s="53">
        <f>CHOOSE(CONTROL!$C$42, 34.7905, 34.7905) * CHOOSE(CONTROL!$C$21, $C$9, 100%, $E$9)</f>
        <v>34.790500000000002</v>
      </c>
      <c r="L621" s="14">
        <f>CHOOSE(CONTROL!$C$42, 35.5187, 35.5187) * CHOOSE(CONTROL!$C$21, $C$9, 100%, $E$9)</f>
        <v>35.518700000000003</v>
      </c>
      <c r="M621" s="14">
        <f>CHOOSE(CONTROL!$C$42, 33.9585, 33.9585) * CHOOSE(CONTROL!$C$21, $C$9, 100%, $E$9)</f>
        <v>33.958500000000001</v>
      </c>
      <c r="N621" s="14">
        <f>CHOOSE(CONTROL!$C$42, 33.9748, 33.9748) * CHOOSE(CONTROL!$C$21, $C$9, 100%, $E$9)</f>
        <v>33.974800000000002</v>
      </c>
      <c r="O621" s="14">
        <f>CHOOSE(CONTROL!$C$42, 34.2236, 34.2236) * CHOOSE(CONTROL!$C$21, $C$9, 100%, $E$9)</f>
        <v>34.223599999999998</v>
      </c>
      <c r="P621" s="14">
        <f>CHOOSE(CONTROL!$C$42, 34.0871, 34.0871) * CHOOSE(CONTROL!$C$21, $C$9, 100%, $E$9)</f>
        <v>34.0871</v>
      </c>
      <c r="Q621" s="14">
        <f>CHOOSE(CONTROL!$C$42, 34.8183, 34.8183) * CHOOSE(CONTROL!$C$21, $C$9, 100%, $E$9)</f>
        <v>34.818300000000001</v>
      </c>
      <c r="R621" s="14">
        <f>CHOOSE(CONTROL!$C$42, 35.4924, 35.4924) * CHOOSE(CONTROL!$C$21, $C$9, 100%, $E$9)</f>
        <v>35.492400000000004</v>
      </c>
      <c r="S621" s="14">
        <f>CHOOSE(CONTROL!$C$42, 33.3037, 33.3037) * CHOOSE(CONTROL!$C$21, $C$9, 100%, $E$9)</f>
        <v>33.303699999999999</v>
      </c>
      <c r="T6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7">
        <f>(1000*CHOOSE(CONTROL!$C$42, 695, 695)*CHOOSE(CONTROL!$C$42, 0.5599, 0.5599)*CHOOSE(CONTROL!$C$42, 30, 30))/1000000</f>
        <v>11.673914999999997</v>
      </c>
      <c r="V621" s="57">
        <f>(1000*CHOOSE(CONTROL!$C$42, 500, 500)*CHOOSE(CONTROL!$C$42, 0.275, 0.275)*CHOOSE(CONTROL!$C$42, 30, 30))/1000000</f>
        <v>4.125</v>
      </c>
      <c r="W621" s="57">
        <f>(1000*CHOOSE(CONTROL!$C$42, 0.1146, 0.1146)*CHOOSE(CONTROL!$C$42, 121.5, 121.5)*CHOOSE(CONTROL!$C$42, 30, 30))/1000000</f>
        <v>0.417717</v>
      </c>
      <c r="X621" s="57">
        <f>(30*0.1790888*245000/1000000)+(30*0.2374*100000/1000000)</f>
        <v>2.0285026799999999</v>
      </c>
      <c r="Y621" s="57"/>
      <c r="Z621" s="14"/>
      <c r="AA621" s="56"/>
      <c r="AB621" s="50">
        <f>(B621*194.205+C621*267.466+D621*133.845+E621*53.484+F621*40+G621*185+H621*0+I621*100+J621*300)/(194.205+267.466+133.845+53.484+0+40+185+100+300)</f>
        <v>34.718225127158561</v>
      </c>
      <c r="AC621" s="45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34.098094964028775</v>
      </c>
    </row>
    <row r="622" spans="1:29" ht="15.75" x14ac:dyDescent="0.25">
      <c r="A622" s="32">
        <v>59840</v>
      </c>
      <c r="B622" s="14">
        <f>CHOOSE(CONTROL!$C$42, 33.9645, 33.9645) * CHOOSE(CONTROL!$C$21, $C$9, 100%, $E$9)</f>
        <v>33.964500000000001</v>
      </c>
      <c r="C622" s="14">
        <f>CHOOSE(CONTROL!$C$42, 33.9698, 33.9698) * CHOOSE(CONTROL!$C$21, $C$9, 100%, $E$9)</f>
        <v>33.969799999999999</v>
      </c>
      <c r="D622" s="14">
        <f>CHOOSE(CONTROL!$C$42, 34.2084, 34.2084) * CHOOSE(CONTROL!$C$21, $C$9, 100%, $E$9)</f>
        <v>34.208399999999997</v>
      </c>
      <c r="E622" s="14">
        <f>CHOOSE(CONTROL!$C$42, 34.2375, 34.2375) * CHOOSE(CONTROL!$C$21, $C$9, 100%, $E$9)</f>
        <v>34.237499999999997</v>
      </c>
      <c r="F622" s="14">
        <f>CHOOSE(CONTROL!$C$42, 33.9645, 33.9645)*CHOOSE(CONTROL!$C$21, $C$9, 100%, $E$9)</f>
        <v>33.964500000000001</v>
      </c>
      <c r="G622" s="14">
        <f>CHOOSE(CONTROL!$C$42, 33.9808, 33.9808)*CHOOSE(CONTROL!$C$21, $C$9, 100%, $E$9)</f>
        <v>33.980800000000002</v>
      </c>
      <c r="H622" s="14">
        <f>CHOOSE(CONTROL!$C$42, 34.228, 34.228) * CHOOSE(CONTROL!$C$21, $C$9, 100%, $E$9)</f>
        <v>34.228000000000002</v>
      </c>
      <c r="I622" s="14">
        <f>CHOOSE(CONTROL!$C$42, 34.0885, 34.0885)* CHOOSE(CONTROL!$C$21, $C$9, 100%, $E$9)</f>
        <v>34.088500000000003</v>
      </c>
      <c r="J622" s="14">
        <f>CHOOSE(CONTROL!$C$42, 33.9575, 33.9575)* CHOOSE(CONTROL!$C$21, $C$9, 100%, $E$9)</f>
        <v>33.957500000000003</v>
      </c>
      <c r="K622" s="53">
        <f>CHOOSE(CONTROL!$C$42, 34.0846, 34.0846) * CHOOSE(CONTROL!$C$21, $C$9, 100%, $E$9)</f>
        <v>34.084600000000002</v>
      </c>
      <c r="L622" s="14">
        <f>CHOOSE(CONTROL!$C$42, 34.815, 34.815) * CHOOSE(CONTROL!$C$21, $C$9, 100%, $E$9)</f>
        <v>34.814999999999998</v>
      </c>
      <c r="M622" s="14">
        <f>CHOOSE(CONTROL!$C$42, 33.2694, 33.2694) * CHOOSE(CONTROL!$C$21, $C$9, 100%, $E$9)</f>
        <v>33.269399999999997</v>
      </c>
      <c r="N622" s="14">
        <f>CHOOSE(CONTROL!$C$42, 33.2854, 33.2854) * CHOOSE(CONTROL!$C$21, $C$9, 100%, $E$9)</f>
        <v>33.285400000000003</v>
      </c>
      <c r="O622" s="14">
        <f>CHOOSE(CONTROL!$C$42, 33.5344, 33.5344) * CHOOSE(CONTROL!$C$21, $C$9, 100%, $E$9)</f>
        <v>33.534399999999998</v>
      </c>
      <c r="P622" s="14">
        <f>CHOOSE(CONTROL!$C$42, 33.3957, 33.3957) * CHOOSE(CONTROL!$C$21, $C$9, 100%, $E$9)</f>
        <v>33.395699999999998</v>
      </c>
      <c r="Q622" s="14">
        <f>CHOOSE(CONTROL!$C$42, 34.1291, 34.1291) * CHOOSE(CONTROL!$C$21, $C$9, 100%, $E$9)</f>
        <v>34.129100000000001</v>
      </c>
      <c r="R622" s="14">
        <f>CHOOSE(CONTROL!$C$42, 34.8014, 34.8014) * CHOOSE(CONTROL!$C$21, $C$9, 100%, $E$9)</f>
        <v>34.801400000000001</v>
      </c>
      <c r="S622" s="14">
        <f>CHOOSE(CONTROL!$C$42, 32.6275, 32.6275) * CHOOSE(CONTROL!$C$21, $C$9, 100%, $E$9)</f>
        <v>32.627499999999998</v>
      </c>
      <c r="T6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7">
        <f>(1000*CHOOSE(CONTROL!$C$42, 695, 695)*CHOOSE(CONTROL!$C$42, 0.5599, 0.5599)*CHOOSE(CONTROL!$C$42, 31, 31))/1000000</f>
        <v>12.063045499999998</v>
      </c>
      <c r="V622" s="57">
        <f>(1000*CHOOSE(CONTROL!$C$42, 500, 500)*CHOOSE(CONTROL!$C$42, 0.275, 0.275)*CHOOSE(CONTROL!$C$42, 31, 31))/1000000</f>
        <v>4.2625000000000002</v>
      </c>
      <c r="W622" s="57">
        <f>(1000*CHOOSE(CONTROL!$C$42, 0.1146, 0.1146)*CHOOSE(CONTROL!$C$42, 121.5, 121.5)*CHOOSE(CONTROL!$C$42, 31, 31))/1000000</f>
        <v>0.43164089999999994</v>
      </c>
      <c r="X622" s="57">
        <f>(31*0.1790888*245000/1000000)+(31*0.2374*100000/1000000)</f>
        <v>2.0961194359999999</v>
      </c>
      <c r="Y622" s="57"/>
      <c r="Z622" s="14"/>
      <c r="AA622" s="56"/>
      <c r="AB622" s="50">
        <f>(B622*131.881+C622*277.167+D622*79.08+E622*125.872+F622*40+G622*185+H622*0+I622*100+J622*300)/(131.881+277.167+79.08+125.872+0+40+185+100+300)</f>
        <v>34.019734183292982</v>
      </c>
      <c r="AC622" s="45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33.408601438848919</v>
      </c>
    </row>
    <row r="623" spans="1:29" ht="15.75" x14ac:dyDescent="0.25">
      <c r="A623" s="32">
        <v>59870</v>
      </c>
      <c r="B623" s="14">
        <f>CHOOSE(CONTROL!$C$42, 34.8586, 34.8586) * CHOOSE(CONTROL!$C$21, $C$9, 100%, $E$9)</f>
        <v>34.858600000000003</v>
      </c>
      <c r="C623" s="14">
        <f>CHOOSE(CONTROL!$C$42, 34.8637, 34.8637) * CHOOSE(CONTROL!$C$21, $C$9, 100%, $E$9)</f>
        <v>34.863700000000001</v>
      </c>
      <c r="D623" s="14">
        <f>CHOOSE(CONTROL!$C$42, 34.9379, 34.9379) * CHOOSE(CONTROL!$C$21, $C$9, 100%, $E$9)</f>
        <v>34.937899999999999</v>
      </c>
      <c r="E623" s="14">
        <f>CHOOSE(CONTROL!$C$42, 34.972, 34.972) * CHOOSE(CONTROL!$C$21, $C$9, 100%, $E$9)</f>
        <v>34.972000000000001</v>
      </c>
      <c r="F623" s="14">
        <f>CHOOSE(CONTROL!$C$42, 34.8707, 34.8707)*CHOOSE(CONTROL!$C$21, $C$9, 100%, $E$9)</f>
        <v>34.870699999999999</v>
      </c>
      <c r="G623" s="14">
        <f>CHOOSE(CONTROL!$C$42, 34.8872, 34.8872)*CHOOSE(CONTROL!$C$21, $C$9, 100%, $E$9)</f>
        <v>34.8872</v>
      </c>
      <c r="H623" s="14">
        <f>CHOOSE(CONTROL!$C$42, 34.9612, 34.9612) * CHOOSE(CONTROL!$C$21, $C$9, 100%, $E$9)</f>
        <v>34.961199999999998</v>
      </c>
      <c r="I623" s="14">
        <f>CHOOSE(CONTROL!$C$42, 34.9921, 34.9921)* CHOOSE(CONTROL!$C$21, $C$9, 100%, $E$9)</f>
        <v>34.992100000000001</v>
      </c>
      <c r="J623" s="14">
        <f>CHOOSE(CONTROL!$C$42, 34.8637, 34.8637)* CHOOSE(CONTROL!$C$21, $C$9, 100%, $E$9)</f>
        <v>34.863700000000001</v>
      </c>
      <c r="K623" s="53">
        <f>CHOOSE(CONTROL!$C$42, 34.9882, 34.9882) * CHOOSE(CONTROL!$C$21, $C$9, 100%, $E$9)</f>
        <v>34.988199999999999</v>
      </c>
      <c r="L623" s="14">
        <f>CHOOSE(CONTROL!$C$42, 35.5482, 35.5482) * CHOOSE(CONTROL!$C$21, $C$9, 100%, $E$9)</f>
        <v>35.548200000000001</v>
      </c>
      <c r="M623" s="14">
        <f>CHOOSE(CONTROL!$C$42, 34.157, 34.157) * CHOOSE(CONTROL!$C$21, $C$9, 100%, $E$9)</f>
        <v>34.156999999999996</v>
      </c>
      <c r="N623" s="14">
        <f>CHOOSE(CONTROL!$C$42, 34.1733, 34.1733) * CHOOSE(CONTROL!$C$21, $C$9, 100%, $E$9)</f>
        <v>34.173299999999998</v>
      </c>
      <c r="O623" s="14">
        <f>CHOOSE(CONTROL!$C$42, 34.2526, 34.2526) * CHOOSE(CONTROL!$C$21, $C$9, 100%, $E$9)</f>
        <v>34.252600000000001</v>
      </c>
      <c r="P623" s="14">
        <f>CHOOSE(CONTROL!$C$42, 34.2807, 34.2807) * CHOOSE(CONTROL!$C$21, $C$9, 100%, $E$9)</f>
        <v>34.280700000000003</v>
      </c>
      <c r="Q623" s="14">
        <f>CHOOSE(CONTROL!$C$42, 34.8473, 34.8473) * CHOOSE(CONTROL!$C$21, $C$9, 100%, $E$9)</f>
        <v>34.847299999999997</v>
      </c>
      <c r="R623" s="14">
        <f>CHOOSE(CONTROL!$C$42, 35.5214, 35.5214) * CHOOSE(CONTROL!$C$21, $C$9, 100%, $E$9)</f>
        <v>35.5214</v>
      </c>
      <c r="S623" s="14">
        <f>CHOOSE(CONTROL!$C$42, 33.4871, 33.4871) * CHOOSE(CONTROL!$C$21, $C$9, 100%, $E$9)</f>
        <v>33.487099999999998</v>
      </c>
      <c r="T6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7">
        <f>(1000*CHOOSE(CONTROL!$C$42, 695, 695)*CHOOSE(CONTROL!$C$42, 0.5599, 0.5599)*CHOOSE(CONTROL!$C$42, 30, 30))/1000000</f>
        <v>11.673914999999997</v>
      </c>
      <c r="V623" s="57">
        <f>(1000*CHOOSE(CONTROL!$C$42, 500, 500)*CHOOSE(CONTROL!$C$42, 0.275, 0.275)*CHOOSE(CONTROL!$C$42, 30, 30))/1000000</f>
        <v>4.125</v>
      </c>
      <c r="W623" s="57">
        <f>(1000*CHOOSE(CONTROL!$C$42, 0.1146, 0.1146)*CHOOSE(CONTROL!$C$42, 121.5, 121.5)*CHOOSE(CONTROL!$C$42, 30, 30))/1000000</f>
        <v>0.417717</v>
      </c>
      <c r="X623" s="57">
        <f>(30*0.1790888*100000/1000000)+(30*0.2374*100000/1000000)</f>
        <v>1.2494664</v>
      </c>
      <c r="Y623" s="57"/>
      <c r="Z623" s="14"/>
      <c r="AA623" s="56"/>
      <c r="AB623" s="50">
        <f>(B623*122.58+C623*297.941+D623*89.177+E623*40.302+F623*40+G623*160+H623*0+I623*100+J623*300)/(122.58+297.941+89.177+40.302+0+40+160+100+300)</f>
        <v>34.88738389739131</v>
      </c>
      <c r="AC623" s="45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34.219066187050352</v>
      </c>
    </row>
    <row r="624" spans="1:29" ht="15.75" x14ac:dyDescent="0.25">
      <c r="A624" s="32">
        <v>59901</v>
      </c>
      <c r="B624" s="14">
        <f>CHOOSE(CONTROL!$C$42, 37.2346, 37.2346) * CHOOSE(CONTROL!$C$21, $C$9, 100%, $E$9)</f>
        <v>37.2346</v>
      </c>
      <c r="C624" s="14">
        <f>CHOOSE(CONTROL!$C$42, 37.2396, 37.2396) * CHOOSE(CONTROL!$C$21, $C$9, 100%, $E$9)</f>
        <v>37.239600000000003</v>
      </c>
      <c r="D624" s="14">
        <f>CHOOSE(CONTROL!$C$42, 37.3139, 37.3139) * CHOOSE(CONTROL!$C$21, $C$9, 100%, $E$9)</f>
        <v>37.313899999999997</v>
      </c>
      <c r="E624" s="14">
        <f>CHOOSE(CONTROL!$C$42, 37.348, 37.348) * CHOOSE(CONTROL!$C$21, $C$9, 100%, $E$9)</f>
        <v>37.347999999999999</v>
      </c>
      <c r="F624" s="14">
        <f>CHOOSE(CONTROL!$C$42, 37.2488, 37.2488)*CHOOSE(CONTROL!$C$21, $C$9, 100%, $E$9)</f>
        <v>37.248800000000003</v>
      </c>
      <c r="G624" s="14">
        <f>CHOOSE(CONTROL!$C$42, 37.266, 37.266)*CHOOSE(CONTROL!$C$21, $C$9, 100%, $E$9)</f>
        <v>37.265999999999998</v>
      </c>
      <c r="H624" s="14">
        <f>CHOOSE(CONTROL!$C$42, 37.3372, 37.3372) * CHOOSE(CONTROL!$C$21, $C$9, 100%, $E$9)</f>
        <v>37.337200000000003</v>
      </c>
      <c r="I624" s="14">
        <f>CHOOSE(CONTROL!$C$42, 37.3755, 37.3755)* CHOOSE(CONTROL!$C$21, $C$9, 100%, $E$9)</f>
        <v>37.375500000000002</v>
      </c>
      <c r="J624" s="14">
        <f>CHOOSE(CONTROL!$C$42, 37.2418, 37.2418)* CHOOSE(CONTROL!$C$21, $C$9, 100%, $E$9)</f>
        <v>37.241799999999998</v>
      </c>
      <c r="K624" s="53">
        <f>CHOOSE(CONTROL!$C$42, 37.3716, 37.3716) * CHOOSE(CONTROL!$C$21, $C$9, 100%, $E$9)</f>
        <v>37.371600000000001</v>
      </c>
      <c r="L624" s="14">
        <f>CHOOSE(CONTROL!$C$42, 37.9242, 37.9242) * CHOOSE(CONTROL!$C$21, $C$9, 100%, $E$9)</f>
        <v>37.924199999999999</v>
      </c>
      <c r="M624" s="14">
        <f>CHOOSE(CONTROL!$C$42, 36.4864, 36.4864) * CHOOSE(CONTROL!$C$21, $C$9, 100%, $E$9)</f>
        <v>36.486400000000003</v>
      </c>
      <c r="N624" s="14">
        <f>CHOOSE(CONTROL!$C$42, 36.5033, 36.5033) * CHOOSE(CONTROL!$C$21, $C$9, 100%, $E$9)</f>
        <v>36.503300000000003</v>
      </c>
      <c r="O624" s="14">
        <f>CHOOSE(CONTROL!$C$42, 36.5798, 36.5798) * CHOOSE(CONTROL!$C$21, $C$9, 100%, $E$9)</f>
        <v>36.579799999999999</v>
      </c>
      <c r="P624" s="14">
        <f>CHOOSE(CONTROL!$C$42, 36.6151, 36.6151) * CHOOSE(CONTROL!$C$21, $C$9, 100%, $E$9)</f>
        <v>36.615099999999998</v>
      </c>
      <c r="Q624" s="14">
        <f>CHOOSE(CONTROL!$C$42, 37.1745, 37.1745) * CHOOSE(CONTROL!$C$21, $C$9, 100%, $E$9)</f>
        <v>37.174500000000002</v>
      </c>
      <c r="R624" s="14">
        <f>CHOOSE(CONTROL!$C$42, 37.8545, 37.8545) * CHOOSE(CONTROL!$C$21, $C$9, 100%, $E$9)</f>
        <v>37.854500000000002</v>
      </c>
      <c r="S624" s="14">
        <f>CHOOSE(CONTROL!$C$42, 35.7702, 35.7702) * CHOOSE(CONTROL!$C$21, $C$9, 100%, $E$9)</f>
        <v>35.770200000000003</v>
      </c>
      <c r="T6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7">
        <f>(1000*CHOOSE(CONTROL!$C$42, 695, 695)*CHOOSE(CONTROL!$C$42, 0.5599, 0.5599)*CHOOSE(CONTROL!$C$42, 31, 31))/1000000</f>
        <v>12.063045499999998</v>
      </c>
      <c r="V624" s="57">
        <f>(1000*CHOOSE(CONTROL!$C$42, 500, 500)*CHOOSE(CONTROL!$C$42, 0.275, 0.275)*CHOOSE(CONTROL!$C$42, 31, 31))/1000000</f>
        <v>4.2625000000000002</v>
      </c>
      <c r="W624" s="57">
        <f>(1000*CHOOSE(CONTROL!$C$42, 0.1146, 0.1146)*CHOOSE(CONTROL!$C$42, 121.5, 121.5)*CHOOSE(CONTROL!$C$42, 31, 31))/1000000</f>
        <v>0.43164089999999994</v>
      </c>
      <c r="X624" s="57">
        <f>(31*0.1790888*100000/1000000)+(31*0.2374*100000/1000000)</f>
        <v>1.2911152800000001</v>
      </c>
      <c r="Y624" s="57"/>
      <c r="Z624" s="14"/>
      <c r="AA624" s="56"/>
      <c r="AB624" s="50">
        <f>(B624*122.58+C624*297.941+D624*89.177+E624*40.302+F624*40+G624*160+H624*0+I624*100+J624*300)/(122.58+297.941+89.177+40.302+0+40+160+100+300)</f>
        <v>37.265011902521735</v>
      </c>
      <c r="AC624" s="45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36.548223021582729</v>
      </c>
    </row>
    <row r="625" spans="1:29" ht="15.75" x14ac:dyDescent="0.25">
      <c r="A625" s="32">
        <v>59932</v>
      </c>
      <c r="B625" s="14">
        <f>CHOOSE(CONTROL!$C$42, 40.3205, 40.3205) * CHOOSE(CONTROL!$C$21, $C$9, 100%, $E$9)</f>
        <v>40.320500000000003</v>
      </c>
      <c r="C625" s="14">
        <f>CHOOSE(CONTROL!$C$42, 40.3256, 40.3256) * CHOOSE(CONTROL!$C$21, $C$9, 100%, $E$9)</f>
        <v>40.325600000000001</v>
      </c>
      <c r="D625" s="14">
        <f>CHOOSE(CONTROL!$C$42, 40.4024, 40.4024) * CHOOSE(CONTROL!$C$21, $C$9, 100%, $E$9)</f>
        <v>40.4024</v>
      </c>
      <c r="E625" s="14">
        <f>CHOOSE(CONTROL!$C$42, 40.4365, 40.4365) * CHOOSE(CONTROL!$C$21, $C$9, 100%, $E$9)</f>
        <v>40.436500000000002</v>
      </c>
      <c r="F625" s="14">
        <f>CHOOSE(CONTROL!$C$42, 40.3208, 40.3208)*CHOOSE(CONTROL!$C$21, $C$9, 100%, $E$9)</f>
        <v>40.320799999999998</v>
      </c>
      <c r="G625" s="14">
        <f>CHOOSE(CONTROL!$C$42, 40.337, 40.337)*CHOOSE(CONTROL!$C$21, $C$9, 100%, $E$9)</f>
        <v>40.337000000000003</v>
      </c>
      <c r="H625" s="14">
        <f>CHOOSE(CONTROL!$C$42, 40.4257, 40.4257) * CHOOSE(CONTROL!$C$21, $C$9, 100%, $E$9)</f>
        <v>40.425699999999999</v>
      </c>
      <c r="I625" s="14">
        <f>CHOOSE(CONTROL!$C$42, 40.4649, 40.4649)* CHOOSE(CONTROL!$C$21, $C$9, 100%, $E$9)</f>
        <v>40.4649</v>
      </c>
      <c r="J625" s="14">
        <f>CHOOSE(CONTROL!$C$42, 40.3138, 40.3138)* CHOOSE(CONTROL!$C$21, $C$9, 100%, $E$9)</f>
        <v>40.313800000000001</v>
      </c>
      <c r="K625" s="53">
        <f>CHOOSE(CONTROL!$C$42, 40.461, 40.461) * CHOOSE(CONTROL!$C$21, $C$9, 100%, $E$9)</f>
        <v>40.460999999999999</v>
      </c>
      <c r="L625" s="14">
        <f>CHOOSE(CONTROL!$C$42, 41.0127, 41.0127) * CHOOSE(CONTROL!$C$21, $C$9, 100%, $E$9)</f>
        <v>41.012700000000002</v>
      </c>
      <c r="M625" s="14">
        <f>CHOOSE(CONTROL!$C$42, 39.4954, 39.4954) * CHOOSE(CONTROL!$C$21, $C$9, 100%, $E$9)</f>
        <v>39.495399999999997</v>
      </c>
      <c r="N625" s="14">
        <f>CHOOSE(CONTROL!$C$42, 39.5113, 39.5113) * CHOOSE(CONTROL!$C$21, $C$9, 100%, $E$9)</f>
        <v>39.511299999999999</v>
      </c>
      <c r="O625" s="14">
        <f>CHOOSE(CONTROL!$C$42, 39.6051, 39.6051) * CHOOSE(CONTROL!$C$21, $C$9, 100%, $E$9)</f>
        <v>39.6051</v>
      </c>
      <c r="P625" s="14">
        <f>CHOOSE(CONTROL!$C$42, 39.641, 39.641) * CHOOSE(CONTROL!$C$21, $C$9, 100%, $E$9)</f>
        <v>39.640999999999998</v>
      </c>
      <c r="Q625" s="14">
        <f>CHOOSE(CONTROL!$C$42, 40.1998, 40.1998) * CHOOSE(CONTROL!$C$21, $C$9, 100%, $E$9)</f>
        <v>40.199800000000003</v>
      </c>
      <c r="R625" s="14">
        <f>CHOOSE(CONTROL!$C$42, 40.8873, 40.8873) * CHOOSE(CONTROL!$C$21, $C$9, 100%, $E$9)</f>
        <v>40.887300000000003</v>
      </c>
      <c r="S625" s="14">
        <f>CHOOSE(CONTROL!$C$42, 38.7355, 38.7355) * CHOOSE(CONTROL!$C$21, $C$9, 100%, $E$9)</f>
        <v>38.735500000000002</v>
      </c>
      <c r="T6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7">
        <f>(1000*CHOOSE(CONTROL!$C$42, 695, 695)*CHOOSE(CONTROL!$C$42, 0.5599, 0.5599)*CHOOSE(CONTROL!$C$42, 31, 31))/1000000</f>
        <v>12.063045499999998</v>
      </c>
      <c r="V625" s="57">
        <f>(1000*CHOOSE(CONTROL!$C$42, 500, 500)*CHOOSE(CONTROL!$C$42, 0.275, 0.275)*CHOOSE(CONTROL!$C$42, 31, 31))/1000000</f>
        <v>4.2625000000000002</v>
      </c>
      <c r="W625" s="57">
        <f>(1000*CHOOSE(CONTROL!$C$42, 0.1146, 0.1146)*CHOOSE(CONTROL!$C$42, 121.5, 121.5)*CHOOSE(CONTROL!$C$42, 31, 31))/1000000</f>
        <v>0.43164089999999994</v>
      </c>
      <c r="X625" s="57">
        <f>(31*0.1790888*100000/1000000)+(31*0.2374*100000/1000000)</f>
        <v>1.2911152800000001</v>
      </c>
      <c r="Y625" s="57"/>
      <c r="Z625" s="14"/>
      <c r="AA625" s="56"/>
      <c r="AB625" s="50">
        <f>(B625*122.58+C625*297.941+D625*89.177+E625*40.302+F625*40+G625*160+H625*0+I625*100+J625*300)/(122.58+297.941+89.177+40.302+0+40+160+100+300)</f>
        <v>40.34535228469565</v>
      </c>
      <c r="AC625" s="45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39.566984892086332</v>
      </c>
    </row>
    <row r="626" spans="1:29" ht="15.75" x14ac:dyDescent="0.25">
      <c r="A626" s="32">
        <v>59961</v>
      </c>
      <c r="B626" s="14">
        <f>CHOOSE(CONTROL!$C$42, 41.0381, 41.0381) * CHOOSE(CONTROL!$C$21, $C$9, 100%, $E$9)</f>
        <v>41.0381</v>
      </c>
      <c r="C626" s="14">
        <f>CHOOSE(CONTROL!$C$42, 41.0432, 41.0432) * CHOOSE(CONTROL!$C$21, $C$9, 100%, $E$9)</f>
        <v>41.043199999999999</v>
      </c>
      <c r="D626" s="14">
        <f>CHOOSE(CONTROL!$C$42, 41.12, 41.12) * CHOOSE(CONTROL!$C$21, $C$9, 100%, $E$9)</f>
        <v>41.12</v>
      </c>
      <c r="E626" s="14">
        <f>CHOOSE(CONTROL!$C$42, 41.1541, 41.1541) * CHOOSE(CONTROL!$C$21, $C$9, 100%, $E$9)</f>
        <v>41.1541</v>
      </c>
      <c r="F626" s="14">
        <f>CHOOSE(CONTROL!$C$42, 41.0384, 41.0384)*CHOOSE(CONTROL!$C$21, $C$9, 100%, $E$9)</f>
        <v>41.038400000000003</v>
      </c>
      <c r="G626" s="14">
        <f>CHOOSE(CONTROL!$C$42, 41.0546, 41.0546)*CHOOSE(CONTROL!$C$21, $C$9, 100%, $E$9)</f>
        <v>41.054600000000001</v>
      </c>
      <c r="H626" s="14">
        <f>CHOOSE(CONTROL!$C$42, 41.1433, 41.1433) * CHOOSE(CONTROL!$C$21, $C$9, 100%, $E$9)</f>
        <v>41.143300000000004</v>
      </c>
      <c r="I626" s="14">
        <f>CHOOSE(CONTROL!$C$42, 41.1847, 41.1847)* CHOOSE(CONTROL!$C$21, $C$9, 100%, $E$9)</f>
        <v>41.184699999999999</v>
      </c>
      <c r="J626" s="14">
        <f>CHOOSE(CONTROL!$C$42, 41.0314, 41.0314)* CHOOSE(CONTROL!$C$21, $C$9, 100%, $E$9)</f>
        <v>41.031399999999998</v>
      </c>
      <c r="K626" s="53">
        <f>CHOOSE(CONTROL!$C$42, 41.1808, 41.1808) * CHOOSE(CONTROL!$C$21, $C$9, 100%, $E$9)</f>
        <v>41.180799999999998</v>
      </c>
      <c r="L626" s="14">
        <f>CHOOSE(CONTROL!$C$42, 41.7303, 41.7303) * CHOOSE(CONTROL!$C$21, $C$9, 100%, $E$9)</f>
        <v>41.7303</v>
      </c>
      <c r="M626" s="14">
        <f>CHOOSE(CONTROL!$C$42, 40.1984, 40.1984) * CHOOSE(CONTROL!$C$21, $C$9, 100%, $E$9)</f>
        <v>40.198399999999999</v>
      </c>
      <c r="N626" s="14">
        <f>CHOOSE(CONTROL!$C$42, 40.2143, 40.2143) * CHOOSE(CONTROL!$C$21, $C$9, 100%, $E$9)</f>
        <v>40.214300000000001</v>
      </c>
      <c r="O626" s="14">
        <f>CHOOSE(CONTROL!$C$42, 40.308, 40.308) * CHOOSE(CONTROL!$C$21, $C$9, 100%, $E$9)</f>
        <v>40.308</v>
      </c>
      <c r="P626" s="14">
        <f>CHOOSE(CONTROL!$C$42, 40.3461, 40.3461) * CHOOSE(CONTROL!$C$21, $C$9, 100%, $E$9)</f>
        <v>40.3461</v>
      </c>
      <c r="Q626" s="14">
        <f>CHOOSE(CONTROL!$C$42, 40.9027, 40.9027) * CHOOSE(CONTROL!$C$21, $C$9, 100%, $E$9)</f>
        <v>40.902700000000003</v>
      </c>
      <c r="R626" s="14">
        <f>CHOOSE(CONTROL!$C$42, 41.592, 41.592) * CHOOSE(CONTROL!$C$21, $C$9, 100%, $E$9)</f>
        <v>41.591999999999999</v>
      </c>
      <c r="S626" s="14">
        <f>CHOOSE(CONTROL!$C$42, 39.425, 39.425) * CHOOSE(CONTROL!$C$21, $C$9, 100%, $E$9)</f>
        <v>39.424999999999997</v>
      </c>
      <c r="T62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7">
        <f>(1000*CHOOSE(CONTROL!$C$42, 695, 695)*CHOOSE(CONTROL!$C$42, 0.5599, 0.5599)*CHOOSE(CONTROL!$C$42, 29, 29))/1000000</f>
        <v>11.284784499999999</v>
      </c>
      <c r="V626" s="57">
        <f>(1000*CHOOSE(CONTROL!$C$42, 500, 500)*CHOOSE(CONTROL!$C$42, 0.275, 0.275)*CHOOSE(CONTROL!$C$42, 29, 29))/1000000</f>
        <v>3.9874999999999998</v>
      </c>
      <c r="W626" s="57">
        <f>(1000*CHOOSE(CONTROL!$C$42, 0.1146, 0.1146)*CHOOSE(CONTROL!$C$42, 121.5, 121.5)*CHOOSE(CONTROL!$C$42, 29, 29))/1000000</f>
        <v>0.40379309999999996</v>
      </c>
      <c r="X626" s="57">
        <f>(29*0.1790888*100000/1000000)+(29*0.2374*100000/1000000)</f>
        <v>1.2078175199999999</v>
      </c>
      <c r="Y626" s="57"/>
      <c r="Z626" s="14"/>
      <c r="AA626" s="56"/>
      <c r="AB626" s="50">
        <f>(B626*122.58+C626*297.941+D626*89.177+E626*40.302+F626*40+G626*160+H626*0+I626*100+J626*300)/(122.58+297.941+89.177+40.302+0+40+160+100+300)</f>
        <v>41.06314358904347</v>
      </c>
      <c r="AC626" s="45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40.270241726618707</v>
      </c>
    </row>
    <row r="627" spans="1:29" ht="15.75" x14ac:dyDescent="0.25">
      <c r="A627" s="32">
        <v>59992</v>
      </c>
      <c r="B627" s="14">
        <f>CHOOSE(CONTROL!$C$42, 39.8733, 39.8733) * CHOOSE(CONTROL!$C$21, $C$9, 100%, $E$9)</f>
        <v>39.8733</v>
      </c>
      <c r="C627" s="14">
        <f>CHOOSE(CONTROL!$C$42, 39.8784, 39.8784) * CHOOSE(CONTROL!$C$21, $C$9, 100%, $E$9)</f>
        <v>39.878399999999999</v>
      </c>
      <c r="D627" s="14">
        <f>CHOOSE(CONTROL!$C$42, 39.9552, 39.9552) * CHOOSE(CONTROL!$C$21, $C$9, 100%, $E$9)</f>
        <v>39.955199999999998</v>
      </c>
      <c r="E627" s="14">
        <f>CHOOSE(CONTROL!$C$42, 39.9893, 39.9893) * CHOOSE(CONTROL!$C$21, $C$9, 100%, $E$9)</f>
        <v>39.9893</v>
      </c>
      <c r="F627" s="14">
        <f>CHOOSE(CONTROL!$C$42, 39.8731, 39.8731)*CHOOSE(CONTROL!$C$21, $C$9, 100%, $E$9)</f>
        <v>39.873100000000001</v>
      </c>
      <c r="G627" s="14">
        <f>CHOOSE(CONTROL!$C$42, 39.8892, 39.8892)*CHOOSE(CONTROL!$C$21, $C$9, 100%, $E$9)</f>
        <v>39.889200000000002</v>
      </c>
      <c r="H627" s="14">
        <f>CHOOSE(CONTROL!$C$42, 39.9785, 39.9785) * CHOOSE(CONTROL!$C$21, $C$9, 100%, $E$9)</f>
        <v>39.978499999999997</v>
      </c>
      <c r="I627" s="14">
        <f>CHOOSE(CONTROL!$C$42, 40.0163, 40.0163)* CHOOSE(CONTROL!$C$21, $C$9, 100%, $E$9)</f>
        <v>40.016300000000001</v>
      </c>
      <c r="J627" s="14">
        <f>CHOOSE(CONTROL!$C$42, 39.8661, 39.8661)* CHOOSE(CONTROL!$C$21, $C$9, 100%, $E$9)</f>
        <v>39.866100000000003</v>
      </c>
      <c r="K627" s="53">
        <f>CHOOSE(CONTROL!$C$42, 40.0124, 40.0124) * CHOOSE(CONTROL!$C$21, $C$9, 100%, $E$9)</f>
        <v>40.0124</v>
      </c>
      <c r="L627" s="14">
        <f>CHOOSE(CONTROL!$C$42, 40.5655, 40.5655) * CHOOSE(CONTROL!$C$21, $C$9, 100%, $E$9)</f>
        <v>40.5655</v>
      </c>
      <c r="M627" s="14">
        <f>CHOOSE(CONTROL!$C$42, 39.057, 39.057) * CHOOSE(CONTROL!$C$21, $C$9, 100%, $E$9)</f>
        <v>39.057000000000002</v>
      </c>
      <c r="N627" s="14">
        <f>CHOOSE(CONTROL!$C$42, 39.0727, 39.0727) * CHOOSE(CONTROL!$C$21, $C$9, 100%, $E$9)</f>
        <v>39.072699999999998</v>
      </c>
      <c r="O627" s="14">
        <f>CHOOSE(CONTROL!$C$42, 39.1671, 39.1671) * CHOOSE(CONTROL!$C$21, $C$9, 100%, $E$9)</f>
        <v>39.167099999999998</v>
      </c>
      <c r="P627" s="14">
        <f>CHOOSE(CONTROL!$C$42, 39.2016, 39.2016) * CHOOSE(CONTROL!$C$21, $C$9, 100%, $E$9)</f>
        <v>39.201599999999999</v>
      </c>
      <c r="Q627" s="14">
        <f>CHOOSE(CONTROL!$C$42, 39.7618, 39.7618) * CHOOSE(CONTROL!$C$21, $C$9, 100%, $E$9)</f>
        <v>39.761800000000001</v>
      </c>
      <c r="R627" s="14">
        <f>CHOOSE(CONTROL!$C$42, 40.4482, 40.4482) * CHOOSE(CONTROL!$C$21, $C$9, 100%, $E$9)</f>
        <v>40.4482</v>
      </c>
      <c r="S627" s="14">
        <f>CHOOSE(CONTROL!$C$42, 38.3057, 38.3057) * CHOOSE(CONTROL!$C$21, $C$9, 100%, $E$9)</f>
        <v>38.305700000000002</v>
      </c>
      <c r="T6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7">
        <f>(1000*CHOOSE(CONTROL!$C$42, 695, 695)*CHOOSE(CONTROL!$C$42, 0.5599, 0.5599)*CHOOSE(CONTROL!$C$42, 31, 31))/1000000</f>
        <v>12.063045499999998</v>
      </c>
      <c r="V627" s="57">
        <f>(1000*CHOOSE(CONTROL!$C$42, 500, 500)*CHOOSE(CONTROL!$C$42, 0.275, 0.275)*CHOOSE(CONTROL!$C$42, 31, 31))/1000000</f>
        <v>4.2625000000000002</v>
      </c>
      <c r="W627" s="57">
        <f>(1000*CHOOSE(CONTROL!$C$42, 0.1146, 0.1146)*CHOOSE(CONTROL!$C$42, 121.5, 121.5)*CHOOSE(CONTROL!$C$42, 31, 31))/1000000</f>
        <v>0.43164089999999994</v>
      </c>
      <c r="X627" s="57">
        <f>(31*0.1790888*100000/1000000)+(31*0.2374*100000/1000000)</f>
        <v>1.2911152800000001</v>
      </c>
      <c r="Y627" s="57"/>
      <c r="Z627" s="14"/>
      <c r="AA627" s="56"/>
      <c r="AB627" s="50">
        <f>(B627*122.58+C627*297.941+D627*89.177+E627*40.302+F627*40+G627*160+H627*0+I627*100+J627*300)/(122.58+297.941+89.177+40.302+0+40+160+100+300)</f>
        <v>39.897799241217392</v>
      </c>
      <c r="AC627" s="45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39.128610791366903</v>
      </c>
    </row>
    <row r="628" spans="1:29" ht="15.75" x14ac:dyDescent="0.25">
      <c r="A628" s="32">
        <v>60022</v>
      </c>
      <c r="B628" s="14">
        <f>CHOOSE(CONTROL!$C$42, 39.7552, 39.7552) * CHOOSE(CONTROL!$C$21, $C$9, 100%, $E$9)</f>
        <v>39.755200000000002</v>
      </c>
      <c r="C628" s="14">
        <f>CHOOSE(CONTROL!$C$42, 39.7597, 39.7597) * CHOOSE(CONTROL!$C$21, $C$9, 100%, $E$9)</f>
        <v>39.759700000000002</v>
      </c>
      <c r="D628" s="14">
        <f>CHOOSE(CONTROL!$C$42, 39.9964, 39.9964) * CHOOSE(CONTROL!$C$21, $C$9, 100%, $E$9)</f>
        <v>39.996400000000001</v>
      </c>
      <c r="E628" s="14">
        <f>CHOOSE(CONTROL!$C$42, 40.0285, 40.0285) * CHOOSE(CONTROL!$C$21, $C$9, 100%, $E$9)</f>
        <v>40.028500000000001</v>
      </c>
      <c r="F628" s="14">
        <f>CHOOSE(CONTROL!$C$42, 39.7531, 39.7531)*CHOOSE(CONTROL!$C$21, $C$9, 100%, $E$9)</f>
        <v>39.753100000000003</v>
      </c>
      <c r="G628" s="14">
        <f>CHOOSE(CONTROL!$C$42, 39.769, 39.769)*CHOOSE(CONTROL!$C$21, $C$9, 100%, $E$9)</f>
        <v>39.768999999999998</v>
      </c>
      <c r="H628" s="14">
        <f>CHOOSE(CONTROL!$C$42, 40.0183, 40.0183) * CHOOSE(CONTROL!$C$21, $C$9, 100%, $E$9)</f>
        <v>40.018300000000004</v>
      </c>
      <c r="I628" s="14">
        <f>CHOOSE(CONTROL!$C$42, 39.897, 39.897)* CHOOSE(CONTROL!$C$21, $C$9, 100%, $E$9)</f>
        <v>39.896999999999998</v>
      </c>
      <c r="J628" s="14">
        <f>CHOOSE(CONTROL!$C$42, 39.7461, 39.7461)* CHOOSE(CONTROL!$C$21, $C$9, 100%, $E$9)</f>
        <v>39.746099999999998</v>
      </c>
      <c r="K628" s="53">
        <f>CHOOSE(CONTROL!$C$42, 39.8931, 39.8931) * CHOOSE(CONTROL!$C$21, $C$9, 100%, $E$9)</f>
        <v>39.893099999999997</v>
      </c>
      <c r="L628" s="14">
        <f>CHOOSE(CONTROL!$C$42, 40.6053, 40.6053) * CHOOSE(CONTROL!$C$21, $C$9, 100%, $E$9)</f>
        <v>40.6053</v>
      </c>
      <c r="M628" s="14">
        <f>CHOOSE(CONTROL!$C$42, 38.9395, 38.9395) * CHOOSE(CONTROL!$C$21, $C$9, 100%, $E$9)</f>
        <v>38.939500000000002</v>
      </c>
      <c r="N628" s="14">
        <f>CHOOSE(CONTROL!$C$42, 38.955, 38.955) * CHOOSE(CONTROL!$C$21, $C$9, 100%, $E$9)</f>
        <v>38.954999999999998</v>
      </c>
      <c r="O628" s="14">
        <f>CHOOSE(CONTROL!$C$42, 39.206, 39.206) * CHOOSE(CONTROL!$C$21, $C$9, 100%, $E$9)</f>
        <v>39.206000000000003</v>
      </c>
      <c r="P628" s="14">
        <f>CHOOSE(CONTROL!$C$42, 39.0848, 39.0848) * CHOOSE(CONTROL!$C$21, $C$9, 100%, $E$9)</f>
        <v>39.084800000000001</v>
      </c>
      <c r="Q628" s="14">
        <f>CHOOSE(CONTROL!$C$42, 39.8007, 39.8007) * CHOOSE(CONTROL!$C$21, $C$9, 100%, $E$9)</f>
        <v>39.800699999999999</v>
      </c>
      <c r="R628" s="14">
        <f>CHOOSE(CONTROL!$C$42, 40.4872, 40.4872) * CHOOSE(CONTROL!$C$21, $C$9, 100%, $E$9)</f>
        <v>40.487200000000001</v>
      </c>
      <c r="S628" s="14">
        <f>CHOOSE(CONTROL!$C$42, 38.1915, 38.1915) * CHOOSE(CONTROL!$C$21, $C$9, 100%, $E$9)</f>
        <v>38.191499999999998</v>
      </c>
      <c r="T6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7">
        <f>(1000*CHOOSE(CONTROL!$C$42, 695, 695)*CHOOSE(CONTROL!$C$42, 0.5599, 0.5599)*CHOOSE(CONTROL!$C$42, 30, 30))/1000000</f>
        <v>11.673914999999997</v>
      </c>
      <c r="V628" s="57">
        <f>(1000*CHOOSE(CONTROL!$C$42, 500, 500)*CHOOSE(CONTROL!$C$42, 0.275, 0.275)*CHOOSE(CONTROL!$C$42, 30, 30))/1000000</f>
        <v>4.125</v>
      </c>
      <c r="W628" s="57">
        <f>(1000*CHOOSE(CONTROL!$C$42, 0.1146, 0.1146)*CHOOSE(CONTROL!$C$42, 121.5, 121.5)*CHOOSE(CONTROL!$C$42, 30, 30))/1000000</f>
        <v>0.417717</v>
      </c>
      <c r="X628" s="57">
        <f>(30*0.1790888*245000/1000000)+(30*0.2374*100000/1000000)</f>
        <v>2.0285026799999999</v>
      </c>
      <c r="Y628" s="57"/>
      <c r="Z628" s="14"/>
      <c r="AA628" s="56"/>
      <c r="AB628" s="50">
        <f>(B628*141.293+C628*267.993+D628*115.016+E628*89.698+F628*40+G628*185+H628*0+I628*100+J628*300)/(141.293+267.993+115.016+89.698+0+40+185+100+300)</f>
        <v>39.809583608635997</v>
      </c>
      <c r="AC628" s="45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39.082086330935248</v>
      </c>
    </row>
    <row r="629" spans="1:29" ht="15.75" x14ac:dyDescent="0.25">
      <c r="A629" s="32">
        <v>60053</v>
      </c>
      <c r="B629" s="14">
        <f>CHOOSE(CONTROL!$C$42, 40.1074, 40.1074) * CHOOSE(CONTROL!$C$21, $C$9, 100%, $E$9)</f>
        <v>40.107399999999998</v>
      </c>
      <c r="C629" s="14">
        <f>CHOOSE(CONTROL!$C$42, 40.1154, 40.1154) * CHOOSE(CONTROL!$C$21, $C$9, 100%, $E$9)</f>
        <v>40.115400000000001</v>
      </c>
      <c r="D629" s="14">
        <f>CHOOSE(CONTROL!$C$42, 40.349, 40.349) * CHOOSE(CONTROL!$C$21, $C$9, 100%, $E$9)</f>
        <v>40.348999999999997</v>
      </c>
      <c r="E629" s="14">
        <f>CHOOSE(CONTROL!$C$42, 40.3805, 40.3805) * CHOOSE(CONTROL!$C$21, $C$9, 100%, $E$9)</f>
        <v>40.380499999999998</v>
      </c>
      <c r="F629" s="14">
        <f>CHOOSE(CONTROL!$C$42, 40.1042, 40.1042)*CHOOSE(CONTROL!$C$21, $C$9, 100%, $E$9)</f>
        <v>40.104199999999999</v>
      </c>
      <c r="G629" s="14">
        <f>CHOOSE(CONTROL!$C$42, 40.1205, 40.1205)*CHOOSE(CONTROL!$C$21, $C$9, 100%, $E$9)</f>
        <v>40.1205</v>
      </c>
      <c r="H629" s="14">
        <f>CHOOSE(CONTROL!$C$42, 40.3691, 40.3691) * CHOOSE(CONTROL!$C$21, $C$9, 100%, $E$9)</f>
        <v>40.369100000000003</v>
      </c>
      <c r="I629" s="14">
        <f>CHOOSE(CONTROL!$C$42, 40.2489, 40.2489)* CHOOSE(CONTROL!$C$21, $C$9, 100%, $E$9)</f>
        <v>40.248899999999999</v>
      </c>
      <c r="J629" s="14">
        <f>CHOOSE(CONTROL!$C$42, 40.0972, 40.0972)* CHOOSE(CONTROL!$C$21, $C$9, 100%, $E$9)</f>
        <v>40.097200000000001</v>
      </c>
      <c r="K629" s="53">
        <f>CHOOSE(CONTROL!$C$42, 40.245, 40.245) * CHOOSE(CONTROL!$C$21, $C$9, 100%, $E$9)</f>
        <v>40.244999999999997</v>
      </c>
      <c r="L629" s="14">
        <f>CHOOSE(CONTROL!$C$42, 40.9561, 40.9561) * CHOOSE(CONTROL!$C$21, $C$9, 100%, $E$9)</f>
        <v>40.956099999999999</v>
      </c>
      <c r="M629" s="14">
        <f>CHOOSE(CONTROL!$C$42, 39.2833, 39.2833) * CHOOSE(CONTROL!$C$21, $C$9, 100%, $E$9)</f>
        <v>39.283299999999997</v>
      </c>
      <c r="N629" s="14">
        <f>CHOOSE(CONTROL!$C$42, 39.2993, 39.2993) * CHOOSE(CONTROL!$C$21, $C$9, 100%, $E$9)</f>
        <v>39.299300000000002</v>
      </c>
      <c r="O629" s="14">
        <f>CHOOSE(CONTROL!$C$42, 39.5496, 39.5496) * CHOOSE(CONTROL!$C$21, $C$9, 100%, $E$9)</f>
        <v>39.549599999999998</v>
      </c>
      <c r="P629" s="14">
        <f>CHOOSE(CONTROL!$C$42, 39.4294, 39.4294) * CHOOSE(CONTROL!$C$21, $C$9, 100%, $E$9)</f>
        <v>39.429400000000001</v>
      </c>
      <c r="Q629" s="14">
        <f>CHOOSE(CONTROL!$C$42, 40.1443, 40.1443) * CHOOSE(CONTROL!$C$21, $C$9, 100%, $E$9)</f>
        <v>40.144300000000001</v>
      </c>
      <c r="R629" s="14">
        <f>CHOOSE(CONTROL!$C$42, 40.8317, 40.8317) * CHOOSE(CONTROL!$C$21, $C$9, 100%, $E$9)</f>
        <v>40.831699999999998</v>
      </c>
      <c r="S629" s="14">
        <f>CHOOSE(CONTROL!$C$42, 38.5285, 38.5285) * CHOOSE(CONTROL!$C$21, $C$9, 100%, $E$9)</f>
        <v>38.528500000000001</v>
      </c>
      <c r="T6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7">
        <f>(1000*CHOOSE(CONTROL!$C$42, 695, 695)*CHOOSE(CONTROL!$C$42, 0.5599, 0.5599)*CHOOSE(CONTROL!$C$42, 31, 31))/1000000</f>
        <v>12.063045499999998</v>
      </c>
      <c r="V629" s="57">
        <f>(1000*CHOOSE(CONTROL!$C$42, 500, 500)*CHOOSE(CONTROL!$C$42, 0.275, 0.275)*CHOOSE(CONTROL!$C$42, 31, 31))/1000000</f>
        <v>4.2625000000000002</v>
      </c>
      <c r="W629" s="57">
        <f>(1000*CHOOSE(CONTROL!$C$42, 0.1146, 0.1146)*CHOOSE(CONTROL!$C$42, 121.5, 121.5)*CHOOSE(CONTROL!$C$42, 31, 31))/1000000</f>
        <v>0.43164089999999994</v>
      </c>
      <c r="X629" s="57">
        <f>(31*0.1790888*245000/1000000)+(31*0.2374*100000/1000000)</f>
        <v>2.0961194359999999</v>
      </c>
      <c r="Y629" s="57"/>
      <c r="Z629" s="14"/>
      <c r="AA629" s="56"/>
      <c r="AB629" s="50">
        <f>(B629*194.205+C629*267.466+D629*133.845+E629*53.484+F629*40+G629*185+H629*0+I629*100+J629*300)/(194.205+267.466+133.845+53.484+0+40+185+100+300)</f>
        <v>40.156433485400321</v>
      </c>
      <c r="AC629" s="45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39.425939568345314</v>
      </c>
    </row>
    <row r="630" spans="1:29" ht="15.75" x14ac:dyDescent="0.25">
      <c r="A630" s="32">
        <v>60083</v>
      </c>
      <c r="B630" s="14">
        <f>CHOOSE(CONTROL!$C$42, 41.2447, 41.2447) * CHOOSE(CONTROL!$C$21, $C$9, 100%, $E$9)</f>
        <v>41.244700000000002</v>
      </c>
      <c r="C630" s="14">
        <f>CHOOSE(CONTROL!$C$42, 41.2528, 41.2528) * CHOOSE(CONTROL!$C$21, $C$9, 100%, $E$9)</f>
        <v>41.252800000000001</v>
      </c>
      <c r="D630" s="14">
        <f>CHOOSE(CONTROL!$C$42, 41.4863, 41.4863) * CHOOSE(CONTROL!$C$21, $C$9, 100%, $E$9)</f>
        <v>41.4863</v>
      </c>
      <c r="E630" s="14">
        <f>CHOOSE(CONTROL!$C$42, 41.5178, 41.5178) * CHOOSE(CONTROL!$C$21, $C$9, 100%, $E$9)</f>
        <v>41.517800000000001</v>
      </c>
      <c r="F630" s="14">
        <f>CHOOSE(CONTROL!$C$42, 41.242, 41.242)*CHOOSE(CONTROL!$C$21, $C$9, 100%, $E$9)</f>
        <v>41.241999999999997</v>
      </c>
      <c r="G630" s="14">
        <f>CHOOSE(CONTROL!$C$42, 41.2585, 41.2585)*CHOOSE(CONTROL!$C$21, $C$9, 100%, $E$9)</f>
        <v>41.258499999999998</v>
      </c>
      <c r="H630" s="14">
        <f>CHOOSE(CONTROL!$C$42, 41.5064, 41.5064) * CHOOSE(CONTROL!$C$21, $C$9, 100%, $E$9)</f>
        <v>41.506399999999999</v>
      </c>
      <c r="I630" s="14">
        <f>CHOOSE(CONTROL!$C$42, 41.3898, 41.3898)* CHOOSE(CONTROL!$C$21, $C$9, 100%, $E$9)</f>
        <v>41.389800000000001</v>
      </c>
      <c r="J630" s="14">
        <f>CHOOSE(CONTROL!$C$42, 41.235, 41.235)* CHOOSE(CONTROL!$C$21, $C$9, 100%, $E$9)</f>
        <v>41.234999999999999</v>
      </c>
      <c r="K630" s="53">
        <f>CHOOSE(CONTROL!$C$42, 41.3859, 41.3859) * CHOOSE(CONTROL!$C$21, $C$9, 100%, $E$9)</f>
        <v>41.385899999999999</v>
      </c>
      <c r="L630" s="14">
        <f>CHOOSE(CONTROL!$C$42, 42.0934, 42.0934) * CHOOSE(CONTROL!$C$21, $C$9, 100%, $E$9)</f>
        <v>42.093400000000003</v>
      </c>
      <c r="M630" s="14">
        <f>CHOOSE(CONTROL!$C$42, 40.3978, 40.3978) * CHOOSE(CONTROL!$C$21, $C$9, 100%, $E$9)</f>
        <v>40.397799999999997</v>
      </c>
      <c r="N630" s="14">
        <f>CHOOSE(CONTROL!$C$42, 40.4139, 40.4139) * CHOOSE(CONTROL!$C$21, $C$9, 100%, $E$9)</f>
        <v>40.413899999999998</v>
      </c>
      <c r="O630" s="14">
        <f>CHOOSE(CONTROL!$C$42, 40.6637, 40.6637) * CHOOSE(CONTROL!$C$21, $C$9, 100%, $E$9)</f>
        <v>40.663699999999999</v>
      </c>
      <c r="P630" s="14">
        <f>CHOOSE(CONTROL!$C$42, 40.5469, 40.5469) * CHOOSE(CONTROL!$C$21, $C$9, 100%, $E$9)</f>
        <v>40.546900000000001</v>
      </c>
      <c r="Q630" s="14">
        <f>CHOOSE(CONTROL!$C$42, 41.2584, 41.2584) * CHOOSE(CONTROL!$C$21, $C$9, 100%, $E$9)</f>
        <v>41.258400000000002</v>
      </c>
      <c r="R630" s="14">
        <f>CHOOSE(CONTROL!$C$42, 41.9485, 41.9485) * CHOOSE(CONTROL!$C$21, $C$9, 100%, $E$9)</f>
        <v>41.948500000000003</v>
      </c>
      <c r="S630" s="14">
        <f>CHOOSE(CONTROL!$C$42, 39.6214, 39.6214) * CHOOSE(CONTROL!$C$21, $C$9, 100%, $E$9)</f>
        <v>39.621400000000001</v>
      </c>
      <c r="T6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7">
        <f>(1000*CHOOSE(CONTROL!$C$42, 695, 695)*CHOOSE(CONTROL!$C$42, 0.5599, 0.5599)*CHOOSE(CONTROL!$C$42, 30, 30))/1000000</f>
        <v>11.673914999999997</v>
      </c>
      <c r="V630" s="57">
        <f>(1000*CHOOSE(CONTROL!$C$42, 500, 500)*CHOOSE(CONTROL!$C$42, 0.275, 0.275)*CHOOSE(CONTROL!$C$42, 30, 30))/1000000</f>
        <v>4.125</v>
      </c>
      <c r="W630" s="57">
        <f>(1000*CHOOSE(CONTROL!$C$42, 0.1146, 0.1146)*CHOOSE(CONTROL!$C$42, 121.5, 121.5)*CHOOSE(CONTROL!$C$42, 30, 30))/1000000</f>
        <v>0.417717</v>
      </c>
      <c r="X630" s="57">
        <f>(30*0.1790888*245000/1000000)+(30*0.2374*100000/1000000)</f>
        <v>2.0285026799999999</v>
      </c>
      <c r="Y630" s="57"/>
      <c r="Z630" s="14"/>
      <c r="AA630" s="56"/>
      <c r="AB630" s="50">
        <f>(B630*194.205+C630*267.466+D630*133.845+E630*53.484+F630*40+G630*185+H630*0+I630*100+J630*300)/(194.205+267.466+133.845+53.484+0+40+185+100+300)</f>
        <v>41.294272140502358</v>
      </c>
      <c r="AC630" s="45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40.540695683453237</v>
      </c>
    </row>
    <row r="631" spans="1:29" ht="15.75" x14ac:dyDescent="0.25">
      <c r="A631" s="32">
        <v>60114</v>
      </c>
      <c r="B631" s="14">
        <f>CHOOSE(CONTROL!$C$42, 40.4537, 40.4537) * CHOOSE(CONTROL!$C$21, $C$9, 100%, $E$9)</f>
        <v>40.453699999999998</v>
      </c>
      <c r="C631" s="14">
        <f>CHOOSE(CONTROL!$C$42, 40.4617, 40.4617) * CHOOSE(CONTROL!$C$21, $C$9, 100%, $E$9)</f>
        <v>40.4617</v>
      </c>
      <c r="D631" s="14">
        <f>CHOOSE(CONTROL!$C$42, 40.6953, 40.6953) * CHOOSE(CONTROL!$C$21, $C$9, 100%, $E$9)</f>
        <v>40.695300000000003</v>
      </c>
      <c r="E631" s="14">
        <f>CHOOSE(CONTROL!$C$42, 40.7268, 40.7268) * CHOOSE(CONTROL!$C$21, $C$9, 100%, $E$9)</f>
        <v>40.726799999999997</v>
      </c>
      <c r="F631" s="14">
        <f>CHOOSE(CONTROL!$C$42, 40.4515, 40.4515)*CHOOSE(CONTROL!$C$21, $C$9, 100%, $E$9)</f>
        <v>40.451500000000003</v>
      </c>
      <c r="G631" s="14">
        <f>CHOOSE(CONTROL!$C$42, 40.4681, 40.4681)*CHOOSE(CONTROL!$C$21, $C$9, 100%, $E$9)</f>
        <v>40.4681</v>
      </c>
      <c r="H631" s="14">
        <f>CHOOSE(CONTROL!$C$42, 40.7154, 40.7154) * CHOOSE(CONTROL!$C$21, $C$9, 100%, $E$9)</f>
        <v>40.715400000000002</v>
      </c>
      <c r="I631" s="14">
        <f>CHOOSE(CONTROL!$C$42, 40.5963, 40.5963)* CHOOSE(CONTROL!$C$21, $C$9, 100%, $E$9)</f>
        <v>40.596299999999999</v>
      </c>
      <c r="J631" s="14">
        <f>CHOOSE(CONTROL!$C$42, 40.4445, 40.4445)* CHOOSE(CONTROL!$C$21, $C$9, 100%, $E$9)</f>
        <v>40.444499999999998</v>
      </c>
      <c r="K631" s="53">
        <f>CHOOSE(CONTROL!$C$42, 40.5924, 40.5924) * CHOOSE(CONTROL!$C$21, $C$9, 100%, $E$9)</f>
        <v>40.592399999999998</v>
      </c>
      <c r="L631" s="14">
        <f>CHOOSE(CONTROL!$C$42, 41.3024, 41.3024) * CHOOSE(CONTROL!$C$21, $C$9, 100%, $E$9)</f>
        <v>41.302399999999999</v>
      </c>
      <c r="M631" s="14">
        <f>CHOOSE(CONTROL!$C$42, 39.6235, 39.6235) * CHOOSE(CONTROL!$C$21, $C$9, 100%, $E$9)</f>
        <v>39.6235</v>
      </c>
      <c r="N631" s="14">
        <f>CHOOSE(CONTROL!$C$42, 39.6398, 39.6398) * CHOOSE(CONTROL!$C$21, $C$9, 100%, $E$9)</f>
        <v>39.639800000000001</v>
      </c>
      <c r="O631" s="14">
        <f>CHOOSE(CONTROL!$C$42, 39.8889, 39.8889) * CHOOSE(CONTROL!$C$21, $C$9, 100%, $E$9)</f>
        <v>39.8889</v>
      </c>
      <c r="P631" s="14">
        <f>CHOOSE(CONTROL!$C$42, 39.7697, 39.7697) * CHOOSE(CONTROL!$C$21, $C$9, 100%, $E$9)</f>
        <v>39.7697</v>
      </c>
      <c r="Q631" s="14">
        <f>CHOOSE(CONTROL!$C$42, 40.4836, 40.4836) * CHOOSE(CONTROL!$C$21, $C$9, 100%, $E$9)</f>
        <v>40.483600000000003</v>
      </c>
      <c r="R631" s="14">
        <f>CHOOSE(CONTROL!$C$42, 41.1718, 41.1718) * CHOOSE(CONTROL!$C$21, $C$9, 100%, $E$9)</f>
        <v>41.171799999999998</v>
      </c>
      <c r="S631" s="14">
        <f>CHOOSE(CONTROL!$C$42, 38.8613, 38.8613) * CHOOSE(CONTROL!$C$21, $C$9, 100%, $E$9)</f>
        <v>38.8613</v>
      </c>
      <c r="T6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7">
        <f>(1000*CHOOSE(CONTROL!$C$42, 695, 695)*CHOOSE(CONTROL!$C$42, 0.5599, 0.5599)*CHOOSE(CONTROL!$C$42, 31, 31))/1000000</f>
        <v>12.063045499999998</v>
      </c>
      <c r="V631" s="57">
        <f>(1000*CHOOSE(CONTROL!$C$42, 500, 500)*CHOOSE(CONTROL!$C$42, 0.275, 0.275)*CHOOSE(CONTROL!$C$42, 31, 31))/1000000</f>
        <v>4.2625000000000002</v>
      </c>
      <c r="W631" s="57">
        <f>(1000*CHOOSE(CONTROL!$C$42, 0.1146, 0.1146)*CHOOSE(CONTROL!$C$42, 121.5, 121.5)*CHOOSE(CONTROL!$C$42, 31, 31))/1000000</f>
        <v>0.43164089999999994</v>
      </c>
      <c r="X631" s="57">
        <f>(31*0.1790888*245000/1000000)+(31*0.2374*100000/1000000)</f>
        <v>2.0961194359999999</v>
      </c>
      <c r="Y631" s="57"/>
      <c r="Z631" s="14"/>
      <c r="AA631" s="56"/>
      <c r="AB631" s="50">
        <f>(B631*194.205+C631*267.466+D631*133.845+E631*53.484+F631*40+G631*185+H631*0+I631*100+J631*300)/(194.205+267.466+133.845+53.484+0+40+185+100+300)</f>
        <v>40.50327547912088</v>
      </c>
      <c r="AC631" s="45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39.765763309352522</v>
      </c>
    </row>
    <row r="632" spans="1:29" ht="15.75" x14ac:dyDescent="0.25">
      <c r="A632" s="32">
        <v>60145</v>
      </c>
      <c r="B632" s="14">
        <f>CHOOSE(CONTROL!$C$42, 38.4561, 38.4561) * CHOOSE(CONTROL!$C$21, $C$9, 100%, $E$9)</f>
        <v>38.456099999999999</v>
      </c>
      <c r="C632" s="14">
        <f>CHOOSE(CONTROL!$C$42, 38.4641, 38.4641) * CHOOSE(CONTROL!$C$21, $C$9, 100%, $E$9)</f>
        <v>38.464100000000002</v>
      </c>
      <c r="D632" s="14">
        <f>CHOOSE(CONTROL!$C$42, 38.6977, 38.6977) * CHOOSE(CONTROL!$C$21, $C$9, 100%, $E$9)</f>
        <v>38.697699999999998</v>
      </c>
      <c r="E632" s="14">
        <f>CHOOSE(CONTROL!$C$42, 38.7292, 38.7292) * CHOOSE(CONTROL!$C$21, $C$9, 100%, $E$9)</f>
        <v>38.729199999999999</v>
      </c>
      <c r="F632" s="14">
        <f>CHOOSE(CONTROL!$C$42, 38.4541, 38.4541)*CHOOSE(CONTROL!$C$21, $C$9, 100%, $E$9)</f>
        <v>38.454099999999997</v>
      </c>
      <c r="G632" s="14">
        <f>CHOOSE(CONTROL!$C$42, 38.4707, 38.4707)*CHOOSE(CONTROL!$C$21, $C$9, 100%, $E$9)</f>
        <v>38.470700000000001</v>
      </c>
      <c r="H632" s="14">
        <f>CHOOSE(CONTROL!$C$42, 38.7178, 38.7178) * CHOOSE(CONTROL!$C$21, $C$9, 100%, $E$9)</f>
        <v>38.717799999999997</v>
      </c>
      <c r="I632" s="14">
        <f>CHOOSE(CONTROL!$C$42, 38.5924, 38.5924)* CHOOSE(CONTROL!$C$21, $C$9, 100%, $E$9)</f>
        <v>38.592399999999998</v>
      </c>
      <c r="J632" s="14">
        <f>CHOOSE(CONTROL!$C$42, 38.4471, 38.4471)* CHOOSE(CONTROL!$C$21, $C$9, 100%, $E$9)</f>
        <v>38.447099999999999</v>
      </c>
      <c r="K632" s="53">
        <f>CHOOSE(CONTROL!$C$42, 38.5885, 38.5885) * CHOOSE(CONTROL!$C$21, $C$9, 100%, $E$9)</f>
        <v>38.588500000000003</v>
      </c>
      <c r="L632" s="14">
        <f>CHOOSE(CONTROL!$C$42, 39.3048, 39.3048) * CHOOSE(CONTROL!$C$21, $C$9, 100%, $E$9)</f>
        <v>39.3048</v>
      </c>
      <c r="M632" s="14">
        <f>CHOOSE(CONTROL!$C$42, 37.667, 37.667) * CHOOSE(CONTROL!$C$21, $C$9, 100%, $E$9)</f>
        <v>37.667000000000002</v>
      </c>
      <c r="N632" s="14">
        <f>CHOOSE(CONTROL!$C$42, 37.6833, 37.6833) * CHOOSE(CONTROL!$C$21, $C$9, 100%, $E$9)</f>
        <v>37.683300000000003</v>
      </c>
      <c r="O632" s="14">
        <f>CHOOSE(CONTROL!$C$42, 37.9322, 37.9322) * CHOOSE(CONTROL!$C$21, $C$9, 100%, $E$9)</f>
        <v>37.932200000000002</v>
      </c>
      <c r="P632" s="14">
        <f>CHOOSE(CONTROL!$C$42, 37.807, 37.807) * CHOOSE(CONTROL!$C$21, $C$9, 100%, $E$9)</f>
        <v>37.807000000000002</v>
      </c>
      <c r="Q632" s="14">
        <f>CHOOSE(CONTROL!$C$42, 38.5269, 38.5269) * CHOOSE(CONTROL!$C$21, $C$9, 100%, $E$9)</f>
        <v>38.526899999999998</v>
      </c>
      <c r="R632" s="14">
        <f>CHOOSE(CONTROL!$C$42, 39.2102, 39.2102) * CHOOSE(CONTROL!$C$21, $C$9, 100%, $E$9)</f>
        <v>39.2102</v>
      </c>
      <c r="S632" s="14">
        <f>CHOOSE(CONTROL!$C$42, 36.9418, 36.9418) * CHOOSE(CONTROL!$C$21, $C$9, 100%, $E$9)</f>
        <v>36.941800000000001</v>
      </c>
      <c r="T6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7">
        <f>(1000*CHOOSE(CONTROL!$C$42, 695, 695)*CHOOSE(CONTROL!$C$42, 0.5599, 0.5599)*CHOOSE(CONTROL!$C$42, 31, 31))/1000000</f>
        <v>12.063045499999998</v>
      </c>
      <c r="V632" s="57">
        <f>(1000*CHOOSE(CONTROL!$C$42, 500, 500)*CHOOSE(CONTROL!$C$42, 0.275, 0.275)*CHOOSE(CONTROL!$C$42, 31, 31))/1000000</f>
        <v>4.2625000000000002</v>
      </c>
      <c r="W632" s="57">
        <f>(1000*CHOOSE(CONTROL!$C$42, 0.1146, 0.1146)*CHOOSE(CONTROL!$C$42, 121.5, 121.5)*CHOOSE(CONTROL!$C$42, 31, 31))/1000000</f>
        <v>0.43164089999999994</v>
      </c>
      <c r="X632" s="57">
        <f>(31*0.1790888*245000/1000000)+(31*0.2374*100000/1000000)</f>
        <v>2.0961194359999999</v>
      </c>
      <c r="Y632" s="57"/>
      <c r="Z632" s="14"/>
      <c r="AA632" s="56"/>
      <c r="AB632" s="50">
        <f>(B632*194.205+C632*267.466+D632*133.845+E632*53.484+F632*40+G632*185+H632*0+I632*100+J632*300)/(194.205+267.466+133.845+53.484+0+40+185+100+300)</f>
        <v>38.505263391208793</v>
      </c>
      <c r="AC632" s="45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37.80828057553957</v>
      </c>
    </row>
    <row r="633" spans="1:29" ht="15.75" x14ac:dyDescent="0.25">
      <c r="A633" s="32">
        <v>60175</v>
      </c>
      <c r="B633" s="14">
        <f>CHOOSE(CONTROL!$C$42, 36.0149, 36.0149) * CHOOSE(CONTROL!$C$21, $C$9, 100%, $E$9)</f>
        <v>36.014899999999997</v>
      </c>
      <c r="C633" s="14">
        <f>CHOOSE(CONTROL!$C$42, 36.0229, 36.0229) * CHOOSE(CONTROL!$C$21, $C$9, 100%, $E$9)</f>
        <v>36.0229</v>
      </c>
      <c r="D633" s="14">
        <f>CHOOSE(CONTROL!$C$42, 36.2565, 36.2565) * CHOOSE(CONTROL!$C$21, $C$9, 100%, $E$9)</f>
        <v>36.256500000000003</v>
      </c>
      <c r="E633" s="14">
        <f>CHOOSE(CONTROL!$C$42, 36.288, 36.288) * CHOOSE(CONTROL!$C$21, $C$9, 100%, $E$9)</f>
        <v>36.287999999999997</v>
      </c>
      <c r="F633" s="14">
        <f>CHOOSE(CONTROL!$C$42, 36.0129, 36.0129)*CHOOSE(CONTROL!$C$21, $C$9, 100%, $E$9)</f>
        <v>36.012900000000002</v>
      </c>
      <c r="G633" s="14">
        <f>CHOOSE(CONTROL!$C$42, 36.0296, 36.0296)*CHOOSE(CONTROL!$C$21, $C$9, 100%, $E$9)</f>
        <v>36.029600000000002</v>
      </c>
      <c r="H633" s="14">
        <f>CHOOSE(CONTROL!$C$42, 36.2766, 36.2766) * CHOOSE(CONTROL!$C$21, $C$9, 100%, $E$9)</f>
        <v>36.276600000000002</v>
      </c>
      <c r="I633" s="14">
        <f>CHOOSE(CONTROL!$C$42, 36.1436, 36.1436)* CHOOSE(CONTROL!$C$21, $C$9, 100%, $E$9)</f>
        <v>36.143599999999999</v>
      </c>
      <c r="J633" s="14">
        <f>CHOOSE(CONTROL!$C$42, 36.0059, 36.0059)* CHOOSE(CONTROL!$C$21, $C$9, 100%, $E$9)</f>
        <v>36.005899999999997</v>
      </c>
      <c r="K633" s="53">
        <f>CHOOSE(CONTROL!$C$42, 36.1397, 36.1397) * CHOOSE(CONTROL!$C$21, $C$9, 100%, $E$9)</f>
        <v>36.139699999999998</v>
      </c>
      <c r="L633" s="14">
        <f>CHOOSE(CONTROL!$C$42, 36.8636, 36.8636) * CHOOSE(CONTROL!$C$21, $C$9, 100%, $E$9)</f>
        <v>36.863599999999998</v>
      </c>
      <c r="M633" s="14">
        <f>CHOOSE(CONTROL!$C$42, 35.2759, 35.2759) * CHOOSE(CONTROL!$C$21, $C$9, 100%, $E$9)</f>
        <v>35.2759</v>
      </c>
      <c r="N633" s="14">
        <f>CHOOSE(CONTROL!$C$42, 35.2922, 35.2922) * CHOOSE(CONTROL!$C$21, $C$9, 100%, $E$9)</f>
        <v>35.292200000000001</v>
      </c>
      <c r="O633" s="14">
        <f>CHOOSE(CONTROL!$C$42, 35.541, 35.541) * CHOOSE(CONTROL!$C$21, $C$9, 100%, $E$9)</f>
        <v>35.540999999999997</v>
      </c>
      <c r="P633" s="14">
        <f>CHOOSE(CONTROL!$C$42, 35.4085, 35.4085) * CHOOSE(CONTROL!$C$21, $C$9, 100%, $E$9)</f>
        <v>35.408499999999997</v>
      </c>
      <c r="Q633" s="14">
        <f>CHOOSE(CONTROL!$C$42, 36.1357, 36.1357) * CHOOSE(CONTROL!$C$21, $C$9, 100%, $E$9)</f>
        <v>36.1357</v>
      </c>
      <c r="R633" s="14">
        <f>CHOOSE(CONTROL!$C$42, 36.8131, 36.8131) * CHOOSE(CONTROL!$C$21, $C$9, 100%, $E$9)</f>
        <v>36.813099999999999</v>
      </c>
      <c r="S633" s="14">
        <f>CHOOSE(CONTROL!$C$42, 34.5961, 34.5961) * CHOOSE(CONTROL!$C$21, $C$9, 100%, $E$9)</f>
        <v>34.5961</v>
      </c>
      <c r="T6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7">
        <f>(1000*CHOOSE(CONTROL!$C$42, 695, 695)*CHOOSE(CONTROL!$C$42, 0.5599, 0.5599)*CHOOSE(CONTROL!$C$42, 30, 30))/1000000</f>
        <v>11.673914999999997</v>
      </c>
      <c r="V633" s="57">
        <f>(1000*CHOOSE(CONTROL!$C$42, 500, 500)*CHOOSE(CONTROL!$C$42, 0.275, 0.275)*CHOOSE(CONTROL!$C$42, 30, 30))/1000000</f>
        <v>4.125</v>
      </c>
      <c r="W633" s="57">
        <f>(1000*CHOOSE(CONTROL!$C$42, 0.1146, 0.1146)*CHOOSE(CONTROL!$C$42, 121.5, 121.5)*CHOOSE(CONTROL!$C$42, 30, 30))/1000000</f>
        <v>0.417717</v>
      </c>
      <c r="X633" s="57">
        <f>(30*0.1790888*245000/1000000)+(30*0.2374*100000/1000000)</f>
        <v>2.0285026799999999</v>
      </c>
      <c r="Y633" s="57"/>
      <c r="Z633" s="14"/>
      <c r="AA633" s="56"/>
      <c r="AB633" s="50">
        <f>(B633*194.205+C633*267.466+D633*133.845+E633*53.484+F633*40+G633*185+H633*0+I633*100+J633*300)/(194.205+267.466+133.845+53.484+0+40+185+100+300)</f>
        <v>36.063481366091047</v>
      </c>
      <c r="AC633" s="45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35.416070503597119</v>
      </c>
    </row>
    <row r="634" spans="1:29" ht="15.75" x14ac:dyDescent="0.25">
      <c r="A634" s="32">
        <v>60206</v>
      </c>
      <c r="B634" s="14">
        <f>CHOOSE(CONTROL!$C$42, 35.2821, 35.2821) * CHOOSE(CONTROL!$C$21, $C$9, 100%, $E$9)</f>
        <v>35.2821</v>
      </c>
      <c r="C634" s="14">
        <f>CHOOSE(CONTROL!$C$42, 35.2875, 35.2875) * CHOOSE(CONTROL!$C$21, $C$9, 100%, $E$9)</f>
        <v>35.287500000000001</v>
      </c>
      <c r="D634" s="14">
        <f>CHOOSE(CONTROL!$C$42, 35.526, 35.526) * CHOOSE(CONTROL!$C$21, $C$9, 100%, $E$9)</f>
        <v>35.526000000000003</v>
      </c>
      <c r="E634" s="14">
        <f>CHOOSE(CONTROL!$C$42, 35.5552, 35.5552) * CHOOSE(CONTROL!$C$21, $C$9, 100%, $E$9)</f>
        <v>35.555199999999999</v>
      </c>
      <c r="F634" s="14">
        <f>CHOOSE(CONTROL!$C$42, 35.2822, 35.2822)*CHOOSE(CONTROL!$C$21, $C$9, 100%, $E$9)</f>
        <v>35.282200000000003</v>
      </c>
      <c r="G634" s="14">
        <f>CHOOSE(CONTROL!$C$42, 35.2984, 35.2984)*CHOOSE(CONTROL!$C$21, $C$9, 100%, $E$9)</f>
        <v>35.298400000000001</v>
      </c>
      <c r="H634" s="14">
        <f>CHOOSE(CONTROL!$C$42, 35.5456, 35.5456) * CHOOSE(CONTROL!$C$21, $C$9, 100%, $E$9)</f>
        <v>35.5456</v>
      </c>
      <c r="I634" s="14">
        <f>CHOOSE(CONTROL!$C$42, 35.4103, 35.4103)* CHOOSE(CONTROL!$C$21, $C$9, 100%, $E$9)</f>
        <v>35.410299999999999</v>
      </c>
      <c r="J634" s="14">
        <f>CHOOSE(CONTROL!$C$42, 35.2752, 35.2752)* CHOOSE(CONTROL!$C$21, $C$9, 100%, $E$9)</f>
        <v>35.275199999999998</v>
      </c>
      <c r="K634" s="53">
        <f>CHOOSE(CONTROL!$C$42, 35.4064, 35.4064) * CHOOSE(CONTROL!$C$21, $C$9, 100%, $E$9)</f>
        <v>35.406399999999998</v>
      </c>
      <c r="L634" s="14">
        <f>CHOOSE(CONTROL!$C$42, 36.1326, 36.1326) * CHOOSE(CONTROL!$C$21, $C$9, 100%, $E$9)</f>
        <v>36.132599999999996</v>
      </c>
      <c r="M634" s="14">
        <f>CHOOSE(CONTROL!$C$42, 34.5601, 34.5601) * CHOOSE(CONTROL!$C$21, $C$9, 100%, $E$9)</f>
        <v>34.560099999999998</v>
      </c>
      <c r="N634" s="14">
        <f>CHOOSE(CONTROL!$C$42, 34.576, 34.576) * CHOOSE(CONTROL!$C$21, $C$9, 100%, $E$9)</f>
        <v>34.576000000000001</v>
      </c>
      <c r="O634" s="14">
        <f>CHOOSE(CONTROL!$C$42, 34.825, 34.825) * CHOOSE(CONTROL!$C$21, $C$9, 100%, $E$9)</f>
        <v>34.825000000000003</v>
      </c>
      <c r="P634" s="14">
        <f>CHOOSE(CONTROL!$C$42, 34.6903, 34.6903) * CHOOSE(CONTROL!$C$21, $C$9, 100%, $E$9)</f>
        <v>34.690300000000001</v>
      </c>
      <c r="Q634" s="14">
        <f>CHOOSE(CONTROL!$C$42, 35.4197, 35.4197) * CHOOSE(CONTROL!$C$21, $C$9, 100%, $E$9)</f>
        <v>35.419699999999999</v>
      </c>
      <c r="R634" s="14">
        <f>CHOOSE(CONTROL!$C$42, 36.0953, 36.0953) * CHOOSE(CONTROL!$C$21, $C$9, 100%, $E$9)</f>
        <v>36.095300000000002</v>
      </c>
      <c r="S634" s="14">
        <f>CHOOSE(CONTROL!$C$42, 33.8937, 33.8937) * CHOOSE(CONTROL!$C$21, $C$9, 100%, $E$9)</f>
        <v>33.893700000000003</v>
      </c>
      <c r="T6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7">
        <f>(1000*CHOOSE(CONTROL!$C$42, 695, 695)*CHOOSE(CONTROL!$C$42, 0.5599, 0.5599)*CHOOSE(CONTROL!$C$42, 31, 31))/1000000</f>
        <v>12.063045499999998</v>
      </c>
      <c r="V634" s="57">
        <f>(1000*CHOOSE(CONTROL!$C$42, 500, 500)*CHOOSE(CONTROL!$C$42, 0.275, 0.275)*CHOOSE(CONTROL!$C$42, 31, 31))/1000000</f>
        <v>4.2625000000000002</v>
      </c>
      <c r="W634" s="57">
        <f>(1000*CHOOSE(CONTROL!$C$42, 0.1146, 0.1146)*CHOOSE(CONTROL!$C$42, 121.5, 121.5)*CHOOSE(CONTROL!$C$42, 31, 31))/1000000</f>
        <v>0.43164089999999994</v>
      </c>
      <c r="X634" s="57">
        <f>(31*0.1790888*245000/1000000)+(31*0.2374*100000/1000000)</f>
        <v>2.0961194359999999</v>
      </c>
      <c r="Y634" s="57"/>
      <c r="Z634" s="14"/>
      <c r="AA634" s="56"/>
      <c r="AB634" s="50">
        <f>(B634*131.881+C634*277.167+D634*79.08+E634*125.872+F634*40+G634*185+H634*0+I634*100+J634*300)/(131.881+277.167+79.08+125.872+0+40+185+100+300)</f>
        <v>35.337733137207422</v>
      </c>
      <c r="AC634" s="45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34.699811510791363</v>
      </c>
    </row>
    <row r="635" spans="1:29" ht="15.75" x14ac:dyDescent="0.25">
      <c r="A635" s="32">
        <v>60236</v>
      </c>
      <c r="B635" s="14">
        <f>CHOOSE(CONTROL!$C$42, 36.211, 36.211) * CHOOSE(CONTROL!$C$21, $C$9, 100%, $E$9)</f>
        <v>36.210999999999999</v>
      </c>
      <c r="C635" s="14">
        <f>CHOOSE(CONTROL!$C$42, 36.216, 36.216) * CHOOSE(CONTROL!$C$21, $C$9, 100%, $E$9)</f>
        <v>36.216000000000001</v>
      </c>
      <c r="D635" s="14">
        <f>CHOOSE(CONTROL!$C$42, 36.2902, 36.2902) * CHOOSE(CONTROL!$C$21, $C$9, 100%, $E$9)</f>
        <v>36.290199999999999</v>
      </c>
      <c r="E635" s="14">
        <f>CHOOSE(CONTROL!$C$42, 36.3244, 36.3244) * CHOOSE(CONTROL!$C$21, $C$9, 100%, $E$9)</f>
        <v>36.324399999999997</v>
      </c>
      <c r="F635" s="14">
        <f>CHOOSE(CONTROL!$C$42, 36.223, 36.223)*CHOOSE(CONTROL!$C$21, $C$9, 100%, $E$9)</f>
        <v>36.222999999999999</v>
      </c>
      <c r="G635" s="14">
        <f>CHOOSE(CONTROL!$C$42, 36.2396, 36.2396)*CHOOSE(CONTROL!$C$21, $C$9, 100%, $E$9)</f>
        <v>36.239600000000003</v>
      </c>
      <c r="H635" s="14">
        <f>CHOOSE(CONTROL!$C$42, 36.3135, 36.3135) * CHOOSE(CONTROL!$C$21, $C$9, 100%, $E$9)</f>
        <v>36.313499999999998</v>
      </c>
      <c r="I635" s="14">
        <f>CHOOSE(CONTROL!$C$42, 36.3487, 36.3487)* CHOOSE(CONTROL!$C$21, $C$9, 100%, $E$9)</f>
        <v>36.348700000000001</v>
      </c>
      <c r="J635" s="14">
        <f>CHOOSE(CONTROL!$C$42, 36.216, 36.216)* CHOOSE(CONTROL!$C$21, $C$9, 100%, $E$9)</f>
        <v>36.216000000000001</v>
      </c>
      <c r="K635" s="53">
        <f>CHOOSE(CONTROL!$C$42, 36.3448, 36.3448) * CHOOSE(CONTROL!$C$21, $C$9, 100%, $E$9)</f>
        <v>36.344799999999999</v>
      </c>
      <c r="L635" s="14">
        <f>CHOOSE(CONTROL!$C$42, 36.9005, 36.9005) * CHOOSE(CONTROL!$C$21, $C$9, 100%, $E$9)</f>
        <v>36.900500000000001</v>
      </c>
      <c r="M635" s="14">
        <f>CHOOSE(CONTROL!$C$42, 35.4817, 35.4817) * CHOOSE(CONTROL!$C$21, $C$9, 100%, $E$9)</f>
        <v>35.481699999999996</v>
      </c>
      <c r="N635" s="14">
        <f>CHOOSE(CONTROL!$C$42, 35.4979, 35.4979) * CHOOSE(CONTROL!$C$21, $C$9, 100%, $E$9)</f>
        <v>35.497900000000001</v>
      </c>
      <c r="O635" s="14">
        <f>CHOOSE(CONTROL!$C$42, 35.5772, 35.5772) * CHOOSE(CONTROL!$C$21, $C$9, 100%, $E$9)</f>
        <v>35.577199999999998</v>
      </c>
      <c r="P635" s="14">
        <f>CHOOSE(CONTROL!$C$42, 35.6094, 35.6094) * CHOOSE(CONTROL!$C$21, $C$9, 100%, $E$9)</f>
        <v>35.609400000000001</v>
      </c>
      <c r="Q635" s="14">
        <f>CHOOSE(CONTROL!$C$42, 36.1719, 36.1719) * CHOOSE(CONTROL!$C$21, $C$9, 100%, $E$9)</f>
        <v>36.171900000000001</v>
      </c>
      <c r="R635" s="14">
        <f>CHOOSE(CONTROL!$C$42, 36.8493, 36.8493) * CHOOSE(CONTROL!$C$21, $C$9, 100%, $E$9)</f>
        <v>36.849299999999999</v>
      </c>
      <c r="S635" s="14">
        <f>CHOOSE(CONTROL!$C$42, 34.7866, 34.7866) * CHOOSE(CONTROL!$C$21, $C$9, 100%, $E$9)</f>
        <v>34.7866</v>
      </c>
      <c r="T6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7">
        <f>(1000*CHOOSE(CONTROL!$C$42, 695, 695)*CHOOSE(CONTROL!$C$42, 0.5599, 0.5599)*CHOOSE(CONTROL!$C$42, 30, 30))/1000000</f>
        <v>11.673914999999997</v>
      </c>
      <c r="V635" s="57">
        <f>(1000*CHOOSE(CONTROL!$C$42, 500, 500)*CHOOSE(CONTROL!$C$42, 0.275, 0.275)*CHOOSE(CONTROL!$C$42, 30, 30))/1000000</f>
        <v>4.125</v>
      </c>
      <c r="W635" s="57">
        <f>(1000*CHOOSE(CONTROL!$C$42, 0.1146, 0.1146)*CHOOSE(CONTROL!$C$42, 121.5, 121.5)*CHOOSE(CONTROL!$C$42, 30, 30))/1000000</f>
        <v>0.417717</v>
      </c>
      <c r="X635" s="57">
        <f>(30*0.1790888*100000/1000000)+(30*0.2374*100000/1000000)</f>
        <v>1.2494664</v>
      </c>
      <c r="Y635" s="57"/>
      <c r="Z635" s="14"/>
      <c r="AA635" s="56"/>
      <c r="AB635" s="50">
        <f>(B635*122.58+C635*297.941+D635*89.177+E635*40.302+F635*40+G635*160+H635*0+I635*100+J635*300)/(122.58+297.941+89.177+40.302+0+40+160+100+300)</f>
        <v>36.240085887130434</v>
      </c>
      <c r="AC635" s="45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35.544290647482008</v>
      </c>
    </row>
    <row r="636" spans="1:29" ht="15.75" x14ac:dyDescent="0.25">
      <c r="A636" s="32">
        <v>60267</v>
      </c>
      <c r="B636" s="14">
        <f>CHOOSE(CONTROL!$C$42, 38.6791, 38.6791) * CHOOSE(CONTROL!$C$21, $C$9, 100%, $E$9)</f>
        <v>38.679099999999998</v>
      </c>
      <c r="C636" s="14">
        <f>CHOOSE(CONTROL!$C$42, 38.6842, 38.6842) * CHOOSE(CONTROL!$C$21, $C$9, 100%, $E$9)</f>
        <v>38.684199999999997</v>
      </c>
      <c r="D636" s="14">
        <f>CHOOSE(CONTROL!$C$42, 38.7584, 38.7584) * CHOOSE(CONTROL!$C$21, $C$9, 100%, $E$9)</f>
        <v>38.758400000000002</v>
      </c>
      <c r="E636" s="14">
        <f>CHOOSE(CONTROL!$C$42, 38.7925, 38.7925) * CHOOSE(CONTROL!$C$21, $C$9, 100%, $E$9)</f>
        <v>38.792499999999997</v>
      </c>
      <c r="F636" s="14">
        <f>CHOOSE(CONTROL!$C$42, 38.6934, 38.6934)*CHOOSE(CONTROL!$C$21, $C$9, 100%, $E$9)</f>
        <v>38.693399999999997</v>
      </c>
      <c r="G636" s="14">
        <f>CHOOSE(CONTROL!$C$42, 38.7105, 38.7105)*CHOOSE(CONTROL!$C$21, $C$9, 100%, $E$9)</f>
        <v>38.710500000000003</v>
      </c>
      <c r="H636" s="14">
        <f>CHOOSE(CONTROL!$C$42, 38.7817, 38.7817) * CHOOSE(CONTROL!$C$21, $C$9, 100%, $E$9)</f>
        <v>38.781700000000001</v>
      </c>
      <c r="I636" s="14">
        <f>CHOOSE(CONTROL!$C$42, 38.8246, 38.8246)* CHOOSE(CONTROL!$C$21, $C$9, 100%, $E$9)</f>
        <v>38.824599999999997</v>
      </c>
      <c r="J636" s="14">
        <f>CHOOSE(CONTROL!$C$42, 38.6864, 38.6864)* CHOOSE(CONTROL!$C$21, $C$9, 100%, $E$9)</f>
        <v>38.686399999999999</v>
      </c>
      <c r="K636" s="53">
        <f>CHOOSE(CONTROL!$C$42, 38.8207, 38.8207) * CHOOSE(CONTROL!$C$21, $C$9, 100%, $E$9)</f>
        <v>38.820700000000002</v>
      </c>
      <c r="L636" s="14">
        <f>CHOOSE(CONTROL!$C$42, 39.3687, 39.3687) * CHOOSE(CONTROL!$C$21, $C$9, 100%, $E$9)</f>
        <v>39.368699999999997</v>
      </c>
      <c r="M636" s="14">
        <f>CHOOSE(CONTROL!$C$42, 37.9014, 37.9014) * CHOOSE(CONTROL!$C$21, $C$9, 100%, $E$9)</f>
        <v>37.901400000000002</v>
      </c>
      <c r="N636" s="14">
        <f>CHOOSE(CONTROL!$C$42, 37.9182, 37.9182) * CHOOSE(CONTROL!$C$21, $C$9, 100%, $E$9)</f>
        <v>37.918199999999999</v>
      </c>
      <c r="O636" s="14">
        <f>CHOOSE(CONTROL!$C$42, 37.9948, 37.9948) * CHOOSE(CONTROL!$C$21, $C$9, 100%, $E$9)</f>
        <v>37.994799999999998</v>
      </c>
      <c r="P636" s="14">
        <f>CHOOSE(CONTROL!$C$42, 38.0344, 38.0344) * CHOOSE(CONTROL!$C$21, $C$9, 100%, $E$9)</f>
        <v>38.034399999999998</v>
      </c>
      <c r="Q636" s="14">
        <f>CHOOSE(CONTROL!$C$42, 38.5895, 38.5895) * CHOOSE(CONTROL!$C$21, $C$9, 100%, $E$9)</f>
        <v>38.589500000000001</v>
      </c>
      <c r="R636" s="14">
        <f>CHOOSE(CONTROL!$C$42, 39.273, 39.273) * CHOOSE(CONTROL!$C$21, $C$9, 100%, $E$9)</f>
        <v>39.273000000000003</v>
      </c>
      <c r="S636" s="14">
        <f>CHOOSE(CONTROL!$C$42, 37.1582, 37.1582) * CHOOSE(CONTROL!$C$21, $C$9, 100%, $E$9)</f>
        <v>37.158200000000001</v>
      </c>
      <c r="T6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7">
        <f>(1000*CHOOSE(CONTROL!$C$42, 695, 695)*CHOOSE(CONTROL!$C$42, 0.5599, 0.5599)*CHOOSE(CONTROL!$C$42, 31, 31))/1000000</f>
        <v>12.063045499999998</v>
      </c>
      <c r="V636" s="57">
        <f>(1000*CHOOSE(CONTROL!$C$42, 500, 500)*CHOOSE(CONTROL!$C$42, 0.275, 0.275)*CHOOSE(CONTROL!$C$42, 31, 31))/1000000</f>
        <v>4.2625000000000002</v>
      </c>
      <c r="W636" s="57">
        <f>(1000*CHOOSE(CONTROL!$C$42, 0.1146, 0.1146)*CHOOSE(CONTROL!$C$42, 121.5, 121.5)*CHOOSE(CONTROL!$C$42, 31, 31))/1000000</f>
        <v>0.43164089999999994</v>
      </c>
      <c r="X636" s="57">
        <f>(31*0.1790888*100000/1000000)+(31*0.2374*100000/1000000)</f>
        <v>1.2911152800000001</v>
      </c>
      <c r="Y636" s="57"/>
      <c r="Z636" s="14"/>
      <c r="AA636" s="56"/>
      <c r="AB636" s="50">
        <f>(B636*122.58+C636*297.941+D636*89.177+E636*40.302+F636*40+G636*160+H636*0+I636*100+J636*300)/(122.58+297.941+89.177+40.302+0+40+160+100+300)</f>
        <v>38.709967375652177</v>
      </c>
      <c r="AC636" s="45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37.96383597122302</v>
      </c>
    </row>
    <row r="637" spans="1:29" ht="15.75" x14ac:dyDescent="0.25">
      <c r="A637" s="32">
        <v>60298</v>
      </c>
      <c r="B637" s="14">
        <f>CHOOSE(CONTROL!$C$42, 41.8849, 41.8849) * CHOOSE(CONTROL!$C$21, $C$9, 100%, $E$9)</f>
        <v>41.884900000000002</v>
      </c>
      <c r="C637" s="14">
        <f>CHOOSE(CONTROL!$C$42, 41.8899, 41.8899) * CHOOSE(CONTROL!$C$21, $C$9, 100%, $E$9)</f>
        <v>41.889899999999997</v>
      </c>
      <c r="D637" s="14">
        <f>CHOOSE(CONTROL!$C$42, 41.9667, 41.9667) * CHOOSE(CONTROL!$C$21, $C$9, 100%, $E$9)</f>
        <v>41.966700000000003</v>
      </c>
      <c r="E637" s="14">
        <f>CHOOSE(CONTROL!$C$42, 42.0009, 42.0009) * CHOOSE(CONTROL!$C$21, $C$9, 100%, $E$9)</f>
        <v>42.000900000000001</v>
      </c>
      <c r="F637" s="14">
        <f>CHOOSE(CONTROL!$C$42, 41.8851, 41.8851)*CHOOSE(CONTROL!$C$21, $C$9, 100%, $E$9)</f>
        <v>41.885100000000001</v>
      </c>
      <c r="G637" s="14">
        <f>CHOOSE(CONTROL!$C$42, 41.9013, 41.9013)*CHOOSE(CONTROL!$C$21, $C$9, 100%, $E$9)</f>
        <v>41.901299999999999</v>
      </c>
      <c r="H637" s="14">
        <f>CHOOSE(CONTROL!$C$42, 41.9901, 41.9901) * CHOOSE(CONTROL!$C$21, $C$9, 100%, $E$9)</f>
        <v>41.990099999999998</v>
      </c>
      <c r="I637" s="14">
        <f>CHOOSE(CONTROL!$C$42, 42.0341, 42.0341)* CHOOSE(CONTROL!$C$21, $C$9, 100%, $E$9)</f>
        <v>42.034100000000002</v>
      </c>
      <c r="J637" s="14">
        <f>CHOOSE(CONTROL!$C$42, 41.8781, 41.8781)* CHOOSE(CONTROL!$C$21, $C$9, 100%, $E$9)</f>
        <v>41.878100000000003</v>
      </c>
      <c r="K637" s="53">
        <f>CHOOSE(CONTROL!$C$42, 42.0302, 42.0302) * CHOOSE(CONTROL!$C$21, $C$9, 100%, $E$9)</f>
        <v>42.030200000000001</v>
      </c>
      <c r="L637" s="14">
        <f>CHOOSE(CONTROL!$C$42, 42.5771, 42.5771) * CHOOSE(CONTROL!$C$21, $C$9, 100%, $E$9)</f>
        <v>42.577100000000002</v>
      </c>
      <c r="M637" s="14">
        <f>CHOOSE(CONTROL!$C$42, 41.0277, 41.0277) * CHOOSE(CONTROL!$C$21, $C$9, 100%, $E$9)</f>
        <v>41.027700000000003</v>
      </c>
      <c r="N637" s="14">
        <f>CHOOSE(CONTROL!$C$42, 41.0436, 41.0436) * CHOOSE(CONTROL!$C$21, $C$9, 100%, $E$9)</f>
        <v>41.043599999999998</v>
      </c>
      <c r="O637" s="14">
        <f>CHOOSE(CONTROL!$C$42, 41.1374, 41.1374) * CHOOSE(CONTROL!$C$21, $C$9, 100%, $E$9)</f>
        <v>41.1374</v>
      </c>
      <c r="P637" s="14">
        <f>CHOOSE(CONTROL!$C$42, 41.178, 41.178) * CHOOSE(CONTROL!$C$21, $C$9, 100%, $E$9)</f>
        <v>41.177999999999997</v>
      </c>
      <c r="Q637" s="14">
        <f>CHOOSE(CONTROL!$C$42, 41.7321, 41.7321) * CHOOSE(CONTROL!$C$21, $C$9, 100%, $E$9)</f>
        <v>41.732100000000003</v>
      </c>
      <c r="R637" s="14">
        <f>CHOOSE(CONTROL!$C$42, 42.4234, 42.4234) * CHOOSE(CONTROL!$C$21, $C$9, 100%, $E$9)</f>
        <v>42.423400000000001</v>
      </c>
      <c r="S637" s="14">
        <f>CHOOSE(CONTROL!$C$42, 40.2386, 40.2386) * CHOOSE(CONTROL!$C$21, $C$9, 100%, $E$9)</f>
        <v>40.238599999999998</v>
      </c>
      <c r="T6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7">
        <f>(1000*CHOOSE(CONTROL!$C$42, 695, 695)*CHOOSE(CONTROL!$C$42, 0.5599, 0.5599)*CHOOSE(CONTROL!$C$42, 31, 31))/1000000</f>
        <v>12.063045499999998</v>
      </c>
      <c r="V637" s="57">
        <f>(1000*CHOOSE(CONTROL!$C$42, 500, 500)*CHOOSE(CONTROL!$C$42, 0.275, 0.275)*CHOOSE(CONTROL!$C$42, 31, 31))/1000000</f>
        <v>4.2625000000000002</v>
      </c>
      <c r="W637" s="57">
        <f>(1000*CHOOSE(CONTROL!$C$42, 0.1146, 0.1146)*CHOOSE(CONTROL!$C$42, 121.5, 121.5)*CHOOSE(CONTROL!$C$42, 31, 31))/1000000</f>
        <v>0.43164089999999994</v>
      </c>
      <c r="X637" s="57">
        <f>(31*0.1790888*100000/1000000)+(31*0.2374*100000/1000000)</f>
        <v>1.2911152800000001</v>
      </c>
      <c r="Y637" s="57"/>
      <c r="Z637" s="14"/>
      <c r="AA637" s="56"/>
      <c r="AB637" s="50">
        <f>(B637*122.58+C637*297.941+D637*89.177+E637*40.302+F637*40+G637*160+H637*0+I637*100+J637*300)/(122.58+297.941+89.177+40.302+0+40+160+100+300)</f>
        <v>41.910092535304351</v>
      </c>
      <c r="AC637" s="45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41.099961151079142</v>
      </c>
    </row>
    <row r="638" spans="1:29" ht="15.75" x14ac:dyDescent="0.25">
      <c r="A638" s="32">
        <v>60326</v>
      </c>
      <c r="B638" s="14">
        <f>CHOOSE(CONTROL!$C$42, 42.6303, 42.6303) * CHOOSE(CONTROL!$C$21, $C$9, 100%, $E$9)</f>
        <v>42.630299999999998</v>
      </c>
      <c r="C638" s="14">
        <f>CHOOSE(CONTROL!$C$42, 42.6354, 42.6354) * CHOOSE(CONTROL!$C$21, $C$9, 100%, $E$9)</f>
        <v>42.635399999999997</v>
      </c>
      <c r="D638" s="14">
        <f>CHOOSE(CONTROL!$C$42, 42.7122, 42.7122) * CHOOSE(CONTROL!$C$21, $C$9, 100%, $E$9)</f>
        <v>42.712200000000003</v>
      </c>
      <c r="E638" s="14">
        <f>CHOOSE(CONTROL!$C$42, 42.7463, 42.7463) * CHOOSE(CONTROL!$C$21, $C$9, 100%, $E$9)</f>
        <v>42.746299999999998</v>
      </c>
      <c r="F638" s="14">
        <f>CHOOSE(CONTROL!$C$42, 42.6306, 42.6306)*CHOOSE(CONTROL!$C$21, $C$9, 100%, $E$9)</f>
        <v>42.630600000000001</v>
      </c>
      <c r="G638" s="14">
        <f>CHOOSE(CONTROL!$C$42, 42.6468, 42.6468)*CHOOSE(CONTROL!$C$21, $C$9, 100%, $E$9)</f>
        <v>42.646799999999999</v>
      </c>
      <c r="H638" s="14">
        <f>CHOOSE(CONTROL!$C$42, 42.7355, 42.7355) * CHOOSE(CONTROL!$C$21, $C$9, 100%, $E$9)</f>
        <v>42.735500000000002</v>
      </c>
      <c r="I638" s="14">
        <f>CHOOSE(CONTROL!$C$42, 42.7819, 42.7819)* CHOOSE(CONTROL!$C$21, $C$9, 100%, $E$9)</f>
        <v>42.7819</v>
      </c>
      <c r="J638" s="14">
        <f>CHOOSE(CONTROL!$C$42, 42.6236, 42.6236)* CHOOSE(CONTROL!$C$21, $C$9, 100%, $E$9)</f>
        <v>42.623600000000003</v>
      </c>
      <c r="K638" s="53">
        <f>CHOOSE(CONTROL!$C$42, 42.778, 42.778) * CHOOSE(CONTROL!$C$21, $C$9, 100%, $E$9)</f>
        <v>42.777999999999999</v>
      </c>
      <c r="L638" s="14">
        <f>CHOOSE(CONTROL!$C$42, 43.3225, 43.3225) * CHOOSE(CONTROL!$C$21, $C$9, 100%, $E$9)</f>
        <v>43.322499999999998</v>
      </c>
      <c r="M638" s="14">
        <f>CHOOSE(CONTROL!$C$42, 41.7579, 41.7579) * CHOOSE(CONTROL!$C$21, $C$9, 100%, $E$9)</f>
        <v>41.757899999999999</v>
      </c>
      <c r="N638" s="14">
        <f>CHOOSE(CONTROL!$C$42, 41.7738, 41.7738) * CHOOSE(CONTROL!$C$21, $C$9, 100%, $E$9)</f>
        <v>41.773800000000001</v>
      </c>
      <c r="O638" s="14">
        <f>CHOOSE(CONTROL!$C$42, 41.8676, 41.8676) * CHOOSE(CONTROL!$C$21, $C$9, 100%, $E$9)</f>
        <v>41.867600000000003</v>
      </c>
      <c r="P638" s="14">
        <f>CHOOSE(CONTROL!$C$42, 41.9104, 41.9104) * CHOOSE(CONTROL!$C$21, $C$9, 100%, $E$9)</f>
        <v>41.910400000000003</v>
      </c>
      <c r="Q638" s="14">
        <f>CHOOSE(CONTROL!$C$42, 42.4623, 42.4623) * CHOOSE(CONTROL!$C$21, $C$9, 100%, $E$9)</f>
        <v>42.462299999999999</v>
      </c>
      <c r="R638" s="14">
        <f>CHOOSE(CONTROL!$C$42, 43.1554, 43.1554) * CHOOSE(CONTROL!$C$21, $C$9, 100%, $E$9)</f>
        <v>43.1554</v>
      </c>
      <c r="S638" s="14">
        <f>CHOOSE(CONTROL!$C$42, 40.9549, 40.9549) * CHOOSE(CONTROL!$C$21, $C$9, 100%, $E$9)</f>
        <v>40.954900000000002</v>
      </c>
      <c r="T6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7">
        <f>(1000*CHOOSE(CONTROL!$C$42, 695, 695)*CHOOSE(CONTROL!$C$42, 0.5599, 0.5599)*CHOOSE(CONTROL!$C$42, 28, 28))/1000000</f>
        <v>10.895653999999999</v>
      </c>
      <c r="V638" s="57">
        <f>(1000*CHOOSE(CONTROL!$C$42, 500, 500)*CHOOSE(CONTROL!$C$42, 0.275, 0.275)*CHOOSE(CONTROL!$C$42, 28, 28))/1000000</f>
        <v>3.85</v>
      </c>
      <c r="W638" s="57">
        <f>(1000*CHOOSE(CONTROL!$C$42, 0.1146, 0.1146)*CHOOSE(CONTROL!$C$42, 121.5, 121.5)*CHOOSE(CONTROL!$C$42, 28, 28))/1000000</f>
        <v>0.38986920000000003</v>
      </c>
      <c r="X638" s="57">
        <f>(28*0.1790888*100000/1000000)+(28*0.2374*100000/1000000)</f>
        <v>1.16616864</v>
      </c>
      <c r="Y638" s="57"/>
      <c r="Z638" s="14"/>
      <c r="AA638" s="56"/>
      <c r="AB638" s="50">
        <f>(B638*122.58+C638*297.941+D638*89.177+E638*40.302+F638*40+G638*160+H638*0+I638*100+J638*300)/(122.58+297.941+89.177+40.302+0+40+160+100+300)</f>
        <v>42.655778371652183</v>
      </c>
      <c r="AC638" s="45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41.830477697841729</v>
      </c>
    </row>
    <row r="639" spans="1:29" ht="15.75" x14ac:dyDescent="0.25">
      <c r="A639" s="32">
        <v>60357</v>
      </c>
      <c r="B639" s="14">
        <f>CHOOSE(CONTROL!$C$42, 41.4203, 41.4203) * CHOOSE(CONTROL!$C$21, $C$9, 100%, $E$9)</f>
        <v>41.420299999999997</v>
      </c>
      <c r="C639" s="14">
        <f>CHOOSE(CONTROL!$C$42, 41.4253, 41.4253) * CHOOSE(CONTROL!$C$21, $C$9, 100%, $E$9)</f>
        <v>41.4253</v>
      </c>
      <c r="D639" s="14">
        <f>CHOOSE(CONTROL!$C$42, 41.5022, 41.5022) * CHOOSE(CONTROL!$C$21, $C$9, 100%, $E$9)</f>
        <v>41.502200000000002</v>
      </c>
      <c r="E639" s="14">
        <f>CHOOSE(CONTROL!$C$42, 41.5363, 41.5363) * CHOOSE(CONTROL!$C$21, $C$9, 100%, $E$9)</f>
        <v>41.536299999999997</v>
      </c>
      <c r="F639" s="14">
        <f>CHOOSE(CONTROL!$C$42, 41.4201, 41.4201)*CHOOSE(CONTROL!$C$21, $C$9, 100%, $E$9)</f>
        <v>41.420099999999998</v>
      </c>
      <c r="G639" s="14">
        <f>CHOOSE(CONTROL!$C$42, 41.4362, 41.4362)*CHOOSE(CONTROL!$C$21, $C$9, 100%, $E$9)</f>
        <v>41.436199999999999</v>
      </c>
      <c r="H639" s="14">
        <f>CHOOSE(CONTROL!$C$42, 41.5255, 41.5255) * CHOOSE(CONTROL!$C$21, $C$9, 100%, $E$9)</f>
        <v>41.525500000000001</v>
      </c>
      <c r="I639" s="14">
        <f>CHOOSE(CONTROL!$C$42, 41.5681, 41.5681)* CHOOSE(CONTROL!$C$21, $C$9, 100%, $E$9)</f>
        <v>41.568100000000001</v>
      </c>
      <c r="J639" s="14">
        <f>CHOOSE(CONTROL!$C$42, 41.4131, 41.4131)* CHOOSE(CONTROL!$C$21, $C$9, 100%, $E$9)</f>
        <v>41.4131</v>
      </c>
      <c r="K639" s="53">
        <f>CHOOSE(CONTROL!$C$42, 41.5642, 41.5642) * CHOOSE(CONTROL!$C$21, $C$9, 100%, $E$9)</f>
        <v>41.5642</v>
      </c>
      <c r="L639" s="14">
        <f>CHOOSE(CONTROL!$C$42, 42.1125, 42.1125) * CHOOSE(CONTROL!$C$21, $C$9, 100%, $E$9)</f>
        <v>42.112499999999997</v>
      </c>
      <c r="M639" s="14">
        <f>CHOOSE(CONTROL!$C$42, 40.5722, 40.5722) * CHOOSE(CONTROL!$C$21, $C$9, 100%, $E$9)</f>
        <v>40.572200000000002</v>
      </c>
      <c r="N639" s="14">
        <f>CHOOSE(CONTROL!$C$42, 40.588, 40.588) * CHOOSE(CONTROL!$C$21, $C$9, 100%, $E$9)</f>
        <v>40.588000000000001</v>
      </c>
      <c r="O639" s="14">
        <f>CHOOSE(CONTROL!$C$42, 40.6823, 40.6823) * CHOOSE(CONTROL!$C$21, $C$9, 100%, $E$9)</f>
        <v>40.682299999999998</v>
      </c>
      <c r="P639" s="14">
        <f>CHOOSE(CONTROL!$C$42, 40.7215, 40.7215) * CHOOSE(CONTROL!$C$21, $C$9, 100%, $E$9)</f>
        <v>40.721499999999999</v>
      </c>
      <c r="Q639" s="14">
        <f>CHOOSE(CONTROL!$C$42, 41.277, 41.277) * CHOOSE(CONTROL!$C$21, $C$9, 100%, $E$9)</f>
        <v>41.277000000000001</v>
      </c>
      <c r="R639" s="14">
        <f>CHOOSE(CONTROL!$C$42, 41.9672, 41.9672) * CHOOSE(CONTROL!$C$21, $C$9, 100%, $E$9)</f>
        <v>41.967199999999998</v>
      </c>
      <c r="S639" s="14">
        <f>CHOOSE(CONTROL!$C$42, 39.7922, 39.7922) * CHOOSE(CONTROL!$C$21, $C$9, 100%, $E$9)</f>
        <v>39.792200000000001</v>
      </c>
      <c r="T6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7">
        <f>(1000*CHOOSE(CONTROL!$C$42, 695, 695)*CHOOSE(CONTROL!$C$42, 0.5599, 0.5599)*CHOOSE(CONTROL!$C$42, 31, 31))/1000000</f>
        <v>12.063045499999998</v>
      </c>
      <c r="V639" s="57">
        <f>(1000*CHOOSE(CONTROL!$C$42, 500, 500)*CHOOSE(CONTROL!$C$42, 0.275, 0.275)*CHOOSE(CONTROL!$C$42, 31, 31))/1000000</f>
        <v>4.2625000000000002</v>
      </c>
      <c r="W639" s="57">
        <f>(1000*CHOOSE(CONTROL!$C$42, 0.1146, 0.1146)*CHOOSE(CONTROL!$C$42, 121.5, 121.5)*CHOOSE(CONTROL!$C$42, 31, 31))/1000000</f>
        <v>0.43164089999999994</v>
      </c>
      <c r="X639" s="57">
        <f>(31*0.1790888*100000/1000000)+(31*0.2374*100000/1000000)</f>
        <v>1.2911152800000001</v>
      </c>
      <c r="Y639" s="57"/>
      <c r="Z639" s="14"/>
      <c r="AA639" s="56"/>
      <c r="AB639" s="50">
        <f>(B639*122.58+C639*297.941+D639*89.177+E639*40.302+F639*40+G639*160+H639*0+I639*100+J639*300)/(122.58+297.941+89.177+40.302+0+40+160+100+300)</f>
        <v>41.445190724608693</v>
      </c>
      <c r="AC639" s="45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40.644492805755398</v>
      </c>
    </row>
    <row r="640" spans="1:29" ht="15.75" x14ac:dyDescent="0.25">
      <c r="A640" s="32">
        <v>60387</v>
      </c>
      <c r="B640" s="14">
        <f>CHOOSE(CONTROL!$C$42, 41.2975, 41.2975) * CHOOSE(CONTROL!$C$21, $C$9, 100%, $E$9)</f>
        <v>41.297499999999999</v>
      </c>
      <c r="C640" s="14">
        <f>CHOOSE(CONTROL!$C$42, 41.302, 41.302) * CHOOSE(CONTROL!$C$21, $C$9, 100%, $E$9)</f>
        <v>41.302</v>
      </c>
      <c r="D640" s="14">
        <f>CHOOSE(CONTROL!$C$42, 41.5387, 41.5387) * CHOOSE(CONTROL!$C$21, $C$9, 100%, $E$9)</f>
        <v>41.538699999999999</v>
      </c>
      <c r="E640" s="14">
        <f>CHOOSE(CONTROL!$C$42, 41.5708, 41.5708) * CHOOSE(CONTROL!$C$21, $C$9, 100%, $E$9)</f>
        <v>41.570799999999998</v>
      </c>
      <c r="F640" s="14">
        <f>CHOOSE(CONTROL!$C$42, 41.2955, 41.2955)*CHOOSE(CONTROL!$C$21, $C$9, 100%, $E$9)</f>
        <v>41.295499999999997</v>
      </c>
      <c r="G640" s="14">
        <f>CHOOSE(CONTROL!$C$42, 41.3113, 41.3113)*CHOOSE(CONTROL!$C$21, $C$9, 100%, $E$9)</f>
        <v>41.311300000000003</v>
      </c>
      <c r="H640" s="14">
        <f>CHOOSE(CONTROL!$C$42, 41.5606, 41.5606) * CHOOSE(CONTROL!$C$21, $C$9, 100%, $E$9)</f>
        <v>41.560600000000001</v>
      </c>
      <c r="I640" s="14">
        <f>CHOOSE(CONTROL!$C$42, 41.4441, 41.4441)* CHOOSE(CONTROL!$C$21, $C$9, 100%, $E$9)</f>
        <v>41.444099999999999</v>
      </c>
      <c r="J640" s="14">
        <f>CHOOSE(CONTROL!$C$42, 41.2885, 41.2885)* CHOOSE(CONTROL!$C$21, $C$9, 100%, $E$9)</f>
        <v>41.288499999999999</v>
      </c>
      <c r="K640" s="53">
        <f>CHOOSE(CONTROL!$C$42, 41.4402, 41.4402) * CHOOSE(CONTROL!$C$21, $C$9, 100%, $E$9)</f>
        <v>41.440199999999997</v>
      </c>
      <c r="L640" s="14">
        <f>CHOOSE(CONTROL!$C$42, 42.1476, 42.1476) * CHOOSE(CONTROL!$C$21, $C$9, 100%, $E$9)</f>
        <v>42.147599999999997</v>
      </c>
      <c r="M640" s="14">
        <f>CHOOSE(CONTROL!$C$42, 40.4502, 40.4502) * CHOOSE(CONTROL!$C$21, $C$9, 100%, $E$9)</f>
        <v>40.450200000000002</v>
      </c>
      <c r="N640" s="14">
        <f>CHOOSE(CONTROL!$C$42, 40.4657, 40.4657) * CHOOSE(CONTROL!$C$21, $C$9, 100%, $E$9)</f>
        <v>40.465699999999998</v>
      </c>
      <c r="O640" s="14">
        <f>CHOOSE(CONTROL!$C$42, 40.7168, 40.7168) * CHOOSE(CONTROL!$C$21, $C$9, 100%, $E$9)</f>
        <v>40.716799999999999</v>
      </c>
      <c r="P640" s="14">
        <f>CHOOSE(CONTROL!$C$42, 40.6001, 40.6001) * CHOOSE(CONTROL!$C$21, $C$9, 100%, $E$9)</f>
        <v>40.600099999999998</v>
      </c>
      <c r="Q640" s="14">
        <f>CHOOSE(CONTROL!$C$42, 41.3115, 41.3115) * CHOOSE(CONTROL!$C$21, $C$9, 100%, $E$9)</f>
        <v>41.311500000000002</v>
      </c>
      <c r="R640" s="14">
        <f>CHOOSE(CONTROL!$C$42, 42.0018, 42.0018) * CHOOSE(CONTROL!$C$21, $C$9, 100%, $E$9)</f>
        <v>42.001800000000003</v>
      </c>
      <c r="S640" s="14">
        <f>CHOOSE(CONTROL!$C$42, 39.6735, 39.6735) * CHOOSE(CONTROL!$C$21, $C$9, 100%, $E$9)</f>
        <v>39.673499999999997</v>
      </c>
      <c r="T6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7">
        <f>(1000*CHOOSE(CONTROL!$C$42, 695, 695)*CHOOSE(CONTROL!$C$42, 0.5599, 0.5599)*CHOOSE(CONTROL!$C$42, 30, 30))/1000000</f>
        <v>11.673914999999997</v>
      </c>
      <c r="V640" s="57">
        <f>(1000*CHOOSE(CONTROL!$C$42, 500, 500)*CHOOSE(CONTROL!$C$42, 0.275, 0.275)*CHOOSE(CONTROL!$C$42, 30, 30))/1000000</f>
        <v>4.125</v>
      </c>
      <c r="W640" s="57">
        <f>(1000*CHOOSE(CONTROL!$C$42, 0.1146, 0.1146)*CHOOSE(CONTROL!$C$42, 121.5, 121.5)*CHOOSE(CONTROL!$C$42, 30, 30))/1000000</f>
        <v>0.417717</v>
      </c>
      <c r="X640" s="57">
        <f>(30*0.1790888*245000/1000000)+(30*0.2374*100000/1000000)</f>
        <v>2.0285026799999999</v>
      </c>
      <c r="Y640" s="57"/>
      <c r="Z640" s="14"/>
      <c r="AA640" s="56"/>
      <c r="AB640" s="50">
        <f>(B640*141.293+C640*267.993+D640*115.016+E640*89.698+F640*40+G640*185+H640*0+I640*100+J640*300)/(141.293+267.993+115.016+89.698+0+40+185+100+300)</f>
        <v>41.352298459322036</v>
      </c>
      <c r="AC640" s="45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40.593493525179852</v>
      </c>
    </row>
    <row r="641" spans="1:29" ht="15.75" x14ac:dyDescent="0.25">
      <c r="A641" s="32">
        <v>60418</v>
      </c>
      <c r="B641" s="14">
        <f>CHOOSE(CONTROL!$C$42, 41.6633, 41.6633) * CHOOSE(CONTROL!$C$21, $C$9, 100%, $E$9)</f>
        <v>41.6633</v>
      </c>
      <c r="C641" s="14">
        <f>CHOOSE(CONTROL!$C$42, 41.6713, 41.6713) * CHOOSE(CONTROL!$C$21, $C$9, 100%, $E$9)</f>
        <v>41.671300000000002</v>
      </c>
      <c r="D641" s="14">
        <f>CHOOSE(CONTROL!$C$42, 41.9049, 41.9049) * CHOOSE(CONTROL!$C$21, $C$9, 100%, $E$9)</f>
        <v>41.904899999999998</v>
      </c>
      <c r="E641" s="14">
        <f>CHOOSE(CONTROL!$C$42, 41.9364, 41.9364) * CHOOSE(CONTROL!$C$21, $C$9, 100%, $E$9)</f>
        <v>41.936399999999999</v>
      </c>
      <c r="F641" s="14">
        <f>CHOOSE(CONTROL!$C$42, 41.6601, 41.6601)*CHOOSE(CONTROL!$C$21, $C$9, 100%, $E$9)</f>
        <v>41.6601</v>
      </c>
      <c r="G641" s="14">
        <f>CHOOSE(CONTROL!$C$42, 41.6764, 41.6764)*CHOOSE(CONTROL!$C$21, $C$9, 100%, $E$9)</f>
        <v>41.676400000000001</v>
      </c>
      <c r="H641" s="14">
        <f>CHOOSE(CONTROL!$C$42, 41.925, 41.925) * CHOOSE(CONTROL!$C$21, $C$9, 100%, $E$9)</f>
        <v>41.924999999999997</v>
      </c>
      <c r="I641" s="14">
        <f>CHOOSE(CONTROL!$C$42, 41.8097, 41.8097)* CHOOSE(CONTROL!$C$21, $C$9, 100%, $E$9)</f>
        <v>41.809699999999999</v>
      </c>
      <c r="J641" s="14">
        <f>CHOOSE(CONTROL!$C$42, 41.6531, 41.6531)* CHOOSE(CONTROL!$C$21, $C$9, 100%, $E$9)</f>
        <v>41.653100000000002</v>
      </c>
      <c r="K641" s="53">
        <f>CHOOSE(CONTROL!$C$42, 41.8058, 41.8058) * CHOOSE(CONTROL!$C$21, $C$9, 100%, $E$9)</f>
        <v>41.805799999999998</v>
      </c>
      <c r="L641" s="14">
        <f>CHOOSE(CONTROL!$C$42, 42.512, 42.512) * CHOOSE(CONTROL!$C$21, $C$9, 100%, $E$9)</f>
        <v>42.512</v>
      </c>
      <c r="M641" s="14">
        <f>CHOOSE(CONTROL!$C$42, 40.8073, 40.8073) * CHOOSE(CONTROL!$C$21, $C$9, 100%, $E$9)</f>
        <v>40.807299999999998</v>
      </c>
      <c r="N641" s="14">
        <f>CHOOSE(CONTROL!$C$42, 40.8234, 40.8234) * CHOOSE(CONTROL!$C$21, $C$9, 100%, $E$9)</f>
        <v>40.823399999999999</v>
      </c>
      <c r="O641" s="14">
        <f>CHOOSE(CONTROL!$C$42, 41.0737, 41.0737) * CHOOSE(CONTROL!$C$21, $C$9, 100%, $E$9)</f>
        <v>41.073700000000002</v>
      </c>
      <c r="P641" s="14">
        <f>CHOOSE(CONTROL!$C$42, 40.9582, 40.9582) * CHOOSE(CONTROL!$C$21, $C$9, 100%, $E$9)</f>
        <v>40.958199999999998</v>
      </c>
      <c r="Q641" s="14">
        <f>CHOOSE(CONTROL!$C$42, 41.6684, 41.6684) * CHOOSE(CONTROL!$C$21, $C$9, 100%, $E$9)</f>
        <v>41.668399999999998</v>
      </c>
      <c r="R641" s="14">
        <f>CHOOSE(CONTROL!$C$42, 42.3596, 42.3596) * CHOOSE(CONTROL!$C$21, $C$9, 100%, $E$9)</f>
        <v>42.3596</v>
      </c>
      <c r="S641" s="14">
        <f>CHOOSE(CONTROL!$C$42, 40.0237, 40.0237) * CHOOSE(CONTROL!$C$21, $C$9, 100%, $E$9)</f>
        <v>40.023699999999998</v>
      </c>
      <c r="T6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7">
        <f>(1000*CHOOSE(CONTROL!$C$42, 695, 695)*CHOOSE(CONTROL!$C$42, 0.5599, 0.5599)*CHOOSE(CONTROL!$C$42, 31, 31))/1000000</f>
        <v>12.063045499999998</v>
      </c>
      <c r="V641" s="57">
        <f>(1000*CHOOSE(CONTROL!$C$42, 500, 500)*CHOOSE(CONTROL!$C$42, 0.275, 0.275)*CHOOSE(CONTROL!$C$42, 31, 31))/1000000</f>
        <v>4.2625000000000002</v>
      </c>
      <c r="W641" s="57">
        <f>(1000*CHOOSE(CONTROL!$C$42, 0.1146, 0.1146)*CHOOSE(CONTROL!$C$42, 121.5, 121.5)*CHOOSE(CONTROL!$C$42, 31, 31))/1000000</f>
        <v>0.43164089999999994</v>
      </c>
      <c r="X641" s="57">
        <f>(31*0.1790888*245000/1000000)+(31*0.2374*100000/1000000)</f>
        <v>2.0961194359999999</v>
      </c>
      <c r="Y641" s="57"/>
      <c r="Z641" s="14"/>
      <c r="AA641" s="56"/>
      <c r="AB641" s="50">
        <f>(B641*194.205+C641*267.466+D641*133.845+E641*53.484+F641*40+G641*185+H641*0+I641*100+J641*300)/(194.205+267.466+133.845+53.484+0+40+185+100+300)</f>
        <v>41.712718100784933</v>
      </c>
      <c r="AC641" s="45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40.950681294964028</v>
      </c>
    </row>
    <row r="642" spans="1:29" ht="15.75" x14ac:dyDescent="0.25">
      <c r="A642" s="32">
        <v>60448</v>
      </c>
      <c r="B642" s="14">
        <f>CHOOSE(CONTROL!$C$42, 42.8448, 42.8448) * CHOOSE(CONTROL!$C$21, $C$9, 100%, $E$9)</f>
        <v>42.844799999999999</v>
      </c>
      <c r="C642" s="14">
        <f>CHOOSE(CONTROL!$C$42, 42.8528, 42.8528) * CHOOSE(CONTROL!$C$21, $C$9, 100%, $E$9)</f>
        <v>42.852800000000002</v>
      </c>
      <c r="D642" s="14">
        <f>CHOOSE(CONTROL!$C$42, 43.0864, 43.0864) * CHOOSE(CONTROL!$C$21, $C$9, 100%, $E$9)</f>
        <v>43.086399999999998</v>
      </c>
      <c r="E642" s="14">
        <f>CHOOSE(CONTROL!$C$42, 43.1179, 43.1179) * CHOOSE(CONTROL!$C$21, $C$9, 100%, $E$9)</f>
        <v>43.117899999999999</v>
      </c>
      <c r="F642" s="14">
        <f>CHOOSE(CONTROL!$C$42, 42.8421, 42.8421)*CHOOSE(CONTROL!$C$21, $C$9, 100%, $E$9)</f>
        <v>42.842100000000002</v>
      </c>
      <c r="G642" s="14">
        <f>CHOOSE(CONTROL!$C$42, 42.8585, 42.8585)*CHOOSE(CONTROL!$C$21, $C$9, 100%, $E$9)</f>
        <v>42.858499999999999</v>
      </c>
      <c r="H642" s="14">
        <f>CHOOSE(CONTROL!$C$42, 43.1065, 43.1065) * CHOOSE(CONTROL!$C$21, $C$9, 100%, $E$9)</f>
        <v>43.106499999999997</v>
      </c>
      <c r="I642" s="14">
        <f>CHOOSE(CONTROL!$C$42, 42.9949, 42.9949)* CHOOSE(CONTROL!$C$21, $C$9, 100%, $E$9)</f>
        <v>42.994900000000001</v>
      </c>
      <c r="J642" s="14">
        <f>CHOOSE(CONTROL!$C$42, 42.8351, 42.8351)* CHOOSE(CONTROL!$C$21, $C$9, 100%, $E$9)</f>
        <v>42.835099999999997</v>
      </c>
      <c r="K642" s="53">
        <f>CHOOSE(CONTROL!$C$42, 42.991, 42.991) * CHOOSE(CONTROL!$C$21, $C$9, 100%, $E$9)</f>
        <v>42.991</v>
      </c>
      <c r="L642" s="14">
        <f>CHOOSE(CONTROL!$C$42, 43.6935, 43.6935) * CHOOSE(CONTROL!$C$21, $C$9, 100%, $E$9)</f>
        <v>43.6935</v>
      </c>
      <c r="M642" s="14">
        <f>CHOOSE(CONTROL!$C$42, 41.9651, 41.9651) * CHOOSE(CONTROL!$C$21, $C$9, 100%, $E$9)</f>
        <v>41.9651</v>
      </c>
      <c r="N642" s="14">
        <f>CHOOSE(CONTROL!$C$42, 41.9812, 41.9812) * CHOOSE(CONTROL!$C$21, $C$9, 100%, $E$9)</f>
        <v>41.981200000000001</v>
      </c>
      <c r="O642" s="14">
        <f>CHOOSE(CONTROL!$C$42, 42.231, 42.231) * CHOOSE(CONTROL!$C$21, $C$9, 100%, $E$9)</f>
        <v>42.231000000000002</v>
      </c>
      <c r="P642" s="14">
        <f>CHOOSE(CONTROL!$C$42, 42.119, 42.119) * CHOOSE(CONTROL!$C$21, $C$9, 100%, $E$9)</f>
        <v>42.119</v>
      </c>
      <c r="Q642" s="14">
        <f>CHOOSE(CONTROL!$C$42, 42.8257, 42.8257) * CHOOSE(CONTROL!$C$21, $C$9, 100%, $E$9)</f>
        <v>42.825699999999998</v>
      </c>
      <c r="R642" s="14">
        <f>CHOOSE(CONTROL!$C$42, 43.5198, 43.5198) * CHOOSE(CONTROL!$C$21, $C$9, 100%, $E$9)</f>
        <v>43.519799999999996</v>
      </c>
      <c r="S642" s="14">
        <f>CHOOSE(CONTROL!$C$42, 41.1589, 41.1589) * CHOOSE(CONTROL!$C$21, $C$9, 100%, $E$9)</f>
        <v>41.158900000000003</v>
      </c>
      <c r="T6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7">
        <f>(1000*CHOOSE(CONTROL!$C$42, 695, 695)*CHOOSE(CONTROL!$C$42, 0.5599, 0.5599)*CHOOSE(CONTROL!$C$42, 30, 30))/1000000</f>
        <v>11.673914999999997</v>
      </c>
      <c r="V642" s="57">
        <f>(1000*CHOOSE(CONTROL!$C$42, 500, 500)*CHOOSE(CONTROL!$C$42, 0.275, 0.275)*CHOOSE(CONTROL!$C$42, 30, 30))/1000000</f>
        <v>4.125</v>
      </c>
      <c r="W642" s="57">
        <f>(1000*CHOOSE(CONTROL!$C$42, 0.1146, 0.1146)*CHOOSE(CONTROL!$C$42, 121.5, 121.5)*CHOOSE(CONTROL!$C$42, 30, 30))/1000000</f>
        <v>0.417717</v>
      </c>
      <c r="X642" s="57">
        <f>(30*0.1790888*245000/1000000)+(30*0.2374*100000/1000000)</f>
        <v>2.0285026799999999</v>
      </c>
      <c r="Y642" s="57"/>
      <c r="Z642" s="14"/>
      <c r="AA642" s="56"/>
      <c r="AB642" s="50">
        <f>(B642*194.205+C642*267.466+D642*133.845+E642*53.484+F642*40+G642*185+H642*0+I642*100+J642*300)/(194.205+267.466+133.845+53.484+0+40+185+100+300)</f>
        <v>42.894729089795916</v>
      </c>
      <c r="AC642" s="45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42.108686330935257</v>
      </c>
    </row>
    <row r="643" spans="1:29" ht="15.75" x14ac:dyDescent="0.25">
      <c r="A643" s="32">
        <v>60479</v>
      </c>
      <c r="B643" s="14">
        <f>CHOOSE(CONTROL!$C$42, 42.0231, 42.0231) * CHOOSE(CONTROL!$C$21, $C$9, 100%, $E$9)</f>
        <v>42.023099999999999</v>
      </c>
      <c r="C643" s="14">
        <f>CHOOSE(CONTROL!$C$42, 42.0311, 42.0311) * CHOOSE(CONTROL!$C$21, $C$9, 100%, $E$9)</f>
        <v>42.031100000000002</v>
      </c>
      <c r="D643" s="14">
        <f>CHOOSE(CONTROL!$C$42, 42.2647, 42.2647) * CHOOSE(CONTROL!$C$21, $C$9, 100%, $E$9)</f>
        <v>42.264699999999998</v>
      </c>
      <c r="E643" s="14">
        <f>CHOOSE(CONTROL!$C$42, 42.2962, 42.2962) * CHOOSE(CONTROL!$C$21, $C$9, 100%, $E$9)</f>
        <v>42.296199999999999</v>
      </c>
      <c r="F643" s="14">
        <f>CHOOSE(CONTROL!$C$42, 42.0209, 42.0209)*CHOOSE(CONTROL!$C$21, $C$9, 100%, $E$9)</f>
        <v>42.020899999999997</v>
      </c>
      <c r="G643" s="14">
        <f>CHOOSE(CONTROL!$C$42, 42.0375, 42.0375)*CHOOSE(CONTROL!$C$21, $C$9, 100%, $E$9)</f>
        <v>42.037500000000001</v>
      </c>
      <c r="H643" s="14">
        <f>CHOOSE(CONTROL!$C$42, 42.2848, 42.2848) * CHOOSE(CONTROL!$C$21, $C$9, 100%, $E$9)</f>
        <v>42.284799999999997</v>
      </c>
      <c r="I643" s="14">
        <f>CHOOSE(CONTROL!$C$42, 42.1706, 42.1706)* CHOOSE(CONTROL!$C$21, $C$9, 100%, $E$9)</f>
        <v>42.1706</v>
      </c>
      <c r="J643" s="14">
        <f>CHOOSE(CONTROL!$C$42, 42.0139, 42.0139)* CHOOSE(CONTROL!$C$21, $C$9, 100%, $E$9)</f>
        <v>42.0139</v>
      </c>
      <c r="K643" s="53">
        <f>CHOOSE(CONTROL!$C$42, 42.1667, 42.1667) * CHOOSE(CONTROL!$C$21, $C$9, 100%, $E$9)</f>
        <v>42.166699999999999</v>
      </c>
      <c r="L643" s="14">
        <f>CHOOSE(CONTROL!$C$42, 42.8718, 42.8718) * CHOOSE(CONTROL!$C$21, $C$9, 100%, $E$9)</f>
        <v>42.8718</v>
      </c>
      <c r="M643" s="14">
        <f>CHOOSE(CONTROL!$C$42, 41.1607, 41.1607) * CHOOSE(CONTROL!$C$21, $C$9, 100%, $E$9)</f>
        <v>41.160699999999999</v>
      </c>
      <c r="N643" s="14">
        <f>CHOOSE(CONTROL!$C$42, 41.177, 41.177) * CHOOSE(CONTROL!$C$21, $C$9, 100%, $E$9)</f>
        <v>41.177</v>
      </c>
      <c r="O643" s="14">
        <f>CHOOSE(CONTROL!$C$42, 41.4261, 41.4261) * CHOOSE(CONTROL!$C$21, $C$9, 100%, $E$9)</f>
        <v>41.426099999999998</v>
      </c>
      <c r="P643" s="14">
        <f>CHOOSE(CONTROL!$C$42, 41.3116, 41.3116) * CHOOSE(CONTROL!$C$21, $C$9, 100%, $E$9)</f>
        <v>41.311599999999999</v>
      </c>
      <c r="Q643" s="14">
        <f>CHOOSE(CONTROL!$C$42, 42.0208, 42.0208) * CHOOSE(CONTROL!$C$21, $C$9, 100%, $E$9)</f>
        <v>42.020800000000001</v>
      </c>
      <c r="R643" s="14">
        <f>CHOOSE(CONTROL!$C$42, 42.7129, 42.7129) * CHOOSE(CONTROL!$C$21, $C$9, 100%, $E$9)</f>
        <v>42.712899999999998</v>
      </c>
      <c r="S643" s="14">
        <f>CHOOSE(CONTROL!$C$42, 40.3693, 40.3693) * CHOOSE(CONTROL!$C$21, $C$9, 100%, $E$9)</f>
        <v>40.369300000000003</v>
      </c>
      <c r="T6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7">
        <f>(1000*CHOOSE(CONTROL!$C$42, 695, 695)*CHOOSE(CONTROL!$C$42, 0.5599, 0.5599)*CHOOSE(CONTROL!$C$42, 31, 31))/1000000</f>
        <v>12.063045499999998</v>
      </c>
      <c r="V643" s="57">
        <f>(1000*CHOOSE(CONTROL!$C$42, 500, 500)*CHOOSE(CONTROL!$C$42, 0.275, 0.275)*CHOOSE(CONTROL!$C$42, 31, 31))/1000000</f>
        <v>4.2625000000000002</v>
      </c>
      <c r="W643" s="57">
        <f>(1000*CHOOSE(CONTROL!$C$42, 0.1146, 0.1146)*CHOOSE(CONTROL!$C$42, 121.5, 121.5)*CHOOSE(CONTROL!$C$42, 31, 31))/1000000</f>
        <v>0.43164089999999994</v>
      </c>
      <c r="X643" s="57">
        <f>(31*0.1790888*245000/1000000)+(31*0.2374*100000/1000000)</f>
        <v>2.0961194359999999</v>
      </c>
      <c r="Y643" s="57"/>
      <c r="Z643" s="14"/>
      <c r="AA643" s="56"/>
      <c r="AB643" s="50">
        <f>(B643*194.205+C643*267.466+D643*133.845+E643*53.484+F643*40+G643*185+H643*0+I643*100+J643*300)/(194.205+267.466+133.845+53.484+0+40+185+100+300)</f>
        <v>42.073060094505493</v>
      </c>
      <c r="AC643" s="45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41.303639568345325</v>
      </c>
    </row>
    <row r="644" spans="1:29" ht="15.75" x14ac:dyDescent="0.25">
      <c r="A644" s="32">
        <v>60510</v>
      </c>
      <c r="B644" s="14">
        <f>CHOOSE(CONTROL!$C$42, 39.9479, 39.9479) * CHOOSE(CONTROL!$C$21, $C$9, 100%, $E$9)</f>
        <v>39.947899999999997</v>
      </c>
      <c r="C644" s="14">
        <f>CHOOSE(CONTROL!$C$42, 39.956, 39.956) * CHOOSE(CONTROL!$C$21, $C$9, 100%, $E$9)</f>
        <v>39.956000000000003</v>
      </c>
      <c r="D644" s="14">
        <f>CHOOSE(CONTROL!$C$42, 40.1896, 40.1896) * CHOOSE(CONTROL!$C$21, $C$9, 100%, $E$9)</f>
        <v>40.189599999999999</v>
      </c>
      <c r="E644" s="14">
        <f>CHOOSE(CONTROL!$C$42, 40.221, 40.221) * CHOOSE(CONTROL!$C$21, $C$9, 100%, $E$9)</f>
        <v>40.220999999999997</v>
      </c>
      <c r="F644" s="14">
        <f>CHOOSE(CONTROL!$C$42, 39.9459, 39.9459)*CHOOSE(CONTROL!$C$21, $C$9, 100%, $E$9)</f>
        <v>39.945900000000002</v>
      </c>
      <c r="G644" s="14">
        <f>CHOOSE(CONTROL!$C$42, 39.9626, 39.9626)*CHOOSE(CONTROL!$C$21, $C$9, 100%, $E$9)</f>
        <v>39.962600000000002</v>
      </c>
      <c r="H644" s="14">
        <f>CHOOSE(CONTROL!$C$42, 40.2097, 40.2097) * CHOOSE(CONTROL!$C$21, $C$9, 100%, $E$9)</f>
        <v>40.209699999999998</v>
      </c>
      <c r="I644" s="14">
        <f>CHOOSE(CONTROL!$C$42, 40.0889, 40.0889)* CHOOSE(CONTROL!$C$21, $C$9, 100%, $E$9)</f>
        <v>40.088900000000002</v>
      </c>
      <c r="J644" s="14">
        <f>CHOOSE(CONTROL!$C$42, 39.9389, 39.9389)* CHOOSE(CONTROL!$C$21, $C$9, 100%, $E$9)</f>
        <v>39.938899999999997</v>
      </c>
      <c r="K644" s="53">
        <f>CHOOSE(CONTROL!$C$42, 40.085, 40.085) * CHOOSE(CONTROL!$C$21, $C$9, 100%, $E$9)</f>
        <v>40.085000000000001</v>
      </c>
      <c r="L644" s="14">
        <f>CHOOSE(CONTROL!$C$42, 40.7967, 40.7967) * CHOOSE(CONTROL!$C$21, $C$9, 100%, $E$9)</f>
        <v>40.796700000000001</v>
      </c>
      <c r="M644" s="14">
        <f>CHOOSE(CONTROL!$C$42, 39.1283, 39.1283) * CHOOSE(CONTROL!$C$21, $C$9, 100%, $E$9)</f>
        <v>39.128300000000003</v>
      </c>
      <c r="N644" s="14">
        <f>CHOOSE(CONTROL!$C$42, 39.1446, 39.1446) * CHOOSE(CONTROL!$C$21, $C$9, 100%, $E$9)</f>
        <v>39.144599999999997</v>
      </c>
      <c r="O644" s="14">
        <f>CHOOSE(CONTROL!$C$42, 39.3935, 39.3935) * CHOOSE(CONTROL!$C$21, $C$9, 100%, $E$9)</f>
        <v>39.393500000000003</v>
      </c>
      <c r="P644" s="14">
        <f>CHOOSE(CONTROL!$C$42, 39.2728, 39.2728) * CHOOSE(CONTROL!$C$21, $C$9, 100%, $E$9)</f>
        <v>39.272799999999997</v>
      </c>
      <c r="Q644" s="14">
        <f>CHOOSE(CONTROL!$C$42, 39.9882, 39.9882) * CHOOSE(CONTROL!$C$21, $C$9, 100%, $E$9)</f>
        <v>39.988199999999999</v>
      </c>
      <c r="R644" s="14">
        <f>CHOOSE(CONTROL!$C$42, 40.6752, 40.6752) * CHOOSE(CONTROL!$C$21, $C$9, 100%, $E$9)</f>
        <v>40.675199999999997</v>
      </c>
      <c r="S644" s="14">
        <f>CHOOSE(CONTROL!$C$42, 38.3753, 38.3753) * CHOOSE(CONTROL!$C$21, $C$9, 100%, $E$9)</f>
        <v>38.375300000000003</v>
      </c>
      <c r="T6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7">
        <f>(1000*CHOOSE(CONTROL!$C$42, 695, 695)*CHOOSE(CONTROL!$C$42, 0.5599, 0.5599)*CHOOSE(CONTROL!$C$42, 31, 31))/1000000</f>
        <v>12.063045499999998</v>
      </c>
      <c r="V644" s="57">
        <f>(1000*CHOOSE(CONTROL!$C$42, 500, 500)*CHOOSE(CONTROL!$C$42, 0.275, 0.275)*CHOOSE(CONTROL!$C$42, 31, 31))/1000000</f>
        <v>4.2625000000000002</v>
      </c>
      <c r="W644" s="57">
        <f>(1000*CHOOSE(CONTROL!$C$42, 0.1146, 0.1146)*CHOOSE(CONTROL!$C$42, 121.5, 121.5)*CHOOSE(CONTROL!$C$42, 31, 31))/1000000</f>
        <v>0.43164089999999994</v>
      </c>
      <c r="X644" s="57">
        <f>(31*0.1790888*245000/1000000)+(31*0.2374*100000/1000000)</f>
        <v>2.0961194359999999</v>
      </c>
      <c r="Y644" s="57"/>
      <c r="Z644" s="14"/>
      <c r="AA644" s="56"/>
      <c r="AB644" s="50">
        <f>(B644*194.205+C644*267.466+D644*133.845+E644*53.484+F644*40+G644*185+H644*0+I644*100+J644*300)/(194.205+267.466+133.845+53.484+0+40+185+100+300)</f>
        <v>39.997478329277861</v>
      </c>
      <c r="AC644" s="45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39.270228057553958</v>
      </c>
    </row>
    <row r="645" spans="1:29" ht="15.75" x14ac:dyDescent="0.25">
      <c r="A645" s="32">
        <v>60540</v>
      </c>
      <c r="B645" s="14">
        <f>CHOOSE(CONTROL!$C$42, 37.4121, 37.4121) * CHOOSE(CONTROL!$C$21, $C$9, 100%, $E$9)</f>
        <v>37.412100000000002</v>
      </c>
      <c r="C645" s="14">
        <f>CHOOSE(CONTROL!$C$42, 37.4201, 37.4201) * CHOOSE(CONTROL!$C$21, $C$9, 100%, $E$9)</f>
        <v>37.420099999999998</v>
      </c>
      <c r="D645" s="14">
        <f>CHOOSE(CONTROL!$C$42, 37.6537, 37.6537) * CHOOSE(CONTROL!$C$21, $C$9, 100%, $E$9)</f>
        <v>37.653700000000001</v>
      </c>
      <c r="E645" s="14">
        <f>CHOOSE(CONTROL!$C$42, 37.6851, 37.6851) * CHOOSE(CONTROL!$C$21, $C$9, 100%, $E$9)</f>
        <v>37.685099999999998</v>
      </c>
      <c r="F645" s="14">
        <f>CHOOSE(CONTROL!$C$42, 37.4101, 37.4101)*CHOOSE(CONTROL!$C$21, $C$9, 100%, $E$9)</f>
        <v>37.4101</v>
      </c>
      <c r="G645" s="14">
        <f>CHOOSE(CONTROL!$C$42, 37.4267, 37.4267)*CHOOSE(CONTROL!$C$21, $C$9, 100%, $E$9)</f>
        <v>37.426699999999997</v>
      </c>
      <c r="H645" s="14">
        <f>CHOOSE(CONTROL!$C$42, 37.6738, 37.6738) * CHOOSE(CONTROL!$C$21, $C$9, 100%, $E$9)</f>
        <v>37.6738</v>
      </c>
      <c r="I645" s="14">
        <f>CHOOSE(CONTROL!$C$42, 37.5451, 37.5451)* CHOOSE(CONTROL!$C$21, $C$9, 100%, $E$9)</f>
        <v>37.545099999999998</v>
      </c>
      <c r="J645" s="14">
        <f>CHOOSE(CONTROL!$C$42, 37.4031, 37.4031)* CHOOSE(CONTROL!$C$21, $C$9, 100%, $E$9)</f>
        <v>37.403100000000002</v>
      </c>
      <c r="K645" s="53">
        <f>CHOOSE(CONTROL!$C$42, 37.5412, 37.5412) * CHOOSE(CONTROL!$C$21, $C$9, 100%, $E$9)</f>
        <v>37.541200000000003</v>
      </c>
      <c r="L645" s="14">
        <f>CHOOSE(CONTROL!$C$42, 38.2608, 38.2608) * CHOOSE(CONTROL!$C$21, $C$9, 100%, $E$9)</f>
        <v>38.260800000000003</v>
      </c>
      <c r="M645" s="14">
        <f>CHOOSE(CONTROL!$C$42, 36.6444, 36.6444) * CHOOSE(CONTROL!$C$21, $C$9, 100%, $E$9)</f>
        <v>36.644399999999997</v>
      </c>
      <c r="N645" s="14">
        <f>CHOOSE(CONTROL!$C$42, 36.6607, 36.6607) * CHOOSE(CONTROL!$C$21, $C$9, 100%, $E$9)</f>
        <v>36.660699999999999</v>
      </c>
      <c r="O645" s="14">
        <f>CHOOSE(CONTROL!$C$42, 36.9096, 36.9096) * CHOOSE(CONTROL!$C$21, $C$9, 100%, $E$9)</f>
        <v>36.909599999999998</v>
      </c>
      <c r="P645" s="14">
        <f>CHOOSE(CONTROL!$C$42, 36.7812, 36.7812) * CHOOSE(CONTROL!$C$21, $C$9, 100%, $E$9)</f>
        <v>36.781199999999998</v>
      </c>
      <c r="Q645" s="14">
        <f>CHOOSE(CONTROL!$C$42, 37.5043, 37.5043) * CHOOSE(CONTROL!$C$21, $C$9, 100%, $E$9)</f>
        <v>37.504300000000001</v>
      </c>
      <c r="R645" s="14">
        <f>CHOOSE(CONTROL!$C$42, 38.185, 38.185) * CHOOSE(CONTROL!$C$21, $C$9, 100%, $E$9)</f>
        <v>38.185000000000002</v>
      </c>
      <c r="S645" s="14">
        <f>CHOOSE(CONTROL!$C$42, 35.9386, 35.9386) * CHOOSE(CONTROL!$C$21, $C$9, 100%, $E$9)</f>
        <v>35.938600000000001</v>
      </c>
      <c r="T6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7">
        <f>(1000*CHOOSE(CONTROL!$C$42, 695, 695)*CHOOSE(CONTROL!$C$42, 0.5599, 0.5599)*CHOOSE(CONTROL!$C$42, 30, 30))/1000000</f>
        <v>11.673914999999997</v>
      </c>
      <c r="V645" s="57">
        <f>(1000*CHOOSE(CONTROL!$C$42, 500, 500)*CHOOSE(CONTROL!$C$42, 0.275, 0.275)*CHOOSE(CONTROL!$C$42, 30, 30))/1000000</f>
        <v>4.125</v>
      </c>
      <c r="W645" s="57">
        <f>(1000*CHOOSE(CONTROL!$C$42, 0.1146, 0.1146)*CHOOSE(CONTROL!$C$42, 121.5, 121.5)*CHOOSE(CONTROL!$C$42, 30, 30))/1000000</f>
        <v>0.417717</v>
      </c>
      <c r="X645" s="57">
        <f>(30*0.1790888*245000/1000000)+(30*0.2374*100000/1000000)</f>
        <v>2.0285026799999999</v>
      </c>
      <c r="Y645" s="57"/>
      <c r="Z645" s="14"/>
      <c r="AA645" s="56"/>
      <c r="AB645" s="50">
        <f>(B645*194.205+C645*267.466+D645*133.845+E645*53.484+F645*40+G645*185+H645*0+I645*100+J645*300)/(194.205+267.466+133.845+53.484+0+40+185+100+300)</f>
        <v>37.461000166405022</v>
      </c>
      <c r="AC645" s="45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36.785220143884892</v>
      </c>
    </row>
    <row r="646" spans="1:29" ht="15.75" x14ac:dyDescent="0.25">
      <c r="A646" s="32">
        <v>60571</v>
      </c>
      <c r="B646" s="14">
        <f>CHOOSE(CONTROL!$C$42, 36.6509, 36.6509) * CHOOSE(CONTROL!$C$21, $C$9, 100%, $E$9)</f>
        <v>36.6509</v>
      </c>
      <c r="C646" s="14">
        <f>CHOOSE(CONTROL!$C$42, 36.6562, 36.6562) * CHOOSE(CONTROL!$C$21, $C$9, 100%, $E$9)</f>
        <v>36.656199999999998</v>
      </c>
      <c r="D646" s="14">
        <f>CHOOSE(CONTROL!$C$42, 36.8948, 36.8948) * CHOOSE(CONTROL!$C$21, $C$9, 100%, $E$9)</f>
        <v>36.894799999999996</v>
      </c>
      <c r="E646" s="14">
        <f>CHOOSE(CONTROL!$C$42, 36.9239, 36.9239) * CHOOSE(CONTROL!$C$21, $C$9, 100%, $E$9)</f>
        <v>36.923900000000003</v>
      </c>
      <c r="F646" s="14">
        <f>CHOOSE(CONTROL!$C$42, 36.6509, 36.6509)*CHOOSE(CONTROL!$C$21, $C$9, 100%, $E$9)</f>
        <v>36.6509</v>
      </c>
      <c r="G646" s="14">
        <f>CHOOSE(CONTROL!$C$42, 36.6672, 36.6672)*CHOOSE(CONTROL!$C$21, $C$9, 100%, $E$9)</f>
        <v>36.667200000000001</v>
      </c>
      <c r="H646" s="14">
        <f>CHOOSE(CONTROL!$C$42, 36.9144, 36.9144) * CHOOSE(CONTROL!$C$21, $C$9, 100%, $E$9)</f>
        <v>36.914400000000001</v>
      </c>
      <c r="I646" s="14">
        <f>CHOOSE(CONTROL!$C$42, 36.7834, 36.7834)* CHOOSE(CONTROL!$C$21, $C$9, 100%, $E$9)</f>
        <v>36.7834</v>
      </c>
      <c r="J646" s="14">
        <f>CHOOSE(CONTROL!$C$42, 36.6439, 36.6439)* CHOOSE(CONTROL!$C$21, $C$9, 100%, $E$9)</f>
        <v>36.643900000000002</v>
      </c>
      <c r="K646" s="53">
        <f>CHOOSE(CONTROL!$C$42, 36.7795, 36.7795) * CHOOSE(CONTROL!$C$21, $C$9, 100%, $E$9)</f>
        <v>36.779499999999999</v>
      </c>
      <c r="L646" s="14">
        <f>CHOOSE(CONTROL!$C$42, 37.5014, 37.5014) * CHOOSE(CONTROL!$C$21, $C$9, 100%, $E$9)</f>
        <v>37.501399999999997</v>
      </c>
      <c r="M646" s="14">
        <f>CHOOSE(CONTROL!$C$42, 35.9008, 35.9008) * CHOOSE(CONTROL!$C$21, $C$9, 100%, $E$9)</f>
        <v>35.900799999999997</v>
      </c>
      <c r="N646" s="14">
        <f>CHOOSE(CONTROL!$C$42, 35.9168, 35.9168) * CHOOSE(CONTROL!$C$21, $C$9, 100%, $E$9)</f>
        <v>35.916800000000002</v>
      </c>
      <c r="O646" s="14">
        <f>CHOOSE(CONTROL!$C$42, 36.1657, 36.1657) * CHOOSE(CONTROL!$C$21, $C$9, 100%, $E$9)</f>
        <v>36.165700000000001</v>
      </c>
      <c r="P646" s="14">
        <f>CHOOSE(CONTROL!$C$42, 36.0352, 36.0352) * CHOOSE(CONTROL!$C$21, $C$9, 100%, $E$9)</f>
        <v>36.035200000000003</v>
      </c>
      <c r="Q646" s="14">
        <f>CHOOSE(CONTROL!$C$42, 36.7604, 36.7604) * CHOOSE(CONTROL!$C$21, $C$9, 100%, $E$9)</f>
        <v>36.760399999999997</v>
      </c>
      <c r="R646" s="14">
        <f>CHOOSE(CONTROL!$C$42, 37.4393, 37.4393) * CHOOSE(CONTROL!$C$21, $C$9, 100%, $E$9)</f>
        <v>37.439300000000003</v>
      </c>
      <c r="S646" s="14">
        <f>CHOOSE(CONTROL!$C$42, 35.2089, 35.2089) * CHOOSE(CONTROL!$C$21, $C$9, 100%, $E$9)</f>
        <v>35.2089</v>
      </c>
      <c r="T6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7">
        <f>(1000*CHOOSE(CONTROL!$C$42, 695, 695)*CHOOSE(CONTROL!$C$42, 0.5599, 0.5599)*CHOOSE(CONTROL!$C$42, 31, 31))/1000000</f>
        <v>12.063045499999998</v>
      </c>
      <c r="V646" s="57">
        <f>(1000*CHOOSE(CONTROL!$C$42, 500, 500)*CHOOSE(CONTROL!$C$42, 0.275, 0.275)*CHOOSE(CONTROL!$C$42, 31, 31))/1000000</f>
        <v>4.2625000000000002</v>
      </c>
      <c r="W646" s="57">
        <f>(1000*CHOOSE(CONTROL!$C$42, 0.1146, 0.1146)*CHOOSE(CONTROL!$C$42, 121.5, 121.5)*CHOOSE(CONTROL!$C$42, 31, 31))/1000000</f>
        <v>0.43164089999999994</v>
      </c>
      <c r="X646" s="57">
        <f>(31*0.1790888*245000/1000000)+(31*0.2374*100000/1000000)</f>
        <v>2.0961194359999999</v>
      </c>
      <c r="Y646" s="57"/>
      <c r="Z646" s="14"/>
      <c r="AA646" s="56"/>
      <c r="AB646" s="50">
        <f>(B646*131.881+C646*277.167+D646*79.08+E646*125.872+F646*40+G646*185+H646*0+I646*100+J646*300)/(131.881+277.167+79.08+125.872+0+40+185+100+300)</f>
        <v>36.706820220419694</v>
      </c>
      <c r="AC646" s="45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36.041121582733815</v>
      </c>
    </row>
    <row r="647" spans="1:29" ht="15.75" x14ac:dyDescent="0.25">
      <c r="A647" s="32">
        <v>60601</v>
      </c>
      <c r="B647" s="14">
        <f>CHOOSE(CONTROL!$C$42, 37.6158, 37.6158) * CHOOSE(CONTROL!$C$21, $C$9, 100%, $E$9)</f>
        <v>37.6158</v>
      </c>
      <c r="C647" s="14">
        <f>CHOOSE(CONTROL!$C$42, 37.6209, 37.6209) * CHOOSE(CONTROL!$C$21, $C$9, 100%, $E$9)</f>
        <v>37.620899999999999</v>
      </c>
      <c r="D647" s="14">
        <f>CHOOSE(CONTROL!$C$42, 37.6951, 37.6951) * CHOOSE(CONTROL!$C$21, $C$9, 100%, $E$9)</f>
        <v>37.695099999999996</v>
      </c>
      <c r="E647" s="14">
        <f>CHOOSE(CONTROL!$C$42, 37.7292, 37.7292) * CHOOSE(CONTROL!$C$21, $C$9, 100%, $E$9)</f>
        <v>37.729199999999999</v>
      </c>
      <c r="F647" s="14">
        <f>CHOOSE(CONTROL!$C$42, 37.6279, 37.6279)*CHOOSE(CONTROL!$C$21, $C$9, 100%, $E$9)</f>
        <v>37.627899999999997</v>
      </c>
      <c r="G647" s="14">
        <f>CHOOSE(CONTROL!$C$42, 37.6444, 37.6444)*CHOOSE(CONTROL!$C$21, $C$9, 100%, $E$9)</f>
        <v>37.644399999999997</v>
      </c>
      <c r="H647" s="14">
        <f>CHOOSE(CONTROL!$C$42, 37.7184, 37.7184) * CHOOSE(CONTROL!$C$21, $C$9, 100%, $E$9)</f>
        <v>37.718400000000003</v>
      </c>
      <c r="I647" s="14">
        <f>CHOOSE(CONTROL!$C$42, 37.7579, 37.7579)* CHOOSE(CONTROL!$C$21, $C$9, 100%, $E$9)</f>
        <v>37.757899999999999</v>
      </c>
      <c r="J647" s="14">
        <f>CHOOSE(CONTROL!$C$42, 37.6209, 37.6209)* CHOOSE(CONTROL!$C$21, $C$9, 100%, $E$9)</f>
        <v>37.620899999999999</v>
      </c>
      <c r="K647" s="53">
        <f>CHOOSE(CONTROL!$C$42, 37.754, 37.754) * CHOOSE(CONTROL!$C$21, $C$9, 100%, $E$9)</f>
        <v>37.753999999999998</v>
      </c>
      <c r="L647" s="14">
        <f>CHOOSE(CONTROL!$C$42, 38.3054, 38.3054) * CHOOSE(CONTROL!$C$21, $C$9, 100%, $E$9)</f>
        <v>38.305399999999999</v>
      </c>
      <c r="M647" s="14">
        <f>CHOOSE(CONTROL!$C$42, 36.8577, 36.8577) * CHOOSE(CONTROL!$C$21, $C$9, 100%, $E$9)</f>
        <v>36.857700000000001</v>
      </c>
      <c r="N647" s="14">
        <f>CHOOSE(CONTROL!$C$42, 36.874, 36.874) * CHOOSE(CONTROL!$C$21, $C$9, 100%, $E$9)</f>
        <v>36.874000000000002</v>
      </c>
      <c r="O647" s="14">
        <f>CHOOSE(CONTROL!$C$42, 36.9533, 36.9533) * CHOOSE(CONTROL!$C$21, $C$9, 100%, $E$9)</f>
        <v>36.953299999999999</v>
      </c>
      <c r="P647" s="14">
        <f>CHOOSE(CONTROL!$C$42, 36.9897, 36.9897) * CHOOSE(CONTROL!$C$21, $C$9, 100%, $E$9)</f>
        <v>36.989699999999999</v>
      </c>
      <c r="Q647" s="14">
        <f>CHOOSE(CONTROL!$C$42, 37.548, 37.548) * CHOOSE(CONTROL!$C$21, $C$9, 100%, $E$9)</f>
        <v>37.548000000000002</v>
      </c>
      <c r="R647" s="14">
        <f>CHOOSE(CONTROL!$C$42, 38.2288, 38.2288) * CHOOSE(CONTROL!$C$21, $C$9, 100%, $E$9)</f>
        <v>38.2288</v>
      </c>
      <c r="S647" s="14">
        <f>CHOOSE(CONTROL!$C$42, 36.1365, 36.1365) * CHOOSE(CONTROL!$C$21, $C$9, 100%, $E$9)</f>
        <v>36.136499999999998</v>
      </c>
      <c r="T6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7">
        <f>(1000*CHOOSE(CONTROL!$C$42, 695, 695)*CHOOSE(CONTROL!$C$42, 0.5599, 0.5599)*CHOOSE(CONTROL!$C$42, 30, 30))/1000000</f>
        <v>11.673914999999997</v>
      </c>
      <c r="V647" s="57">
        <f>(1000*CHOOSE(CONTROL!$C$42, 500, 500)*CHOOSE(CONTROL!$C$42, 0.275, 0.275)*CHOOSE(CONTROL!$C$42, 30, 30))/1000000</f>
        <v>4.125</v>
      </c>
      <c r="W647" s="57">
        <f>(1000*CHOOSE(CONTROL!$C$42, 0.1146, 0.1146)*CHOOSE(CONTROL!$C$42, 121.5, 121.5)*CHOOSE(CONTROL!$C$42, 30, 30))/1000000</f>
        <v>0.417717</v>
      </c>
      <c r="X647" s="57">
        <f>(30*0.1790888*100000/1000000)+(30*0.2374*100000/1000000)</f>
        <v>1.2494664</v>
      </c>
      <c r="Y647" s="57"/>
      <c r="Z647" s="14"/>
      <c r="AA647" s="56"/>
      <c r="AB647" s="50">
        <f>(B647*122.58+C647*297.941+D647*89.177+E647*40.302+F647*40+G647*160+H647*0+I647*100+J647*300)/(122.58+297.941+89.177+40.302+0+40+160+100+300)</f>
        <v>37.645331723478257</v>
      </c>
      <c r="AC647" s="45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36.920960431654677</v>
      </c>
    </row>
    <row r="648" spans="1:29" ht="15.75" x14ac:dyDescent="0.25">
      <c r="A648" s="32">
        <v>60632</v>
      </c>
      <c r="B648" s="14">
        <f>CHOOSE(CONTROL!$C$42, 40.1798, 40.1798) * CHOOSE(CONTROL!$C$21, $C$9, 100%, $E$9)</f>
        <v>40.1798</v>
      </c>
      <c r="C648" s="14">
        <f>CHOOSE(CONTROL!$C$42, 40.1848, 40.1848) * CHOOSE(CONTROL!$C$21, $C$9, 100%, $E$9)</f>
        <v>40.184800000000003</v>
      </c>
      <c r="D648" s="14">
        <f>CHOOSE(CONTROL!$C$42, 40.259, 40.259) * CHOOSE(CONTROL!$C$21, $C$9, 100%, $E$9)</f>
        <v>40.259</v>
      </c>
      <c r="E648" s="14">
        <f>CHOOSE(CONTROL!$C$42, 40.2932, 40.2932) * CHOOSE(CONTROL!$C$21, $C$9, 100%, $E$9)</f>
        <v>40.293199999999999</v>
      </c>
      <c r="F648" s="14">
        <f>CHOOSE(CONTROL!$C$42, 40.194, 40.194)*CHOOSE(CONTROL!$C$21, $C$9, 100%, $E$9)</f>
        <v>40.194000000000003</v>
      </c>
      <c r="G648" s="14">
        <f>CHOOSE(CONTROL!$C$42, 40.2112, 40.2112)*CHOOSE(CONTROL!$C$21, $C$9, 100%, $E$9)</f>
        <v>40.211199999999998</v>
      </c>
      <c r="H648" s="14">
        <f>CHOOSE(CONTROL!$C$42, 40.2824, 40.2824) * CHOOSE(CONTROL!$C$21, $C$9, 100%, $E$9)</f>
        <v>40.282400000000003</v>
      </c>
      <c r="I648" s="14">
        <f>CHOOSE(CONTROL!$C$42, 40.3299, 40.3299)* CHOOSE(CONTROL!$C$21, $C$9, 100%, $E$9)</f>
        <v>40.329900000000002</v>
      </c>
      <c r="J648" s="14">
        <f>CHOOSE(CONTROL!$C$42, 40.187, 40.187)* CHOOSE(CONTROL!$C$21, $C$9, 100%, $E$9)</f>
        <v>40.186999999999998</v>
      </c>
      <c r="K648" s="53">
        <f>CHOOSE(CONTROL!$C$42, 40.326, 40.326) * CHOOSE(CONTROL!$C$21, $C$9, 100%, $E$9)</f>
        <v>40.326000000000001</v>
      </c>
      <c r="L648" s="14">
        <f>CHOOSE(CONTROL!$C$42, 40.8694, 40.8694) * CHOOSE(CONTROL!$C$21, $C$9, 100%, $E$9)</f>
        <v>40.869399999999999</v>
      </c>
      <c r="M648" s="14">
        <f>CHOOSE(CONTROL!$C$42, 39.3713, 39.3713) * CHOOSE(CONTROL!$C$21, $C$9, 100%, $E$9)</f>
        <v>39.371299999999998</v>
      </c>
      <c r="N648" s="14">
        <f>CHOOSE(CONTROL!$C$42, 39.3881, 39.3881) * CHOOSE(CONTROL!$C$21, $C$9, 100%, $E$9)</f>
        <v>39.388100000000001</v>
      </c>
      <c r="O648" s="14">
        <f>CHOOSE(CONTROL!$C$42, 39.4647, 39.4647) * CHOOSE(CONTROL!$C$21, $C$9, 100%, $E$9)</f>
        <v>39.464700000000001</v>
      </c>
      <c r="P648" s="14">
        <f>CHOOSE(CONTROL!$C$42, 39.5088, 39.5088) * CHOOSE(CONTROL!$C$21, $C$9, 100%, $E$9)</f>
        <v>39.508800000000001</v>
      </c>
      <c r="Q648" s="14">
        <f>CHOOSE(CONTROL!$C$42, 40.0594, 40.0594) * CHOOSE(CONTROL!$C$21, $C$9, 100%, $E$9)</f>
        <v>40.059399999999997</v>
      </c>
      <c r="R648" s="14">
        <f>CHOOSE(CONTROL!$C$42, 40.7465, 40.7465) * CHOOSE(CONTROL!$C$21, $C$9, 100%, $E$9)</f>
        <v>40.746499999999997</v>
      </c>
      <c r="S648" s="14">
        <f>CHOOSE(CONTROL!$C$42, 38.6002, 38.6002) * CHOOSE(CONTROL!$C$21, $C$9, 100%, $E$9)</f>
        <v>38.600200000000001</v>
      </c>
      <c r="T6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7">
        <f>(1000*CHOOSE(CONTROL!$C$42, 695, 695)*CHOOSE(CONTROL!$C$42, 0.5599, 0.5599)*CHOOSE(CONTROL!$C$42, 31, 31))/1000000</f>
        <v>12.063045499999998</v>
      </c>
      <c r="V648" s="57">
        <f>(1000*CHOOSE(CONTROL!$C$42, 500, 500)*CHOOSE(CONTROL!$C$42, 0.275, 0.275)*CHOOSE(CONTROL!$C$42, 31, 31))/1000000</f>
        <v>4.2625000000000002</v>
      </c>
      <c r="W648" s="57">
        <f>(1000*CHOOSE(CONTROL!$C$42, 0.1146, 0.1146)*CHOOSE(CONTROL!$C$42, 121.5, 121.5)*CHOOSE(CONTROL!$C$42, 31, 31))/1000000</f>
        <v>0.43164089999999994</v>
      </c>
      <c r="X648" s="57">
        <f>(31*0.1790888*100000/1000000)+(31*0.2374*100000/1000000)</f>
        <v>1.2911152800000001</v>
      </c>
      <c r="Y648" s="57"/>
      <c r="Z648" s="14"/>
      <c r="AA648" s="56"/>
      <c r="AB648" s="50">
        <f>(B648*122.58+C648*297.941+D648*89.177+E648*40.302+F648*40+G648*160+H648*0+I648*100+J648*300)/(122.58+297.941+89.177+40.302+0+40+160+100+300)</f>
        <v>40.211004147999994</v>
      </c>
      <c r="AC648" s="45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39.434383453237409</v>
      </c>
    </row>
    <row r="649" spans="1:29" ht="15.75" x14ac:dyDescent="0.25">
      <c r="A649" s="32">
        <v>60663</v>
      </c>
      <c r="B649" s="14">
        <f>CHOOSE(CONTROL!$C$42, 43.5099, 43.5099) * CHOOSE(CONTROL!$C$21, $C$9, 100%, $E$9)</f>
        <v>43.509900000000002</v>
      </c>
      <c r="C649" s="14">
        <f>CHOOSE(CONTROL!$C$42, 43.515, 43.515) * CHOOSE(CONTROL!$C$21, $C$9, 100%, $E$9)</f>
        <v>43.515000000000001</v>
      </c>
      <c r="D649" s="14">
        <f>CHOOSE(CONTROL!$C$42, 43.5918, 43.5918) * CHOOSE(CONTROL!$C$21, $C$9, 100%, $E$9)</f>
        <v>43.591799999999999</v>
      </c>
      <c r="E649" s="14">
        <f>CHOOSE(CONTROL!$C$42, 43.6259, 43.6259) * CHOOSE(CONTROL!$C$21, $C$9, 100%, $E$9)</f>
        <v>43.625900000000001</v>
      </c>
      <c r="F649" s="14">
        <f>CHOOSE(CONTROL!$C$42, 43.5101, 43.5101)*CHOOSE(CONTROL!$C$21, $C$9, 100%, $E$9)</f>
        <v>43.510100000000001</v>
      </c>
      <c r="G649" s="14">
        <f>CHOOSE(CONTROL!$C$42, 43.5263, 43.5263)*CHOOSE(CONTROL!$C$21, $C$9, 100%, $E$9)</f>
        <v>43.526299999999999</v>
      </c>
      <c r="H649" s="14">
        <f>CHOOSE(CONTROL!$C$42, 43.6151, 43.6151) * CHOOSE(CONTROL!$C$21, $C$9, 100%, $E$9)</f>
        <v>43.615099999999998</v>
      </c>
      <c r="I649" s="14">
        <f>CHOOSE(CONTROL!$C$42, 43.6642, 43.6642)* CHOOSE(CONTROL!$C$21, $C$9, 100%, $E$9)</f>
        <v>43.664200000000001</v>
      </c>
      <c r="J649" s="14">
        <f>CHOOSE(CONTROL!$C$42, 43.5031, 43.5031)* CHOOSE(CONTROL!$C$21, $C$9, 100%, $E$9)</f>
        <v>43.503100000000003</v>
      </c>
      <c r="K649" s="53">
        <f>CHOOSE(CONTROL!$C$42, 43.6603, 43.6603) * CHOOSE(CONTROL!$C$21, $C$9, 100%, $E$9)</f>
        <v>43.660299999999999</v>
      </c>
      <c r="L649" s="14">
        <f>CHOOSE(CONTROL!$C$42, 44.2021, 44.2021) * CHOOSE(CONTROL!$C$21, $C$9, 100%, $E$9)</f>
        <v>44.202100000000002</v>
      </c>
      <c r="M649" s="14">
        <f>CHOOSE(CONTROL!$C$42, 42.6194, 42.6194) * CHOOSE(CONTROL!$C$21, $C$9, 100%, $E$9)</f>
        <v>42.619399999999999</v>
      </c>
      <c r="N649" s="14">
        <f>CHOOSE(CONTROL!$C$42, 42.6353, 42.6353) * CHOOSE(CONTROL!$C$21, $C$9, 100%, $E$9)</f>
        <v>42.635300000000001</v>
      </c>
      <c r="O649" s="14">
        <f>CHOOSE(CONTROL!$C$42, 42.7291, 42.7291) * CHOOSE(CONTROL!$C$21, $C$9, 100%, $E$9)</f>
        <v>42.729100000000003</v>
      </c>
      <c r="P649" s="14">
        <f>CHOOSE(CONTROL!$C$42, 42.7746, 42.7746) * CHOOSE(CONTROL!$C$21, $C$9, 100%, $E$9)</f>
        <v>42.7746</v>
      </c>
      <c r="Q649" s="14">
        <f>CHOOSE(CONTROL!$C$42, 43.3238, 43.3238) * CHOOSE(CONTROL!$C$21, $C$9, 100%, $E$9)</f>
        <v>43.323799999999999</v>
      </c>
      <c r="R649" s="14">
        <f>CHOOSE(CONTROL!$C$42, 44.0191, 44.0191) * CHOOSE(CONTROL!$C$21, $C$9, 100%, $E$9)</f>
        <v>44.019100000000002</v>
      </c>
      <c r="S649" s="14">
        <f>CHOOSE(CONTROL!$C$42, 41.8001, 41.8001) * CHOOSE(CONTROL!$C$21, $C$9, 100%, $E$9)</f>
        <v>41.8001</v>
      </c>
      <c r="T6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7">
        <f>(1000*CHOOSE(CONTROL!$C$42, 695, 695)*CHOOSE(CONTROL!$C$42, 0.5599, 0.5599)*CHOOSE(CONTROL!$C$42, 31, 31))/1000000</f>
        <v>12.063045499999998</v>
      </c>
      <c r="V649" s="57">
        <f>(1000*CHOOSE(CONTROL!$C$42, 500, 500)*CHOOSE(CONTROL!$C$42, 0.275, 0.275)*CHOOSE(CONTROL!$C$42, 31, 31))/1000000</f>
        <v>4.2625000000000002</v>
      </c>
      <c r="W649" s="57">
        <f>(1000*CHOOSE(CONTROL!$C$42, 0.1146, 0.1146)*CHOOSE(CONTROL!$C$42, 121.5, 121.5)*CHOOSE(CONTROL!$C$42, 31, 31))/1000000</f>
        <v>0.43164089999999994</v>
      </c>
      <c r="X649" s="57">
        <f>(31*0.1790888*100000/1000000)+(31*0.2374*100000/1000000)</f>
        <v>1.2911152800000001</v>
      </c>
      <c r="Y649" s="57"/>
      <c r="Z649" s="14"/>
      <c r="AA649" s="56"/>
      <c r="AB649" s="50">
        <f>(B649*122.58+C649*297.941+D649*89.177+E649*40.302+F649*40+G649*160+H649*0+I649*100+J649*300)/(122.58+297.941+89.177+40.302+0+40+160+100+300)</f>
        <v>43.535569676000001</v>
      </c>
      <c r="AC649" s="45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42.692366187050354</v>
      </c>
    </row>
    <row r="650" spans="1:29" ht="15.75" x14ac:dyDescent="0.25">
      <c r="A650" s="32">
        <v>60691</v>
      </c>
      <c r="B650" s="14">
        <f>CHOOSE(CONTROL!$C$42, 44.2843, 44.2843) * CHOOSE(CONTROL!$C$21, $C$9, 100%, $E$9)</f>
        <v>44.284300000000002</v>
      </c>
      <c r="C650" s="14">
        <f>CHOOSE(CONTROL!$C$42, 44.2893, 44.2893) * CHOOSE(CONTROL!$C$21, $C$9, 100%, $E$9)</f>
        <v>44.289299999999997</v>
      </c>
      <c r="D650" s="14">
        <f>CHOOSE(CONTROL!$C$42, 44.3661, 44.3661) * CHOOSE(CONTROL!$C$21, $C$9, 100%, $E$9)</f>
        <v>44.366100000000003</v>
      </c>
      <c r="E650" s="14">
        <f>CHOOSE(CONTROL!$C$42, 44.4002, 44.4002) * CHOOSE(CONTROL!$C$21, $C$9, 100%, $E$9)</f>
        <v>44.400199999999998</v>
      </c>
      <c r="F650" s="14">
        <f>CHOOSE(CONTROL!$C$42, 44.2845, 44.2845)*CHOOSE(CONTROL!$C$21, $C$9, 100%, $E$9)</f>
        <v>44.284500000000001</v>
      </c>
      <c r="G650" s="14">
        <f>CHOOSE(CONTROL!$C$42, 44.3007, 44.3007)*CHOOSE(CONTROL!$C$21, $C$9, 100%, $E$9)</f>
        <v>44.300699999999999</v>
      </c>
      <c r="H650" s="14">
        <f>CHOOSE(CONTROL!$C$42, 44.3894, 44.3894) * CHOOSE(CONTROL!$C$21, $C$9, 100%, $E$9)</f>
        <v>44.389400000000002</v>
      </c>
      <c r="I650" s="14">
        <f>CHOOSE(CONTROL!$C$42, 44.441, 44.441)* CHOOSE(CONTROL!$C$21, $C$9, 100%, $E$9)</f>
        <v>44.441000000000003</v>
      </c>
      <c r="J650" s="14">
        <f>CHOOSE(CONTROL!$C$42, 44.2775, 44.2775)* CHOOSE(CONTROL!$C$21, $C$9, 100%, $E$9)</f>
        <v>44.277500000000003</v>
      </c>
      <c r="K650" s="53">
        <f>CHOOSE(CONTROL!$C$42, 44.4371, 44.4371) * CHOOSE(CONTROL!$C$21, $C$9, 100%, $E$9)</f>
        <v>44.437100000000001</v>
      </c>
      <c r="L650" s="14">
        <f>CHOOSE(CONTROL!$C$42, 44.9764, 44.9764) * CHOOSE(CONTROL!$C$21, $C$9, 100%, $E$9)</f>
        <v>44.976399999999998</v>
      </c>
      <c r="M650" s="14">
        <f>CHOOSE(CONTROL!$C$42, 43.378, 43.378) * CHOOSE(CONTROL!$C$21, $C$9, 100%, $E$9)</f>
        <v>43.378</v>
      </c>
      <c r="N650" s="14">
        <f>CHOOSE(CONTROL!$C$42, 43.3939, 43.3939) * CHOOSE(CONTROL!$C$21, $C$9, 100%, $E$9)</f>
        <v>43.393900000000002</v>
      </c>
      <c r="O650" s="14">
        <f>CHOOSE(CONTROL!$C$42, 43.4876, 43.4876) * CHOOSE(CONTROL!$C$21, $C$9, 100%, $E$9)</f>
        <v>43.4876</v>
      </c>
      <c r="P650" s="14">
        <f>CHOOSE(CONTROL!$C$42, 43.5354, 43.5354) * CHOOSE(CONTROL!$C$21, $C$9, 100%, $E$9)</f>
        <v>43.535400000000003</v>
      </c>
      <c r="Q650" s="14">
        <f>CHOOSE(CONTROL!$C$42, 44.0823, 44.0823) * CHOOSE(CONTROL!$C$21, $C$9, 100%, $E$9)</f>
        <v>44.082299999999996</v>
      </c>
      <c r="R650" s="14">
        <f>CHOOSE(CONTROL!$C$42, 44.7795, 44.7795) * CHOOSE(CONTROL!$C$21, $C$9, 100%, $E$9)</f>
        <v>44.779499999999999</v>
      </c>
      <c r="S650" s="14">
        <f>CHOOSE(CONTROL!$C$42, 42.5442, 42.5442) * CHOOSE(CONTROL!$C$21, $C$9, 100%, $E$9)</f>
        <v>42.544199999999996</v>
      </c>
      <c r="T6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7">
        <f>(1000*CHOOSE(CONTROL!$C$42, 695, 695)*CHOOSE(CONTROL!$C$42, 0.5599, 0.5599)*CHOOSE(CONTROL!$C$42, 28, 28))/1000000</f>
        <v>10.895653999999999</v>
      </c>
      <c r="V650" s="57">
        <f>(1000*CHOOSE(CONTROL!$C$42, 500, 500)*CHOOSE(CONTROL!$C$42, 0.275, 0.275)*CHOOSE(CONTROL!$C$42, 28, 28))/1000000</f>
        <v>3.85</v>
      </c>
      <c r="W650" s="57">
        <f>(1000*CHOOSE(CONTROL!$C$42, 0.1146, 0.1146)*CHOOSE(CONTROL!$C$42, 121.5, 121.5)*CHOOSE(CONTROL!$C$42, 28, 28))/1000000</f>
        <v>0.38986920000000003</v>
      </c>
      <c r="X650" s="57">
        <f>(28*0.1790888*100000/1000000)+(28*0.2374*100000/1000000)</f>
        <v>1.16616864</v>
      </c>
      <c r="Y650" s="57"/>
      <c r="Z650" s="14"/>
      <c r="AA650" s="56"/>
      <c r="AB650" s="50">
        <f>(B650*122.58+C650*297.941+D650*89.177+E650*40.302+F650*40+G650*160+H650*0+I650*100+J650*300)/(122.58+297.941+89.177+40.302+0+40+160+100+300)</f>
        <v>44.310141204695654</v>
      </c>
      <c r="AC650" s="45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43.45123741007194</v>
      </c>
    </row>
    <row r="651" spans="1:29" ht="15.75" x14ac:dyDescent="0.25">
      <c r="A651" s="32">
        <v>60722</v>
      </c>
      <c r="B651" s="14">
        <f>CHOOSE(CONTROL!$C$42, 43.0273, 43.0273) * CHOOSE(CONTROL!$C$21, $C$9, 100%, $E$9)</f>
        <v>43.027299999999997</v>
      </c>
      <c r="C651" s="14">
        <f>CHOOSE(CONTROL!$C$42, 43.0323, 43.0323) * CHOOSE(CONTROL!$C$21, $C$9, 100%, $E$9)</f>
        <v>43.032299999999999</v>
      </c>
      <c r="D651" s="14">
        <f>CHOOSE(CONTROL!$C$42, 43.1092, 43.1092) * CHOOSE(CONTROL!$C$21, $C$9, 100%, $E$9)</f>
        <v>43.109200000000001</v>
      </c>
      <c r="E651" s="14">
        <f>CHOOSE(CONTROL!$C$42, 43.1433, 43.1433) * CHOOSE(CONTROL!$C$21, $C$9, 100%, $E$9)</f>
        <v>43.143300000000004</v>
      </c>
      <c r="F651" s="14">
        <f>CHOOSE(CONTROL!$C$42, 43.0271, 43.0271)*CHOOSE(CONTROL!$C$21, $C$9, 100%, $E$9)</f>
        <v>43.027099999999997</v>
      </c>
      <c r="G651" s="14">
        <f>CHOOSE(CONTROL!$C$42, 43.0432, 43.0432)*CHOOSE(CONTROL!$C$21, $C$9, 100%, $E$9)</f>
        <v>43.043199999999999</v>
      </c>
      <c r="H651" s="14">
        <f>CHOOSE(CONTROL!$C$42, 43.1325, 43.1325) * CHOOSE(CONTROL!$C$21, $C$9, 100%, $E$9)</f>
        <v>43.1325</v>
      </c>
      <c r="I651" s="14">
        <f>CHOOSE(CONTROL!$C$42, 43.1801, 43.1801)* CHOOSE(CONTROL!$C$21, $C$9, 100%, $E$9)</f>
        <v>43.180100000000003</v>
      </c>
      <c r="J651" s="14">
        <f>CHOOSE(CONTROL!$C$42, 43.0201, 43.0201)* CHOOSE(CONTROL!$C$21, $C$9, 100%, $E$9)</f>
        <v>43.020099999999999</v>
      </c>
      <c r="K651" s="53">
        <f>CHOOSE(CONTROL!$C$42, 43.1762, 43.1762) * CHOOSE(CONTROL!$C$21, $C$9, 100%, $E$9)</f>
        <v>43.176200000000001</v>
      </c>
      <c r="L651" s="14">
        <f>CHOOSE(CONTROL!$C$42, 43.7195, 43.7195) * CHOOSE(CONTROL!$C$21, $C$9, 100%, $E$9)</f>
        <v>43.719499999999996</v>
      </c>
      <c r="M651" s="14">
        <f>CHOOSE(CONTROL!$C$42, 42.1463, 42.1463) * CHOOSE(CONTROL!$C$21, $C$9, 100%, $E$9)</f>
        <v>42.146299999999997</v>
      </c>
      <c r="N651" s="14">
        <f>CHOOSE(CONTROL!$C$42, 42.1621, 42.1621) * CHOOSE(CONTROL!$C$21, $C$9, 100%, $E$9)</f>
        <v>42.162100000000002</v>
      </c>
      <c r="O651" s="14">
        <f>CHOOSE(CONTROL!$C$42, 42.2564, 42.2564) * CHOOSE(CONTROL!$C$21, $C$9, 100%, $E$9)</f>
        <v>42.256399999999999</v>
      </c>
      <c r="P651" s="14">
        <f>CHOOSE(CONTROL!$C$42, 42.3004, 42.3004) * CHOOSE(CONTROL!$C$21, $C$9, 100%, $E$9)</f>
        <v>42.300400000000003</v>
      </c>
      <c r="Q651" s="14">
        <f>CHOOSE(CONTROL!$C$42, 42.8511, 42.8511) * CHOOSE(CONTROL!$C$21, $C$9, 100%, $E$9)</f>
        <v>42.851100000000002</v>
      </c>
      <c r="R651" s="14">
        <f>CHOOSE(CONTROL!$C$42, 43.5452, 43.5452) * CHOOSE(CONTROL!$C$21, $C$9, 100%, $E$9)</f>
        <v>43.545200000000001</v>
      </c>
      <c r="S651" s="14">
        <f>CHOOSE(CONTROL!$C$42, 41.3364, 41.3364) * CHOOSE(CONTROL!$C$21, $C$9, 100%, $E$9)</f>
        <v>41.336399999999998</v>
      </c>
      <c r="T6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7">
        <f>(1000*CHOOSE(CONTROL!$C$42, 695, 695)*CHOOSE(CONTROL!$C$42, 0.5599, 0.5599)*CHOOSE(CONTROL!$C$42, 31, 31))/1000000</f>
        <v>12.063045499999998</v>
      </c>
      <c r="V651" s="57">
        <f>(1000*CHOOSE(CONTROL!$C$42, 500, 500)*CHOOSE(CONTROL!$C$42, 0.275, 0.275)*CHOOSE(CONTROL!$C$42, 31, 31))/1000000</f>
        <v>4.2625000000000002</v>
      </c>
      <c r="W651" s="57">
        <f>(1000*CHOOSE(CONTROL!$C$42, 0.1146, 0.1146)*CHOOSE(CONTROL!$C$42, 121.5, 121.5)*CHOOSE(CONTROL!$C$42, 31, 31))/1000000</f>
        <v>0.43164089999999994</v>
      </c>
      <c r="X651" s="57">
        <f>(31*0.1790888*100000/1000000)+(31*0.2374*100000/1000000)</f>
        <v>1.2911152800000001</v>
      </c>
      <c r="Y651" s="57"/>
      <c r="Z651" s="14"/>
      <c r="AA651" s="56"/>
      <c r="AB651" s="50">
        <f>(B651*122.58+C651*297.941+D651*89.177+E651*40.302+F651*40+G651*160+H651*0+I651*100+J651*300)/(122.58+297.941+89.177+40.302+0+40+160+100+300)</f>
        <v>43.052625507217392</v>
      </c>
      <c r="AC651" s="45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42.219283453237409</v>
      </c>
    </row>
    <row r="652" spans="1:29" ht="15.75" x14ac:dyDescent="0.25">
      <c r="A652" s="32">
        <v>60752</v>
      </c>
      <c r="B652" s="14">
        <f>CHOOSE(CONTROL!$C$42, 42.8997, 42.8997) * CHOOSE(CONTROL!$C$21, $C$9, 100%, $E$9)</f>
        <v>42.899700000000003</v>
      </c>
      <c r="C652" s="14">
        <f>CHOOSE(CONTROL!$C$42, 42.9042, 42.9042) * CHOOSE(CONTROL!$C$21, $C$9, 100%, $E$9)</f>
        <v>42.904200000000003</v>
      </c>
      <c r="D652" s="14">
        <f>CHOOSE(CONTROL!$C$42, 43.1409, 43.1409) * CHOOSE(CONTROL!$C$21, $C$9, 100%, $E$9)</f>
        <v>43.140900000000002</v>
      </c>
      <c r="E652" s="14">
        <f>CHOOSE(CONTROL!$C$42, 43.173, 43.173) * CHOOSE(CONTROL!$C$21, $C$9, 100%, $E$9)</f>
        <v>43.173000000000002</v>
      </c>
      <c r="F652" s="14">
        <f>CHOOSE(CONTROL!$C$42, 42.8976, 42.8976)*CHOOSE(CONTROL!$C$21, $C$9, 100%, $E$9)</f>
        <v>42.897599999999997</v>
      </c>
      <c r="G652" s="14">
        <f>CHOOSE(CONTROL!$C$42, 42.9135, 42.9135)*CHOOSE(CONTROL!$C$21, $C$9, 100%, $E$9)</f>
        <v>42.913499999999999</v>
      </c>
      <c r="H652" s="14">
        <f>CHOOSE(CONTROL!$C$42, 43.1628, 43.1628) * CHOOSE(CONTROL!$C$21, $C$9, 100%, $E$9)</f>
        <v>43.162799999999997</v>
      </c>
      <c r="I652" s="14">
        <f>CHOOSE(CONTROL!$C$42, 43.0513, 43.0513)* CHOOSE(CONTROL!$C$21, $C$9, 100%, $E$9)</f>
        <v>43.051299999999998</v>
      </c>
      <c r="J652" s="14">
        <f>CHOOSE(CONTROL!$C$42, 42.8906, 42.8906)* CHOOSE(CONTROL!$C$21, $C$9, 100%, $E$9)</f>
        <v>42.890599999999999</v>
      </c>
      <c r="K652" s="53">
        <f>CHOOSE(CONTROL!$C$42, 43.0475, 43.0475) * CHOOSE(CONTROL!$C$21, $C$9, 100%, $E$9)</f>
        <v>43.047499999999999</v>
      </c>
      <c r="L652" s="14">
        <f>CHOOSE(CONTROL!$C$42, 43.7498, 43.7498) * CHOOSE(CONTROL!$C$21, $C$9, 100%, $E$9)</f>
        <v>43.7498</v>
      </c>
      <c r="M652" s="14">
        <f>CHOOSE(CONTROL!$C$42, 42.0195, 42.0195) * CHOOSE(CONTROL!$C$21, $C$9, 100%, $E$9)</f>
        <v>42.019500000000001</v>
      </c>
      <c r="N652" s="14">
        <f>CHOOSE(CONTROL!$C$42, 42.035, 42.035) * CHOOSE(CONTROL!$C$21, $C$9, 100%, $E$9)</f>
        <v>42.034999999999997</v>
      </c>
      <c r="O652" s="14">
        <f>CHOOSE(CONTROL!$C$42, 42.2861, 42.2861) * CHOOSE(CONTROL!$C$21, $C$9, 100%, $E$9)</f>
        <v>42.286099999999998</v>
      </c>
      <c r="P652" s="14">
        <f>CHOOSE(CONTROL!$C$42, 42.1743, 42.1743) * CHOOSE(CONTROL!$C$21, $C$9, 100%, $E$9)</f>
        <v>42.174300000000002</v>
      </c>
      <c r="Q652" s="14">
        <f>CHOOSE(CONTROL!$C$42, 42.8808, 42.8808) * CHOOSE(CONTROL!$C$21, $C$9, 100%, $E$9)</f>
        <v>42.880800000000001</v>
      </c>
      <c r="R652" s="14">
        <f>CHOOSE(CONTROL!$C$42, 43.575, 43.575) * CHOOSE(CONTROL!$C$21, $C$9, 100%, $E$9)</f>
        <v>43.575000000000003</v>
      </c>
      <c r="S652" s="14">
        <f>CHOOSE(CONTROL!$C$42, 41.213, 41.213) * CHOOSE(CONTROL!$C$21, $C$9, 100%, $E$9)</f>
        <v>41.213000000000001</v>
      </c>
      <c r="T6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7">
        <f>(1000*CHOOSE(CONTROL!$C$42, 695, 695)*CHOOSE(CONTROL!$C$42, 0.5599, 0.5599)*CHOOSE(CONTROL!$C$42, 30, 30))/1000000</f>
        <v>11.673914999999997</v>
      </c>
      <c r="V652" s="57">
        <f>(1000*CHOOSE(CONTROL!$C$42, 500, 500)*CHOOSE(CONTROL!$C$42, 0.275, 0.275)*CHOOSE(CONTROL!$C$42, 30, 30))/1000000</f>
        <v>4.125</v>
      </c>
      <c r="W652" s="57">
        <f>(1000*CHOOSE(CONTROL!$C$42, 0.1146, 0.1146)*CHOOSE(CONTROL!$C$42, 121.5, 121.5)*CHOOSE(CONTROL!$C$42, 30, 30))/1000000</f>
        <v>0.417717</v>
      </c>
      <c r="X652" s="57">
        <f>(30*0.1790888*245000/1000000)+(30*0.2374*100000/1000000)</f>
        <v>2.0285026799999999</v>
      </c>
      <c r="Y652" s="57"/>
      <c r="Z652" s="14"/>
      <c r="AA652" s="56"/>
      <c r="AB652" s="50">
        <f>(B652*141.293+C652*267.993+D652*115.016+E652*89.698+F652*40+G652*185+H652*0+I652*100+J652*300)/(141.293+267.993+115.016+89.698+0+40+185+100+300)</f>
        <v>42.95487456908797</v>
      </c>
      <c r="AC652" s="45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42.16349856115108</v>
      </c>
    </row>
    <row r="653" spans="1:29" ht="15.75" x14ac:dyDescent="0.25">
      <c r="A653" s="32">
        <v>60783</v>
      </c>
      <c r="B653" s="14">
        <f>CHOOSE(CONTROL!$C$42, 43.2796, 43.2796) * CHOOSE(CONTROL!$C$21, $C$9, 100%, $E$9)</f>
        <v>43.279600000000002</v>
      </c>
      <c r="C653" s="14">
        <f>CHOOSE(CONTROL!$C$42, 43.2877, 43.2877) * CHOOSE(CONTROL!$C$21, $C$9, 100%, $E$9)</f>
        <v>43.287700000000001</v>
      </c>
      <c r="D653" s="14">
        <f>CHOOSE(CONTROL!$C$42, 43.5213, 43.5213) * CHOOSE(CONTROL!$C$21, $C$9, 100%, $E$9)</f>
        <v>43.521299999999997</v>
      </c>
      <c r="E653" s="14">
        <f>CHOOSE(CONTROL!$C$42, 43.5527, 43.5527) * CHOOSE(CONTROL!$C$21, $C$9, 100%, $E$9)</f>
        <v>43.552700000000002</v>
      </c>
      <c r="F653" s="14">
        <f>CHOOSE(CONTROL!$C$42, 43.2764, 43.2764)*CHOOSE(CONTROL!$C$21, $C$9, 100%, $E$9)</f>
        <v>43.276400000000002</v>
      </c>
      <c r="G653" s="14">
        <f>CHOOSE(CONTROL!$C$42, 43.2928, 43.2928)*CHOOSE(CONTROL!$C$21, $C$9, 100%, $E$9)</f>
        <v>43.2928</v>
      </c>
      <c r="H653" s="14">
        <f>CHOOSE(CONTROL!$C$42, 43.5414, 43.5414) * CHOOSE(CONTROL!$C$21, $C$9, 100%, $E$9)</f>
        <v>43.541400000000003</v>
      </c>
      <c r="I653" s="14">
        <f>CHOOSE(CONTROL!$C$42, 43.4311, 43.4311)* CHOOSE(CONTROL!$C$21, $C$9, 100%, $E$9)</f>
        <v>43.431100000000001</v>
      </c>
      <c r="J653" s="14">
        <f>CHOOSE(CONTROL!$C$42, 43.2694, 43.2694)* CHOOSE(CONTROL!$C$21, $C$9, 100%, $E$9)</f>
        <v>43.269399999999997</v>
      </c>
      <c r="K653" s="53">
        <f>CHOOSE(CONTROL!$C$42, 43.4272, 43.4272) * CHOOSE(CONTROL!$C$21, $C$9, 100%, $E$9)</f>
        <v>43.427199999999999</v>
      </c>
      <c r="L653" s="14">
        <f>CHOOSE(CONTROL!$C$42, 44.1284, 44.1284) * CHOOSE(CONTROL!$C$21, $C$9, 100%, $E$9)</f>
        <v>44.128399999999999</v>
      </c>
      <c r="M653" s="14">
        <f>CHOOSE(CONTROL!$C$42, 42.3906, 42.3906) * CHOOSE(CONTROL!$C$21, $C$9, 100%, $E$9)</f>
        <v>42.390599999999999</v>
      </c>
      <c r="N653" s="14">
        <f>CHOOSE(CONTROL!$C$42, 42.4066, 42.4066) * CHOOSE(CONTROL!$C$21, $C$9, 100%, $E$9)</f>
        <v>42.406599999999997</v>
      </c>
      <c r="O653" s="14">
        <f>CHOOSE(CONTROL!$C$42, 42.6569, 42.6569) * CHOOSE(CONTROL!$C$21, $C$9, 100%, $E$9)</f>
        <v>42.6569</v>
      </c>
      <c r="P653" s="14">
        <f>CHOOSE(CONTROL!$C$42, 42.5462, 42.5462) * CHOOSE(CONTROL!$C$21, $C$9, 100%, $E$9)</f>
        <v>42.546199999999999</v>
      </c>
      <c r="Q653" s="14">
        <f>CHOOSE(CONTROL!$C$42, 43.2516, 43.2516) * CHOOSE(CONTROL!$C$21, $C$9, 100%, $E$9)</f>
        <v>43.251600000000003</v>
      </c>
      <c r="R653" s="14">
        <f>CHOOSE(CONTROL!$C$42, 43.9467, 43.9467) * CHOOSE(CONTROL!$C$21, $C$9, 100%, $E$9)</f>
        <v>43.9467</v>
      </c>
      <c r="S653" s="14">
        <f>CHOOSE(CONTROL!$C$42, 41.5768, 41.5768) * CHOOSE(CONTROL!$C$21, $C$9, 100%, $E$9)</f>
        <v>41.576799999999999</v>
      </c>
      <c r="T6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7">
        <f>(1000*CHOOSE(CONTROL!$C$42, 695, 695)*CHOOSE(CONTROL!$C$42, 0.5599, 0.5599)*CHOOSE(CONTROL!$C$42, 31, 31))/1000000</f>
        <v>12.063045499999998</v>
      </c>
      <c r="V653" s="57">
        <f>(1000*CHOOSE(CONTROL!$C$42, 500, 500)*CHOOSE(CONTROL!$C$42, 0.275, 0.275)*CHOOSE(CONTROL!$C$42, 31, 31))/1000000</f>
        <v>4.2625000000000002</v>
      </c>
      <c r="W653" s="57">
        <f>(1000*CHOOSE(CONTROL!$C$42, 0.1146, 0.1146)*CHOOSE(CONTROL!$C$42, 121.5, 121.5)*CHOOSE(CONTROL!$C$42, 31, 31))/1000000</f>
        <v>0.43164089999999994</v>
      </c>
      <c r="X653" s="57">
        <f>(31*0.1790888*245000/1000000)+(31*0.2374*100000/1000000)</f>
        <v>2.0961194359999999</v>
      </c>
      <c r="Y653" s="57"/>
      <c r="Z653" s="14"/>
      <c r="AA653" s="56"/>
      <c r="AB653" s="50">
        <f>(B653*194.205+C653*267.466+D653*133.845+E653*53.484+F653*40+G653*185+H653*0+I653*100+J653*300)/(194.205+267.466+133.845+53.484+0+40+185+100+300)</f>
        <v>43.329464436028253</v>
      </c>
      <c r="AC653" s="45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42.534606474820137</v>
      </c>
    </row>
    <row r="654" spans="1:29" ht="15.75" x14ac:dyDescent="0.25">
      <c r="A654" s="32">
        <v>60813</v>
      </c>
      <c r="B654" s="14">
        <f>CHOOSE(CONTROL!$C$42, 44.507, 44.507) * CHOOSE(CONTROL!$C$21, $C$9, 100%, $E$9)</f>
        <v>44.506999999999998</v>
      </c>
      <c r="C654" s="14">
        <f>CHOOSE(CONTROL!$C$42, 44.515, 44.515) * CHOOSE(CONTROL!$C$21, $C$9, 100%, $E$9)</f>
        <v>44.515000000000001</v>
      </c>
      <c r="D654" s="14">
        <f>CHOOSE(CONTROL!$C$42, 44.7486, 44.7486) * CHOOSE(CONTROL!$C$21, $C$9, 100%, $E$9)</f>
        <v>44.748600000000003</v>
      </c>
      <c r="E654" s="14">
        <f>CHOOSE(CONTROL!$C$42, 44.7801, 44.7801) * CHOOSE(CONTROL!$C$21, $C$9, 100%, $E$9)</f>
        <v>44.780099999999997</v>
      </c>
      <c r="F654" s="14">
        <f>CHOOSE(CONTROL!$C$42, 44.5042, 44.5042)*CHOOSE(CONTROL!$C$21, $C$9, 100%, $E$9)</f>
        <v>44.504199999999997</v>
      </c>
      <c r="G654" s="14">
        <f>CHOOSE(CONTROL!$C$42, 44.5207, 44.5207)*CHOOSE(CONTROL!$C$21, $C$9, 100%, $E$9)</f>
        <v>44.520699999999998</v>
      </c>
      <c r="H654" s="14">
        <f>CHOOSE(CONTROL!$C$42, 44.7687, 44.7687) * CHOOSE(CONTROL!$C$21, $C$9, 100%, $E$9)</f>
        <v>44.768700000000003</v>
      </c>
      <c r="I654" s="14">
        <f>CHOOSE(CONTROL!$C$42, 44.6623, 44.6623)* CHOOSE(CONTROL!$C$21, $C$9, 100%, $E$9)</f>
        <v>44.662300000000002</v>
      </c>
      <c r="J654" s="14">
        <f>CHOOSE(CONTROL!$C$42, 44.4972, 44.4972)* CHOOSE(CONTROL!$C$21, $C$9, 100%, $E$9)</f>
        <v>44.497199999999999</v>
      </c>
      <c r="K654" s="53">
        <f>CHOOSE(CONTROL!$C$42, 44.6584, 44.6584) * CHOOSE(CONTROL!$C$21, $C$9, 100%, $E$9)</f>
        <v>44.6584</v>
      </c>
      <c r="L654" s="14">
        <f>CHOOSE(CONTROL!$C$42, 45.3557, 45.3557) * CHOOSE(CONTROL!$C$21, $C$9, 100%, $E$9)</f>
        <v>45.355699999999999</v>
      </c>
      <c r="M654" s="14">
        <f>CHOOSE(CONTROL!$C$42, 43.5932, 43.5932) * CHOOSE(CONTROL!$C$21, $C$9, 100%, $E$9)</f>
        <v>43.593200000000003</v>
      </c>
      <c r="N654" s="14">
        <f>CHOOSE(CONTROL!$C$42, 43.6093, 43.6093) * CHOOSE(CONTROL!$C$21, $C$9, 100%, $E$9)</f>
        <v>43.609299999999998</v>
      </c>
      <c r="O654" s="14">
        <f>CHOOSE(CONTROL!$C$42, 43.8591, 43.8591) * CHOOSE(CONTROL!$C$21, $C$9, 100%, $E$9)</f>
        <v>43.859099999999998</v>
      </c>
      <c r="P654" s="14">
        <f>CHOOSE(CONTROL!$C$42, 43.7521, 43.7521) * CHOOSE(CONTROL!$C$21, $C$9, 100%, $E$9)</f>
        <v>43.752099999999999</v>
      </c>
      <c r="Q654" s="14">
        <f>CHOOSE(CONTROL!$C$42, 44.4538, 44.4538) * CHOOSE(CONTROL!$C$21, $C$9, 100%, $E$9)</f>
        <v>44.453800000000001</v>
      </c>
      <c r="R654" s="14">
        <f>CHOOSE(CONTROL!$C$42, 45.1519, 45.1519) * CHOOSE(CONTROL!$C$21, $C$9, 100%, $E$9)</f>
        <v>45.151899999999998</v>
      </c>
      <c r="S654" s="14">
        <f>CHOOSE(CONTROL!$C$42, 42.7561, 42.7561) * CHOOSE(CONTROL!$C$21, $C$9, 100%, $E$9)</f>
        <v>42.756100000000004</v>
      </c>
      <c r="T6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7">
        <f>(1000*CHOOSE(CONTROL!$C$42, 695, 695)*CHOOSE(CONTROL!$C$42, 0.5599, 0.5599)*CHOOSE(CONTROL!$C$42, 30, 30))/1000000</f>
        <v>11.673914999999997</v>
      </c>
      <c r="V654" s="57">
        <f>(1000*CHOOSE(CONTROL!$C$42, 500, 500)*CHOOSE(CONTROL!$C$42, 0.275, 0.275)*CHOOSE(CONTROL!$C$42, 30, 30))/1000000</f>
        <v>4.125</v>
      </c>
      <c r="W654" s="57">
        <f>(1000*CHOOSE(CONTROL!$C$42, 0.1146, 0.1146)*CHOOSE(CONTROL!$C$42, 121.5, 121.5)*CHOOSE(CONTROL!$C$42, 30, 30))/1000000</f>
        <v>0.417717</v>
      </c>
      <c r="X654" s="57">
        <f>(30*0.1790888*245000/1000000)+(30*0.2374*100000/1000000)</f>
        <v>2.0285026799999999</v>
      </c>
      <c r="Y654" s="57"/>
      <c r="Z654" s="14"/>
      <c r="AA654" s="56"/>
      <c r="AB654" s="50">
        <f>(B654*194.205+C654*267.466+D654*133.845+E654*53.484+F654*40+G654*185+H654*0+I654*100+J654*300)/(194.205+267.466+133.845+53.484+0+40+185+100+300)</f>
        <v>44.557310565463105</v>
      </c>
      <c r="AC654" s="45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43.737505755395688</v>
      </c>
    </row>
    <row r="655" spans="1:29" ht="15.75" x14ac:dyDescent="0.25">
      <c r="A655" s="32">
        <v>60844</v>
      </c>
      <c r="B655" s="14">
        <f>CHOOSE(CONTROL!$C$42, 43.6534, 43.6534) * CHOOSE(CONTROL!$C$21, $C$9, 100%, $E$9)</f>
        <v>43.653399999999998</v>
      </c>
      <c r="C655" s="14">
        <f>CHOOSE(CONTROL!$C$42, 43.6614, 43.6614) * CHOOSE(CONTROL!$C$21, $C$9, 100%, $E$9)</f>
        <v>43.6614</v>
      </c>
      <c r="D655" s="14">
        <f>CHOOSE(CONTROL!$C$42, 43.895, 43.895) * CHOOSE(CONTROL!$C$21, $C$9, 100%, $E$9)</f>
        <v>43.895000000000003</v>
      </c>
      <c r="E655" s="14">
        <f>CHOOSE(CONTROL!$C$42, 43.9264, 43.9264) * CHOOSE(CONTROL!$C$21, $C$9, 100%, $E$9)</f>
        <v>43.926400000000001</v>
      </c>
      <c r="F655" s="14">
        <f>CHOOSE(CONTROL!$C$42, 43.6511, 43.6511)*CHOOSE(CONTROL!$C$21, $C$9, 100%, $E$9)</f>
        <v>43.6511</v>
      </c>
      <c r="G655" s="14">
        <f>CHOOSE(CONTROL!$C$42, 43.6677, 43.6677)*CHOOSE(CONTROL!$C$21, $C$9, 100%, $E$9)</f>
        <v>43.667700000000004</v>
      </c>
      <c r="H655" s="14">
        <f>CHOOSE(CONTROL!$C$42, 43.9151, 43.9151) * CHOOSE(CONTROL!$C$21, $C$9, 100%, $E$9)</f>
        <v>43.915100000000002</v>
      </c>
      <c r="I655" s="14">
        <f>CHOOSE(CONTROL!$C$42, 43.806, 43.806)* CHOOSE(CONTROL!$C$21, $C$9, 100%, $E$9)</f>
        <v>43.805999999999997</v>
      </c>
      <c r="J655" s="14">
        <f>CHOOSE(CONTROL!$C$42, 43.6441, 43.6441)* CHOOSE(CONTROL!$C$21, $C$9, 100%, $E$9)</f>
        <v>43.644100000000002</v>
      </c>
      <c r="K655" s="53">
        <f>CHOOSE(CONTROL!$C$42, 43.8021, 43.8021) * CHOOSE(CONTROL!$C$21, $C$9, 100%, $E$9)</f>
        <v>43.802100000000003</v>
      </c>
      <c r="L655" s="14">
        <f>CHOOSE(CONTROL!$C$42, 44.5021, 44.5021) * CHOOSE(CONTROL!$C$21, $C$9, 100%, $E$9)</f>
        <v>44.502099999999999</v>
      </c>
      <c r="M655" s="14">
        <f>CHOOSE(CONTROL!$C$42, 42.7576, 42.7576) * CHOOSE(CONTROL!$C$21, $C$9, 100%, $E$9)</f>
        <v>42.757599999999996</v>
      </c>
      <c r="N655" s="14">
        <f>CHOOSE(CONTROL!$C$42, 42.7739, 42.7739) * CHOOSE(CONTROL!$C$21, $C$9, 100%, $E$9)</f>
        <v>42.773899999999998</v>
      </c>
      <c r="O655" s="14">
        <f>CHOOSE(CONTROL!$C$42, 43.023, 43.023) * CHOOSE(CONTROL!$C$21, $C$9, 100%, $E$9)</f>
        <v>43.023000000000003</v>
      </c>
      <c r="P655" s="14">
        <f>CHOOSE(CONTROL!$C$42, 42.9134, 42.9134) * CHOOSE(CONTROL!$C$21, $C$9, 100%, $E$9)</f>
        <v>42.913400000000003</v>
      </c>
      <c r="Q655" s="14">
        <f>CHOOSE(CONTROL!$C$42, 43.6177, 43.6177) * CHOOSE(CONTROL!$C$21, $C$9, 100%, $E$9)</f>
        <v>43.617699999999999</v>
      </c>
      <c r="R655" s="14">
        <f>CHOOSE(CONTROL!$C$42, 44.3137, 44.3137) * CHOOSE(CONTROL!$C$21, $C$9, 100%, $E$9)</f>
        <v>44.313699999999997</v>
      </c>
      <c r="S655" s="14">
        <f>CHOOSE(CONTROL!$C$42, 41.9359, 41.9359) * CHOOSE(CONTROL!$C$21, $C$9, 100%, $E$9)</f>
        <v>41.935899999999997</v>
      </c>
      <c r="T6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7">
        <f>(1000*CHOOSE(CONTROL!$C$42, 695, 695)*CHOOSE(CONTROL!$C$42, 0.5599, 0.5599)*CHOOSE(CONTROL!$C$42, 31, 31))/1000000</f>
        <v>12.063045499999998</v>
      </c>
      <c r="V655" s="57">
        <f>(1000*CHOOSE(CONTROL!$C$42, 500, 500)*CHOOSE(CONTROL!$C$42, 0.275, 0.275)*CHOOSE(CONTROL!$C$42, 31, 31))/1000000</f>
        <v>4.2625000000000002</v>
      </c>
      <c r="W655" s="57">
        <f>(1000*CHOOSE(CONTROL!$C$42, 0.1146, 0.1146)*CHOOSE(CONTROL!$C$42, 121.5, 121.5)*CHOOSE(CONTROL!$C$42, 31, 31))/1000000</f>
        <v>0.43164089999999994</v>
      </c>
      <c r="X655" s="57">
        <f>(31*0.1790888*245000/1000000)+(31*0.2374*100000/1000000)</f>
        <v>2.0961194359999999</v>
      </c>
      <c r="Y655" s="57"/>
      <c r="Z655" s="14"/>
      <c r="AA655" s="56"/>
      <c r="AB655" s="50">
        <f>(B655*194.205+C655*267.466+D655*133.845+E655*53.484+F655*40+G655*185+H655*0+I655*100+J655*300)/(194.205+267.466+133.845+53.484+0+40+185+100+300)</f>
        <v>43.703715001569861</v>
      </c>
      <c r="AC655" s="45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42.901244604316553</v>
      </c>
    </row>
    <row r="656" spans="1:29" ht="15.75" x14ac:dyDescent="0.25">
      <c r="A656" s="32">
        <v>60875</v>
      </c>
      <c r="B656" s="14">
        <f>CHOOSE(CONTROL!$C$42, 41.4977, 41.4977) * CHOOSE(CONTROL!$C$21, $C$9, 100%, $E$9)</f>
        <v>41.497700000000002</v>
      </c>
      <c r="C656" s="14">
        <f>CHOOSE(CONTROL!$C$42, 41.5057, 41.5057) * CHOOSE(CONTROL!$C$21, $C$9, 100%, $E$9)</f>
        <v>41.505699999999997</v>
      </c>
      <c r="D656" s="14">
        <f>CHOOSE(CONTROL!$C$42, 41.7393, 41.7393) * CHOOSE(CONTROL!$C$21, $C$9, 100%, $E$9)</f>
        <v>41.7393</v>
      </c>
      <c r="E656" s="14">
        <f>CHOOSE(CONTROL!$C$42, 41.7708, 41.7708) * CHOOSE(CONTROL!$C$21, $C$9, 100%, $E$9)</f>
        <v>41.770800000000001</v>
      </c>
      <c r="F656" s="14">
        <f>CHOOSE(CONTROL!$C$42, 41.4957, 41.4957)*CHOOSE(CONTROL!$C$21, $C$9, 100%, $E$9)</f>
        <v>41.495699999999999</v>
      </c>
      <c r="G656" s="14">
        <f>CHOOSE(CONTROL!$C$42, 41.5123, 41.5123)*CHOOSE(CONTROL!$C$21, $C$9, 100%, $E$9)</f>
        <v>41.512300000000003</v>
      </c>
      <c r="H656" s="14">
        <f>CHOOSE(CONTROL!$C$42, 41.7594, 41.7594) * CHOOSE(CONTROL!$C$21, $C$9, 100%, $E$9)</f>
        <v>41.759399999999999</v>
      </c>
      <c r="I656" s="14">
        <f>CHOOSE(CONTROL!$C$42, 41.6435, 41.6435)* CHOOSE(CONTROL!$C$21, $C$9, 100%, $E$9)</f>
        <v>41.643500000000003</v>
      </c>
      <c r="J656" s="14">
        <f>CHOOSE(CONTROL!$C$42, 41.4887, 41.4887)* CHOOSE(CONTROL!$C$21, $C$9, 100%, $E$9)</f>
        <v>41.488700000000001</v>
      </c>
      <c r="K656" s="53">
        <f>CHOOSE(CONTROL!$C$42, 41.6397, 41.6397) * CHOOSE(CONTROL!$C$21, $C$9, 100%, $E$9)</f>
        <v>41.639699999999998</v>
      </c>
      <c r="L656" s="14">
        <f>CHOOSE(CONTROL!$C$42, 42.3464, 42.3464) * CHOOSE(CONTROL!$C$21, $C$9, 100%, $E$9)</f>
        <v>42.346400000000003</v>
      </c>
      <c r="M656" s="14">
        <f>CHOOSE(CONTROL!$C$42, 40.6463, 40.6463) * CHOOSE(CONTROL!$C$21, $C$9, 100%, $E$9)</f>
        <v>40.646299999999997</v>
      </c>
      <c r="N656" s="14">
        <f>CHOOSE(CONTROL!$C$42, 40.6626, 40.6626) * CHOOSE(CONTROL!$C$21, $C$9, 100%, $E$9)</f>
        <v>40.662599999999998</v>
      </c>
      <c r="O656" s="14">
        <f>CHOOSE(CONTROL!$C$42, 40.9115, 40.9115) * CHOOSE(CONTROL!$C$21, $C$9, 100%, $E$9)</f>
        <v>40.911499999999997</v>
      </c>
      <c r="P656" s="14">
        <f>CHOOSE(CONTROL!$C$42, 40.7955, 40.7955) * CHOOSE(CONTROL!$C$21, $C$9, 100%, $E$9)</f>
        <v>40.795499999999997</v>
      </c>
      <c r="Q656" s="14">
        <f>CHOOSE(CONTROL!$C$42, 41.5062, 41.5062) * CHOOSE(CONTROL!$C$21, $C$9, 100%, $E$9)</f>
        <v>41.5062</v>
      </c>
      <c r="R656" s="14">
        <f>CHOOSE(CONTROL!$C$42, 42.197, 42.197) * CHOOSE(CONTROL!$C$21, $C$9, 100%, $E$9)</f>
        <v>42.197000000000003</v>
      </c>
      <c r="S656" s="14">
        <f>CHOOSE(CONTROL!$C$42, 39.8645, 39.8645) * CHOOSE(CONTROL!$C$21, $C$9, 100%, $E$9)</f>
        <v>39.8645</v>
      </c>
      <c r="T6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7">
        <f>(1000*CHOOSE(CONTROL!$C$42, 695, 695)*CHOOSE(CONTROL!$C$42, 0.5599, 0.5599)*CHOOSE(CONTROL!$C$42, 31, 31))/1000000</f>
        <v>12.063045499999998</v>
      </c>
      <c r="V656" s="57">
        <f>(1000*CHOOSE(CONTROL!$C$42, 500, 500)*CHOOSE(CONTROL!$C$42, 0.275, 0.275)*CHOOSE(CONTROL!$C$42, 31, 31))/1000000</f>
        <v>4.2625000000000002</v>
      </c>
      <c r="W656" s="57">
        <f>(1000*CHOOSE(CONTROL!$C$42, 0.1146, 0.1146)*CHOOSE(CONTROL!$C$42, 121.5, 121.5)*CHOOSE(CONTROL!$C$42, 31, 31))/1000000</f>
        <v>0.43164089999999994</v>
      </c>
      <c r="X656" s="57">
        <f>(31*0.1790888*245000/1000000)+(31*0.2374*100000/1000000)</f>
        <v>2.0961194359999999</v>
      </c>
      <c r="Y656" s="57"/>
      <c r="Z656" s="14"/>
      <c r="AA656" s="56"/>
      <c r="AB656" s="50">
        <f>(B656*194.205+C656*267.466+D656*133.845+E656*53.484+F656*40+G656*185+H656*0+I656*100+J656*300)/(194.205+267.466+133.845+53.484+0+40+185+100+300)</f>
        <v>41.547609074097331</v>
      </c>
      <c r="AC656" s="45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40.788904316546763</v>
      </c>
    </row>
    <row r="657" spans="1:29" ht="15.75" x14ac:dyDescent="0.25">
      <c r="A657" s="32">
        <v>60905</v>
      </c>
      <c r="B657" s="14">
        <f>CHOOSE(CONTROL!$C$42, 38.8634, 38.8634) * CHOOSE(CONTROL!$C$21, $C$9, 100%, $E$9)</f>
        <v>38.863399999999999</v>
      </c>
      <c r="C657" s="14">
        <f>CHOOSE(CONTROL!$C$42, 38.8715, 38.8715) * CHOOSE(CONTROL!$C$21, $C$9, 100%, $E$9)</f>
        <v>38.871499999999997</v>
      </c>
      <c r="D657" s="14">
        <f>CHOOSE(CONTROL!$C$42, 39.105, 39.105) * CHOOSE(CONTROL!$C$21, $C$9, 100%, $E$9)</f>
        <v>39.104999999999997</v>
      </c>
      <c r="E657" s="14">
        <f>CHOOSE(CONTROL!$C$42, 39.1365, 39.1365) * CHOOSE(CONTROL!$C$21, $C$9, 100%, $E$9)</f>
        <v>39.136499999999998</v>
      </c>
      <c r="F657" s="14">
        <f>CHOOSE(CONTROL!$C$42, 38.8614, 38.8614)*CHOOSE(CONTROL!$C$21, $C$9, 100%, $E$9)</f>
        <v>38.861400000000003</v>
      </c>
      <c r="G657" s="14">
        <f>CHOOSE(CONTROL!$C$42, 38.8781, 38.8781)*CHOOSE(CONTROL!$C$21, $C$9, 100%, $E$9)</f>
        <v>38.878100000000003</v>
      </c>
      <c r="H657" s="14">
        <f>CHOOSE(CONTROL!$C$42, 39.1251, 39.1251) * CHOOSE(CONTROL!$C$21, $C$9, 100%, $E$9)</f>
        <v>39.125100000000003</v>
      </c>
      <c r="I657" s="14">
        <f>CHOOSE(CONTROL!$C$42, 39.001, 39.001)* CHOOSE(CONTROL!$C$21, $C$9, 100%, $E$9)</f>
        <v>39.000999999999998</v>
      </c>
      <c r="J657" s="14">
        <f>CHOOSE(CONTROL!$C$42, 38.8544, 38.8544)* CHOOSE(CONTROL!$C$21, $C$9, 100%, $E$9)</f>
        <v>38.854399999999998</v>
      </c>
      <c r="K657" s="53">
        <f>CHOOSE(CONTROL!$C$42, 38.9971, 38.9971) * CHOOSE(CONTROL!$C$21, $C$9, 100%, $E$9)</f>
        <v>38.997100000000003</v>
      </c>
      <c r="L657" s="14">
        <f>CHOOSE(CONTROL!$C$42, 39.7121, 39.7121) * CHOOSE(CONTROL!$C$21, $C$9, 100%, $E$9)</f>
        <v>39.7121</v>
      </c>
      <c r="M657" s="14">
        <f>CHOOSE(CONTROL!$C$42, 38.066, 38.066) * CHOOSE(CONTROL!$C$21, $C$9, 100%, $E$9)</f>
        <v>38.066000000000003</v>
      </c>
      <c r="N657" s="14">
        <f>CHOOSE(CONTROL!$C$42, 38.0824, 38.0824) * CHOOSE(CONTROL!$C$21, $C$9, 100%, $E$9)</f>
        <v>38.0824</v>
      </c>
      <c r="O657" s="14">
        <f>CHOOSE(CONTROL!$C$42, 38.3312, 38.3312) * CHOOSE(CONTROL!$C$21, $C$9, 100%, $E$9)</f>
        <v>38.331200000000003</v>
      </c>
      <c r="P657" s="14">
        <f>CHOOSE(CONTROL!$C$42, 38.2072, 38.2072) * CHOOSE(CONTROL!$C$21, $C$9, 100%, $E$9)</f>
        <v>38.2072</v>
      </c>
      <c r="Q657" s="14">
        <f>CHOOSE(CONTROL!$C$42, 38.9259, 38.9259) * CHOOSE(CONTROL!$C$21, $C$9, 100%, $E$9)</f>
        <v>38.925899999999999</v>
      </c>
      <c r="R657" s="14">
        <f>CHOOSE(CONTROL!$C$42, 39.6102, 39.6102) * CHOOSE(CONTROL!$C$21, $C$9, 100%, $E$9)</f>
        <v>39.610199999999999</v>
      </c>
      <c r="S657" s="14">
        <f>CHOOSE(CONTROL!$C$42, 37.3332, 37.3332) * CHOOSE(CONTROL!$C$21, $C$9, 100%, $E$9)</f>
        <v>37.333199999999998</v>
      </c>
      <c r="T6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7">
        <f>(1000*CHOOSE(CONTROL!$C$42, 695, 695)*CHOOSE(CONTROL!$C$42, 0.5599, 0.5599)*CHOOSE(CONTROL!$C$42, 30, 30))/1000000</f>
        <v>11.673914999999997</v>
      </c>
      <c r="V657" s="57">
        <f>(1000*CHOOSE(CONTROL!$C$42, 500, 500)*CHOOSE(CONTROL!$C$42, 0.275, 0.275)*CHOOSE(CONTROL!$C$42, 30, 30))/1000000</f>
        <v>4.125</v>
      </c>
      <c r="W657" s="57">
        <f>(1000*CHOOSE(CONTROL!$C$42, 0.1146, 0.1146)*CHOOSE(CONTROL!$C$42, 121.5, 121.5)*CHOOSE(CONTROL!$C$42, 30, 30))/1000000</f>
        <v>0.417717</v>
      </c>
      <c r="X657" s="57">
        <f>(30*0.1790888*245000/1000000)+(30*0.2374*100000/1000000)</f>
        <v>2.0285026799999999</v>
      </c>
      <c r="Y657" s="57"/>
      <c r="Z657" s="14"/>
      <c r="AA657" s="56"/>
      <c r="AB657" s="50">
        <f>(B657*194.205+C657*267.466+D657*133.845+E657*53.484+F657*40+G657*185+H657*0+I657*100+J657*300)/(194.205+267.466+133.845+53.484+0+40+185+100+300)</f>
        <v>38.912700947409732</v>
      </c>
      <c r="AC657" s="45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38.207458992805755</v>
      </c>
    </row>
    <row r="658" spans="1:29" ht="15.75" x14ac:dyDescent="0.25">
      <c r="A658" s="32">
        <v>60936</v>
      </c>
      <c r="B658" s="14">
        <f>CHOOSE(CONTROL!$C$42, 38.0728, 38.0728) * CHOOSE(CONTROL!$C$21, $C$9, 100%, $E$9)</f>
        <v>38.072800000000001</v>
      </c>
      <c r="C658" s="14">
        <f>CHOOSE(CONTROL!$C$42, 38.0781, 38.0781) * CHOOSE(CONTROL!$C$21, $C$9, 100%, $E$9)</f>
        <v>38.078099999999999</v>
      </c>
      <c r="D658" s="14">
        <f>CHOOSE(CONTROL!$C$42, 38.3167, 38.3167) * CHOOSE(CONTROL!$C$21, $C$9, 100%, $E$9)</f>
        <v>38.316699999999997</v>
      </c>
      <c r="E658" s="14">
        <f>CHOOSE(CONTROL!$C$42, 38.3458, 38.3458) * CHOOSE(CONTROL!$C$21, $C$9, 100%, $E$9)</f>
        <v>38.345799999999997</v>
      </c>
      <c r="F658" s="14">
        <f>CHOOSE(CONTROL!$C$42, 38.0728, 38.0728)*CHOOSE(CONTROL!$C$21, $C$9, 100%, $E$9)</f>
        <v>38.072800000000001</v>
      </c>
      <c r="G658" s="14">
        <f>CHOOSE(CONTROL!$C$42, 38.0891, 38.0891)*CHOOSE(CONTROL!$C$21, $C$9, 100%, $E$9)</f>
        <v>38.089100000000002</v>
      </c>
      <c r="H658" s="14">
        <f>CHOOSE(CONTROL!$C$42, 38.3363, 38.3363) * CHOOSE(CONTROL!$C$21, $C$9, 100%, $E$9)</f>
        <v>38.336300000000001</v>
      </c>
      <c r="I658" s="14">
        <f>CHOOSE(CONTROL!$C$42, 38.2097, 38.2097)* CHOOSE(CONTROL!$C$21, $C$9, 100%, $E$9)</f>
        <v>38.209699999999998</v>
      </c>
      <c r="J658" s="14">
        <f>CHOOSE(CONTROL!$C$42, 38.0658, 38.0658)* CHOOSE(CONTROL!$C$21, $C$9, 100%, $E$9)</f>
        <v>38.065800000000003</v>
      </c>
      <c r="K658" s="53">
        <f>CHOOSE(CONTROL!$C$42, 38.2058, 38.2058) * CHOOSE(CONTROL!$C$21, $C$9, 100%, $E$9)</f>
        <v>38.205800000000004</v>
      </c>
      <c r="L658" s="14">
        <f>CHOOSE(CONTROL!$C$42, 38.9233, 38.9233) * CHOOSE(CONTROL!$C$21, $C$9, 100%, $E$9)</f>
        <v>38.923299999999998</v>
      </c>
      <c r="M658" s="14">
        <f>CHOOSE(CONTROL!$C$42, 37.2936, 37.2936) * CHOOSE(CONTROL!$C$21, $C$9, 100%, $E$9)</f>
        <v>37.293599999999998</v>
      </c>
      <c r="N658" s="14">
        <f>CHOOSE(CONTROL!$C$42, 37.3095, 37.3095) * CHOOSE(CONTROL!$C$21, $C$9, 100%, $E$9)</f>
        <v>37.3095</v>
      </c>
      <c r="O658" s="14">
        <f>CHOOSE(CONTROL!$C$42, 37.5585, 37.5585) * CHOOSE(CONTROL!$C$21, $C$9, 100%, $E$9)</f>
        <v>37.558500000000002</v>
      </c>
      <c r="P658" s="14">
        <f>CHOOSE(CONTROL!$C$42, 37.4322, 37.4322) * CHOOSE(CONTROL!$C$21, $C$9, 100%, $E$9)</f>
        <v>37.432200000000002</v>
      </c>
      <c r="Q658" s="14">
        <f>CHOOSE(CONTROL!$C$42, 38.1532, 38.1532) * CHOOSE(CONTROL!$C$21, $C$9, 100%, $E$9)</f>
        <v>38.153199999999998</v>
      </c>
      <c r="R658" s="14">
        <f>CHOOSE(CONTROL!$C$42, 38.8356, 38.8356) * CHOOSE(CONTROL!$C$21, $C$9, 100%, $E$9)</f>
        <v>38.835599999999999</v>
      </c>
      <c r="S658" s="14">
        <f>CHOOSE(CONTROL!$C$42, 36.5752, 36.5752) * CHOOSE(CONTROL!$C$21, $C$9, 100%, $E$9)</f>
        <v>36.575200000000002</v>
      </c>
      <c r="T6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7">
        <f>(1000*CHOOSE(CONTROL!$C$42, 695, 695)*CHOOSE(CONTROL!$C$42, 0.5599, 0.5599)*CHOOSE(CONTROL!$C$42, 31, 31))/1000000</f>
        <v>12.063045499999998</v>
      </c>
      <c r="V658" s="57">
        <f>(1000*CHOOSE(CONTROL!$C$42, 500, 500)*CHOOSE(CONTROL!$C$42, 0.275, 0.275)*CHOOSE(CONTROL!$C$42, 31, 31))/1000000</f>
        <v>4.2625000000000002</v>
      </c>
      <c r="W658" s="57">
        <f>(1000*CHOOSE(CONTROL!$C$42, 0.1146, 0.1146)*CHOOSE(CONTROL!$C$42, 121.5, 121.5)*CHOOSE(CONTROL!$C$42, 31, 31))/1000000</f>
        <v>0.43164089999999994</v>
      </c>
      <c r="X658" s="57">
        <f>(31*0.1790888*245000/1000000)+(31*0.2374*100000/1000000)</f>
        <v>2.0961194359999999</v>
      </c>
      <c r="Y658" s="57"/>
      <c r="Z658" s="14"/>
      <c r="AA658" s="56"/>
      <c r="AB658" s="50">
        <f>(B658*131.881+C658*277.167+D658*79.08+E658*125.872+F658*40+G658*185+H658*0+I658*100+J658*300)/(131.881+277.167+79.08+125.872+0+40+185+100+300)</f>
        <v>38.129075345520576</v>
      </c>
      <c r="AC658" s="45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37.434520143884896</v>
      </c>
    </row>
    <row r="659" spans="1:29" ht="15.75" x14ac:dyDescent="0.25">
      <c r="A659" s="32">
        <v>60966</v>
      </c>
      <c r="B659" s="14">
        <f>CHOOSE(CONTROL!$C$42, 39.0752, 39.0752) * CHOOSE(CONTROL!$C$21, $C$9, 100%, $E$9)</f>
        <v>39.075200000000002</v>
      </c>
      <c r="C659" s="14">
        <f>CHOOSE(CONTROL!$C$42, 39.0802, 39.0802) * CHOOSE(CONTROL!$C$21, $C$9, 100%, $E$9)</f>
        <v>39.080199999999998</v>
      </c>
      <c r="D659" s="14">
        <f>CHOOSE(CONTROL!$C$42, 39.1544, 39.1544) * CHOOSE(CONTROL!$C$21, $C$9, 100%, $E$9)</f>
        <v>39.154400000000003</v>
      </c>
      <c r="E659" s="14">
        <f>CHOOSE(CONTROL!$C$42, 39.1885, 39.1885) * CHOOSE(CONTROL!$C$21, $C$9, 100%, $E$9)</f>
        <v>39.188499999999998</v>
      </c>
      <c r="F659" s="14">
        <f>CHOOSE(CONTROL!$C$42, 39.0872, 39.0872)*CHOOSE(CONTROL!$C$21, $C$9, 100%, $E$9)</f>
        <v>39.087200000000003</v>
      </c>
      <c r="G659" s="14">
        <f>CHOOSE(CONTROL!$C$42, 39.1038, 39.1038)*CHOOSE(CONTROL!$C$21, $C$9, 100%, $E$9)</f>
        <v>39.1038</v>
      </c>
      <c r="H659" s="14">
        <f>CHOOSE(CONTROL!$C$42, 39.1777, 39.1777) * CHOOSE(CONTROL!$C$21, $C$9, 100%, $E$9)</f>
        <v>39.177700000000002</v>
      </c>
      <c r="I659" s="14">
        <f>CHOOSE(CONTROL!$C$42, 39.2219, 39.2219)* CHOOSE(CONTROL!$C$21, $C$9, 100%, $E$9)</f>
        <v>39.221899999999998</v>
      </c>
      <c r="J659" s="14">
        <f>CHOOSE(CONTROL!$C$42, 39.0802, 39.0802)* CHOOSE(CONTROL!$C$21, $C$9, 100%, $E$9)</f>
        <v>39.080199999999998</v>
      </c>
      <c r="K659" s="53">
        <f>CHOOSE(CONTROL!$C$42, 39.218, 39.218) * CHOOSE(CONTROL!$C$21, $C$9, 100%, $E$9)</f>
        <v>39.218000000000004</v>
      </c>
      <c r="L659" s="14">
        <f>CHOOSE(CONTROL!$C$42, 39.7647, 39.7647) * CHOOSE(CONTROL!$C$21, $C$9, 100%, $E$9)</f>
        <v>39.764699999999998</v>
      </c>
      <c r="M659" s="14">
        <f>CHOOSE(CONTROL!$C$42, 38.2872, 38.2872) * CHOOSE(CONTROL!$C$21, $C$9, 100%, $E$9)</f>
        <v>38.287199999999999</v>
      </c>
      <c r="N659" s="14">
        <f>CHOOSE(CONTROL!$C$42, 38.3034, 38.3034) * CHOOSE(CONTROL!$C$21, $C$9, 100%, $E$9)</f>
        <v>38.303400000000003</v>
      </c>
      <c r="O659" s="14">
        <f>CHOOSE(CONTROL!$C$42, 38.3827, 38.3827) * CHOOSE(CONTROL!$C$21, $C$9, 100%, $E$9)</f>
        <v>38.3827</v>
      </c>
      <c r="P659" s="14">
        <f>CHOOSE(CONTROL!$C$42, 38.4235, 38.4235) * CHOOSE(CONTROL!$C$21, $C$9, 100%, $E$9)</f>
        <v>38.423499999999997</v>
      </c>
      <c r="Q659" s="14">
        <f>CHOOSE(CONTROL!$C$42, 38.9774, 38.9774) * CHOOSE(CONTROL!$C$21, $C$9, 100%, $E$9)</f>
        <v>38.977400000000003</v>
      </c>
      <c r="R659" s="14">
        <f>CHOOSE(CONTROL!$C$42, 39.6619, 39.6619) * CHOOSE(CONTROL!$C$21, $C$9, 100%, $E$9)</f>
        <v>39.661900000000003</v>
      </c>
      <c r="S659" s="14">
        <f>CHOOSE(CONTROL!$C$42, 37.5388, 37.5388) * CHOOSE(CONTROL!$C$21, $C$9, 100%, $E$9)</f>
        <v>37.538800000000002</v>
      </c>
      <c r="T6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7">
        <f>(1000*CHOOSE(CONTROL!$C$42, 695, 695)*CHOOSE(CONTROL!$C$42, 0.5599, 0.5599)*CHOOSE(CONTROL!$C$42, 30, 30))/1000000</f>
        <v>11.673914999999997</v>
      </c>
      <c r="V659" s="57">
        <f>(1000*CHOOSE(CONTROL!$C$42, 500, 500)*CHOOSE(CONTROL!$C$42, 0.275, 0.275)*CHOOSE(CONTROL!$C$42, 30, 30))/1000000</f>
        <v>4.125</v>
      </c>
      <c r="W659" s="57">
        <f>(1000*CHOOSE(CONTROL!$C$42, 0.1146, 0.1146)*CHOOSE(CONTROL!$C$42, 121.5, 121.5)*CHOOSE(CONTROL!$C$42, 30, 30))/1000000</f>
        <v>0.417717</v>
      </c>
      <c r="X659" s="57">
        <f>(30*0.1790888*100000/1000000)+(30*0.2374*100000/1000000)</f>
        <v>1.2494664</v>
      </c>
      <c r="Y659" s="57"/>
      <c r="Z659" s="14"/>
      <c r="AA659" s="56"/>
      <c r="AB659" s="50">
        <f>(B659*122.58+C659*297.941+D659*89.177+E659*40.302+F659*40+G659*160+H659*0+I659*100+J659*300)/(122.58+297.941+89.177+40.302+0+40+160+100+300)</f>
        <v>39.105064991304353</v>
      </c>
      <c r="AC659" s="45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38.351028057553954</v>
      </c>
    </row>
    <row r="660" spans="1:29" ht="15.75" x14ac:dyDescent="0.25">
      <c r="A660" s="32">
        <v>60997</v>
      </c>
      <c r="B660" s="14">
        <f>CHOOSE(CONTROL!$C$42, 41.7386, 41.7386) * CHOOSE(CONTROL!$C$21, $C$9, 100%, $E$9)</f>
        <v>41.738599999999998</v>
      </c>
      <c r="C660" s="14">
        <f>CHOOSE(CONTROL!$C$42, 41.7437, 41.7437) * CHOOSE(CONTROL!$C$21, $C$9, 100%, $E$9)</f>
        <v>41.743699999999997</v>
      </c>
      <c r="D660" s="14">
        <f>CHOOSE(CONTROL!$C$42, 41.8179, 41.8179) * CHOOSE(CONTROL!$C$21, $C$9, 100%, $E$9)</f>
        <v>41.817900000000002</v>
      </c>
      <c r="E660" s="14">
        <f>CHOOSE(CONTROL!$C$42, 41.852, 41.852) * CHOOSE(CONTROL!$C$21, $C$9, 100%, $E$9)</f>
        <v>41.851999999999997</v>
      </c>
      <c r="F660" s="14">
        <f>CHOOSE(CONTROL!$C$42, 41.7529, 41.7529)*CHOOSE(CONTROL!$C$21, $C$9, 100%, $E$9)</f>
        <v>41.752899999999997</v>
      </c>
      <c r="G660" s="14">
        <f>CHOOSE(CONTROL!$C$42, 41.77, 41.77)*CHOOSE(CONTROL!$C$21, $C$9, 100%, $E$9)</f>
        <v>41.77</v>
      </c>
      <c r="H660" s="14">
        <f>CHOOSE(CONTROL!$C$42, 41.8412, 41.8412) * CHOOSE(CONTROL!$C$21, $C$9, 100%, $E$9)</f>
        <v>41.841200000000001</v>
      </c>
      <c r="I660" s="14">
        <f>CHOOSE(CONTROL!$C$42, 41.8937, 41.8937)* CHOOSE(CONTROL!$C$21, $C$9, 100%, $E$9)</f>
        <v>41.893700000000003</v>
      </c>
      <c r="J660" s="14">
        <f>CHOOSE(CONTROL!$C$42, 41.7459, 41.7459)* CHOOSE(CONTROL!$C$21, $C$9, 100%, $E$9)</f>
        <v>41.745899999999999</v>
      </c>
      <c r="K660" s="53">
        <f>CHOOSE(CONTROL!$C$42, 41.8898, 41.8898) * CHOOSE(CONTROL!$C$21, $C$9, 100%, $E$9)</f>
        <v>41.889800000000001</v>
      </c>
      <c r="L660" s="14">
        <f>CHOOSE(CONTROL!$C$42, 42.4282, 42.4282) * CHOOSE(CONTROL!$C$21, $C$9, 100%, $E$9)</f>
        <v>42.428199999999997</v>
      </c>
      <c r="M660" s="14">
        <f>CHOOSE(CONTROL!$C$42, 40.8982, 40.8982) * CHOOSE(CONTROL!$C$21, $C$9, 100%, $E$9)</f>
        <v>40.898200000000003</v>
      </c>
      <c r="N660" s="14">
        <f>CHOOSE(CONTROL!$C$42, 40.915, 40.915) * CHOOSE(CONTROL!$C$21, $C$9, 100%, $E$9)</f>
        <v>40.914999999999999</v>
      </c>
      <c r="O660" s="14">
        <f>CHOOSE(CONTROL!$C$42, 40.9916, 40.9916) * CHOOSE(CONTROL!$C$21, $C$9, 100%, $E$9)</f>
        <v>40.991599999999998</v>
      </c>
      <c r="P660" s="14">
        <f>CHOOSE(CONTROL!$C$42, 41.0404, 41.0404) * CHOOSE(CONTROL!$C$21, $C$9, 100%, $E$9)</f>
        <v>41.040399999999998</v>
      </c>
      <c r="Q660" s="14">
        <f>CHOOSE(CONTROL!$C$42, 41.5863, 41.5863) * CHOOSE(CONTROL!$C$21, $C$9, 100%, $E$9)</f>
        <v>41.586300000000001</v>
      </c>
      <c r="R660" s="14">
        <f>CHOOSE(CONTROL!$C$42, 42.2773, 42.2773) * CHOOSE(CONTROL!$C$21, $C$9, 100%, $E$9)</f>
        <v>42.277299999999997</v>
      </c>
      <c r="S660" s="14">
        <f>CHOOSE(CONTROL!$C$42, 40.0981, 40.0981) * CHOOSE(CONTROL!$C$21, $C$9, 100%, $E$9)</f>
        <v>40.098100000000002</v>
      </c>
      <c r="T6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7">
        <f>(1000*CHOOSE(CONTROL!$C$42, 695, 695)*CHOOSE(CONTROL!$C$42, 0.5599, 0.5599)*CHOOSE(CONTROL!$C$42, 31, 31))/1000000</f>
        <v>12.063045499999998</v>
      </c>
      <c r="V660" s="57">
        <f>(1000*CHOOSE(CONTROL!$C$42, 500, 500)*CHOOSE(CONTROL!$C$42, 0.275, 0.275)*CHOOSE(CONTROL!$C$42, 31, 31))/1000000</f>
        <v>4.2625000000000002</v>
      </c>
      <c r="W660" s="57">
        <f>(1000*CHOOSE(CONTROL!$C$42, 0.1146, 0.1146)*CHOOSE(CONTROL!$C$42, 121.5, 121.5)*CHOOSE(CONTROL!$C$42, 31, 31))/1000000</f>
        <v>0.43164089999999994</v>
      </c>
      <c r="X660" s="57">
        <f>(31*0.1790888*100000/1000000)+(31*0.2374*100000/1000000)</f>
        <v>1.2911152800000001</v>
      </c>
      <c r="Y660" s="57"/>
      <c r="Z660" s="14"/>
      <c r="AA660" s="56"/>
      <c r="AB660" s="50">
        <f>(B660*122.58+C660*297.941+D660*89.177+E660*40.302+F660*40+G660*160+H660*0+I660*100+J660*300)/(122.58+297.941+89.177+40.302+0+40+160+100+300)</f>
        <v>41.770302158260868</v>
      </c>
      <c r="AC660" s="45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40.961959712230218</v>
      </c>
    </row>
    <row r="661" spans="1:29" ht="15.75" x14ac:dyDescent="0.25">
      <c r="A661" s="32">
        <v>61028</v>
      </c>
      <c r="B661" s="14">
        <f>CHOOSE(CONTROL!$C$42, 45.198, 45.198) * CHOOSE(CONTROL!$C$21, $C$9, 100%, $E$9)</f>
        <v>45.198</v>
      </c>
      <c r="C661" s="14">
        <f>CHOOSE(CONTROL!$C$42, 45.203, 45.203) * CHOOSE(CONTROL!$C$21, $C$9, 100%, $E$9)</f>
        <v>45.203000000000003</v>
      </c>
      <c r="D661" s="14">
        <f>CHOOSE(CONTROL!$C$42, 45.2799, 45.2799) * CHOOSE(CONTROL!$C$21, $C$9, 100%, $E$9)</f>
        <v>45.279899999999998</v>
      </c>
      <c r="E661" s="14">
        <f>CHOOSE(CONTROL!$C$42, 45.314, 45.314) * CHOOSE(CONTROL!$C$21, $C$9, 100%, $E$9)</f>
        <v>45.314</v>
      </c>
      <c r="F661" s="14">
        <f>CHOOSE(CONTROL!$C$42, 45.1982, 45.1982)*CHOOSE(CONTROL!$C$21, $C$9, 100%, $E$9)</f>
        <v>45.1982</v>
      </c>
      <c r="G661" s="14">
        <f>CHOOSE(CONTROL!$C$42, 45.2144, 45.2144)*CHOOSE(CONTROL!$C$21, $C$9, 100%, $E$9)</f>
        <v>45.214399999999998</v>
      </c>
      <c r="H661" s="14">
        <f>CHOOSE(CONTROL!$C$42, 45.3032, 45.3032) * CHOOSE(CONTROL!$C$21, $C$9, 100%, $E$9)</f>
        <v>45.303199999999997</v>
      </c>
      <c r="I661" s="14">
        <f>CHOOSE(CONTROL!$C$42, 45.3576, 45.3576)* CHOOSE(CONTROL!$C$21, $C$9, 100%, $E$9)</f>
        <v>45.357599999999998</v>
      </c>
      <c r="J661" s="14">
        <f>CHOOSE(CONTROL!$C$42, 45.1912, 45.1912)* CHOOSE(CONTROL!$C$21, $C$9, 100%, $E$9)</f>
        <v>45.191200000000002</v>
      </c>
      <c r="K661" s="53">
        <f>CHOOSE(CONTROL!$C$42, 45.3537, 45.3537) * CHOOSE(CONTROL!$C$21, $C$9, 100%, $E$9)</f>
        <v>45.353700000000003</v>
      </c>
      <c r="L661" s="14">
        <f>CHOOSE(CONTROL!$C$42, 45.8902, 45.8902) * CHOOSE(CONTROL!$C$21, $C$9, 100%, $E$9)</f>
        <v>45.8902</v>
      </c>
      <c r="M661" s="14">
        <f>CHOOSE(CONTROL!$C$42, 44.2729, 44.2729) * CHOOSE(CONTROL!$C$21, $C$9, 100%, $E$9)</f>
        <v>44.2729</v>
      </c>
      <c r="N661" s="14">
        <f>CHOOSE(CONTROL!$C$42, 44.2888, 44.2888) * CHOOSE(CONTROL!$C$21, $C$9, 100%, $E$9)</f>
        <v>44.288800000000002</v>
      </c>
      <c r="O661" s="14">
        <f>CHOOSE(CONTROL!$C$42, 44.3826, 44.3826) * CHOOSE(CONTROL!$C$21, $C$9, 100%, $E$9)</f>
        <v>44.382599999999996</v>
      </c>
      <c r="P661" s="14">
        <f>CHOOSE(CONTROL!$C$42, 44.4332, 44.4332) * CHOOSE(CONTROL!$C$21, $C$9, 100%, $E$9)</f>
        <v>44.433199999999999</v>
      </c>
      <c r="Q661" s="14">
        <f>CHOOSE(CONTROL!$C$42, 44.9773, 44.9773) * CHOOSE(CONTROL!$C$21, $C$9, 100%, $E$9)</f>
        <v>44.9773</v>
      </c>
      <c r="R661" s="14">
        <f>CHOOSE(CONTROL!$C$42, 45.6768, 45.6768) * CHOOSE(CONTROL!$C$21, $C$9, 100%, $E$9)</f>
        <v>45.6768</v>
      </c>
      <c r="S661" s="14">
        <f>CHOOSE(CONTROL!$C$42, 43.4222, 43.4222) * CHOOSE(CONTROL!$C$21, $C$9, 100%, $E$9)</f>
        <v>43.422199999999997</v>
      </c>
      <c r="T6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7">
        <f>(1000*CHOOSE(CONTROL!$C$42, 695, 695)*CHOOSE(CONTROL!$C$42, 0.5599, 0.5599)*CHOOSE(CONTROL!$C$42, 31, 31))/1000000</f>
        <v>12.063045499999998</v>
      </c>
      <c r="V661" s="57">
        <f>(1000*CHOOSE(CONTROL!$C$42, 500, 500)*CHOOSE(CONTROL!$C$42, 0.275, 0.275)*CHOOSE(CONTROL!$C$42, 31, 31))/1000000</f>
        <v>4.2625000000000002</v>
      </c>
      <c r="W661" s="57">
        <f>(1000*CHOOSE(CONTROL!$C$42, 0.1146, 0.1146)*CHOOSE(CONTROL!$C$42, 121.5, 121.5)*CHOOSE(CONTROL!$C$42, 31, 31))/1000000</f>
        <v>0.43164089999999994</v>
      </c>
      <c r="X661" s="57">
        <f>(31*0.1790888*100000/1000000)+(31*0.2374*100000/1000000)</f>
        <v>1.2911152800000001</v>
      </c>
      <c r="Y661" s="57"/>
      <c r="Z661" s="14"/>
      <c r="AA661" s="56"/>
      <c r="AB661" s="50">
        <f>(B661*122.58+C661*297.941+D661*89.177+E661*40.302+F661*40+G661*160+H661*0+I661*100+J661*300)/(122.58+297.941+89.177+40.302+0+40+160+100+300)</f>
        <v>45.224104637652175</v>
      </c>
      <c r="AC661" s="45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44.346599999999995</v>
      </c>
    </row>
    <row r="662" spans="1:29" ht="15.75" x14ac:dyDescent="0.25">
      <c r="A662" s="32">
        <v>61056</v>
      </c>
      <c r="B662" s="14">
        <f>CHOOSE(CONTROL!$C$42, 46.0024, 46.0024) * CHOOSE(CONTROL!$C$21, $C$9, 100%, $E$9)</f>
        <v>46.002400000000002</v>
      </c>
      <c r="C662" s="14">
        <f>CHOOSE(CONTROL!$C$42, 46.0075, 46.0075) * CHOOSE(CONTROL!$C$21, $C$9, 100%, $E$9)</f>
        <v>46.0075</v>
      </c>
      <c r="D662" s="14">
        <f>CHOOSE(CONTROL!$C$42, 46.0843, 46.0843) * CHOOSE(CONTROL!$C$21, $C$9, 100%, $E$9)</f>
        <v>46.084299999999999</v>
      </c>
      <c r="E662" s="14">
        <f>CHOOSE(CONTROL!$C$42, 46.1184, 46.1184) * CHOOSE(CONTROL!$C$21, $C$9, 100%, $E$9)</f>
        <v>46.118400000000001</v>
      </c>
      <c r="F662" s="14">
        <f>CHOOSE(CONTROL!$C$42, 46.0027, 46.0027)*CHOOSE(CONTROL!$C$21, $C$9, 100%, $E$9)</f>
        <v>46.002699999999997</v>
      </c>
      <c r="G662" s="14">
        <f>CHOOSE(CONTROL!$C$42, 46.0189, 46.0189)*CHOOSE(CONTROL!$C$21, $C$9, 100%, $E$9)</f>
        <v>46.018900000000002</v>
      </c>
      <c r="H662" s="14">
        <f>CHOOSE(CONTROL!$C$42, 46.1076, 46.1076) * CHOOSE(CONTROL!$C$21, $C$9, 100%, $E$9)</f>
        <v>46.107599999999998</v>
      </c>
      <c r="I662" s="14">
        <f>CHOOSE(CONTROL!$C$42, 46.1645, 46.1645)* CHOOSE(CONTROL!$C$21, $C$9, 100%, $E$9)</f>
        <v>46.164499999999997</v>
      </c>
      <c r="J662" s="14">
        <f>CHOOSE(CONTROL!$C$42, 45.9957, 45.9957)* CHOOSE(CONTROL!$C$21, $C$9, 100%, $E$9)</f>
        <v>45.995699999999999</v>
      </c>
      <c r="K662" s="53">
        <f>CHOOSE(CONTROL!$C$42, 46.1606, 46.1606) * CHOOSE(CONTROL!$C$21, $C$9, 100%, $E$9)</f>
        <v>46.160600000000002</v>
      </c>
      <c r="L662" s="14">
        <f>CHOOSE(CONTROL!$C$42, 46.6946, 46.6946) * CHOOSE(CONTROL!$C$21, $C$9, 100%, $E$9)</f>
        <v>46.694600000000001</v>
      </c>
      <c r="M662" s="14">
        <f>CHOOSE(CONTROL!$C$42, 45.0609, 45.0609) * CHOOSE(CONTROL!$C$21, $C$9, 100%, $E$9)</f>
        <v>45.060899999999997</v>
      </c>
      <c r="N662" s="14">
        <f>CHOOSE(CONTROL!$C$42, 45.0768, 45.0768) * CHOOSE(CONTROL!$C$21, $C$9, 100%, $E$9)</f>
        <v>45.076799999999999</v>
      </c>
      <c r="O662" s="14">
        <f>CHOOSE(CONTROL!$C$42, 45.1706, 45.1706) * CHOOSE(CONTROL!$C$21, $C$9, 100%, $E$9)</f>
        <v>45.1706</v>
      </c>
      <c r="P662" s="14">
        <f>CHOOSE(CONTROL!$C$42, 45.2235, 45.2235) * CHOOSE(CONTROL!$C$21, $C$9, 100%, $E$9)</f>
        <v>45.223500000000001</v>
      </c>
      <c r="Q662" s="14">
        <f>CHOOSE(CONTROL!$C$42, 45.7653, 45.7653) * CHOOSE(CONTROL!$C$21, $C$9, 100%, $E$9)</f>
        <v>45.765300000000003</v>
      </c>
      <c r="R662" s="14">
        <f>CHOOSE(CONTROL!$C$42, 46.4667, 46.4667) * CHOOSE(CONTROL!$C$21, $C$9, 100%, $E$9)</f>
        <v>46.466700000000003</v>
      </c>
      <c r="S662" s="14">
        <f>CHOOSE(CONTROL!$C$42, 44.1952, 44.1952) * CHOOSE(CONTROL!$C$21, $C$9, 100%, $E$9)</f>
        <v>44.1952</v>
      </c>
      <c r="T6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7">
        <f>(1000*CHOOSE(CONTROL!$C$42, 695, 695)*CHOOSE(CONTROL!$C$42, 0.5599, 0.5599)*CHOOSE(CONTROL!$C$42, 28, 28))/1000000</f>
        <v>10.895653999999999</v>
      </c>
      <c r="V662" s="57">
        <f>(1000*CHOOSE(CONTROL!$C$42, 500, 500)*CHOOSE(CONTROL!$C$42, 0.275, 0.275)*CHOOSE(CONTROL!$C$42, 28, 28))/1000000</f>
        <v>3.85</v>
      </c>
      <c r="W662" s="57">
        <f>(1000*CHOOSE(CONTROL!$C$42, 0.1146, 0.1146)*CHOOSE(CONTROL!$C$42, 121.5, 121.5)*CHOOSE(CONTROL!$C$42, 28, 28))/1000000</f>
        <v>0.38986920000000003</v>
      </c>
      <c r="X662" s="57">
        <f>(28*0.1790888*100000/1000000)+(28*0.2374*100000/1000000)</f>
        <v>1.16616864</v>
      </c>
      <c r="Y662" s="57"/>
      <c r="Z662" s="14"/>
      <c r="AA662" s="56"/>
      <c r="AB662" s="50">
        <f>(B662*122.58+C662*297.941+D662*89.177+E662*40.302+F662*40+G662*160+H662*0+I662*100+J662*300)/(122.58+297.941+89.177+40.302+0+40+160+100+300)</f>
        <v>46.028791415130428</v>
      </c>
      <c r="AC662" s="45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45.134930935251802</v>
      </c>
    </row>
    <row r="663" spans="1:29" ht="15.75" x14ac:dyDescent="0.25">
      <c r="A663" s="32">
        <v>61087</v>
      </c>
      <c r="B663" s="14">
        <f>CHOOSE(CONTROL!$C$42, 44.6966, 44.6966) * CHOOSE(CONTROL!$C$21, $C$9, 100%, $E$9)</f>
        <v>44.696599999999997</v>
      </c>
      <c r="C663" s="14">
        <f>CHOOSE(CONTROL!$C$42, 44.7017, 44.7017) * CHOOSE(CONTROL!$C$21, $C$9, 100%, $E$9)</f>
        <v>44.701700000000002</v>
      </c>
      <c r="D663" s="14">
        <f>CHOOSE(CONTROL!$C$42, 44.7785, 44.7785) * CHOOSE(CONTROL!$C$21, $C$9, 100%, $E$9)</f>
        <v>44.778500000000001</v>
      </c>
      <c r="E663" s="14">
        <f>CHOOSE(CONTROL!$C$42, 44.8126, 44.8126) * CHOOSE(CONTROL!$C$21, $C$9, 100%, $E$9)</f>
        <v>44.812600000000003</v>
      </c>
      <c r="F663" s="14">
        <f>CHOOSE(CONTROL!$C$42, 44.6964, 44.6964)*CHOOSE(CONTROL!$C$21, $C$9, 100%, $E$9)</f>
        <v>44.696399999999997</v>
      </c>
      <c r="G663" s="14">
        <f>CHOOSE(CONTROL!$C$42, 44.7125, 44.7125)*CHOOSE(CONTROL!$C$21, $C$9, 100%, $E$9)</f>
        <v>44.712499999999999</v>
      </c>
      <c r="H663" s="14">
        <f>CHOOSE(CONTROL!$C$42, 44.8018, 44.8018) * CHOOSE(CONTROL!$C$21, $C$9, 100%, $E$9)</f>
        <v>44.8018</v>
      </c>
      <c r="I663" s="14">
        <f>CHOOSE(CONTROL!$C$42, 44.8547, 44.8547)* CHOOSE(CONTROL!$C$21, $C$9, 100%, $E$9)</f>
        <v>44.854700000000001</v>
      </c>
      <c r="J663" s="14">
        <f>CHOOSE(CONTROL!$C$42, 44.6894, 44.6894)* CHOOSE(CONTROL!$C$21, $C$9, 100%, $E$9)</f>
        <v>44.689399999999999</v>
      </c>
      <c r="K663" s="53">
        <f>CHOOSE(CONTROL!$C$42, 44.8508, 44.8508) * CHOOSE(CONTROL!$C$21, $C$9, 100%, $E$9)</f>
        <v>44.8508</v>
      </c>
      <c r="L663" s="14">
        <f>CHOOSE(CONTROL!$C$42, 45.3888, 45.3888) * CHOOSE(CONTROL!$C$21, $C$9, 100%, $E$9)</f>
        <v>45.388800000000003</v>
      </c>
      <c r="M663" s="14">
        <f>CHOOSE(CONTROL!$C$42, 43.7815, 43.7815) * CHOOSE(CONTROL!$C$21, $C$9, 100%, $E$9)</f>
        <v>43.781500000000001</v>
      </c>
      <c r="N663" s="14">
        <f>CHOOSE(CONTROL!$C$42, 43.7972, 43.7972) * CHOOSE(CONTROL!$C$21, $C$9, 100%, $E$9)</f>
        <v>43.797199999999997</v>
      </c>
      <c r="O663" s="14">
        <f>CHOOSE(CONTROL!$C$42, 43.8915, 43.8915) * CHOOSE(CONTROL!$C$21, $C$9, 100%, $E$9)</f>
        <v>43.891500000000001</v>
      </c>
      <c r="P663" s="14">
        <f>CHOOSE(CONTROL!$C$42, 43.9406, 43.9406) * CHOOSE(CONTROL!$C$21, $C$9, 100%, $E$9)</f>
        <v>43.940600000000003</v>
      </c>
      <c r="Q663" s="14">
        <f>CHOOSE(CONTROL!$C$42, 44.4862, 44.4862) * CHOOSE(CONTROL!$C$21, $C$9, 100%, $E$9)</f>
        <v>44.486199999999997</v>
      </c>
      <c r="R663" s="14">
        <f>CHOOSE(CONTROL!$C$42, 45.1845, 45.1845) * CHOOSE(CONTROL!$C$21, $C$9, 100%, $E$9)</f>
        <v>45.1845</v>
      </c>
      <c r="S663" s="14">
        <f>CHOOSE(CONTROL!$C$42, 42.9404, 42.9404) * CHOOSE(CONTROL!$C$21, $C$9, 100%, $E$9)</f>
        <v>42.940399999999997</v>
      </c>
      <c r="T6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7">
        <f>(1000*CHOOSE(CONTROL!$C$42, 695, 695)*CHOOSE(CONTROL!$C$42, 0.5599, 0.5599)*CHOOSE(CONTROL!$C$42, 31, 31))/1000000</f>
        <v>12.063045499999998</v>
      </c>
      <c r="V663" s="57">
        <f>(1000*CHOOSE(CONTROL!$C$42, 500, 500)*CHOOSE(CONTROL!$C$42, 0.275, 0.275)*CHOOSE(CONTROL!$C$42, 31, 31))/1000000</f>
        <v>4.2625000000000002</v>
      </c>
      <c r="W663" s="57">
        <f>(1000*CHOOSE(CONTROL!$C$42, 0.1146, 0.1146)*CHOOSE(CONTROL!$C$42, 121.5, 121.5)*CHOOSE(CONTROL!$C$42, 31, 31))/1000000</f>
        <v>0.43164089999999994</v>
      </c>
      <c r="X663" s="57">
        <f>(31*0.1790888*100000/1000000)+(31*0.2374*100000/1000000)</f>
        <v>1.2911152800000001</v>
      </c>
      <c r="Y663" s="57"/>
      <c r="Z663" s="14"/>
      <c r="AA663" s="56"/>
      <c r="AB663" s="50">
        <f>(B663*122.58+C663*297.941+D663*89.177+E663*40.302+F663*40+G663*160+H663*0+I663*100+J663*300)/(122.58+297.941+89.177+40.302+0+40+160+100+300)</f>
        <v>44.72241228469565</v>
      </c>
      <c r="AC663" s="45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43.855151798561153</v>
      </c>
    </row>
    <row r="664" spans="1:29" ht="15.75" x14ac:dyDescent="0.25">
      <c r="A664" s="32">
        <v>61117</v>
      </c>
      <c r="B664" s="14">
        <f>CHOOSE(CONTROL!$C$42, 44.5641, 44.5641) * CHOOSE(CONTROL!$C$21, $C$9, 100%, $E$9)</f>
        <v>44.564100000000003</v>
      </c>
      <c r="C664" s="14">
        <f>CHOOSE(CONTROL!$C$42, 44.5685, 44.5685) * CHOOSE(CONTROL!$C$21, $C$9, 100%, $E$9)</f>
        <v>44.5685</v>
      </c>
      <c r="D664" s="14">
        <f>CHOOSE(CONTROL!$C$42, 44.8053, 44.8053) * CHOOSE(CONTROL!$C$21, $C$9, 100%, $E$9)</f>
        <v>44.805300000000003</v>
      </c>
      <c r="E664" s="14">
        <f>CHOOSE(CONTROL!$C$42, 44.8374, 44.8374) * CHOOSE(CONTROL!$C$21, $C$9, 100%, $E$9)</f>
        <v>44.837400000000002</v>
      </c>
      <c r="F664" s="14">
        <f>CHOOSE(CONTROL!$C$42, 44.562, 44.562)*CHOOSE(CONTROL!$C$21, $C$9, 100%, $E$9)</f>
        <v>44.561999999999998</v>
      </c>
      <c r="G664" s="14">
        <f>CHOOSE(CONTROL!$C$42, 44.5778, 44.5778)*CHOOSE(CONTROL!$C$21, $C$9, 100%, $E$9)</f>
        <v>44.577800000000003</v>
      </c>
      <c r="H664" s="14">
        <f>CHOOSE(CONTROL!$C$42, 44.8272, 44.8272) * CHOOSE(CONTROL!$C$21, $C$9, 100%, $E$9)</f>
        <v>44.827199999999998</v>
      </c>
      <c r="I664" s="14">
        <f>CHOOSE(CONTROL!$C$42, 44.7209, 44.7209)* CHOOSE(CONTROL!$C$21, $C$9, 100%, $E$9)</f>
        <v>44.7209</v>
      </c>
      <c r="J664" s="14">
        <f>CHOOSE(CONTROL!$C$42, 44.555, 44.555)* CHOOSE(CONTROL!$C$21, $C$9, 100%, $E$9)</f>
        <v>44.555</v>
      </c>
      <c r="K664" s="53">
        <f>CHOOSE(CONTROL!$C$42, 44.717, 44.717) * CHOOSE(CONTROL!$C$21, $C$9, 100%, $E$9)</f>
        <v>44.716999999999999</v>
      </c>
      <c r="L664" s="14">
        <f>CHOOSE(CONTROL!$C$42, 45.4142, 45.4142) * CHOOSE(CONTROL!$C$21, $C$9, 100%, $E$9)</f>
        <v>45.414200000000001</v>
      </c>
      <c r="M664" s="14">
        <f>CHOOSE(CONTROL!$C$42, 43.6498, 43.6498) * CHOOSE(CONTROL!$C$21, $C$9, 100%, $E$9)</f>
        <v>43.649799999999999</v>
      </c>
      <c r="N664" s="14">
        <f>CHOOSE(CONTROL!$C$42, 43.6653, 43.6653) * CHOOSE(CONTROL!$C$21, $C$9, 100%, $E$9)</f>
        <v>43.665300000000002</v>
      </c>
      <c r="O664" s="14">
        <f>CHOOSE(CONTROL!$C$42, 43.9164, 43.9164) * CHOOSE(CONTROL!$C$21, $C$9, 100%, $E$9)</f>
        <v>43.916400000000003</v>
      </c>
      <c r="P664" s="14">
        <f>CHOOSE(CONTROL!$C$42, 43.8096, 43.8096) * CHOOSE(CONTROL!$C$21, $C$9, 100%, $E$9)</f>
        <v>43.809600000000003</v>
      </c>
      <c r="Q664" s="14">
        <f>CHOOSE(CONTROL!$C$42, 44.5111, 44.5111) * CHOOSE(CONTROL!$C$21, $C$9, 100%, $E$9)</f>
        <v>44.511099999999999</v>
      </c>
      <c r="R664" s="14">
        <f>CHOOSE(CONTROL!$C$42, 45.2094, 45.2094) * CHOOSE(CONTROL!$C$21, $C$9, 100%, $E$9)</f>
        <v>45.209400000000002</v>
      </c>
      <c r="S664" s="14">
        <f>CHOOSE(CONTROL!$C$42, 42.8123, 42.8123) * CHOOSE(CONTROL!$C$21, $C$9, 100%, $E$9)</f>
        <v>42.8123</v>
      </c>
      <c r="T6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7">
        <f>(1000*CHOOSE(CONTROL!$C$42, 695, 695)*CHOOSE(CONTROL!$C$42, 0.5599, 0.5599)*CHOOSE(CONTROL!$C$42, 30, 30))/1000000</f>
        <v>11.673914999999997</v>
      </c>
      <c r="V664" s="57">
        <f>(1000*CHOOSE(CONTROL!$C$42, 500, 500)*CHOOSE(CONTROL!$C$42, 0.275, 0.275)*CHOOSE(CONTROL!$C$42, 30, 30))/1000000</f>
        <v>4.125</v>
      </c>
      <c r="W664" s="57">
        <f>(1000*CHOOSE(CONTROL!$C$42, 0.1146, 0.1146)*CHOOSE(CONTROL!$C$42, 121.5, 121.5)*CHOOSE(CONTROL!$C$42, 30, 30))/1000000</f>
        <v>0.417717</v>
      </c>
      <c r="X664" s="57">
        <f>(30*0.1790888*245000/1000000)+(30*0.2374*100000/1000000)</f>
        <v>2.0285026799999999</v>
      </c>
      <c r="Y664" s="57"/>
      <c r="Z664" s="14"/>
      <c r="AA664" s="56"/>
      <c r="AB664" s="50">
        <f>(B664*141.293+C664*267.993+D664*115.016+E664*89.698+F664*40+G664*185+H664*0+I664*100+J664*300)/(141.293+267.993+115.016+89.698+0+40+185+100+300)</f>
        <v>44.619657701210656</v>
      </c>
      <c r="AC664" s="45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43.794517985611506</v>
      </c>
    </row>
    <row r="665" spans="1:29" ht="15.75" x14ac:dyDescent="0.25">
      <c r="A665" s="32">
        <v>61148</v>
      </c>
      <c r="B665" s="14">
        <f>CHOOSE(CONTROL!$C$42, 44.9587, 44.9587) * CHOOSE(CONTROL!$C$21, $C$9, 100%, $E$9)</f>
        <v>44.9587</v>
      </c>
      <c r="C665" s="14">
        <f>CHOOSE(CONTROL!$C$42, 44.9667, 44.9667) * CHOOSE(CONTROL!$C$21, $C$9, 100%, $E$9)</f>
        <v>44.966700000000003</v>
      </c>
      <c r="D665" s="14">
        <f>CHOOSE(CONTROL!$C$42, 45.2003, 45.2003) * CHOOSE(CONTROL!$C$21, $C$9, 100%, $E$9)</f>
        <v>45.200299999999999</v>
      </c>
      <c r="E665" s="14">
        <f>CHOOSE(CONTROL!$C$42, 45.2318, 45.2318) * CHOOSE(CONTROL!$C$21, $C$9, 100%, $E$9)</f>
        <v>45.2318</v>
      </c>
      <c r="F665" s="14">
        <f>CHOOSE(CONTROL!$C$42, 44.9555, 44.9555)*CHOOSE(CONTROL!$C$21, $C$9, 100%, $E$9)</f>
        <v>44.955500000000001</v>
      </c>
      <c r="G665" s="14">
        <f>CHOOSE(CONTROL!$C$42, 44.9718, 44.9718)*CHOOSE(CONTROL!$C$21, $C$9, 100%, $E$9)</f>
        <v>44.971800000000002</v>
      </c>
      <c r="H665" s="14">
        <f>CHOOSE(CONTROL!$C$42, 45.2204, 45.2204) * CHOOSE(CONTROL!$C$21, $C$9, 100%, $E$9)</f>
        <v>45.220399999999998</v>
      </c>
      <c r="I665" s="14">
        <f>CHOOSE(CONTROL!$C$42, 45.1154, 45.1154)* CHOOSE(CONTROL!$C$21, $C$9, 100%, $E$9)</f>
        <v>45.115400000000001</v>
      </c>
      <c r="J665" s="14">
        <f>CHOOSE(CONTROL!$C$42, 44.9485, 44.9485)* CHOOSE(CONTROL!$C$21, $C$9, 100%, $E$9)</f>
        <v>44.948500000000003</v>
      </c>
      <c r="K665" s="53">
        <f>CHOOSE(CONTROL!$C$42, 45.1115, 45.1115) * CHOOSE(CONTROL!$C$21, $C$9, 100%, $E$9)</f>
        <v>45.111499999999999</v>
      </c>
      <c r="L665" s="14">
        <f>CHOOSE(CONTROL!$C$42, 45.8074, 45.8074) * CHOOSE(CONTROL!$C$21, $C$9, 100%, $E$9)</f>
        <v>45.807400000000001</v>
      </c>
      <c r="M665" s="14">
        <f>CHOOSE(CONTROL!$C$42, 44.0352, 44.0352) * CHOOSE(CONTROL!$C$21, $C$9, 100%, $E$9)</f>
        <v>44.035200000000003</v>
      </c>
      <c r="N665" s="14">
        <f>CHOOSE(CONTROL!$C$42, 44.0512, 44.0512) * CHOOSE(CONTROL!$C$21, $C$9, 100%, $E$9)</f>
        <v>44.051200000000001</v>
      </c>
      <c r="O665" s="14">
        <f>CHOOSE(CONTROL!$C$42, 44.3016, 44.3016) * CHOOSE(CONTROL!$C$21, $C$9, 100%, $E$9)</f>
        <v>44.301600000000001</v>
      </c>
      <c r="P665" s="14">
        <f>CHOOSE(CONTROL!$C$42, 44.1959, 44.1959) * CHOOSE(CONTROL!$C$21, $C$9, 100%, $E$9)</f>
        <v>44.195900000000002</v>
      </c>
      <c r="Q665" s="14">
        <f>CHOOSE(CONTROL!$C$42, 44.8963, 44.8963) * CHOOSE(CONTROL!$C$21, $C$9, 100%, $E$9)</f>
        <v>44.896299999999997</v>
      </c>
      <c r="R665" s="14">
        <f>CHOOSE(CONTROL!$C$42, 45.5955, 45.5955) * CHOOSE(CONTROL!$C$21, $C$9, 100%, $E$9)</f>
        <v>45.595500000000001</v>
      </c>
      <c r="S665" s="14">
        <f>CHOOSE(CONTROL!$C$42, 43.1902, 43.1902) * CHOOSE(CONTROL!$C$21, $C$9, 100%, $E$9)</f>
        <v>43.190199999999997</v>
      </c>
      <c r="T6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7">
        <f>(1000*CHOOSE(CONTROL!$C$42, 695, 695)*CHOOSE(CONTROL!$C$42, 0.5599, 0.5599)*CHOOSE(CONTROL!$C$42, 31, 31))/1000000</f>
        <v>12.063045499999998</v>
      </c>
      <c r="V665" s="57">
        <f>(1000*CHOOSE(CONTROL!$C$42, 500, 500)*CHOOSE(CONTROL!$C$42, 0.275, 0.275)*CHOOSE(CONTROL!$C$42, 31, 31))/1000000</f>
        <v>4.2625000000000002</v>
      </c>
      <c r="W665" s="57">
        <f>(1000*CHOOSE(CONTROL!$C$42, 0.1146, 0.1146)*CHOOSE(CONTROL!$C$42, 121.5, 121.5)*CHOOSE(CONTROL!$C$42, 31, 31))/1000000</f>
        <v>0.43164089999999994</v>
      </c>
      <c r="X665" s="57">
        <f>(31*0.1790888*245000/1000000)+(31*0.2374*100000/1000000)</f>
        <v>2.0961194359999999</v>
      </c>
      <c r="Y665" s="57"/>
      <c r="Z665" s="14"/>
      <c r="AA665" s="56"/>
      <c r="AB665" s="50">
        <f>(B665*194.205+C665*267.466+D665*133.845+E665*53.484+F665*40+G665*185+H665*0+I665*100+J665*300)/(194.205+267.466+133.845+53.484+0+40+185+100+300)</f>
        <v>45.008926578021985</v>
      </c>
      <c r="AC665" s="45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44.179985611510794</v>
      </c>
    </row>
    <row r="666" spans="1:29" ht="15.75" x14ac:dyDescent="0.25">
      <c r="A666" s="32">
        <v>61178</v>
      </c>
      <c r="B666" s="14">
        <f>CHOOSE(CONTROL!$C$42, 46.2337, 46.2337) * CHOOSE(CONTROL!$C$21, $C$9, 100%, $E$9)</f>
        <v>46.233699999999999</v>
      </c>
      <c r="C666" s="14">
        <f>CHOOSE(CONTROL!$C$42, 46.2417, 46.2417) * CHOOSE(CONTROL!$C$21, $C$9, 100%, $E$9)</f>
        <v>46.241700000000002</v>
      </c>
      <c r="D666" s="14">
        <f>CHOOSE(CONTROL!$C$42, 46.4753, 46.4753) * CHOOSE(CONTROL!$C$21, $C$9, 100%, $E$9)</f>
        <v>46.475299999999997</v>
      </c>
      <c r="E666" s="14">
        <f>CHOOSE(CONTROL!$C$42, 46.5067, 46.5067) * CHOOSE(CONTROL!$C$21, $C$9, 100%, $E$9)</f>
        <v>46.506700000000002</v>
      </c>
      <c r="F666" s="14">
        <f>CHOOSE(CONTROL!$C$42, 46.2309, 46.2309)*CHOOSE(CONTROL!$C$21, $C$9, 100%, $E$9)</f>
        <v>46.230899999999998</v>
      </c>
      <c r="G666" s="14">
        <f>CHOOSE(CONTROL!$C$42, 46.2474, 46.2474)*CHOOSE(CONTROL!$C$21, $C$9, 100%, $E$9)</f>
        <v>46.247399999999999</v>
      </c>
      <c r="H666" s="14">
        <f>CHOOSE(CONTROL!$C$42, 46.4954, 46.4954) * CHOOSE(CONTROL!$C$21, $C$9, 100%, $E$9)</f>
        <v>46.495399999999997</v>
      </c>
      <c r="I666" s="14">
        <f>CHOOSE(CONTROL!$C$42, 46.3943, 46.3943)* CHOOSE(CONTROL!$C$21, $C$9, 100%, $E$9)</f>
        <v>46.394300000000001</v>
      </c>
      <c r="J666" s="14">
        <f>CHOOSE(CONTROL!$C$42, 46.2239, 46.2239)* CHOOSE(CONTROL!$C$21, $C$9, 100%, $E$9)</f>
        <v>46.2239</v>
      </c>
      <c r="K666" s="53">
        <f>CHOOSE(CONTROL!$C$42, 46.3904, 46.3904) * CHOOSE(CONTROL!$C$21, $C$9, 100%, $E$9)</f>
        <v>46.3904</v>
      </c>
      <c r="L666" s="14">
        <f>CHOOSE(CONTROL!$C$42, 47.0824, 47.0824) * CHOOSE(CONTROL!$C$21, $C$9, 100%, $E$9)</f>
        <v>47.0824</v>
      </c>
      <c r="M666" s="14">
        <f>CHOOSE(CONTROL!$C$42, 45.2845, 45.2845) * CHOOSE(CONTROL!$C$21, $C$9, 100%, $E$9)</f>
        <v>45.284500000000001</v>
      </c>
      <c r="N666" s="14">
        <f>CHOOSE(CONTROL!$C$42, 45.3006, 45.3006) * CHOOSE(CONTROL!$C$21, $C$9, 100%, $E$9)</f>
        <v>45.300600000000003</v>
      </c>
      <c r="O666" s="14">
        <f>CHOOSE(CONTROL!$C$42, 45.5504, 45.5504) * CHOOSE(CONTROL!$C$21, $C$9, 100%, $E$9)</f>
        <v>45.550400000000003</v>
      </c>
      <c r="P666" s="14">
        <f>CHOOSE(CONTROL!$C$42, 45.4486, 45.4486) * CHOOSE(CONTROL!$C$21, $C$9, 100%, $E$9)</f>
        <v>45.448599999999999</v>
      </c>
      <c r="Q666" s="14">
        <f>CHOOSE(CONTROL!$C$42, 46.1451, 46.1451) * CHOOSE(CONTROL!$C$21, $C$9, 100%, $E$9)</f>
        <v>46.145099999999999</v>
      </c>
      <c r="R666" s="14">
        <f>CHOOSE(CONTROL!$C$42, 46.8475, 46.8475) * CHOOSE(CONTROL!$C$21, $C$9, 100%, $E$9)</f>
        <v>46.847499999999997</v>
      </c>
      <c r="S666" s="14">
        <f>CHOOSE(CONTROL!$C$42, 44.4153, 44.4153) * CHOOSE(CONTROL!$C$21, $C$9, 100%, $E$9)</f>
        <v>44.415300000000002</v>
      </c>
      <c r="T6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7">
        <f>(1000*CHOOSE(CONTROL!$C$42, 695, 695)*CHOOSE(CONTROL!$C$42, 0.5599, 0.5599)*CHOOSE(CONTROL!$C$42, 30, 30))/1000000</f>
        <v>11.673914999999997</v>
      </c>
      <c r="V666" s="57">
        <f>(1000*CHOOSE(CONTROL!$C$42, 500, 500)*CHOOSE(CONTROL!$C$42, 0.275, 0.275)*CHOOSE(CONTROL!$C$42, 30, 30))/1000000</f>
        <v>4.125</v>
      </c>
      <c r="W666" s="57">
        <f>(1000*CHOOSE(CONTROL!$C$42, 0.1146, 0.1146)*CHOOSE(CONTROL!$C$42, 121.5, 121.5)*CHOOSE(CONTROL!$C$42, 30, 30))/1000000</f>
        <v>0.417717</v>
      </c>
      <c r="X666" s="57">
        <f>(30*0.1790888*245000/1000000)+(30*0.2374*100000/1000000)</f>
        <v>2.0285026799999999</v>
      </c>
      <c r="Y666" s="57"/>
      <c r="Z666" s="14"/>
      <c r="AA666" s="56"/>
      <c r="AB666" s="50">
        <f>(B666*194.205+C666*267.466+D666*133.845+E666*53.484+F666*40+G666*185+H666*0+I666*100+J666*300)/(194.205+267.466+133.845+53.484+0+40+185+100+300)</f>
        <v>46.284422379905806</v>
      </c>
      <c r="AC666" s="45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45.429553956834532</v>
      </c>
    </row>
    <row r="667" spans="1:29" ht="15.75" x14ac:dyDescent="0.25">
      <c r="A667" s="32">
        <v>61209</v>
      </c>
      <c r="B667" s="14">
        <f>CHOOSE(CONTROL!$C$42, 45.3469, 45.3469) * CHOOSE(CONTROL!$C$21, $C$9, 100%, $E$9)</f>
        <v>45.346899999999998</v>
      </c>
      <c r="C667" s="14">
        <f>CHOOSE(CONTROL!$C$42, 45.3549, 45.3549) * CHOOSE(CONTROL!$C$21, $C$9, 100%, $E$9)</f>
        <v>45.354900000000001</v>
      </c>
      <c r="D667" s="14">
        <f>CHOOSE(CONTROL!$C$42, 45.5885, 45.5885) * CHOOSE(CONTROL!$C$21, $C$9, 100%, $E$9)</f>
        <v>45.588500000000003</v>
      </c>
      <c r="E667" s="14">
        <f>CHOOSE(CONTROL!$C$42, 45.62, 45.62) * CHOOSE(CONTROL!$C$21, $C$9, 100%, $E$9)</f>
        <v>45.62</v>
      </c>
      <c r="F667" s="14">
        <f>CHOOSE(CONTROL!$C$42, 45.3447, 45.3447)*CHOOSE(CONTROL!$C$21, $C$9, 100%, $E$9)</f>
        <v>45.344700000000003</v>
      </c>
      <c r="G667" s="14">
        <f>CHOOSE(CONTROL!$C$42, 45.3613, 45.3613)*CHOOSE(CONTROL!$C$21, $C$9, 100%, $E$9)</f>
        <v>45.3613</v>
      </c>
      <c r="H667" s="14">
        <f>CHOOSE(CONTROL!$C$42, 45.6086, 45.6086) * CHOOSE(CONTROL!$C$21, $C$9, 100%, $E$9)</f>
        <v>45.608600000000003</v>
      </c>
      <c r="I667" s="14">
        <f>CHOOSE(CONTROL!$C$42, 45.5048, 45.5048)* CHOOSE(CONTROL!$C$21, $C$9, 100%, $E$9)</f>
        <v>45.504800000000003</v>
      </c>
      <c r="J667" s="14">
        <f>CHOOSE(CONTROL!$C$42, 45.3377, 45.3377)* CHOOSE(CONTROL!$C$21, $C$9, 100%, $E$9)</f>
        <v>45.337699999999998</v>
      </c>
      <c r="K667" s="53">
        <f>CHOOSE(CONTROL!$C$42, 45.5009, 45.5009) * CHOOSE(CONTROL!$C$21, $C$9, 100%, $E$9)</f>
        <v>45.500900000000001</v>
      </c>
      <c r="L667" s="14">
        <f>CHOOSE(CONTROL!$C$42, 46.1956, 46.1956) * CHOOSE(CONTROL!$C$21, $C$9, 100%, $E$9)</f>
        <v>46.195599999999999</v>
      </c>
      <c r="M667" s="14">
        <f>CHOOSE(CONTROL!$C$42, 44.4164, 44.4164) * CHOOSE(CONTROL!$C$21, $C$9, 100%, $E$9)</f>
        <v>44.416400000000003</v>
      </c>
      <c r="N667" s="14">
        <f>CHOOSE(CONTROL!$C$42, 44.4327, 44.4327) * CHOOSE(CONTROL!$C$21, $C$9, 100%, $E$9)</f>
        <v>44.432699999999997</v>
      </c>
      <c r="O667" s="14">
        <f>CHOOSE(CONTROL!$C$42, 44.6818, 44.6818) * CHOOSE(CONTROL!$C$21, $C$9, 100%, $E$9)</f>
        <v>44.681800000000003</v>
      </c>
      <c r="P667" s="14">
        <f>CHOOSE(CONTROL!$C$42, 44.5774, 44.5774) * CHOOSE(CONTROL!$C$21, $C$9, 100%, $E$9)</f>
        <v>44.577399999999997</v>
      </c>
      <c r="Q667" s="14">
        <f>CHOOSE(CONTROL!$C$42, 45.2765, 45.2765) * CHOOSE(CONTROL!$C$21, $C$9, 100%, $E$9)</f>
        <v>45.276499999999999</v>
      </c>
      <c r="R667" s="14">
        <f>CHOOSE(CONTROL!$C$42, 45.9767, 45.9767) * CHOOSE(CONTROL!$C$21, $C$9, 100%, $E$9)</f>
        <v>45.976700000000001</v>
      </c>
      <c r="S667" s="14">
        <f>CHOOSE(CONTROL!$C$42, 43.5632, 43.5632) * CHOOSE(CONTROL!$C$21, $C$9, 100%, $E$9)</f>
        <v>43.563200000000002</v>
      </c>
      <c r="T6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7">
        <f>(1000*CHOOSE(CONTROL!$C$42, 695, 695)*CHOOSE(CONTROL!$C$42, 0.5599, 0.5599)*CHOOSE(CONTROL!$C$42, 31, 31))/1000000</f>
        <v>12.063045499999998</v>
      </c>
      <c r="V667" s="57">
        <f>(1000*CHOOSE(CONTROL!$C$42, 500, 500)*CHOOSE(CONTROL!$C$42, 0.275, 0.275)*CHOOSE(CONTROL!$C$42, 31, 31))/1000000</f>
        <v>4.2625000000000002</v>
      </c>
      <c r="W667" s="57">
        <f>(1000*CHOOSE(CONTROL!$C$42, 0.1146, 0.1146)*CHOOSE(CONTROL!$C$42, 121.5, 121.5)*CHOOSE(CONTROL!$C$42, 31, 31))/1000000</f>
        <v>0.43164089999999994</v>
      </c>
      <c r="X667" s="57">
        <f>(31*0.1790888*245000/1000000)+(31*0.2374*100000/1000000)</f>
        <v>2.0961194359999999</v>
      </c>
      <c r="Y667" s="57"/>
      <c r="Z667" s="14"/>
      <c r="AA667" s="56"/>
      <c r="AB667" s="50">
        <f>(B667*194.205+C667*267.466+D667*133.845+E667*53.484+F667*40+G667*185+H667*0+I667*100+J667*300)/(194.205+267.466+133.845+53.484+0+40+185+100+300)</f>
        <v>45.39767642103611</v>
      </c>
      <c r="AC667" s="45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44.560792805755398</v>
      </c>
    </row>
    <row r="668" spans="1:29" ht="15.75" x14ac:dyDescent="0.25">
      <c r="A668" s="32">
        <v>61240</v>
      </c>
      <c r="B668" s="14">
        <f>CHOOSE(CONTROL!$C$42, 43.1076, 43.1076) * CHOOSE(CONTROL!$C$21, $C$9, 100%, $E$9)</f>
        <v>43.107599999999998</v>
      </c>
      <c r="C668" s="14">
        <f>CHOOSE(CONTROL!$C$42, 43.1156, 43.1156) * CHOOSE(CONTROL!$C$21, $C$9, 100%, $E$9)</f>
        <v>43.115600000000001</v>
      </c>
      <c r="D668" s="14">
        <f>CHOOSE(CONTROL!$C$42, 43.3492, 43.3492) * CHOOSE(CONTROL!$C$21, $C$9, 100%, $E$9)</f>
        <v>43.349200000000003</v>
      </c>
      <c r="E668" s="14">
        <f>CHOOSE(CONTROL!$C$42, 43.3807, 43.3807) * CHOOSE(CONTROL!$C$21, $C$9, 100%, $E$9)</f>
        <v>43.380699999999997</v>
      </c>
      <c r="F668" s="14">
        <f>CHOOSE(CONTROL!$C$42, 43.1056, 43.1056)*CHOOSE(CONTROL!$C$21, $C$9, 100%, $E$9)</f>
        <v>43.105600000000003</v>
      </c>
      <c r="G668" s="14">
        <f>CHOOSE(CONTROL!$C$42, 43.1222, 43.1222)*CHOOSE(CONTROL!$C$21, $C$9, 100%, $E$9)</f>
        <v>43.122199999999999</v>
      </c>
      <c r="H668" s="14">
        <f>CHOOSE(CONTROL!$C$42, 43.3693, 43.3693) * CHOOSE(CONTROL!$C$21, $C$9, 100%, $E$9)</f>
        <v>43.369300000000003</v>
      </c>
      <c r="I668" s="14">
        <f>CHOOSE(CONTROL!$C$42, 43.2585, 43.2585)* CHOOSE(CONTROL!$C$21, $C$9, 100%, $E$9)</f>
        <v>43.258499999999998</v>
      </c>
      <c r="J668" s="14">
        <f>CHOOSE(CONTROL!$C$42, 43.0986, 43.0986)* CHOOSE(CONTROL!$C$21, $C$9, 100%, $E$9)</f>
        <v>43.098599999999998</v>
      </c>
      <c r="K668" s="53">
        <f>CHOOSE(CONTROL!$C$42, 43.2546, 43.2546) * CHOOSE(CONTROL!$C$21, $C$9, 100%, $E$9)</f>
        <v>43.254600000000003</v>
      </c>
      <c r="L668" s="14">
        <f>CHOOSE(CONTROL!$C$42, 43.9563, 43.9563) * CHOOSE(CONTROL!$C$21, $C$9, 100%, $E$9)</f>
        <v>43.956299999999999</v>
      </c>
      <c r="M668" s="14">
        <f>CHOOSE(CONTROL!$C$42, 42.2232, 42.2232) * CHOOSE(CONTROL!$C$21, $C$9, 100%, $E$9)</f>
        <v>42.223199999999999</v>
      </c>
      <c r="N668" s="14">
        <f>CHOOSE(CONTROL!$C$42, 42.2395, 42.2395) * CHOOSE(CONTROL!$C$21, $C$9, 100%, $E$9)</f>
        <v>42.2395</v>
      </c>
      <c r="O668" s="14">
        <f>CHOOSE(CONTROL!$C$42, 42.4884, 42.4884) * CHOOSE(CONTROL!$C$21, $C$9, 100%, $E$9)</f>
        <v>42.488399999999999</v>
      </c>
      <c r="P668" s="14">
        <f>CHOOSE(CONTROL!$C$42, 42.3772, 42.3772) * CHOOSE(CONTROL!$C$21, $C$9, 100%, $E$9)</f>
        <v>42.377200000000002</v>
      </c>
      <c r="Q668" s="14">
        <f>CHOOSE(CONTROL!$C$42, 43.0831, 43.0831) * CHOOSE(CONTROL!$C$21, $C$9, 100%, $E$9)</f>
        <v>43.083100000000002</v>
      </c>
      <c r="R668" s="14">
        <f>CHOOSE(CONTROL!$C$42, 43.7778, 43.7778) * CHOOSE(CONTROL!$C$21, $C$9, 100%, $E$9)</f>
        <v>43.777799999999999</v>
      </c>
      <c r="S668" s="14">
        <f>CHOOSE(CONTROL!$C$42, 41.4115, 41.4115) * CHOOSE(CONTROL!$C$21, $C$9, 100%, $E$9)</f>
        <v>41.411499999999997</v>
      </c>
      <c r="T6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7">
        <f>(1000*CHOOSE(CONTROL!$C$42, 695, 695)*CHOOSE(CONTROL!$C$42, 0.5599, 0.5599)*CHOOSE(CONTROL!$C$42, 31, 31))/1000000</f>
        <v>12.063045499999998</v>
      </c>
      <c r="V668" s="57">
        <f>(1000*CHOOSE(CONTROL!$C$42, 500, 500)*CHOOSE(CONTROL!$C$42, 0.275, 0.275)*CHOOSE(CONTROL!$C$42, 31, 31))/1000000</f>
        <v>4.2625000000000002</v>
      </c>
      <c r="W668" s="57">
        <f>(1000*CHOOSE(CONTROL!$C$42, 0.1146, 0.1146)*CHOOSE(CONTROL!$C$42, 121.5, 121.5)*CHOOSE(CONTROL!$C$42, 31, 31))/1000000</f>
        <v>0.43164089999999994</v>
      </c>
      <c r="X668" s="57">
        <f>(31*0.1790888*245000/1000000)+(31*0.2374*100000/1000000)</f>
        <v>2.0961194359999999</v>
      </c>
      <c r="Y668" s="57"/>
      <c r="Z668" s="14"/>
      <c r="AA668" s="56"/>
      <c r="AB668" s="50">
        <f>(B668*194.205+C668*267.466+D668*133.845+E668*53.484+F668*40+G668*185+H668*0+I668*100+J668*300)/(194.205+267.466+133.845+53.484+0+40+185+100+300)</f>
        <v>43.157909388069079</v>
      </c>
      <c r="AC668" s="45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42.366494964028774</v>
      </c>
    </row>
    <row r="669" spans="1:29" ht="15.75" x14ac:dyDescent="0.25">
      <c r="A669" s="32">
        <v>61270</v>
      </c>
      <c r="B669" s="14">
        <f>CHOOSE(CONTROL!$C$42, 40.3711, 40.3711) * CHOOSE(CONTROL!$C$21, $C$9, 100%, $E$9)</f>
        <v>40.371099999999998</v>
      </c>
      <c r="C669" s="14">
        <f>CHOOSE(CONTROL!$C$42, 40.3791, 40.3791) * CHOOSE(CONTROL!$C$21, $C$9, 100%, $E$9)</f>
        <v>40.379100000000001</v>
      </c>
      <c r="D669" s="14">
        <f>CHOOSE(CONTROL!$C$42, 40.6127, 40.6127) * CHOOSE(CONTROL!$C$21, $C$9, 100%, $E$9)</f>
        <v>40.612699999999997</v>
      </c>
      <c r="E669" s="14">
        <f>CHOOSE(CONTROL!$C$42, 40.6442, 40.6442) * CHOOSE(CONTROL!$C$21, $C$9, 100%, $E$9)</f>
        <v>40.644199999999998</v>
      </c>
      <c r="F669" s="14">
        <f>CHOOSE(CONTROL!$C$42, 40.3691, 40.3691)*CHOOSE(CONTROL!$C$21, $C$9, 100%, $E$9)</f>
        <v>40.369100000000003</v>
      </c>
      <c r="G669" s="14">
        <f>CHOOSE(CONTROL!$C$42, 40.3858, 40.3858)*CHOOSE(CONTROL!$C$21, $C$9, 100%, $E$9)</f>
        <v>40.385800000000003</v>
      </c>
      <c r="H669" s="14">
        <f>CHOOSE(CONTROL!$C$42, 40.6328, 40.6328) * CHOOSE(CONTROL!$C$21, $C$9, 100%, $E$9)</f>
        <v>40.632800000000003</v>
      </c>
      <c r="I669" s="14">
        <f>CHOOSE(CONTROL!$C$42, 40.5134, 40.5134)* CHOOSE(CONTROL!$C$21, $C$9, 100%, $E$9)</f>
        <v>40.513399999999997</v>
      </c>
      <c r="J669" s="14">
        <f>CHOOSE(CONTROL!$C$42, 40.3621, 40.3621)* CHOOSE(CONTROL!$C$21, $C$9, 100%, $E$9)</f>
        <v>40.362099999999998</v>
      </c>
      <c r="K669" s="53">
        <f>CHOOSE(CONTROL!$C$42, 40.5095, 40.5095) * CHOOSE(CONTROL!$C$21, $C$9, 100%, $E$9)</f>
        <v>40.509500000000003</v>
      </c>
      <c r="L669" s="14">
        <f>CHOOSE(CONTROL!$C$42, 41.2198, 41.2198) * CHOOSE(CONTROL!$C$21, $C$9, 100%, $E$9)</f>
        <v>41.219799999999999</v>
      </c>
      <c r="M669" s="14">
        <f>CHOOSE(CONTROL!$C$42, 39.5428, 39.5428) * CHOOSE(CONTROL!$C$21, $C$9, 100%, $E$9)</f>
        <v>39.5428</v>
      </c>
      <c r="N669" s="14">
        <f>CHOOSE(CONTROL!$C$42, 39.5591, 39.5591) * CHOOSE(CONTROL!$C$21, $C$9, 100%, $E$9)</f>
        <v>39.559100000000001</v>
      </c>
      <c r="O669" s="14">
        <f>CHOOSE(CONTROL!$C$42, 39.808, 39.808) * CHOOSE(CONTROL!$C$21, $C$9, 100%, $E$9)</f>
        <v>39.808</v>
      </c>
      <c r="P669" s="14">
        <f>CHOOSE(CONTROL!$C$42, 39.6886, 39.6886) * CHOOSE(CONTROL!$C$21, $C$9, 100%, $E$9)</f>
        <v>39.688600000000001</v>
      </c>
      <c r="Q669" s="14">
        <f>CHOOSE(CONTROL!$C$42, 40.4027, 40.4027) * CHOOSE(CONTROL!$C$21, $C$9, 100%, $E$9)</f>
        <v>40.402700000000003</v>
      </c>
      <c r="R669" s="14">
        <f>CHOOSE(CONTROL!$C$42, 41.0907, 41.0907) * CHOOSE(CONTROL!$C$21, $C$9, 100%, $E$9)</f>
        <v>41.090699999999998</v>
      </c>
      <c r="S669" s="14">
        <f>CHOOSE(CONTROL!$C$42, 38.782, 38.782) * CHOOSE(CONTROL!$C$21, $C$9, 100%, $E$9)</f>
        <v>38.781999999999996</v>
      </c>
      <c r="T6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7">
        <f>(1000*CHOOSE(CONTROL!$C$42, 695, 695)*CHOOSE(CONTROL!$C$42, 0.5599, 0.5599)*CHOOSE(CONTROL!$C$42, 30, 30))/1000000</f>
        <v>11.673914999999997</v>
      </c>
      <c r="V669" s="57">
        <f>(1000*CHOOSE(CONTROL!$C$42, 500, 500)*CHOOSE(CONTROL!$C$42, 0.275, 0.275)*CHOOSE(CONTROL!$C$42, 30, 30))/1000000</f>
        <v>4.125</v>
      </c>
      <c r="W669" s="57">
        <f>(1000*CHOOSE(CONTROL!$C$42, 0.1146, 0.1146)*CHOOSE(CONTROL!$C$42, 121.5, 121.5)*CHOOSE(CONTROL!$C$42, 30, 30))/1000000</f>
        <v>0.417717</v>
      </c>
      <c r="X669" s="57">
        <f>(30*0.1790888*245000/1000000)+(30*0.2374*100000/1000000)</f>
        <v>2.0285026799999999</v>
      </c>
      <c r="Y669" s="57"/>
      <c r="Z669" s="14"/>
      <c r="AA669" s="56"/>
      <c r="AB669" s="50">
        <f>(B669*194.205+C669*267.466+D669*133.845+E669*53.484+F669*40+G669*185+H669*0+I669*100+J669*300)/(194.205+267.466+133.845+53.484+0+40+185+100+300)</f>
        <v>40.420748870015693</v>
      </c>
      <c r="AC669" s="45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39.684915107913675</v>
      </c>
    </row>
    <row r="670" spans="1:29" ht="15.75" x14ac:dyDescent="0.25">
      <c r="A670" s="32">
        <v>61301</v>
      </c>
      <c r="B670" s="14">
        <f>CHOOSE(CONTROL!$C$42, 39.5499, 39.5499) * CHOOSE(CONTROL!$C$21, $C$9, 100%, $E$9)</f>
        <v>39.549900000000001</v>
      </c>
      <c r="C670" s="14">
        <f>CHOOSE(CONTROL!$C$42, 39.5552, 39.5552) * CHOOSE(CONTROL!$C$21, $C$9, 100%, $E$9)</f>
        <v>39.555199999999999</v>
      </c>
      <c r="D670" s="14">
        <f>CHOOSE(CONTROL!$C$42, 39.7938, 39.7938) * CHOOSE(CONTROL!$C$21, $C$9, 100%, $E$9)</f>
        <v>39.793799999999997</v>
      </c>
      <c r="E670" s="14">
        <f>CHOOSE(CONTROL!$C$42, 39.8229, 39.8229) * CHOOSE(CONTROL!$C$21, $C$9, 100%, $E$9)</f>
        <v>39.822899999999997</v>
      </c>
      <c r="F670" s="14">
        <f>CHOOSE(CONTROL!$C$42, 39.5499, 39.5499)*CHOOSE(CONTROL!$C$21, $C$9, 100%, $E$9)</f>
        <v>39.549900000000001</v>
      </c>
      <c r="G670" s="14">
        <f>CHOOSE(CONTROL!$C$42, 39.5662, 39.5662)*CHOOSE(CONTROL!$C$21, $C$9, 100%, $E$9)</f>
        <v>39.566200000000002</v>
      </c>
      <c r="H670" s="14">
        <f>CHOOSE(CONTROL!$C$42, 39.8134, 39.8134) * CHOOSE(CONTROL!$C$21, $C$9, 100%, $E$9)</f>
        <v>39.813400000000001</v>
      </c>
      <c r="I670" s="14">
        <f>CHOOSE(CONTROL!$C$42, 39.6914, 39.6914)* CHOOSE(CONTROL!$C$21, $C$9, 100%, $E$9)</f>
        <v>39.691400000000002</v>
      </c>
      <c r="J670" s="14">
        <f>CHOOSE(CONTROL!$C$42, 39.5429, 39.5429)* CHOOSE(CONTROL!$C$21, $C$9, 100%, $E$9)</f>
        <v>39.542900000000003</v>
      </c>
      <c r="K670" s="53">
        <f>CHOOSE(CONTROL!$C$42, 39.6875, 39.6875) * CHOOSE(CONTROL!$C$21, $C$9, 100%, $E$9)</f>
        <v>39.6875</v>
      </c>
      <c r="L670" s="14">
        <f>CHOOSE(CONTROL!$C$42, 40.4004, 40.4004) * CHOOSE(CONTROL!$C$21, $C$9, 100%, $E$9)</f>
        <v>40.400399999999998</v>
      </c>
      <c r="M670" s="14">
        <f>CHOOSE(CONTROL!$C$42, 38.7404, 38.7404) * CHOOSE(CONTROL!$C$21, $C$9, 100%, $E$9)</f>
        <v>38.740400000000001</v>
      </c>
      <c r="N670" s="14">
        <f>CHOOSE(CONTROL!$C$42, 38.7563, 38.7563) * CHOOSE(CONTROL!$C$21, $C$9, 100%, $E$9)</f>
        <v>38.756300000000003</v>
      </c>
      <c r="O670" s="14">
        <f>CHOOSE(CONTROL!$C$42, 39.0053, 39.0053) * CHOOSE(CONTROL!$C$21, $C$9, 100%, $E$9)</f>
        <v>39.005299999999998</v>
      </c>
      <c r="P670" s="14">
        <f>CHOOSE(CONTROL!$C$42, 38.8834, 38.8834) * CHOOSE(CONTROL!$C$21, $C$9, 100%, $E$9)</f>
        <v>38.883400000000002</v>
      </c>
      <c r="Q670" s="14">
        <f>CHOOSE(CONTROL!$C$42, 39.6, 39.6) * CHOOSE(CONTROL!$C$21, $C$9, 100%, $E$9)</f>
        <v>39.6</v>
      </c>
      <c r="R670" s="14">
        <f>CHOOSE(CONTROL!$C$42, 40.286, 40.286) * CHOOSE(CONTROL!$C$21, $C$9, 100%, $E$9)</f>
        <v>40.286000000000001</v>
      </c>
      <c r="S670" s="14">
        <f>CHOOSE(CONTROL!$C$42, 37.9946, 37.9946) * CHOOSE(CONTROL!$C$21, $C$9, 100%, $E$9)</f>
        <v>37.994599999999998</v>
      </c>
      <c r="T6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7">
        <f>(1000*CHOOSE(CONTROL!$C$42, 695, 695)*CHOOSE(CONTROL!$C$42, 0.5599, 0.5599)*CHOOSE(CONTROL!$C$42, 31, 31))/1000000</f>
        <v>12.063045499999998</v>
      </c>
      <c r="V670" s="57">
        <f>(1000*CHOOSE(CONTROL!$C$42, 500, 500)*CHOOSE(CONTROL!$C$42, 0.275, 0.275)*CHOOSE(CONTROL!$C$42, 31, 31))/1000000</f>
        <v>4.2625000000000002</v>
      </c>
      <c r="W670" s="57">
        <f>(1000*CHOOSE(CONTROL!$C$42, 0.1146, 0.1146)*CHOOSE(CONTROL!$C$42, 121.5, 121.5)*CHOOSE(CONTROL!$C$42, 31, 31))/1000000</f>
        <v>0.43164089999999994</v>
      </c>
      <c r="X670" s="57">
        <f>(31*0.1790888*245000/1000000)+(31*0.2374*100000/1000000)</f>
        <v>2.0961194359999999</v>
      </c>
      <c r="Y670" s="57"/>
      <c r="Z670" s="14"/>
      <c r="AA670" s="56"/>
      <c r="AB670" s="50">
        <f>(B670*131.881+C670*277.167+D670*79.08+E670*125.872+F670*40+G670*185+H670*0+I670*100+J670*300)/(131.881+277.167+79.08+125.872+0+40+185+100+300)</f>
        <v>39.606546612671508</v>
      </c>
      <c r="AC670" s="45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38.881953237410073</v>
      </c>
    </row>
    <row r="671" spans="1:29" ht="15.75" x14ac:dyDescent="0.25">
      <c r="A671" s="32">
        <v>61331</v>
      </c>
      <c r="B671" s="14">
        <f>CHOOSE(CONTROL!$C$42, 40.5911, 40.5911) * CHOOSE(CONTROL!$C$21, $C$9, 100%, $E$9)</f>
        <v>40.591099999999997</v>
      </c>
      <c r="C671" s="14">
        <f>CHOOSE(CONTROL!$C$42, 40.5962, 40.5962) * CHOOSE(CONTROL!$C$21, $C$9, 100%, $E$9)</f>
        <v>40.596200000000003</v>
      </c>
      <c r="D671" s="14">
        <f>CHOOSE(CONTROL!$C$42, 40.6704, 40.6704) * CHOOSE(CONTROL!$C$21, $C$9, 100%, $E$9)</f>
        <v>40.670400000000001</v>
      </c>
      <c r="E671" s="14">
        <f>CHOOSE(CONTROL!$C$42, 40.7045, 40.7045) * CHOOSE(CONTROL!$C$21, $C$9, 100%, $E$9)</f>
        <v>40.704500000000003</v>
      </c>
      <c r="F671" s="14">
        <f>CHOOSE(CONTROL!$C$42, 40.6032, 40.6032)*CHOOSE(CONTROL!$C$21, $C$9, 100%, $E$9)</f>
        <v>40.603200000000001</v>
      </c>
      <c r="G671" s="14">
        <f>CHOOSE(CONTROL!$C$42, 40.6198, 40.6198)*CHOOSE(CONTROL!$C$21, $C$9, 100%, $E$9)</f>
        <v>40.619799999999998</v>
      </c>
      <c r="H671" s="14">
        <f>CHOOSE(CONTROL!$C$42, 40.6937, 40.6937) * CHOOSE(CONTROL!$C$21, $C$9, 100%, $E$9)</f>
        <v>40.6937</v>
      </c>
      <c r="I671" s="14">
        <f>CHOOSE(CONTROL!$C$42, 40.7426, 40.7426)* CHOOSE(CONTROL!$C$21, $C$9, 100%, $E$9)</f>
        <v>40.742600000000003</v>
      </c>
      <c r="J671" s="14">
        <f>CHOOSE(CONTROL!$C$42, 40.5962, 40.5962)* CHOOSE(CONTROL!$C$21, $C$9, 100%, $E$9)</f>
        <v>40.596200000000003</v>
      </c>
      <c r="K671" s="53">
        <f>CHOOSE(CONTROL!$C$42, 40.7387, 40.7387) * CHOOSE(CONTROL!$C$21, $C$9, 100%, $E$9)</f>
        <v>40.738700000000001</v>
      </c>
      <c r="L671" s="14">
        <f>CHOOSE(CONTROL!$C$42, 41.2807, 41.2807) * CHOOSE(CONTROL!$C$21, $C$9, 100%, $E$9)</f>
        <v>41.280700000000003</v>
      </c>
      <c r="M671" s="14">
        <f>CHOOSE(CONTROL!$C$42, 39.7721, 39.7721) * CHOOSE(CONTROL!$C$21, $C$9, 100%, $E$9)</f>
        <v>39.772100000000002</v>
      </c>
      <c r="N671" s="14">
        <f>CHOOSE(CONTROL!$C$42, 39.7884, 39.7884) * CHOOSE(CONTROL!$C$21, $C$9, 100%, $E$9)</f>
        <v>39.788400000000003</v>
      </c>
      <c r="O671" s="14">
        <f>CHOOSE(CONTROL!$C$42, 39.8676, 39.8676) * CHOOSE(CONTROL!$C$21, $C$9, 100%, $E$9)</f>
        <v>39.867600000000003</v>
      </c>
      <c r="P671" s="14">
        <f>CHOOSE(CONTROL!$C$42, 39.913, 39.913) * CHOOSE(CONTROL!$C$21, $C$9, 100%, $E$9)</f>
        <v>39.912999999999997</v>
      </c>
      <c r="Q671" s="14">
        <f>CHOOSE(CONTROL!$C$42, 40.4623, 40.4623) * CHOOSE(CONTROL!$C$21, $C$9, 100%, $E$9)</f>
        <v>40.462299999999999</v>
      </c>
      <c r="R671" s="14">
        <f>CHOOSE(CONTROL!$C$42, 41.1505, 41.1505) * CHOOSE(CONTROL!$C$21, $C$9, 100%, $E$9)</f>
        <v>41.150500000000001</v>
      </c>
      <c r="S671" s="14">
        <f>CHOOSE(CONTROL!$C$42, 38.9955, 38.9955) * CHOOSE(CONTROL!$C$21, $C$9, 100%, $E$9)</f>
        <v>38.9955</v>
      </c>
      <c r="T6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7">
        <f>(1000*CHOOSE(CONTROL!$C$42, 695, 695)*CHOOSE(CONTROL!$C$42, 0.5599, 0.5599)*CHOOSE(CONTROL!$C$42, 30, 30))/1000000</f>
        <v>11.673914999999997</v>
      </c>
      <c r="V671" s="57">
        <f>(1000*CHOOSE(CONTROL!$C$42, 500, 500)*CHOOSE(CONTROL!$C$42, 0.275, 0.275)*CHOOSE(CONTROL!$C$42, 30, 30))/1000000</f>
        <v>4.125</v>
      </c>
      <c r="W671" s="57">
        <f>(1000*CHOOSE(CONTROL!$C$42, 0.1146, 0.1146)*CHOOSE(CONTROL!$C$42, 121.5, 121.5)*CHOOSE(CONTROL!$C$42, 30, 30))/1000000</f>
        <v>0.417717</v>
      </c>
      <c r="X671" s="57">
        <f>(30*0.1790888*100000/1000000)+(30*0.2374*100000/1000000)</f>
        <v>1.2494664</v>
      </c>
      <c r="Y671" s="57"/>
      <c r="Z671" s="14"/>
      <c r="AA671" s="56"/>
      <c r="AB671" s="50">
        <f>(B671*122.58+C671*297.941+D671*89.177+E671*40.302+F671*40+G671*160+H671*0+I671*100+J671*300)/(122.58+297.941+89.177+40.302+0+40+160+100+300)</f>
        <v>40.621463027826088</v>
      </c>
      <c r="AC671" s="45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39.83659568345324</v>
      </c>
    </row>
    <row r="672" spans="1:29" ht="15.75" x14ac:dyDescent="0.25">
      <c r="A672" s="32">
        <v>61362</v>
      </c>
      <c r="B672" s="14">
        <f>CHOOSE(CONTROL!$C$42, 43.358, 43.358) * CHOOSE(CONTROL!$C$21, $C$9, 100%, $E$9)</f>
        <v>43.357999999999997</v>
      </c>
      <c r="C672" s="14">
        <f>CHOOSE(CONTROL!$C$42, 43.363, 43.363) * CHOOSE(CONTROL!$C$21, $C$9, 100%, $E$9)</f>
        <v>43.363</v>
      </c>
      <c r="D672" s="14">
        <f>CHOOSE(CONTROL!$C$42, 43.4373, 43.4373) * CHOOSE(CONTROL!$C$21, $C$9, 100%, $E$9)</f>
        <v>43.4373</v>
      </c>
      <c r="E672" s="14">
        <f>CHOOSE(CONTROL!$C$42, 43.4714, 43.4714) * CHOOSE(CONTROL!$C$21, $C$9, 100%, $E$9)</f>
        <v>43.471400000000003</v>
      </c>
      <c r="F672" s="14">
        <f>CHOOSE(CONTROL!$C$42, 43.3722, 43.3722)*CHOOSE(CONTROL!$C$21, $C$9, 100%, $E$9)</f>
        <v>43.372199999999999</v>
      </c>
      <c r="G672" s="14">
        <f>CHOOSE(CONTROL!$C$42, 43.3894, 43.3894)*CHOOSE(CONTROL!$C$21, $C$9, 100%, $E$9)</f>
        <v>43.389400000000002</v>
      </c>
      <c r="H672" s="14">
        <f>CHOOSE(CONTROL!$C$42, 43.4606, 43.4606) * CHOOSE(CONTROL!$C$21, $C$9, 100%, $E$9)</f>
        <v>43.460599999999999</v>
      </c>
      <c r="I672" s="14">
        <f>CHOOSE(CONTROL!$C$42, 43.5181, 43.5181)* CHOOSE(CONTROL!$C$21, $C$9, 100%, $E$9)</f>
        <v>43.518099999999997</v>
      </c>
      <c r="J672" s="14">
        <f>CHOOSE(CONTROL!$C$42, 43.3652, 43.3652)* CHOOSE(CONTROL!$C$21, $C$9, 100%, $E$9)</f>
        <v>43.365200000000002</v>
      </c>
      <c r="K672" s="53">
        <f>CHOOSE(CONTROL!$C$42, 43.5142, 43.5142) * CHOOSE(CONTROL!$C$21, $C$9, 100%, $E$9)</f>
        <v>43.514200000000002</v>
      </c>
      <c r="L672" s="14">
        <f>CHOOSE(CONTROL!$C$42, 44.0476, 44.0476) * CHOOSE(CONTROL!$C$21, $C$9, 100%, $E$9)</f>
        <v>44.047600000000003</v>
      </c>
      <c r="M672" s="14">
        <f>CHOOSE(CONTROL!$C$42, 42.4844, 42.4844) * CHOOSE(CONTROL!$C$21, $C$9, 100%, $E$9)</f>
        <v>42.484400000000001</v>
      </c>
      <c r="N672" s="14">
        <f>CHOOSE(CONTROL!$C$42, 42.5012, 42.5012) * CHOOSE(CONTROL!$C$21, $C$9, 100%, $E$9)</f>
        <v>42.501199999999997</v>
      </c>
      <c r="O672" s="14">
        <f>CHOOSE(CONTROL!$C$42, 42.5778, 42.5778) * CHOOSE(CONTROL!$C$21, $C$9, 100%, $E$9)</f>
        <v>42.577800000000003</v>
      </c>
      <c r="P672" s="14">
        <f>CHOOSE(CONTROL!$C$42, 42.6315, 42.6315) * CHOOSE(CONTROL!$C$21, $C$9, 100%, $E$9)</f>
        <v>42.631500000000003</v>
      </c>
      <c r="Q672" s="14">
        <f>CHOOSE(CONTROL!$C$42, 43.1725, 43.1725) * CHOOSE(CONTROL!$C$21, $C$9, 100%, $E$9)</f>
        <v>43.172499999999999</v>
      </c>
      <c r="R672" s="14">
        <f>CHOOSE(CONTROL!$C$42, 43.8674, 43.8674) * CHOOSE(CONTROL!$C$21, $C$9, 100%, $E$9)</f>
        <v>43.867400000000004</v>
      </c>
      <c r="S672" s="14">
        <f>CHOOSE(CONTROL!$C$42, 41.6541, 41.6541) * CHOOSE(CONTROL!$C$21, $C$9, 100%, $E$9)</f>
        <v>41.6541</v>
      </c>
      <c r="T6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7">
        <f>(1000*CHOOSE(CONTROL!$C$42, 695, 695)*CHOOSE(CONTROL!$C$42, 0.5599, 0.5599)*CHOOSE(CONTROL!$C$42, 31, 31))/1000000</f>
        <v>12.063045499999998</v>
      </c>
      <c r="V672" s="57">
        <f>(1000*CHOOSE(CONTROL!$C$42, 500, 500)*CHOOSE(CONTROL!$C$42, 0.275, 0.275)*CHOOSE(CONTROL!$C$42, 31, 31))/1000000</f>
        <v>4.2625000000000002</v>
      </c>
      <c r="W672" s="57">
        <f>(1000*CHOOSE(CONTROL!$C$42, 0.1146, 0.1146)*CHOOSE(CONTROL!$C$42, 121.5, 121.5)*CHOOSE(CONTROL!$C$42, 31, 31))/1000000</f>
        <v>0.43164089999999994</v>
      </c>
      <c r="X672" s="57">
        <f>(31*0.1790888*100000/1000000)+(31*0.2374*100000/1000000)</f>
        <v>1.2911152800000001</v>
      </c>
      <c r="Y672" s="57"/>
      <c r="Z672" s="14"/>
      <c r="AA672" s="56"/>
      <c r="AB672" s="50">
        <f>(B672*122.58+C672*297.941+D672*89.177+E672*40.302+F672*40+G672*160+H672*0+I672*100+J672*300)/(122.58+297.941+89.177+40.302+0+40+160+100+300)</f>
        <v>43.390081467739122</v>
      </c>
      <c r="AC672" s="45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42.548864748201446</v>
      </c>
    </row>
    <row r="673" spans="1:29" ht="15.75" x14ac:dyDescent="0.25">
      <c r="A673" s="32">
        <v>61393</v>
      </c>
      <c r="B673" s="14">
        <f>CHOOSE(CONTROL!$C$42, 46.9516, 46.9516) * CHOOSE(CONTROL!$C$21, $C$9, 100%, $E$9)</f>
        <v>46.951599999999999</v>
      </c>
      <c r="C673" s="14">
        <f>CHOOSE(CONTROL!$C$42, 46.9566, 46.9566) * CHOOSE(CONTROL!$C$21, $C$9, 100%, $E$9)</f>
        <v>46.956600000000002</v>
      </c>
      <c r="D673" s="14">
        <f>CHOOSE(CONTROL!$C$42, 47.0335, 47.0335) * CHOOSE(CONTROL!$C$21, $C$9, 100%, $E$9)</f>
        <v>47.033499999999997</v>
      </c>
      <c r="E673" s="14">
        <f>CHOOSE(CONTROL!$C$42, 47.0676, 47.0676) * CHOOSE(CONTROL!$C$21, $C$9, 100%, $E$9)</f>
        <v>47.067599999999999</v>
      </c>
      <c r="F673" s="14">
        <f>CHOOSE(CONTROL!$C$42, 46.9518, 46.9518)*CHOOSE(CONTROL!$C$21, $C$9, 100%, $E$9)</f>
        <v>46.951799999999999</v>
      </c>
      <c r="G673" s="14">
        <f>CHOOSE(CONTROL!$C$42, 46.968, 46.968)*CHOOSE(CONTROL!$C$21, $C$9, 100%, $E$9)</f>
        <v>46.968000000000004</v>
      </c>
      <c r="H673" s="14">
        <f>CHOOSE(CONTROL!$C$42, 47.0568, 47.0568) * CHOOSE(CONTROL!$C$21, $C$9, 100%, $E$9)</f>
        <v>47.056800000000003</v>
      </c>
      <c r="I673" s="14">
        <f>CHOOSE(CONTROL!$C$42, 47.1167, 47.1167)* CHOOSE(CONTROL!$C$21, $C$9, 100%, $E$9)</f>
        <v>47.116700000000002</v>
      </c>
      <c r="J673" s="14">
        <f>CHOOSE(CONTROL!$C$42, 46.9448, 46.9448)* CHOOSE(CONTROL!$C$21, $C$9, 100%, $E$9)</f>
        <v>46.944800000000001</v>
      </c>
      <c r="K673" s="53">
        <f>CHOOSE(CONTROL!$C$42, 47.1128, 47.1128) * CHOOSE(CONTROL!$C$21, $C$9, 100%, $E$9)</f>
        <v>47.1128</v>
      </c>
      <c r="L673" s="14">
        <f>CHOOSE(CONTROL!$C$42, 47.6438, 47.6438) * CHOOSE(CONTROL!$C$21, $C$9, 100%, $E$9)</f>
        <v>47.643799999999999</v>
      </c>
      <c r="M673" s="14">
        <f>CHOOSE(CONTROL!$C$42, 45.9906, 45.9906) * CHOOSE(CONTROL!$C$21, $C$9, 100%, $E$9)</f>
        <v>45.990600000000001</v>
      </c>
      <c r="N673" s="14">
        <f>CHOOSE(CONTROL!$C$42, 46.0065, 46.0065) * CHOOSE(CONTROL!$C$21, $C$9, 100%, $E$9)</f>
        <v>46.006500000000003</v>
      </c>
      <c r="O673" s="14">
        <f>CHOOSE(CONTROL!$C$42, 46.1003, 46.1003) * CHOOSE(CONTROL!$C$21, $C$9, 100%, $E$9)</f>
        <v>46.100299999999997</v>
      </c>
      <c r="P673" s="14">
        <f>CHOOSE(CONTROL!$C$42, 46.1561, 46.1561) * CHOOSE(CONTROL!$C$21, $C$9, 100%, $E$9)</f>
        <v>46.156100000000002</v>
      </c>
      <c r="Q673" s="14">
        <f>CHOOSE(CONTROL!$C$42, 46.695, 46.695) * CHOOSE(CONTROL!$C$21, $C$9, 100%, $E$9)</f>
        <v>46.695</v>
      </c>
      <c r="R673" s="14">
        <f>CHOOSE(CONTROL!$C$42, 47.3987, 47.3987) * CHOOSE(CONTROL!$C$21, $C$9, 100%, $E$9)</f>
        <v>47.398699999999998</v>
      </c>
      <c r="S673" s="14">
        <f>CHOOSE(CONTROL!$C$42, 45.1072, 45.1072) * CHOOSE(CONTROL!$C$21, $C$9, 100%, $E$9)</f>
        <v>45.107199999999999</v>
      </c>
      <c r="T6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7">
        <f>(1000*CHOOSE(CONTROL!$C$42, 695, 695)*CHOOSE(CONTROL!$C$42, 0.5599, 0.5599)*CHOOSE(CONTROL!$C$42, 31, 31))/1000000</f>
        <v>12.063045499999998</v>
      </c>
      <c r="V673" s="57">
        <f>(1000*CHOOSE(CONTROL!$C$42, 500, 500)*CHOOSE(CONTROL!$C$42, 0.275, 0.275)*CHOOSE(CONTROL!$C$42, 31, 31))/1000000</f>
        <v>4.2625000000000002</v>
      </c>
      <c r="W673" s="57">
        <f>(1000*CHOOSE(CONTROL!$C$42, 0.1146, 0.1146)*CHOOSE(CONTROL!$C$42, 121.5, 121.5)*CHOOSE(CONTROL!$C$42, 31, 31))/1000000</f>
        <v>0.43164089999999994</v>
      </c>
      <c r="X673" s="57">
        <f>(31*0.1790888*100000/1000000)+(31*0.2374*100000/1000000)</f>
        <v>1.2911152800000001</v>
      </c>
      <c r="Y673" s="57"/>
      <c r="Z673" s="14"/>
      <c r="AA673" s="56"/>
      <c r="AB673" s="50">
        <f>(B673*122.58+C673*297.941+D673*89.177+E673*40.302+F673*40+G673*160+H673*0+I673*100+J673*300)/(122.58+297.941+89.177+40.302+0+40+160+100+300)</f>
        <v>46.978182898521744</v>
      </c>
      <c r="AC673" s="45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46.065048201438849</v>
      </c>
    </row>
    <row r="674" spans="1:29" ht="15.75" x14ac:dyDescent="0.25">
      <c r="A674" s="32">
        <v>61422</v>
      </c>
      <c r="B674" s="14">
        <f>CHOOSE(CONTROL!$C$42, 47.7872, 47.7872) * CHOOSE(CONTROL!$C$21, $C$9, 100%, $E$9)</f>
        <v>47.787199999999999</v>
      </c>
      <c r="C674" s="14">
        <f>CHOOSE(CONTROL!$C$42, 47.7923, 47.7923) * CHOOSE(CONTROL!$C$21, $C$9, 100%, $E$9)</f>
        <v>47.792299999999997</v>
      </c>
      <c r="D674" s="14">
        <f>CHOOSE(CONTROL!$C$42, 47.8691, 47.8691) * CHOOSE(CONTROL!$C$21, $C$9, 100%, $E$9)</f>
        <v>47.869100000000003</v>
      </c>
      <c r="E674" s="14">
        <f>CHOOSE(CONTROL!$C$42, 47.9032, 47.9032) * CHOOSE(CONTROL!$C$21, $C$9, 100%, $E$9)</f>
        <v>47.903199999999998</v>
      </c>
      <c r="F674" s="14">
        <f>CHOOSE(CONTROL!$C$42, 47.7875, 47.7875)*CHOOSE(CONTROL!$C$21, $C$9, 100%, $E$9)</f>
        <v>47.787500000000001</v>
      </c>
      <c r="G674" s="14">
        <f>CHOOSE(CONTROL!$C$42, 47.8037, 47.8037)*CHOOSE(CONTROL!$C$21, $C$9, 100%, $E$9)</f>
        <v>47.803699999999999</v>
      </c>
      <c r="H674" s="14">
        <f>CHOOSE(CONTROL!$C$42, 47.8924, 47.8924) * CHOOSE(CONTROL!$C$21, $C$9, 100%, $E$9)</f>
        <v>47.892400000000002</v>
      </c>
      <c r="I674" s="14">
        <f>CHOOSE(CONTROL!$C$42, 47.9549, 47.9549)* CHOOSE(CONTROL!$C$21, $C$9, 100%, $E$9)</f>
        <v>47.954900000000002</v>
      </c>
      <c r="J674" s="14">
        <f>CHOOSE(CONTROL!$C$42, 47.7805, 47.7805)* CHOOSE(CONTROL!$C$21, $C$9, 100%, $E$9)</f>
        <v>47.780500000000004</v>
      </c>
      <c r="K674" s="53">
        <f>CHOOSE(CONTROL!$C$42, 47.951, 47.951) * CHOOSE(CONTROL!$C$21, $C$9, 100%, $E$9)</f>
        <v>47.951000000000001</v>
      </c>
      <c r="L674" s="14">
        <f>CHOOSE(CONTROL!$C$42, 48.4794, 48.4794) * CHOOSE(CONTROL!$C$21, $C$9, 100%, $E$9)</f>
        <v>48.479399999999998</v>
      </c>
      <c r="M674" s="14">
        <f>CHOOSE(CONTROL!$C$42, 46.8092, 46.8092) * CHOOSE(CONTROL!$C$21, $C$9, 100%, $E$9)</f>
        <v>46.809199999999997</v>
      </c>
      <c r="N674" s="14">
        <f>CHOOSE(CONTROL!$C$42, 46.8251, 46.8251) * CHOOSE(CONTROL!$C$21, $C$9, 100%, $E$9)</f>
        <v>46.825099999999999</v>
      </c>
      <c r="O674" s="14">
        <f>CHOOSE(CONTROL!$C$42, 46.9188, 46.9188) * CHOOSE(CONTROL!$C$21, $C$9, 100%, $E$9)</f>
        <v>46.918799999999997</v>
      </c>
      <c r="P674" s="14">
        <f>CHOOSE(CONTROL!$C$42, 46.9771, 46.9771) * CHOOSE(CONTROL!$C$21, $C$9, 100%, $E$9)</f>
        <v>46.9771</v>
      </c>
      <c r="Q674" s="14">
        <f>CHOOSE(CONTROL!$C$42, 47.5135, 47.5135) * CHOOSE(CONTROL!$C$21, $C$9, 100%, $E$9)</f>
        <v>47.513500000000001</v>
      </c>
      <c r="R674" s="14">
        <f>CHOOSE(CONTROL!$C$42, 48.2193, 48.2193) * CHOOSE(CONTROL!$C$21, $C$9, 100%, $E$9)</f>
        <v>48.219299999999997</v>
      </c>
      <c r="S674" s="14">
        <f>CHOOSE(CONTROL!$C$42, 45.9102, 45.9102) * CHOOSE(CONTROL!$C$21, $C$9, 100%, $E$9)</f>
        <v>45.910200000000003</v>
      </c>
      <c r="T67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7">
        <f>(1000*CHOOSE(CONTROL!$C$42, 695, 695)*CHOOSE(CONTROL!$C$42, 0.5599, 0.5599)*CHOOSE(CONTROL!$C$42, 29, 29))/1000000</f>
        <v>11.284784499999999</v>
      </c>
      <c r="V674" s="57">
        <f>(1000*CHOOSE(CONTROL!$C$42, 500, 500)*CHOOSE(CONTROL!$C$42, 0.275, 0.275)*CHOOSE(CONTROL!$C$42, 29, 29))/1000000</f>
        <v>3.9874999999999998</v>
      </c>
      <c r="W674" s="57">
        <f>(1000*CHOOSE(CONTROL!$C$42, 0.1146, 0.1146)*CHOOSE(CONTROL!$C$42, 121.5, 121.5)*CHOOSE(CONTROL!$C$42, 29, 29))/1000000</f>
        <v>0.40379309999999996</v>
      </c>
      <c r="X674" s="57">
        <f>(29*0.1790888*100000/1000000)+(29*0.2374*100000/1000000)</f>
        <v>1.2078175199999999</v>
      </c>
      <c r="Y674" s="57"/>
      <c r="Z674" s="14"/>
      <c r="AA674" s="56"/>
      <c r="AB674" s="50">
        <f>(B674*122.58+C674*297.941+D674*89.177+E674*40.302+F674*40+G674*160+H674*0+I674*100+J674*300)/(122.58+297.941+89.177+40.302+0+40+160+100+300)</f>
        <v>47.814078371652172</v>
      </c>
      <c r="AC674" s="45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46.883948201438848</v>
      </c>
    </row>
    <row r="675" spans="1:29" ht="15.75" x14ac:dyDescent="0.25">
      <c r="A675" s="32">
        <v>61453</v>
      </c>
      <c r="B675" s="14">
        <f>CHOOSE(CONTROL!$C$42, 46.4308, 46.4308) * CHOOSE(CONTROL!$C$21, $C$9, 100%, $E$9)</f>
        <v>46.430799999999998</v>
      </c>
      <c r="C675" s="14">
        <f>CHOOSE(CONTROL!$C$42, 46.4358, 46.4358) * CHOOSE(CONTROL!$C$21, $C$9, 100%, $E$9)</f>
        <v>46.4358</v>
      </c>
      <c r="D675" s="14">
        <f>CHOOSE(CONTROL!$C$42, 46.5127, 46.5127) * CHOOSE(CONTROL!$C$21, $C$9, 100%, $E$9)</f>
        <v>46.512700000000002</v>
      </c>
      <c r="E675" s="14">
        <f>CHOOSE(CONTROL!$C$42, 46.5468, 46.5468) * CHOOSE(CONTROL!$C$21, $C$9, 100%, $E$9)</f>
        <v>46.546799999999998</v>
      </c>
      <c r="F675" s="14">
        <f>CHOOSE(CONTROL!$C$42, 46.4306, 46.4306)*CHOOSE(CONTROL!$C$21, $C$9, 100%, $E$9)</f>
        <v>46.430599999999998</v>
      </c>
      <c r="G675" s="14">
        <f>CHOOSE(CONTROL!$C$42, 46.4467, 46.4467)*CHOOSE(CONTROL!$C$21, $C$9, 100%, $E$9)</f>
        <v>46.4467</v>
      </c>
      <c r="H675" s="14">
        <f>CHOOSE(CONTROL!$C$42, 46.536, 46.536) * CHOOSE(CONTROL!$C$21, $C$9, 100%, $E$9)</f>
        <v>46.536000000000001</v>
      </c>
      <c r="I675" s="14">
        <f>CHOOSE(CONTROL!$C$42, 46.5942, 46.5942)* CHOOSE(CONTROL!$C$21, $C$9, 100%, $E$9)</f>
        <v>46.594200000000001</v>
      </c>
      <c r="J675" s="14">
        <f>CHOOSE(CONTROL!$C$42, 46.4236, 46.4236)* CHOOSE(CONTROL!$C$21, $C$9, 100%, $E$9)</f>
        <v>46.4236</v>
      </c>
      <c r="K675" s="53">
        <f>CHOOSE(CONTROL!$C$42, 46.5904, 46.5904) * CHOOSE(CONTROL!$C$21, $C$9, 100%, $E$9)</f>
        <v>46.590400000000002</v>
      </c>
      <c r="L675" s="14">
        <f>CHOOSE(CONTROL!$C$42, 47.123, 47.123) * CHOOSE(CONTROL!$C$21, $C$9, 100%, $E$9)</f>
        <v>47.122999999999998</v>
      </c>
      <c r="M675" s="14">
        <f>CHOOSE(CONTROL!$C$42, 45.4801, 45.4801) * CHOOSE(CONTROL!$C$21, $C$9, 100%, $E$9)</f>
        <v>45.4801</v>
      </c>
      <c r="N675" s="14">
        <f>CHOOSE(CONTROL!$C$42, 45.4958, 45.4958) * CHOOSE(CONTROL!$C$21, $C$9, 100%, $E$9)</f>
        <v>45.495800000000003</v>
      </c>
      <c r="O675" s="14">
        <f>CHOOSE(CONTROL!$C$42, 45.5902, 45.5902) * CHOOSE(CONTROL!$C$21, $C$9, 100%, $E$9)</f>
        <v>45.590200000000003</v>
      </c>
      <c r="P675" s="14">
        <f>CHOOSE(CONTROL!$C$42, 45.6444, 45.6444) * CHOOSE(CONTROL!$C$21, $C$9, 100%, $E$9)</f>
        <v>45.644399999999997</v>
      </c>
      <c r="Q675" s="14">
        <f>CHOOSE(CONTROL!$C$42, 46.1849, 46.1849) * CHOOSE(CONTROL!$C$21, $C$9, 100%, $E$9)</f>
        <v>46.184899999999999</v>
      </c>
      <c r="R675" s="14">
        <f>CHOOSE(CONTROL!$C$42, 46.8873, 46.8873) * CHOOSE(CONTROL!$C$21, $C$9, 100%, $E$9)</f>
        <v>46.887300000000003</v>
      </c>
      <c r="S675" s="14">
        <f>CHOOSE(CONTROL!$C$42, 44.6068, 44.6068) * CHOOSE(CONTROL!$C$21, $C$9, 100%, $E$9)</f>
        <v>44.6068</v>
      </c>
      <c r="T6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7">
        <f>(1000*CHOOSE(CONTROL!$C$42, 695, 695)*CHOOSE(CONTROL!$C$42, 0.5599, 0.5599)*CHOOSE(CONTROL!$C$42, 31, 31))/1000000</f>
        <v>12.063045499999998</v>
      </c>
      <c r="V675" s="57">
        <f>(1000*CHOOSE(CONTROL!$C$42, 500, 500)*CHOOSE(CONTROL!$C$42, 0.275, 0.275)*CHOOSE(CONTROL!$C$42, 31, 31))/1000000</f>
        <v>4.2625000000000002</v>
      </c>
      <c r="W675" s="57">
        <f>(1000*CHOOSE(CONTROL!$C$42, 0.1146, 0.1146)*CHOOSE(CONTROL!$C$42, 121.5, 121.5)*CHOOSE(CONTROL!$C$42, 31, 31))/1000000</f>
        <v>0.43164089999999994</v>
      </c>
      <c r="X675" s="57">
        <f>(31*0.1790888*100000/1000000)+(31*0.2374*100000/1000000)</f>
        <v>1.2911152800000001</v>
      </c>
      <c r="Y675" s="57"/>
      <c r="Z675" s="14"/>
      <c r="AA675" s="56"/>
      <c r="AB675" s="50">
        <f>(B675*122.58+C675*297.941+D675*89.177+E675*40.302+F675*40+G675*160+H675*0+I675*100+J675*300)/(122.58+297.941+89.177+40.302+0+40+160+100+300)</f>
        <v>46.457047246347827</v>
      </c>
      <c r="AC675" s="45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45.55454532374101</v>
      </c>
    </row>
    <row r="676" spans="1:29" ht="15.75" x14ac:dyDescent="0.25">
      <c r="A676" s="32">
        <v>61483</v>
      </c>
      <c r="B676" s="14">
        <f>CHOOSE(CONTROL!$C$42, 46.293, 46.293) * CHOOSE(CONTROL!$C$21, $C$9, 100%, $E$9)</f>
        <v>46.292999999999999</v>
      </c>
      <c r="C676" s="14">
        <f>CHOOSE(CONTROL!$C$42, 46.2975, 46.2975) * CHOOSE(CONTROL!$C$21, $C$9, 100%, $E$9)</f>
        <v>46.297499999999999</v>
      </c>
      <c r="D676" s="14">
        <f>CHOOSE(CONTROL!$C$42, 46.5342, 46.5342) * CHOOSE(CONTROL!$C$21, $C$9, 100%, $E$9)</f>
        <v>46.534199999999998</v>
      </c>
      <c r="E676" s="14">
        <f>CHOOSE(CONTROL!$C$42, 46.5663, 46.5663) * CHOOSE(CONTROL!$C$21, $C$9, 100%, $E$9)</f>
        <v>46.566299999999998</v>
      </c>
      <c r="F676" s="14">
        <f>CHOOSE(CONTROL!$C$42, 46.291, 46.291)*CHOOSE(CONTROL!$C$21, $C$9, 100%, $E$9)</f>
        <v>46.290999999999997</v>
      </c>
      <c r="G676" s="14">
        <f>CHOOSE(CONTROL!$C$42, 46.3068, 46.3068)*CHOOSE(CONTROL!$C$21, $C$9, 100%, $E$9)</f>
        <v>46.306800000000003</v>
      </c>
      <c r="H676" s="14">
        <f>CHOOSE(CONTROL!$C$42, 46.5561, 46.5561) * CHOOSE(CONTROL!$C$21, $C$9, 100%, $E$9)</f>
        <v>46.556100000000001</v>
      </c>
      <c r="I676" s="14">
        <f>CHOOSE(CONTROL!$C$42, 46.4553, 46.4553)* CHOOSE(CONTROL!$C$21, $C$9, 100%, $E$9)</f>
        <v>46.455300000000001</v>
      </c>
      <c r="J676" s="14">
        <f>CHOOSE(CONTROL!$C$42, 46.284, 46.284)* CHOOSE(CONTROL!$C$21, $C$9, 100%, $E$9)</f>
        <v>46.283999999999999</v>
      </c>
      <c r="K676" s="53">
        <f>CHOOSE(CONTROL!$C$42, 46.4514, 46.4514) * CHOOSE(CONTROL!$C$21, $C$9, 100%, $E$9)</f>
        <v>46.4514</v>
      </c>
      <c r="L676" s="14">
        <f>CHOOSE(CONTROL!$C$42, 47.1431, 47.1431) * CHOOSE(CONTROL!$C$21, $C$9, 100%, $E$9)</f>
        <v>47.143099999999997</v>
      </c>
      <c r="M676" s="14">
        <f>CHOOSE(CONTROL!$C$42, 45.3433, 45.3433) * CHOOSE(CONTROL!$C$21, $C$9, 100%, $E$9)</f>
        <v>45.343299999999999</v>
      </c>
      <c r="N676" s="14">
        <f>CHOOSE(CONTROL!$C$42, 45.3588, 45.3588) * CHOOSE(CONTROL!$C$21, $C$9, 100%, $E$9)</f>
        <v>45.358800000000002</v>
      </c>
      <c r="O676" s="14">
        <f>CHOOSE(CONTROL!$C$42, 45.6099, 45.6099) * CHOOSE(CONTROL!$C$21, $C$9, 100%, $E$9)</f>
        <v>45.609900000000003</v>
      </c>
      <c r="P676" s="14">
        <f>CHOOSE(CONTROL!$C$42, 45.5083, 45.5083) * CHOOSE(CONTROL!$C$21, $C$9, 100%, $E$9)</f>
        <v>45.508299999999998</v>
      </c>
      <c r="Q676" s="14">
        <f>CHOOSE(CONTROL!$C$42, 46.2046, 46.2046) * CHOOSE(CONTROL!$C$21, $C$9, 100%, $E$9)</f>
        <v>46.204599999999999</v>
      </c>
      <c r="R676" s="14">
        <f>CHOOSE(CONTROL!$C$42, 46.9071, 46.9071) * CHOOSE(CONTROL!$C$21, $C$9, 100%, $E$9)</f>
        <v>46.9071</v>
      </c>
      <c r="S676" s="14">
        <f>CHOOSE(CONTROL!$C$42, 44.4737, 44.4737) * CHOOSE(CONTROL!$C$21, $C$9, 100%, $E$9)</f>
        <v>44.473700000000001</v>
      </c>
      <c r="T6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7">
        <f>(1000*CHOOSE(CONTROL!$C$42, 695, 695)*CHOOSE(CONTROL!$C$42, 0.5599, 0.5599)*CHOOSE(CONTROL!$C$42, 30, 30))/1000000</f>
        <v>11.673914999999997</v>
      </c>
      <c r="V676" s="57">
        <f>(1000*CHOOSE(CONTROL!$C$42, 500, 500)*CHOOSE(CONTROL!$C$42, 0.275, 0.275)*CHOOSE(CONTROL!$C$42, 30, 30))/1000000</f>
        <v>4.125</v>
      </c>
      <c r="W676" s="57">
        <f>(1000*CHOOSE(CONTROL!$C$42, 0.1146, 0.1146)*CHOOSE(CONTROL!$C$42, 121.5, 121.5)*CHOOSE(CONTROL!$C$42, 30, 30))/1000000</f>
        <v>0.417717</v>
      </c>
      <c r="X676" s="57">
        <f>(30*0.1790888*245000/1000000)+(30*0.2374*100000/1000000)</f>
        <v>2.0285026799999999</v>
      </c>
      <c r="Y676" s="57"/>
      <c r="Z676" s="14"/>
      <c r="AA676" s="56"/>
      <c r="AB676" s="50">
        <f>(B676*141.293+C676*267.993+D676*115.016+E676*89.698+F676*40+G676*185+H676*0+I676*100+J676*300)/(141.293+267.993+115.016+89.698+0+40+185+100+300)</f>
        <v>46.3490656102502</v>
      </c>
      <c r="AC676" s="45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45.488766187050366</v>
      </c>
    </row>
    <row r="677" spans="1:29" ht="15.75" x14ac:dyDescent="0.25">
      <c r="A677" s="32">
        <v>61514</v>
      </c>
      <c r="B677" s="14">
        <f>CHOOSE(CONTROL!$C$42, 46.7029, 46.7029) * CHOOSE(CONTROL!$C$21, $C$9, 100%, $E$9)</f>
        <v>46.7029</v>
      </c>
      <c r="C677" s="14">
        <f>CHOOSE(CONTROL!$C$42, 46.7109, 46.7109) * CHOOSE(CONTROL!$C$21, $C$9, 100%, $E$9)</f>
        <v>46.710900000000002</v>
      </c>
      <c r="D677" s="14">
        <f>CHOOSE(CONTROL!$C$42, 46.9445, 46.9445) * CHOOSE(CONTROL!$C$21, $C$9, 100%, $E$9)</f>
        <v>46.944499999999998</v>
      </c>
      <c r="E677" s="14">
        <f>CHOOSE(CONTROL!$C$42, 46.976, 46.976) * CHOOSE(CONTROL!$C$21, $C$9, 100%, $E$9)</f>
        <v>46.975999999999999</v>
      </c>
      <c r="F677" s="14">
        <f>CHOOSE(CONTROL!$C$42, 46.6997, 46.6997)*CHOOSE(CONTROL!$C$21, $C$9, 100%, $E$9)</f>
        <v>46.6997</v>
      </c>
      <c r="G677" s="14">
        <f>CHOOSE(CONTROL!$C$42, 46.716, 46.716)*CHOOSE(CONTROL!$C$21, $C$9, 100%, $E$9)</f>
        <v>46.716000000000001</v>
      </c>
      <c r="H677" s="14">
        <f>CHOOSE(CONTROL!$C$42, 46.9646, 46.9646) * CHOOSE(CONTROL!$C$21, $C$9, 100%, $E$9)</f>
        <v>46.964599999999997</v>
      </c>
      <c r="I677" s="14">
        <f>CHOOSE(CONTROL!$C$42, 46.865, 46.865)* CHOOSE(CONTROL!$C$21, $C$9, 100%, $E$9)</f>
        <v>46.865000000000002</v>
      </c>
      <c r="J677" s="14">
        <f>CHOOSE(CONTROL!$C$42, 46.6927, 46.6927)* CHOOSE(CONTROL!$C$21, $C$9, 100%, $E$9)</f>
        <v>46.692700000000002</v>
      </c>
      <c r="K677" s="53">
        <f>CHOOSE(CONTROL!$C$42, 46.8612, 46.8612) * CHOOSE(CONTROL!$C$21, $C$9, 100%, $E$9)</f>
        <v>46.861199999999997</v>
      </c>
      <c r="L677" s="14">
        <f>CHOOSE(CONTROL!$C$42, 47.5516, 47.5516) * CHOOSE(CONTROL!$C$21, $C$9, 100%, $E$9)</f>
        <v>47.551600000000001</v>
      </c>
      <c r="M677" s="14">
        <f>CHOOSE(CONTROL!$C$42, 45.7437, 45.7437) * CHOOSE(CONTROL!$C$21, $C$9, 100%, $E$9)</f>
        <v>45.743699999999997</v>
      </c>
      <c r="N677" s="14">
        <f>CHOOSE(CONTROL!$C$42, 45.7597, 45.7597) * CHOOSE(CONTROL!$C$21, $C$9, 100%, $E$9)</f>
        <v>45.759700000000002</v>
      </c>
      <c r="O677" s="14">
        <f>CHOOSE(CONTROL!$C$42, 46.01, 46.01) * CHOOSE(CONTROL!$C$21, $C$9, 100%, $E$9)</f>
        <v>46.01</v>
      </c>
      <c r="P677" s="14">
        <f>CHOOSE(CONTROL!$C$42, 45.9096, 45.9096) * CHOOSE(CONTROL!$C$21, $C$9, 100%, $E$9)</f>
        <v>45.909599999999998</v>
      </c>
      <c r="Q677" s="14">
        <f>CHOOSE(CONTROL!$C$42, 46.6047, 46.6047) * CHOOSE(CONTROL!$C$21, $C$9, 100%, $E$9)</f>
        <v>46.604700000000001</v>
      </c>
      <c r="R677" s="14">
        <f>CHOOSE(CONTROL!$C$42, 47.3082, 47.3082) * CHOOSE(CONTROL!$C$21, $C$9, 100%, $E$9)</f>
        <v>47.308199999999999</v>
      </c>
      <c r="S677" s="14">
        <f>CHOOSE(CONTROL!$C$42, 44.8662, 44.8662) * CHOOSE(CONTROL!$C$21, $C$9, 100%, $E$9)</f>
        <v>44.866199999999999</v>
      </c>
      <c r="T6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7">
        <f>(1000*CHOOSE(CONTROL!$C$42, 695, 695)*CHOOSE(CONTROL!$C$42, 0.5599, 0.5599)*CHOOSE(CONTROL!$C$42, 31, 31))/1000000</f>
        <v>12.063045499999998</v>
      </c>
      <c r="V677" s="57">
        <f>(1000*CHOOSE(CONTROL!$C$42, 500, 500)*CHOOSE(CONTROL!$C$42, 0.275, 0.275)*CHOOSE(CONTROL!$C$42, 31, 31))/1000000</f>
        <v>4.2625000000000002</v>
      </c>
      <c r="W677" s="57">
        <f>(1000*CHOOSE(CONTROL!$C$42, 0.1146, 0.1146)*CHOOSE(CONTROL!$C$42, 121.5, 121.5)*CHOOSE(CONTROL!$C$42, 31, 31))/1000000</f>
        <v>0.43164089999999994</v>
      </c>
      <c r="X677" s="57">
        <f>(31*0.1790888*245000/1000000)+(31*0.2374*100000/1000000)</f>
        <v>2.0961194359999999</v>
      </c>
      <c r="Y677" s="57"/>
      <c r="Z677" s="14"/>
      <c r="AA677" s="56"/>
      <c r="AB677" s="50">
        <f>(B677*194.205+C677*267.466+D677*133.845+E677*53.484+F677*40+G677*185+H677*0+I677*100+J677*300)/(194.205+267.466+133.845+53.484+0+40+185+100+300)</f>
        <v>46.753550439874417</v>
      </c>
      <c r="AC677" s="45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45.889188489208628</v>
      </c>
    </row>
    <row r="678" spans="1:29" ht="15.75" x14ac:dyDescent="0.25">
      <c r="A678" s="32">
        <v>61544</v>
      </c>
      <c r="B678" s="14">
        <f>CHOOSE(CONTROL!$C$42, 48.0273, 48.0273) * CHOOSE(CONTROL!$C$21, $C$9, 100%, $E$9)</f>
        <v>48.027299999999997</v>
      </c>
      <c r="C678" s="14">
        <f>CHOOSE(CONTROL!$C$42, 48.0354, 48.0354) * CHOOSE(CONTROL!$C$21, $C$9, 100%, $E$9)</f>
        <v>48.035400000000003</v>
      </c>
      <c r="D678" s="14">
        <f>CHOOSE(CONTROL!$C$42, 48.269, 48.269) * CHOOSE(CONTROL!$C$21, $C$9, 100%, $E$9)</f>
        <v>48.268999999999998</v>
      </c>
      <c r="E678" s="14">
        <f>CHOOSE(CONTROL!$C$42, 48.3004, 48.3004) * CHOOSE(CONTROL!$C$21, $C$9, 100%, $E$9)</f>
        <v>48.300400000000003</v>
      </c>
      <c r="F678" s="14">
        <f>CHOOSE(CONTROL!$C$42, 48.0246, 48.0246)*CHOOSE(CONTROL!$C$21, $C$9, 100%, $E$9)</f>
        <v>48.0246</v>
      </c>
      <c r="G678" s="14">
        <f>CHOOSE(CONTROL!$C$42, 48.0411, 48.0411)*CHOOSE(CONTROL!$C$21, $C$9, 100%, $E$9)</f>
        <v>48.0411</v>
      </c>
      <c r="H678" s="14">
        <f>CHOOSE(CONTROL!$C$42, 48.2891, 48.2891) * CHOOSE(CONTROL!$C$21, $C$9, 100%, $E$9)</f>
        <v>48.289099999999998</v>
      </c>
      <c r="I678" s="14">
        <f>CHOOSE(CONTROL!$C$42, 48.1936, 48.1936)* CHOOSE(CONTROL!$C$21, $C$9, 100%, $E$9)</f>
        <v>48.193600000000004</v>
      </c>
      <c r="J678" s="14">
        <f>CHOOSE(CONTROL!$C$42, 48.0176, 48.0176)* CHOOSE(CONTROL!$C$21, $C$9, 100%, $E$9)</f>
        <v>48.017600000000002</v>
      </c>
      <c r="K678" s="53">
        <f>CHOOSE(CONTROL!$C$42, 48.1897, 48.1897) * CHOOSE(CONTROL!$C$21, $C$9, 100%, $E$9)</f>
        <v>48.189700000000002</v>
      </c>
      <c r="L678" s="14">
        <f>CHOOSE(CONTROL!$C$42, 48.8761, 48.8761) * CHOOSE(CONTROL!$C$21, $C$9, 100%, $E$9)</f>
        <v>48.876100000000001</v>
      </c>
      <c r="M678" s="14">
        <f>CHOOSE(CONTROL!$C$42, 47.0414, 47.0414) * CHOOSE(CONTROL!$C$21, $C$9, 100%, $E$9)</f>
        <v>47.041400000000003</v>
      </c>
      <c r="N678" s="14">
        <f>CHOOSE(CONTROL!$C$42, 47.0576, 47.0576) * CHOOSE(CONTROL!$C$21, $C$9, 100%, $E$9)</f>
        <v>47.057600000000001</v>
      </c>
      <c r="O678" s="14">
        <f>CHOOSE(CONTROL!$C$42, 47.3073, 47.3073) * CHOOSE(CONTROL!$C$21, $C$9, 100%, $E$9)</f>
        <v>47.307299999999998</v>
      </c>
      <c r="P678" s="14">
        <f>CHOOSE(CONTROL!$C$42, 47.2109, 47.2109) * CHOOSE(CONTROL!$C$21, $C$9, 100%, $E$9)</f>
        <v>47.210900000000002</v>
      </c>
      <c r="Q678" s="14">
        <f>CHOOSE(CONTROL!$C$42, 47.902, 47.902) * CHOOSE(CONTROL!$C$21, $C$9, 100%, $E$9)</f>
        <v>47.902000000000001</v>
      </c>
      <c r="R678" s="14">
        <f>CHOOSE(CONTROL!$C$42, 48.6088, 48.6088) * CHOOSE(CONTROL!$C$21, $C$9, 100%, $E$9)</f>
        <v>48.608800000000002</v>
      </c>
      <c r="S678" s="14">
        <f>CHOOSE(CONTROL!$C$42, 46.1388, 46.1388) * CHOOSE(CONTROL!$C$21, $C$9, 100%, $E$9)</f>
        <v>46.138800000000003</v>
      </c>
      <c r="T6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7">
        <f>(1000*CHOOSE(CONTROL!$C$42, 695, 695)*CHOOSE(CONTROL!$C$42, 0.5599, 0.5599)*CHOOSE(CONTROL!$C$42, 30, 30))/1000000</f>
        <v>11.673914999999997</v>
      </c>
      <c r="V678" s="57">
        <f>(1000*CHOOSE(CONTROL!$C$42, 500, 500)*CHOOSE(CONTROL!$C$42, 0.275, 0.275)*CHOOSE(CONTROL!$C$42, 30, 30))/1000000</f>
        <v>4.125</v>
      </c>
      <c r="W678" s="57">
        <f>(1000*CHOOSE(CONTROL!$C$42, 0.1146, 0.1146)*CHOOSE(CONTROL!$C$42, 121.5, 121.5)*CHOOSE(CONTROL!$C$42, 30, 30))/1000000</f>
        <v>0.417717</v>
      </c>
      <c r="X678" s="57">
        <f>(30*0.1790888*245000/1000000)+(30*0.2374*100000/1000000)</f>
        <v>2.0285026799999999</v>
      </c>
      <c r="Y678" s="57"/>
      <c r="Z678" s="14"/>
      <c r="AA678" s="56"/>
      <c r="AB678" s="50">
        <f>(B678*194.205+C678*267.466+D678*133.845+E678*53.484+F678*40+G678*185+H678*0+I678*100+J678*300)/(194.205+267.466+133.845+53.484+0+40+185+100+300)</f>
        <v>48.078546696624798</v>
      </c>
      <c r="AC678" s="45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47.187236690647474</v>
      </c>
    </row>
    <row r="679" spans="1:29" ht="15.75" x14ac:dyDescent="0.25">
      <c r="A679" s="32">
        <v>61575</v>
      </c>
      <c r="B679" s="14">
        <f>CHOOSE(CONTROL!$C$42, 47.1062, 47.1062) * CHOOSE(CONTROL!$C$21, $C$9, 100%, $E$9)</f>
        <v>47.106200000000001</v>
      </c>
      <c r="C679" s="14">
        <f>CHOOSE(CONTROL!$C$42, 47.1142, 47.1142) * CHOOSE(CONTROL!$C$21, $C$9, 100%, $E$9)</f>
        <v>47.114199999999997</v>
      </c>
      <c r="D679" s="14">
        <f>CHOOSE(CONTROL!$C$42, 47.3478, 47.3478) * CHOOSE(CONTROL!$C$21, $C$9, 100%, $E$9)</f>
        <v>47.347799999999999</v>
      </c>
      <c r="E679" s="14">
        <f>CHOOSE(CONTROL!$C$42, 47.3793, 47.3793) * CHOOSE(CONTROL!$C$21, $C$9, 100%, $E$9)</f>
        <v>47.379300000000001</v>
      </c>
      <c r="F679" s="14">
        <f>CHOOSE(CONTROL!$C$42, 47.104, 47.104)*CHOOSE(CONTROL!$C$21, $C$9, 100%, $E$9)</f>
        <v>47.103999999999999</v>
      </c>
      <c r="G679" s="14">
        <f>CHOOSE(CONTROL!$C$42, 47.1206, 47.1206)*CHOOSE(CONTROL!$C$21, $C$9, 100%, $E$9)</f>
        <v>47.120600000000003</v>
      </c>
      <c r="H679" s="14">
        <f>CHOOSE(CONTROL!$C$42, 47.3679, 47.3679) * CHOOSE(CONTROL!$C$21, $C$9, 100%, $E$9)</f>
        <v>47.367899999999999</v>
      </c>
      <c r="I679" s="14">
        <f>CHOOSE(CONTROL!$C$42, 47.2696, 47.2696)* CHOOSE(CONTROL!$C$21, $C$9, 100%, $E$9)</f>
        <v>47.269599999999997</v>
      </c>
      <c r="J679" s="14">
        <f>CHOOSE(CONTROL!$C$42, 47.097, 47.097)* CHOOSE(CONTROL!$C$21, $C$9, 100%, $E$9)</f>
        <v>47.097000000000001</v>
      </c>
      <c r="K679" s="53">
        <f>CHOOSE(CONTROL!$C$42, 47.2657, 47.2657) * CHOOSE(CONTROL!$C$21, $C$9, 100%, $E$9)</f>
        <v>47.265700000000002</v>
      </c>
      <c r="L679" s="14">
        <f>CHOOSE(CONTROL!$C$42, 47.9549, 47.9549) * CHOOSE(CONTROL!$C$21, $C$9, 100%, $E$9)</f>
        <v>47.954900000000002</v>
      </c>
      <c r="M679" s="14">
        <f>CHOOSE(CONTROL!$C$42, 46.1397, 46.1397) * CHOOSE(CONTROL!$C$21, $C$9, 100%, $E$9)</f>
        <v>46.139699999999998</v>
      </c>
      <c r="N679" s="14">
        <f>CHOOSE(CONTROL!$C$42, 46.1559, 46.1559) * CHOOSE(CONTROL!$C$21, $C$9, 100%, $E$9)</f>
        <v>46.155900000000003</v>
      </c>
      <c r="O679" s="14">
        <f>CHOOSE(CONTROL!$C$42, 46.4051, 46.4051) * CHOOSE(CONTROL!$C$21, $C$9, 100%, $E$9)</f>
        <v>46.405099999999997</v>
      </c>
      <c r="P679" s="14">
        <f>CHOOSE(CONTROL!$C$42, 46.3059, 46.3059) * CHOOSE(CONTROL!$C$21, $C$9, 100%, $E$9)</f>
        <v>46.305900000000001</v>
      </c>
      <c r="Q679" s="14">
        <f>CHOOSE(CONTROL!$C$42, 46.9998, 46.9998) * CHOOSE(CONTROL!$C$21, $C$9, 100%, $E$9)</f>
        <v>46.9998</v>
      </c>
      <c r="R679" s="14">
        <f>CHOOSE(CONTROL!$C$42, 47.7043, 47.7043) * CHOOSE(CONTROL!$C$21, $C$9, 100%, $E$9)</f>
        <v>47.704300000000003</v>
      </c>
      <c r="S679" s="14">
        <f>CHOOSE(CONTROL!$C$42, 45.2537, 45.2537) * CHOOSE(CONTROL!$C$21, $C$9, 100%, $E$9)</f>
        <v>45.253700000000002</v>
      </c>
      <c r="T6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7">
        <f>(1000*CHOOSE(CONTROL!$C$42, 695, 695)*CHOOSE(CONTROL!$C$42, 0.5599, 0.5599)*CHOOSE(CONTROL!$C$42, 31, 31))/1000000</f>
        <v>12.063045499999998</v>
      </c>
      <c r="V679" s="57">
        <f>(1000*CHOOSE(CONTROL!$C$42, 500, 500)*CHOOSE(CONTROL!$C$42, 0.275, 0.275)*CHOOSE(CONTROL!$C$42, 31, 31))/1000000</f>
        <v>4.2625000000000002</v>
      </c>
      <c r="W679" s="57">
        <f>(1000*CHOOSE(CONTROL!$C$42, 0.1146, 0.1146)*CHOOSE(CONTROL!$C$42, 121.5, 121.5)*CHOOSE(CONTROL!$C$42, 31, 31))/1000000</f>
        <v>0.43164089999999994</v>
      </c>
      <c r="X679" s="57">
        <f>(31*0.1790888*245000/1000000)+(31*0.2374*100000/1000000)</f>
        <v>2.0961194359999999</v>
      </c>
      <c r="Y679" s="57"/>
      <c r="Z679" s="14"/>
      <c r="AA679" s="56"/>
      <c r="AB679" s="50">
        <f>(B679*194.205+C679*267.466+D679*133.845+E679*53.484+F679*40+G679*185+H679*0+I679*100+J679*300)/(194.205+267.466+133.845+53.484+0+40+185+100+300)</f>
        <v>47.157408132182098</v>
      </c>
      <c r="AC679" s="45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46.284835251798562</v>
      </c>
    </row>
    <row r="680" spans="1:29" ht="15.75" x14ac:dyDescent="0.25">
      <c r="A680" s="32">
        <v>61606</v>
      </c>
      <c r="B680" s="14">
        <f>CHOOSE(CONTROL!$C$42, 44.78, 44.78) * CHOOSE(CONTROL!$C$21, $C$9, 100%, $E$9)</f>
        <v>44.78</v>
      </c>
      <c r="C680" s="14">
        <f>CHOOSE(CONTROL!$C$42, 44.788, 44.788) * CHOOSE(CONTROL!$C$21, $C$9, 100%, $E$9)</f>
        <v>44.787999999999997</v>
      </c>
      <c r="D680" s="14">
        <f>CHOOSE(CONTROL!$C$42, 45.0216, 45.0216) * CHOOSE(CONTROL!$C$21, $C$9, 100%, $E$9)</f>
        <v>45.021599999999999</v>
      </c>
      <c r="E680" s="14">
        <f>CHOOSE(CONTROL!$C$42, 45.0531, 45.0531) * CHOOSE(CONTROL!$C$21, $C$9, 100%, $E$9)</f>
        <v>45.053100000000001</v>
      </c>
      <c r="F680" s="14">
        <f>CHOOSE(CONTROL!$C$42, 44.778, 44.778)*CHOOSE(CONTROL!$C$21, $C$9, 100%, $E$9)</f>
        <v>44.777999999999999</v>
      </c>
      <c r="G680" s="14">
        <f>CHOOSE(CONTROL!$C$42, 44.7946, 44.7946)*CHOOSE(CONTROL!$C$21, $C$9, 100%, $E$9)</f>
        <v>44.794600000000003</v>
      </c>
      <c r="H680" s="14">
        <f>CHOOSE(CONTROL!$C$42, 45.0417, 45.0417) * CHOOSE(CONTROL!$C$21, $C$9, 100%, $E$9)</f>
        <v>45.041699999999999</v>
      </c>
      <c r="I680" s="14">
        <f>CHOOSE(CONTROL!$C$42, 44.9361, 44.9361)* CHOOSE(CONTROL!$C$21, $C$9, 100%, $E$9)</f>
        <v>44.936100000000003</v>
      </c>
      <c r="J680" s="14">
        <f>CHOOSE(CONTROL!$C$42, 44.771, 44.771)* CHOOSE(CONTROL!$C$21, $C$9, 100%, $E$9)</f>
        <v>44.771000000000001</v>
      </c>
      <c r="K680" s="53">
        <f>CHOOSE(CONTROL!$C$42, 44.9322, 44.9322) * CHOOSE(CONTROL!$C$21, $C$9, 100%, $E$9)</f>
        <v>44.932200000000002</v>
      </c>
      <c r="L680" s="14">
        <f>CHOOSE(CONTROL!$C$42, 45.6287, 45.6287) * CHOOSE(CONTROL!$C$21, $C$9, 100%, $E$9)</f>
        <v>45.628700000000002</v>
      </c>
      <c r="M680" s="14">
        <f>CHOOSE(CONTROL!$C$42, 43.8613, 43.8613) * CHOOSE(CONTROL!$C$21, $C$9, 100%, $E$9)</f>
        <v>43.8613</v>
      </c>
      <c r="N680" s="14">
        <f>CHOOSE(CONTROL!$C$42, 43.8776, 43.8776) * CHOOSE(CONTROL!$C$21, $C$9, 100%, $E$9)</f>
        <v>43.877600000000001</v>
      </c>
      <c r="O680" s="14">
        <f>CHOOSE(CONTROL!$C$42, 44.1265, 44.1265) * CHOOSE(CONTROL!$C$21, $C$9, 100%, $E$9)</f>
        <v>44.1265</v>
      </c>
      <c r="P680" s="14">
        <f>CHOOSE(CONTROL!$C$42, 44.0203, 44.0203) * CHOOSE(CONTROL!$C$21, $C$9, 100%, $E$9)</f>
        <v>44.020299999999999</v>
      </c>
      <c r="Q680" s="14">
        <f>CHOOSE(CONTROL!$C$42, 44.7212, 44.7212) * CHOOSE(CONTROL!$C$21, $C$9, 100%, $E$9)</f>
        <v>44.721200000000003</v>
      </c>
      <c r="R680" s="14">
        <f>CHOOSE(CONTROL!$C$42, 45.42, 45.42) * CHOOSE(CONTROL!$C$21, $C$9, 100%, $E$9)</f>
        <v>45.42</v>
      </c>
      <c r="S680" s="14">
        <f>CHOOSE(CONTROL!$C$42, 43.0184, 43.0184) * CHOOSE(CONTROL!$C$21, $C$9, 100%, $E$9)</f>
        <v>43.0184</v>
      </c>
      <c r="T6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7">
        <f>(1000*CHOOSE(CONTROL!$C$42, 695, 695)*CHOOSE(CONTROL!$C$42, 0.5599, 0.5599)*CHOOSE(CONTROL!$C$42, 31, 31))/1000000</f>
        <v>12.063045499999998</v>
      </c>
      <c r="V680" s="57">
        <f>(1000*CHOOSE(CONTROL!$C$42, 500, 500)*CHOOSE(CONTROL!$C$42, 0.275, 0.275)*CHOOSE(CONTROL!$C$42, 31, 31))/1000000</f>
        <v>4.2625000000000002</v>
      </c>
      <c r="W680" s="57">
        <f>(1000*CHOOSE(CONTROL!$C$42, 0.1146, 0.1146)*CHOOSE(CONTROL!$C$42, 121.5, 121.5)*CHOOSE(CONTROL!$C$42, 31, 31))/1000000</f>
        <v>0.43164089999999994</v>
      </c>
      <c r="X680" s="57">
        <f>(31*0.1790888*245000/1000000)+(31*0.2374*100000/1000000)</f>
        <v>2.0961194359999999</v>
      </c>
      <c r="Y680" s="57"/>
      <c r="Z680" s="14"/>
      <c r="AA680" s="56"/>
      <c r="AB680" s="50">
        <f>(B680*194.205+C680*267.466+D680*133.845+E680*53.484+F680*40+G680*185+H680*0+I680*100+J680*300)/(194.205+267.466+133.845+53.484+0+40+185+100+300)</f>
        <v>44.830717551334381</v>
      </c>
      <c r="AC680" s="45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44.005314388489204</v>
      </c>
    </row>
    <row r="681" spans="1:29" ht="15.75" x14ac:dyDescent="0.25">
      <c r="A681" s="32">
        <v>61636</v>
      </c>
      <c r="B681" s="14">
        <f>CHOOSE(CONTROL!$C$42, 41.9373, 41.9373) * CHOOSE(CONTROL!$C$21, $C$9, 100%, $E$9)</f>
        <v>41.9373</v>
      </c>
      <c r="C681" s="14">
        <f>CHOOSE(CONTROL!$C$42, 41.9453, 41.9453) * CHOOSE(CONTROL!$C$21, $C$9, 100%, $E$9)</f>
        <v>41.945300000000003</v>
      </c>
      <c r="D681" s="14">
        <f>CHOOSE(CONTROL!$C$42, 42.1789, 42.1789) * CHOOSE(CONTROL!$C$21, $C$9, 100%, $E$9)</f>
        <v>42.178899999999999</v>
      </c>
      <c r="E681" s="14">
        <f>CHOOSE(CONTROL!$C$42, 42.2104, 42.2104) * CHOOSE(CONTROL!$C$21, $C$9, 100%, $E$9)</f>
        <v>42.2104</v>
      </c>
      <c r="F681" s="14">
        <f>CHOOSE(CONTROL!$C$42, 41.9353, 41.9353)*CHOOSE(CONTROL!$C$21, $C$9, 100%, $E$9)</f>
        <v>41.935299999999998</v>
      </c>
      <c r="G681" s="14">
        <f>CHOOSE(CONTROL!$C$42, 41.952, 41.952)*CHOOSE(CONTROL!$C$21, $C$9, 100%, $E$9)</f>
        <v>41.951999999999998</v>
      </c>
      <c r="H681" s="14">
        <f>CHOOSE(CONTROL!$C$42, 42.199, 42.199) * CHOOSE(CONTROL!$C$21, $C$9, 100%, $E$9)</f>
        <v>42.198999999999998</v>
      </c>
      <c r="I681" s="14">
        <f>CHOOSE(CONTROL!$C$42, 42.0845, 42.0845)* CHOOSE(CONTROL!$C$21, $C$9, 100%, $E$9)</f>
        <v>42.084499999999998</v>
      </c>
      <c r="J681" s="14">
        <f>CHOOSE(CONTROL!$C$42, 41.9283, 41.9283)* CHOOSE(CONTROL!$C$21, $C$9, 100%, $E$9)</f>
        <v>41.9283</v>
      </c>
      <c r="K681" s="53">
        <f>CHOOSE(CONTROL!$C$42, 42.0806, 42.0806) * CHOOSE(CONTROL!$C$21, $C$9, 100%, $E$9)</f>
        <v>42.080599999999997</v>
      </c>
      <c r="L681" s="14">
        <f>CHOOSE(CONTROL!$C$42, 42.786, 42.786) * CHOOSE(CONTROL!$C$21, $C$9, 100%, $E$9)</f>
        <v>42.786000000000001</v>
      </c>
      <c r="M681" s="14">
        <f>CHOOSE(CONTROL!$C$42, 41.0769, 41.0769) * CHOOSE(CONTROL!$C$21, $C$9, 100%, $E$9)</f>
        <v>41.076900000000002</v>
      </c>
      <c r="N681" s="14">
        <f>CHOOSE(CONTROL!$C$42, 41.0933, 41.0933) * CHOOSE(CONTROL!$C$21, $C$9, 100%, $E$9)</f>
        <v>41.093299999999999</v>
      </c>
      <c r="O681" s="14">
        <f>CHOOSE(CONTROL!$C$42, 41.3421, 41.3421) * CHOOSE(CONTROL!$C$21, $C$9, 100%, $E$9)</f>
        <v>41.342100000000002</v>
      </c>
      <c r="P681" s="14">
        <f>CHOOSE(CONTROL!$C$42, 41.2274, 41.2274) * CHOOSE(CONTROL!$C$21, $C$9, 100%, $E$9)</f>
        <v>41.227400000000003</v>
      </c>
      <c r="Q681" s="14">
        <f>CHOOSE(CONTROL!$C$42, 41.9368, 41.9368) * CHOOSE(CONTROL!$C$21, $C$9, 100%, $E$9)</f>
        <v>41.936799999999998</v>
      </c>
      <c r="R681" s="14">
        <f>CHOOSE(CONTROL!$C$42, 42.6286, 42.6286) * CHOOSE(CONTROL!$C$21, $C$9, 100%, $E$9)</f>
        <v>42.628599999999999</v>
      </c>
      <c r="S681" s="14">
        <f>CHOOSE(CONTROL!$C$42, 40.2869, 40.2869) * CHOOSE(CONTROL!$C$21, $C$9, 100%, $E$9)</f>
        <v>40.286900000000003</v>
      </c>
      <c r="T6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7">
        <f>(1000*CHOOSE(CONTROL!$C$42, 695, 695)*CHOOSE(CONTROL!$C$42, 0.5599, 0.5599)*CHOOSE(CONTROL!$C$42, 30, 30))/1000000</f>
        <v>11.673914999999997</v>
      </c>
      <c r="V681" s="57">
        <f>(1000*CHOOSE(CONTROL!$C$42, 500, 500)*CHOOSE(CONTROL!$C$42, 0.275, 0.275)*CHOOSE(CONTROL!$C$42, 30, 30))/1000000</f>
        <v>4.125</v>
      </c>
      <c r="W681" s="57">
        <f>(1000*CHOOSE(CONTROL!$C$42, 0.1146, 0.1146)*CHOOSE(CONTROL!$C$42, 121.5, 121.5)*CHOOSE(CONTROL!$C$42, 30, 30))/1000000</f>
        <v>0.417717</v>
      </c>
      <c r="X681" s="57">
        <f>(30*0.1790888*245000/1000000)+(30*0.2374*100000/1000000)</f>
        <v>2.0285026799999999</v>
      </c>
      <c r="Y681" s="57"/>
      <c r="Z681" s="14"/>
      <c r="AA681" s="56"/>
      <c r="AB681" s="50">
        <f>(B681*194.205+C681*267.466+D681*133.845+E681*53.484+F681*40+G681*185+H681*0+I681*100+J681*300)/(194.205+267.466+133.845+53.484+0+40+185+100+300)</f>
        <v>41.987333485400313</v>
      </c>
      <c r="AC681" s="45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41.219697122302165</v>
      </c>
    </row>
    <row r="682" spans="1:29" ht="15.75" x14ac:dyDescent="0.25">
      <c r="A682" s="32">
        <v>61667</v>
      </c>
      <c r="B682" s="14">
        <f>CHOOSE(CONTROL!$C$42, 41.0843, 41.0843) * CHOOSE(CONTROL!$C$21, $C$9, 100%, $E$9)</f>
        <v>41.084299999999999</v>
      </c>
      <c r="C682" s="14">
        <f>CHOOSE(CONTROL!$C$42, 41.0896, 41.0896) * CHOOSE(CONTROL!$C$21, $C$9, 100%, $E$9)</f>
        <v>41.089599999999997</v>
      </c>
      <c r="D682" s="14">
        <f>CHOOSE(CONTROL!$C$42, 41.3282, 41.3282) * CHOOSE(CONTROL!$C$21, $C$9, 100%, $E$9)</f>
        <v>41.328200000000002</v>
      </c>
      <c r="E682" s="14">
        <f>CHOOSE(CONTROL!$C$42, 41.3573, 41.3573) * CHOOSE(CONTROL!$C$21, $C$9, 100%, $E$9)</f>
        <v>41.357300000000002</v>
      </c>
      <c r="F682" s="14">
        <f>CHOOSE(CONTROL!$C$42, 41.0843, 41.0843)*CHOOSE(CONTROL!$C$21, $C$9, 100%, $E$9)</f>
        <v>41.084299999999999</v>
      </c>
      <c r="G682" s="14">
        <f>CHOOSE(CONTROL!$C$42, 41.1006, 41.1006)*CHOOSE(CONTROL!$C$21, $C$9, 100%, $E$9)</f>
        <v>41.1006</v>
      </c>
      <c r="H682" s="14">
        <f>CHOOSE(CONTROL!$C$42, 41.3478, 41.3478) * CHOOSE(CONTROL!$C$21, $C$9, 100%, $E$9)</f>
        <v>41.347799999999999</v>
      </c>
      <c r="I682" s="14">
        <f>CHOOSE(CONTROL!$C$42, 41.2306, 41.2306)* CHOOSE(CONTROL!$C$21, $C$9, 100%, $E$9)</f>
        <v>41.230600000000003</v>
      </c>
      <c r="J682" s="14">
        <f>CHOOSE(CONTROL!$C$42, 41.0773, 41.0773)* CHOOSE(CONTROL!$C$21, $C$9, 100%, $E$9)</f>
        <v>41.077300000000001</v>
      </c>
      <c r="K682" s="53">
        <f>CHOOSE(CONTROL!$C$42, 41.2267, 41.2267) * CHOOSE(CONTROL!$C$21, $C$9, 100%, $E$9)</f>
        <v>41.226700000000001</v>
      </c>
      <c r="L682" s="14">
        <f>CHOOSE(CONTROL!$C$42, 41.9348, 41.9348) * CHOOSE(CONTROL!$C$21, $C$9, 100%, $E$9)</f>
        <v>41.934800000000003</v>
      </c>
      <c r="M682" s="14">
        <f>CHOOSE(CONTROL!$C$42, 40.2434, 40.2434) * CHOOSE(CONTROL!$C$21, $C$9, 100%, $E$9)</f>
        <v>40.243400000000001</v>
      </c>
      <c r="N682" s="14">
        <f>CHOOSE(CONTROL!$C$42, 40.2593, 40.2593) * CHOOSE(CONTROL!$C$21, $C$9, 100%, $E$9)</f>
        <v>40.259300000000003</v>
      </c>
      <c r="O682" s="14">
        <f>CHOOSE(CONTROL!$C$42, 40.5083, 40.5083) * CHOOSE(CONTROL!$C$21, $C$9, 100%, $E$9)</f>
        <v>40.508299999999998</v>
      </c>
      <c r="P682" s="14">
        <f>CHOOSE(CONTROL!$C$42, 40.391, 40.391) * CHOOSE(CONTROL!$C$21, $C$9, 100%, $E$9)</f>
        <v>40.390999999999998</v>
      </c>
      <c r="Q682" s="14">
        <f>CHOOSE(CONTROL!$C$42, 41.103, 41.103) * CHOOSE(CONTROL!$C$21, $C$9, 100%, $E$9)</f>
        <v>41.103000000000002</v>
      </c>
      <c r="R682" s="14">
        <f>CHOOSE(CONTROL!$C$42, 41.7927, 41.7927) * CHOOSE(CONTROL!$C$21, $C$9, 100%, $E$9)</f>
        <v>41.792700000000004</v>
      </c>
      <c r="S682" s="14">
        <f>CHOOSE(CONTROL!$C$42, 39.469, 39.469) * CHOOSE(CONTROL!$C$21, $C$9, 100%, $E$9)</f>
        <v>39.469000000000001</v>
      </c>
      <c r="T6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7">
        <f>(1000*CHOOSE(CONTROL!$C$42, 695, 695)*CHOOSE(CONTROL!$C$42, 0.5599, 0.5599)*CHOOSE(CONTROL!$C$42, 31, 31))/1000000</f>
        <v>12.063045499999998</v>
      </c>
      <c r="V682" s="57">
        <f>(1000*CHOOSE(CONTROL!$C$42, 500, 500)*CHOOSE(CONTROL!$C$42, 0.275, 0.275)*CHOOSE(CONTROL!$C$42, 31, 31))/1000000</f>
        <v>4.2625000000000002</v>
      </c>
      <c r="W682" s="57">
        <f>(1000*CHOOSE(CONTROL!$C$42, 0.1146, 0.1146)*CHOOSE(CONTROL!$C$42, 121.5, 121.5)*CHOOSE(CONTROL!$C$42, 31, 31))/1000000</f>
        <v>0.43164089999999994</v>
      </c>
      <c r="X682" s="57">
        <f>(31*0.1790888*245000/1000000)+(31*0.2374*100000/1000000)</f>
        <v>2.0961194359999999</v>
      </c>
      <c r="Y682" s="57"/>
      <c r="Z682" s="14"/>
      <c r="AA682" s="56"/>
      <c r="AB682" s="50">
        <f>(B682*131.881+C682*277.167+D682*79.08+E682*125.872+F682*40+G682*185+H682*0+I682*100+J682*300)/(131.881+277.167+79.08+125.872+0+40+185+100+300)</f>
        <v>41.141334021872474</v>
      </c>
      <c r="AC682" s="45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40.385615107913665</v>
      </c>
    </row>
    <row r="683" spans="1:29" ht="15.75" x14ac:dyDescent="0.25">
      <c r="A683" s="32">
        <v>61697</v>
      </c>
      <c r="B683" s="14">
        <f>CHOOSE(CONTROL!$C$42, 42.166, 42.166) * CHOOSE(CONTROL!$C$21, $C$9, 100%, $E$9)</f>
        <v>42.165999999999997</v>
      </c>
      <c r="C683" s="14">
        <f>CHOOSE(CONTROL!$C$42, 42.171, 42.171) * CHOOSE(CONTROL!$C$21, $C$9, 100%, $E$9)</f>
        <v>42.170999999999999</v>
      </c>
      <c r="D683" s="14">
        <f>CHOOSE(CONTROL!$C$42, 42.2453, 42.2453) * CHOOSE(CONTROL!$C$21, $C$9, 100%, $E$9)</f>
        <v>42.2453</v>
      </c>
      <c r="E683" s="14">
        <f>CHOOSE(CONTROL!$C$42, 42.2794, 42.2794) * CHOOSE(CONTROL!$C$21, $C$9, 100%, $E$9)</f>
        <v>42.279400000000003</v>
      </c>
      <c r="F683" s="14">
        <f>CHOOSE(CONTROL!$C$42, 42.178, 42.178)*CHOOSE(CONTROL!$C$21, $C$9, 100%, $E$9)</f>
        <v>42.177999999999997</v>
      </c>
      <c r="G683" s="14">
        <f>CHOOSE(CONTROL!$C$42, 42.1946, 42.1946)*CHOOSE(CONTROL!$C$21, $C$9, 100%, $E$9)</f>
        <v>42.194600000000001</v>
      </c>
      <c r="H683" s="14">
        <f>CHOOSE(CONTROL!$C$42, 42.2686, 42.2686) * CHOOSE(CONTROL!$C$21, $C$9, 100%, $E$9)</f>
        <v>42.268599999999999</v>
      </c>
      <c r="I683" s="14">
        <f>CHOOSE(CONTROL!$C$42, 42.3224, 42.3224)* CHOOSE(CONTROL!$C$21, $C$9, 100%, $E$9)</f>
        <v>42.322400000000002</v>
      </c>
      <c r="J683" s="14">
        <f>CHOOSE(CONTROL!$C$42, 42.171, 42.171)* CHOOSE(CONTROL!$C$21, $C$9, 100%, $E$9)</f>
        <v>42.170999999999999</v>
      </c>
      <c r="K683" s="53">
        <f>CHOOSE(CONTROL!$C$42, 42.3185, 42.3185) * CHOOSE(CONTROL!$C$21, $C$9, 100%, $E$9)</f>
        <v>42.3185</v>
      </c>
      <c r="L683" s="14">
        <f>CHOOSE(CONTROL!$C$42, 42.8556, 42.8556) * CHOOSE(CONTROL!$C$21, $C$9, 100%, $E$9)</f>
        <v>42.855600000000003</v>
      </c>
      <c r="M683" s="14">
        <f>CHOOSE(CONTROL!$C$42, 41.3147, 41.3147) * CHOOSE(CONTROL!$C$21, $C$9, 100%, $E$9)</f>
        <v>41.314700000000002</v>
      </c>
      <c r="N683" s="14">
        <f>CHOOSE(CONTROL!$C$42, 41.3309, 41.3309) * CHOOSE(CONTROL!$C$21, $C$9, 100%, $E$9)</f>
        <v>41.3309</v>
      </c>
      <c r="O683" s="14">
        <f>CHOOSE(CONTROL!$C$42, 41.4102, 41.4102) * CHOOSE(CONTROL!$C$21, $C$9, 100%, $E$9)</f>
        <v>41.410200000000003</v>
      </c>
      <c r="P683" s="14">
        <f>CHOOSE(CONTROL!$C$42, 41.4603, 41.4603) * CHOOSE(CONTROL!$C$21, $C$9, 100%, $E$9)</f>
        <v>41.460299999999997</v>
      </c>
      <c r="Q683" s="14">
        <f>CHOOSE(CONTROL!$C$42, 42.0049, 42.0049) * CHOOSE(CONTROL!$C$21, $C$9, 100%, $E$9)</f>
        <v>42.004899999999999</v>
      </c>
      <c r="R683" s="14">
        <f>CHOOSE(CONTROL!$C$42, 42.6969, 42.6969) * CHOOSE(CONTROL!$C$21, $C$9, 100%, $E$9)</f>
        <v>42.696899999999999</v>
      </c>
      <c r="S683" s="14">
        <f>CHOOSE(CONTROL!$C$42, 40.5087, 40.5087) * CHOOSE(CONTROL!$C$21, $C$9, 100%, $E$9)</f>
        <v>40.508699999999997</v>
      </c>
      <c r="T6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7">
        <f>(1000*CHOOSE(CONTROL!$C$42, 695, 695)*CHOOSE(CONTROL!$C$42, 0.5599, 0.5599)*CHOOSE(CONTROL!$C$42, 30, 30))/1000000</f>
        <v>11.673914999999997</v>
      </c>
      <c r="V683" s="57">
        <f>(1000*CHOOSE(CONTROL!$C$42, 500, 500)*CHOOSE(CONTROL!$C$42, 0.275, 0.275)*CHOOSE(CONTROL!$C$42, 30, 30))/1000000</f>
        <v>4.125</v>
      </c>
      <c r="W683" s="57">
        <f>(1000*CHOOSE(CONTROL!$C$42, 0.1146, 0.1146)*CHOOSE(CONTROL!$C$42, 121.5, 121.5)*CHOOSE(CONTROL!$C$42, 30, 30))/1000000</f>
        <v>0.417717</v>
      </c>
      <c r="X683" s="57">
        <f>(30*0.1790888*100000/1000000)+(30*0.2374*100000/1000000)</f>
        <v>1.2494664</v>
      </c>
      <c r="Y683" s="57"/>
      <c r="Z683" s="14"/>
      <c r="AA683" s="56"/>
      <c r="AB683" s="50">
        <f>(B683*122.58+C683*297.941+D683*89.177+E683*40.302+F683*40+G683*160+H683*0+I683*100+J683*300)/(122.58+297.941+89.177+40.302+0+40+160+100+300)</f>
        <v>42.196719728608691</v>
      </c>
      <c r="AC683" s="45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41.379866187050354</v>
      </c>
    </row>
    <row r="684" spans="1:29" ht="15.75" x14ac:dyDescent="0.25">
      <c r="A684" s="32">
        <v>61728</v>
      </c>
      <c r="B684" s="14">
        <f>CHOOSE(CONTROL!$C$42, 45.0402, 45.0402) * CHOOSE(CONTROL!$C$21, $C$9, 100%, $E$9)</f>
        <v>45.040199999999999</v>
      </c>
      <c r="C684" s="14">
        <f>CHOOSE(CONTROL!$C$42, 45.0452, 45.0452) * CHOOSE(CONTROL!$C$21, $C$9, 100%, $E$9)</f>
        <v>45.045200000000001</v>
      </c>
      <c r="D684" s="14">
        <f>CHOOSE(CONTROL!$C$42, 45.1194, 45.1194) * CHOOSE(CONTROL!$C$21, $C$9, 100%, $E$9)</f>
        <v>45.119399999999999</v>
      </c>
      <c r="E684" s="14">
        <f>CHOOSE(CONTROL!$C$42, 45.1535, 45.1535) * CHOOSE(CONTROL!$C$21, $C$9, 100%, $E$9)</f>
        <v>45.153500000000001</v>
      </c>
      <c r="F684" s="14">
        <f>CHOOSE(CONTROL!$C$42, 45.0544, 45.0544)*CHOOSE(CONTROL!$C$21, $C$9, 100%, $E$9)</f>
        <v>45.054400000000001</v>
      </c>
      <c r="G684" s="14">
        <f>CHOOSE(CONTROL!$C$42, 45.0716, 45.0716)*CHOOSE(CONTROL!$C$21, $C$9, 100%, $E$9)</f>
        <v>45.071599999999997</v>
      </c>
      <c r="H684" s="14">
        <f>CHOOSE(CONTROL!$C$42, 45.1427, 45.1427) * CHOOSE(CONTROL!$C$21, $C$9, 100%, $E$9)</f>
        <v>45.142699999999998</v>
      </c>
      <c r="I684" s="14">
        <f>CHOOSE(CONTROL!$C$42, 45.2055, 45.2055)* CHOOSE(CONTROL!$C$21, $C$9, 100%, $E$9)</f>
        <v>45.205500000000001</v>
      </c>
      <c r="J684" s="14">
        <f>CHOOSE(CONTROL!$C$42, 45.0474, 45.0474)* CHOOSE(CONTROL!$C$21, $C$9, 100%, $E$9)</f>
        <v>45.047400000000003</v>
      </c>
      <c r="K684" s="53">
        <f>CHOOSE(CONTROL!$C$42, 45.2017, 45.2017) * CHOOSE(CONTROL!$C$21, $C$9, 100%, $E$9)</f>
        <v>45.201700000000002</v>
      </c>
      <c r="L684" s="14">
        <f>CHOOSE(CONTROL!$C$42, 45.7297, 45.7297) * CHOOSE(CONTROL!$C$21, $C$9, 100%, $E$9)</f>
        <v>45.729700000000001</v>
      </c>
      <c r="M684" s="14">
        <f>CHOOSE(CONTROL!$C$42, 44.1321, 44.1321) * CHOOSE(CONTROL!$C$21, $C$9, 100%, $E$9)</f>
        <v>44.132100000000001</v>
      </c>
      <c r="N684" s="14">
        <f>CHOOSE(CONTROL!$C$42, 44.1489, 44.1489) * CHOOSE(CONTROL!$C$21, $C$9, 100%, $E$9)</f>
        <v>44.148899999999998</v>
      </c>
      <c r="O684" s="14">
        <f>CHOOSE(CONTROL!$C$42, 44.2255, 44.2255) * CHOOSE(CONTROL!$C$21, $C$9, 100%, $E$9)</f>
        <v>44.225499999999997</v>
      </c>
      <c r="P684" s="14">
        <f>CHOOSE(CONTROL!$C$42, 44.2842, 44.2842) * CHOOSE(CONTROL!$C$21, $C$9, 100%, $E$9)</f>
        <v>44.284199999999998</v>
      </c>
      <c r="Q684" s="14">
        <f>CHOOSE(CONTROL!$C$42, 44.8202, 44.8202) * CHOOSE(CONTROL!$C$21, $C$9, 100%, $E$9)</f>
        <v>44.8202</v>
      </c>
      <c r="R684" s="14">
        <f>CHOOSE(CONTROL!$C$42, 45.5192, 45.5192) * CHOOSE(CONTROL!$C$21, $C$9, 100%, $E$9)</f>
        <v>45.519199999999998</v>
      </c>
      <c r="S684" s="14">
        <f>CHOOSE(CONTROL!$C$42, 43.2705, 43.2705) * CHOOSE(CONTROL!$C$21, $C$9, 100%, $E$9)</f>
        <v>43.270499999999998</v>
      </c>
      <c r="T6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7">
        <f>(1000*CHOOSE(CONTROL!$C$42, 695, 695)*CHOOSE(CONTROL!$C$42, 0.5599, 0.5599)*CHOOSE(CONTROL!$C$42, 31, 31))/1000000</f>
        <v>12.063045499999998</v>
      </c>
      <c r="V684" s="57">
        <f>(1000*CHOOSE(CONTROL!$C$42, 500, 500)*CHOOSE(CONTROL!$C$42, 0.275, 0.275)*CHOOSE(CONTROL!$C$42, 31, 31))/1000000</f>
        <v>4.2625000000000002</v>
      </c>
      <c r="W684" s="57">
        <f>(1000*CHOOSE(CONTROL!$C$42, 0.1146, 0.1146)*CHOOSE(CONTROL!$C$42, 121.5, 121.5)*CHOOSE(CONTROL!$C$42, 31, 31))/1000000</f>
        <v>0.43164089999999994</v>
      </c>
      <c r="X684" s="57">
        <f>(31*0.1790888*100000/1000000)+(31*0.2374*100000/1000000)</f>
        <v>1.2911152800000001</v>
      </c>
      <c r="Y684" s="57"/>
      <c r="Z684" s="14"/>
      <c r="AA684" s="56"/>
      <c r="AB684" s="50">
        <f>(B684*122.58+C684*297.941+D684*89.177+E684*40.302+F684*40+G684*160+H684*0+I684*100+J684*300)/(122.58+297.941+89.177+40.302+0+40+160+100+300)</f>
        <v>45.072722382608696</v>
      </c>
      <c r="AC684" s="45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44.197284172661867</v>
      </c>
    </row>
    <row r="685" spans="1:29" ht="15.75" x14ac:dyDescent="0.25">
      <c r="A685" s="32">
        <v>61759</v>
      </c>
      <c r="B685" s="14">
        <f>CHOOSE(CONTROL!$C$42, 48.7732, 48.7732) * CHOOSE(CONTROL!$C$21, $C$9, 100%, $E$9)</f>
        <v>48.773200000000003</v>
      </c>
      <c r="C685" s="14">
        <f>CHOOSE(CONTROL!$C$42, 48.7783, 48.7783) * CHOOSE(CONTROL!$C$21, $C$9, 100%, $E$9)</f>
        <v>48.778300000000002</v>
      </c>
      <c r="D685" s="14">
        <f>CHOOSE(CONTROL!$C$42, 48.8551, 48.8551) * CHOOSE(CONTROL!$C$21, $C$9, 100%, $E$9)</f>
        <v>48.8551</v>
      </c>
      <c r="E685" s="14">
        <f>CHOOSE(CONTROL!$C$42, 48.8892, 48.8892) * CHOOSE(CONTROL!$C$21, $C$9, 100%, $E$9)</f>
        <v>48.889200000000002</v>
      </c>
      <c r="F685" s="14">
        <f>CHOOSE(CONTROL!$C$42, 48.7734, 48.7734)*CHOOSE(CONTROL!$C$21, $C$9, 100%, $E$9)</f>
        <v>48.773400000000002</v>
      </c>
      <c r="G685" s="14">
        <f>CHOOSE(CONTROL!$C$42, 48.7896, 48.7896)*CHOOSE(CONTROL!$C$21, $C$9, 100%, $E$9)</f>
        <v>48.7896</v>
      </c>
      <c r="H685" s="14">
        <f>CHOOSE(CONTROL!$C$42, 48.8784, 48.8784) * CHOOSE(CONTROL!$C$21, $C$9, 100%, $E$9)</f>
        <v>48.878399999999999</v>
      </c>
      <c r="I685" s="14">
        <f>CHOOSE(CONTROL!$C$42, 48.944, 48.944)* CHOOSE(CONTROL!$C$21, $C$9, 100%, $E$9)</f>
        <v>48.944000000000003</v>
      </c>
      <c r="J685" s="14">
        <f>CHOOSE(CONTROL!$C$42, 48.7664, 48.7664)* CHOOSE(CONTROL!$C$21, $C$9, 100%, $E$9)</f>
        <v>48.766399999999997</v>
      </c>
      <c r="K685" s="53">
        <f>CHOOSE(CONTROL!$C$42, 48.9401, 48.9401) * CHOOSE(CONTROL!$C$21, $C$9, 100%, $E$9)</f>
        <v>48.940100000000001</v>
      </c>
      <c r="L685" s="14">
        <f>CHOOSE(CONTROL!$C$42, 49.4654, 49.4654) * CHOOSE(CONTROL!$C$21, $C$9, 100%, $E$9)</f>
        <v>49.465400000000002</v>
      </c>
      <c r="M685" s="14">
        <f>CHOOSE(CONTROL!$C$42, 47.7749, 47.7749) * CHOOSE(CONTROL!$C$21, $C$9, 100%, $E$9)</f>
        <v>47.774900000000002</v>
      </c>
      <c r="N685" s="14">
        <f>CHOOSE(CONTROL!$C$42, 47.7908, 47.7908) * CHOOSE(CONTROL!$C$21, $C$9, 100%, $E$9)</f>
        <v>47.790799999999997</v>
      </c>
      <c r="O685" s="14">
        <f>CHOOSE(CONTROL!$C$42, 47.8846, 47.8846) * CHOOSE(CONTROL!$C$21, $C$9, 100%, $E$9)</f>
        <v>47.884599999999999</v>
      </c>
      <c r="P685" s="14">
        <f>CHOOSE(CONTROL!$C$42, 47.9459, 47.9459) * CHOOSE(CONTROL!$C$21, $C$9, 100%, $E$9)</f>
        <v>47.945900000000002</v>
      </c>
      <c r="Q685" s="14">
        <f>CHOOSE(CONTROL!$C$42, 48.4793, 48.4793) * CHOOSE(CONTROL!$C$21, $C$9, 100%, $E$9)</f>
        <v>48.479300000000002</v>
      </c>
      <c r="R685" s="14">
        <f>CHOOSE(CONTROL!$C$42, 49.1875, 49.1875) * CHOOSE(CONTROL!$C$21, $C$9, 100%, $E$9)</f>
        <v>49.1875</v>
      </c>
      <c r="S685" s="14">
        <f>CHOOSE(CONTROL!$C$42, 46.8576, 46.8576) * CHOOSE(CONTROL!$C$21, $C$9, 100%, $E$9)</f>
        <v>46.857599999999998</v>
      </c>
      <c r="T6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7">
        <f>(1000*CHOOSE(CONTROL!$C$42, 695, 695)*CHOOSE(CONTROL!$C$42, 0.5599, 0.5599)*CHOOSE(CONTROL!$C$42, 31, 31))/1000000</f>
        <v>12.063045499999998</v>
      </c>
      <c r="V685" s="57">
        <f>(1000*CHOOSE(CONTROL!$C$42, 500, 500)*CHOOSE(CONTROL!$C$42, 0.275, 0.275)*CHOOSE(CONTROL!$C$42, 31, 31))/1000000</f>
        <v>4.2625000000000002</v>
      </c>
      <c r="W685" s="57">
        <f>(1000*CHOOSE(CONTROL!$C$42, 0.1146, 0.1146)*CHOOSE(CONTROL!$C$42, 121.5, 121.5)*CHOOSE(CONTROL!$C$42, 31, 31))/1000000</f>
        <v>0.43164089999999994</v>
      </c>
      <c r="X685" s="57">
        <f>(31*0.1790888*100000/1000000)+(31*0.2374*100000/1000000)</f>
        <v>1.2911152800000001</v>
      </c>
      <c r="Y685" s="57"/>
      <c r="Z685" s="14"/>
      <c r="AA685" s="56"/>
      <c r="AB685" s="50">
        <f>(B685*122.58+C685*297.941+D685*89.177+E685*40.302+F685*40+G685*160+H685*0+I685*100+J685*300)/(122.58+297.941+89.177+40.302+0+40+160+100+300)</f>
        <v>48.800304458608693</v>
      </c>
      <c r="AC685" s="45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47.850139568345313</v>
      </c>
    </row>
    <row r="686" spans="1:29" ht="15.75" x14ac:dyDescent="0.25">
      <c r="A686" s="32">
        <v>61787</v>
      </c>
      <c r="B686" s="14">
        <f>CHOOSE(CONTROL!$C$42, 49.6413, 49.6413) * CHOOSE(CONTROL!$C$21, $C$9, 100%, $E$9)</f>
        <v>49.641300000000001</v>
      </c>
      <c r="C686" s="14">
        <f>CHOOSE(CONTROL!$C$42, 49.6463, 49.6463) * CHOOSE(CONTROL!$C$21, $C$9, 100%, $E$9)</f>
        <v>49.646299999999997</v>
      </c>
      <c r="D686" s="14">
        <f>CHOOSE(CONTROL!$C$42, 49.7232, 49.7232) * CHOOSE(CONTROL!$C$21, $C$9, 100%, $E$9)</f>
        <v>49.723199999999999</v>
      </c>
      <c r="E686" s="14">
        <f>CHOOSE(CONTROL!$C$42, 49.7573, 49.7573) * CHOOSE(CONTROL!$C$21, $C$9, 100%, $E$9)</f>
        <v>49.757300000000001</v>
      </c>
      <c r="F686" s="14">
        <f>CHOOSE(CONTROL!$C$42, 49.6415, 49.6415)*CHOOSE(CONTROL!$C$21, $C$9, 100%, $E$9)</f>
        <v>49.641500000000001</v>
      </c>
      <c r="G686" s="14">
        <f>CHOOSE(CONTROL!$C$42, 49.6578, 49.6578)*CHOOSE(CONTROL!$C$21, $C$9, 100%, $E$9)</f>
        <v>49.657800000000002</v>
      </c>
      <c r="H686" s="14">
        <f>CHOOSE(CONTROL!$C$42, 49.7465, 49.7465) * CHOOSE(CONTROL!$C$21, $C$9, 100%, $E$9)</f>
        <v>49.746499999999997</v>
      </c>
      <c r="I686" s="14">
        <f>CHOOSE(CONTROL!$C$42, 49.8148, 49.8148)* CHOOSE(CONTROL!$C$21, $C$9, 100%, $E$9)</f>
        <v>49.814799999999998</v>
      </c>
      <c r="J686" s="14">
        <f>CHOOSE(CONTROL!$C$42, 49.6345, 49.6345)* CHOOSE(CONTROL!$C$21, $C$9, 100%, $E$9)</f>
        <v>49.634500000000003</v>
      </c>
      <c r="K686" s="53">
        <f>CHOOSE(CONTROL!$C$42, 49.8109, 49.8109) * CHOOSE(CONTROL!$C$21, $C$9, 100%, $E$9)</f>
        <v>49.810899999999997</v>
      </c>
      <c r="L686" s="14">
        <f>CHOOSE(CONTROL!$C$42, 50.3335, 50.3335) * CHOOSE(CONTROL!$C$21, $C$9, 100%, $E$9)</f>
        <v>50.333500000000001</v>
      </c>
      <c r="M686" s="14">
        <f>CHOOSE(CONTROL!$C$42, 48.6253, 48.6253) * CHOOSE(CONTROL!$C$21, $C$9, 100%, $E$9)</f>
        <v>48.625300000000003</v>
      </c>
      <c r="N686" s="14">
        <f>CHOOSE(CONTROL!$C$42, 48.6412, 48.6412) * CHOOSE(CONTROL!$C$21, $C$9, 100%, $E$9)</f>
        <v>48.641199999999998</v>
      </c>
      <c r="O686" s="14">
        <f>CHOOSE(CONTROL!$C$42, 48.7349, 48.7349) * CHOOSE(CONTROL!$C$21, $C$9, 100%, $E$9)</f>
        <v>48.734900000000003</v>
      </c>
      <c r="P686" s="14">
        <f>CHOOSE(CONTROL!$C$42, 48.7988, 48.7988) * CHOOSE(CONTROL!$C$21, $C$9, 100%, $E$9)</f>
        <v>48.7988</v>
      </c>
      <c r="Q686" s="14">
        <f>CHOOSE(CONTROL!$C$42, 49.3296, 49.3296) * CHOOSE(CONTROL!$C$21, $C$9, 100%, $E$9)</f>
        <v>49.329599999999999</v>
      </c>
      <c r="R686" s="14">
        <f>CHOOSE(CONTROL!$C$42, 50.0399, 50.0399) * CHOOSE(CONTROL!$C$21, $C$9, 100%, $E$9)</f>
        <v>50.039900000000003</v>
      </c>
      <c r="S686" s="14">
        <f>CHOOSE(CONTROL!$C$42, 47.6918, 47.6918) * CHOOSE(CONTROL!$C$21, $C$9, 100%, $E$9)</f>
        <v>47.691800000000001</v>
      </c>
      <c r="T6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7">
        <f>(1000*CHOOSE(CONTROL!$C$42, 695, 695)*CHOOSE(CONTROL!$C$42, 0.5599, 0.5599)*CHOOSE(CONTROL!$C$42, 28, 28))/1000000</f>
        <v>10.895653999999999</v>
      </c>
      <c r="V686" s="57">
        <f>(1000*CHOOSE(CONTROL!$C$42, 500, 500)*CHOOSE(CONTROL!$C$42, 0.275, 0.275)*CHOOSE(CONTROL!$C$42, 28, 28))/1000000</f>
        <v>3.85</v>
      </c>
      <c r="W686" s="57">
        <f>(1000*CHOOSE(CONTROL!$C$42, 0.1146, 0.1146)*CHOOSE(CONTROL!$C$42, 121.5, 121.5)*CHOOSE(CONTROL!$C$42, 28, 28))/1000000</f>
        <v>0.38986920000000003</v>
      </c>
      <c r="X686" s="57">
        <f>(28*0.1790888*100000/1000000)+(28*0.2374*100000/1000000)</f>
        <v>1.16616864</v>
      </c>
      <c r="Y686" s="57"/>
      <c r="Z686" s="14"/>
      <c r="AA686" s="56"/>
      <c r="AB686" s="50">
        <f>(B686*122.58+C686*297.941+D686*89.177+E686*40.302+F686*40+G686*160+H686*0+I686*100+J686*300)/(122.58+297.941+89.177+40.302+0+40+160+100+300)</f>
        <v>49.668627246347825</v>
      </c>
      <c r="AC686" s="45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48.700853956834528</v>
      </c>
    </row>
    <row r="687" spans="1:29" ht="15.75" x14ac:dyDescent="0.25">
      <c r="A687" s="32">
        <v>61818</v>
      </c>
      <c r="B687" s="14">
        <f>CHOOSE(CONTROL!$C$42, 48.2322, 48.2322) * CHOOSE(CONTROL!$C$21, $C$9, 100%, $E$9)</f>
        <v>48.232199999999999</v>
      </c>
      <c r="C687" s="14">
        <f>CHOOSE(CONTROL!$C$42, 48.2373, 48.2373) * CHOOSE(CONTROL!$C$21, $C$9, 100%, $E$9)</f>
        <v>48.237299999999998</v>
      </c>
      <c r="D687" s="14">
        <f>CHOOSE(CONTROL!$C$42, 48.3141, 48.3141) * CHOOSE(CONTROL!$C$21, $C$9, 100%, $E$9)</f>
        <v>48.314100000000003</v>
      </c>
      <c r="E687" s="14">
        <f>CHOOSE(CONTROL!$C$42, 48.3482, 48.3482) * CHOOSE(CONTROL!$C$21, $C$9, 100%, $E$9)</f>
        <v>48.348199999999999</v>
      </c>
      <c r="F687" s="14">
        <f>CHOOSE(CONTROL!$C$42, 48.232, 48.232)*CHOOSE(CONTROL!$C$21, $C$9, 100%, $E$9)</f>
        <v>48.231999999999999</v>
      </c>
      <c r="G687" s="14">
        <f>CHOOSE(CONTROL!$C$42, 48.2481, 48.2481)*CHOOSE(CONTROL!$C$21, $C$9, 100%, $E$9)</f>
        <v>48.248100000000001</v>
      </c>
      <c r="H687" s="14">
        <f>CHOOSE(CONTROL!$C$42, 48.3374, 48.3374) * CHOOSE(CONTROL!$C$21, $C$9, 100%, $E$9)</f>
        <v>48.337400000000002</v>
      </c>
      <c r="I687" s="14">
        <f>CHOOSE(CONTROL!$C$42, 48.4013, 48.4013)* CHOOSE(CONTROL!$C$21, $C$9, 100%, $E$9)</f>
        <v>48.401299999999999</v>
      </c>
      <c r="J687" s="14">
        <f>CHOOSE(CONTROL!$C$42, 48.225, 48.225)* CHOOSE(CONTROL!$C$21, $C$9, 100%, $E$9)</f>
        <v>48.225000000000001</v>
      </c>
      <c r="K687" s="53">
        <f>CHOOSE(CONTROL!$C$42, 48.3974, 48.3974) * CHOOSE(CONTROL!$C$21, $C$9, 100%, $E$9)</f>
        <v>48.397399999999998</v>
      </c>
      <c r="L687" s="14">
        <f>CHOOSE(CONTROL!$C$42, 48.9244, 48.9244) * CHOOSE(CONTROL!$C$21, $C$9, 100%, $E$9)</f>
        <v>48.924399999999999</v>
      </c>
      <c r="M687" s="14">
        <f>CHOOSE(CONTROL!$C$42, 47.2446, 47.2446) * CHOOSE(CONTROL!$C$21, $C$9, 100%, $E$9)</f>
        <v>47.244599999999998</v>
      </c>
      <c r="N687" s="14">
        <f>CHOOSE(CONTROL!$C$42, 47.2604, 47.2604) * CHOOSE(CONTROL!$C$21, $C$9, 100%, $E$9)</f>
        <v>47.260399999999997</v>
      </c>
      <c r="O687" s="14">
        <f>CHOOSE(CONTROL!$C$42, 47.3547, 47.3547) * CHOOSE(CONTROL!$C$21, $C$9, 100%, $E$9)</f>
        <v>47.354700000000001</v>
      </c>
      <c r="P687" s="14">
        <f>CHOOSE(CONTROL!$C$42, 47.4143, 47.4143) * CHOOSE(CONTROL!$C$21, $C$9, 100%, $E$9)</f>
        <v>47.414299999999997</v>
      </c>
      <c r="Q687" s="14">
        <f>CHOOSE(CONTROL!$C$42, 47.9494, 47.9494) * CHOOSE(CONTROL!$C$21, $C$9, 100%, $E$9)</f>
        <v>47.949399999999997</v>
      </c>
      <c r="R687" s="14">
        <f>CHOOSE(CONTROL!$C$42, 48.6563, 48.6563) * CHOOSE(CONTROL!$C$21, $C$9, 100%, $E$9)</f>
        <v>48.656300000000002</v>
      </c>
      <c r="S687" s="14">
        <f>CHOOSE(CONTROL!$C$42, 46.3378, 46.3378) * CHOOSE(CONTROL!$C$21, $C$9, 100%, $E$9)</f>
        <v>46.337800000000001</v>
      </c>
      <c r="T6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7">
        <f>(1000*CHOOSE(CONTROL!$C$42, 695, 695)*CHOOSE(CONTROL!$C$42, 0.5599, 0.5599)*CHOOSE(CONTROL!$C$42, 31, 31))/1000000</f>
        <v>12.063045499999998</v>
      </c>
      <c r="V687" s="57">
        <f>(1000*CHOOSE(CONTROL!$C$42, 500, 500)*CHOOSE(CONTROL!$C$42, 0.275, 0.275)*CHOOSE(CONTROL!$C$42, 31, 31))/1000000</f>
        <v>4.2625000000000002</v>
      </c>
      <c r="W687" s="57">
        <f>(1000*CHOOSE(CONTROL!$C$42, 0.1146, 0.1146)*CHOOSE(CONTROL!$C$42, 121.5, 121.5)*CHOOSE(CONTROL!$C$42, 31, 31))/1000000</f>
        <v>0.43164089999999994</v>
      </c>
      <c r="X687" s="57">
        <f>(31*0.1790888*100000/1000000)+(31*0.2374*100000/1000000)</f>
        <v>1.2911152800000001</v>
      </c>
      <c r="Y687" s="57"/>
      <c r="Z687" s="14"/>
      <c r="AA687" s="56"/>
      <c r="AB687" s="50">
        <f>(B687*122.58+C687*297.941+D687*89.177+E687*40.302+F687*40+G687*160+H687*0+I687*100+J687*300)/(122.58+297.941+89.177+40.302+0+40+160+100+300)</f>
        <v>48.25896880643478</v>
      </c>
      <c r="AC687" s="45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47.319828057553956</v>
      </c>
    </row>
    <row r="688" spans="1:29" ht="15.75" x14ac:dyDescent="0.25">
      <c r="A688" s="32">
        <v>61848</v>
      </c>
      <c r="B688" s="14">
        <f>CHOOSE(CONTROL!$C$42, 48.0891, 48.0891) * CHOOSE(CONTROL!$C$21, $C$9, 100%, $E$9)</f>
        <v>48.089100000000002</v>
      </c>
      <c r="C688" s="14">
        <f>CHOOSE(CONTROL!$C$42, 48.0935, 48.0935) * CHOOSE(CONTROL!$C$21, $C$9, 100%, $E$9)</f>
        <v>48.093499999999999</v>
      </c>
      <c r="D688" s="14">
        <f>CHOOSE(CONTROL!$C$42, 48.3303, 48.3303) * CHOOSE(CONTROL!$C$21, $C$9, 100%, $E$9)</f>
        <v>48.330300000000001</v>
      </c>
      <c r="E688" s="14">
        <f>CHOOSE(CONTROL!$C$42, 48.3624, 48.3624) * CHOOSE(CONTROL!$C$21, $C$9, 100%, $E$9)</f>
        <v>48.362400000000001</v>
      </c>
      <c r="F688" s="14">
        <f>CHOOSE(CONTROL!$C$42, 48.087, 48.087)*CHOOSE(CONTROL!$C$21, $C$9, 100%, $E$9)</f>
        <v>48.087000000000003</v>
      </c>
      <c r="G688" s="14">
        <f>CHOOSE(CONTROL!$C$42, 48.1028, 48.1028)*CHOOSE(CONTROL!$C$21, $C$9, 100%, $E$9)</f>
        <v>48.102800000000002</v>
      </c>
      <c r="H688" s="14">
        <f>CHOOSE(CONTROL!$C$42, 48.3522, 48.3522) * CHOOSE(CONTROL!$C$21, $C$9, 100%, $E$9)</f>
        <v>48.352200000000003</v>
      </c>
      <c r="I688" s="14">
        <f>CHOOSE(CONTROL!$C$42, 48.2569, 48.2569)* CHOOSE(CONTROL!$C$21, $C$9, 100%, $E$9)</f>
        <v>48.256900000000002</v>
      </c>
      <c r="J688" s="14">
        <f>CHOOSE(CONTROL!$C$42, 48.08, 48.08)* CHOOSE(CONTROL!$C$21, $C$9, 100%, $E$9)</f>
        <v>48.08</v>
      </c>
      <c r="K688" s="53">
        <f>CHOOSE(CONTROL!$C$42, 48.253, 48.253) * CHOOSE(CONTROL!$C$21, $C$9, 100%, $E$9)</f>
        <v>48.253</v>
      </c>
      <c r="L688" s="14">
        <f>CHOOSE(CONTROL!$C$42, 48.9392, 48.9392) * CHOOSE(CONTROL!$C$21, $C$9, 100%, $E$9)</f>
        <v>48.9392</v>
      </c>
      <c r="M688" s="14">
        <f>CHOOSE(CONTROL!$C$42, 47.1026, 47.1026) * CHOOSE(CONTROL!$C$21, $C$9, 100%, $E$9)</f>
        <v>47.102600000000002</v>
      </c>
      <c r="N688" s="14">
        <f>CHOOSE(CONTROL!$C$42, 47.1181, 47.1181) * CHOOSE(CONTROL!$C$21, $C$9, 100%, $E$9)</f>
        <v>47.118099999999998</v>
      </c>
      <c r="O688" s="14">
        <f>CHOOSE(CONTROL!$C$42, 47.3692, 47.3692) * CHOOSE(CONTROL!$C$21, $C$9, 100%, $E$9)</f>
        <v>47.369199999999999</v>
      </c>
      <c r="P688" s="14">
        <f>CHOOSE(CONTROL!$C$42, 47.2729, 47.2729) * CHOOSE(CONTROL!$C$21, $C$9, 100%, $E$9)</f>
        <v>47.2729</v>
      </c>
      <c r="Q688" s="14">
        <f>CHOOSE(CONTROL!$C$42, 47.9639, 47.9639) * CHOOSE(CONTROL!$C$21, $C$9, 100%, $E$9)</f>
        <v>47.963900000000002</v>
      </c>
      <c r="R688" s="14">
        <f>CHOOSE(CONTROL!$C$42, 48.6708, 48.6708) * CHOOSE(CONTROL!$C$21, $C$9, 100%, $E$9)</f>
        <v>48.6708</v>
      </c>
      <c r="S688" s="14">
        <f>CHOOSE(CONTROL!$C$42, 46.1995, 46.1995) * CHOOSE(CONTROL!$C$21, $C$9, 100%, $E$9)</f>
        <v>46.1995</v>
      </c>
      <c r="T6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7">
        <f>(1000*CHOOSE(CONTROL!$C$42, 695, 695)*CHOOSE(CONTROL!$C$42, 0.5599, 0.5599)*CHOOSE(CONTROL!$C$42, 30, 30))/1000000</f>
        <v>11.673914999999997</v>
      </c>
      <c r="V688" s="57">
        <f>(1000*CHOOSE(CONTROL!$C$42, 500, 500)*CHOOSE(CONTROL!$C$42, 0.275, 0.275)*CHOOSE(CONTROL!$C$42, 30, 30))/1000000</f>
        <v>4.125</v>
      </c>
      <c r="W688" s="57">
        <f>(1000*CHOOSE(CONTROL!$C$42, 0.1146, 0.1146)*CHOOSE(CONTROL!$C$42, 121.5, 121.5)*CHOOSE(CONTROL!$C$42, 30, 30))/1000000</f>
        <v>0.417717</v>
      </c>
      <c r="X688" s="57">
        <f>(30*0.1790888*245000/1000000)+(30*0.2374*100000/1000000)</f>
        <v>2.0285026799999999</v>
      </c>
      <c r="Y688" s="57"/>
      <c r="Z688" s="14"/>
      <c r="AA688" s="56"/>
      <c r="AB688" s="50">
        <f>(B688*141.293+C688*267.993+D688*115.016+E688*89.698+F688*40+G688*185+H688*0+I688*100+J688*300)/(141.293+267.993+115.016+89.698+0+40+185+100+300)</f>
        <v>48.145545513962873</v>
      </c>
      <c r="AC688" s="45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47.248828776978421</v>
      </c>
    </row>
    <row r="689" spans="1:29" ht="15.75" x14ac:dyDescent="0.25">
      <c r="A689" s="32">
        <v>61879</v>
      </c>
      <c r="B689" s="14">
        <f>CHOOSE(CONTROL!$C$42, 48.5148, 48.5148) * CHOOSE(CONTROL!$C$21, $C$9, 100%, $E$9)</f>
        <v>48.514800000000001</v>
      </c>
      <c r="C689" s="14">
        <f>CHOOSE(CONTROL!$C$42, 48.5228, 48.5228) * CHOOSE(CONTROL!$C$21, $C$9, 100%, $E$9)</f>
        <v>48.522799999999997</v>
      </c>
      <c r="D689" s="14">
        <f>CHOOSE(CONTROL!$C$42, 48.7564, 48.7564) * CHOOSE(CONTROL!$C$21, $C$9, 100%, $E$9)</f>
        <v>48.756399999999999</v>
      </c>
      <c r="E689" s="14">
        <f>CHOOSE(CONTROL!$C$42, 48.7879, 48.7879) * CHOOSE(CONTROL!$C$21, $C$9, 100%, $E$9)</f>
        <v>48.7879</v>
      </c>
      <c r="F689" s="14">
        <f>CHOOSE(CONTROL!$C$42, 48.5116, 48.5116)*CHOOSE(CONTROL!$C$21, $C$9, 100%, $E$9)</f>
        <v>48.511600000000001</v>
      </c>
      <c r="G689" s="14">
        <f>CHOOSE(CONTROL!$C$42, 48.5279, 48.5279)*CHOOSE(CONTROL!$C$21, $C$9, 100%, $E$9)</f>
        <v>48.527900000000002</v>
      </c>
      <c r="H689" s="14">
        <f>CHOOSE(CONTROL!$C$42, 48.7765, 48.7765) * CHOOSE(CONTROL!$C$21, $C$9, 100%, $E$9)</f>
        <v>48.776499999999999</v>
      </c>
      <c r="I689" s="14">
        <f>CHOOSE(CONTROL!$C$42, 48.6826, 48.6826)* CHOOSE(CONTROL!$C$21, $C$9, 100%, $E$9)</f>
        <v>48.682600000000001</v>
      </c>
      <c r="J689" s="14">
        <f>CHOOSE(CONTROL!$C$42, 48.5046, 48.5046)* CHOOSE(CONTROL!$C$21, $C$9, 100%, $E$9)</f>
        <v>48.504600000000003</v>
      </c>
      <c r="K689" s="53">
        <f>CHOOSE(CONTROL!$C$42, 48.6787, 48.6787) * CHOOSE(CONTROL!$C$21, $C$9, 100%, $E$9)</f>
        <v>48.678699999999999</v>
      </c>
      <c r="L689" s="14">
        <f>CHOOSE(CONTROL!$C$42, 49.3635, 49.3635) * CHOOSE(CONTROL!$C$21, $C$9, 100%, $E$9)</f>
        <v>49.363500000000002</v>
      </c>
      <c r="M689" s="14">
        <f>CHOOSE(CONTROL!$C$42, 47.5184, 47.5184) * CHOOSE(CONTROL!$C$21, $C$9, 100%, $E$9)</f>
        <v>47.5184</v>
      </c>
      <c r="N689" s="14">
        <f>CHOOSE(CONTROL!$C$42, 47.5344, 47.5344) * CHOOSE(CONTROL!$C$21, $C$9, 100%, $E$9)</f>
        <v>47.534399999999998</v>
      </c>
      <c r="O689" s="14">
        <f>CHOOSE(CONTROL!$C$42, 47.7848, 47.7848) * CHOOSE(CONTROL!$C$21, $C$9, 100%, $E$9)</f>
        <v>47.784799999999997</v>
      </c>
      <c r="P689" s="14">
        <f>CHOOSE(CONTROL!$C$42, 47.6899, 47.6899) * CHOOSE(CONTROL!$C$21, $C$9, 100%, $E$9)</f>
        <v>47.689900000000002</v>
      </c>
      <c r="Q689" s="14">
        <f>CHOOSE(CONTROL!$C$42, 48.3795, 48.3795) * CHOOSE(CONTROL!$C$21, $C$9, 100%, $E$9)</f>
        <v>48.3795</v>
      </c>
      <c r="R689" s="14">
        <f>CHOOSE(CONTROL!$C$42, 49.0875, 49.0875) * CHOOSE(CONTROL!$C$21, $C$9, 100%, $E$9)</f>
        <v>49.087499999999999</v>
      </c>
      <c r="S689" s="14">
        <f>CHOOSE(CONTROL!$C$42, 46.6072, 46.6072) * CHOOSE(CONTROL!$C$21, $C$9, 100%, $E$9)</f>
        <v>46.607199999999999</v>
      </c>
      <c r="T6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7">
        <f>(1000*CHOOSE(CONTROL!$C$42, 695, 695)*CHOOSE(CONTROL!$C$42, 0.5599, 0.5599)*CHOOSE(CONTROL!$C$42, 31, 31))/1000000</f>
        <v>12.063045499999998</v>
      </c>
      <c r="V689" s="57">
        <f>(1000*CHOOSE(CONTROL!$C$42, 500, 500)*CHOOSE(CONTROL!$C$42, 0.275, 0.275)*CHOOSE(CONTROL!$C$42, 31, 31))/1000000</f>
        <v>4.2625000000000002</v>
      </c>
      <c r="W689" s="57">
        <f>(1000*CHOOSE(CONTROL!$C$42, 0.1146, 0.1146)*CHOOSE(CONTROL!$C$42, 121.5, 121.5)*CHOOSE(CONTROL!$C$42, 31, 31))/1000000</f>
        <v>0.43164089999999994</v>
      </c>
      <c r="X689" s="57">
        <f>(31*0.1790888*245000/1000000)+(31*0.2374*100000/1000000)</f>
        <v>2.0961194359999999</v>
      </c>
      <c r="Y689" s="57"/>
      <c r="Z689" s="14"/>
      <c r="AA689" s="56"/>
      <c r="AB689" s="50">
        <f>(B689*194.205+C689*267.466+D689*133.845+E689*53.484+F689*40+G689*185+H689*0+I689*100+J689*300)/(194.205+267.466+133.845+53.484+0+40+185+100+300)</f>
        <v>48.565897849607531</v>
      </c>
      <c r="AC689" s="45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47.664739568345325</v>
      </c>
    </row>
    <row r="690" spans="1:29" ht="15.75" x14ac:dyDescent="0.25">
      <c r="A690" s="32">
        <v>61909</v>
      </c>
      <c r="B690" s="14">
        <f>CHOOSE(CONTROL!$C$42, 49.8906, 49.8906) * CHOOSE(CONTROL!$C$21, $C$9, 100%, $E$9)</f>
        <v>49.890599999999999</v>
      </c>
      <c r="C690" s="14">
        <f>CHOOSE(CONTROL!$C$42, 49.8987, 49.8987) * CHOOSE(CONTROL!$C$21, $C$9, 100%, $E$9)</f>
        <v>49.898699999999998</v>
      </c>
      <c r="D690" s="14">
        <f>CHOOSE(CONTROL!$C$42, 50.1323, 50.1323) * CHOOSE(CONTROL!$C$21, $C$9, 100%, $E$9)</f>
        <v>50.132300000000001</v>
      </c>
      <c r="E690" s="14">
        <f>CHOOSE(CONTROL!$C$42, 50.1637, 50.1637) * CHOOSE(CONTROL!$C$21, $C$9, 100%, $E$9)</f>
        <v>50.163699999999999</v>
      </c>
      <c r="F690" s="14">
        <f>CHOOSE(CONTROL!$C$42, 49.8879, 49.8879)*CHOOSE(CONTROL!$C$21, $C$9, 100%, $E$9)</f>
        <v>49.887900000000002</v>
      </c>
      <c r="G690" s="14">
        <f>CHOOSE(CONTROL!$C$42, 49.9044, 49.9044)*CHOOSE(CONTROL!$C$21, $C$9, 100%, $E$9)</f>
        <v>49.904400000000003</v>
      </c>
      <c r="H690" s="14">
        <f>CHOOSE(CONTROL!$C$42, 50.1523, 50.1523) * CHOOSE(CONTROL!$C$21, $C$9, 100%, $E$9)</f>
        <v>50.152299999999997</v>
      </c>
      <c r="I690" s="14">
        <f>CHOOSE(CONTROL!$C$42, 50.0628, 50.0628)* CHOOSE(CONTROL!$C$21, $C$9, 100%, $E$9)</f>
        <v>50.062800000000003</v>
      </c>
      <c r="J690" s="14">
        <f>CHOOSE(CONTROL!$C$42, 49.8809, 49.8809)* CHOOSE(CONTROL!$C$21, $C$9, 100%, $E$9)</f>
        <v>49.880899999999997</v>
      </c>
      <c r="K690" s="53">
        <f>CHOOSE(CONTROL!$C$42, 50.0589, 50.0589) * CHOOSE(CONTROL!$C$21, $C$9, 100%, $E$9)</f>
        <v>50.058900000000001</v>
      </c>
      <c r="L690" s="14">
        <f>CHOOSE(CONTROL!$C$42, 50.7393, 50.7393) * CHOOSE(CONTROL!$C$21, $C$9, 100%, $E$9)</f>
        <v>50.7393</v>
      </c>
      <c r="M690" s="14">
        <f>CHOOSE(CONTROL!$C$42, 48.8666, 48.8666) * CHOOSE(CONTROL!$C$21, $C$9, 100%, $E$9)</f>
        <v>48.866599999999998</v>
      </c>
      <c r="N690" s="14">
        <f>CHOOSE(CONTROL!$C$42, 48.8827, 48.8827) * CHOOSE(CONTROL!$C$21, $C$9, 100%, $E$9)</f>
        <v>48.8827</v>
      </c>
      <c r="O690" s="14">
        <f>CHOOSE(CONTROL!$C$42, 49.1325, 49.1325) * CHOOSE(CONTROL!$C$21, $C$9, 100%, $E$9)</f>
        <v>49.1325</v>
      </c>
      <c r="P690" s="14">
        <f>CHOOSE(CONTROL!$C$42, 49.0416, 49.0416) * CHOOSE(CONTROL!$C$21, $C$9, 100%, $E$9)</f>
        <v>49.041600000000003</v>
      </c>
      <c r="Q690" s="14">
        <f>CHOOSE(CONTROL!$C$42, 49.7272, 49.7272) * CHOOSE(CONTROL!$C$21, $C$9, 100%, $E$9)</f>
        <v>49.727200000000003</v>
      </c>
      <c r="R690" s="14">
        <f>CHOOSE(CONTROL!$C$42, 50.4385, 50.4385) * CHOOSE(CONTROL!$C$21, $C$9, 100%, $E$9)</f>
        <v>50.438499999999998</v>
      </c>
      <c r="S690" s="14">
        <f>CHOOSE(CONTROL!$C$42, 47.9293, 47.9293) * CHOOSE(CONTROL!$C$21, $C$9, 100%, $E$9)</f>
        <v>47.929299999999998</v>
      </c>
      <c r="T6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7">
        <f>(1000*CHOOSE(CONTROL!$C$42, 695, 695)*CHOOSE(CONTROL!$C$42, 0.5599, 0.5599)*CHOOSE(CONTROL!$C$42, 30, 30))/1000000</f>
        <v>11.673914999999997</v>
      </c>
      <c r="V690" s="57">
        <f>(1000*CHOOSE(CONTROL!$C$42, 500, 500)*CHOOSE(CONTROL!$C$42, 0.275, 0.275)*CHOOSE(CONTROL!$C$42, 30, 30))/1000000</f>
        <v>4.125</v>
      </c>
      <c r="W690" s="57">
        <f>(1000*CHOOSE(CONTROL!$C$42, 0.1146, 0.1146)*CHOOSE(CONTROL!$C$42, 121.5, 121.5)*CHOOSE(CONTROL!$C$42, 30, 30))/1000000</f>
        <v>0.417717</v>
      </c>
      <c r="X690" s="57">
        <f>(30*0.1790888*245000/1000000)+(30*0.2374*100000/1000000)</f>
        <v>2.0285026799999999</v>
      </c>
      <c r="Y690" s="57"/>
      <c r="Z690" s="14"/>
      <c r="AA690" s="56"/>
      <c r="AB690" s="50">
        <f>(B690*194.205+C690*267.466+D690*133.845+E690*53.484+F690*40+G690*185+H690*0+I690*100+J690*300)/(194.205+267.466+133.845+53.484+0+40+185+100+300)</f>
        <v>49.942309804945054</v>
      </c>
      <c r="AC690" s="45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49.013222302158276</v>
      </c>
    </row>
    <row r="691" spans="1:29" ht="15.75" x14ac:dyDescent="0.25">
      <c r="A691" s="32">
        <v>61940</v>
      </c>
      <c r="B691" s="14">
        <f>CHOOSE(CONTROL!$C$42, 48.9337, 48.9337) * CHOOSE(CONTROL!$C$21, $C$9, 100%, $E$9)</f>
        <v>48.933700000000002</v>
      </c>
      <c r="C691" s="14">
        <f>CHOOSE(CONTROL!$C$42, 48.9418, 48.9418) * CHOOSE(CONTROL!$C$21, $C$9, 100%, $E$9)</f>
        <v>48.941800000000001</v>
      </c>
      <c r="D691" s="14">
        <f>CHOOSE(CONTROL!$C$42, 49.1753, 49.1753) * CHOOSE(CONTROL!$C$21, $C$9, 100%, $E$9)</f>
        <v>49.1753</v>
      </c>
      <c r="E691" s="14">
        <f>CHOOSE(CONTROL!$C$42, 49.2068, 49.2068) * CHOOSE(CONTROL!$C$21, $C$9, 100%, $E$9)</f>
        <v>49.206800000000001</v>
      </c>
      <c r="F691" s="14">
        <f>CHOOSE(CONTROL!$C$42, 48.9315, 48.9315)*CHOOSE(CONTROL!$C$21, $C$9, 100%, $E$9)</f>
        <v>48.9315</v>
      </c>
      <c r="G691" s="14">
        <f>CHOOSE(CONTROL!$C$42, 48.9481, 48.9481)*CHOOSE(CONTROL!$C$21, $C$9, 100%, $E$9)</f>
        <v>48.948099999999997</v>
      </c>
      <c r="H691" s="14">
        <f>CHOOSE(CONTROL!$C$42, 49.1954, 49.1954) * CHOOSE(CONTROL!$C$21, $C$9, 100%, $E$9)</f>
        <v>49.195399999999999</v>
      </c>
      <c r="I691" s="14">
        <f>CHOOSE(CONTROL!$C$42, 49.1029, 49.1029)* CHOOSE(CONTROL!$C$21, $C$9, 100%, $E$9)</f>
        <v>49.102899999999998</v>
      </c>
      <c r="J691" s="14">
        <f>CHOOSE(CONTROL!$C$42, 48.9245, 48.9245)* CHOOSE(CONTROL!$C$21, $C$9, 100%, $E$9)</f>
        <v>48.924500000000002</v>
      </c>
      <c r="K691" s="53">
        <f>CHOOSE(CONTROL!$C$42, 49.099, 49.099) * CHOOSE(CONTROL!$C$21, $C$9, 100%, $E$9)</f>
        <v>49.098999999999997</v>
      </c>
      <c r="L691" s="14">
        <f>CHOOSE(CONTROL!$C$42, 49.7824, 49.7824) * CHOOSE(CONTROL!$C$21, $C$9, 100%, $E$9)</f>
        <v>49.782400000000003</v>
      </c>
      <c r="M691" s="14">
        <f>CHOOSE(CONTROL!$C$42, 47.9298, 47.9298) * CHOOSE(CONTROL!$C$21, $C$9, 100%, $E$9)</f>
        <v>47.9298</v>
      </c>
      <c r="N691" s="14">
        <f>CHOOSE(CONTROL!$C$42, 47.946, 47.946) * CHOOSE(CONTROL!$C$21, $C$9, 100%, $E$9)</f>
        <v>47.945999999999998</v>
      </c>
      <c r="O691" s="14">
        <f>CHOOSE(CONTROL!$C$42, 48.1952, 48.1952) * CHOOSE(CONTROL!$C$21, $C$9, 100%, $E$9)</f>
        <v>48.1952</v>
      </c>
      <c r="P691" s="14">
        <f>CHOOSE(CONTROL!$C$42, 48.1015, 48.1015) * CHOOSE(CONTROL!$C$21, $C$9, 100%, $E$9)</f>
        <v>48.101500000000001</v>
      </c>
      <c r="Q691" s="14">
        <f>CHOOSE(CONTROL!$C$42, 48.7899, 48.7899) * CHOOSE(CONTROL!$C$21, $C$9, 100%, $E$9)</f>
        <v>48.789900000000003</v>
      </c>
      <c r="R691" s="14">
        <f>CHOOSE(CONTROL!$C$42, 49.4988, 49.4988) * CHOOSE(CONTROL!$C$21, $C$9, 100%, $E$9)</f>
        <v>49.498800000000003</v>
      </c>
      <c r="S691" s="14">
        <f>CHOOSE(CONTROL!$C$42, 47.0098, 47.0098) * CHOOSE(CONTROL!$C$21, $C$9, 100%, $E$9)</f>
        <v>47.009799999999998</v>
      </c>
      <c r="T6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7">
        <f>(1000*CHOOSE(CONTROL!$C$42, 695, 695)*CHOOSE(CONTROL!$C$42, 0.5599, 0.5599)*CHOOSE(CONTROL!$C$42, 31, 31))/1000000</f>
        <v>12.063045499999998</v>
      </c>
      <c r="V691" s="57">
        <f>(1000*CHOOSE(CONTROL!$C$42, 500, 500)*CHOOSE(CONTROL!$C$42, 0.275, 0.275)*CHOOSE(CONTROL!$C$42, 31, 31))/1000000</f>
        <v>4.2625000000000002</v>
      </c>
      <c r="W691" s="57">
        <f>(1000*CHOOSE(CONTROL!$C$42, 0.1146, 0.1146)*CHOOSE(CONTROL!$C$42, 121.5, 121.5)*CHOOSE(CONTROL!$C$42, 31, 31))/1000000</f>
        <v>0.43164089999999994</v>
      </c>
      <c r="X691" s="57">
        <f>(31*0.1790888*245000/1000000)+(31*0.2374*100000/1000000)</f>
        <v>2.0961194359999999</v>
      </c>
      <c r="Y691" s="57"/>
      <c r="Z691" s="14"/>
      <c r="AA691" s="56"/>
      <c r="AB691" s="50">
        <f>(B691*194.205+C691*267.466+D691*133.845+E691*53.484+F691*40+G691*185+H691*0+I691*100+J691*300)/(194.205+267.466+133.845+53.484+0+40+185+100+300)</f>
        <v>48.985384385400316</v>
      </c>
      <c r="AC691" s="45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48.075726618705033</v>
      </c>
    </row>
    <row r="692" spans="1:29" ht="15.75" x14ac:dyDescent="0.25">
      <c r="A692" s="32">
        <v>61971</v>
      </c>
      <c r="B692" s="14">
        <f>CHOOSE(CONTROL!$C$42, 46.5172, 46.5172) * CHOOSE(CONTROL!$C$21, $C$9, 100%, $E$9)</f>
        <v>46.517200000000003</v>
      </c>
      <c r="C692" s="14">
        <f>CHOOSE(CONTROL!$C$42, 46.5253, 46.5253) * CHOOSE(CONTROL!$C$21, $C$9, 100%, $E$9)</f>
        <v>46.525300000000001</v>
      </c>
      <c r="D692" s="14">
        <f>CHOOSE(CONTROL!$C$42, 46.7589, 46.7589) * CHOOSE(CONTROL!$C$21, $C$9, 100%, $E$9)</f>
        <v>46.758899999999997</v>
      </c>
      <c r="E692" s="14">
        <f>CHOOSE(CONTROL!$C$42, 46.7903, 46.7903) * CHOOSE(CONTROL!$C$21, $C$9, 100%, $E$9)</f>
        <v>46.790300000000002</v>
      </c>
      <c r="F692" s="14">
        <f>CHOOSE(CONTROL!$C$42, 46.5152, 46.5152)*CHOOSE(CONTROL!$C$21, $C$9, 100%, $E$9)</f>
        <v>46.5152</v>
      </c>
      <c r="G692" s="14">
        <f>CHOOSE(CONTROL!$C$42, 46.5319, 46.5319)*CHOOSE(CONTROL!$C$21, $C$9, 100%, $E$9)</f>
        <v>46.5319</v>
      </c>
      <c r="H692" s="14">
        <f>CHOOSE(CONTROL!$C$42, 46.779, 46.779) * CHOOSE(CONTROL!$C$21, $C$9, 100%, $E$9)</f>
        <v>46.779000000000003</v>
      </c>
      <c r="I692" s="14">
        <f>CHOOSE(CONTROL!$C$42, 46.6788, 46.6788)* CHOOSE(CONTROL!$C$21, $C$9, 100%, $E$9)</f>
        <v>46.678800000000003</v>
      </c>
      <c r="J692" s="14">
        <f>CHOOSE(CONTROL!$C$42, 46.5082, 46.5082)* CHOOSE(CONTROL!$C$21, $C$9, 100%, $E$9)</f>
        <v>46.508200000000002</v>
      </c>
      <c r="K692" s="53">
        <f>CHOOSE(CONTROL!$C$42, 46.6749, 46.6749) * CHOOSE(CONTROL!$C$21, $C$9, 100%, $E$9)</f>
        <v>46.674900000000001</v>
      </c>
      <c r="L692" s="14">
        <f>CHOOSE(CONTROL!$C$42, 47.366, 47.366) * CHOOSE(CONTROL!$C$21, $C$9, 100%, $E$9)</f>
        <v>47.366</v>
      </c>
      <c r="M692" s="14">
        <f>CHOOSE(CONTROL!$C$42, 45.563, 45.563) * CHOOSE(CONTROL!$C$21, $C$9, 100%, $E$9)</f>
        <v>45.563000000000002</v>
      </c>
      <c r="N692" s="14">
        <f>CHOOSE(CONTROL!$C$42, 45.5793, 45.5793) * CHOOSE(CONTROL!$C$21, $C$9, 100%, $E$9)</f>
        <v>45.579300000000003</v>
      </c>
      <c r="O692" s="14">
        <f>CHOOSE(CONTROL!$C$42, 45.8282, 45.8282) * CHOOSE(CONTROL!$C$21, $C$9, 100%, $E$9)</f>
        <v>45.828200000000002</v>
      </c>
      <c r="P692" s="14">
        <f>CHOOSE(CONTROL!$C$42, 45.7272, 45.7272) * CHOOSE(CONTROL!$C$21, $C$9, 100%, $E$9)</f>
        <v>45.727200000000003</v>
      </c>
      <c r="Q692" s="14">
        <f>CHOOSE(CONTROL!$C$42, 46.4229, 46.4229) * CHOOSE(CONTROL!$C$21, $C$9, 100%, $E$9)</f>
        <v>46.422899999999998</v>
      </c>
      <c r="R692" s="14">
        <f>CHOOSE(CONTROL!$C$42, 47.1259, 47.1259) * CHOOSE(CONTROL!$C$21, $C$9, 100%, $E$9)</f>
        <v>47.125900000000001</v>
      </c>
      <c r="S692" s="14">
        <f>CHOOSE(CONTROL!$C$42, 44.6878, 44.6878) * CHOOSE(CONTROL!$C$21, $C$9, 100%, $E$9)</f>
        <v>44.687800000000003</v>
      </c>
      <c r="T6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7">
        <f>(1000*CHOOSE(CONTROL!$C$42, 695, 695)*CHOOSE(CONTROL!$C$42, 0.5599, 0.5599)*CHOOSE(CONTROL!$C$42, 31, 31))/1000000</f>
        <v>12.063045499999998</v>
      </c>
      <c r="V692" s="57">
        <f>(1000*CHOOSE(CONTROL!$C$42, 500, 500)*CHOOSE(CONTROL!$C$42, 0.275, 0.275)*CHOOSE(CONTROL!$C$42, 31, 31))/1000000</f>
        <v>4.2625000000000002</v>
      </c>
      <c r="W692" s="57">
        <f>(1000*CHOOSE(CONTROL!$C$42, 0.1146, 0.1146)*CHOOSE(CONTROL!$C$42, 121.5, 121.5)*CHOOSE(CONTROL!$C$42, 31, 31))/1000000</f>
        <v>0.43164089999999994</v>
      </c>
      <c r="X692" s="57">
        <f>(31*0.1790888*245000/1000000)+(31*0.2374*100000/1000000)</f>
        <v>2.0961194359999999</v>
      </c>
      <c r="Y692" s="57"/>
      <c r="Z692" s="14"/>
      <c r="AA692" s="56"/>
      <c r="AB692" s="50">
        <f>(B692*194.205+C692*267.466+D692*133.845+E692*53.484+F692*40+G692*185+H692*0+I692*100+J692*300)/(194.205+267.466+133.845+53.484+0+40+185+100+300)</f>
        <v>46.568395283751961</v>
      </c>
      <c r="AC692" s="45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45.707762589928066</v>
      </c>
    </row>
    <row r="693" spans="1:29" ht="15.75" x14ac:dyDescent="0.25">
      <c r="A693" s="32">
        <v>62001</v>
      </c>
      <c r="B693" s="14">
        <f>CHOOSE(CONTROL!$C$42, 43.5643, 43.5643) * CHOOSE(CONTROL!$C$21, $C$9, 100%, $E$9)</f>
        <v>43.564300000000003</v>
      </c>
      <c r="C693" s="14">
        <f>CHOOSE(CONTROL!$C$42, 43.5723, 43.5723) * CHOOSE(CONTROL!$C$21, $C$9, 100%, $E$9)</f>
        <v>43.572299999999998</v>
      </c>
      <c r="D693" s="14">
        <f>CHOOSE(CONTROL!$C$42, 43.8059, 43.8059) * CHOOSE(CONTROL!$C$21, $C$9, 100%, $E$9)</f>
        <v>43.805900000000001</v>
      </c>
      <c r="E693" s="14">
        <f>CHOOSE(CONTROL!$C$42, 43.8374, 43.8374) * CHOOSE(CONTROL!$C$21, $C$9, 100%, $E$9)</f>
        <v>43.837400000000002</v>
      </c>
      <c r="F693" s="14">
        <f>CHOOSE(CONTROL!$C$42, 43.5623, 43.5623)*CHOOSE(CONTROL!$C$21, $C$9, 100%, $E$9)</f>
        <v>43.5623</v>
      </c>
      <c r="G693" s="14">
        <f>CHOOSE(CONTROL!$C$42, 43.579, 43.579)*CHOOSE(CONTROL!$C$21, $C$9, 100%, $E$9)</f>
        <v>43.579000000000001</v>
      </c>
      <c r="H693" s="14">
        <f>CHOOSE(CONTROL!$C$42, 43.826, 43.826) * CHOOSE(CONTROL!$C$21, $C$9, 100%, $E$9)</f>
        <v>43.826000000000001</v>
      </c>
      <c r="I693" s="14">
        <f>CHOOSE(CONTROL!$C$42, 43.7166, 43.7166)* CHOOSE(CONTROL!$C$21, $C$9, 100%, $E$9)</f>
        <v>43.7166</v>
      </c>
      <c r="J693" s="14">
        <f>CHOOSE(CONTROL!$C$42, 43.5553, 43.5553)* CHOOSE(CONTROL!$C$21, $C$9, 100%, $E$9)</f>
        <v>43.555300000000003</v>
      </c>
      <c r="K693" s="53">
        <f>CHOOSE(CONTROL!$C$42, 43.7127, 43.7127) * CHOOSE(CONTROL!$C$21, $C$9, 100%, $E$9)</f>
        <v>43.712699999999998</v>
      </c>
      <c r="L693" s="14">
        <f>CHOOSE(CONTROL!$C$42, 44.413, 44.413) * CHOOSE(CONTROL!$C$21, $C$9, 100%, $E$9)</f>
        <v>44.412999999999997</v>
      </c>
      <c r="M693" s="14">
        <f>CHOOSE(CONTROL!$C$42, 42.6706, 42.6706) * CHOOSE(CONTROL!$C$21, $C$9, 100%, $E$9)</f>
        <v>42.6706</v>
      </c>
      <c r="N693" s="14">
        <f>CHOOSE(CONTROL!$C$42, 42.6869, 42.6869) * CHOOSE(CONTROL!$C$21, $C$9, 100%, $E$9)</f>
        <v>42.686900000000001</v>
      </c>
      <c r="O693" s="14">
        <f>CHOOSE(CONTROL!$C$42, 42.9357, 42.9357) * CHOOSE(CONTROL!$C$21, $C$9, 100%, $E$9)</f>
        <v>42.935699999999997</v>
      </c>
      <c r="P693" s="14">
        <f>CHOOSE(CONTROL!$C$42, 42.8259, 42.8259) * CHOOSE(CONTROL!$C$21, $C$9, 100%, $E$9)</f>
        <v>42.825899999999997</v>
      </c>
      <c r="Q693" s="14">
        <f>CHOOSE(CONTROL!$C$42, 43.5304, 43.5304) * CHOOSE(CONTROL!$C$21, $C$9, 100%, $E$9)</f>
        <v>43.5304</v>
      </c>
      <c r="R693" s="14">
        <f>CHOOSE(CONTROL!$C$42, 44.2263, 44.2263) * CHOOSE(CONTROL!$C$21, $C$9, 100%, $E$9)</f>
        <v>44.226300000000002</v>
      </c>
      <c r="S693" s="14">
        <f>CHOOSE(CONTROL!$C$42, 41.8503, 41.8503) * CHOOSE(CONTROL!$C$21, $C$9, 100%, $E$9)</f>
        <v>41.850299999999997</v>
      </c>
      <c r="T6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7">
        <f>(1000*CHOOSE(CONTROL!$C$42, 695, 695)*CHOOSE(CONTROL!$C$42, 0.5599, 0.5599)*CHOOSE(CONTROL!$C$42, 30, 30))/1000000</f>
        <v>11.673914999999997</v>
      </c>
      <c r="V693" s="57">
        <f>(1000*CHOOSE(CONTROL!$C$42, 500, 500)*CHOOSE(CONTROL!$C$42, 0.275, 0.275)*CHOOSE(CONTROL!$C$42, 30, 30))/1000000</f>
        <v>4.125</v>
      </c>
      <c r="W693" s="57">
        <f>(1000*CHOOSE(CONTROL!$C$42, 0.1146, 0.1146)*CHOOSE(CONTROL!$C$42, 121.5, 121.5)*CHOOSE(CONTROL!$C$42, 30, 30))/1000000</f>
        <v>0.417717</v>
      </c>
      <c r="X693" s="57">
        <f>(30*0.1790888*245000/1000000)+(30*0.2374*100000/1000000)</f>
        <v>2.0285026799999999</v>
      </c>
      <c r="Y693" s="57"/>
      <c r="Z693" s="14"/>
      <c r="AA693" s="56"/>
      <c r="AB693" s="50">
        <f>(B693*194.205+C693*267.466+D693*133.845+E693*53.484+F693*40+G693*185+H693*0+I693*100+J693*300)/(194.205+267.466+133.845+53.484+0+40+185+100+300)</f>
        <v>43.614733799372054</v>
      </c>
      <c r="AC693" s="45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42.814036690647484</v>
      </c>
    </row>
    <row r="694" spans="1:29" ht="15.75" x14ac:dyDescent="0.25">
      <c r="A694" s="32">
        <v>62032</v>
      </c>
      <c r="B694" s="14">
        <f>CHOOSE(CONTROL!$C$42, 42.6782, 42.6782) * CHOOSE(CONTROL!$C$21, $C$9, 100%, $E$9)</f>
        <v>42.678199999999997</v>
      </c>
      <c r="C694" s="14">
        <f>CHOOSE(CONTROL!$C$42, 42.6836, 42.6836) * CHOOSE(CONTROL!$C$21, $C$9, 100%, $E$9)</f>
        <v>42.683599999999998</v>
      </c>
      <c r="D694" s="14">
        <f>CHOOSE(CONTROL!$C$42, 42.9221, 42.9221) * CHOOSE(CONTROL!$C$21, $C$9, 100%, $E$9)</f>
        <v>42.9221</v>
      </c>
      <c r="E694" s="14">
        <f>CHOOSE(CONTROL!$C$42, 42.9512, 42.9512) * CHOOSE(CONTROL!$C$21, $C$9, 100%, $E$9)</f>
        <v>42.9512</v>
      </c>
      <c r="F694" s="14">
        <f>CHOOSE(CONTROL!$C$42, 42.6783, 42.6783)*CHOOSE(CONTROL!$C$21, $C$9, 100%, $E$9)</f>
        <v>42.6783</v>
      </c>
      <c r="G694" s="14">
        <f>CHOOSE(CONTROL!$C$42, 42.6945, 42.6945)*CHOOSE(CONTROL!$C$21, $C$9, 100%, $E$9)</f>
        <v>42.694499999999998</v>
      </c>
      <c r="H694" s="14">
        <f>CHOOSE(CONTROL!$C$42, 42.9417, 42.9417) * CHOOSE(CONTROL!$C$21, $C$9, 100%, $E$9)</f>
        <v>42.941699999999997</v>
      </c>
      <c r="I694" s="14">
        <f>CHOOSE(CONTROL!$C$42, 42.8295, 42.8295)* CHOOSE(CONTROL!$C$21, $C$9, 100%, $E$9)</f>
        <v>42.829500000000003</v>
      </c>
      <c r="J694" s="14">
        <f>CHOOSE(CONTROL!$C$42, 42.6713, 42.6713)* CHOOSE(CONTROL!$C$21, $C$9, 100%, $E$9)</f>
        <v>42.671300000000002</v>
      </c>
      <c r="K694" s="53">
        <f>CHOOSE(CONTROL!$C$42, 42.8257, 42.8257) * CHOOSE(CONTROL!$C$21, $C$9, 100%, $E$9)</f>
        <v>42.825699999999998</v>
      </c>
      <c r="L694" s="14">
        <f>CHOOSE(CONTROL!$C$42, 43.5287, 43.5287) * CHOOSE(CONTROL!$C$21, $C$9, 100%, $E$9)</f>
        <v>43.528700000000001</v>
      </c>
      <c r="M694" s="14">
        <f>CHOOSE(CONTROL!$C$42, 41.8046, 41.8046) * CHOOSE(CONTROL!$C$21, $C$9, 100%, $E$9)</f>
        <v>41.804600000000001</v>
      </c>
      <c r="N694" s="14">
        <f>CHOOSE(CONTROL!$C$42, 41.8206, 41.8206) * CHOOSE(CONTROL!$C$21, $C$9, 100%, $E$9)</f>
        <v>41.820599999999999</v>
      </c>
      <c r="O694" s="14">
        <f>CHOOSE(CONTROL!$C$42, 42.0696, 42.0696) * CHOOSE(CONTROL!$C$21, $C$9, 100%, $E$9)</f>
        <v>42.069600000000001</v>
      </c>
      <c r="P694" s="14">
        <f>CHOOSE(CONTROL!$C$42, 41.9571, 41.9571) * CHOOSE(CONTROL!$C$21, $C$9, 100%, $E$9)</f>
        <v>41.957099999999997</v>
      </c>
      <c r="Q694" s="14">
        <f>CHOOSE(CONTROL!$C$42, 42.6643, 42.6643) * CHOOSE(CONTROL!$C$21, $C$9, 100%, $E$9)</f>
        <v>42.664299999999997</v>
      </c>
      <c r="R694" s="14">
        <f>CHOOSE(CONTROL!$C$42, 43.3579, 43.3579) * CHOOSE(CONTROL!$C$21, $C$9, 100%, $E$9)</f>
        <v>43.357900000000001</v>
      </c>
      <c r="S694" s="14">
        <f>CHOOSE(CONTROL!$C$42, 41.0006, 41.0006) * CHOOSE(CONTROL!$C$21, $C$9, 100%, $E$9)</f>
        <v>41.000599999999999</v>
      </c>
      <c r="T6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7">
        <f>(1000*CHOOSE(CONTROL!$C$42, 695, 695)*CHOOSE(CONTROL!$C$42, 0.5599, 0.5599)*CHOOSE(CONTROL!$C$42, 31, 31))/1000000</f>
        <v>12.063045499999998</v>
      </c>
      <c r="V694" s="57">
        <f>(1000*CHOOSE(CONTROL!$C$42, 500, 500)*CHOOSE(CONTROL!$C$42, 0.275, 0.275)*CHOOSE(CONTROL!$C$42, 31, 31))/1000000</f>
        <v>4.2625000000000002</v>
      </c>
      <c r="W694" s="57">
        <f>(1000*CHOOSE(CONTROL!$C$42, 0.1146, 0.1146)*CHOOSE(CONTROL!$C$42, 121.5, 121.5)*CHOOSE(CONTROL!$C$42, 31, 31))/1000000</f>
        <v>0.43164089999999994</v>
      </c>
      <c r="X694" s="57">
        <f>(31*0.1790888*245000/1000000)+(31*0.2374*100000/1000000)</f>
        <v>2.0961194359999999</v>
      </c>
      <c r="Y694" s="57"/>
      <c r="Z694" s="14"/>
      <c r="AA694" s="56"/>
      <c r="AB694" s="50">
        <f>(B694*131.881+C694*277.167+D694*79.08+E694*125.872+F694*40+G694*185+H694*0+I694*100+J694*300)/(131.881+277.167+79.08+125.872+0+40+185+100+300)</f>
        <v>42.73568738482647</v>
      </c>
      <c r="AC694" s="45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41.947571223021583</v>
      </c>
    </row>
    <row r="695" spans="1:29" ht="15.75" x14ac:dyDescent="0.25">
      <c r="A695" s="32">
        <v>62062</v>
      </c>
      <c r="B695" s="14">
        <f>CHOOSE(CONTROL!$C$42, 43.8019, 43.8019) * CHOOSE(CONTROL!$C$21, $C$9, 100%, $E$9)</f>
        <v>43.801900000000003</v>
      </c>
      <c r="C695" s="14">
        <f>CHOOSE(CONTROL!$C$42, 43.807, 43.807) * CHOOSE(CONTROL!$C$21, $C$9, 100%, $E$9)</f>
        <v>43.807000000000002</v>
      </c>
      <c r="D695" s="14">
        <f>CHOOSE(CONTROL!$C$42, 43.8812, 43.8812) * CHOOSE(CONTROL!$C$21, $C$9, 100%, $E$9)</f>
        <v>43.8812</v>
      </c>
      <c r="E695" s="14">
        <f>CHOOSE(CONTROL!$C$42, 43.9153, 43.9153) * CHOOSE(CONTROL!$C$21, $C$9, 100%, $E$9)</f>
        <v>43.915300000000002</v>
      </c>
      <c r="F695" s="14">
        <f>CHOOSE(CONTROL!$C$42, 43.814, 43.814)*CHOOSE(CONTROL!$C$21, $C$9, 100%, $E$9)</f>
        <v>43.814</v>
      </c>
      <c r="G695" s="14">
        <f>CHOOSE(CONTROL!$C$42, 43.8305, 43.8305)*CHOOSE(CONTROL!$C$21, $C$9, 100%, $E$9)</f>
        <v>43.830500000000001</v>
      </c>
      <c r="H695" s="14">
        <f>CHOOSE(CONTROL!$C$42, 43.9045, 43.9045) * CHOOSE(CONTROL!$C$21, $C$9, 100%, $E$9)</f>
        <v>43.904499999999999</v>
      </c>
      <c r="I695" s="14">
        <f>CHOOSE(CONTROL!$C$42, 43.9634, 43.9634)* CHOOSE(CONTROL!$C$21, $C$9, 100%, $E$9)</f>
        <v>43.9634</v>
      </c>
      <c r="J695" s="14">
        <f>CHOOSE(CONTROL!$C$42, 43.807, 43.807)* CHOOSE(CONTROL!$C$21, $C$9, 100%, $E$9)</f>
        <v>43.807000000000002</v>
      </c>
      <c r="K695" s="53">
        <f>CHOOSE(CONTROL!$C$42, 43.9595, 43.9595) * CHOOSE(CONTROL!$C$21, $C$9, 100%, $E$9)</f>
        <v>43.959499999999998</v>
      </c>
      <c r="L695" s="14">
        <f>CHOOSE(CONTROL!$C$42, 44.4915, 44.4915) * CHOOSE(CONTROL!$C$21, $C$9, 100%, $E$9)</f>
        <v>44.491500000000002</v>
      </c>
      <c r="M695" s="14">
        <f>CHOOSE(CONTROL!$C$42, 42.9171, 42.9171) * CHOOSE(CONTROL!$C$21, $C$9, 100%, $E$9)</f>
        <v>42.917099999999998</v>
      </c>
      <c r="N695" s="14">
        <f>CHOOSE(CONTROL!$C$42, 42.9333, 42.9333) * CHOOSE(CONTROL!$C$21, $C$9, 100%, $E$9)</f>
        <v>42.933300000000003</v>
      </c>
      <c r="O695" s="14">
        <f>CHOOSE(CONTROL!$C$42, 43.0126, 43.0126) * CHOOSE(CONTROL!$C$21, $C$9, 100%, $E$9)</f>
        <v>43.012599999999999</v>
      </c>
      <c r="P695" s="14">
        <f>CHOOSE(CONTROL!$C$42, 43.0676, 43.0676) * CHOOSE(CONTROL!$C$21, $C$9, 100%, $E$9)</f>
        <v>43.067599999999999</v>
      </c>
      <c r="Q695" s="14">
        <f>CHOOSE(CONTROL!$C$42, 43.6073, 43.6073) * CHOOSE(CONTROL!$C$21, $C$9, 100%, $E$9)</f>
        <v>43.607300000000002</v>
      </c>
      <c r="R695" s="14">
        <f>CHOOSE(CONTROL!$C$42, 44.3033, 44.3033) * CHOOSE(CONTROL!$C$21, $C$9, 100%, $E$9)</f>
        <v>44.3033</v>
      </c>
      <c r="S695" s="14">
        <f>CHOOSE(CONTROL!$C$42, 42.0807, 42.0807) * CHOOSE(CONTROL!$C$21, $C$9, 100%, $E$9)</f>
        <v>42.0807</v>
      </c>
      <c r="T6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7">
        <f>(1000*CHOOSE(CONTROL!$C$42, 695, 695)*CHOOSE(CONTROL!$C$42, 0.5599, 0.5599)*CHOOSE(CONTROL!$C$42, 30, 30))/1000000</f>
        <v>11.673914999999997</v>
      </c>
      <c r="V695" s="57">
        <f>(1000*CHOOSE(CONTROL!$C$42, 500, 500)*CHOOSE(CONTROL!$C$42, 0.275, 0.275)*CHOOSE(CONTROL!$C$42, 30, 30))/1000000</f>
        <v>4.125</v>
      </c>
      <c r="W695" s="57">
        <f>(1000*CHOOSE(CONTROL!$C$42, 0.1146, 0.1146)*CHOOSE(CONTROL!$C$42, 121.5, 121.5)*CHOOSE(CONTROL!$C$42, 30, 30))/1000000</f>
        <v>0.417717</v>
      </c>
      <c r="X695" s="57">
        <f>(30*0.1790888*100000/1000000)+(30*0.2374*100000/1000000)</f>
        <v>1.2494664</v>
      </c>
      <c r="Y695" s="57"/>
      <c r="Z695" s="14"/>
      <c r="AA695" s="56"/>
      <c r="AB695" s="50">
        <f>(B695*122.58+C695*297.941+D695*89.177+E695*40.302+F695*40+G695*160+H695*0+I695*100+J695*300)/(122.58+297.941+89.177+40.302+0+40+160+100+300)</f>
        <v>43.833118680000005</v>
      </c>
      <c r="AC695" s="45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42.982971223021586</v>
      </c>
    </row>
    <row r="696" spans="1:29" ht="15.75" x14ac:dyDescent="0.25">
      <c r="A696" s="32">
        <v>62093</v>
      </c>
      <c r="B696" s="14">
        <f>CHOOSE(CONTROL!$C$42, 46.7876, 46.7876) * CHOOSE(CONTROL!$C$21, $C$9, 100%, $E$9)</f>
        <v>46.787599999999998</v>
      </c>
      <c r="C696" s="14">
        <f>CHOOSE(CONTROL!$C$42, 46.7927, 46.7927) * CHOOSE(CONTROL!$C$21, $C$9, 100%, $E$9)</f>
        <v>46.792700000000004</v>
      </c>
      <c r="D696" s="14">
        <f>CHOOSE(CONTROL!$C$42, 46.8669, 46.8669) * CHOOSE(CONTROL!$C$21, $C$9, 100%, $E$9)</f>
        <v>46.866900000000001</v>
      </c>
      <c r="E696" s="14">
        <f>CHOOSE(CONTROL!$C$42, 46.901, 46.901) * CHOOSE(CONTROL!$C$21, $C$9, 100%, $E$9)</f>
        <v>46.901000000000003</v>
      </c>
      <c r="F696" s="14">
        <f>CHOOSE(CONTROL!$C$42, 46.8019, 46.8019)*CHOOSE(CONTROL!$C$21, $C$9, 100%, $E$9)</f>
        <v>46.801900000000003</v>
      </c>
      <c r="G696" s="14">
        <f>CHOOSE(CONTROL!$C$42, 46.819, 46.819)*CHOOSE(CONTROL!$C$21, $C$9, 100%, $E$9)</f>
        <v>46.819000000000003</v>
      </c>
      <c r="H696" s="14">
        <f>CHOOSE(CONTROL!$C$42, 46.8902, 46.8902) * CHOOSE(CONTROL!$C$21, $C$9, 100%, $E$9)</f>
        <v>46.8902</v>
      </c>
      <c r="I696" s="14">
        <f>CHOOSE(CONTROL!$C$42, 46.9585, 46.9585)* CHOOSE(CONTROL!$C$21, $C$9, 100%, $E$9)</f>
        <v>46.958500000000001</v>
      </c>
      <c r="J696" s="14">
        <f>CHOOSE(CONTROL!$C$42, 46.7949, 46.7949)* CHOOSE(CONTROL!$C$21, $C$9, 100%, $E$9)</f>
        <v>46.794899999999998</v>
      </c>
      <c r="K696" s="53">
        <f>CHOOSE(CONTROL!$C$42, 46.9546, 46.9546) * CHOOSE(CONTROL!$C$21, $C$9, 100%, $E$9)</f>
        <v>46.954599999999999</v>
      </c>
      <c r="L696" s="14">
        <f>CHOOSE(CONTROL!$C$42, 47.4772, 47.4772) * CHOOSE(CONTROL!$C$21, $C$9, 100%, $E$9)</f>
        <v>47.477200000000003</v>
      </c>
      <c r="M696" s="14">
        <f>CHOOSE(CONTROL!$C$42, 45.8438, 45.8438) * CHOOSE(CONTROL!$C$21, $C$9, 100%, $E$9)</f>
        <v>45.843800000000002</v>
      </c>
      <c r="N696" s="14">
        <f>CHOOSE(CONTROL!$C$42, 45.8606, 45.8606) * CHOOSE(CONTROL!$C$21, $C$9, 100%, $E$9)</f>
        <v>45.860599999999998</v>
      </c>
      <c r="O696" s="14">
        <f>CHOOSE(CONTROL!$C$42, 45.9372, 45.9372) * CHOOSE(CONTROL!$C$21, $C$9, 100%, $E$9)</f>
        <v>45.937199999999997</v>
      </c>
      <c r="P696" s="14">
        <f>CHOOSE(CONTROL!$C$42, 46.0012, 46.0012) * CHOOSE(CONTROL!$C$21, $C$9, 100%, $E$9)</f>
        <v>46.001199999999997</v>
      </c>
      <c r="Q696" s="14">
        <f>CHOOSE(CONTROL!$C$42, 46.5319, 46.5319) * CHOOSE(CONTROL!$C$21, $C$9, 100%, $E$9)</f>
        <v>46.5319</v>
      </c>
      <c r="R696" s="14">
        <f>CHOOSE(CONTROL!$C$42, 47.2352, 47.2352) * CHOOSE(CONTROL!$C$21, $C$9, 100%, $E$9)</f>
        <v>47.235199999999999</v>
      </c>
      <c r="S696" s="14">
        <f>CHOOSE(CONTROL!$C$42, 44.9497, 44.9497) * CHOOSE(CONTROL!$C$21, $C$9, 100%, $E$9)</f>
        <v>44.9497</v>
      </c>
      <c r="T6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7">
        <f>(1000*CHOOSE(CONTROL!$C$42, 695, 695)*CHOOSE(CONTROL!$C$42, 0.5599, 0.5599)*CHOOSE(CONTROL!$C$42, 31, 31))/1000000</f>
        <v>12.063045499999998</v>
      </c>
      <c r="V696" s="57">
        <f>(1000*CHOOSE(CONTROL!$C$42, 500, 500)*CHOOSE(CONTROL!$C$42, 0.275, 0.275)*CHOOSE(CONTROL!$C$42, 31, 31))/1000000</f>
        <v>4.2625000000000002</v>
      </c>
      <c r="W696" s="57">
        <f>(1000*CHOOSE(CONTROL!$C$42, 0.1146, 0.1146)*CHOOSE(CONTROL!$C$42, 121.5, 121.5)*CHOOSE(CONTROL!$C$42, 31, 31))/1000000</f>
        <v>0.43164089999999994</v>
      </c>
      <c r="X696" s="57">
        <f>(31*0.1790888*100000/1000000)+(31*0.2374*100000/1000000)</f>
        <v>1.2911152800000001</v>
      </c>
      <c r="Y696" s="57"/>
      <c r="Z696" s="14"/>
      <c r="AA696" s="56"/>
      <c r="AB696" s="50">
        <f>(B696*122.58+C696*297.941+D696*89.177+E696*40.302+F696*40+G696*160+H696*0+I696*100+J696*300)/(122.58+297.941+89.177+40.302+0+40+160+100+300)</f>
        <v>46.820676071304348</v>
      </c>
      <c r="AC696" s="45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45.909746762589933</v>
      </c>
    </row>
    <row r="697" spans="1:29" ht="15.75" x14ac:dyDescent="0.25">
      <c r="A697" s="32">
        <v>62124</v>
      </c>
      <c r="B697" s="14">
        <f>CHOOSE(CONTROL!$C$42, 50.6656, 50.6656) * CHOOSE(CONTROL!$C$21, $C$9, 100%, $E$9)</f>
        <v>50.665599999999998</v>
      </c>
      <c r="C697" s="14">
        <f>CHOOSE(CONTROL!$C$42, 50.6706, 50.6706) * CHOOSE(CONTROL!$C$21, $C$9, 100%, $E$9)</f>
        <v>50.6706</v>
      </c>
      <c r="D697" s="14">
        <f>CHOOSE(CONTROL!$C$42, 50.7474, 50.7474) * CHOOSE(CONTROL!$C$21, $C$9, 100%, $E$9)</f>
        <v>50.747399999999999</v>
      </c>
      <c r="E697" s="14">
        <f>CHOOSE(CONTROL!$C$42, 50.7815, 50.7815) * CHOOSE(CONTROL!$C$21, $C$9, 100%, $E$9)</f>
        <v>50.781500000000001</v>
      </c>
      <c r="F697" s="14">
        <f>CHOOSE(CONTROL!$C$42, 50.6658, 50.6658)*CHOOSE(CONTROL!$C$21, $C$9, 100%, $E$9)</f>
        <v>50.665799999999997</v>
      </c>
      <c r="G697" s="14">
        <f>CHOOSE(CONTROL!$C$42, 50.682, 50.682)*CHOOSE(CONTROL!$C$21, $C$9, 100%, $E$9)</f>
        <v>50.682000000000002</v>
      </c>
      <c r="H697" s="14">
        <f>CHOOSE(CONTROL!$C$42, 50.7707, 50.7707) * CHOOSE(CONTROL!$C$21, $C$9, 100%, $E$9)</f>
        <v>50.770699999999998</v>
      </c>
      <c r="I697" s="14">
        <f>CHOOSE(CONTROL!$C$42, 50.8423, 50.8423)* CHOOSE(CONTROL!$C$21, $C$9, 100%, $E$9)</f>
        <v>50.842300000000002</v>
      </c>
      <c r="J697" s="14">
        <f>CHOOSE(CONTROL!$C$42, 50.6588, 50.6588)* CHOOSE(CONTROL!$C$21, $C$9, 100%, $E$9)</f>
        <v>50.658799999999999</v>
      </c>
      <c r="K697" s="53">
        <f>CHOOSE(CONTROL!$C$42, 50.8384, 50.8384) * CHOOSE(CONTROL!$C$21, $C$9, 100%, $E$9)</f>
        <v>50.8384</v>
      </c>
      <c r="L697" s="14">
        <f>CHOOSE(CONTROL!$C$42, 51.3577, 51.3577) * CHOOSE(CONTROL!$C$21, $C$9, 100%, $E$9)</f>
        <v>51.357700000000001</v>
      </c>
      <c r="M697" s="14">
        <f>CHOOSE(CONTROL!$C$42, 49.6285, 49.6285) * CHOOSE(CONTROL!$C$21, $C$9, 100%, $E$9)</f>
        <v>49.628500000000003</v>
      </c>
      <c r="N697" s="14">
        <f>CHOOSE(CONTROL!$C$42, 49.6444, 49.6444) * CHOOSE(CONTROL!$C$21, $C$9, 100%, $E$9)</f>
        <v>49.644399999999997</v>
      </c>
      <c r="O697" s="14">
        <f>CHOOSE(CONTROL!$C$42, 49.7382, 49.7382) * CHOOSE(CONTROL!$C$21, $C$9, 100%, $E$9)</f>
        <v>49.738199999999999</v>
      </c>
      <c r="P697" s="14">
        <f>CHOOSE(CONTROL!$C$42, 49.8051, 49.8051) * CHOOSE(CONTROL!$C$21, $C$9, 100%, $E$9)</f>
        <v>49.805100000000003</v>
      </c>
      <c r="Q697" s="14">
        <f>CHOOSE(CONTROL!$C$42, 50.3329, 50.3329) * CHOOSE(CONTROL!$C$21, $C$9, 100%, $E$9)</f>
        <v>50.332900000000002</v>
      </c>
      <c r="R697" s="14">
        <f>CHOOSE(CONTROL!$C$42, 51.0457, 51.0457) * CHOOSE(CONTROL!$C$21, $C$9, 100%, $E$9)</f>
        <v>51.045699999999997</v>
      </c>
      <c r="S697" s="14">
        <f>CHOOSE(CONTROL!$C$42, 48.676, 48.676) * CHOOSE(CONTROL!$C$21, $C$9, 100%, $E$9)</f>
        <v>48.676000000000002</v>
      </c>
      <c r="T6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7">
        <f>(1000*CHOOSE(CONTROL!$C$42, 695, 695)*CHOOSE(CONTROL!$C$42, 0.5599, 0.5599)*CHOOSE(CONTROL!$C$42, 31, 31))/1000000</f>
        <v>12.063045499999998</v>
      </c>
      <c r="V697" s="57">
        <f>(1000*CHOOSE(CONTROL!$C$42, 500, 500)*CHOOSE(CONTROL!$C$42, 0.275, 0.275)*CHOOSE(CONTROL!$C$42, 31, 31))/1000000</f>
        <v>4.2625000000000002</v>
      </c>
      <c r="W697" s="57">
        <f>(1000*CHOOSE(CONTROL!$C$42, 0.1146, 0.1146)*CHOOSE(CONTROL!$C$42, 121.5, 121.5)*CHOOSE(CONTROL!$C$42, 31, 31))/1000000</f>
        <v>0.43164089999999994</v>
      </c>
      <c r="X697" s="57">
        <f>(31*0.1790888*100000/1000000)+(31*0.2374*100000/1000000)</f>
        <v>1.2911152800000001</v>
      </c>
      <c r="Y697" s="57"/>
      <c r="Z697" s="14"/>
      <c r="AA697" s="56"/>
      <c r="AB697" s="50">
        <f>(B697*122.58+C697*297.941+D697*89.177+E697*40.302+F697*40+G697*160+H697*0+I697*100+J697*300)/(122.58+297.941+89.177+40.302+0+40+160+100+300)</f>
        <v>50.693180335130435</v>
      </c>
      <c r="AC697" s="45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49.704545323741009</v>
      </c>
    </row>
    <row r="698" spans="1:29" ht="15.75" x14ac:dyDescent="0.25">
      <c r="A698" s="32">
        <v>62152</v>
      </c>
      <c r="B698" s="14">
        <f>CHOOSE(CONTROL!$C$42, 51.5673, 51.5673) * CHOOSE(CONTROL!$C$21, $C$9, 100%, $E$9)</f>
        <v>51.567300000000003</v>
      </c>
      <c r="C698" s="14">
        <f>CHOOSE(CONTROL!$C$42, 51.5724, 51.5724) * CHOOSE(CONTROL!$C$21, $C$9, 100%, $E$9)</f>
        <v>51.572400000000002</v>
      </c>
      <c r="D698" s="14">
        <f>CHOOSE(CONTROL!$C$42, 51.6492, 51.6492) * CHOOSE(CONTROL!$C$21, $C$9, 100%, $E$9)</f>
        <v>51.6492</v>
      </c>
      <c r="E698" s="14">
        <f>CHOOSE(CONTROL!$C$42, 51.6833, 51.6833) * CHOOSE(CONTROL!$C$21, $C$9, 100%, $E$9)</f>
        <v>51.683300000000003</v>
      </c>
      <c r="F698" s="14">
        <f>CHOOSE(CONTROL!$C$42, 51.5676, 51.5676)*CHOOSE(CONTROL!$C$21, $C$9, 100%, $E$9)</f>
        <v>51.567599999999999</v>
      </c>
      <c r="G698" s="14">
        <f>CHOOSE(CONTROL!$C$42, 51.5838, 51.5838)*CHOOSE(CONTROL!$C$21, $C$9, 100%, $E$9)</f>
        <v>51.583799999999997</v>
      </c>
      <c r="H698" s="14">
        <f>CHOOSE(CONTROL!$C$42, 51.6725, 51.6725) * CHOOSE(CONTROL!$C$21, $C$9, 100%, $E$9)</f>
        <v>51.672499999999999</v>
      </c>
      <c r="I698" s="14">
        <f>CHOOSE(CONTROL!$C$42, 51.7469, 51.7469)* CHOOSE(CONTROL!$C$21, $C$9, 100%, $E$9)</f>
        <v>51.746899999999997</v>
      </c>
      <c r="J698" s="14">
        <f>CHOOSE(CONTROL!$C$42, 51.5606, 51.5606)* CHOOSE(CONTROL!$C$21, $C$9, 100%, $E$9)</f>
        <v>51.560600000000001</v>
      </c>
      <c r="K698" s="53">
        <f>CHOOSE(CONTROL!$C$42, 51.743, 51.743) * CHOOSE(CONTROL!$C$21, $C$9, 100%, $E$9)</f>
        <v>51.743000000000002</v>
      </c>
      <c r="L698" s="14">
        <f>CHOOSE(CONTROL!$C$42, 52.2595, 52.2595) * CHOOSE(CONTROL!$C$21, $C$9, 100%, $E$9)</f>
        <v>52.259500000000003</v>
      </c>
      <c r="M698" s="14">
        <f>CHOOSE(CONTROL!$C$42, 50.5118, 50.5118) * CHOOSE(CONTROL!$C$21, $C$9, 100%, $E$9)</f>
        <v>50.511800000000001</v>
      </c>
      <c r="N698" s="14">
        <f>CHOOSE(CONTROL!$C$42, 50.5277, 50.5277) * CHOOSE(CONTROL!$C$21, $C$9, 100%, $E$9)</f>
        <v>50.527700000000003</v>
      </c>
      <c r="O698" s="14">
        <f>CHOOSE(CONTROL!$C$42, 50.6214, 50.6214) * CHOOSE(CONTROL!$C$21, $C$9, 100%, $E$9)</f>
        <v>50.621400000000001</v>
      </c>
      <c r="P698" s="14">
        <f>CHOOSE(CONTROL!$C$42, 50.6911, 50.6911) * CHOOSE(CONTROL!$C$21, $C$9, 100%, $E$9)</f>
        <v>50.691099999999999</v>
      </c>
      <c r="Q698" s="14">
        <f>CHOOSE(CONTROL!$C$42, 51.2161, 51.2161) * CHOOSE(CONTROL!$C$21, $C$9, 100%, $E$9)</f>
        <v>51.216099999999997</v>
      </c>
      <c r="R698" s="14">
        <f>CHOOSE(CONTROL!$C$42, 51.9312, 51.9312) * CHOOSE(CONTROL!$C$21, $C$9, 100%, $E$9)</f>
        <v>51.931199999999997</v>
      </c>
      <c r="S698" s="14">
        <f>CHOOSE(CONTROL!$C$42, 49.5425, 49.5425) * CHOOSE(CONTROL!$C$21, $C$9, 100%, $E$9)</f>
        <v>49.542499999999997</v>
      </c>
      <c r="T6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7">
        <f>(1000*CHOOSE(CONTROL!$C$42, 695, 695)*CHOOSE(CONTROL!$C$42, 0.5599, 0.5599)*CHOOSE(CONTROL!$C$42, 28, 28))/1000000</f>
        <v>10.895653999999999</v>
      </c>
      <c r="V698" s="57">
        <f>(1000*CHOOSE(CONTROL!$C$42, 500, 500)*CHOOSE(CONTROL!$C$42, 0.275, 0.275)*CHOOSE(CONTROL!$C$42, 28, 28))/1000000</f>
        <v>3.85</v>
      </c>
      <c r="W698" s="57">
        <f>(1000*CHOOSE(CONTROL!$C$42, 0.1146, 0.1146)*CHOOSE(CONTROL!$C$42, 121.5, 121.5)*CHOOSE(CONTROL!$C$42, 28, 28))/1000000</f>
        <v>0.38986920000000003</v>
      </c>
      <c r="X698" s="57">
        <f>(28*0.1790888*100000/1000000)+(28*0.2374*100000/1000000)</f>
        <v>1.16616864</v>
      </c>
      <c r="Y698" s="57"/>
      <c r="Z698" s="14"/>
      <c r="AA698" s="56"/>
      <c r="AB698" s="50">
        <f>(B698*122.58+C698*297.941+D698*89.177+E698*40.302+F698*40+G698*160+H698*0+I698*100+J698*300)/(122.58+297.941+89.177+40.302+0+40+160+100+300)</f>
        <v>51.595213154260868</v>
      </c>
      <c r="AC698" s="45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50.588188489208626</v>
      </c>
    </row>
    <row r="699" spans="1:29" ht="15.75" x14ac:dyDescent="0.25">
      <c r="A699" s="32">
        <v>62183</v>
      </c>
      <c r="B699" s="14">
        <f>CHOOSE(CONTROL!$C$42, 50.1035, 50.1035) * CHOOSE(CONTROL!$C$21, $C$9, 100%, $E$9)</f>
        <v>50.103499999999997</v>
      </c>
      <c r="C699" s="14">
        <f>CHOOSE(CONTROL!$C$42, 50.1086, 50.1086) * CHOOSE(CONTROL!$C$21, $C$9, 100%, $E$9)</f>
        <v>50.108600000000003</v>
      </c>
      <c r="D699" s="14">
        <f>CHOOSE(CONTROL!$C$42, 50.1854, 50.1854) * CHOOSE(CONTROL!$C$21, $C$9, 100%, $E$9)</f>
        <v>50.185400000000001</v>
      </c>
      <c r="E699" s="14">
        <f>CHOOSE(CONTROL!$C$42, 50.2195, 50.2195) * CHOOSE(CONTROL!$C$21, $C$9, 100%, $E$9)</f>
        <v>50.219499999999996</v>
      </c>
      <c r="F699" s="14">
        <f>CHOOSE(CONTROL!$C$42, 50.1033, 50.1033)*CHOOSE(CONTROL!$C$21, $C$9, 100%, $E$9)</f>
        <v>50.103299999999997</v>
      </c>
      <c r="G699" s="14">
        <f>CHOOSE(CONTROL!$C$42, 50.1194, 50.1194)*CHOOSE(CONTROL!$C$21, $C$9, 100%, $E$9)</f>
        <v>50.119399999999999</v>
      </c>
      <c r="H699" s="14">
        <f>CHOOSE(CONTROL!$C$42, 50.2087, 50.2087) * CHOOSE(CONTROL!$C$21, $C$9, 100%, $E$9)</f>
        <v>50.2087</v>
      </c>
      <c r="I699" s="14">
        <f>CHOOSE(CONTROL!$C$42, 50.2785, 50.2785)* CHOOSE(CONTROL!$C$21, $C$9, 100%, $E$9)</f>
        <v>50.278500000000001</v>
      </c>
      <c r="J699" s="14">
        <f>CHOOSE(CONTROL!$C$42, 50.0963, 50.0963)* CHOOSE(CONTROL!$C$21, $C$9, 100%, $E$9)</f>
        <v>50.096299999999999</v>
      </c>
      <c r="K699" s="53">
        <f>CHOOSE(CONTROL!$C$42, 50.2746, 50.2746) * CHOOSE(CONTROL!$C$21, $C$9, 100%, $E$9)</f>
        <v>50.2746</v>
      </c>
      <c r="L699" s="14">
        <f>CHOOSE(CONTROL!$C$42, 50.7957, 50.7957) * CHOOSE(CONTROL!$C$21, $C$9, 100%, $E$9)</f>
        <v>50.795699999999997</v>
      </c>
      <c r="M699" s="14">
        <f>CHOOSE(CONTROL!$C$42, 49.0776, 49.0776) * CHOOSE(CONTROL!$C$21, $C$9, 100%, $E$9)</f>
        <v>49.077599999999997</v>
      </c>
      <c r="N699" s="14">
        <f>CHOOSE(CONTROL!$C$42, 49.0934, 49.0934) * CHOOSE(CONTROL!$C$21, $C$9, 100%, $E$9)</f>
        <v>49.093400000000003</v>
      </c>
      <c r="O699" s="14">
        <f>CHOOSE(CONTROL!$C$42, 49.1877, 49.1877) * CHOOSE(CONTROL!$C$21, $C$9, 100%, $E$9)</f>
        <v>49.1877</v>
      </c>
      <c r="P699" s="14">
        <f>CHOOSE(CONTROL!$C$42, 49.253, 49.253) * CHOOSE(CONTROL!$C$21, $C$9, 100%, $E$9)</f>
        <v>49.253</v>
      </c>
      <c r="Q699" s="14">
        <f>CHOOSE(CONTROL!$C$42, 49.7824, 49.7824) * CHOOSE(CONTROL!$C$21, $C$9, 100%, $E$9)</f>
        <v>49.782400000000003</v>
      </c>
      <c r="R699" s="14">
        <f>CHOOSE(CONTROL!$C$42, 50.4938, 50.4938) * CHOOSE(CONTROL!$C$21, $C$9, 100%, $E$9)</f>
        <v>50.4938</v>
      </c>
      <c r="S699" s="14">
        <f>CHOOSE(CONTROL!$C$42, 48.136, 48.136) * CHOOSE(CONTROL!$C$21, $C$9, 100%, $E$9)</f>
        <v>48.136000000000003</v>
      </c>
      <c r="T6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7">
        <f>(1000*CHOOSE(CONTROL!$C$42, 695, 695)*CHOOSE(CONTROL!$C$42, 0.5599, 0.5599)*CHOOSE(CONTROL!$C$42, 31, 31))/1000000</f>
        <v>12.063045499999998</v>
      </c>
      <c r="V699" s="57">
        <f>(1000*CHOOSE(CONTROL!$C$42, 500, 500)*CHOOSE(CONTROL!$C$42, 0.275, 0.275)*CHOOSE(CONTROL!$C$42, 31, 31))/1000000</f>
        <v>4.2625000000000002</v>
      </c>
      <c r="W699" s="57">
        <f>(1000*CHOOSE(CONTROL!$C$42, 0.1146, 0.1146)*CHOOSE(CONTROL!$C$42, 121.5, 121.5)*CHOOSE(CONTROL!$C$42, 31, 31))/1000000</f>
        <v>0.43164089999999994</v>
      </c>
      <c r="X699" s="57">
        <f>(31*0.1790888*100000/1000000)+(31*0.2374*100000/1000000)</f>
        <v>1.2911152800000001</v>
      </c>
      <c r="Y699" s="57"/>
      <c r="Z699" s="14"/>
      <c r="AA699" s="56"/>
      <c r="AB699" s="50">
        <f>(B699*122.58+C699*297.941+D699*89.177+E699*40.302+F699*40+G699*160+H699*0+I699*100+J699*300)/(122.58+297.941+89.177+40.302+0+40+160+100+300)</f>
        <v>50.130781849913035</v>
      </c>
      <c r="AC699" s="45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49.153648201438855</v>
      </c>
    </row>
    <row r="700" spans="1:29" ht="15.75" x14ac:dyDescent="0.25">
      <c r="A700" s="32">
        <v>62213</v>
      </c>
      <c r="B700" s="14">
        <f>CHOOSE(CONTROL!$C$42, 49.9548, 49.9548) * CHOOSE(CONTROL!$C$21, $C$9, 100%, $E$9)</f>
        <v>49.954799999999999</v>
      </c>
      <c r="C700" s="14">
        <f>CHOOSE(CONTROL!$C$42, 49.9593, 49.9593) * CHOOSE(CONTROL!$C$21, $C$9, 100%, $E$9)</f>
        <v>49.959299999999999</v>
      </c>
      <c r="D700" s="14">
        <f>CHOOSE(CONTROL!$C$42, 50.196, 50.196) * CHOOSE(CONTROL!$C$21, $C$9, 100%, $E$9)</f>
        <v>50.195999999999998</v>
      </c>
      <c r="E700" s="14">
        <f>CHOOSE(CONTROL!$C$42, 50.2281, 50.2281) * CHOOSE(CONTROL!$C$21, $C$9, 100%, $E$9)</f>
        <v>50.228099999999998</v>
      </c>
      <c r="F700" s="14">
        <f>CHOOSE(CONTROL!$C$42, 49.9527, 49.9527)*CHOOSE(CONTROL!$C$21, $C$9, 100%, $E$9)</f>
        <v>49.9527</v>
      </c>
      <c r="G700" s="14">
        <f>CHOOSE(CONTROL!$C$42, 49.9686, 49.9686)*CHOOSE(CONTROL!$C$21, $C$9, 100%, $E$9)</f>
        <v>49.968600000000002</v>
      </c>
      <c r="H700" s="14">
        <f>CHOOSE(CONTROL!$C$42, 50.2179, 50.2179) * CHOOSE(CONTROL!$C$21, $C$9, 100%, $E$9)</f>
        <v>50.2179</v>
      </c>
      <c r="I700" s="14">
        <f>CHOOSE(CONTROL!$C$42, 50.1285, 50.1285)* CHOOSE(CONTROL!$C$21, $C$9, 100%, $E$9)</f>
        <v>50.128500000000003</v>
      </c>
      <c r="J700" s="14">
        <f>CHOOSE(CONTROL!$C$42, 49.9457, 49.9457)* CHOOSE(CONTROL!$C$21, $C$9, 100%, $E$9)</f>
        <v>49.945700000000002</v>
      </c>
      <c r="K700" s="53">
        <f>CHOOSE(CONTROL!$C$42, 50.1246, 50.1246) * CHOOSE(CONTROL!$C$21, $C$9, 100%, $E$9)</f>
        <v>50.124600000000001</v>
      </c>
      <c r="L700" s="14">
        <f>CHOOSE(CONTROL!$C$42, 50.8049, 50.8049) * CHOOSE(CONTROL!$C$21, $C$9, 100%, $E$9)</f>
        <v>50.804900000000004</v>
      </c>
      <c r="M700" s="14">
        <f>CHOOSE(CONTROL!$C$42, 48.9301, 48.9301) * CHOOSE(CONTROL!$C$21, $C$9, 100%, $E$9)</f>
        <v>48.930100000000003</v>
      </c>
      <c r="N700" s="14">
        <f>CHOOSE(CONTROL!$C$42, 48.9456, 48.9456) * CHOOSE(CONTROL!$C$21, $C$9, 100%, $E$9)</f>
        <v>48.945599999999999</v>
      </c>
      <c r="O700" s="14">
        <f>CHOOSE(CONTROL!$C$42, 49.1967, 49.1967) * CHOOSE(CONTROL!$C$21, $C$9, 100%, $E$9)</f>
        <v>49.1967</v>
      </c>
      <c r="P700" s="14">
        <f>CHOOSE(CONTROL!$C$42, 49.106, 49.106) * CHOOSE(CONTROL!$C$21, $C$9, 100%, $E$9)</f>
        <v>49.106000000000002</v>
      </c>
      <c r="Q700" s="14">
        <f>CHOOSE(CONTROL!$C$42, 49.7914, 49.7914) * CHOOSE(CONTROL!$C$21, $C$9, 100%, $E$9)</f>
        <v>49.791400000000003</v>
      </c>
      <c r="R700" s="14">
        <f>CHOOSE(CONTROL!$C$42, 50.5028, 50.5028) * CHOOSE(CONTROL!$C$21, $C$9, 100%, $E$9)</f>
        <v>50.502800000000001</v>
      </c>
      <c r="S700" s="14">
        <f>CHOOSE(CONTROL!$C$42, 47.9923, 47.9923) * CHOOSE(CONTROL!$C$21, $C$9, 100%, $E$9)</f>
        <v>47.9923</v>
      </c>
      <c r="T7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7">
        <f>(1000*CHOOSE(CONTROL!$C$42, 695, 695)*CHOOSE(CONTROL!$C$42, 0.5599, 0.5599)*CHOOSE(CONTROL!$C$42, 30, 30))/1000000</f>
        <v>11.673914999999997</v>
      </c>
      <c r="V700" s="57">
        <f>(1000*CHOOSE(CONTROL!$C$42, 500, 500)*CHOOSE(CONTROL!$C$42, 0.275, 0.275)*CHOOSE(CONTROL!$C$42, 30, 30))/1000000</f>
        <v>4.125</v>
      </c>
      <c r="W700" s="57">
        <f>(1000*CHOOSE(CONTROL!$C$42, 0.1146, 0.1146)*CHOOSE(CONTROL!$C$42, 121.5, 121.5)*CHOOSE(CONTROL!$C$42, 30, 30))/1000000</f>
        <v>0.417717</v>
      </c>
      <c r="X700" s="57">
        <f>(30*0.1790888*245000/1000000)+(30*0.2374*100000/1000000)</f>
        <v>2.0285026799999999</v>
      </c>
      <c r="Y700" s="57"/>
      <c r="Z700" s="14"/>
      <c r="AA700" s="56"/>
      <c r="AB700" s="50">
        <f>(B700*141.293+C700*267.993+D700*115.016+E700*89.698+F700*40+G700*185+H700*0+I700*100+J700*300)/(141.293+267.993+115.016+89.698+0+40+185+100+300)</f>
        <v>50.011758265617431</v>
      </c>
      <c r="AC700" s="45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49.077134532374103</v>
      </c>
    </row>
    <row r="701" spans="1:29" ht="15.75" x14ac:dyDescent="0.25">
      <c r="A701" s="32">
        <v>62244</v>
      </c>
      <c r="B701" s="14">
        <f>CHOOSE(CONTROL!$C$42, 50.397, 50.397) * CHOOSE(CONTROL!$C$21, $C$9, 100%, $E$9)</f>
        <v>50.396999999999998</v>
      </c>
      <c r="C701" s="14">
        <f>CHOOSE(CONTROL!$C$42, 50.405, 50.405) * CHOOSE(CONTROL!$C$21, $C$9, 100%, $E$9)</f>
        <v>50.405000000000001</v>
      </c>
      <c r="D701" s="14">
        <f>CHOOSE(CONTROL!$C$42, 50.6386, 50.6386) * CHOOSE(CONTROL!$C$21, $C$9, 100%, $E$9)</f>
        <v>50.638599999999997</v>
      </c>
      <c r="E701" s="14">
        <f>CHOOSE(CONTROL!$C$42, 50.6701, 50.6701) * CHOOSE(CONTROL!$C$21, $C$9, 100%, $E$9)</f>
        <v>50.670099999999998</v>
      </c>
      <c r="F701" s="14">
        <f>CHOOSE(CONTROL!$C$42, 50.3938, 50.3938)*CHOOSE(CONTROL!$C$21, $C$9, 100%, $E$9)</f>
        <v>50.393799999999999</v>
      </c>
      <c r="G701" s="14">
        <f>CHOOSE(CONTROL!$C$42, 50.4101, 50.4101)*CHOOSE(CONTROL!$C$21, $C$9, 100%, $E$9)</f>
        <v>50.4101</v>
      </c>
      <c r="H701" s="14">
        <f>CHOOSE(CONTROL!$C$42, 50.6587, 50.6587) * CHOOSE(CONTROL!$C$21, $C$9, 100%, $E$9)</f>
        <v>50.658700000000003</v>
      </c>
      <c r="I701" s="14">
        <f>CHOOSE(CONTROL!$C$42, 50.5707, 50.5707)* CHOOSE(CONTROL!$C$21, $C$9, 100%, $E$9)</f>
        <v>50.570700000000002</v>
      </c>
      <c r="J701" s="14">
        <f>CHOOSE(CONTROL!$C$42, 50.3868, 50.3868)* CHOOSE(CONTROL!$C$21, $C$9, 100%, $E$9)</f>
        <v>50.386800000000001</v>
      </c>
      <c r="K701" s="53">
        <f>CHOOSE(CONTROL!$C$42, 50.5668, 50.5668) * CHOOSE(CONTROL!$C$21, $C$9, 100%, $E$9)</f>
        <v>50.566800000000001</v>
      </c>
      <c r="L701" s="14">
        <f>CHOOSE(CONTROL!$C$42, 51.2457, 51.2457) * CHOOSE(CONTROL!$C$21, $C$9, 100%, $E$9)</f>
        <v>51.245699999999999</v>
      </c>
      <c r="M701" s="14">
        <f>CHOOSE(CONTROL!$C$42, 49.3621, 49.3621) * CHOOSE(CONTROL!$C$21, $C$9, 100%, $E$9)</f>
        <v>49.362099999999998</v>
      </c>
      <c r="N701" s="14">
        <f>CHOOSE(CONTROL!$C$42, 49.3781, 49.3781) * CHOOSE(CONTROL!$C$21, $C$9, 100%, $E$9)</f>
        <v>49.378100000000003</v>
      </c>
      <c r="O701" s="14">
        <f>CHOOSE(CONTROL!$C$42, 49.6284, 49.6284) * CHOOSE(CONTROL!$C$21, $C$9, 100%, $E$9)</f>
        <v>49.628399999999999</v>
      </c>
      <c r="P701" s="14">
        <f>CHOOSE(CONTROL!$C$42, 49.5391, 49.5391) * CHOOSE(CONTROL!$C$21, $C$9, 100%, $E$9)</f>
        <v>49.539099999999998</v>
      </c>
      <c r="Q701" s="14">
        <f>CHOOSE(CONTROL!$C$42, 50.2231, 50.2231) * CHOOSE(CONTROL!$C$21, $C$9, 100%, $E$9)</f>
        <v>50.223100000000002</v>
      </c>
      <c r="R701" s="14">
        <f>CHOOSE(CONTROL!$C$42, 50.9357, 50.9357) * CHOOSE(CONTROL!$C$21, $C$9, 100%, $E$9)</f>
        <v>50.935699999999997</v>
      </c>
      <c r="S701" s="14">
        <f>CHOOSE(CONTROL!$C$42, 48.4158, 48.4158) * CHOOSE(CONTROL!$C$21, $C$9, 100%, $E$9)</f>
        <v>48.415799999999997</v>
      </c>
      <c r="T7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7">
        <f>(1000*CHOOSE(CONTROL!$C$42, 695, 695)*CHOOSE(CONTROL!$C$42, 0.5599, 0.5599)*CHOOSE(CONTROL!$C$42, 31, 31))/1000000</f>
        <v>12.063045499999998</v>
      </c>
      <c r="V701" s="57">
        <f>(1000*CHOOSE(CONTROL!$C$42, 500, 500)*CHOOSE(CONTROL!$C$42, 0.275, 0.275)*CHOOSE(CONTROL!$C$42, 31, 31))/1000000</f>
        <v>4.2625000000000002</v>
      </c>
      <c r="W701" s="57">
        <f>(1000*CHOOSE(CONTROL!$C$42, 0.1146, 0.1146)*CHOOSE(CONTROL!$C$42, 121.5, 121.5)*CHOOSE(CONTROL!$C$42, 31, 31))/1000000</f>
        <v>0.43164089999999994</v>
      </c>
      <c r="X701" s="57">
        <f>(31*0.1790888*245000/1000000)+(31*0.2374*100000/1000000)</f>
        <v>2.0961194359999999</v>
      </c>
      <c r="Y701" s="57"/>
      <c r="Z701" s="14"/>
      <c r="AA701" s="56"/>
      <c r="AB701" s="50">
        <f>(B701*194.205+C701*267.466+D701*133.845+E701*53.484+F701*40+G701*185+H701*0+I701*100+J701*300)/(194.205+267.466+133.845+53.484+0+40+185+100+300)</f>
        <v>50.448560957927796</v>
      </c>
      <c r="AC701" s="45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49.509185611510787</v>
      </c>
    </row>
    <row r="702" spans="1:29" ht="15.75" x14ac:dyDescent="0.25">
      <c r="A702" s="32">
        <v>62274</v>
      </c>
      <c r="B702" s="14">
        <f>CHOOSE(CONTROL!$C$42, 51.8262, 51.8262) * CHOOSE(CONTROL!$C$21, $C$9, 100%, $E$9)</f>
        <v>51.8262</v>
      </c>
      <c r="C702" s="14">
        <f>CHOOSE(CONTROL!$C$42, 51.8343, 51.8343) * CHOOSE(CONTROL!$C$21, $C$9, 100%, $E$9)</f>
        <v>51.834299999999999</v>
      </c>
      <c r="D702" s="14">
        <f>CHOOSE(CONTROL!$C$42, 52.0679, 52.0679) * CHOOSE(CONTROL!$C$21, $C$9, 100%, $E$9)</f>
        <v>52.067900000000002</v>
      </c>
      <c r="E702" s="14">
        <f>CHOOSE(CONTROL!$C$42, 52.0993, 52.0993) * CHOOSE(CONTROL!$C$21, $C$9, 100%, $E$9)</f>
        <v>52.099299999999999</v>
      </c>
      <c r="F702" s="14">
        <f>CHOOSE(CONTROL!$C$42, 51.8235, 51.8235)*CHOOSE(CONTROL!$C$21, $C$9, 100%, $E$9)</f>
        <v>51.823500000000003</v>
      </c>
      <c r="G702" s="14">
        <f>CHOOSE(CONTROL!$C$42, 51.84, 51.84)*CHOOSE(CONTROL!$C$21, $C$9, 100%, $E$9)</f>
        <v>51.84</v>
      </c>
      <c r="H702" s="14">
        <f>CHOOSE(CONTROL!$C$42, 52.0879, 52.0879) * CHOOSE(CONTROL!$C$21, $C$9, 100%, $E$9)</f>
        <v>52.087899999999998</v>
      </c>
      <c r="I702" s="14">
        <f>CHOOSE(CONTROL!$C$42, 52.0044, 52.0044)* CHOOSE(CONTROL!$C$21, $C$9, 100%, $E$9)</f>
        <v>52.004399999999997</v>
      </c>
      <c r="J702" s="14">
        <f>CHOOSE(CONTROL!$C$42, 51.8165, 51.8165)* CHOOSE(CONTROL!$C$21, $C$9, 100%, $E$9)</f>
        <v>51.816499999999998</v>
      </c>
      <c r="K702" s="53">
        <f>CHOOSE(CONTROL!$C$42, 52.0005, 52.0005) * CHOOSE(CONTROL!$C$21, $C$9, 100%, $E$9)</f>
        <v>52.000500000000002</v>
      </c>
      <c r="L702" s="14">
        <f>CHOOSE(CONTROL!$C$42, 52.6749, 52.6749) * CHOOSE(CONTROL!$C$21, $C$9, 100%, $E$9)</f>
        <v>52.674900000000001</v>
      </c>
      <c r="M702" s="14">
        <f>CHOOSE(CONTROL!$C$42, 50.7625, 50.7625) * CHOOSE(CONTROL!$C$21, $C$9, 100%, $E$9)</f>
        <v>50.762500000000003</v>
      </c>
      <c r="N702" s="14">
        <f>CHOOSE(CONTROL!$C$42, 50.7786, 50.7786) * CHOOSE(CONTROL!$C$21, $C$9, 100%, $E$9)</f>
        <v>50.778599999999997</v>
      </c>
      <c r="O702" s="14">
        <f>CHOOSE(CONTROL!$C$42, 51.0284, 51.0284) * CHOOSE(CONTROL!$C$21, $C$9, 100%, $E$9)</f>
        <v>51.028399999999998</v>
      </c>
      <c r="P702" s="14">
        <f>CHOOSE(CONTROL!$C$42, 50.9434, 50.9434) * CHOOSE(CONTROL!$C$21, $C$9, 100%, $E$9)</f>
        <v>50.943399999999997</v>
      </c>
      <c r="Q702" s="14">
        <f>CHOOSE(CONTROL!$C$42, 51.6231, 51.6231) * CHOOSE(CONTROL!$C$21, $C$9, 100%, $E$9)</f>
        <v>51.623100000000001</v>
      </c>
      <c r="R702" s="14">
        <f>CHOOSE(CONTROL!$C$42, 52.3392, 52.3392) * CHOOSE(CONTROL!$C$21, $C$9, 100%, $E$9)</f>
        <v>52.339199999999998</v>
      </c>
      <c r="S702" s="14">
        <f>CHOOSE(CONTROL!$C$42, 49.7892, 49.7892) * CHOOSE(CONTROL!$C$21, $C$9, 100%, $E$9)</f>
        <v>49.789200000000001</v>
      </c>
      <c r="T7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7">
        <f>(1000*CHOOSE(CONTROL!$C$42, 695, 695)*CHOOSE(CONTROL!$C$42, 0.5599, 0.5599)*CHOOSE(CONTROL!$C$42, 30, 30))/1000000</f>
        <v>11.673914999999997</v>
      </c>
      <c r="V702" s="57">
        <f>(1000*CHOOSE(CONTROL!$C$42, 500, 500)*CHOOSE(CONTROL!$C$42, 0.275, 0.275)*CHOOSE(CONTROL!$C$42, 30, 30))/1000000</f>
        <v>4.125</v>
      </c>
      <c r="W702" s="57">
        <f>(1000*CHOOSE(CONTROL!$C$42, 0.1146, 0.1146)*CHOOSE(CONTROL!$C$42, 121.5, 121.5)*CHOOSE(CONTROL!$C$42, 30, 30))/1000000</f>
        <v>0.417717</v>
      </c>
      <c r="X702" s="57">
        <f>(30*0.1790888*245000/1000000)+(30*0.2374*100000/1000000)</f>
        <v>2.0285026799999999</v>
      </c>
      <c r="Y702" s="57"/>
      <c r="Z702" s="14"/>
      <c r="AA702" s="56"/>
      <c r="AB702" s="50">
        <f>(B702*194.205+C702*267.466+D702*133.845+E702*53.484+F702*40+G702*185+H702*0+I702*100+J702*300)/(194.205+267.466+133.845+53.484+0+40+185+100+300)</f>
        <v>51.878380762558884</v>
      </c>
      <c r="AC702" s="45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50.909971223021586</v>
      </c>
    </row>
    <row r="703" spans="1:29" ht="15.75" x14ac:dyDescent="0.25">
      <c r="A703" s="32">
        <v>62305</v>
      </c>
      <c r="B703" s="14">
        <f>CHOOSE(CONTROL!$C$42, 50.8322, 50.8322) * CHOOSE(CONTROL!$C$21, $C$9, 100%, $E$9)</f>
        <v>50.8322</v>
      </c>
      <c r="C703" s="14">
        <f>CHOOSE(CONTROL!$C$42, 50.8402, 50.8402) * CHOOSE(CONTROL!$C$21, $C$9, 100%, $E$9)</f>
        <v>50.840200000000003</v>
      </c>
      <c r="D703" s="14">
        <f>CHOOSE(CONTROL!$C$42, 51.0738, 51.0738) * CHOOSE(CONTROL!$C$21, $C$9, 100%, $E$9)</f>
        <v>51.073799999999999</v>
      </c>
      <c r="E703" s="14">
        <f>CHOOSE(CONTROL!$C$42, 51.1053, 51.1053) * CHOOSE(CONTROL!$C$21, $C$9, 100%, $E$9)</f>
        <v>51.1053</v>
      </c>
      <c r="F703" s="14">
        <f>CHOOSE(CONTROL!$C$42, 50.83, 50.83)*CHOOSE(CONTROL!$C$21, $C$9, 100%, $E$9)</f>
        <v>50.83</v>
      </c>
      <c r="G703" s="14">
        <f>CHOOSE(CONTROL!$C$42, 50.8466, 50.8466)*CHOOSE(CONTROL!$C$21, $C$9, 100%, $E$9)</f>
        <v>50.846600000000002</v>
      </c>
      <c r="H703" s="14">
        <f>CHOOSE(CONTROL!$C$42, 51.0939, 51.0939) * CHOOSE(CONTROL!$C$21, $C$9, 100%, $E$9)</f>
        <v>51.093899999999998</v>
      </c>
      <c r="I703" s="14">
        <f>CHOOSE(CONTROL!$C$42, 51.0073, 51.0073)* CHOOSE(CONTROL!$C$21, $C$9, 100%, $E$9)</f>
        <v>51.007300000000001</v>
      </c>
      <c r="J703" s="14">
        <f>CHOOSE(CONTROL!$C$42, 50.823, 50.823)* CHOOSE(CONTROL!$C$21, $C$9, 100%, $E$9)</f>
        <v>50.823</v>
      </c>
      <c r="K703" s="53">
        <f>CHOOSE(CONTROL!$C$42, 51.0034, 51.0034) * CHOOSE(CONTROL!$C$21, $C$9, 100%, $E$9)</f>
        <v>51.003399999999999</v>
      </c>
      <c r="L703" s="14">
        <f>CHOOSE(CONTROL!$C$42, 51.6809, 51.6809) * CHOOSE(CONTROL!$C$21, $C$9, 100%, $E$9)</f>
        <v>51.680900000000001</v>
      </c>
      <c r="M703" s="14">
        <f>CHOOSE(CONTROL!$C$42, 49.7893, 49.7893) * CHOOSE(CONTROL!$C$21, $C$9, 100%, $E$9)</f>
        <v>49.789299999999997</v>
      </c>
      <c r="N703" s="14">
        <f>CHOOSE(CONTROL!$C$42, 49.8056, 49.8056) * CHOOSE(CONTROL!$C$21, $C$9, 100%, $E$9)</f>
        <v>49.805599999999998</v>
      </c>
      <c r="O703" s="14">
        <f>CHOOSE(CONTROL!$C$42, 50.0547, 50.0547) * CHOOSE(CONTROL!$C$21, $C$9, 100%, $E$9)</f>
        <v>50.054699999999997</v>
      </c>
      <c r="P703" s="14">
        <f>CHOOSE(CONTROL!$C$42, 49.9667, 49.9667) * CHOOSE(CONTROL!$C$21, $C$9, 100%, $E$9)</f>
        <v>49.966700000000003</v>
      </c>
      <c r="Q703" s="14">
        <f>CHOOSE(CONTROL!$C$42, 50.6494, 50.6494) * CHOOSE(CONTROL!$C$21, $C$9, 100%, $E$9)</f>
        <v>50.6494</v>
      </c>
      <c r="R703" s="14">
        <f>CHOOSE(CONTROL!$C$42, 51.363, 51.363) * CHOOSE(CONTROL!$C$21, $C$9, 100%, $E$9)</f>
        <v>51.363</v>
      </c>
      <c r="S703" s="14">
        <f>CHOOSE(CONTROL!$C$42, 48.834, 48.834) * CHOOSE(CONTROL!$C$21, $C$9, 100%, $E$9)</f>
        <v>48.834000000000003</v>
      </c>
      <c r="T7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7">
        <f>(1000*CHOOSE(CONTROL!$C$42, 695, 695)*CHOOSE(CONTROL!$C$42, 0.5599, 0.5599)*CHOOSE(CONTROL!$C$42, 31, 31))/1000000</f>
        <v>12.063045499999998</v>
      </c>
      <c r="V703" s="57">
        <f>(1000*CHOOSE(CONTROL!$C$42, 500, 500)*CHOOSE(CONTROL!$C$42, 0.275, 0.275)*CHOOSE(CONTROL!$C$42, 31, 31))/1000000</f>
        <v>4.2625000000000002</v>
      </c>
      <c r="W703" s="57">
        <f>(1000*CHOOSE(CONTROL!$C$42, 0.1146, 0.1146)*CHOOSE(CONTROL!$C$42, 121.5, 121.5)*CHOOSE(CONTROL!$C$42, 31, 31))/1000000</f>
        <v>0.43164089999999994</v>
      </c>
      <c r="X703" s="57">
        <f>(31*0.1790888*245000/1000000)+(31*0.2374*100000/1000000)</f>
        <v>2.0961194359999999</v>
      </c>
      <c r="Y703" s="57"/>
      <c r="Z703" s="14"/>
      <c r="AA703" s="56"/>
      <c r="AB703" s="50">
        <f>(B703*194.205+C703*267.466+D703*133.845+E703*53.484+F703*40+G703*185+H703*0+I703*100+J703*300)/(194.205+267.466+133.845+53.484+0+40+185+100+300)</f>
        <v>50.884326499529045</v>
      </c>
      <c r="AC703" s="45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49.936052517985608</v>
      </c>
    </row>
    <row r="704" spans="1:29" ht="15.75" x14ac:dyDescent="0.25">
      <c r="A704" s="32">
        <v>62336</v>
      </c>
      <c r="B704" s="14">
        <f>CHOOSE(CONTROL!$C$42, 48.3219, 48.3219) * CHOOSE(CONTROL!$C$21, $C$9, 100%, $E$9)</f>
        <v>48.321899999999999</v>
      </c>
      <c r="C704" s="14">
        <f>CHOOSE(CONTROL!$C$42, 48.33, 48.33) * CHOOSE(CONTROL!$C$21, $C$9, 100%, $E$9)</f>
        <v>48.33</v>
      </c>
      <c r="D704" s="14">
        <f>CHOOSE(CONTROL!$C$42, 48.5635, 48.5635) * CHOOSE(CONTROL!$C$21, $C$9, 100%, $E$9)</f>
        <v>48.563499999999998</v>
      </c>
      <c r="E704" s="14">
        <f>CHOOSE(CONTROL!$C$42, 48.595, 48.595) * CHOOSE(CONTROL!$C$21, $C$9, 100%, $E$9)</f>
        <v>48.594999999999999</v>
      </c>
      <c r="F704" s="14">
        <f>CHOOSE(CONTROL!$C$42, 48.3199, 48.3199)*CHOOSE(CONTROL!$C$21, $C$9, 100%, $E$9)</f>
        <v>48.319899999999997</v>
      </c>
      <c r="G704" s="14">
        <f>CHOOSE(CONTROL!$C$42, 48.3366, 48.3366)*CHOOSE(CONTROL!$C$21, $C$9, 100%, $E$9)</f>
        <v>48.336599999999997</v>
      </c>
      <c r="H704" s="14">
        <f>CHOOSE(CONTROL!$C$42, 48.5836, 48.5836) * CHOOSE(CONTROL!$C$21, $C$9, 100%, $E$9)</f>
        <v>48.583599999999997</v>
      </c>
      <c r="I704" s="14">
        <f>CHOOSE(CONTROL!$C$42, 48.4891, 48.4891)* CHOOSE(CONTROL!$C$21, $C$9, 100%, $E$9)</f>
        <v>48.489100000000001</v>
      </c>
      <c r="J704" s="14">
        <f>CHOOSE(CONTROL!$C$42, 48.3129, 48.3129)* CHOOSE(CONTROL!$C$21, $C$9, 100%, $E$9)</f>
        <v>48.312899999999999</v>
      </c>
      <c r="K704" s="53">
        <f>CHOOSE(CONTROL!$C$42, 48.4853, 48.4853) * CHOOSE(CONTROL!$C$21, $C$9, 100%, $E$9)</f>
        <v>48.485300000000002</v>
      </c>
      <c r="L704" s="14">
        <f>CHOOSE(CONTROL!$C$42, 49.1706, 49.1706) * CHOOSE(CONTROL!$C$21, $C$9, 100%, $E$9)</f>
        <v>49.1706</v>
      </c>
      <c r="M704" s="14">
        <f>CHOOSE(CONTROL!$C$42, 47.3307, 47.3307) * CHOOSE(CONTROL!$C$21, $C$9, 100%, $E$9)</f>
        <v>47.3307</v>
      </c>
      <c r="N704" s="14">
        <f>CHOOSE(CONTROL!$C$42, 47.347, 47.347) * CHOOSE(CONTROL!$C$21, $C$9, 100%, $E$9)</f>
        <v>47.347000000000001</v>
      </c>
      <c r="O704" s="14">
        <f>CHOOSE(CONTROL!$C$42, 47.5959, 47.5959) * CHOOSE(CONTROL!$C$21, $C$9, 100%, $E$9)</f>
        <v>47.5959</v>
      </c>
      <c r="P704" s="14">
        <f>CHOOSE(CONTROL!$C$42, 47.5004, 47.5004) * CHOOSE(CONTROL!$C$21, $C$9, 100%, $E$9)</f>
        <v>47.500399999999999</v>
      </c>
      <c r="Q704" s="14">
        <f>CHOOSE(CONTROL!$C$42, 48.1906, 48.1906) * CHOOSE(CONTROL!$C$21, $C$9, 100%, $E$9)</f>
        <v>48.190600000000003</v>
      </c>
      <c r="R704" s="14">
        <f>CHOOSE(CONTROL!$C$42, 48.8981, 48.8981) * CHOOSE(CONTROL!$C$21, $C$9, 100%, $E$9)</f>
        <v>48.898099999999999</v>
      </c>
      <c r="S704" s="14">
        <f>CHOOSE(CONTROL!$C$42, 46.4219, 46.4219) * CHOOSE(CONTROL!$C$21, $C$9, 100%, $E$9)</f>
        <v>46.421900000000001</v>
      </c>
      <c r="T7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7">
        <f>(1000*CHOOSE(CONTROL!$C$42, 695, 695)*CHOOSE(CONTROL!$C$42, 0.5599, 0.5599)*CHOOSE(CONTROL!$C$42, 31, 31))/1000000</f>
        <v>12.063045499999998</v>
      </c>
      <c r="V704" s="57">
        <f>(1000*CHOOSE(CONTROL!$C$42, 500, 500)*CHOOSE(CONTROL!$C$42, 0.275, 0.275)*CHOOSE(CONTROL!$C$42, 31, 31))/1000000</f>
        <v>4.2625000000000002</v>
      </c>
      <c r="W704" s="57">
        <f>(1000*CHOOSE(CONTROL!$C$42, 0.1146, 0.1146)*CHOOSE(CONTROL!$C$42, 121.5, 121.5)*CHOOSE(CONTROL!$C$42, 31, 31))/1000000</f>
        <v>0.43164089999999994</v>
      </c>
      <c r="X704" s="57">
        <f>(31*0.1790888*245000/1000000)+(31*0.2374*100000/1000000)</f>
        <v>2.0961194359999999</v>
      </c>
      <c r="Y704" s="57"/>
      <c r="Z704" s="14"/>
      <c r="AA704" s="56"/>
      <c r="AB704" s="50">
        <f>(B704*194.205+C704*267.466+D704*133.845+E704*53.484+F704*40+G704*185+H704*0+I704*100+J704*300)/(194.205+267.466+133.845+53.484+0+40+185+100+300)</f>
        <v>48.373524338304556</v>
      </c>
      <c r="AC704" s="45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47.476253956834533</v>
      </c>
    </row>
    <row r="705" spans="1:29" ht="15.75" x14ac:dyDescent="0.25">
      <c r="A705" s="32">
        <v>62366</v>
      </c>
      <c r="B705" s="14">
        <f>CHOOSE(CONTROL!$C$42, 45.2544, 45.2544) * CHOOSE(CONTROL!$C$21, $C$9, 100%, $E$9)</f>
        <v>45.254399999999997</v>
      </c>
      <c r="C705" s="14">
        <f>CHOOSE(CONTROL!$C$42, 45.2624, 45.2624) * CHOOSE(CONTROL!$C$21, $C$9, 100%, $E$9)</f>
        <v>45.2624</v>
      </c>
      <c r="D705" s="14">
        <f>CHOOSE(CONTROL!$C$42, 45.496, 45.496) * CHOOSE(CONTROL!$C$21, $C$9, 100%, $E$9)</f>
        <v>45.496000000000002</v>
      </c>
      <c r="E705" s="14">
        <f>CHOOSE(CONTROL!$C$42, 45.5275, 45.5275) * CHOOSE(CONTROL!$C$21, $C$9, 100%, $E$9)</f>
        <v>45.527500000000003</v>
      </c>
      <c r="F705" s="14">
        <f>CHOOSE(CONTROL!$C$42, 45.2524, 45.2524)*CHOOSE(CONTROL!$C$21, $C$9, 100%, $E$9)</f>
        <v>45.252400000000002</v>
      </c>
      <c r="G705" s="14">
        <f>CHOOSE(CONTROL!$C$42, 45.2691, 45.2691)*CHOOSE(CONTROL!$C$21, $C$9, 100%, $E$9)</f>
        <v>45.269100000000002</v>
      </c>
      <c r="H705" s="14">
        <f>CHOOSE(CONTROL!$C$42, 45.5161, 45.5161) * CHOOSE(CONTROL!$C$21, $C$9, 100%, $E$9)</f>
        <v>45.516100000000002</v>
      </c>
      <c r="I705" s="14">
        <f>CHOOSE(CONTROL!$C$42, 45.412, 45.412)* CHOOSE(CONTROL!$C$21, $C$9, 100%, $E$9)</f>
        <v>45.411999999999999</v>
      </c>
      <c r="J705" s="14">
        <f>CHOOSE(CONTROL!$C$42, 45.2454, 45.2454)* CHOOSE(CONTROL!$C$21, $C$9, 100%, $E$9)</f>
        <v>45.245399999999997</v>
      </c>
      <c r="K705" s="53">
        <f>CHOOSE(CONTROL!$C$42, 45.4081, 45.4081) * CHOOSE(CONTROL!$C$21, $C$9, 100%, $E$9)</f>
        <v>45.408099999999997</v>
      </c>
      <c r="L705" s="14">
        <f>CHOOSE(CONTROL!$C$42, 46.1031, 46.1031) * CHOOSE(CONTROL!$C$21, $C$9, 100%, $E$9)</f>
        <v>46.103099999999998</v>
      </c>
      <c r="M705" s="14">
        <f>CHOOSE(CONTROL!$C$42, 44.3261, 44.3261) * CHOOSE(CONTROL!$C$21, $C$9, 100%, $E$9)</f>
        <v>44.326099999999997</v>
      </c>
      <c r="N705" s="14">
        <f>CHOOSE(CONTROL!$C$42, 44.3424, 44.3424) * CHOOSE(CONTROL!$C$21, $C$9, 100%, $E$9)</f>
        <v>44.342399999999998</v>
      </c>
      <c r="O705" s="14">
        <f>CHOOSE(CONTROL!$C$42, 44.5912, 44.5912) * CHOOSE(CONTROL!$C$21, $C$9, 100%, $E$9)</f>
        <v>44.591200000000001</v>
      </c>
      <c r="P705" s="14">
        <f>CHOOSE(CONTROL!$C$42, 44.4865, 44.4865) * CHOOSE(CONTROL!$C$21, $C$9, 100%, $E$9)</f>
        <v>44.486499999999999</v>
      </c>
      <c r="Q705" s="14">
        <f>CHOOSE(CONTROL!$C$42, 45.1859, 45.1859) * CHOOSE(CONTROL!$C$21, $C$9, 100%, $E$9)</f>
        <v>45.185899999999997</v>
      </c>
      <c r="R705" s="14">
        <f>CHOOSE(CONTROL!$C$42, 45.8859, 45.8859) * CHOOSE(CONTROL!$C$21, $C$9, 100%, $E$9)</f>
        <v>45.885899999999999</v>
      </c>
      <c r="S705" s="14">
        <f>CHOOSE(CONTROL!$C$42, 43.4743, 43.4743) * CHOOSE(CONTROL!$C$21, $C$9, 100%, $E$9)</f>
        <v>43.474299999999999</v>
      </c>
      <c r="T7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7">
        <f>(1000*CHOOSE(CONTROL!$C$42, 695, 695)*CHOOSE(CONTROL!$C$42, 0.5599, 0.5599)*CHOOSE(CONTROL!$C$42, 30, 30))/1000000</f>
        <v>11.673914999999997</v>
      </c>
      <c r="V705" s="57">
        <f>(1000*CHOOSE(CONTROL!$C$42, 500, 500)*CHOOSE(CONTROL!$C$42, 0.275, 0.275)*CHOOSE(CONTROL!$C$42, 30, 30))/1000000</f>
        <v>4.125</v>
      </c>
      <c r="W705" s="57">
        <f>(1000*CHOOSE(CONTROL!$C$42, 0.1146, 0.1146)*CHOOSE(CONTROL!$C$42, 121.5, 121.5)*CHOOSE(CONTROL!$C$42, 30, 30))/1000000</f>
        <v>0.417717</v>
      </c>
      <c r="X705" s="57">
        <f>(30*0.1790888*245000/1000000)+(30*0.2374*100000/1000000)</f>
        <v>2.0285026799999999</v>
      </c>
      <c r="Y705" s="57"/>
      <c r="Z705" s="14"/>
      <c r="AA705" s="56"/>
      <c r="AB705" s="50">
        <f>(B705*194.205+C705*267.466+D705*133.845+E705*53.484+F705*40+G705*185+H705*0+I705*100+J705*300)/(194.205+267.466+133.845+53.484+0+40+185+100+300)</f>
        <v>45.305249811930921</v>
      </c>
      <c r="AC705" s="45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44.470270503597128</v>
      </c>
    </row>
    <row r="706" spans="1:29" ht="15.75" x14ac:dyDescent="0.25">
      <c r="A706" s="32">
        <v>62397</v>
      </c>
      <c r="B706" s="14">
        <f>CHOOSE(CONTROL!$C$42, 44.334, 44.334) * CHOOSE(CONTROL!$C$21, $C$9, 100%, $E$9)</f>
        <v>44.334000000000003</v>
      </c>
      <c r="C706" s="14">
        <f>CHOOSE(CONTROL!$C$42, 44.3394, 44.3394) * CHOOSE(CONTROL!$C$21, $C$9, 100%, $E$9)</f>
        <v>44.339399999999998</v>
      </c>
      <c r="D706" s="14">
        <f>CHOOSE(CONTROL!$C$42, 44.5779, 44.5779) * CHOOSE(CONTROL!$C$21, $C$9, 100%, $E$9)</f>
        <v>44.5779</v>
      </c>
      <c r="E706" s="14">
        <f>CHOOSE(CONTROL!$C$42, 44.607, 44.607) * CHOOSE(CONTROL!$C$21, $C$9, 100%, $E$9)</f>
        <v>44.606999999999999</v>
      </c>
      <c r="F706" s="14">
        <f>CHOOSE(CONTROL!$C$42, 44.3341, 44.3341)*CHOOSE(CONTROL!$C$21, $C$9, 100%, $E$9)</f>
        <v>44.334099999999999</v>
      </c>
      <c r="G706" s="14">
        <f>CHOOSE(CONTROL!$C$42, 44.3503, 44.3503)*CHOOSE(CONTROL!$C$21, $C$9, 100%, $E$9)</f>
        <v>44.350299999999997</v>
      </c>
      <c r="H706" s="14">
        <f>CHOOSE(CONTROL!$C$42, 44.5975, 44.5975) * CHOOSE(CONTROL!$C$21, $C$9, 100%, $E$9)</f>
        <v>44.597499999999997</v>
      </c>
      <c r="I706" s="14">
        <f>CHOOSE(CONTROL!$C$42, 44.4905, 44.4905)* CHOOSE(CONTROL!$C$21, $C$9, 100%, $E$9)</f>
        <v>44.490499999999997</v>
      </c>
      <c r="J706" s="14">
        <f>CHOOSE(CONTROL!$C$42, 44.3271, 44.3271)* CHOOSE(CONTROL!$C$21, $C$9, 100%, $E$9)</f>
        <v>44.327100000000002</v>
      </c>
      <c r="K706" s="53">
        <f>CHOOSE(CONTROL!$C$42, 44.4866, 44.4866) * CHOOSE(CONTROL!$C$21, $C$9, 100%, $E$9)</f>
        <v>44.486600000000003</v>
      </c>
      <c r="L706" s="14">
        <f>CHOOSE(CONTROL!$C$42, 45.1845, 45.1845) * CHOOSE(CONTROL!$C$21, $C$9, 100%, $E$9)</f>
        <v>45.1845</v>
      </c>
      <c r="M706" s="14">
        <f>CHOOSE(CONTROL!$C$42, 43.4265, 43.4265) * CHOOSE(CONTROL!$C$21, $C$9, 100%, $E$9)</f>
        <v>43.426499999999997</v>
      </c>
      <c r="N706" s="14">
        <f>CHOOSE(CONTROL!$C$42, 43.4425, 43.4425) * CHOOSE(CONTROL!$C$21, $C$9, 100%, $E$9)</f>
        <v>43.442500000000003</v>
      </c>
      <c r="O706" s="14">
        <f>CHOOSE(CONTROL!$C$42, 43.6914, 43.6914) * CHOOSE(CONTROL!$C$21, $C$9, 100%, $E$9)</f>
        <v>43.691400000000002</v>
      </c>
      <c r="P706" s="14">
        <f>CHOOSE(CONTROL!$C$42, 43.5839, 43.5839) * CHOOSE(CONTROL!$C$21, $C$9, 100%, $E$9)</f>
        <v>43.5839</v>
      </c>
      <c r="Q706" s="14">
        <f>CHOOSE(CONTROL!$C$42, 44.2861, 44.2861) * CHOOSE(CONTROL!$C$21, $C$9, 100%, $E$9)</f>
        <v>44.286099999999998</v>
      </c>
      <c r="R706" s="14">
        <f>CHOOSE(CONTROL!$C$42, 44.9838, 44.9838) * CHOOSE(CONTROL!$C$21, $C$9, 100%, $E$9)</f>
        <v>44.983800000000002</v>
      </c>
      <c r="S706" s="14">
        <f>CHOOSE(CONTROL!$C$42, 42.5916, 42.5916) * CHOOSE(CONTROL!$C$21, $C$9, 100%, $E$9)</f>
        <v>42.5916</v>
      </c>
      <c r="T7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7">
        <f>(1000*CHOOSE(CONTROL!$C$42, 695, 695)*CHOOSE(CONTROL!$C$42, 0.5599, 0.5599)*CHOOSE(CONTROL!$C$42, 31, 31))/1000000</f>
        <v>12.063045499999998</v>
      </c>
      <c r="V706" s="57">
        <f>(1000*CHOOSE(CONTROL!$C$42, 500, 500)*CHOOSE(CONTROL!$C$42, 0.275, 0.275)*CHOOSE(CONTROL!$C$42, 31, 31))/1000000</f>
        <v>4.2625000000000002</v>
      </c>
      <c r="W706" s="57">
        <f>(1000*CHOOSE(CONTROL!$C$42, 0.1146, 0.1146)*CHOOSE(CONTROL!$C$42, 121.5, 121.5)*CHOOSE(CONTROL!$C$42, 31, 31))/1000000</f>
        <v>0.43164089999999994</v>
      </c>
      <c r="X706" s="57">
        <f>(31*0.1790888*245000/1000000)+(31*0.2374*100000/1000000)</f>
        <v>2.0961194359999999</v>
      </c>
      <c r="Y706" s="57"/>
      <c r="Z706" s="14"/>
      <c r="AA706" s="56"/>
      <c r="AB706" s="50">
        <f>(B706*131.881+C706*277.167+D706*79.08+E706*125.872+F706*40+G706*185+H706*0+I706*100+J706*300)/(131.881+277.167+79.08+125.872+0+40+185+100+300)</f>
        <v>44.391907078127524</v>
      </c>
      <c r="AC706" s="45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43.570130935251804</v>
      </c>
    </row>
    <row r="707" spans="1:29" ht="15.75" x14ac:dyDescent="0.25">
      <c r="A707" s="32">
        <v>62427</v>
      </c>
      <c r="B707" s="14">
        <f>CHOOSE(CONTROL!$C$42, 45.5013, 45.5013) * CHOOSE(CONTROL!$C$21, $C$9, 100%, $E$9)</f>
        <v>45.501300000000001</v>
      </c>
      <c r="C707" s="14">
        <f>CHOOSE(CONTROL!$C$42, 45.5064, 45.5064) * CHOOSE(CONTROL!$C$21, $C$9, 100%, $E$9)</f>
        <v>45.506399999999999</v>
      </c>
      <c r="D707" s="14">
        <f>CHOOSE(CONTROL!$C$42, 45.5806, 45.5806) * CHOOSE(CONTROL!$C$21, $C$9, 100%, $E$9)</f>
        <v>45.580599999999997</v>
      </c>
      <c r="E707" s="14">
        <f>CHOOSE(CONTROL!$C$42, 45.6147, 45.6147) * CHOOSE(CONTROL!$C$21, $C$9, 100%, $E$9)</f>
        <v>45.614699999999999</v>
      </c>
      <c r="F707" s="14">
        <f>CHOOSE(CONTROL!$C$42, 45.5134, 45.5134)*CHOOSE(CONTROL!$C$21, $C$9, 100%, $E$9)</f>
        <v>45.513399999999997</v>
      </c>
      <c r="G707" s="14">
        <f>CHOOSE(CONTROL!$C$42, 45.53, 45.53)*CHOOSE(CONTROL!$C$21, $C$9, 100%, $E$9)</f>
        <v>45.53</v>
      </c>
      <c r="H707" s="14">
        <f>CHOOSE(CONTROL!$C$42, 45.6039, 45.6039) * CHOOSE(CONTROL!$C$21, $C$9, 100%, $E$9)</f>
        <v>45.603900000000003</v>
      </c>
      <c r="I707" s="14">
        <f>CHOOSE(CONTROL!$C$42, 45.6681, 45.6681)* CHOOSE(CONTROL!$C$21, $C$9, 100%, $E$9)</f>
        <v>45.668100000000003</v>
      </c>
      <c r="J707" s="14">
        <f>CHOOSE(CONTROL!$C$42, 45.5064, 45.5064)* CHOOSE(CONTROL!$C$21, $C$9, 100%, $E$9)</f>
        <v>45.506399999999999</v>
      </c>
      <c r="K707" s="53">
        <f>CHOOSE(CONTROL!$C$42, 45.6643, 45.6643) * CHOOSE(CONTROL!$C$21, $C$9, 100%, $E$9)</f>
        <v>45.664299999999997</v>
      </c>
      <c r="L707" s="14">
        <f>CHOOSE(CONTROL!$C$42, 46.1909, 46.1909) * CHOOSE(CONTROL!$C$21, $C$9, 100%, $E$9)</f>
        <v>46.190899999999999</v>
      </c>
      <c r="M707" s="14">
        <f>CHOOSE(CONTROL!$C$42, 44.5817, 44.5817) * CHOOSE(CONTROL!$C$21, $C$9, 100%, $E$9)</f>
        <v>44.581699999999998</v>
      </c>
      <c r="N707" s="14">
        <f>CHOOSE(CONTROL!$C$42, 44.5979, 44.5979) * CHOOSE(CONTROL!$C$21, $C$9, 100%, $E$9)</f>
        <v>44.597900000000003</v>
      </c>
      <c r="O707" s="14">
        <f>CHOOSE(CONTROL!$C$42, 44.6772, 44.6772) * CHOOSE(CONTROL!$C$21, $C$9, 100%, $E$9)</f>
        <v>44.677199999999999</v>
      </c>
      <c r="P707" s="14">
        <f>CHOOSE(CONTROL!$C$42, 44.7373, 44.7373) * CHOOSE(CONTROL!$C$21, $C$9, 100%, $E$9)</f>
        <v>44.737299999999998</v>
      </c>
      <c r="Q707" s="14">
        <f>CHOOSE(CONTROL!$C$42, 45.2719, 45.2719) * CHOOSE(CONTROL!$C$21, $C$9, 100%, $E$9)</f>
        <v>45.271900000000002</v>
      </c>
      <c r="R707" s="14">
        <f>CHOOSE(CONTROL!$C$42, 45.9721, 45.9721) * CHOOSE(CONTROL!$C$21, $C$9, 100%, $E$9)</f>
        <v>45.972099999999998</v>
      </c>
      <c r="S707" s="14">
        <f>CHOOSE(CONTROL!$C$42, 43.7137, 43.7137) * CHOOSE(CONTROL!$C$21, $C$9, 100%, $E$9)</f>
        <v>43.713700000000003</v>
      </c>
      <c r="T7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7">
        <f>(1000*CHOOSE(CONTROL!$C$42, 695, 695)*CHOOSE(CONTROL!$C$42, 0.5599, 0.5599)*CHOOSE(CONTROL!$C$42, 30, 30))/1000000</f>
        <v>11.673914999999997</v>
      </c>
      <c r="V707" s="57">
        <f>(1000*CHOOSE(CONTROL!$C$42, 500, 500)*CHOOSE(CONTROL!$C$42, 0.275, 0.275)*CHOOSE(CONTROL!$C$42, 30, 30))/1000000</f>
        <v>4.125</v>
      </c>
      <c r="W707" s="57">
        <f>(1000*CHOOSE(CONTROL!$C$42, 0.1146, 0.1146)*CHOOSE(CONTROL!$C$42, 121.5, 121.5)*CHOOSE(CONTROL!$C$42, 30, 30))/1000000</f>
        <v>0.417717</v>
      </c>
      <c r="X707" s="57">
        <f>(30*0.1790888*100000/1000000)+(30*0.2374*100000/1000000)</f>
        <v>1.2494664</v>
      </c>
      <c r="Y707" s="57"/>
      <c r="Z707" s="14"/>
      <c r="AA707" s="56"/>
      <c r="AB707" s="50">
        <f>(B707*122.58+C707*297.941+D707*89.177+E707*40.302+F707*40+G707*160+H707*0+I707*100+J707*300)/(122.58+297.941+89.177+40.302+0+40+160+100+300)</f>
        <v>45.532993462608694</v>
      </c>
      <c r="AC707" s="45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44.648305035971227</v>
      </c>
    </row>
    <row r="708" spans="1:29" ht="15.75" x14ac:dyDescent="0.25">
      <c r="A708" s="32">
        <v>62458</v>
      </c>
      <c r="B708" s="14">
        <f>CHOOSE(CONTROL!$C$42, 48.6029, 48.6029) * CHOOSE(CONTROL!$C$21, $C$9, 100%, $E$9)</f>
        <v>48.602899999999998</v>
      </c>
      <c r="C708" s="14">
        <f>CHOOSE(CONTROL!$C$42, 48.608, 48.608) * CHOOSE(CONTROL!$C$21, $C$9, 100%, $E$9)</f>
        <v>48.607999999999997</v>
      </c>
      <c r="D708" s="14">
        <f>CHOOSE(CONTROL!$C$42, 48.6822, 48.6822) * CHOOSE(CONTROL!$C$21, $C$9, 100%, $E$9)</f>
        <v>48.682200000000002</v>
      </c>
      <c r="E708" s="14">
        <f>CHOOSE(CONTROL!$C$42, 48.7163, 48.7163) * CHOOSE(CONTROL!$C$21, $C$9, 100%, $E$9)</f>
        <v>48.716299999999997</v>
      </c>
      <c r="F708" s="14">
        <f>CHOOSE(CONTROL!$C$42, 48.6171, 48.6171)*CHOOSE(CONTROL!$C$21, $C$9, 100%, $E$9)</f>
        <v>48.617100000000001</v>
      </c>
      <c r="G708" s="14">
        <f>CHOOSE(CONTROL!$C$42, 48.6343, 48.6343)*CHOOSE(CONTROL!$C$21, $C$9, 100%, $E$9)</f>
        <v>48.634300000000003</v>
      </c>
      <c r="H708" s="14">
        <f>CHOOSE(CONTROL!$C$42, 48.7055, 48.7055) * CHOOSE(CONTROL!$C$21, $C$9, 100%, $E$9)</f>
        <v>48.705500000000001</v>
      </c>
      <c r="I708" s="14">
        <f>CHOOSE(CONTROL!$C$42, 48.7795, 48.7795)* CHOOSE(CONTROL!$C$21, $C$9, 100%, $E$9)</f>
        <v>48.779499999999999</v>
      </c>
      <c r="J708" s="14">
        <f>CHOOSE(CONTROL!$C$42, 48.6101, 48.6101)* CHOOSE(CONTROL!$C$21, $C$9, 100%, $E$9)</f>
        <v>48.610100000000003</v>
      </c>
      <c r="K708" s="53">
        <f>CHOOSE(CONTROL!$C$42, 48.7756, 48.7756) * CHOOSE(CONTROL!$C$21, $C$9, 100%, $E$9)</f>
        <v>48.775599999999997</v>
      </c>
      <c r="L708" s="14">
        <f>CHOOSE(CONTROL!$C$42, 49.2925, 49.2925) * CHOOSE(CONTROL!$C$21, $C$9, 100%, $E$9)</f>
        <v>49.292499999999997</v>
      </c>
      <c r="M708" s="14">
        <f>CHOOSE(CONTROL!$C$42, 47.6218, 47.6218) * CHOOSE(CONTROL!$C$21, $C$9, 100%, $E$9)</f>
        <v>47.6218</v>
      </c>
      <c r="N708" s="14">
        <f>CHOOSE(CONTROL!$C$42, 47.6387, 47.6387) * CHOOSE(CONTROL!$C$21, $C$9, 100%, $E$9)</f>
        <v>47.6387</v>
      </c>
      <c r="O708" s="14">
        <f>CHOOSE(CONTROL!$C$42, 47.7152, 47.7152) * CHOOSE(CONTROL!$C$21, $C$9, 100%, $E$9)</f>
        <v>47.715200000000003</v>
      </c>
      <c r="P708" s="14">
        <f>CHOOSE(CONTROL!$C$42, 47.7847, 47.7847) * CHOOSE(CONTROL!$C$21, $C$9, 100%, $E$9)</f>
        <v>47.784700000000001</v>
      </c>
      <c r="Q708" s="14">
        <f>CHOOSE(CONTROL!$C$42, 48.3099, 48.3099) * CHOOSE(CONTROL!$C$21, $C$9, 100%, $E$9)</f>
        <v>48.309899999999999</v>
      </c>
      <c r="R708" s="14">
        <f>CHOOSE(CONTROL!$C$42, 49.0177, 49.0177) * CHOOSE(CONTROL!$C$21, $C$9, 100%, $E$9)</f>
        <v>49.017699999999998</v>
      </c>
      <c r="S708" s="14">
        <f>CHOOSE(CONTROL!$C$42, 46.694, 46.694) * CHOOSE(CONTROL!$C$21, $C$9, 100%, $E$9)</f>
        <v>46.694000000000003</v>
      </c>
      <c r="T7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7">
        <f>(1000*CHOOSE(CONTROL!$C$42, 695, 695)*CHOOSE(CONTROL!$C$42, 0.5599, 0.5599)*CHOOSE(CONTROL!$C$42, 31, 31))/1000000</f>
        <v>12.063045499999998</v>
      </c>
      <c r="V708" s="57">
        <f>(1000*CHOOSE(CONTROL!$C$42, 500, 500)*CHOOSE(CONTROL!$C$42, 0.275, 0.275)*CHOOSE(CONTROL!$C$42, 31, 31))/1000000</f>
        <v>4.2625000000000002</v>
      </c>
      <c r="W708" s="57">
        <f>(1000*CHOOSE(CONTROL!$C$42, 0.1146, 0.1146)*CHOOSE(CONTROL!$C$42, 121.5, 121.5)*CHOOSE(CONTROL!$C$42, 31, 31))/1000000</f>
        <v>0.43164089999999994</v>
      </c>
      <c r="X708" s="57">
        <f>(31*0.1790888*100000/1000000)+(31*0.2374*100000/1000000)</f>
        <v>1.2911152800000001</v>
      </c>
      <c r="Y708" s="57"/>
      <c r="Z708" s="14"/>
      <c r="AA708" s="56"/>
      <c r="AB708" s="50">
        <f>(B708*122.58+C708*297.941+D708*89.177+E708*40.302+F708*40+G708*160+H708*0+I708*100+J708*300)/(122.58+297.941+89.177+40.302+0+40+160+100+300)</f>
        <v>48.636442158260863</v>
      </c>
      <c r="AC708" s="45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47.688543884892084</v>
      </c>
    </row>
    <row r="709" spans="1:29" ht="15.75" x14ac:dyDescent="0.25">
      <c r="A709" s="32">
        <v>62489</v>
      </c>
      <c r="B709" s="14">
        <f>CHOOSE(CONTROL!$C$42, 52.6313, 52.6313) * CHOOSE(CONTROL!$C$21, $C$9, 100%, $E$9)</f>
        <v>52.631300000000003</v>
      </c>
      <c r="C709" s="14">
        <f>CHOOSE(CONTROL!$C$42, 52.6364, 52.6364) * CHOOSE(CONTROL!$C$21, $C$9, 100%, $E$9)</f>
        <v>52.636400000000002</v>
      </c>
      <c r="D709" s="14">
        <f>CHOOSE(CONTROL!$C$42, 52.7132, 52.7132) * CHOOSE(CONTROL!$C$21, $C$9, 100%, $E$9)</f>
        <v>52.713200000000001</v>
      </c>
      <c r="E709" s="14">
        <f>CHOOSE(CONTROL!$C$42, 52.7473, 52.7473) * CHOOSE(CONTROL!$C$21, $C$9, 100%, $E$9)</f>
        <v>52.747300000000003</v>
      </c>
      <c r="F709" s="14">
        <f>CHOOSE(CONTROL!$C$42, 52.6315, 52.6315)*CHOOSE(CONTROL!$C$21, $C$9, 100%, $E$9)</f>
        <v>52.631500000000003</v>
      </c>
      <c r="G709" s="14">
        <f>CHOOSE(CONTROL!$C$42, 52.6477, 52.6477)*CHOOSE(CONTROL!$C$21, $C$9, 100%, $E$9)</f>
        <v>52.6477</v>
      </c>
      <c r="H709" s="14">
        <f>CHOOSE(CONTROL!$C$42, 52.7365, 52.7365) * CHOOSE(CONTROL!$C$21, $C$9, 100%, $E$9)</f>
        <v>52.736499999999999</v>
      </c>
      <c r="I709" s="14">
        <f>CHOOSE(CONTROL!$C$42, 52.8142, 52.8142)* CHOOSE(CONTROL!$C$21, $C$9, 100%, $E$9)</f>
        <v>52.8142</v>
      </c>
      <c r="J709" s="14">
        <f>CHOOSE(CONTROL!$C$42, 52.6245, 52.6245)* CHOOSE(CONTROL!$C$21, $C$9, 100%, $E$9)</f>
        <v>52.624499999999998</v>
      </c>
      <c r="K709" s="53">
        <f>CHOOSE(CONTROL!$C$42, 52.8103, 52.8103) * CHOOSE(CONTROL!$C$21, $C$9, 100%, $E$9)</f>
        <v>52.810299999999998</v>
      </c>
      <c r="L709" s="14">
        <f>CHOOSE(CONTROL!$C$42, 53.3235, 53.3235) * CHOOSE(CONTROL!$C$21, $C$9, 100%, $E$9)</f>
        <v>53.323500000000003</v>
      </c>
      <c r="M709" s="14">
        <f>CHOOSE(CONTROL!$C$42, 51.554, 51.554) * CHOOSE(CONTROL!$C$21, $C$9, 100%, $E$9)</f>
        <v>51.554000000000002</v>
      </c>
      <c r="N709" s="14">
        <f>CHOOSE(CONTROL!$C$42, 51.5699, 51.5699) * CHOOSE(CONTROL!$C$21, $C$9, 100%, $E$9)</f>
        <v>51.569899999999997</v>
      </c>
      <c r="O709" s="14">
        <f>CHOOSE(CONTROL!$C$42, 51.6637, 51.6637) * CHOOSE(CONTROL!$C$21, $C$9, 100%, $E$9)</f>
        <v>51.663699999999999</v>
      </c>
      <c r="P709" s="14">
        <f>CHOOSE(CONTROL!$C$42, 51.7365, 51.7365) * CHOOSE(CONTROL!$C$21, $C$9, 100%, $E$9)</f>
        <v>51.736499999999999</v>
      </c>
      <c r="Q709" s="14">
        <f>CHOOSE(CONTROL!$C$42, 52.2584, 52.2584) * CHOOSE(CONTROL!$C$21, $C$9, 100%, $E$9)</f>
        <v>52.258400000000002</v>
      </c>
      <c r="R709" s="14">
        <f>CHOOSE(CONTROL!$C$42, 52.976, 52.976) * CHOOSE(CONTROL!$C$21, $C$9, 100%, $E$9)</f>
        <v>52.975999999999999</v>
      </c>
      <c r="S709" s="14">
        <f>CHOOSE(CONTROL!$C$42, 50.5649, 50.5649) * CHOOSE(CONTROL!$C$21, $C$9, 100%, $E$9)</f>
        <v>50.564900000000002</v>
      </c>
      <c r="T7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7">
        <f>(1000*CHOOSE(CONTROL!$C$42, 695, 695)*CHOOSE(CONTROL!$C$42, 0.5599, 0.5599)*CHOOSE(CONTROL!$C$42, 31, 31))/1000000</f>
        <v>12.063045499999998</v>
      </c>
      <c r="V709" s="57">
        <f>(1000*CHOOSE(CONTROL!$C$42, 500, 500)*CHOOSE(CONTROL!$C$42, 0.275, 0.275)*CHOOSE(CONTROL!$C$42, 31, 31))/1000000</f>
        <v>4.2625000000000002</v>
      </c>
      <c r="W709" s="57">
        <f>(1000*CHOOSE(CONTROL!$C$42, 0.1146, 0.1146)*CHOOSE(CONTROL!$C$42, 121.5, 121.5)*CHOOSE(CONTROL!$C$42, 31, 31))/1000000</f>
        <v>0.43164089999999994</v>
      </c>
      <c r="X709" s="57">
        <f>(31*0.1790888*100000/1000000)+(31*0.2374*100000/1000000)</f>
        <v>1.2911152800000001</v>
      </c>
      <c r="Y709" s="57"/>
      <c r="Z709" s="14"/>
      <c r="AA709" s="56"/>
      <c r="AB709" s="50">
        <f>(B709*122.58+C709*297.941+D709*89.177+E709*40.302+F709*40+G709*160+H709*0+I709*100+J709*300)/(122.58+297.941+89.177+40.302+0+40+160+100+300)</f>
        <v>52.659456632521731</v>
      </c>
      <c r="AC709" s="45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51.630894244604313</v>
      </c>
    </row>
    <row r="710" spans="1:29" ht="15.75" x14ac:dyDescent="0.25">
      <c r="A710" s="32">
        <v>62517</v>
      </c>
      <c r="B710" s="14">
        <f>CHOOSE(CONTROL!$C$42, 53.5681, 53.5681) * CHOOSE(CONTROL!$C$21, $C$9, 100%, $E$9)</f>
        <v>53.568100000000001</v>
      </c>
      <c r="C710" s="14">
        <f>CHOOSE(CONTROL!$C$42, 53.5731, 53.5731) * CHOOSE(CONTROL!$C$21, $C$9, 100%, $E$9)</f>
        <v>53.573099999999997</v>
      </c>
      <c r="D710" s="14">
        <f>CHOOSE(CONTROL!$C$42, 53.6499, 53.6499) * CHOOSE(CONTROL!$C$21, $C$9, 100%, $E$9)</f>
        <v>53.649900000000002</v>
      </c>
      <c r="E710" s="14">
        <f>CHOOSE(CONTROL!$C$42, 53.6841, 53.6841) * CHOOSE(CONTROL!$C$21, $C$9, 100%, $E$9)</f>
        <v>53.684100000000001</v>
      </c>
      <c r="F710" s="14">
        <f>CHOOSE(CONTROL!$C$42, 53.5683, 53.5683)*CHOOSE(CONTROL!$C$21, $C$9, 100%, $E$9)</f>
        <v>53.568300000000001</v>
      </c>
      <c r="G710" s="14">
        <f>CHOOSE(CONTROL!$C$42, 53.5846, 53.5846)*CHOOSE(CONTROL!$C$21, $C$9, 100%, $E$9)</f>
        <v>53.584600000000002</v>
      </c>
      <c r="H710" s="14">
        <f>CHOOSE(CONTROL!$C$42, 53.6733, 53.6733) * CHOOSE(CONTROL!$C$21, $C$9, 100%, $E$9)</f>
        <v>53.673299999999998</v>
      </c>
      <c r="I710" s="14">
        <f>CHOOSE(CONTROL!$C$42, 53.7539, 53.7539)* CHOOSE(CONTROL!$C$21, $C$9, 100%, $E$9)</f>
        <v>53.753900000000002</v>
      </c>
      <c r="J710" s="14">
        <f>CHOOSE(CONTROL!$C$42, 53.5613, 53.5613)* CHOOSE(CONTROL!$C$21, $C$9, 100%, $E$9)</f>
        <v>53.561300000000003</v>
      </c>
      <c r="K710" s="53">
        <f>CHOOSE(CONTROL!$C$42, 53.75, 53.75) * CHOOSE(CONTROL!$C$21, $C$9, 100%, $E$9)</f>
        <v>53.75</v>
      </c>
      <c r="L710" s="14">
        <f>CHOOSE(CONTROL!$C$42, 54.2603, 54.2603) * CHOOSE(CONTROL!$C$21, $C$9, 100%, $E$9)</f>
        <v>54.260300000000001</v>
      </c>
      <c r="M710" s="14">
        <f>CHOOSE(CONTROL!$C$42, 52.4716, 52.4716) * CHOOSE(CONTROL!$C$21, $C$9, 100%, $E$9)</f>
        <v>52.471600000000002</v>
      </c>
      <c r="N710" s="14">
        <f>CHOOSE(CONTROL!$C$42, 52.4875, 52.4875) * CHOOSE(CONTROL!$C$21, $C$9, 100%, $E$9)</f>
        <v>52.487499999999997</v>
      </c>
      <c r="O710" s="14">
        <f>CHOOSE(CONTROL!$C$42, 52.5812, 52.5812) * CHOOSE(CONTROL!$C$21, $C$9, 100%, $E$9)</f>
        <v>52.581200000000003</v>
      </c>
      <c r="P710" s="14">
        <f>CHOOSE(CONTROL!$C$42, 52.6569, 52.6569) * CHOOSE(CONTROL!$C$21, $C$9, 100%, $E$9)</f>
        <v>52.6569</v>
      </c>
      <c r="Q710" s="14">
        <f>CHOOSE(CONTROL!$C$42, 53.1759, 53.1759) * CHOOSE(CONTROL!$C$21, $C$9, 100%, $E$9)</f>
        <v>53.175899999999999</v>
      </c>
      <c r="R710" s="14">
        <f>CHOOSE(CONTROL!$C$42, 53.8959, 53.8959) * CHOOSE(CONTROL!$C$21, $C$9, 100%, $E$9)</f>
        <v>53.895899999999997</v>
      </c>
      <c r="S710" s="14">
        <f>CHOOSE(CONTROL!$C$42, 51.465, 51.465) * CHOOSE(CONTROL!$C$21, $C$9, 100%, $E$9)</f>
        <v>51.465000000000003</v>
      </c>
      <c r="T7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7">
        <f>(1000*CHOOSE(CONTROL!$C$42, 695, 695)*CHOOSE(CONTROL!$C$42, 0.5599, 0.5599)*CHOOSE(CONTROL!$C$42, 28, 28))/1000000</f>
        <v>10.895653999999999</v>
      </c>
      <c r="V710" s="57">
        <f>(1000*CHOOSE(CONTROL!$C$42, 500, 500)*CHOOSE(CONTROL!$C$42, 0.275, 0.275)*CHOOSE(CONTROL!$C$42, 28, 28))/1000000</f>
        <v>3.85</v>
      </c>
      <c r="W710" s="57">
        <f>(1000*CHOOSE(CONTROL!$C$42, 0.1146, 0.1146)*CHOOSE(CONTROL!$C$42, 121.5, 121.5)*CHOOSE(CONTROL!$C$42, 28, 28))/1000000</f>
        <v>0.38986920000000003</v>
      </c>
      <c r="X710" s="57">
        <f>(28*0.1790888*100000/1000000)+(28*0.2374*100000/1000000)</f>
        <v>1.16616864</v>
      </c>
      <c r="Y710" s="57"/>
      <c r="Z710" s="14"/>
      <c r="AA710" s="56"/>
      <c r="AB710" s="50">
        <f>(B710*122.58+C710*297.941+D710*89.177+E710*40.302+F710*40+G710*160+H710*0+I710*100+J710*300)/(122.58+297.941+89.177+40.302+0+40+160+100+300)</f>
        <v>53.596489057043478</v>
      </c>
      <c r="AC710" s="45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52.548851798561159</v>
      </c>
    </row>
    <row r="711" spans="1:29" ht="15.75" x14ac:dyDescent="0.25">
      <c r="A711" s="32">
        <v>62548</v>
      </c>
      <c r="B711" s="14">
        <f>CHOOSE(CONTROL!$C$42, 52.0475, 52.0475) * CHOOSE(CONTROL!$C$21, $C$9, 100%, $E$9)</f>
        <v>52.047499999999999</v>
      </c>
      <c r="C711" s="14">
        <f>CHOOSE(CONTROL!$C$42, 52.0526, 52.0526) * CHOOSE(CONTROL!$C$21, $C$9, 100%, $E$9)</f>
        <v>52.052599999999998</v>
      </c>
      <c r="D711" s="14">
        <f>CHOOSE(CONTROL!$C$42, 52.1294, 52.1294) * CHOOSE(CONTROL!$C$21, $C$9, 100%, $E$9)</f>
        <v>52.129399999999997</v>
      </c>
      <c r="E711" s="14">
        <f>CHOOSE(CONTROL!$C$42, 52.1635, 52.1635) * CHOOSE(CONTROL!$C$21, $C$9, 100%, $E$9)</f>
        <v>52.163499999999999</v>
      </c>
      <c r="F711" s="14">
        <f>CHOOSE(CONTROL!$C$42, 52.0473, 52.0473)*CHOOSE(CONTROL!$C$21, $C$9, 100%, $E$9)</f>
        <v>52.0473</v>
      </c>
      <c r="G711" s="14">
        <f>CHOOSE(CONTROL!$C$42, 52.0634, 52.0634)*CHOOSE(CONTROL!$C$21, $C$9, 100%, $E$9)</f>
        <v>52.063400000000001</v>
      </c>
      <c r="H711" s="14">
        <f>CHOOSE(CONTROL!$C$42, 52.1527, 52.1527) * CHOOSE(CONTROL!$C$21, $C$9, 100%, $E$9)</f>
        <v>52.152700000000003</v>
      </c>
      <c r="I711" s="14">
        <f>CHOOSE(CONTROL!$C$42, 52.2286, 52.2286)* CHOOSE(CONTROL!$C$21, $C$9, 100%, $E$9)</f>
        <v>52.2286</v>
      </c>
      <c r="J711" s="14">
        <f>CHOOSE(CONTROL!$C$42, 52.0403, 52.0403)* CHOOSE(CONTROL!$C$21, $C$9, 100%, $E$9)</f>
        <v>52.040300000000002</v>
      </c>
      <c r="K711" s="53">
        <f>CHOOSE(CONTROL!$C$42, 52.2247, 52.2247) * CHOOSE(CONTROL!$C$21, $C$9, 100%, $E$9)</f>
        <v>52.224699999999999</v>
      </c>
      <c r="L711" s="14">
        <f>CHOOSE(CONTROL!$C$42, 52.7397, 52.7397) * CHOOSE(CONTROL!$C$21, $C$9, 100%, $E$9)</f>
        <v>52.739699999999999</v>
      </c>
      <c r="M711" s="14">
        <f>CHOOSE(CONTROL!$C$42, 50.9817, 50.9817) * CHOOSE(CONTROL!$C$21, $C$9, 100%, $E$9)</f>
        <v>50.981699999999996</v>
      </c>
      <c r="N711" s="14">
        <f>CHOOSE(CONTROL!$C$42, 50.9975, 50.9975) * CHOOSE(CONTROL!$C$21, $C$9, 100%, $E$9)</f>
        <v>50.997500000000002</v>
      </c>
      <c r="O711" s="14">
        <f>CHOOSE(CONTROL!$C$42, 51.0918, 51.0918) * CHOOSE(CONTROL!$C$21, $C$9, 100%, $E$9)</f>
        <v>51.091799999999999</v>
      </c>
      <c r="P711" s="14">
        <f>CHOOSE(CONTROL!$C$42, 51.1629, 51.1629) * CHOOSE(CONTROL!$C$21, $C$9, 100%, $E$9)</f>
        <v>51.1629</v>
      </c>
      <c r="Q711" s="14">
        <f>CHOOSE(CONTROL!$C$42, 51.6865, 51.6865) * CHOOSE(CONTROL!$C$21, $C$9, 100%, $E$9)</f>
        <v>51.686500000000002</v>
      </c>
      <c r="R711" s="14">
        <f>CHOOSE(CONTROL!$C$42, 52.4027, 52.4027) * CHOOSE(CONTROL!$C$21, $C$9, 100%, $E$9)</f>
        <v>52.402700000000003</v>
      </c>
      <c r="S711" s="14">
        <f>CHOOSE(CONTROL!$C$42, 50.0039, 50.0039) * CHOOSE(CONTROL!$C$21, $C$9, 100%, $E$9)</f>
        <v>50.003900000000002</v>
      </c>
      <c r="T7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7">
        <f>(1000*CHOOSE(CONTROL!$C$42, 695, 695)*CHOOSE(CONTROL!$C$42, 0.5599, 0.5599)*CHOOSE(CONTROL!$C$42, 31, 31))/1000000</f>
        <v>12.063045499999998</v>
      </c>
      <c r="V711" s="57">
        <f>(1000*CHOOSE(CONTROL!$C$42, 500, 500)*CHOOSE(CONTROL!$C$42, 0.275, 0.275)*CHOOSE(CONTROL!$C$42, 31, 31))/1000000</f>
        <v>4.2625000000000002</v>
      </c>
      <c r="W711" s="57">
        <f>(1000*CHOOSE(CONTROL!$C$42, 0.1146, 0.1146)*CHOOSE(CONTROL!$C$42, 121.5, 121.5)*CHOOSE(CONTROL!$C$42, 31, 31))/1000000</f>
        <v>0.43164089999999994</v>
      </c>
      <c r="X711" s="57">
        <f>(31*0.1790888*100000/1000000)+(31*0.2374*100000/1000000)</f>
        <v>1.2911152800000001</v>
      </c>
      <c r="Y711" s="57"/>
      <c r="Z711" s="14"/>
      <c r="AA711" s="56"/>
      <c r="AB711" s="50">
        <f>(B711*122.58+C711*297.941+D711*89.177+E711*40.302+F711*40+G711*160+H711*0+I711*100+J711*300)/(122.58+297.941+89.177+40.302+0+40+160+100+300)</f>
        <v>52.075312284695642</v>
      </c>
      <c r="AC711" s="45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51.058582733812948</v>
      </c>
    </row>
    <row r="712" spans="1:29" ht="15.75" x14ac:dyDescent="0.25">
      <c r="A712" s="32">
        <v>62578</v>
      </c>
      <c r="B712" s="14">
        <f>CHOOSE(CONTROL!$C$42, 51.8929, 51.8929) * CHOOSE(CONTROL!$C$21, $C$9, 100%, $E$9)</f>
        <v>51.892899999999997</v>
      </c>
      <c r="C712" s="14">
        <f>CHOOSE(CONTROL!$C$42, 51.8974, 51.8974) * CHOOSE(CONTROL!$C$21, $C$9, 100%, $E$9)</f>
        <v>51.897399999999998</v>
      </c>
      <c r="D712" s="14">
        <f>CHOOSE(CONTROL!$C$42, 52.1342, 52.1342) * CHOOSE(CONTROL!$C$21, $C$9, 100%, $E$9)</f>
        <v>52.1342</v>
      </c>
      <c r="E712" s="14">
        <f>CHOOSE(CONTROL!$C$42, 52.1663, 52.1663) * CHOOSE(CONTROL!$C$21, $C$9, 100%, $E$9)</f>
        <v>52.1663</v>
      </c>
      <c r="F712" s="14">
        <f>CHOOSE(CONTROL!$C$42, 51.8909, 51.8909)*CHOOSE(CONTROL!$C$21, $C$9, 100%, $E$9)</f>
        <v>51.890900000000002</v>
      </c>
      <c r="G712" s="14">
        <f>CHOOSE(CONTROL!$C$42, 51.9067, 51.9067)*CHOOSE(CONTROL!$C$21, $C$9, 100%, $E$9)</f>
        <v>51.906700000000001</v>
      </c>
      <c r="H712" s="14">
        <f>CHOOSE(CONTROL!$C$42, 52.156, 52.156) * CHOOSE(CONTROL!$C$21, $C$9, 100%, $E$9)</f>
        <v>52.155999999999999</v>
      </c>
      <c r="I712" s="14">
        <f>CHOOSE(CONTROL!$C$42, 52.0727, 52.0727)* CHOOSE(CONTROL!$C$21, $C$9, 100%, $E$9)</f>
        <v>52.072699999999998</v>
      </c>
      <c r="J712" s="14">
        <f>CHOOSE(CONTROL!$C$42, 51.8839, 51.8839)* CHOOSE(CONTROL!$C$21, $C$9, 100%, $E$9)</f>
        <v>51.883899999999997</v>
      </c>
      <c r="K712" s="53">
        <f>CHOOSE(CONTROL!$C$42, 52.0688, 52.0688) * CHOOSE(CONTROL!$C$21, $C$9, 100%, $E$9)</f>
        <v>52.068800000000003</v>
      </c>
      <c r="L712" s="14">
        <f>CHOOSE(CONTROL!$C$42, 52.743, 52.743) * CHOOSE(CONTROL!$C$21, $C$9, 100%, $E$9)</f>
        <v>52.743000000000002</v>
      </c>
      <c r="M712" s="14">
        <f>CHOOSE(CONTROL!$C$42, 50.8285, 50.8285) * CHOOSE(CONTROL!$C$21, $C$9, 100%, $E$9)</f>
        <v>50.828499999999998</v>
      </c>
      <c r="N712" s="14">
        <f>CHOOSE(CONTROL!$C$42, 50.844, 50.844) * CHOOSE(CONTROL!$C$21, $C$9, 100%, $E$9)</f>
        <v>50.844000000000001</v>
      </c>
      <c r="O712" s="14">
        <f>CHOOSE(CONTROL!$C$42, 51.0951, 51.0951) * CHOOSE(CONTROL!$C$21, $C$9, 100%, $E$9)</f>
        <v>51.095100000000002</v>
      </c>
      <c r="P712" s="14">
        <f>CHOOSE(CONTROL!$C$42, 51.0103, 51.0103) * CHOOSE(CONTROL!$C$21, $C$9, 100%, $E$9)</f>
        <v>51.010300000000001</v>
      </c>
      <c r="Q712" s="14">
        <f>CHOOSE(CONTROL!$C$42, 51.6898, 51.6898) * CHOOSE(CONTROL!$C$21, $C$9, 100%, $E$9)</f>
        <v>51.689799999999998</v>
      </c>
      <c r="R712" s="14">
        <f>CHOOSE(CONTROL!$C$42, 52.406, 52.406) * CHOOSE(CONTROL!$C$21, $C$9, 100%, $E$9)</f>
        <v>52.405999999999999</v>
      </c>
      <c r="S712" s="14">
        <f>CHOOSE(CONTROL!$C$42, 49.8546, 49.8546) * CHOOSE(CONTROL!$C$21, $C$9, 100%, $E$9)</f>
        <v>49.854599999999998</v>
      </c>
      <c r="T7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7">
        <f>(1000*CHOOSE(CONTROL!$C$42, 695, 695)*CHOOSE(CONTROL!$C$42, 0.5599, 0.5599)*CHOOSE(CONTROL!$C$42, 30, 30))/1000000</f>
        <v>11.673914999999997</v>
      </c>
      <c r="V712" s="57">
        <f>(1000*CHOOSE(CONTROL!$C$42, 500, 500)*CHOOSE(CONTROL!$C$42, 0.275, 0.275)*CHOOSE(CONTROL!$C$42, 30, 30))/1000000</f>
        <v>4.125</v>
      </c>
      <c r="W712" s="57">
        <f>(1000*CHOOSE(CONTROL!$C$42, 0.1146, 0.1146)*CHOOSE(CONTROL!$C$42, 121.5, 121.5)*CHOOSE(CONTROL!$C$42, 30, 30))/1000000</f>
        <v>0.417717</v>
      </c>
      <c r="X712" s="57">
        <f>(30*0.1790888*245000/1000000)+(30*0.2374*100000/1000000)</f>
        <v>2.0285026799999999</v>
      </c>
      <c r="Y712" s="57"/>
      <c r="Z712" s="14"/>
      <c r="AA712" s="56"/>
      <c r="AB712" s="50">
        <f>(B712*141.293+C712*267.993+D712*115.016+E712*89.698+F712*40+G712*185+H712*0+I712*100+J712*300)/(141.293+267.993+115.016+89.698+0+40+185+100+300)</f>
        <v>51.95039456214689</v>
      </c>
      <c r="AC712" s="45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50.976383453237403</v>
      </c>
    </row>
    <row r="713" spans="1:29" ht="15.75" x14ac:dyDescent="0.25">
      <c r="A713" s="32">
        <v>62609</v>
      </c>
      <c r="B713" s="14">
        <f>CHOOSE(CONTROL!$C$42, 52.3522, 52.3522) * CHOOSE(CONTROL!$C$21, $C$9, 100%, $E$9)</f>
        <v>52.352200000000003</v>
      </c>
      <c r="C713" s="14">
        <f>CHOOSE(CONTROL!$C$42, 52.3603, 52.3603) * CHOOSE(CONTROL!$C$21, $C$9, 100%, $E$9)</f>
        <v>52.360300000000002</v>
      </c>
      <c r="D713" s="14">
        <f>CHOOSE(CONTROL!$C$42, 52.5939, 52.5939) * CHOOSE(CONTROL!$C$21, $C$9, 100%, $E$9)</f>
        <v>52.593899999999998</v>
      </c>
      <c r="E713" s="14">
        <f>CHOOSE(CONTROL!$C$42, 52.6253, 52.6253) * CHOOSE(CONTROL!$C$21, $C$9, 100%, $E$9)</f>
        <v>52.625300000000003</v>
      </c>
      <c r="F713" s="14">
        <f>CHOOSE(CONTROL!$C$42, 52.349, 52.349)*CHOOSE(CONTROL!$C$21, $C$9, 100%, $E$9)</f>
        <v>52.348999999999997</v>
      </c>
      <c r="G713" s="14">
        <f>CHOOSE(CONTROL!$C$42, 52.3654, 52.3654)*CHOOSE(CONTROL!$C$21, $C$9, 100%, $E$9)</f>
        <v>52.365400000000001</v>
      </c>
      <c r="H713" s="14">
        <f>CHOOSE(CONTROL!$C$42, 52.614, 52.614) * CHOOSE(CONTROL!$C$21, $C$9, 100%, $E$9)</f>
        <v>52.613999999999997</v>
      </c>
      <c r="I713" s="14">
        <f>CHOOSE(CONTROL!$C$42, 52.5321, 52.5321)* CHOOSE(CONTROL!$C$21, $C$9, 100%, $E$9)</f>
        <v>52.5321</v>
      </c>
      <c r="J713" s="14">
        <f>CHOOSE(CONTROL!$C$42, 52.342, 52.342)* CHOOSE(CONTROL!$C$21, $C$9, 100%, $E$9)</f>
        <v>52.341999999999999</v>
      </c>
      <c r="K713" s="53">
        <f>CHOOSE(CONTROL!$C$42, 52.5282, 52.5282) * CHOOSE(CONTROL!$C$21, $C$9, 100%, $E$9)</f>
        <v>52.528199999999998</v>
      </c>
      <c r="L713" s="14">
        <f>CHOOSE(CONTROL!$C$42, 53.201, 53.201) * CHOOSE(CONTROL!$C$21, $C$9, 100%, $E$9)</f>
        <v>53.201000000000001</v>
      </c>
      <c r="M713" s="14">
        <f>CHOOSE(CONTROL!$C$42, 51.2773, 51.2773) * CHOOSE(CONTROL!$C$21, $C$9, 100%, $E$9)</f>
        <v>51.277299999999997</v>
      </c>
      <c r="N713" s="14">
        <f>CHOOSE(CONTROL!$C$42, 51.2933, 51.2933) * CHOOSE(CONTROL!$C$21, $C$9, 100%, $E$9)</f>
        <v>51.293300000000002</v>
      </c>
      <c r="O713" s="14">
        <f>CHOOSE(CONTROL!$C$42, 51.5436, 51.5436) * CHOOSE(CONTROL!$C$21, $C$9, 100%, $E$9)</f>
        <v>51.543599999999998</v>
      </c>
      <c r="P713" s="14">
        <f>CHOOSE(CONTROL!$C$42, 51.4602, 51.4602) * CHOOSE(CONTROL!$C$21, $C$9, 100%, $E$9)</f>
        <v>51.4602</v>
      </c>
      <c r="Q713" s="14">
        <f>CHOOSE(CONTROL!$C$42, 52.1383, 52.1383) * CHOOSE(CONTROL!$C$21, $C$9, 100%, $E$9)</f>
        <v>52.138300000000001</v>
      </c>
      <c r="R713" s="14">
        <f>CHOOSE(CONTROL!$C$42, 52.8557, 52.8557) * CHOOSE(CONTROL!$C$21, $C$9, 100%, $E$9)</f>
        <v>52.855699999999999</v>
      </c>
      <c r="S713" s="14">
        <f>CHOOSE(CONTROL!$C$42, 50.2946, 50.2946) * CHOOSE(CONTROL!$C$21, $C$9, 100%, $E$9)</f>
        <v>50.294600000000003</v>
      </c>
      <c r="T7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7">
        <f>(1000*CHOOSE(CONTROL!$C$42, 695, 695)*CHOOSE(CONTROL!$C$42, 0.5599, 0.5599)*CHOOSE(CONTROL!$C$42, 31, 31))/1000000</f>
        <v>12.063045499999998</v>
      </c>
      <c r="V713" s="57">
        <f>(1000*CHOOSE(CONTROL!$C$42, 500, 500)*CHOOSE(CONTROL!$C$42, 0.275, 0.275)*CHOOSE(CONTROL!$C$42, 31, 31))/1000000</f>
        <v>4.2625000000000002</v>
      </c>
      <c r="W713" s="57">
        <f>(1000*CHOOSE(CONTROL!$C$42, 0.1146, 0.1146)*CHOOSE(CONTROL!$C$42, 121.5, 121.5)*CHOOSE(CONTROL!$C$42, 31, 31))/1000000</f>
        <v>0.43164089999999994</v>
      </c>
      <c r="X713" s="57">
        <f>(31*0.1790888*245000/1000000)+(31*0.2374*100000/1000000)</f>
        <v>2.0961194359999999</v>
      </c>
      <c r="Y713" s="57"/>
      <c r="Z713" s="14"/>
      <c r="AA713" s="56"/>
      <c r="AB713" s="50">
        <f>(B713*194.205+C713*267.466+D713*133.845+E713*53.484+F713*40+G713*185+H713*0+I713*100+J713*300)/(194.205+267.466+133.845+53.484+0+40+185+100+300)</f>
        <v>52.404293635400315</v>
      </c>
      <c r="AC713" s="45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51.425234532374098</v>
      </c>
    </row>
    <row r="714" spans="1:29" ht="15.75" x14ac:dyDescent="0.25">
      <c r="A714" s="32">
        <v>62639</v>
      </c>
      <c r="B714" s="14">
        <f>CHOOSE(CONTROL!$C$42, 53.8369, 53.8369) * CHOOSE(CONTROL!$C$21, $C$9, 100%, $E$9)</f>
        <v>53.8369</v>
      </c>
      <c r="C714" s="14">
        <f>CHOOSE(CONTROL!$C$42, 53.845, 53.845) * CHOOSE(CONTROL!$C$21, $C$9, 100%, $E$9)</f>
        <v>53.844999999999999</v>
      </c>
      <c r="D714" s="14">
        <f>CHOOSE(CONTROL!$C$42, 54.0786, 54.0786) * CHOOSE(CONTROL!$C$21, $C$9, 100%, $E$9)</f>
        <v>54.078600000000002</v>
      </c>
      <c r="E714" s="14">
        <f>CHOOSE(CONTROL!$C$42, 54.11, 54.11) * CHOOSE(CONTROL!$C$21, $C$9, 100%, $E$9)</f>
        <v>54.11</v>
      </c>
      <c r="F714" s="14">
        <f>CHOOSE(CONTROL!$C$42, 53.8342, 53.8342)*CHOOSE(CONTROL!$C$21, $C$9, 100%, $E$9)</f>
        <v>53.834200000000003</v>
      </c>
      <c r="G714" s="14">
        <f>CHOOSE(CONTROL!$C$42, 53.8507, 53.8507)*CHOOSE(CONTROL!$C$21, $C$9, 100%, $E$9)</f>
        <v>53.850700000000003</v>
      </c>
      <c r="H714" s="14">
        <f>CHOOSE(CONTROL!$C$42, 54.0987, 54.0987) * CHOOSE(CONTROL!$C$21, $C$9, 100%, $E$9)</f>
        <v>54.098700000000001</v>
      </c>
      <c r="I714" s="14">
        <f>CHOOSE(CONTROL!$C$42, 54.0214, 54.0214)* CHOOSE(CONTROL!$C$21, $C$9, 100%, $E$9)</f>
        <v>54.0214</v>
      </c>
      <c r="J714" s="14">
        <f>CHOOSE(CONTROL!$C$42, 53.8272, 53.8272)* CHOOSE(CONTROL!$C$21, $C$9, 100%, $E$9)</f>
        <v>53.827199999999998</v>
      </c>
      <c r="K714" s="53">
        <f>CHOOSE(CONTROL!$C$42, 54.0175, 54.0175) * CHOOSE(CONTROL!$C$21, $C$9, 100%, $E$9)</f>
        <v>54.017499999999998</v>
      </c>
      <c r="L714" s="14">
        <f>CHOOSE(CONTROL!$C$42, 54.6857, 54.6857) * CHOOSE(CONTROL!$C$21, $C$9, 100%, $E$9)</f>
        <v>54.685699999999997</v>
      </c>
      <c r="M714" s="14">
        <f>CHOOSE(CONTROL!$C$42, 52.732, 52.732) * CHOOSE(CONTROL!$C$21, $C$9, 100%, $E$9)</f>
        <v>52.731999999999999</v>
      </c>
      <c r="N714" s="14">
        <f>CHOOSE(CONTROL!$C$42, 52.7481, 52.7481) * CHOOSE(CONTROL!$C$21, $C$9, 100%, $E$9)</f>
        <v>52.748100000000001</v>
      </c>
      <c r="O714" s="14">
        <f>CHOOSE(CONTROL!$C$42, 52.9979, 52.9979) * CHOOSE(CONTROL!$C$21, $C$9, 100%, $E$9)</f>
        <v>52.997900000000001</v>
      </c>
      <c r="P714" s="14">
        <f>CHOOSE(CONTROL!$C$42, 52.9189, 52.9189) * CHOOSE(CONTROL!$C$21, $C$9, 100%, $E$9)</f>
        <v>52.918900000000001</v>
      </c>
      <c r="Q714" s="14">
        <f>CHOOSE(CONTROL!$C$42, 53.5926, 53.5926) * CHOOSE(CONTROL!$C$21, $C$9, 100%, $E$9)</f>
        <v>53.592599999999997</v>
      </c>
      <c r="R714" s="14">
        <f>CHOOSE(CONTROL!$C$42, 54.3136, 54.3136) * CHOOSE(CONTROL!$C$21, $C$9, 100%, $E$9)</f>
        <v>54.313600000000001</v>
      </c>
      <c r="S714" s="14">
        <f>CHOOSE(CONTROL!$C$42, 51.7213, 51.7213) * CHOOSE(CONTROL!$C$21, $C$9, 100%, $E$9)</f>
        <v>51.721299999999999</v>
      </c>
      <c r="T7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7">
        <f>(1000*CHOOSE(CONTROL!$C$42, 695, 695)*CHOOSE(CONTROL!$C$42, 0.5599, 0.5599)*CHOOSE(CONTROL!$C$42, 30, 30))/1000000</f>
        <v>11.673914999999997</v>
      </c>
      <c r="V714" s="57">
        <f>(1000*CHOOSE(CONTROL!$C$42, 500, 500)*CHOOSE(CONTROL!$C$42, 0.275, 0.275)*CHOOSE(CONTROL!$C$42, 30, 30))/1000000</f>
        <v>4.125</v>
      </c>
      <c r="W714" s="57">
        <f>(1000*CHOOSE(CONTROL!$C$42, 0.1146, 0.1146)*CHOOSE(CONTROL!$C$42, 121.5, 121.5)*CHOOSE(CONTROL!$C$42, 30, 30))/1000000</f>
        <v>0.417717</v>
      </c>
      <c r="X714" s="57">
        <f>(30*0.1790888*245000/1000000)+(30*0.2374*100000/1000000)</f>
        <v>2.0285026799999999</v>
      </c>
      <c r="Y714" s="57"/>
      <c r="Z714" s="14"/>
      <c r="AA714" s="56"/>
      <c r="AB714" s="50">
        <f>(B714*194.205+C714*267.466+D714*133.845+E714*53.484+F714*40+G714*185+H714*0+I714*100+J714*300)/(194.205+267.466+133.845+53.484+0+40+185+100+300)</f>
        <v>53.889575268053377</v>
      </c>
      <c r="AC714" s="45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52.880334532374107</v>
      </c>
    </row>
    <row r="715" spans="1:29" ht="15.75" x14ac:dyDescent="0.25">
      <c r="A715" s="32">
        <v>62670</v>
      </c>
      <c r="B715" s="14">
        <f>CHOOSE(CONTROL!$C$42, 52.8043, 52.8043) * CHOOSE(CONTROL!$C$21, $C$9, 100%, $E$9)</f>
        <v>52.804299999999998</v>
      </c>
      <c r="C715" s="14">
        <f>CHOOSE(CONTROL!$C$42, 52.8124, 52.8124) * CHOOSE(CONTROL!$C$21, $C$9, 100%, $E$9)</f>
        <v>52.812399999999997</v>
      </c>
      <c r="D715" s="14">
        <f>CHOOSE(CONTROL!$C$42, 53.0459, 53.0459) * CHOOSE(CONTROL!$C$21, $C$9, 100%, $E$9)</f>
        <v>53.045900000000003</v>
      </c>
      <c r="E715" s="14">
        <f>CHOOSE(CONTROL!$C$42, 53.0774, 53.0774) * CHOOSE(CONTROL!$C$21, $C$9, 100%, $E$9)</f>
        <v>53.077399999999997</v>
      </c>
      <c r="F715" s="14">
        <f>CHOOSE(CONTROL!$C$42, 52.8021, 52.8021)*CHOOSE(CONTROL!$C$21, $C$9, 100%, $E$9)</f>
        <v>52.802100000000003</v>
      </c>
      <c r="G715" s="14">
        <f>CHOOSE(CONTROL!$C$42, 52.8187, 52.8187)*CHOOSE(CONTROL!$C$21, $C$9, 100%, $E$9)</f>
        <v>52.8187</v>
      </c>
      <c r="H715" s="14">
        <f>CHOOSE(CONTROL!$C$42, 53.066, 53.066) * CHOOSE(CONTROL!$C$21, $C$9, 100%, $E$9)</f>
        <v>53.066000000000003</v>
      </c>
      <c r="I715" s="14">
        <f>CHOOSE(CONTROL!$C$42, 52.9856, 52.9856)* CHOOSE(CONTROL!$C$21, $C$9, 100%, $E$9)</f>
        <v>52.985599999999998</v>
      </c>
      <c r="J715" s="14">
        <f>CHOOSE(CONTROL!$C$42, 52.7951, 52.7951)* CHOOSE(CONTROL!$C$21, $C$9, 100%, $E$9)</f>
        <v>52.795099999999998</v>
      </c>
      <c r="K715" s="53">
        <f>CHOOSE(CONTROL!$C$42, 52.9817, 52.9817) * CHOOSE(CONTROL!$C$21, $C$9, 100%, $E$9)</f>
        <v>52.981699999999996</v>
      </c>
      <c r="L715" s="14">
        <f>CHOOSE(CONTROL!$C$42, 53.653, 53.653) * CHOOSE(CONTROL!$C$21, $C$9, 100%, $E$9)</f>
        <v>53.652999999999999</v>
      </c>
      <c r="M715" s="14">
        <f>CHOOSE(CONTROL!$C$42, 51.7211, 51.7211) * CHOOSE(CONTROL!$C$21, $C$9, 100%, $E$9)</f>
        <v>51.7211</v>
      </c>
      <c r="N715" s="14">
        <f>CHOOSE(CONTROL!$C$42, 51.7373, 51.7373) * CHOOSE(CONTROL!$C$21, $C$9, 100%, $E$9)</f>
        <v>51.737299999999998</v>
      </c>
      <c r="O715" s="14">
        <f>CHOOSE(CONTROL!$C$42, 51.9865, 51.9865) * CHOOSE(CONTROL!$C$21, $C$9, 100%, $E$9)</f>
        <v>51.986499999999999</v>
      </c>
      <c r="P715" s="14">
        <f>CHOOSE(CONTROL!$C$42, 51.9044, 51.9044) * CHOOSE(CONTROL!$C$21, $C$9, 100%, $E$9)</f>
        <v>51.904400000000003</v>
      </c>
      <c r="Q715" s="14">
        <f>CHOOSE(CONTROL!$C$42, 52.5812, 52.5812) * CHOOSE(CONTROL!$C$21, $C$9, 100%, $E$9)</f>
        <v>52.581200000000003</v>
      </c>
      <c r="R715" s="14">
        <f>CHOOSE(CONTROL!$C$42, 53.2996, 53.2996) * CHOOSE(CONTROL!$C$21, $C$9, 100%, $E$9)</f>
        <v>53.299599999999998</v>
      </c>
      <c r="S715" s="14">
        <f>CHOOSE(CONTROL!$C$42, 50.729, 50.729) * CHOOSE(CONTROL!$C$21, $C$9, 100%, $E$9)</f>
        <v>50.728999999999999</v>
      </c>
      <c r="T7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7">
        <f>(1000*CHOOSE(CONTROL!$C$42, 695, 695)*CHOOSE(CONTROL!$C$42, 0.5599, 0.5599)*CHOOSE(CONTROL!$C$42, 31, 31))/1000000</f>
        <v>12.063045499999998</v>
      </c>
      <c r="V715" s="57">
        <f>(1000*CHOOSE(CONTROL!$C$42, 500, 500)*CHOOSE(CONTROL!$C$42, 0.275, 0.275)*CHOOSE(CONTROL!$C$42, 31, 31))/1000000</f>
        <v>4.2625000000000002</v>
      </c>
      <c r="W715" s="57">
        <f>(1000*CHOOSE(CONTROL!$C$42, 0.1146, 0.1146)*CHOOSE(CONTROL!$C$42, 121.5, 121.5)*CHOOSE(CONTROL!$C$42, 31, 31))/1000000</f>
        <v>0.43164089999999994</v>
      </c>
      <c r="X715" s="57">
        <f>(31*0.1790888*245000/1000000)+(31*0.2374*100000/1000000)</f>
        <v>2.0961194359999999</v>
      </c>
      <c r="Y715" s="57"/>
      <c r="Z715" s="14"/>
      <c r="AA715" s="56"/>
      <c r="AB715" s="50">
        <f>(B715*194.205+C715*267.466+D715*133.845+E715*53.484+F715*40+G715*185+H715*0+I715*100+J715*300)/(194.205+267.466+133.845+53.484+0+40+185+100+300)</f>
        <v>52.856934149921507</v>
      </c>
      <c r="AC715" s="45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51.868695683453247</v>
      </c>
    </row>
    <row r="716" spans="1:29" ht="15.75" x14ac:dyDescent="0.25">
      <c r="A716" s="32">
        <v>62701</v>
      </c>
      <c r="B716" s="14">
        <f>CHOOSE(CONTROL!$C$42, 50.1967, 50.1967) * CHOOSE(CONTROL!$C$21, $C$9, 100%, $E$9)</f>
        <v>50.1967</v>
      </c>
      <c r="C716" s="14">
        <f>CHOOSE(CONTROL!$C$42, 50.2047, 50.2047) * CHOOSE(CONTROL!$C$21, $C$9, 100%, $E$9)</f>
        <v>50.204700000000003</v>
      </c>
      <c r="D716" s="14">
        <f>CHOOSE(CONTROL!$C$42, 50.4383, 50.4383) * CHOOSE(CONTROL!$C$21, $C$9, 100%, $E$9)</f>
        <v>50.438299999999998</v>
      </c>
      <c r="E716" s="14">
        <f>CHOOSE(CONTROL!$C$42, 50.4697, 50.4697) * CHOOSE(CONTROL!$C$21, $C$9, 100%, $E$9)</f>
        <v>50.469700000000003</v>
      </c>
      <c r="F716" s="14">
        <f>CHOOSE(CONTROL!$C$42, 50.1946, 50.1946)*CHOOSE(CONTROL!$C$21, $C$9, 100%, $E$9)</f>
        <v>50.194600000000001</v>
      </c>
      <c r="G716" s="14">
        <f>CHOOSE(CONTROL!$C$42, 50.2113, 50.2113)*CHOOSE(CONTROL!$C$21, $C$9, 100%, $E$9)</f>
        <v>50.211300000000001</v>
      </c>
      <c r="H716" s="14">
        <f>CHOOSE(CONTROL!$C$42, 50.4584, 50.4584) * CHOOSE(CONTROL!$C$21, $C$9, 100%, $E$9)</f>
        <v>50.458399999999997</v>
      </c>
      <c r="I716" s="14">
        <f>CHOOSE(CONTROL!$C$42, 50.3697, 50.3697)* CHOOSE(CONTROL!$C$21, $C$9, 100%, $E$9)</f>
        <v>50.369700000000002</v>
      </c>
      <c r="J716" s="14">
        <f>CHOOSE(CONTROL!$C$42, 50.1876, 50.1876)* CHOOSE(CONTROL!$C$21, $C$9, 100%, $E$9)</f>
        <v>50.187600000000003</v>
      </c>
      <c r="K716" s="53">
        <f>CHOOSE(CONTROL!$C$42, 50.3658, 50.3658) * CHOOSE(CONTROL!$C$21, $C$9, 100%, $E$9)</f>
        <v>50.3658</v>
      </c>
      <c r="L716" s="14">
        <f>CHOOSE(CONTROL!$C$42, 51.0454, 51.0454) * CHOOSE(CONTROL!$C$21, $C$9, 100%, $E$9)</f>
        <v>51.045400000000001</v>
      </c>
      <c r="M716" s="14">
        <f>CHOOSE(CONTROL!$C$42, 49.167, 49.167) * CHOOSE(CONTROL!$C$21, $C$9, 100%, $E$9)</f>
        <v>49.167000000000002</v>
      </c>
      <c r="N716" s="14">
        <f>CHOOSE(CONTROL!$C$42, 49.1833, 49.1833) * CHOOSE(CONTROL!$C$21, $C$9, 100%, $E$9)</f>
        <v>49.183300000000003</v>
      </c>
      <c r="O716" s="14">
        <f>CHOOSE(CONTROL!$C$42, 49.4322, 49.4322) * CHOOSE(CONTROL!$C$21, $C$9, 100%, $E$9)</f>
        <v>49.432200000000002</v>
      </c>
      <c r="P716" s="14">
        <f>CHOOSE(CONTROL!$C$42, 49.3423, 49.3423) * CHOOSE(CONTROL!$C$21, $C$9, 100%, $E$9)</f>
        <v>49.342300000000002</v>
      </c>
      <c r="Q716" s="14">
        <f>CHOOSE(CONTROL!$C$42, 50.0269, 50.0269) * CHOOSE(CONTROL!$C$21, $C$9, 100%, $E$9)</f>
        <v>50.026899999999998</v>
      </c>
      <c r="R716" s="14">
        <f>CHOOSE(CONTROL!$C$42, 50.739, 50.739) * CHOOSE(CONTROL!$C$21, $C$9, 100%, $E$9)</f>
        <v>50.738999999999997</v>
      </c>
      <c r="S716" s="14">
        <f>CHOOSE(CONTROL!$C$42, 48.2233, 48.2233) * CHOOSE(CONTROL!$C$21, $C$9, 100%, $E$9)</f>
        <v>48.223300000000002</v>
      </c>
      <c r="T7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7">
        <f>(1000*CHOOSE(CONTROL!$C$42, 695, 695)*CHOOSE(CONTROL!$C$42, 0.5599, 0.5599)*CHOOSE(CONTROL!$C$42, 31, 31))/1000000</f>
        <v>12.063045499999998</v>
      </c>
      <c r="V716" s="57">
        <f>(1000*CHOOSE(CONTROL!$C$42, 500, 500)*CHOOSE(CONTROL!$C$42, 0.275, 0.275)*CHOOSE(CONTROL!$C$42, 31, 31))/1000000</f>
        <v>4.2625000000000002</v>
      </c>
      <c r="W716" s="57">
        <f>(1000*CHOOSE(CONTROL!$C$42, 0.1146, 0.1146)*CHOOSE(CONTROL!$C$42, 121.5, 121.5)*CHOOSE(CONTROL!$C$42, 31, 31))/1000000</f>
        <v>0.43164089999999994</v>
      </c>
      <c r="X716" s="57">
        <f>(31*0.1790888*245000/1000000)+(31*0.2374*100000/1000000)</f>
        <v>2.0961194359999999</v>
      </c>
      <c r="Y716" s="57"/>
      <c r="Z716" s="14"/>
      <c r="AA716" s="56"/>
      <c r="AB716" s="50">
        <f>(B716*194.205+C716*267.466+D716*133.845+E716*53.484+F716*40+G716*185+H716*0+I716*100+J716*300)/(194.205+267.466+133.845+53.484+0+40+185+100+300)</f>
        <v>50.248713196232337</v>
      </c>
      <c r="AC716" s="45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49.313359712230223</v>
      </c>
    </row>
    <row r="717" spans="1:29" ht="15.75" x14ac:dyDescent="0.25">
      <c r="A717" s="32">
        <v>62731</v>
      </c>
      <c r="B717" s="14">
        <f>CHOOSE(CONTROL!$C$42, 47.0101, 47.0101) * CHOOSE(CONTROL!$C$21, $C$9, 100%, $E$9)</f>
        <v>47.010100000000001</v>
      </c>
      <c r="C717" s="14">
        <f>CHOOSE(CONTROL!$C$42, 47.0181, 47.0181) * CHOOSE(CONTROL!$C$21, $C$9, 100%, $E$9)</f>
        <v>47.018099999999997</v>
      </c>
      <c r="D717" s="14">
        <f>CHOOSE(CONTROL!$C$42, 47.2517, 47.2517) * CHOOSE(CONTROL!$C$21, $C$9, 100%, $E$9)</f>
        <v>47.2517</v>
      </c>
      <c r="E717" s="14">
        <f>CHOOSE(CONTROL!$C$42, 47.2832, 47.2832) * CHOOSE(CONTROL!$C$21, $C$9, 100%, $E$9)</f>
        <v>47.283200000000001</v>
      </c>
      <c r="F717" s="14">
        <f>CHOOSE(CONTROL!$C$42, 47.0081, 47.0081)*CHOOSE(CONTROL!$C$21, $C$9, 100%, $E$9)</f>
        <v>47.008099999999999</v>
      </c>
      <c r="G717" s="14">
        <f>CHOOSE(CONTROL!$C$42, 47.0248, 47.0248)*CHOOSE(CONTROL!$C$21, $C$9, 100%, $E$9)</f>
        <v>47.024799999999999</v>
      </c>
      <c r="H717" s="14">
        <f>CHOOSE(CONTROL!$C$42, 47.2718, 47.2718) * CHOOSE(CONTROL!$C$21, $C$9, 100%, $E$9)</f>
        <v>47.271799999999999</v>
      </c>
      <c r="I717" s="14">
        <f>CHOOSE(CONTROL!$C$42, 47.1732, 47.1732)* CHOOSE(CONTROL!$C$21, $C$9, 100%, $E$9)</f>
        <v>47.173200000000001</v>
      </c>
      <c r="J717" s="14">
        <f>CHOOSE(CONTROL!$C$42, 47.0011, 47.0011)* CHOOSE(CONTROL!$C$21, $C$9, 100%, $E$9)</f>
        <v>47.001100000000001</v>
      </c>
      <c r="K717" s="53">
        <f>CHOOSE(CONTROL!$C$42, 47.1693, 47.1693) * CHOOSE(CONTROL!$C$21, $C$9, 100%, $E$9)</f>
        <v>47.1693</v>
      </c>
      <c r="L717" s="14">
        <f>CHOOSE(CONTROL!$C$42, 47.8588, 47.8588) * CHOOSE(CONTROL!$C$21, $C$9, 100%, $E$9)</f>
        <v>47.858800000000002</v>
      </c>
      <c r="M717" s="14">
        <f>CHOOSE(CONTROL!$C$42, 46.0458, 46.0458) * CHOOSE(CONTROL!$C$21, $C$9, 100%, $E$9)</f>
        <v>46.0458</v>
      </c>
      <c r="N717" s="14">
        <f>CHOOSE(CONTROL!$C$42, 46.0621, 46.0621) * CHOOSE(CONTROL!$C$21, $C$9, 100%, $E$9)</f>
        <v>46.062100000000001</v>
      </c>
      <c r="O717" s="14">
        <f>CHOOSE(CONTROL!$C$42, 46.3109, 46.3109) * CHOOSE(CONTROL!$C$21, $C$9, 100%, $E$9)</f>
        <v>46.310899999999997</v>
      </c>
      <c r="P717" s="14">
        <f>CHOOSE(CONTROL!$C$42, 46.2115, 46.2115) * CHOOSE(CONTROL!$C$21, $C$9, 100%, $E$9)</f>
        <v>46.211500000000001</v>
      </c>
      <c r="Q717" s="14">
        <f>CHOOSE(CONTROL!$C$42, 46.9056, 46.9056) * CHOOSE(CONTROL!$C$21, $C$9, 100%, $E$9)</f>
        <v>46.9056</v>
      </c>
      <c r="R717" s="14">
        <f>CHOOSE(CONTROL!$C$42, 47.6099, 47.6099) * CHOOSE(CONTROL!$C$21, $C$9, 100%, $E$9)</f>
        <v>47.609900000000003</v>
      </c>
      <c r="S717" s="14">
        <f>CHOOSE(CONTROL!$C$42, 45.1614, 45.1614) * CHOOSE(CONTROL!$C$21, $C$9, 100%, $E$9)</f>
        <v>45.1614</v>
      </c>
      <c r="T7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7">
        <f>(1000*CHOOSE(CONTROL!$C$42, 695, 695)*CHOOSE(CONTROL!$C$42, 0.5599, 0.5599)*CHOOSE(CONTROL!$C$42, 30, 30))/1000000</f>
        <v>11.673914999999997</v>
      </c>
      <c r="V717" s="57">
        <f>(1000*CHOOSE(CONTROL!$C$42, 500, 500)*CHOOSE(CONTROL!$C$42, 0.275, 0.275)*CHOOSE(CONTROL!$C$42, 30, 30))/1000000</f>
        <v>4.125</v>
      </c>
      <c r="W717" s="57">
        <f>(1000*CHOOSE(CONTROL!$C$42, 0.1146, 0.1146)*CHOOSE(CONTROL!$C$42, 121.5, 121.5)*CHOOSE(CONTROL!$C$42, 30, 30))/1000000</f>
        <v>0.417717</v>
      </c>
      <c r="X717" s="57">
        <f>(30*0.1790888*245000/1000000)+(30*0.2374*100000/1000000)</f>
        <v>2.0285026799999999</v>
      </c>
      <c r="Y717" s="57"/>
      <c r="Z717" s="14"/>
      <c r="AA717" s="56"/>
      <c r="AB717" s="50">
        <f>(B717*194.205+C717*267.466+D717*133.845+E717*53.484+F717*40+G717*185+H717*0+I717*100+J717*300)/(194.205+267.466+133.845+53.484+0+40+185+100+300)</f>
        <v>47.061381523076925</v>
      </c>
      <c r="AC717" s="45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46.190733093525182</v>
      </c>
    </row>
    <row r="718" spans="1:29" ht="15.75" x14ac:dyDescent="0.25">
      <c r="A718" s="32">
        <v>62762</v>
      </c>
      <c r="B718" s="14">
        <f>CHOOSE(CONTROL!$C$42, 46.0541, 46.0541) * CHOOSE(CONTROL!$C$21, $C$9, 100%, $E$9)</f>
        <v>46.054099999999998</v>
      </c>
      <c r="C718" s="14">
        <f>CHOOSE(CONTROL!$C$42, 46.0594, 46.0594) * CHOOSE(CONTROL!$C$21, $C$9, 100%, $E$9)</f>
        <v>46.059399999999997</v>
      </c>
      <c r="D718" s="14">
        <f>CHOOSE(CONTROL!$C$42, 46.298, 46.298) * CHOOSE(CONTROL!$C$21, $C$9, 100%, $E$9)</f>
        <v>46.298000000000002</v>
      </c>
      <c r="E718" s="14">
        <f>CHOOSE(CONTROL!$C$42, 46.3271, 46.3271) * CHOOSE(CONTROL!$C$21, $C$9, 100%, $E$9)</f>
        <v>46.327100000000002</v>
      </c>
      <c r="F718" s="14">
        <f>CHOOSE(CONTROL!$C$42, 46.0541, 46.0541)*CHOOSE(CONTROL!$C$21, $C$9, 100%, $E$9)</f>
        <v>46.054099999999998</v>
      </c>
      <c r="G718" s="14">
        <f>CHOOSE(CONTROL!$C$42, 46.0704, 46.0704)*CHOOSE(CONTROL!$C$21, $C$9, 100%, $E$9)</f>
        <v>46.070399999999999</v>
      </c>
      <c r="H718" s="14">
        <f>CHOOSE(CONTROL!$C$42, 46.3176, 46.3176) * CHOOSE(CONTROL!$C$21, $C$9, 100%, $E$9)</f>
        <v>46.317599999999999</v>
      </c>
      <c r="I718" s="14">
        <f>CHOOSE(CONTROL!$C$42, 46.216, 46.216)* CHOOSE(CONTROL!$C$21, $C$9, 100%, $E$9)</f>
        <v>46.216000000000001</v>
      </c>
      <c r="J718" s="14">
        <f>CHOOSE(CONTROL!$C$42, 46.0471, 46.0471)* CHOOSE(CONTROL!$C$21, $C$9, 100%, $E$9)</f>
        <v>46.0471</v>
      </c>
      <c r="K718" s="53">
        <f>CHOOSE(CONTROL!$C$42, 46.2121, 46.2121) * CHOOSE(CONTROL!$C$21, $C$9, 100%, $E$9)</f>
        <v>46.2121</v>
      </c>
      <c r="L718" s="14">
        <f>CHOOSE(CONTROL!$C$42, 46.9046, 46.9046) * CHOOSE(CONTROL!$C$21, $C$9, 100%, $E$9)</f>
        <v>46.904600000000002</v>
      </c>
      <c r="M718" s="14">
        <f>CHOOSE(CONTROL!$C$42, 45.1113, 45.1113) * CHOOSE(CONTROL!$C$21, $C$9, 100%, $E$9)</f>
        <v>45.1113</v>
      </c>
      <c r="N718" s="14">
        <f>CHOOSE(CONTROL!$C$42, 45.1273, 45.1273) * CHOOSE(CONTROL!$C$21, $C$9, 100%, $E$9)</f>
        <v>45.127299999999998</v>
      </c>
      <c r="O718" s="14">
        <f>CHOOSE(CONTROL!$C$42, 45.3762, 45.3762) * CHOOSE(CONTROL!$C$21, $C$9, 100%, $E$9)</f>
        <v>45.376199999999997</v>
      </c>
      <c r="P718" s="14">
        <f>CHOOSE(CONTROL!$C$42, 45.2739, 45.2739) * CHOOSE(CONTROL!$C$21, $C$9, 100%, $E$9)</f>
        <v>45.273899999999998</v>
      </c>
      <c r="Q718" s="14">
        <f>CHOOSE(CONTROL!$C$42, 45.9709, 45.9709) * CHOOSE(CONTROL!$C$21, $C$9, 100%, $E$9)</f>
        <v>45.9709</v>
      </c>
      <c r="R718" s="14">
        <f>CHOOSE(CONTROL!$C$42, 46.6729, 46.6729) * CHOOSE(CONTROL!$C$21, $C$9, 100%, $E$9)</f>
        <v>46.672899999999998</v>
      </c>
      <c r="S718" s="14">
        <f>CHOOSE(CONTROL!$C$42, 44.2444, 44.2444) * CHOOSE(CONTROL!$C$21, $C$9, 100%, $E$9)</f>
        <v>44.244399999999999</v>
      </c>
      <c r="T7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7">
        <f>(1000*CHOOSE(CONTROL!$C$42, 695, 695)*CHOOSE(CONTROL!$C$42, 0.5599, 0.5599)*CHOOSE(CONTROL!$C$42, 31, 31))/1000000</f>
        <v>12.063045499999998</v>
      </c>
      <c r="V718" s="57">
        <f>(1000*CHOOSE(CONTROL!$C$42, 500, 500)*CHOOSE(CONTROL!$C$42, 0.275, 0.275)*CHOOSE(CONTROL!$C$42, 31, 31))/1000000</f>
        <v>4.2625000000000002</v>
      </c>
      <c r="W718" s="57">
        <f>(1000*CHOOSE(CONTROL!$C$42, 0.1146, 0.1146)*CHOOSE(CONTROL!$C$42, 121.5, 121.5)*CHOOSE(CONTROL!$C$42, 31, 31))/1000000</f>
        <v>0.43164089999999994</v>
      </c>
      <c r="X718" s="57">
        <f>(31*0.1790888*245000/1000000)+(31*0.2374*100000/1000000)</f>
        <v>2.0961194359999999</v>
      </c>
      <c r="Y718" s="57"/>
      <c r="Z718" s="14"/>
      <c r="AA718" s="56"/>
      <c r="AB718" s="50">
        <f>(B718*131.881+C718*277.167+D718*79.08+E718*125.872+F718*40+G718*185+H718*0+I718*100+J718*300)/(131.881+277.167+79.08+125.872+0+40+185+100+300)</f>
        <v>46.112393101775623</v>
      </c>
      <c r="AC718" s="45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45.255679136690645</v>
      </c>
    </row>
    <row r="719" spans="1:29" ht="15.75" x14ac:dyDescent="0.25">
      <c r="A719" s="32">
        <v>62792</v>
      </c>
      <c r="B719" s="14">
        <f>CHOOSE(CONTROL!$C$42, 47.2667, 47.2667) * CHOOSE(CONTROL!$C$21, $C$9, 100%, $E$9)</f>
        <v>47.2667</v>
      </c>
      <c r="C719" s="14">
        <f>CHOOSE(CONTROL!$C$42, 47.2718, 47.2718) * CHOOSE(CONTROL!$C$21, $C$9, 100%, $E$9)</f>
        <v>47.271799999999999</v>
      </c>
      <c r="D719" s="14">
        <f>CHOOSE(CONTROL!$C$42, 47.346, 47.346) * CHOOSE(CONTROL!$C$21, $C$9, 100%, $E$9)</f>
        <v>47.345999999999997</v>
      </c>
      <c r="E719" s="14">
        <f>CHOOSE(CONTROL!$C$42, 47.3801, 47.3801) * CHOOSE(CONTROL!$C$21, $C$9, 100%, $E$9)</f>
        <v>47.380099999999999</v>
      </c>
      <c r="F719" s="14">
        <f>CHOOSE(CONTROL!$C$42, 47.2787, 47.2787)*CHOOSE(CONTROL!$C$21, $C$9, 100%, $E$9)</f>
        <v>47.278700000000001</v>
      </c>
      <c r="G719" s="14">
        <f>CHOOSE(CONTROL!$C$42, 47.2953, 47.2953)*CHOOSE(CONTROL!$C$21, $C$9, 100%, $E$9)</f>
        <v>47.295299999999997</v>
      </c>
      <c r="H719" s="14">
        <f>CHOOSE(CONTROL!$C$42, 47.3693, 47.3693) * CHOOSE(CONTROL!$C$21, $C$9, 100%, $E$9)</f>
        <v>47.369300000000003</v>
      </c>
      <c r="I719" s="14">
        <f>CHOOSE(CONTROL!$C$42, 47.439, 47.439)* CHOOSE(CONTROL!$C$21, $C$9, 100%, $E$9)</f>
        <v>47.439</v>
      </c>
      <c r="J719" s="14">
        <f>CHOOSE(CONTROL!$C$42, 47.2717, 47.2717)* CHOOSE(CONTROL!$C$21, $C$9, 100%, $E$9)</f>
        <v>47.271700000000003</v>
      </c>
      <c r="K719" s="53">
        <f>CHOOSE(CONTROL!$C$42, 47.4352, 47.4352) * CHOOSE(CONTROL!$C$21, $C$9, 100%, $E$9)</f>
        <v>47.435200000000002</v>
      </c>
      <c r="L719" s="14">
        <f>CHOOSE(CONTROL!$C$42, 47.9563, 47.9563) * CHOOSE(CONTROL!$C$21, $C$9, 100%, $E$9)</f>
        <v>47.956299999999999</v>
      </c>
      <c r="M719" s="14">
        <f>CHOOSE(CONTROL!$C$42, 46.3109, 46.3109) * CHOOSE(CONTROL!$C$21, $C$9, 100%, $E$9)</f>
        <v>46.310899999999997</v>
      </c>
      <c r="N719" s="14">
        <f>CHOOSE(CONTROL!$C$42, 46.3271, 46.3271) * CHOOSE(CONTROL!$C$21, $C$9, 100%, $E$9)</f>
        <v>46.327100000000002</v>
      </c>
      <c r="O719" s="14">
        <f>CHOOSE(CONTROL!$C$42, 46.4064, 46.4064) * CHOOSE(CONTROL!$C$21, $C$9, 100%, $E$9)</f>
        <v>46.406399999999998</v>
      </c>
      <c r="P719" s="14">
        <f>CHOOSE(CONTROL!$C$42, 46.4718, 46.4718) * CHOOSE(CONTROL!$C$21, $C$9, 100%, $E$9)</f>
        <v>46.471800000000002</v>
      </c>
      <c r="Q719" s="14">
        <f>CHOOSE(CONTROL!$C$42, 47.0011, 47.0011) * CHOOSE(CONTROL!$C$21, $C$9, 100%, $E$9)</f>
        <v>47.001100000000001</v>
      </c>
      <c r="R719" s="14">
        <f>CHOOSE(CONTROL!$C$42, 47.7056, 47.7056) * CHOOSE(CONTROL!$C$21, $C$9, 100%, $E$9)</f>
        <v>47.705599999999997</v>
      </c>
      <c r="S719" s="14">
        <f>CHOOSE(CONTROL!$C$42, 45.41, 45.41) * CHOOSE(CONTROL!$C$21, $C$9, 100%, $E$9)</f>
        <v>45.41</v>
      </c>
      <c r="T7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7">
        <f>(1000*CHOOSE(CONTROL!$C$42, 695, 695)*CHOOSE(CONTROL!$C$42, 0.5599, 0.5599)*CHOOSE(CONTROL!$C$42, 30, 30))/1000000</f>
        <v>11.673914999999997</v>
      </c>
      <c r="V719" s="57">
        <f>(1000*CHOOSE(CONTROL!$C$42, 500, 500)*CHOOSE(CONTROL!$C$42, 0.275, 0.275)*CHOOSE(CONTROL!$C$42, 30, 30))/1000000</f>
        <v>4.125</v>
      </c>
      <c r="W719" s="57">
        <f>(1000*CHOOSE(CONTROL!$C$42, 0.1146, 0.1146)*CHOOSE(CONTROL!$C$42, 121.5, 121.5)*CHOOSE(CONTROL!$C$42, 30, 30))/1000000</f>
        <v>0.417717</v>
      </c>
      <c r="X719" s="57">
        <f>(30*0.1790888*100000/1000000)+(30*0.2374*100000/1000000)</f>
        <v>1.2494664</v>
      </c>
      <c r="Y719" s="57"/>
      <c r="Z719" s="14"/>
      <c r="AA719" s="56"/>
      <c r="AB719" s="50">
        <f>(B719*122.58+C719*297.941+D719*89.177+E719*40.302+F719*40+G719*160+H719*0+I719*100+J719*300)/(122.58+297.941+89.177+40.302+0+40+160+100+300)</f>
        <v>47.298828245217393</v>
      </c>
      <c r="AC719" s="45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46.378267625899284</v>
      </c>
    </row>
    <row r="720" spans="1:29" ht="15.75" x14ac:dyDescent="0.25">
      <c r="A720" s="32">
        <v>62823</v>
      </c>
      <c r="B720" s="14">
        <f>CHOOSE(CONTROL!$C$42, 50.4886, 50.4886) * CHOOSE(CONTROL!$C$21, $C$9, 100%, $E$9)</f>
        <v>50.488599999999998</v>
      </c>
      <c r="C720" s="14">
        <f>CHOOSE(CONTROL!$C$42, 50.4937, 50.4937) * CHOOSE(CONTROL!$C$21, $C$9, 100%, $E$9)</f>
        <v>50.493699999999997</v>
      </c>
      <c r="D720" s="14">
        <f>CHOOSE(CONTROL!$C$42, 50.5679, 50.5679) * CHOOSE(CONTROL!$C$21, $C$9, 100%, $E$9)</f>
        <v>50.567900000000002</v>
      </c>
      <c r="E720" s="14">
        <f>CHOOSE(CONTROL!$C$42, 50.602, 50.602) * CHOOSE(CONTROL!$C$21, $C$9, 100%, $E$9)</f>
        <v>50.601999999999997</v>
      </c>
      <c r="F720" s="14">
        <f>CHOOSE(CONTROL!$C$42, 50.5029, 50.5029)*CHOOSE(CONTROL!$C$21, $C$9, 100%, $E$9)</f>
        <v>50.502899999999997</v>
      </c>
      <c r="G720" s="14">
        <f>CHOOSE(CONTROL!$C$42, 50.52, 50.52)*CHOOSE(CONTROL!$C$21, $C$9, 100%, $E$9)</f>
        <v>50.52</v>
      </c>
      <c r="H720" s="14">
        <f>CHOOSE(CONTROL!$C$42, 50.5912, 50.5912) * CHOOSE(CONTROL!$C$21, $C$9, 100%, $E$9)</f>
        <v>50.591200000000001</v>
      </c>
      <c r="I720" s="14">
        <f>CHOOSE(CONTROL!$C$42, 50.6711, 50.6711)* CHOOSE(CONTROL!$C$21, $C$9, 100%, $E$9)</f>
        <v>50.671100000000003</v>
      </c>
      <c r="J720" s="14">
        <f>CHOOSE(CONTROL!$C$42, 50.4959, 50.4959)* CHOOSE(CONTROL!$C$21, $C$9, 100%, $E$9)</f>
        <v>50.495899999999999</v>
      </c>
      <c r="K720" s="53">
        <f>CHOOSE(CONTROL!$C$42, 50.6672, 50.6672) * CHOOSE(CONTROL!$C$21, $C$9, 100%, $E$9)</f>
        <v>50.667200000000001</v>
      </c>
      <c r="L720" s="14">
        <f>CHOOSE(CONTROL!$C$42, 51.1782, 51.1782) * CHOOSE(CONTROL!$C$21, $C$9, 100%, $E$9)</f>
        <v>51.178199999999997</v>
      </c>
      <c r="M720" s="14">
        <f>CHOOSE(CONTROL!$C$42, 49.4689, 49.4689) * CHOOSE(CONTROL!$C$21, $C$9, 100%, $E$9)</f>
        <v>49.468899999999998</v>
      </c>
      <c r="N720" s="14">
        <f>CHOOSE(CONTROL!$C$42, 49.4858, 49.4858) * CHOOSE(CONTROL!$C$21, $C$9, 100%, $E$9)</f>
        <v>49.485799999999998</v>
      </c>
      <c r="O720" s="14">
        <f>CHOOSE(CONTROL!$C$42, 49.5623, 49.5623) * CHOOSE(CONTROL!$C$21, $C$9, 100%, $E$9)</f>
        <v>49.5623</v>
      </c>
      <c r="P720" s="14">
        <f>CHOOSE(CONTROL!$C$42, 49.6375, 49.6375) * CHOOSE(CONTROL!$C$21, $C$9, 100%, $E$9)</f>
        <v>49.637500000000003</v>
      </c>
      <c r="Q720" s="14">
        <f>CHOOSE(CONTROL!$C$42, 50.157, 50.157) * CHOOSE(CONTROL!$C$21, $C$9, 100%, $E$9)</f>
        <v>50.156999999999996</v>
      </c>
      <c r="R720" s="14">
        <f>CHOOSE(CONTROL!$C$42, 50.8694, 50.8694) * CHOOSE(CONTROL!$C$21, $C$9, 100%, $E$9)</f>
        <v>50.869399999999999</v>
      </c>
      <c r="S720" s="14">
        <f>CHOOSE(CONTROL!$C$42, 48.506, 48.506) * CHOOSE(CONTROL!$C$21, $C$9, 100%, $E$9)</f>
        <v>48.506</v>
      </c>
      <c r="T7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7">
        <f>(1000*CHOOSE(CONTROL!$C$42, 695, 695)*CHOOSE(CONTROL!$C$42, 0.5599, 0.5599)*CHOOSE(CONTROL!$C$42, 31, 31))/1000000</f>
        <v>12.063045499999998</v>
      </c>
      <c r="V720" s="57">
        <f>(1000*CHOOSE(CONTROL!$C$42, 500, 500)*CHOOSE(CONTROL!$C$42, 0.275, 0.275)*CHOOSE(CONTROL!$C$42, 31, 31))/1000000</f>
        <v>4.2625000000000002</v>
      </c>
      <c r="W720" s="57">
        <f>(1000*CHOOSE(CONTROL!$C$42, 0.1146, 0.1146)*CHOOSE(CONTROL!$C$42, 121.5, 121.5)*CHOOSE(CONTROL!$C$42, 31, 31))/1000000</f>
        <v>0.43164089999999994</v>
      </c>
      <c r="X720" s="57">
        <f>(31*0.1790888*100000/1000000)+(31*0.2374*100000/1000000)</f>
        <v>1.2911152800000001</v>
      </c>
      <c r="Y720" s="57"/>
      <c r="Z720" s="14"/>
      <c r="AA720" s="56"/>
      <c r="AB720" s="50">
        <f>(B720*122.58+C720*297.941+D720*89.177+E720*40.302+F720*40+G720*160+H720*0+I720*100+J720*300)/(122.58+297.941+89.177+40.302+0+40+160+100+300)</f>
        <v>50.522684766956523</v>
      </c>
      <c r="AC720" s="45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49.536464028776976</v>
      </c>
    </row>
    <row r="721" spans="1:29" ht="15.75" x14ac:dyDescent="0.25">
      <c r="A721" s="32">
        <v>62854</v>
      </c>
      <c r="B721" s="14">
        <f>CHOOSE(CONTROL!$C$42, 54.6734, 54.6734) * CHOOSE(CONTROL!$C$21, $C$9, 100%, $E$9)</f>
        <v>54.673400000000001</v>
      </c>
      <c r="C721" s="14">
        <f>CHOOSE(CONTROL!$C$42, 54.6784, 54.6784) * CHOOSE(CONTROL!$C$21, $C$9, 100%, $E$9)</f>
        <v>54.678400000000003</v>
      </c>
      <c r="D721" s="14">
        <f>CHOOSE(CONTROL!$C$42, 54.7553, 54.7553) * CHOOSE(CONTROL!$C$21, $C$9, 100%, $E$9)</f>
        <v>54.755299999999998</v>
      </c>
      <c r="E721" s="14">
        <f>CHOOSE(CONTROL!$C$42, 54.7894, 54.7894) * CHOOSE(CONTROL!$C$21, $C$9, 100%, $E$9)</f>
        <v>54.789400000000001</v>
      </c>
      <c r="F721" s="14">
        <f>CHOOSE(CONTROL!$C$42, 54.6736, 54.6736)*CHOOSE(CONTROL!$C$21, $C$9, 100%, $E$9)</f>
        <v>54.6736</v>
      </c>
      <c r="G721" s="14">
        <f>CHOOSE(CONTROL!$C$42, 54.6898, 54.6898)*CHOOSE(CONTROL!$C$21, $C$9, 100%, $E$9)</f>
        <v>54.689799999999998</v>
      </c>
      <c r="H721" s="14">
        <f>CHOOSE(CONTROL!$C$42, 54.7786, 54.7786) * CHOOSE(CONTROL!$C$21, $C$9, 100%, $E$9)</f>
        <v>54.778599999999997</v>
      </c>
      <c r="I721" s="14">
        <f>CHOOSE(CONTROL!$C$42, 54.8627, 54.8627)* CHOOSE(CONTROL!$C$21, $C$9, 100%, $E$9)</f>
        <v>54.862699999999997</v>
      </c>
      <c r="J721" s="14">
        <f>CHOOSE(CONTROL!$C$42, 54.6666, 54.6666)* CHOOSE(CONTROL!$C$21, $C$9, 100%, $E$9)</f>
        <v>54.666600000000003</v>
      </c>
      <c r="K721" s="53">
        <f>CHOOSE(CONTROL!$C$42, 54.8588, 54.8588) * CHOOSE(CONTROL!$C$21, $C$9, 100%, $E$9)</f>
        <v>54.858800000000002</v>
      </c>
      <c r="L721" s="14">
        <f>CHOOSE(CONTROL!$C$42, 55.3656, 55.3656) * CHOOSE(CONTROL!$C$21, $C$9, 100%, $E$9)</f>
        <v>55.365600000000001</v>
      </c>
      <c r="M721" s="14">
        <f>CHOOSE(CONTROL!$C$42, 53.5542, 53.5542) * CHOOSE(CONTROL!$C$21, $C$9, 100%, $E$9)</f>
        <v>53.554200000000002</v>
      </c>
      <c r="N721" s="14">
        <f>CHOOSE(CONTROL!$C$42, 53.5701, 53.5701) * CHOOSE(CONTROL!$C$21, $C$9, 100%, $E$9)</f>
        <v>53.570099999999996</v>
      </c>
      <c r="O721" s="14">
        <f>CHOOSE(CONTROL!$C$42, 53.6639, 53.6639) * CHOOSE(CONTROL!$C$21, $C$9, 100%, $E$9)</f>
        <v>53.663899999999998</v>
      </c>
      <c r="P721" s="14">
        <f>CHOOSE(CONTROL!$C$42, 53.7429, 53.7429) * CHOOSE(CONTROL!$C$21, $C$9, 100%, $E$9)</f>
        <v>53.742899999999999</v>
      </c>
      <c r="Q721" s="14">
        <f>CHOOSE(CONTROL!$C$42, 54.2586, 54.2586) * CHOOSE(CONTROL!$C$21, $C$9, 100%, $E$9)</f>
        <v>54.258600000000001</v>
      </c>
      <c r="R721" s="14">
        <f>CHOOSE(CONTROL!$C$42, 54.9812, 54.9812) * CHOOSE(CONTROL!$C$21, $C$9, 100%, $E$9)</f>
        <v>54.981200000000001</v>
      </c>
      <c r="S721" s="14">
        <f>CHOOSE(CONTROL!$C$42, 52.5271, 52.5271) * CHOOSE(CONTROL!$C$21, $C$9, 100%, $E$9)</f>
        <v>52.527099999999997</v>
      </c>
      <c r="T7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7">
        <f>(1000*CHOOSE(CONTROL!$C$42, 695, 695)*CHOOSE(CONTROL!$C$42, 0.5599, 0.5599)*CHOOSE(CONTROL!$C$42, 31, 31))/1000000</f>
        <v>12.063045499999998</v>
      </c>
      <c r="V721" s="57">
        <f>(1000*CHOOSE(CONTROL!$C$42, 500, 500)*CHOOSE(CONTROL!$C$42, 0.275, 0.275)*CHOOSE(CONTROL!$C$42, 31, 31))/1000000</f>
        <v>4.2625000000000002</v>
      </c>
      <c r="W721" s="57">
        <f>(1000*CHOOSE(CONTROL!$C$42, 0.1146, 0.1146)*CHOOSE(CONTROL!$C$42, 121.5, 121.5)*CHOOSE(CONTROL!$C$42, 31, 31))/1000000</f>
        <v>0.43164089999999994</v>
      </c>
      <c r="X721" s="57">
        <f>(31*0.1790888*100000/1000000)+(31*0.2374*100000/1000000)</f>
        <v>1.2911152800000001</v>
      </c>
      <c r="Y721" s="57"/>
      <c r="Z721" s="14"/>
      <c r="AA721" s="56"/>
      <c r="AB721" s="50">
        <f>(B721*122.58+C721*297.941+D721*89.177+E721*40.302+F721*40+G721*160+H721*0+I721*100+J721*300)/(122.58+297.941+89.177+40.302+0+40+160+100+300)</f>
        <v>54.702087246347823</v>
      </c>
      <c r="AC721" s="45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53.631986330935248</v>
      </c>
    </row>
    <row r="722" spans="1:29" ht="15.75" x14ac:dyDescent="0.25">
      <c r="A722" s="32">
        <v>62883</v>
      </c>
      <c r="B722" s="14">
        <f>CHOOSE(CONTROL!$C$42, 55.6465, 55.6465) * CHOOSE(CONTROL!$C$21, $C$9, 100%, $E$9)</f>
        <v>55.646500000000003</v>
      </c>
      <c r="C722" s="14">
        <f>CHOOSE(CONTROL!$C$42, 55.6515, 55.6515) * CHOOSE(CONTROL!$C$21, $C$9, 100%, $E$9)</f>
        <v>55.651499999999999</v>
      </c>
      <c r="D722" s="14">
        <f>CHOOSE(CONTROL!$C$42, 55.7284, 55.7284) * CHOOSE(CONTROL!$C$21, $C$9, 100%, $E$9)</f>
        <v>55.728400000000001</v>
      </c>
      <c r="E722" s="14">
        <f>CHOOSE(CONTROL!$C$42, 55.7625, 55.7625) * CHOOSE(CONTROL!$C$21, $C$9, 100%, $E$9)</f>
        <v>55.762500000000003</v>
      </c>
      <c r="F722" s="14">
        <f>CHOOSE(CONTROL!$C$42, 55.6467, 55.6467)*CHOOSE(CONTROL!$C$21, $C$9, 100%, $E$9)</f>
        <v>55.646700000000003</v>
      </c>
      <c r="G722" s="14">
        <f>CHOOSE(CONTROL!$C$42, 55.663, 55.663)*CHOOSE(CONTROL!$C$21, $C$9, 100%, $E$9)</f>
        <v>55.662999999999997</v>
      </c>
      <c r="H722" s="14">
        <f>CHOOSE(CONTROL!$C$42, 55.7517, 55.7517) * CHOOSE(CONTROL!$C$21, $C$9, 100%, $E$9)</f>
        <v>55.7517</v>
      </c>
      <c r="I722" s="14">
        <f>CHOOSE(CONTROL!$C$42, 55.8388, 55.8388)* CHOOSE(CONTROL!$C$21, $C$9, 100%, $E$9)</f>
        <v>55.838799999999999</v>
      </c>
      <c r="J722" s="14">
        <f>CHOOSE(CONTROL!$C$42, 55.6397, 55.6397)* CHOOSE(CONTROL!$C$21, $C$9, 100%, $E$9)</f>
        <v>55.639699999999998</v>
      </c>
      <c r="K722" s="53">
        <f>CHOOSE(CONTROL!$C$42, 55.8349, 55.8349) * CHOOSE(CONTROL!$C$21, $C$9, 100%, $E$9)</f>
        <v>55.834899999999998</v>
      </c>
      <c r="L722" s="14">
        <f>CHOOSE(CONTROL!$C$42, 56.3387, 56.3387) * CHOOSE(CONTROL!$C$21, $C$9, 100%, $E$9)</f>
        <v>56.338700000000003</v>
      </c>
      <c r="M722" s="14">
        <f>CHOOSE(CONTROL!$C$42, 54.5074, 54.5074) * CHOOSE(CONTROL!$C$21, $C$9, 100%, $E$9)</f>
        <v>54.507399999999997</v>
      </c>
      <c r="N722" s="14">
        <f>CHOOSE(CONTROL!$C$42, 54.5233, 54.5233) * CHOOSE(CONTROL!$C$21, $C$9, 100%, $E$9)</f>
        <v>54.523299999999999</v>
      </c>
      <c r="O722" s="14">
        <f>CHOOSE(CONTROL!$C$42, 54.617, 54.617) * CHOOSE(CONTROL!$C$21, $C$9, 100%, $E$9)</f>
        <v>54.616999999999997</v>
      </c>
      <c r="P722" s="14">
        <f>CHOOSE(CONTROL!$C$42, 54.699, 54.699) * CHOOSE(CONTROL!$C$21, $C$9, 100%, $E$9)</f>
        <v>54.698999999999998</v>
      </c>
      <c r="Q722" s="14">
        <f>CHOOSE(CONTROL!$C$42, 55.2117, 55.2117) * CHOOSE(CONTROL!$C$21, $C$9, 100%, $E$9)</f>
        <v>55.2117</v>
      </c>
      <c r="R722" s="14">
        <f>CHOOSE(CONTROL!$C$42, 55.9368, 55.9368) * CHOOSE(CONTROL!$C$21, $C$9, 100%, $E$9)</f>
        <v>55.936799999999998</v>
      </c>
      <c r="S722" s="14">
        <f>CHOOSE(CONTROL!$C$42, 53.4622, 53.4622) * CHOOSE(CONTROL!$C$21, $C$9, 100%, $E$9)</f>
        <v>53.462200000000003</v>
      </c>
      <c r="T72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7">
        <f>(1000*CHOOSE(CONTROL!$C$42, 695, 695)*CHOOSE(CONTROL!$C$42, 0.5599, 0.5599)*CHOOSE(CONTROL!$C$42, 29, 29))/1000000</f>
        <v>11.284784499999999</v>
      </c>
      <c r="V722" s="57">
        <f>(1000*CHOOSE(CONTROL!$C$42, 500, 500)*CHOOSE(CONTROL!$C$42, 0.275, 0.275)*CHOOSE(CONTROL!$C$42, 29, 29))/1000000</f>
        <v>3.9874999999999998</v>
      </c>
      <c r="W722" s="57">
        <f>(1000*CHOOSE(CONTROL!$C$42, 0.1146, 0.1146)*CHOOSE(CONTROL!$C$42, 121.5, 121.5)*CHOOSE(CONTROL!$C$42, 29, 29))/1000000</f>
        <v>0.40379309999999996</v>
      </c>
      <c r="X722" s="57">
        <f>(29*0.1790888*100000/1000000)+(29*0.2374*100000/1000000)</f>
        <v>1.2078175199999999</v>
      </c>
      <c r="Y722" s="57"/>
      <c r="Z722" s="14"/>
      <c r="AA722" s="56"/>
      <c r="AB722" s="50">
        <f>(B722*122.58+C722*297.941+D722*89.177+E722*40.302+F722*40+G722*160+H722*0+I722*100+J722*300)/(122.58+297.941+89.177+40.302+0+40+160+100+300)</f>
        <v>55.675462028956517</v>
      </c>
      <c r="AC722" s="45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54.585558273381288</v>
      </c>
    </row>
    <row r="723" spans="1:29" ht="15.75" x14ac:dyDescent="0.25">
      <c r="A723" s="32">
        <v>62914</v>
      </c>
      <c r="B723" s="14">
        <f>CHOOSE(CONTROL!$C$42, 54.0669, 54.0669) * CHOOSE(CONTROL!$C$21, $C$9, 100%, $E$9)</f>
        <v>54.066899999999997</v>
      </c>
      <c r="C723" s="14">
        <f>CHOOSE(CONTROL!$C$42, 54.072, 54.072) * CHOOSE(CONTROL!$C$21, $C$9, 100%, $E$9)</f>
        <v>54.072000000000003</v>
      </c>
      <c r="D723" s="14">
        <f>CHOOSE(CONTROL!$C$42, 54.1488, 54.1488) * CHOOSE(CONTROL!$C$21, $C$9, 100%, $E$9)</f>
        <v>54.148800000000001</v>
      </c>
      <c r="E723" s="14">
        <f>CHOOSE(CONTROL!$C$42, 54.1829, 54.1829) * CHOOSE(CONTROL!$C$21, $C$9, 100%, $E$9)</f>
        <v>54.182899999999997</v>
      </c>
      <c r="F723" s="14">
        <f>CHOOSE(CONTROL!$C$42, 54.0667, 54.0667)*CHOOSE(CONTROL!$C$21, $C$9, 100%, $E$9)</f>
        <v>54.066699999999997</v>
      </c>
      <c r="G723" s="14">
        <f>CHOOSE(CONTROL!$C$42, 54.0828, 54.0828)*CHOOSE(CONTROL!$C$21, $C$9, 100%, $E$9)</f>
        <v>54.082799999999999</v>
      </c>
      <c r="H723" s="14">
        <f>CHOOSE(CONTROL!$C$42, 54.1721, 54.1721) * CHOOSE(CONTROL!$C$21, $C$9, 100%, $E$9)</f>
        <v>54.1721</v>
      </c>
      <c r="I723" s="14">
        <f>CHOOSE(CONTROL!$C$42, 54.2543, 54.2543)* CHOOSE(CONTROL!$C$21, $C$9, 100%, $E$9)</f>
        <v>54.254300000000001</v>
      </c>
      <c r="J723" s="14">
        <f>CHOOSE(CONTROL!$C$42, 54.0597, 54.0597)* CHOOSE(CONTROL!$C$21, $C$9, 100%, $E$9)</f>
        <v>54.059699999999999</v>
      </c>
      <c r="K723" s="53">
        <f>CHOOSE(CONTROL!$C$42, 54.2504, 54.2504) * CHOOSE(CONTROL!$C$21, $C$9, 100%, $E$9)</f>
        <v>54.250399999999999</v>
      </c>
      <c r="L723" s="14">
        <f>CHOOSE(CONTROL!$C$42, 54.7591, 54.7591) * CHOOSE(CONTROL!$C$21, $C$9, 100%, $E$9)</f>
        <v>54.759099999999997</v>
      </c>
      <c r="M723" s="14">
        <f>CHOOSE(CONTROL!$C$42, 52.9597, 52.9597) * CHOOSE(CONTROL!$C$21, $C$9, 100%, $E$9)</f>
        <v>52.959699999999998</v>
      </c>
      <c r="N723" s="14">
        <f>CHOOSE(CONTROL!$C$42, 52.9755, 52.9755) * CHOOSE(CONTROL!$C$21, $C$9, 100%, $E$9)</f>
        <v>52.975499999999997</v>
      </c>
      <c r="O723" s="14">
        <f>CHOOSE(CONTROL!$C$42, 53.0698, 53.0698) * CHOOSE(CONTROL!$C$21, $C$9, 100%, $E$9)</f>
        <v>53.069800000000001</v>
      </c>
      <c r="P723" s="14">
        <f>CHOOSE(CONTROL!$C$42, 53.147, 53.147) * CHOOSE(CONTROL!$C$21, $C$9, 100%, $E$9)</f>
        <v>53.146999999999998</v>
      </c>
      <c r="Q723" s="14">
        <f>CHOOSE(CONTROL!$C$42, 53.6645, 53.6645) * CHOOSE(CONTROL!$C$21, $C$9, 100%, $E$9)</f>
        <v>53.664499999999997</v>
      </c>
      <c r="R723" s="14">
        <f>CHOOSE(CONTROL!$C$42, 54.3857, 54.3857) * CHOOSE(CONTROL!$C$21, $C$9, 100%, $E$9)</f>
        <v>54.3857</v>
      </c>
      <c r="S723" s="14">
        <f>CHOOSE(CONTROL!$C$42, 51.9443, 51.9443) * CHOOSE(CONTROL!$C$21, $C$9, 100%, $E$9)</f>
        <v>51.944299999999998</v>
      </c>
      <c r="T7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7">
        <f>(1000*CHOOSE(CONTROL!$C$42, 695, 695)*CHOOSE(CONTROL!$C$42, 0.5599, 0.5599)*CHOOSE(CONTROL!$C$42, 31, 31))/1000000</f>
        <v>12.063045499999998</v>
      </c>
      <c r="V723" s="57">
        <f>(1000*CHOOSE(CONTROL!$C$42, 500, 500)*CHOOSE(CONTROL!$C$42, 0.275, 0.275)*CHOOSE(CONTROL!$C$42, 31, 31))/1000000</f>
        <v>4.2625000000000002</v>
      </c>
      <c r="W723" s="57">
        <f>(1000*CHOOSE(CONTROL!$C$42, 0.1146, 0.1146)*CHOOSE(CONTROL!$C$42, 121.5, 121.5)*CHOOSE(CONTROL!$C$42, 31, 31))/1000000</f>
        <v>0.43164089999999994</v>
      </c>
      <c r="X723" s="57">
        <f>(31*0.1790888*100000/1000000)+(31*0.2374*100000/1000000)</f>
        <v>1.2911152800000001</v>
      </c>
      <c r="Y723" s="57"/>
      <c r="Z723" s="14"/>
      <c r="AA723" s="56"/>
      <c r="AB723" s="50">
        <f>(B723*122.58+C723*297.941+D723*89.177+E723*40.302+F723*40+G723*160+H723*0+I723*100+J723*300)/(122.58+297.941+89.177+40.302+0+40+160+100+300)</f>
        <v>54.095260110782604</v>
      </c>
      <c r="AC723" s="45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53.037460431654672</v>
      </c>
    </row>
    <row r="724" spans="1:29" ht="15.75" x14ac:dyDescent="0.25">
      <c r="A724" s="32">
        <v>62944</v>
      </c>
      <c r="B724" s="14">
        <f>CHOOSE(CONTROL!$C$42, 53.9063, 53.9063) * CHOOSE(CONTROL!$C$21, $C$9, 100%, $E$9)</f>
        <v>53.906300000000002</v>
      </c>
      <c r="C724" s="14">
        <f>CHOOSE(CONTROL!$C$42, 53.9108, 53.9108) * CHOOSE(CONTROL!$C$21, $C$9, 100%, $E$9)</f>
        <v>53.910800000000002</v>
      </c>
      <c r="D724" s="14">
        <f>CHOOSE(CONTROL!$C$42, 54.1475, 54.1475) * CHOOSE(CONTROL!$C$21, $C$9, 100%, $E$9)</f>
        <v>54.147500000000001</v>
      </c>
      <c r="E724" s="14">
        <f>CHOOSE(CONTROL!$C$42, 54.1796, 54.1796) * CHOOSE(CONTROL!$C$21, $C$9, 100%, $E$9)</f>
        <v>54.179600000000001</v>
      </c>
      <c r="F724" s="14">
        <f>CHOOSE(CONTROL!$C$42, 53.9042, 53.9042)*CHOOSE(CONTROL!$C$21, $C$9, 100%, $E$9)</f>
        <v>53.904200000000003</v>
      </c>
      <c r="G724" s="14">
        <f>CHOOSE(CONTROL!$C$42, 53.9201, 53.9201)*CHOOSE(CONTROL!$C$21, $C$9, 100%, $E$9)</f>
        <v>53.920099999999998</v>
      </c>
      <c r="H724" s="14">
        <f>CHOOSE(CONTROL!$C$42, 54.1694, 54.1694) * CHOOSE(CONTROL!$C$21, $C$9, 100%, $E$9)</f>
        <v>54.169400000000003</v>
      </c>
      <c r="I724" s="14">
        <f>CHOOSE(CONTROL!$C$42, 54.0924, 54.0924)* CHOOSE(CONTROL!$C$21, $C$9, 100%, $E$9)</f>
        <v>54.092399999999998</v>
      </c>
      <c r="J724" s="14">
        <f>CHOOSE(CONTROL!$C$42, 53.8972, 53.8972)* CHOOSE(CONTROL!$C$21, $C$9, 100%, $E$9)</f>
        <v>53.897199999999998</v>
      </c>
      <c r="K724" s="53">
        <f>CHOOSE(CONTROL!$C$42, 54.0885, 54.0885) * CHOOSE(CONTROL!$C$21, $C$9, 100%, $E$9)</f>
        <v>54.088500000000003</v>
      </c>
      <c r="L724" s="14">
        <f>CHOOSE(CONTROL!$C$42, 54.7564, 54.7564) * CHOOSE(CONTROL!$C$21, $C$9, 100%, $E$9)</f>
        <v>54.756399999999999</v>
      </c>
      <c r="M724" s="14">
        <f>CHOOSE(CONTROL!$C$42, 52.8006, 52.8006) * CHOOSE(CONTROL!$C$21, $C$9, 100%, $E$9)</f>
        <v>52.800600000000003</v>
      </c>
      <c r="N724" s="14">
        <f>CHOOSE(CONTROL!$C$42, 52.8161, 52.8161) * CHOOSE(CONTROL!$C$21, $C$9, 100%, $E$9)</f>
        <v>52.816099999999999</v>
      </c>
      <c r="O724" s="14">
        <f>CHOOSE(CONTROL!$C$42, 53.0672, 53.0672) * CHOOSE(CONTROL!$C$21, $C$9, 100%, $E$9)</f>
        <v>53.0672</v>
      </c>
      <c r="P724" s="14">
        <f>CHOOSE(CONTROL!$C$42, 52.9884, 52.9884) * CHOOSE(CONTROL!$C$21, $C$9, 100%, $E$9)</f>
        <v>52.988399999999999</v>
      </c>
      <c r="Q724" s="14">
        <f>CHOOSE(CONTROL!$C$42, 53.6619, 53.6619) * CHOOSE(CONTROL!$C$21, $C$9, 100%, $E$9)</f>
        <v>53.661900000000003</v>
      </c>
      <c r="R724" s="14">
        <f>CHOOSE(CONTROL!$C$42, 54.3831, 54.3831) * CHOOSE(CONTROL!$C$21, $C$9, 100%, $E$9)</f>
        <v>54.383099999999999</v>
      </c>
      <c r="S724" s="14">
        <f>CHOOSE(CONTROL!$C$42, 51.7893, 51.7893) * CHOOSE(CONTROL!$C$21, $C$9, 100%, $E$9)</f>
        <v>51.789299999999997</v>
      </c>
      <c r="T7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7">
        <f>(1000*CHOOSE(CONTROL!$C$42, 695, 695)*CHOOSE(CONTROL!$C$42, 0.5599, 0.5599)*CHOOSE(CONTROL!$C$42, 30, 30))/1000000</f>
        <v>11.673914999999997</v>
      </c>
      <c r="V724" s="57">
        <f>(1000*CHOOSE(CONTROL!$C$42, 500, 500)*CHOOSE(CONTROL!$C$42, 0.275, 0.275)*CHOOSE(CONTROL!$C$42, 30, 30))/1000000</f>
        <v>4.125</v>
      </c>
      <c r="W724" s="57">
        <f>(1000*CHOOSE(CONTROL!$C$42, 0.1146, 0.1146)*CHOOSE(CONTROL!$C$42, 121.5, 121.5)*CHOOSE(CONTROL!$C$42, 30, 30))/1000000</f>
        <v>0.417717</v>
      </c>
      <c r="X724" s="57">
        <f>(30*0.1790888*245000/1000000)+(30*0.2374*100000/1000000)</f>
        <v>2.0285026799999999</v>
      </c>
      <c r="Y724" s="57"/>
      <c r="Z724" s="14"/>
      <c r="AA724" s="56"/>
      <c r="AB724" s="50">
        <f>(B724*141.293+C724*267.993+D724*115.016+E724*89.698+F724*40+G724*185+H724*0+I724*100+J724*300)/(141.293+267.993+115.016+89.698+0+40+185+100+300)</f>
        <v>53.964259072719933</v>
      </c>
      <c r="AC724" s="45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52.949346762589933</v>
      </c>
    </row>
    <row r="725" spans="1:29" ht="15.75" x14ac:dyDescent="0.25">
      <c r="A725" s="32">
        <v>62975</v>
      </c>
      <c r="B725" s="14">
        <f>CHOOSE(CONTROL!$C$42, 54.3834, 54.3834) * CHOOSE(CONTROL!$C$21, $C$9, 100%, $E$9)</f>
        <v>54.383400000000002</v>
      </c>
      <c r="C725" s="14">
        <f>CHOOSE(CONTROL!$C$42, 54.3914, 54.3914) * CHOOSE(CONTROL!$C$21, $C$9, 100%, $E$9)</f>
        <v>54.391399999999997</v>
      </c>
      <c r="D725" s="14">
        <f>CHOOSE(CONTROL!$C$42, 54.625, 54.625) * CHOOSE(CONTROL!$C$21, $C$9, 100%, $E$9)</f>
        <v>54.625</v>
      </c>
      <c r="E725" s="14">
        <f>CHOOSE(CONTROL!$C$42, 54.6565, 54.6565) * CHOOSE(CONTROL!$C$21, $C$9, 100%, $E$9)</f>
        <v>54.656500000000001</v>
      </c>
      <c r="F725" s="14">
        <f>CHOOSE(CONTROL!$C$42, 54.3801, 54.3801)*CHOOSE(CONTROL!$C$21, $C$9, 100%, $E$9)</f>
        <v>54.380099999999999</v>
      </c>
      <c r="G725" s="14">
        <f>CHOOSE(CONTROL!$C$42, 54.3965, 54.3965)*CHOOSE(CONTROL!$C$21, $C$9, 100%, $E$9)</f>
        <v>54.396500000000003</v>
      </c>
      <c r="H725" s="14">
        <f>CHOOSE(CONTROL!$C$42, 54.6451, 54.6451) * CHOOSE(CONTROL!$C$21, $C$9, 100%, $E$9)</f>
        <v>54.645099999999999</v>
      </c>
      <c r="I725" s="14">
        <f>CHOOSE(CONTROL!$C$42, 54.5696, 54.5696)* CHOOSE(CONTROL!$C$21, $C$9, 100%, $E$9)</f>
        <v>54.569600000000001</v>
      </c>
      <c r="J725" s="14">
        <f>CHOOSE(CONTROL!$C$42, 54.3731, 54.3731)* CHOOSE(CONTROL!$C$21, $C$9, 100%, $E$9)</f>
        <v>54.373100000000001</v>
      </c>
      <c r="K725" s="53">
        <f>CHOOSE(CONTROL!$C$42, 54.5657, 54.5657) * CHOOSE(CONTROL!$C$21, $C$9, 100%, $E$9)</f>
        <v>54.5657</v>
      </c>
      <c r="L725" s="14">
        <f>CHOOSE(CONTROL!$C$42, 55.2321, 55.2321) * CHOOSE(CONTROL!$C$21, $C$9, 100%, $E$9)</f>
        <v>55.232100000000003</v>
      </c>
      <c r="M725" s="14">
        <f>CHOOSE(CONTROL!$C$42, 53.2668, 53.2668) * CHOOSE(CONTROL!$C$21, $C$9, 100%, $E$9)</f>
        <v>53.266800000000003</v>
      </c>
      <c r="N725" s="14">
        <f>CHOOSE(CONTROL!$C$42, 53.2828, 53.2828) * CHOOSE(CONTROL!$C$21, $C$9, 100%, $E$9)</f>
        <v>53.282800000000002</v>
      </c>
      <c r="O725" s="14">
        <f>CHOOSE(CONTROL!$C$42, 53.5331, 53.5331) * CHOOSE(CONTROL!$C$21, $C$9, 100%, $E$9)</f>
        <v>53.533099999999997</v>
      </c>
      <c r="P725" s="14">
        <f>CHOOSE(CONTROL!$C$42, 53.4558, 53.4558) * CHOOSE(CONTROL!$C$21, $C$9, 100%, $E$9)</f>
        <v>53.455800000000004</v>
      </c>
      <c r="Q725" s="14">
        <f>CHOOSE(CONTROL!$C$42, 54.1278, 54.1278) * CHOOSE(CONTROL!$C$21, $C$9, 100%, $E$9)</f>
        <v>54.127800000000001</v>
      </c>
      <c r="R725" s="14">
        <f>CHOOSE(CONTROL!$C$42, 54.8502, 54.8502) * CHOOSE(CONTROL!$C$21, $C$9, 100%, $E$9)</f>
        <v>54.850200000000001</v>
      </c>
      <c r="S725" s="14">
        <f>CHOOSE(CONTROL!$C$42, 52.2463, 52.2463) * CHOOSE(CONTROL!$C$21, $C$9, 100%, $E$9)</f>
        <v>52.246299999999998</v>
      </c>
      <c r="T7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7">
        <f>(1000*CHOOSE(CONTROL!$C$42, 695, 695)*CHOOSE(CONTROL!$C$42, 0.5599, 0.5599)*CHOOSE(CONTROL!$C$42, 31, 31))/1000000</f>
        <v>12.063045499999998</v>
      </c>
      <c r="V725" s="57">
        <f>(1000*CHOOSE(CONTROL!$C$42, 500, 500)*CHOOSE(CONTROL!$C$42, 0.275, 0.275)*CHOOSE(CONTROL!$C$42, 31, 31))/1000000</f>
        <v>4.2625000000000002</v>
      </c>
      <c r="W725" s="57">
        <f>(1000*CHOOSE(CONTROL!$C$42, 0.1146, 0.1146)*CHOOSE(CONTROL!$C$42, 121.5, 121.5)*CHOOSE(CONTROL!$C$42, 31, 31))/1000000</f>
        <v>0.43164089999999994</v>
      </c>
      <c r="X725" s="57">
        <f>(31*0.1790888*245000/1000000)+(31*0.2374*100000/1000000)</f>
        <v>2.0961194359999999</v>
      </c>
      <c r="Y725" s="57"/>
      <c r="Z725" s="14"/>
      <c r="AA725" s="56"/>
      <c r="AB725" s="50">
        <f>(B725*194.205+C725*267.466+D725*133.845+E725*53.484+F725*40+G725*185+H725*0+I725*100+J725*300)/(194.205+267.466+133.845+53.484+0+40+185+100+300)</f>
        <v>54.435915432025119</v>
      </c>
      <c r="AC725" s="45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53.415612230215828</v>
      </c>
    </row>
    <row r="726" spans="1:29" ht="15.75" x14ac:dyDescent="0.25">
      <c r="A726" s="32">
        <v>63005</v>
      </c>
      <c r="B726" s="14">
        <f>CHOOSE(CONTROL!$C$42, 55.9257, 55.9257) * CHOOSE(CONTROL!$C$21, $C$9, 100%, $E$9)</f>
        <v>55.925699999999999</v>
      </c>
      <c r="C726" s="14">
        <f>CHOOSE(CONTROL!$C$42, 55.9337, 55.9337) * CHOOSE(CONTROL!$C$21, $C$9, 100%, $E$9)</f>
        <v>55.933700000000002</v>
      </c>
      <c r="D726" s="14">
        <f>CHOOSE(CONTROL!$C$42, 56.1673, 56.1673) * CHOOSE(CONTROL!$C$21, $C$9, 100%, $E$9)</f>
        <v>56.167299999999997</v>
      </c>
      <c r="E726" s="14">
        <f>CHOOSE(CONTROL!$C$42, 56.1988, 56.1988) * CHOOSE(CONTROL!$C$21, $C$9, 100%, $E$9)</f>
        <v>56.198799999999999</v>
      </c>
      <c r="F726" s="14">
        <f>CHOOSE(CONTROL!$C$42, 55.9229, 55.9229)*CHOOSE(CONTROL!$C$21, $C$9, 100%, $E$9)</f>
        <v>55.922899999999998</v>
      </c>
      <c r="G726" s="14">
        <f>CHOOSE(CONTROL!$C$42, 55.9394, 55.9394)*CHOOSE(CONTROL!$C$21, $C$9, 100%, $E$9)</f>
        <v>55.939399999999999</v>
      </c>
      <c r="H726" s="14">
        <f>CHOOSE(CONTROL!$C$42, 56.1874, 56.1874) * CHOOSE(CONTROL!$C$21, $C$9, 100%, $E$9)</f>
        <v>56.187399999999997</v>
      </c>
      <c r="I726" s="14">
        <f>CHOOSE(CONTROL!$C$42, 56.1167, 56.1167)* CHOOSE(CONTROL!$C$21, $C$9, 100%, $E$9)</f>
        <v>56.116700000000002</v>
      </c>
      <c r="J726" s="14">
        <f>CHOOSE(CONTROL!$C$42, 55.9159, 55.9159)* CHOOSE(CONTROL!$C$21, $C$9, 100%, $E$9)</f>
        <v>55.915900000000001</v>
      </c>
      <c r="K726" s="53">
        <f>CHOOSE(CONTROL!$C$42, 56.1128, 56.1128) * CHOOSE(CONTROL!$C$21, $C$9, 100%, $E$9)</f>
        <v>56.1128</v>
      </c>
      <c r="L726" s="14">
        <f>CHOOSE(CONTROL!$C$42, 56.7744, 56.7744) * CHOOSE(CONTROL!$C$21, $C$9, 100%, $E$9)</f>
        <v>56.7744</v>
      </c>
      <c r="M726" s="14">
        <f>CHOOSE(CONTROL!$C$42, 54.778, 54.778) * CHOOSE(CONTROL!$C$21, $C$9, 100%, $E$9)</f>
        <v>54.777999999999999</v>
      </c>
      <c r="N726" s="14">
        <f>CHOOSE(CONTROL!$C$42, 54.7941, 54.7941) * CHOOSE(CONTROL!$C$21, $C$9, 100%, $E$9)</f>
        <v>54.7941</v>
      </c>
      <c r="O726" s="14">
        <f>CHOOSE(CONTROL!$C$42, 55.0439, 55.0439) * CHOOSE(CONTROL!$C$21, $C$9, 100%, $E$9)</f>
        <v>55.043900000000001</v>
      </c>
      <c r="P726" s="14">
        <f>CHOOSE(CONTROL!$C$42, 54.9712, 54.9712) * CHOOSE(CONTROL!$C$21, $C$9, 100%, $E$9)</f>
        <v>54.971200000000003</v>
      </c>
      <c r="Q726" s="14">
        <f>CHOOSE(CONTROL!$C$42, 55.6386, 55.6386) * CHOOSE(CONTROL!$C$21, $C$9, 100%, $E$9)</f>
        <v>55.638599999999997</v>
      </c>
      <c r="R726" s="14">
        <f>CHOOSE(CONTROL!$C$42, 56.3646, 56.3646) * CHOOSE(CONTROL!$C$21, $C$9, 100%, $E$9)</f>
        <v>56.364600000000003</v>
      </c>
      <c r="S726" s="14">
        <f>CHOOSE(CONTROL!$C$42, 53.7284, 53.7284) * CHOOSE(CONTROL!$C$21, $C$9, 100%, $E$9)</f>
        <v>53.728400000000001</v>
      </c>
      <c r="T7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7">
        <f>(1000*CHOOSE(CONTROL!$C$42, 695, 695)*CHOOSE(CONTROL!$C$42, 0.5599, 0.5599)*CHOOSE(CONTROL!$C$42, 30, 30))/1000000</f>
        <v>11.673914999999997</v>
      </c>
      <c r="V726" s="57">
        <f>(1000*CHOOSE(CONTROL!$C$42, 500, 500)*CHOOSE(CONTROL!$C$42, 0.275, 0.275)*CHOOSE(CONTROL!$C$42, 30, 30))/1000000</f>
        <v>4.125</v>
      </c>
      <c r="W726" s="57">
        <f>(1000*CHOOSE(CONTROL!$C$42, 0.1146, 0.1146)*CHOOSE(CONTROL!$C$42, 121.5, 121.5)*CHOOSE(CONTROL!$C$42, 30, 30))/1000000</f>
        <v>0.417717</v>
      </c>
      <c r="X726" s="57">
        <f>(30*0.1790888*245000/1000000)+(30*0.2374*100000/1000000)</f>
        <v>2.0285026799999999</v>
      </c>
      <c r="Y726" s="57"/>
      <c r="Z726" s="14"/>
      <c r="AA726" s="56"/>
      <c r="AB726" s="50">
        <f>(B726*194.205+C726*267.466+D726*133.845+E726*53.484+F726*40+G726*185+H726*0+I726*100+J726*300)/(194.205+267.466+133.845+53.484+0+40+185+100+300)</f>
        <v>55.978812763265303</v>
      </c>
      <c r="AC726" s="45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54.927241007194247</v>
      </c>
    </row>
    <row r="727" spans="1:29" ht="15.75" x14ac:dyDescent="0.25">
      <c r="A727" s="32">
        <v>63036</v>
      </c>
      <c r="B727" s="14">
        <f>CHOOSE(CONTROL!$C$42, 54.853, 54.853) * CHOOSE(CONTROL!$C$21, $C$9, 100%, $E$9)</f>
        <v>54.853000000000002</v>
      </c>
      <c r="C727" s="14">
        <f>CHOOSE(CONTROL!$C$42, 54.861, 54.861) * CHOOSE(CONTROL!$C$21, $C$9, 100%, $E$9)</f>
        <v>54.860999999999997</v>
      </c>
      <c r="D727" s="14">
        <f>CHOOSE(CONTROL!$C$42, 55.0946, 55.0946) * CHOOSE(CONTROL!$C$21, $C$9, 100%, $E$9)</f>
        <v>55.0946</v>
      </c>
      <c r="E727" s="14">
        <f>CHOOSE(CONTROL!$C$42, 55.1261, 55.1261) * CHOOSE(CONTROL!$C$21, $C$9, 100%, $E$9)</f>
        <v>55.126100000000001</v>
      </c>
      <c r="F727" s="14">
        <f>CHOOSE(CONTROL!$C$42, 54.8508, 54.8508)*CHOOSE(CONTROL!$C$21, $C$9, 100%, $E$9)</f>
        <v>54.8508</v>
      </c>
      <c r="G727" s="14">
        <f>CHOOSE(CONTROL!$C$42, 54.8674, 54.8674)*CHOOSE(CONTROL!$C$21, $C$9, 100%, $E$9)</f>
        <v>54.867400000000004</v>
      </c>
      <c r="H727" s="14">
        <f>CHOOSE(CONTROL!$C$42, 55.1147, 55.1147) * CHOOSE(CONTROL!$C$21, $C$9, 100%, $E$9)</f>
        <v>55.114699999999999</v>
      </c>
      <c r="I727" s="14">
        <f>CHOOSE(CONTROL!$C$42, 55.0407, 55.0407)* CHOOSE(CONTROL!$C$21, $C$9, 100%, $E$9)</f>
        <v>55.040700000000001</v>
      </c>
      <c r="J727" s="14">
        <f>CHOOSE(CONTROL!$C$42, 54.8438, 54.8438)* CHOOSE(CONTROL!$C$21, $C$9, 100%, $E$9)</f>
        <v>54.843800000000002</v>
      </c>
      <c r="K727" s="53">
        <f>CHOOSE(CONTROL!$C$42, 55.0368, 55.0368) * CHOOSE(CONTROL!$C$21, $C$9, 100%, $E$9)</f>
        <v>55.036799999999999</v>
      </c>
      <c r="L727" s="14">
        <f>CHOOSE(CONTROL!$C$42, 55.7017, 55.7017) * CHOOSE(CONTROL!$C$21, $C$9, 100%, $E$9)</f>
        <v>55.701700000000002</v>
      </c>
      <c r="M727" s="14">
        <f>CHOOSE(CONTROL!$C$42, 53.7278, 53.7278) * CHOOSE(CONTROL!$C$21, $C$9, 100%, $E$9)</f>
        <v>53.727800000000002</v>
      </c>
      <c r="N727" s="14">
        <f>CHOOSE(CONTROL!$C$42, 53.744, 53.744) * CHOOSE(CONTROL!$C$21, $C$9, 100%, $E$9)</f>
        <v>53.744</v>
      </c>
      <c r="O727" s="14">
        <f>CHOOSE(CONTROL!$C$42, 53.9931, 53.9931) * CHOOSE(CONTROL!$C$21, $C$9, 100%, $E$9)</f>
        <v>53.993099999999998</v>
      </c>
      <c r="P727" s="14">
        <f>CHOOSE(CONTROL!$C$42, 53.9172, 53.9172) * CHOOSE(CONTROL!$C$21, $C$9, 100%, $E$9)</f>
        <v>53.917200000000001</v>
      </c>
      <c r="Q727" s="14">
        <f>CHOOSE(CONTROL!$C$42, 54.5878, 54.5878) * CHOOSE(CONTROL!$C$21, $C$9, 100%, $E$9)</f>
        <v>54.587800000000001</v>
      </c>
      <c r="R727" s="14">
        <f>CHOOSE(CONTROL!$C$42, 55.3113, 55.3113) * CHOOSE(CONTROL!$C$21, $C$9, 100%, $E$9)</f>
        <v>55.311300000000003</v>
      </c>
      <c r="S727" s="14">
        <f>CHOOSE(CONTROL!$C$42, 52.6976, 52.6976) * CHOOSE(CONTROL!$C$21, $C$9, 100%, $E$9)</f>
        <v>52.697600000000001</v>
      </c>
      <c r="T7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7">
        <f>(1000*CHOOSE(CONTROL!$C$42, 695, 695)*CHOOSE(CONTROL!$C$42, 0.5599, 0.5599)*CHOOSE(CONTROL!$C$42, 31, 31))/1000000</f>
        <v>12.063045499999998</v>
      </c>
      <c r="V727" s="57">
        <f>(1000*CHOOSE(CONTROL!$C$42, 500, 500)*CHOOSE(CONTROL!$C$42, 0.275, 0.275)*CHOOSE(CONTROL!$C$42, 31, 31))/1000000</f>
        <v>4.2625000000000002</v>
      </c>
      <c r="W727" s="57">
        <f>(1000*CHOOSE(CONTROL!$C$42, 0.1146, 0.1146)*CHOOSE(CONTROL!$C$42, 121.5, 121.5)*CHOOSE(CONTROL!$C$42, 31, 31))/1000000</f>
        <v>0.43164089999999994</v>
      </c>
      <c r="X727" s="57">
        <f>(31*0.1790888*245000/1000000)+(31*0.2374*100000/1000000)</f>
        <v>2.0961194359999999</v>
      </c>
      <c r="Y727" s="57"/>
      <c r="Z727" s="14"/>
      <c r="AA727" s="56"/>
      <c r="AB727" s="50">
        <f>(B727*194.205+C727*267.466+D727*133.845+E727*53.484+F727*40+G727*185+H727*0+I727*100+J727*300)/(194.205+267.466+133.845+53.484+0+40+185+100+300)</f>
        <v>54.906115510518056</v>
      </c>
      <c r="AC727" s="45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53.876228057553952</v>
      </c>
    </row>
    <row r="728" spans="1:29" ht="15.75" x14ac:dyDescent="0.25">
      <c r="A728" s="32">
        <v>63067</v>
      </c>
      <c r="B728" s="14">
        <f>CHOOSE(CONTROL!$C$42, 52.1441, 52.1441) * CHOOSE(CONTROL!$C$21, $C$9, 100%, $E$9)</f>
        <v>52.144100000000002</v>
      </c>
      <c r="C728" s="14">
        <f>CHOOSE(CONTROL!$C$42, 52.1522, 52.1522) * CHOOSE(CONTROL!$C$21, $C$9, 100%, $E$9)</f>
        <v>52.152200000000001</v>
      </c>
      <c r="D728" s="14">
        <f>CHOOSE(CONTROL!$C$42, 52.3857, 52.3857) * CHOOSE(CONTROL!$C$21, $C$9, 100%, $E$9)</f>
        <v>52.3857</v>
      </c>
      <c r="E728" s="14">
        <f>CHOOSE(CONTROL!$C$42, 52.4172, 52.4172) * CHOOSE(CONTROL!$C$21, $C$9, 100%, $E$9)</f>
        <v>52.417200000000001</v>
      </c>
      <c r="F728" s="14">
        <f>CHOOSE(CONTROL!$C$42, 52.1421, 52.1421)*CHOOSE(CONTROL!$C$21, $C$9, 100%, $E$9)</f>
        <v>52.142099999999999</v>
      </c>
      <c r="G728" s="14">
        <f>CHOOSE(CONTROL!$C$42, 52.1588, 52.1588)*CHOOSE(CONTROL!$C$21, $C$9, 100%, $E$9)</f>
        <v>52.158799999999999</v>
      </c>
      <c r="H728" s="14">
        <f>CHOOSE(CONTROL!$C$42, 52.4058, 52.4058) * CHOOSE(CONTROL!$C$21, $C$9, 100%, $E$9)</f>
        <v>52.405799999999999</v>
      </c>
      <c r="I728" s="14">
        <f>CHOOSE(CONTROL!$C$42, 52.3233, 52.3233)* CHOOSE(CONTROL!$C$21, $C$9, 100%, $E$9)</f>
        <v>52.323300000000003</v>
      </c>
      <c r="J728" s="14">
        <f>CHOOSE(CONTROL!$C$42, 52.1351, 52.1351)* CHOOSE(CONTROL!$C$21, $C$9, 100%, $E$9)</f>
        <v>52.135100000000001</v>
      </c>
      <c r="K728" s="53">
        <f>CHOOSE(CONTROL!$C$42, 52.3194, 52.3194) * CHOOSE(CONTROL!$C$21, $C$9, 100%, $E$9)</f>
        <v>52.319400000000002</v>
      </c>
      <c r="L728" s="14">
        <f>CHOOSE(CONTROL!$C$42, 52.9928, 52.9928) * CHOOSE(CONTROL!$C$21, $C$9, 100%, $E$9)</f>
        <v>52.992800000000003</v>
      </c>
      <c r="M728" s="14">
        <f>CHOOSE(CONTROL!$C$42, 51.0746, 51.0746) * CHOOSE(CONTROL!$C$21, $C$9, 100%, $E$9)</f>
        <v>51.074599999999997</v>
      </c>
      <c r="N728" s="14">
        <f>CHOOSE(CONTROL!$C$42, 51.0909, 51.0909) * CHOOSE(CONTROL!$C$21, $C$9, 100%, $E$9)</f>
        <v>51.090899999999998</v>
      </c>
      <c r="O728" s="14">
        <f>CHOOSE(CONTROL!$C$42, 51.3398, 51.3398) * CHOOSE(CONTROL!$C$21, $C$9, 100%, $E$9)</f>
        <v>51.339799999999997</v>
      </c>
      <c r="P728" s="14">
        <f>CHOOSE(CONTROL!$C$42, 51.2557, 51.2557) * CHOOSE(CONTROL!$C$21, $C$9, 100%, $E$9)</f>
        <v>51.255699999999997</v>
      </c>
      <c r="Q728" s="14">
        <f>CHOOSE(CONTROL!$C$42, 51.9345, 51.9345) * CHOOSE(CONTROL!$C$21, $C$9, 100%, $E$9)</f>
        <v>51.9345</v>
      </c>
      <c r="R728" s="14">
        <f>CHOOSE(CONTROL!$C$42, 52.6513, 52.6513) * CHOOSE(CONTROL!$C$21, $C$9, 100%, $E$9)</f>
        <v>52.651299999999999</v>
      </c>
      <c r="S728" s="14">
        <f>CHOOSE(CONTROL!$C$42, 50.0947, 50.0947) * CHOOSE(CONTROL!$C$21, $C$9, 100%, $E$9)</f>
        <v>50.094700000000003</v>
      </c>
      <c r="T7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7">
        <f>(1000*CHOOSE(CONTROL!$C$42, 695, 695)*CHOOSE(CONTROL!$C$42, 0.5599, 0.5599)*CHOOSE(CONTROL!$C$42, 31, 31))/1000000</f>
        <v>12.063045499999998</v>
      </c>
      <c r="V728" s="57">
        <f>(1000*CHOOSE(CONTROL!$C$42, 500, 500)*CHOOSE(CONTROL!$C$42, 0.275, 0.275)*CHOOSE(CONTROL!$C$42, 31, 31))/1000000</f>
        <v>4.2625000000000002</v>
      </c>
      <c r="W728" s="57">
        <f>(1000*CHOOSE(CONTROL!$C$42, 0.1146, 0.1146)*CHOOSE(CONTROL!$C$42, 121.5, 121.5)*CHOOSE(CONTROL!$C$42, 31, 31))/1000000</f>
        <v>0.43164089999999994</v>
      </c>
      <c r="X728" s="57">
        <f>(31*0.1790888*245000/1000000)+(31*0.2374*100000/1000000)</f>
        <v>2.0961194359999999</v>
      </c>
      <c r="Y728" s="57"/>
      <c r="Z728" s="14"/>
      <c r="AA728" s="56"/>
      <c r="AB728" s="50">
        <f>(B728*194.205+C728*267.466+D728*133.845+E728*53.484+F728*40+G728*185+H728*0+I728*100+J728*300)/(194.205+267.466+133.845+53.484+0+40+185+100+300)</f>
        <v>52.196666253532179</v>
      </c>
      <c r="AC728" s="45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51.221794244604311</v>
      </c>
    </row>
    <row r="729" spans="1:29" ht="15.75" x14ac:dyDescent="0.25">
      <c r="A729" s="32">
        <v>63097</v>
      </c>
      <c r="B729" s="14">
        <f>CHOOSE(CONTROL!$C$42, 48.8339, 48.8339) * CHOOSE(CONTROL!$C$21, $C$9, 100%, $E$9)</f>
        <v>48.8339</v>
      </c>
      <c r="C729" s="14">
        <f>CHOOSE(CONTROL!$C$42, 48.842, 48.842) * CHOOSE(CONTROL!$C$21, $C$9, 100%, $E$9)</f>
        <v>48.841999999999999</v>
      </c>
      <c r="D729" s="14">
        <f>CHOOSE(CONTROL!$C$42, 49.0755, 49.0755) * CHOOSE(CONTROL!$C$21, $C$9, 100%, $E$9)</f>
        <v>49.075499999999998</v>
      </c>
      <c r="E729" s="14">
        <f>CHOOSE(CONTROL!$C$42, 49.107, 49.107) * CHOOSE(CONTROL!$C$21, $C$9, 100%, $E$9)</f>
        <v>49.106999999999999</v>
      </c>
      <c r="F729" s="14">
        <f>CHOOSE(CONTROL!$C$42, 48.8319, 48.8319)*CHOOSE(CONTROL!$C$21, $C$9, 100%, $E$9)</f>
        <v>48.831899999999997</v>
      </c>
      <c r="G729" s="14">
        <f>CHOOSE(CONTROL!$C$42, 48.8486, 48.8486)*CHOOSE(CONTROL!$C$21, $C$9, 100%, $E$9)</f>
        <v>48.848599999999998</v>
      </c>
      <c r="H729" s="14">
        <f>CHOOSE(CONTROL!$C$42, 49.0956, 49.0956) * CHOOSE(CONTROL!$C$21, $C$9, 100%, $E$9)</f>
        <v>49.095599999999997</v>
      </c>
      <c r="I729" s="14">
        <f>CHOOSE(CONTROL!$C$42, 49.0028, 49.0028)* CHOOSE(CONTROL!$C$21, $C$9, 100%, $E$9)</f>
        <v>49.002800000000001</v>
      </c>
      <c r="J729" s="14">
        <f>CHOOSE(CONTROL!$C$42, 48.8249, 48.8249)* CHOOSE(CONTROL!$C$21, $C$9, 100%, $E$9)</f>
        <v>48.8249</v>
      </c>
      <c r="K729" s="53">
        <f>CHOOSE(CONTROL!$C$42, 48.9989, 48.9989) * CHOOSE(CONTROL!$C$21, $C$9, 100%, $E$9)</f>
        <v>48.998899999999999</v>
      </c>
      <c r="L729" s="14">
        <f>CHOOSE(CONTROL!$C$42, 49.6826, 49.6826) * CHOOSE(CONTROL!$C$21, $C$9, 100%, $E$9)</f>
        <v>49.682600000000001</v>
      </c>
      <c r="M729" s="14">
        <f>CHOOSE(CONTROL!$C$42, 47.8322, 47.8322) * CHOOSE(CONTROL!$C$21, $C$9, 100%, $E$9)</f>
        <v>47.8322</v>
      </c>
      <c r="N729" s="14">
        <f>CHOOSE(CONTROL!$C$42, 47.8486, 47.8486) * CHOOSE(CONTROL!$C$21, $C$9, 100%, $E$9)</f>
        <v>47.848599999999998</v>
      </c>
      <c r="O729" s="14">
        <f>CHOOSE(CONTROL!$C$42, 48.0974, 48.0974) * CHOOSE(CONTROL!$C$21, $C$9, 100%, $E$9)</f>
        <v>48.0974</v>
      </c>
      <c r="P729" s="14">
        <f>CHOOSE(CONTROL!$C$42, 48.0034, 48.0034) * CHOOSE(CONTROL!$C$21, $C$9, 100%, $E$9)</f>
        <v>48.003399999999999</v>
      </c>
      <c r="Q729" s="14">
        <f>CHOOSE(CONTROL!$C$42, 48.6921, 48.6921) * CHOOSE(CONTROL!$C$21, $C$9, 100%, $E$9)</f>
        <v>48.692100000000003</v>
      </c>
      <c r="R729" s="14">
        <f>CHOOSE(CONTROL!$C$42, 49.4008, 49.4008) * CHOOSE(CONTROL!$C$21, $C$9, 100%, $E$9)</f>
        <v>49.400799999999997</v>
      </c>
      <c r="S729" s="14">
        <f>CHOOSE(CONTROL!$C$42, 46.9139, 46.9139) * CHOOSE(CONTROL!$C$21, $C$9, 100%, $E$9)</f>
        <v>46.913899999999998</v>
      </c>
      <c r="T7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7">
        <f>(1000*CHOOSE(CONTROL!$C$42, 695, 695)*CHOOSE(CONTROL!$C$42, 0.5599, 0.5599)*CHOOSE(CONTROL!$C$42, 30, 30))/1000000</f>
        <v>11.673914999999997</v>
      </c>
      <c r="V729" s="57">
        <f>(1000*CHOOSE(CONTROL!$C$42, 500, 500)*CHOOSE(CONTROL!$C$42, 0.275, 0.275)*CHOOSE(CONTROL!$C$42, 30, 30))/1000000</f>
        <v>4.125</v>
      </c>
      <c r="W729" s="57">
        <f>(1000*CHOOSE(CONTROL!$C$42, 0.1146, 0.1146)*CHOOSE(CONTROL!$C$42, 121.5, 121.5)*CHOOSE(CONTROL!$C$42, 30, 30))/1000000</f>
        <v>0.417717</v>
      </c>
      <c r="X729" s="57">
        <f>(30*0.1790888*245000/1000000)+(30*0.2374*100000/1000000)</f>
        <v>2.0285026799999999</v>
      </c>
      <c r="Y729" s="57"/>
      <c r="Z729" s="14"/>
      <c r="AA729" s="56"/>
      <c r="AB729" s="50">
        <f>(B729*194.205+C729*267.466+D729*133.845+E729*53.484+F729*40+G729*185+H729*0+I729*100+J729*300)/(194.205+267.466+133.845+53.484+0+40+185+100+300)</f>
        <v>48.885657776295133</v>
      </c>
      <c r="AC729" s="45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47.977975539568341</v>
      </c>
    </row>
    <row r="730" spans="1:29" ht="15.75" x14ac:dyDescent="0.25">
      <c r="A730" s="32">
        <v>63128</v>
      </c>
      <c r="B730" s="14">
        <f>CHOOSE(CONTROL!$C$42, 47.8409, 47.8409) * CHOOSE(CONTROL!$C$21, $C$9, 100%, $E$9)</f>
        <v>47.840899999999998</v>
      </c>
      <c r="C730" s="14">
        <f>CHOOSE(CONTROL!$C$42, 47.8462, 47.8462) * CHOOSE(CONTROL!$C$21, $C$9, 100%, $E$9)</f>
        <v>47.846200000000003</v>
      </c>
      <c r="D730" s="14">
        <f>CHOOSE(CONTROL!$C$42, 48.0848, 48.0848) * CHOOSE(CONTROL!$C$21, $C$9, 100%, $E$9)</f>
        <v>48.084800000000001</v>
      </c>
      <c r="E730" s="14">
        <f>CHOOSE(CONTROL!$C$42, 48.1139, 48.1139) * CHOOSE(CONTROL!$C$21, $C$9, 100%, $E$9)</f>
        <v>48.113900000000001</v>
      </c>
      <c r="F730" s="14">
        <f>CHOOSE(CONTROL!$C$42, 47.8409, 47.8409)*CHOOSE(CONTROL!$C$21, $C$9, 100%, $E$9)</f>
        <v>47.840899999999998</v>
      </c>
      <c r="G730" s="14">
        <f>CHOOSE(CONTROL!$C$42, 47.8572, 47.8572)*CHOOSE(CONTROL!$C$21, $C$9, 100%, $E$9)</f>
        <v>47.857199999999999</v>
      </c>
      <c r="H730" s="14">
        <f>CHOOSE(CONTROL!$C$42, 48.1044, 48.1044) * CHOOSE(CONTROL!$C$21, $C$9, 100%, $E$9)</f>
        <v>48.104399999999998</v>
      </c>
      <c r="I730" s="14">
        <f>CHOOSE(CONTROL!$C$42, 48.0084, 48.0084)* CHOOSE(CONTROL!$C$21, $C$9, 100%, $E$9)</f>
        <v>48.008400000000002</v>
      </c>
      <c r="J730" s="14">
        <f>CHOOSE(CONTROL!$C$42, 47.8339, 47.8339)* CHOOSE(CONTROL!$C$21, $C$9, 100%, $E$9)</f>
        <v>47.8339</v>
      </c>
      <c r="K730" s="53">
        <f>CHOOSE(CONTROL!$C$42, 48.0045, 48.0045) * CHOOSE(CONTROL!$C$21, $C$9, 100%, $E$9)</f>
        <v>48.0045</v>
      </c>
      <c r="L730" s="14">
        <f>CHOOSE(CONTROL!$C$42, 48.6914, 48.6914) * CHOOSE(CONTROL!$C$21, $C$9, 100%, $E$9)</f>
        <v>48.691400000000002</v>
      </c>
      <c r="M730" s="14">
        <f>CHOOSE(CONTROL!$C$42, 46.8615, 46.8615) * CHOOSE(CONTROL!$C$21, $C$9, 100%, $E$9)</f>
        <v>46.861499999999999</v>
      </c>
      <c r="N730" s="14">
        <f>CHOOSE(CONTROL!$C$42, 46.8775, 46.8775) * CHOOSE(CONTROL!$C$21, $C$9, 100%, $E$9)</f>
        <v>46.877499999999998</v>
      </c>
      <c r="O730" s="14">
        <f>CHOOSE(CONTROL!$C$42, 47.1264, 47.1264) * CHOOSE(CONTROL!$C$21, $C$9, 100%, $E$9)</f>
        <v>47.126399999999997</v>
      </c>
      <c r="P730" s="14">
        <f>CHOOSE(CONTROL!$C$42, 47.0295, 47.0295) * CHOOSE(CONTROL!$C$21, $C$9, 100%, $E$9)</f>
        <v>47.029499999999999</v>
      </c>
      <c r="Q730" s="14">
        <f>CHOOSE(CONTROL!$C$42, 47.7211, 47.7211) * CHOOSE(CONTROL!$C$21, $C$9, 100%, $E$9)</f>
        <v>47.7211</v>
      </c>
      <c r="R730" s="14">
        <f>CHOOSE(CONTROL!$C$42, 48.4274, 48.4274) * CHOOSE(CONTROL!$C$21, $C$9, 100%, $E$9)</f>
        <v>48.427399999999999</v>
      </c>
      <c r="S730" s="14">
        <f>CHOOSE(CONTROL!$C$42, 45.9614, 45.9614) * CHOOSE(CONTROL!$C$21, $C$9, 100%, $E$9)</f>
        <v>45.961399999999998</v>
      </c>
      <c r="T7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7">
        <f>(1000*CHOOSE(CONTROL!$C$42, 695, 695)*CHOOSE(CONTROL!$C$42, 0.5599, 0.5599)*CHOOSE(CONTROL!$C$42, 31, 31))/1000000</f>
        <v>12.063045499999998</v>
      </c>
      <c r="V730" s="57">
        <f>(1000*CHOOSE(CONTROL!$C$42, 500, 500)*CHOOSE(CONTROL!$C$42, 0.275, 0.275)*CHOOSE(CONTROL!$C$42, 31, 31))/1000000</f>
        <v>4.2625000000000002</v>
      </c>
      <c r="W730" s="57">
        <f>(1000*CHOOSE(CONTROL!$C$42, 0.1146, 0.1146)*CHOOSE(CONTROL!$C$42, 121.5, 121.5)*CHOOSE(CONTROL!$C$42, 31, 31))/1000000</f>
        <v>0.43164089999999994</v>
      </c>
      <c r="X730" s="57">
        <f>(31*0.1790888*245000/1000000)+(31*0.2374*100000/1000000)</f>
        <v>2.0961194359999999</v>
      </c>
      <c r="Y730" s="57"/>
      <c r="Z730" s="14"/>
      <c r="AA730" s="56"/>
      <c r="AB730" s="50">
        <f>(B730*131.881+C730*277.167+D730*79.08+E730*125.872+F730*40+G730*185+H730*0+I730*100+J730*300)/(131.881+277.167+79.08+125.872+0+40+185+100+300)</f>
        <v>47.89964507917675</v>
      </c>
      <c r="AC730" s="45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47.006656115107916</v>
      </c>
    </row>
    <row r="731" spans="1:29" ht="15.75" x14ac:dyDescent="0.25">
      <c r="A731" s="32">
        <v>63158</v>
      </c>
      <c r="B731" s="14">
        <f>CHOOSE(CONTROL!$C$42, 49.1006, 49.1006) * CHOOSE(CONTROL!$C$21, $C$9, 100%, $E$9)</f>
        <v>49.1006</v>
      </c>
      <c r="C731" s="14">
        <f>CHOOSE(CONTROL!$C$42, 49.1056, 49.1056) * CHOOSE(CONTROL!$C$21, $C$9, 100%, $E$9)</f>
        <v>49.105600000000003</v>
      </c>
      <c r="D731" s="14">
        <f>CHOOSE(CONTROL!$C$42, 49.1798, 49.1798) * CHOOSE(CONTROL!$C$21, $C$9, 100%, $E$9)</f>
        <v>49.1798</v>
      </c>
      <c r="E731" s="14">
        <f>CHOOSE(CONTROL!$C$42, 49.2139, 49.2139) * CHOOSE(CONTROL!$C$21, $C$9, 100%, $E$9)</f>
        <v>49.213900000000002</v>
      </c>
      <c r="F731" s="14">
        <f>CHOOSE(CONTROL!$C$42, 49.1126, 49.1126)*CHOOSE(CONTROL!$C$21, $C$9, 100%, $E$9)</f>
        <v>49.1126</v>
      </c>
      <c r="G731" s="14">
        <f>CHOOSE(CONTROL!$C$42, 49.1292, 49.1292)*CHOOSE(CONTROL!$C$21, $C$9, 100%, $E$9)</f>
        <v>49.129199999999997</v>
      </c>
      <c r="H731" s="14">
        <f>CHOOSE(CONTROL!$C$42, 49.2031, 49.2031) * CHOOSE(CONTROL!$C$21, $C$9, 100%, $E$9)</f>
        <v>49.203099999999999</v>
      </c>
      <c r="I731" s="14">
        <f>CHOOSE(CONTROL!$C$42, 49.2787, 49.2787)* CHOOSE(CONTROL!$C$21, $C$9, 100%, $E$9)</f>
        <v>49.278700000000001</v>
      </c>
      <c r="J731" s="14">
        <f>CHOOSE(CONTROL!$C$42, 49.1056, 49.1056)* CHOOSE(CONTROL!$C$21, $C$9, 100%, $E$9)</f>
        <v>49.105600000000003</v>
      </c>
      <c r="K731" s="53">
        <f>CHOOSE(CONTROL!$C$42, 49.2748, 49.2748) * CHOOSE(CONTROL!$C$21, $C$9, 100%, $E$9)</f>
        <v>49.274799999999999</v>
      </c>
      <c r="L731" s="14">
        <f>CHOOSE(CONTROL!$C$42, 49.7901, 49.7901) * CHOOSE(CONTROL!$C$21, $C$9, 100%, $E$9)</f>
        <v>49.790100000000002</v>
      </c>
      <c r="M731" s="14">
        <f>CHOOSE(CONTROL!$C$42, 48.1072, 48.1072) * CHOOSE(CONTROL!$C$21, $C$9, 100%, $E$9)</f>
        <v>48.107199999999999</v>
      </c>
      <c r="N731" s="14">
        <f>CHOOSE(CONTROL!$C$42, 48.1234, 48.1234) * CHOOSE(CONTROL!$C$21, $C$9, 100%, $E$9)</f>
        <v>48.123399999999997</v>
      </c>
      <c r="O731" s="14">
        <f>CHOOSE(CONTROL!$C$42, 48.2027, 48.2027) * CHOOSE(CONTROL!$C$21, $C$9, 100%, $E$9)</f>
        <v>48.2027</v>
      </c>
      <c r="P731" s="14">
        <f>CHOOSE(CONTROL!$C$42, 48.2737, 48.2737) * CHOOSE(CONTROL!$C$21, $C$9, 100%, $E$9)</f>
        <v>48.273699999999998</v>
      </c>
      <c r="Q731" s="14">
        <f>CHOOSE(CONTROL!$C$42, 48.7974, 48.7974) * CHOOSE(CONTROL!$C$21, $C$9, 100%, $E$9)</f>
        <v>48.797400000000003</v>
      </c>
      <c r="R731" s="14">
        <f>CHOOSE(CONTROL!$C$42, 49.5064, 49.5064) * CHOOSE(CONTROL!$C$21, $C$9, 100%, $E$9)</f>
        <v>49.506399999999999</v>
      </c>
      <c r="S731" s="14">
        <f>CHOOSE(CONTROL!$C$42, 47.1722, 47.1722) * CHOOSE(CONTROL!$C$21, $C$9, 100%, $E$9)</f>
        <v>47.172199999999997</v>
      </c>
      <c r="T7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7">
        <f>(1000*CHOOSE(CONTROL!$C$42, 695, 695)*CHOOSE(CONTROL!$C$42, 0.5599, 0.5599)*CHOOSE(CONTROL!$C$42, 30, 30))/1000000</f>
        <v>11.673914999999997</v>
      </c>
      <c r="V731" s="57">
        <f>(1000*CHOOSE(CONTROL!$C$42, 500, 500)*CHOOSE(CONTROL!$C$42, 0.275, 0.275)*CHOOSE(CONTROL!$C$42, 30, 30))/1000000</f>
        <v>4.125</v>
      </c>
      <c r="W731" s="57">
        <f>(1000*CHOOSE(CONTROL!$C$42, 0.1146, 0.1146)*CHOOSE(CONTROL!$C$42, 121.5, 121.5)*CHOOSE(CONTROL!$C$42, 30, 30))/1000000</f>
        <v>0.417717</v>
      </c>
      <c r="X731" s="57">
        <f>(30*0.1790888*100000/1000000)+(30*0.2374*100000/1000000)</f>
        <v>1.2494664</v>
      </c>
      <c r="Y731" s="57"/>
      <c r="Z731" s="14"/>
      <c r="AA731" s="56"/>
      <c r="AB731" s="50">
        <f>(B731*122.58+C731*297.941+D731*89.177+E731*40.302+F731*40+G731*160+H731*0+I731*100+J731*300)/(122.58+297.941+89.177+40.302+0+40+160+100+300)</f>
        <v>49.133195426086957</v>
      </c>
      <c r="AC731" s="45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48.175373381294968</v>
      </c>
    </row>
    <row r="732" spans="1:29" ht="15.75" x14ac:dyDescent="0.25">
      <c r="A732" s="32">
        <v>63189</v>
      </c>
      <c r="B732" s="14">
        <f>CHOOSE(CONTROL!$C$42, 52.4475, 52.4475) * CHOOSE(CONTROL!$C$21, $C$9, 100%, $E$9)</f>
        <v>52.447499999999998</v>
      </c>
      <c r="C732" s="14">
        <f>CHOOSE(CONTROL!$C$42, 52.4526, 52.4526) * CHOOSE(CONTROL!$C$21, $C$9, 100%, $E$9)</f>
        <v>52.452599999999997</v>
      </c>
      <c r="D732" s="14">
        <f>CHOOSE(CONTROL!$C$42, 52.5268, 52.5268) * CHOOSE(CONTROL!$C$21, $C$9, 100%, $E$9)</f>
        <v>52.526800000000001</v>
      </c>
      <c r="E732" s="14">
        <f>CHOOSE(CONTROL!$C$42, 52.5609, 52.5609) * CHOOSE(CONTROL!$C$21, $C$9, 100%, $E$9)</f>
        <v>52.560899999999997</v>
      </c>
      <c r="F732" s="14">
        <f>CHOOSE(CONTROL!$C$42, 52.4618, 52.4618)*CHOOSE(CONTROL!$C$21, $C$9, 100%, $E$9)</f>
        <v>52.461799999999997</v>
      </c>
      <c r="G732" s="14">
        <f>CHOOSE(CONTROL!$C$42, 52.479, 52.479)*CHOOSE(CONTROL!$C$21, $C$9, 100%, $E$9)</f>
        <v>52.478999999999999</v>
      </c>
      <c r="H732" s="14">
        <f>CHOOSE(CONTROL!$C$42, 52.5501, 52.5501) * CHOOSE(CONTROL!$C$21, $C$9, 100%, $E$9)</f>
        <v>52.5501</v>
      </c>
      <c r="I732" s="14">
        <f>CHOOSE(CONTROL!$C$42, 52.6361, 52.6361)* CHOOSE(CONTROL!$C$21, $C$9, 100%, $E$9)</f>
        <v>52.636099999999999</v>
      </c>
      <c r="J732" s="14">
        <f>CHOOSE(CONTROL!$C$42, 52.4548, 52.4548)* CHOOSE(CONTROL!$C$21, $C$9, 100%, $E$9)</f>
        <v>52.454799999999999</v>
      </c>
      <c r="K732" s="53">
        <f>CHOOSE(CONTROL!$C$42, 52.6322, 52.6322) * CHOOSE(CONTROL!$C$21, $C$9, 100%, $E$9)</f>
        <v>52.632199999999997</v>
      </c>
      <c r="L732" s="14">
        <f>CHOOSE(CONTROL!$C$42, 53.1371, 53.1371) * CHOOSE(CONTROL!$C$21, $C$9, 100%, $E$9)</f>
        <v>53.137099999999997</v>
      </c>
      <c r="M732" s="14">
        <f>CHOOSE(CONTROL!$C$42, 51.3877, 51.3877) * CHOOSE(CONTROL!$C$21, $C$9, 100%, $E$9)</f>
        <v>51.387700000000002</v>
      </c>
      <c r="N732" s="14">
        <f>CHOOSE(CONTROL!$C$42, 51.4045, 51.4045) * CHOOSE(CONTROL!$C$21, $C$9, 100%, $E$9)</f>
        <v>51.404499999999999</v>
      </c>
      <c r="O732" s="14">
        <f>CHOOSE(CONTROL!$C$42, 51.4811, 51.4811) * CHOOSE(CONTROL!$C$21, $C$9, 100%, $E$9)</f>
        <v>51.481099999999998</v>
      </c>
      <c r="P732" s="14">
        <f>CHOOSE(CONTROL!$C$42, 51.5621, 51.5621) * CHOOSE(CONTROL!$C$21, $C$9, 100%, $E$9)</f>
        <v>51.562100000000001</v>
      </c>
      <c r="Q732" s="14">
        <f>CHOOSE(CONTROL!$C$42, 52.0758, 52.0758) * CHOOSE(CONTROL!$C$21, $C$9, 100%, $E$9)</f>
        <v>52.075800000000001</v>
      </c>
      <c r="R732" s="14">
        <f>CHOOSE(CONTROL!$C$42, 52.793, 52.793) * CHOOSE(CONTROL!$C$21, $C$9, 100%, $E$9)</f>
        <v>52.792999999999999</v>
      </c>
      <c r="S732" s="14">
        <f>CHOOSE(CONTROL!$C$42, 50.3883, 50.3883) * CHOOSE(CONTROL!$C$21, $C$9, 100%, $E$9)</f>
        <v>50.388300000000001</v>
      </c>
      <c r="T7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7">
        <f>(1000*CHOOSE(CONTROL!$C$42, 695, 695)*CHOOSE(CONTROL!$C$42, 0.5599, 0.5599)*CHOOSE(CONTROL!$C$42, 31, 31))/1000000</f>
        <v>12.063045499999998</v>
      </c>
      <c r="V732" s="57">
        <f>(1000*CHOOSE(CONTROL!$C$42, 500, 500)*CHOOSE(CONTROL!$C$42, 0.275, 0.275)*CHOOSE(CONTROL!$C$42, 31, 31))/1000000</f>
        <v>4.2625000000000002</v>
      </c>
      <c r="W732" s="57">
        <f>(1000*CHOOSE(CONTROL!$C$42, 0.1146, 0.1146)*CHOOSE(CONTROL!$C$42, 121.5, 121.5)*CHOOSE(CONTROL!$C$42, 31, 31))/1000000</f>
        <v>0.43164089999999994</v>
      </c>
      <c r="X732" s="57">
        <f>(31*0.1790888*100000/1000000)+(31*0.2374*100000/1000000)</f>
        <v>1.2911152800000001</v>
      </c>
      <c r="Y732" s="57"/>
      <c r="Z732" s="14"/>
      <c r="AA732" s="56"/>
      <c r="AB732" s="50">
        <f>(B732*122.58+C732*297.941+D732*89.177+E732*40.302+F732*40+G732*160+H732*0+I732*100+J732*300)/(122.58+297.941+89.177+40.302+0+40+160+100+300)</f>
        <v>52.482129114782616</v>
      </c>
      <c r="AC732" s="45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51.456092805755397</v>
      </c>
    </row>
    <row r="733" spans="1:29" ht="15.75" x14ac:dyDescent="0.25">
      <c r="A733" s="32">
        <v>63220</v>
      </c>
      <c r="B733" s="14">
        <f>CHOOSE(CONTROL!$C$42, 56.7947, 56.7947) * CHOOSE(CONTROL!$C$21, $C$9, 100%, $E$9)</f>
        <v>56.794699999999999</v>
      </c>
      <c r="C733" s="14">
        <f>CHOOSE(CONTROL!$C$42, 56.7997, 56.7997) * CHOOSE(CONTROL!$C$21, $C$9, 100%, $E$9)</f>
        <v>56.799700000000001</v>
      </c>
      <c r="D733" s="14">
        <f>CHOOSE(CONTROL!$C$42, 56.8766, 56.8766) * CHOOSE(CONTROL!$C$21, $C$9, 100%, $E$9)</f>
        <v>56.876600000000003</v>
      </c>
      <c r="E733" s="14">
        <f>CHOOSE(CONTROL!$C$42, 56.9107, 56.9107) * CHOOSE(CONTROL!$C$21, $C$9, 100%, $E$9)</f>
        <v>56.910699999999999</v>
      </c>
      <c r="F733" s="14">
        <f>CHOOSE(CONTROL!$C$42, 56.7949, 56.7949)*CHOOSE(CONTROL!$C$21, $C$9, 100%, $E$9)</f>
        <v>56.794899999999998</v>
      </c>
      <c r="G733" s="14">
        <f>CHOOSE(CONTROL!$C$42, 56.8111, 56.8111)*CHOOSE(CONTROL!$C$21, $C$9, 100%, $E$9)</f>
        <v>56.811100000000003</v>
      </c>
      <c r="H733" s="14">
        <f>CHOOSE(CONTROL!$C$42, 56.8999, 56.8999) * CHOOSE(CONTROL!$C$21, $C$9, 100%, $E$9)</f>
        <v>56.899900000000002</v>
      </c>
      <c r="I733" s="14">
        <f>CHOOSE(CONTROL!$C$42, 56.9906, 56.9906)* CHOOSE(CONTROL!$C$21, $C$9, 100%, $E$9)</f>
        <v>56.990600000000001</v>
      </c>
      <c r="J733" s="14">
        <f>CHOOSE(CONTROL!$C$42, 56.7879, 56.7879)* CHOOSE(CONTROL!$C$21, $C$9, 100%, $E$9)</f>
        <v>56.7879</v>
      </c>
      <c r="K733" s="53">
        <f>CHOOSE(CONTROL!$C$42, 56.9867, 56.9867) * CHOOSE(CONTROL!$C$21, $C$9, 100%, $E$9)</f>
        <v>56.986699999999999</v>
      </c>
      <c r="L733" s="14">
        <f>CHOOSE(CONTROL!$C$42, 57.4869, 57.4869) * CHOOSE(CONTROL!$C$21, $C$9, 100%, $E$9)</f>
        <v>57.486899999999999</v>
      </c>
      <c r="M733" s="14">
        <f>CHOOSE(CONTROL!$C$42, 55.632, 55.632) * CHOOSE(CONTROL!$C$21, $C$9, 100%, $E$9)</f>
        <v>55.631999999999998</v>
      </c>
      <c r="N733" s="14">
        <f>CHOOSE(CONTROL!$C$42, 55.6479, 55.6479) * CHOOSE(CONTROL!$C$21, $C$9, 100%, $E$9)</f>
        <v>55.6479</v>
      </c>
      <c r="O733" s="14">
        <f>CHOOSE(CONTROL!$C$42, 55.7417, 55.7417) * CHOOSE(CONTROL!$C$21, $C$9, 100%, $E$9)</f>
        <v>55.741700000000002</v>
      </c>
      <c r="P733" s="14">
        <f>CHOOSE(CONTROL!$C$42, 55.8271, 55.8271) * CHOOSE(CONTROL!$C$21, $C$9, 100%, $E$9)</f>
        <v>55.827100000000002</v>
      </c>
      <c r="Q733" s="14">
        <f>CHOOSE(CONTROL!$C$42, 56.3364, 56.3364) * CHOOSE(CONTROL!$C$21, $C$9, 100%, $E$9)</f>
        <v>56.336399999999998</v>
      </c>
      <c r="R733" s="14">
        <f>CHOOSE(CONTROL!$C$42, 57.0643, 57.0643) * CHOOSE(CONTROL!$C$21, $C$9, 100%, $E$9)</f>
        <v>57.064300000000003</v>
      </c>
      <c r="S733" s="14">
        <f>CHOOSE(CONTROL!$C$42, 54.5655, 54.5655) * CHOOSE(CONTROL!$C$21, $C$9, 100%, $E$9)</f>
        <v>54.5655</v>
      </c>
      <c r="T7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7">
        <f>(1000*CHOOSE(CONTROL!$C$42, 695, 695)*CHOOSE(CONTROL!$C$42, 0.5599, 0.5599)*CHOOSE(CONTROL!$C$42, 31, 31))/1000000</f>
        <v>12.063045499999998</v>
      </c>
      <c r="V733" s="57">
        <f>(1000*CHOOSE(CONTROL!$C$42, 500, 500)*CHOOSE(CONTROL!$C$42, 0.275, 0.275)*CHOOSE(CONTROL!$C$42, 31, 31))/1000000</f>
        <v>4.2625000000000002</v>
      </c>
      <c r="W733" s="57">
        <f>(1000*CHOOSE(CONTROL!$C$42, 0.1146, 0.1146)*CHOOSE(CONTROL!$C$42, 121.5, 121.5)*CHOOSE(CONTROL!$C$42, 31, 31))/1000000</f>
        <v>0.43164089999999994</v>
      </c>
      <c r="X733" s="57">
        <f>(31*0.1790888*100000/1000000)+(31*0.2374*100000/1000000)</f>
        <v>1.2911152800000001</v>
      </c>
      <c r="Y733" s="57"/>
      <c r="Z733" s="14"/>
      <c r="AA733" s="56"/>
      <c r="AB733" s="50">
        <f>(B733*122.58+C733*297.941+D733*89.177+E733*40.302+F733*40+G733*160+H733*0+I733*100+J733*300)/(122.58+297.941+89.177+40.302+0+40+160+100+300)</f>
        <v>56.823961159391303</v>
      </c>
      <c r="AC733" s="45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55.710707194244605</v>
      </c>
    </row>
    <row r="734" spans="1:29" ht="15.75" x14ac:dyDescent="0.25">
      <c r="A734" s="32">
        <v>63248</v>
      </c>
      <c r="B734" s="14">
        <f>CHOOSE(CONTROL!$C$42, 57.8055, 57.8055) * CHOOSE(CONTROL!$C$21, $C$9, 100%, $E$9)</f>
        <v>57.805500000000002</v>
      </c>
      <c r="C734" s="14">
        <f>CHOOSE(CONTROL!$C$42, 57.8106, 57.8106) * CHOOSE(CONTROL!$C$21, $C$9, 100%, $E$9)</f>
        <v>57.810600000000001</v>
      </c>
      <c r="D734" s="14">
        <f>CHOOSE(CONTROL!$C$42, 57.8874, 57.8874) * CHOOSE(CONTROL!$C$21, $C$9, 100%, $E$9)</f>
        <v>57.8874</v>
      </c>
      <c r="E734" s="14">
        <f>CHOOSE(CONTROL!$C$42, 57.9215, 57.9215) * CHOOSE(CONTROL!$C$21, $C$9, 100%, $E$9)</f>
        <v>57.921500000000002</v>
      </c>
      <c r="F734" s="14">
        <f>CHOOSE(CONTROL!$C$42, 57.8058, 57.8058)*CHOOSE(CONTROL!$C$21, $C$9, 100%, $E$9)</f>
        <v>57.805799999999998</v>
      </c>
      <c r="G734" s="14">
        <f>CHOOSE(CONTROL!$C$42, 57.822, 57.822)*CHOOSE(CONTROL!$C$21, $C$9, 100%, $E$9)</f>
        <v>57.822000000000003</v>
      </c>
      <c r="H734" s="14">
        <f>CHOOSE(CONTROL!$C$42, 57.9107, 57.9107) * CHOOSE(CONTROL!$C$21, $C$9, 100%, $E$9)</f>
        <v>57.910699999999999</v>
      </c>
      <c r="I734" s="14">
        <f>CHOOSE(CONTROL!$C$42, 58.0046, 58.0046)* CHOOSE(CONTROL!$C$21, $C$9, 100%, $E$9)</f>
        <v>58.004600000000003</v>
      </c>
      <c r="J734" s="14">
        <f>CHOOSE(CONTROL!$C$42, 57.7988, 57.7988)* CHOOSE(CONTROL!$C$21, $C$9, 100%, $E$9)</f>
        <v>57.7988</v>
      </c>
      <c r="K734" s="53">
        <f>CHOOSE(CONTROL!$C$42, 58.0007, 58.0007) * CHOOSE(CONTROL!$C$21, $C$9, 100%, $E$9)</f>
        <v>58.000700000000002</v>
      </c>
      <c r="L734" s="14">
        <f>CHOOSE(CONTROL!$C$42, 58.4977, 58.4977) * CHOOSE(CONTROL!$C$21, $C$9, 100%, $E$9)</f>
        <v>58.497700000000002</v>
      </c>
      <c r="M734" s="14">
        <f>CHOOSE(CONTROL!$C$42, 56.6222, 56.6222) * CHOOSE(CONTROL!$C$21, $C$9, 100%, $E$9)</f>
        <v>56.622199999999999</v>
      </c>
      <c r="N734" s="14">
        <f>CHOOSE(CONTROL!$C$42, 56.6381, 56.6381) * CHOOSE(CONTROL!$C$21, $C$9, 100%, $E$9)</f>
        <v>56.638100000000001</v>
      </c>
      <c r="O734" s="14">
        <f>CHOOSE(CONTROL!$C$42, 56.7319, 56.7319) * CHOOSE(CONTROL!$C$21, $C$9, 100%, $E$9)</f>
        <v>56.731900000000003</v>
      </c>
      <c r="P734" s="14">
        <f>CHOOSE(CONTROL!$C$42, 56.8203, 56.8203) * CHOOSE(CONTROL!$C$21, $C$9, 100%, $E$9)</f>
        <v>56.820300000000003</v>
      </c>
      <c r="Q734" s="14">
        <f>CHOOSE(CONTROL!$C$42, 57.3266, 57.3266) * CHOOSE(CONTROL!$C$21, $C$9, 100%, $E$9)</f>
        <v>57.326599999999999</v>
      </c>
      <c r="R734" s="14">
        <f>CHOOSE(CONTROL!$C$42, 58.0569, 58.0569) * CHOOSE(CONTROL!$C$21, $C$9, 100%, $E$9)</f>
        <v>58.056899999999999</v>
      </c>
      <c r="S734" s="14">
        <f>CHOOSE(CONTROL!$C$42, 55.5368, 55.5368) * CHOOSE(CONTROL!$C$21, $C$9, 100%, $E$9)</f>
        <v>55.536799999999999</v>
      </c>
      <c r="T7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7">
        <f>(1000*CHOOSE(CONTROL!$C$42, 695, 695)*CHOOSE(CONTROL!$C$42, 0.5599, 0.5599)*CHOOSE(CONTROL!$C$42, 28, 28))/1000000</f>
        <v>10.895653999999999</v>
      </c>
      <c r="V734" s="57">
        <f>(1000*CHOOSE(CONTROL!$C$42, 500, 500)*CHOOSE(CONTROL!$C$42, 0.275, 0.275)*CHOOSE(CONTROL!$C$42, 28, 28))/1000000</f>
        <v>3.85</v>
      </c>
      <c r="W734" s="57">
        <f>(1000*CHOOSE(CONTROL!$C$42, 0.1146, 0.1146)*CHOOSE(CONTROL!$C$42, 121.5, 121.5)*CHOOSE(CONTROL!$C$42, 28, 28))/1000000</f>
        <v>0.38986920000000003</v>
      </c>
      <c r="X734" s="57">
        <f>(28*0.1790888*100000/1000000)+(28*0.2374*100000/1000000)</f>
        <v>1.16616864</v>
      </c>
      <c r="Y734" s="57"/>
      <c r="Z734" s="14"/>
      <c r="AA734" s="56"/>
      <c r="AB734" s="50">
        <f>(B734*122.58+C734*297.941+D734*89.177+E734*40.302+F734*40+G734*160+H734*0+I734*100+J734*300)/(122.58+297.941+89.177+40.302+0+40+160+100+300)</f>
        <v>57.835108806434789</v>
      </c>
      <c r="AC734" s="45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56.701338848920869</v>
      </c>
    </row>
    <row r="735" spans="1:29" ht="15.75" x14ac:dyDescent="0.25">
      <c r="A735" s="32">
        <v>63279</v>
      </c>
      <c r="B735" s="14">
        <f>CHOOSE(CONTROL!$C$42, 56.1647, 56.1647) * CHOOSE(CONTROL!$C$21, $C$9, 100%, $E$9)</f>
        <v>56.164700000000003</v>
      </c>
      <c r="C735" s="14">
        <f>CHOOSE(CONTROL!$C$42, 56.1697, 56.1697) * CHOOSE(CONTROL!$C$21, $C$9, 100%, $E$9)</f>
        <v>56.169699999999999</v>
      </c>
      <c r="D735" s="14">
        <f>CHOOSE(CONTROL!$C$42, 56.2466, 56.2466) * CHOOSE(CONTROL!$C$21, $C$9, 100%, $E$9)</f>
        <v>56.246600000000001</v>
      </c>
      <c r="E735" s="14">
        <f>CHOOSE(CONTROL!$C$42, 56.2807, 56.2807) * CHOOSE(CONTROL!$C$21, $C$9, 100%, $E$9)</f>
        <v>56.280700000000003</v>
      </c>
      <c r="F735" s="14">
        <f>CHOOSE(CONTROL!$C$42, 56.1645, 56.1645)*CHOOSE(CONTROL!$C$21, $C$9, 100%, $E$9)</f>
        <v>56.164499999999997</v>
      </c>
      <c r="G735" s="14">
        <f>CHOOSE(CONTROL!$C$42, 56.1806, 56.1806)*CHOOSE(CONTROL!$C$21, $C$9, 100%, $E$9)</f>
        <v>56.180599999999998</v>
      </c>
      <c r="H735" s="14">
        <f>CHOOSE(CONTROL!$C$42, 56.2699, 56.2699) * CHOOSE(CONTROL!$C$21, $C$9, 100%, $E$9)</f>
        <v>56.2699</v>
      </c>
      <c r="I735" s="14">
        <f>CHOOSE(CONTROL!$C$42, 56.3586, 56.3586)* CHOOSE(CONTROL!$C$21, $C$9, 100%, $E$9)</f>
        <v>56.358600000000003</v>
      </c>
      <c r="J735" s="14">
        <f>CHOOSE(CONTROL!$C$42, 56.1575, 56.1575)* CHOOSE(CONTROL!$C$21, $C$9, 100%, $E$9)</f>
        <v>56.157499999999999</v>
      </c>
      <c r="K735" s="53">
        <f>CHOOSE(CONTROL!$C$42, 56.3547, 56.3547) * CHOOSE(CONTROL!$C$21, $C$9, 100%, $E$9)</f>
        <v>56.354700000000001</v>
      </c>
      <c r="L735" s="14">
        <f>CHOOSE(CONTROL!$C$42, 56.8569, 56.8569) * CHOOSE(CONTROL!$C$21, $C$9, 100%, $E$9)</f>
        <v>56.856900000000003</v>
      </c>
      <c r="M735" s="14">
        <f>CHOOSE(CONTROL!$C$42, 55.0145, 55.0145) * CHOOSE(CONTROL!$C$21, $C$9, 100%, $E$9)</f>
        <v>55.014499999999998</v>
      </c>
      <c r="N735" s="14">
        <f>CHOOSE(CONTROL!$C$42, 55.0303, 55.0303) * CHOOSE(CONTROL!$C$21, $C$9, 100%, $E$9)</f>
        <v>55.030299999999997</v>
      </c>
      <c r="O735" s="14">
        <f>CHOOSE(CONTROL!$C$42, 55.1246, 55.1246) * CHOOSE(CONTROL!$C$21, $C$9, 100%, $E$9)</f>
        <v>55.124600000000001</v>
      </c>
      <c r="P735" s="14">
        <f>CHOOSE(CONTROL!$C$42, 55.2081, 55.2081) * CHOOSE(CONTROL!$C$21, $C$9, 100%, $E$9)</f>
        <v>55.208100000000002</v>
      </c>
      <c r="Q735" s="14">
        <f>CHOOSE(CONTROL!$C$42, 55.7193, 55.7193) * CHOOSE(CONTROL!$C$21, $C$9, 100%, $E$9)</f>
        <v>55.719299999999997</v>
      </c>
      <c r="R735" s="14">
        <f>CHOOSE(CONTROL!$C$42, 56.4456, 56.4456) * CHOOSE(CONTROL!$C$21, $C$9, 100%, $E$9)</f>
        <v>56.445599999999999</v>
      </c>
      <c r="S735" s="14">
        <f>CHOOSE(CONTROL!$C$42, 53.9601, 53.9601) * CHOOSE(CONTROL!$C$21, $C$9, 100%, $E$9)</f>
        <v>53.960099999999997</v>
      </c>
      <c r="T7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7">
        <f>(1000*CHOOSE(CONTROL!$C$42, 695, 695)*CHOOSE(CONTROL!$C$42, 0.5599, 0.5599)*CHOOSE(CONTROL!$C$42, 31, 31))/1000000</f>
        <v>12.063045499999998</v>
      </c>
      <c r="V735" s="57">
        <f>(1000*CHOOSE(CONTROL!$C$42, 500, 500)*CHOOSE(CONTROL!$C$42, 0.275, 0.275)*CHOOSE(CONTROL!$C$42, 31, 31))/1000000</f>
        <v>4.2625000000000002</v>
      </c>
      <c r="W735" s="57">
        <f>(1000*CHOOSE(CONTROL!$C$42, 0.1146, 0.1146)*CHOOSE(CONTROL!$C$42, 121.5, 121.5)*CHOOSE(CONTROL!$C$42, 31, 31))/1000000</f>
        <v>0.43164089999999994</v>
      </c>
      <c r="X735" s="57">
        <f>(31*0.1790888*100000/1000000)+(31*0.2374*100000/1000000)</f>
        <v>1.2911152800000001</v>
      </c>
      <c r="Y735" s="57"/>
      <c r="Z735" s="14"/>
      <c r="AA735" s="56"/>
      <c r="AB735" s="50">
        <f>(B735*122.58+C735*297.941+D735*89.177+E735*40.302+F735*40+G735*160+H735*0+I735*100+J735*300)/(122.58+297.941+89.177+40.302+0+40+160+100+300)</f>
        <v>56.193599420260874</v>
      </c>
      <c r="AC735" s="45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55.093166906474814</v>
      </c>
    </row>
    <row r="736" spans="1:29" ht="15.75" x14ac:dyDescent="0.25">
      <c r="A736" s="32">
        <v>63309</v>
      </c>
      <c r="B736" s="14">
        <f>CHOOSE(CONTROL!$C$42, 55.9978, 55.9978) * CHOOSE(CONTROL!$C$21, $C$9, 100%, $E$9)</f>
        <v>55.997799999999998</v>
      </c>
      <c r="C736" s="14">
        <f>CHOOSE(CONTROL!$C$42, 56.0023, 56.0023) * CHOOSE(CONTROL!$C$21, $C$9, 100%, $E$9)</f>
        <v>56.002299999999998</v>
      </c>
      <c r="D736" s="14">
        <f>CHOOSE(CONTROL!$C$42, 56.239, 56.239) * CHOOSE(CONTROL!$C$21, $C$9, 100%, $E$9)</f>
        <v>56.238999999999997</v>
      </c>
      <c r="E736" s="14">
        <f>CHOOSE(CONTROL!$C$42, 56.2711, 56.2711) * CHOOSE(CONTROL!$C$21, $C$9, 100%, $E$9)</f>
        <v>56.271099999999997</v>
      </c>
      <c r="F736" s="14">
        <f>CHOOSE(CONTROL!$C$42, 55.9957, 55.9957)*CHOOSE(CONTROL!$C$21, $C$9, 100%, $E$9)</f>
        <v>55.995699999999999</v>
      </c>
      <c r="G736" s="14">
        <f>CHOOSE(CONTROL!$C$42, 56.0115, 56.0115)*CHOOSE(CONTROL!$C$21, $C$9, 100%, $E$9)</f>
        <v>56.011499999999998</v>
      </c>
      <c r="H736" s="14">
        <f>CHOOSE(CONTROL!$C$42, 56.2609, 56.2609) * CHOOSE(CONTROL!$C$21, $C$9, 100%, $E$9)</f>
        <v>56.260899999999999</v>
      </c>
      <c r="I736" s="14">
        <f>CHOOSE(CONTROL!$C$42, 56.1904, 56.1904)* CHOOSE(CONTROL!$C$21, $C$9, 100%, $E$9)</f>
        <v>56.190399999999997</v>
      </c>
      <c r="J736" s="14">
        <f>CHOOSE(CONTROL!$C$42, 55.9887, 55.9887)* CHOOSE(CONTROL!$C$21, $C$9, 100%, $E$9)</f>
        <v>55.988700000000001</v>
      </c>
      <c r="K736" s="53">
        <f>CHOOSE(CONTROL!$C$42, 56.1865, 56.1865) * CHOOSE(CONTROL!$C$21, $C$9, 100%, $E$9)</f>
        <v>56.186500000000002</v>
      </c>
      <c r="L736" s="14">
        <f>CHOOSE(CONTROL!$C$42, 56.8479, 56.8479) * CHOOSE(CONTROL!$C$21, $C$9, 100%, $E$9)</f>
        <v>56.847900000000003</v>
      </c>
      <c r="M736" s="14">
        <f>CHOOSE(CONTROL!$C$42, 54.8492, 54.8492) * CHOOSE(CONTROL!$C$21, $C$9, 100%, $E$9)</f>
        <v>54.849200000000003</v>
      </c>
      <c r="N736" s="14">
        <f>CHOOSE(CONTROL!$C$42, 54.8647, 54.8647) * CHOOSE(CONTROL!$C$21, $C$9, 100%, $E$9)</f>
        <v>54.864699999999999</v>
      </c>
      <c r="O736" s="14">
        <f>CHOOSE(CONTROL!$C$42, 55.1158, 55.1158) * CHOOSE(CONTROL!$C$21, $C$9, 100%, $E$9)</f>
        <v>55.1158</v>
      </c>
      <c r="P736" s="14">
        <f>CHOOSE(CONTROL!$C$42, 55.0434, 55.0434) * CHOOSE(CONTROL!$C$21, $C$9, 100%, $E$9)</f>
        <v>55.043399999999998</v>
      </c>
      <c r="Q736" s="14">
        <f>CHOOSE(CONTROL!$C$42, 55.7105, 55.7105) * CHOOSE(CONTROL!$C$21, $C$9, 100%, $E$9)</f>
        <v>55.710500000000003</v>
      </c>
      <c r="R736" s="14">
        <f>CHOOSE(CONTROL!$C$42, 56.4368, 56.4368) * CHOOSE(CONTROL!$C$21, $C$9, 100%, $E$9)</f>
        <v>56.436799999999998</v>
      </c>
      <c r="S736" s="14">
        <f>CHOOSE(CONTROL!$C$42, 53.799, 53.799) * CHOOSE(CONTROL!$C$21, $C$9, 100%, $E$9)</f>
        <v>53.798999999999999</v>
      </c>
      <c r="T7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7">
        <f>(1000*CHOOSE(CONTROL!$C$42, 695, 695)*CHOOSE(CONTROL!$C$42, 0.5599, 0.5599)*CHOOSE(CONTROL!$C$42, 30, 30))/1000000</f>
        <v>11.673914999999997</v>
      </c>
      <c r="V736" s="57">
        <f>(1000*CHOOSE(CONTROL!$C$42, 500, 500)*CHOOSE(CONTROL!$C$42, 0.275, 0.275)*CHOOSE(CONTROL!$C$42, 30, 30))/1000000</f>
        <v>4.125</v>
      </c>
      <c r="W736" s="57">
        <f>(1000*CHOOSE(CONTROL!$C$42, 0.1146, 0.1146)*CHOOSE(CONTROL!$C$42, 121.5, 121.5)*CHOOSE(CONTROL!$C$42, 30, 30))/1000000</f>
        <v>0.417717</v>
      </c>
      <c r="X736" s="57">
        <f>(30*0.1790888*245000/1000000)+(30*0.2374*100000/1000000)</f>
        <v>2.0285026799999999</v>
      </c>
      <c r="Y736" s="57"/>
      <c r="Z736" s="14"/>
      <c r="AA736" s="56"/>
      <c r="AB736" s="50">
        <f>(B736*141.293+C736*267.993+D736*115.016+E736*89.698+F736*40+G736*185+H736*0+I736*100+J736*300)/(141.293+267.993+115.016+89.698+0+40+185+100+300)</f>
        <v>56.056268757949958</v>
      </c>
      <c r="AC736" s="45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54.998867625899287</v>
      </c>
    </row>
    <row r="737" spans="1:29" ht="15.75" x14ac:dyDescent="0.25">
      <c r="A737" s="32">
        <v>63340</v>
      </c>
      <c r="B737" s="14">
        <f>CHOOSE(CONTROL!$C$42, 56.4933, 56.4933) * CHOOSE(CONTROL!$C$21, $C$9, 100%, $E$9)</f>
        <v>56.493299999999998</v>
      </c>
      <c r="C737" s="14">
        <f>CHOOSE(CONTROL!$C$42, 56.5013, 56.5013) * CHOOSE(CONTROL!$C$21, $C$9, 100%, $E$9)</f>
        <v>56.501300000000001</v>
      </c>
      <c r="D737" s="14">
        <f>CHOOSE(CONTROL!$C$42, 56.7349, 56.7349) * CHOOSE(CONTROL!$C$21, $C$9, 100%, $E$9)</f>
        <v>56.734900000000003</v>
      </c>
      <c r="E737" s="14">
        <f>CHOOSE(CONTROL!$C$42, 56.7664, 56.7664) * CHOOSE(CONTROL!$C$21, $C$9, 100%, $E$9)</f>
        <v>56.766399999999997</v>
      </c>
      <c r="F737" s="14">
        <f>CHOOSE(CONTROL!$C$42, 56.4901, 56.4901)*CHOOSE(CONTROL!$C$21, $C$9, 100%, $E$9)</f>
        <v>56.490099999999998</v>
      </c>
      <c r="G737" s="14">
        <f>CHOOSE(CONTROL!$C$42, 56.5064, 56.5064)*CHOOSE(CONTROL!$C$21, $C$9, 100%, $E$9)</f>
        <v>56.506399999999999</v>
      </c>
      <c r="H737" s="14">
        <f>CHOOSE(CONTROL!$C$42, 56.755, 56.755) * CHOOSE(CONTROL!$C$21, $C$9, 100%, $E$9)</f>
        <v>56.755000000000003</v>
      </c>
      <c r="I737" s="14">
        <f>CHOOSE(CONTROL!$C$42, 56.6861, 56.6861)* CHOOSE(CONTROL!$C$21, $C$9, 100%, $E$9)</f>
        <v>56.686100000000003</v>
      </c>
      <c r="J737" s="14">
        <f>CHOOSE(CONTROL!$C$42, 56.4831, 56.4831)* CHOOSE(CONTROL!$C$21, $C$9, 100%, $E$9)</f>
        <v>56.4831</v>
      </c>
      <c r="K737" s="53">
        <f>CHOOSE(CONTROL!$C$42, 56.6822, 56.6822) * CHOOSE(CONTROL!$C$21, $C$9, 100%, $E$9)</f>
        <v>56.682200000000002</v>
      </c>
      <c r="L737" s="14">
        <f>CHOOSE(CONTROL!$C$42, 57.342, 57.342) * CHOOSE(CONTROL!$C$21, $C$9, 100%, $E$9)</f>
        <v>57.341999999999999</v>
      </c>
      <c r="M737" s="14">
        <f>CHOOSE(CONTROL!$C$42, 55.3335, 55.3335) * CHOOSE(CONTROL!$C$21, $C$9, 100%, $E$9)</f>
        <v>55.333500000000001</v>
      </c>
      <c r="N737" s="14">
        <f>CHOOSE(CONTROL!$C$42, 55.3495, 55.3495) * CHOOSE(CONTROL!$C$21, $C$9, 100%, $E$9)</f>
        <v>55.349499999999999</v>
      </c>
      <c r="O737" s="14">
        <f>CHOOSE(CONTROL!$C$42, 55.5999, 55.5999) * CHOOSE(CONTROL!$C$21, $C$9, 100%, $E$9)</f>
        <v>55.599899999999998</v>
      </c>
      <c r="P737" s="14">
        <f>CHOOSE(CONTROL!$C$42, 55.5289, 55.5289) * CHOOSE(CONTROL!$C$21, $C$9, 100%, $E$9)</f>
        <v>55.5289</v>
      </c>
      <c r="Q737" s="14">
        <f>CHOOSE(CONTROL!$C$42, 56.1946, 56.1946) * CHOOSE(CONTROL!$C$21, $C$9, 100%, $E$9)</f>
        <v>56.194600000000001</v>
      </c>
      <c r="R737" s="14">
        <f>CHOOSE(CONTROL!$C$42, 56.922, 56.922) * CHOOSE(CONTROL!$C$21, $C$9, 100%, $E$9)</f>
        <v>56.921999999999997</v>
      </c>
      <c r="S737" s="14">
        <f>CHOOSE(CONTROL!$C$42, 54.2738, 54.2738) * CHOOSE(CONTROL!$C$21, $C$9, 100%, $E$9)</f>
        <v>54.273800000000001</v>
      </c>
      <c r="T7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7">
        <f>(1000*CHOOSE(CONTROL!$C$42, 695, 695)*CHOOSE(CONTROL!$C$42, 0.5599, 0.5599)*CHOOSE(CONTROL!$C$42, 31, 31))/1000000</f>
        <v>12.063045499999998</v>
      </c>
      <c r="V737" s="57">
        <f>(1000*CHOOSE(CONTROL!$C$42, 500, 500)*CHOOSE(CONTROL!$C$42, 0.275, 0.275)*CHOOSE(CONTROL!$C$42, 31, 31))/1000000</f>
        <v>4.2625000000000002</v>
      </c>
      <c r="W737" s="57">
        <f>(1000*CHOOSE(CONTROL!$C$42, 0.1146, 0.1146)*CHOOSE(CONTROL!$C$42, 121.5, 121.5)*CHOOSE(CONTROL!$C$42, 31, 31))/1000000</f>
        <v>0.43164089999999994</v>
      </c>
      <c r="X737" s="57">
        <f>(31*0.1790888*245000/1000000)+(31*0.2374*100000/1000000)</f>
        <v>2.0961194359999999</v>
      </c>
      <c r="Y737" s="57"/>
      <c r="Z737" s="14"/>
      <c r="AA737" s="56"/>
      <c r="AB737" s="50">
        <f>(B737*194.205+C737*267.466+D737*133.845+E737*53.484+F737*40+G737*185+H737*0+I737*100+J737*300)/(194.205+267.466+133.845+53.484+0+40+185+100+300)</f>
        <v>56.546360172998433</v>
      </c>
      <c r="AC737" s="45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55.483278417266185</v>
      </c>
    </row>
    <row r="738" spans="1:29" ht="15.75" x14ac:dyDescent="0.25">
      <c r="A738" s="32">
        <v>63370</v>
      </c>
      <c r="B738" s="14">
        <f>CHOOSE(CONTROL!$C$42, 58.0955, 58.0955) * CHOOSE(CONTROL!$C$21, $C$9, 100%, $E$9)</f>
        <v>58.095500000000001</v>
      </c>
      <c r="C738" s="14">
        <f>CHOOSE(CONTROL!$C$42, 58.1035, 58.1035) * CHOOSE(CONTROL!$C$21, $C$9, 100%, $E$9)</f>
        <v>58.103499999999997</v>
      </c>
      <c r="D738" s="14">
        <f>CHOOSE(CONTROL!$C$42, 58.3371, 58.3371) * CHOOSE(CONTROL!$C$21, $C$9, 100%, $E$9)</f>
        <v>58.3371</v>
      </c>
      <c r="E738" s="14">
        <f>CHOOSE(CONTROL!$C$42, 58.3686, 58.3686) * CHOOSE(CONTROL!$C$21, $C$9, 100%, $E$9)</f>
        <v>58.368600000000001</v>
      </c>
      <c r="F738" s="14">
        <f>CHOOSE(CONTROL!$C$42, 58.0927, 58.0927)*CHOOSE(CONTROL!$C$21, $C$9, 100%, $E$9)</f>
        <v>58.092700000000001</v>
      </c>
      <c r="G738" s="14">
        <f>CHOOSE(CONTROL!$C$42, 58.1092, 58.1092)*CHOOSE(CONTROL!$C$21, $C$9, 100%, $E$9)</f>
        <v>58.109200000000001</v>
      </c>
      <c r="H738" s="14">
        <f>CHOOSE(CONTROL!$C$42, 58.3572, 58.3572) * CHOOSE(CONTROL!$C$21, $C$9, 100%, $E$9)</f>
        <v>58.357199999999999</v>
      </c>
      <c r="I738" s="14">
        <f>CHOOSE(CONTROL!$C$42, 58.2933, 58.2933)* CHOOSE(CONTROL!$C$21, $C$9, 100%, $E$9)</f>
        <v>58.293300000000002</v>
      </c>
      <c r="J738" s="14">
        <f>CHOOSE(CONTROL!$C$42, 58.0857, 58.0857)* CHOOSE(CONTROL!$C$21, $C$9, 100%, $E$9)</f>
        <v>58.085700000000003</v>
      </c>
      <c r="K738" s="53">
        <f>CHOOSE(CONTROL!$C$42, 58.2894, 58.2894) * CHOOSE(CONTROL!$C$21, $C$9, 100%, $E$9)</f>
        <v>58.289400000000001</v>
      </c>
      <c r="L738" s="14">
        <f>CHOOSE(CONTROL!$C$42, 58.9442, 58.9442) * CHOOSE(CONTROL!$C$21, $C$9, 100%, $E$9)</f>
        <v>58.944200000000002</v>
      </c>
      <c r="M738" s="14">
        <f>CHOOSE(CONTROL!$C$42, 56.9033, 56.9033) * CHOOSE(CONTROL!$C$21, $C$9, 100%, $E$9)</f>
        <v>56.903300000000002</v>
      </c>
      <c r="N738" s="14">
        <f>CHOOSE(CONTROL!$C$42, 56.9194, 56.9194) * CHOOSE(CONTROL!$C$21, $C$9, 100%, $E$9)</f>
        <v>56.919400000000003</v>
      </c>
      <c r="O738" s="14">
        <f>CHOOSE(CONTROL!$C$42, 57.1692, 57.1692) * CHOOSE(CONTROL!$C$21, $C$9, 100%, $E$9)</f>
        <v>57.169199999999996</v>
      </c>
      <c r="P738" s="14">
        <f>CHOOSE(CONTROL!$C$42, 57.103, 57.103) * CHOOSE(CONTROL!$C$21, $C$9, 100%, $E$9)</f>
        <v>57.103000000000002</v>
      </c>
      <c r="Q738" s="14">
        <f>CHOOSE(CONTROL!$C$42, 57.7639, 57.7639) * CHOOSE(CONTROL!$C$21, $C$9, 100%, $E$9)</f>
        <v>57.7639</v>
      </c>
      <c r="R738" s="14">
        <f>CHOOSE(CONTROL!$C$42, 58.4953, 58.4953) * CHOOSE(CONTROL!$C$21, $C$9, 100%, $E$9)</f>
        <v>58.4953</v>
      </c>
      <c r="S738" s="14">
        <f>CHOOSE(CONTROL!$C$42, 55.8133, 55.8133) * CHOOSE(CONTROL!$C$21, $C$9, 100%, $E$9)</f>
        <v>55.813299999999998</v>
      </c>
      <c r="T7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7">
        <f>(1000*CHOOSE(CONTROL!$C$42, 695, 695)*CHOOSE(CONTROL!$C$42, 0.5599, 0.5599)*CHOOSE(CONTROL!$C$42, 30, 30))/1000000</f>
        <v>11.673914999999997</v>
      </c>
      <c r="V738" s="57">
        <f>(1000*CHOOSE(CONTROL!$C$42, 500, 500)*CHOOSE(CONTROL!$C$42, 0.275, 0.275)*CHOOSE(CONTROL!$C$42, 30, 30))/1000000</f>
        <v>4.125</v>
      </c>
      <c r="W738" s="57">
        <f>(1000*CHOOSE(CONTROL!$C$42, 0.1146, 0.1146)*CHOOSE(CONTROL!$C$42, 121.5, 121.5)*CHOOSE(CONTROL!$C$42, 30, 30))/1000000</f>
        <v>0.417717</v>
      </c>
      <c r="X738" s="57">
        <f>(30*0.1790888*245000/1000000)+(30*0.2374*100000/1000000)</f>
        <v>2.0285026799999999</v>
      </c>
      <c r="Y738" s="57"/>
      <c r="Z738" s="14"/>
      <c r="AA738" s="56"/>
      <c r="AB738" s="50">
        <f>(B738*194.205+C738*267.466+D738*133.845+E738*53.484+F738*40+G738*185+H738*0+I738*100+J738*300)/(194.205+267.466+133.845+53.484+0+40+185+100+300)</f>
        <v>58.149146515227635</v>
      </c>
      <c r="AC738" s="45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57.053476258992809</v>
      </c>
    </row>
    <row r="739" spans="1:29" ht="15.75" x14ac:dyDescent="0.25">
      <c r="A739" s="32">
        <v>63401</v>
      </c>
      <c r="B739" s="14">
        <f>CHOOSE(CONTROL!$C$42, 56.9812, 56.9812) * CHOOSE(CONTROL!$C$21, $C$9, 100%, $E$9)</f>
        <v>56.981200000000001</v>
      </c>
      <c r="C739" s="14">
        <f>CHOOSE(CONTROL!$C$42, 56.9892, 56.9892) * CHOOSE(CONTROL!$C$21, $C$9, 100%, $E$9)</f>
        <v>56.989199999999997</v>
      </c>
      <c r="D739" s="14">
        <f>CHOOSE(CONTROL!$C$42, 57.2228, 57.2228) * CHOOSE(CONTROL!$C$21, $C$9, 100%, $E$9)</f>
        <v>57.222799999999999</v>
      </c>
      <c r="E739" s="14">
        <f>CHOOSE(CONTROL!$C$42, 57.2542, 57.2542) * CHOOSE(CONTROL!$C$21, $C$9, 100%, $E$9)</f>
        <v>57.254199999999997</v>
      </c>
      <c r="F739" s="14">
        <f>CHOOSE(CONTROL!$C$42, 56.9789, 56.9789)*CHOOSE(CONTROL!$C$21, $C$9, 100%, $E$9)</f>
        <v>56.978900000000003</v>
      </c>
      <c r="G739" s="14">
        <f>CHOOSE(CONTROL!$C$42, 56.9956, 56.9956)*CHOOSE(CONTROL!$C$21, $C$9, 100%, $E$9)</f>
        <v>56.995600000000003</v>
      </c>
      <c r="H739" s="14">
        <f>CHOOSE(CONTROL!$C$42, 57.2429, 57.2429) * CHOOSE(CONTROL!$C$21, $C$9, 100%, $E$9)</f>
        <v>57.242899999999999</v>
      </c>
      <c r="I739" s="14">
        <f>CHOOSE(CONTROL!$C$42, 57.1755, 57.1755)* CHOOSE(CONTROL!$C$21, $C$9, 100%, $E$9)</f>
        <v>57.1755</v>
      </c>
      <c r="J739" s="14">
        <f>CHOOSE(CONTROL!$C$42, 56.9719, 56.9719)* CHOOSE(CONTROL!$C$21, $C$9, 100%, $E$9)</f>
        <v>56.971899999999998</v>
      </c>
      <c r="K739" s="53">
        <f>CHOOSE(CONTROL!$C$42, 57.1716, 57.1716) * CHOOSE(CONTROL!$C$21, $C$9, 100%, $E$9)</f>
        <v>57.171599999999998</v>
      </c>
      <c r="L739" s="14">
        <f>CHOOSE(CONTROL!$C$42, 57.8299, 57.8299) * CHOOSE(CONTROL!$C$21, $C$9, 100%, $E$9)</f>
        <v>57.829900000000002</v>
      </c>
      <c r="M739" s="14">
        <f>CHOOSE(CONTROL!$C$42, 55.8123, 55.8123) * CHOOSE(CONTROL!$C$21, $C$9, 100%, $E$9)</f>
        <v>55.8123</v>
      </c>
      <c r="N739" s="14">
        <f>CHOOSE(CONTROL!$C$42, 55.8286, 55.8286) * CHOOSE(CONTROL!$C$21, $C$9, 100%, $E$9)</f>
        <v>55.828600000000002</v>
      </c>
      <c r="O739" s="14">
        <f>CHOOSE(CONTROL!$C$42, 56.0777, 56.0777) * CHOOSE(CONTROL!$C$21, $C$9, 100%, $E$9)</f>
        <v>56.0777</v>
      </c>
      <c r="P739" s="14">
        <f>CHOOSE(CONTROL!$C$42, 56.0082, 56.0082) * CHOOSE(CONTROL!$C$21, $C$9, 100%, $E$9)</f>
        <v>56.008200000000002</v>
      </c>
      <c r="Q739" s="14">
        <f>CHOOSE(CONTROL!$C$42, 56.6724, 56.6724) * CHOOSE(CONTROL!$C$21, $C$9, 100%, $E$9)</f>
        <v>56.672400000000003</v>
      </c>
      <c r="R739" s="14">
        <f>CHOOSE(CONTROL!$C$42, 57.4011, 57.4011) * CHOOSE(CONTROL!$C$21, $C$9, 100%, $E$9)</f>
        <v>57.4011</v>
      </c>
      <c r="S739" s="14">
        <f>CHOOSE(CONTROL!$C$42, 54.7426, 54.7426) * CHOOSE(CONTROL!$C$21, $C$9, 100%, $E$9)</f>
        <v>54.742600000000003</v>
      </c>
      <c r="T7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7">
        <f>(1000*CHOOSE(CONTROL!$C$42, 695, 695)*CHOOSE(CONTROL!$C$42, 0.5599, 0.5599)*CHOOSE(CONTROL!$C$42, 31, 31))/1000000</f>
        <v>12.063045499999998</v>
      </c>
      <c r="V739" s="57">
        <f>(1000*CHOOSE(CONTROL!$C$42, 500, 500)*CHOOSE(CONTROL!$C$42, 0.275, 0.275)*CHOOSE(CONTROL!$C$42, 31, 31))/1000000</f>
        <v>4.2625000000000002</v>
      </c>
      <c r="W739" s="57">
        <f>(1000*CHOOSE(CONTROL!$C$42, 0.1146, 0.1146)*CHOOSE(CONTROL!$C$42, 121.5, 121.5)*CHOOSE(CONTROL!$C$42, 31, 31))/1000000</f>
        <v>0.43164089999999994</v>
      </c>
      <c r="X739" s="57">
        <f>(31*0.1790888*245000/1000000)+(31*0.2374*100000/1000000)</f>
        <v>2.0961194359999999</v>
      </c>
      <c r="Y739" s="57"/>
      <c r="Z739" s="14"/>
      <c r="AA739" s="56"/>
      <c r="AB739" s="50">
        <f>(B739*194.205+C739*267.466+D739*133.845+E739*53.484+F739*40+G739*185+H739*0+I739*100+J739*300)/(194.205+267.466+133.845+53.484+0+40+185+100+300)</f>
        <v>57.03480267817897</v>
      </c>
      <c r="AC739" s="45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55.961714388489206</v>
      </c>
    </row>
    <row r="740" spans="1:29" ht="15.75" x14ac:dyDescent="0.25">
      <c r="A740" s="32">
        <v>63432</v>
      </c>
      <c r="B740" s="14">
        <f>CHOOSE(CONTROL!$C$42, 54.1672, 54.1672) * CHOOSE(CONTROL!$C$21, $C$9, 100%, $E$9)</f>
        <v>54.167200000000001</v>
      </c>
      <c r="C740" s="14">
        <f>CHOOSE(CONTROL!$C$42, 54.1752, 54.1752) * CHOOSE(CONTROL!$C$21, $C$9, 100%, $E$9)</f>
        <v>54.175199999999997</v>
      </c>
      <c r="D740" s="14">
        <f>CHOOSE(CONTROL!$C$42, 54.4088, 54.4088) * CHOOSE(CONTROL!$C$21, $C$9, 100%, $E$9)</f>
        <v>54.408799999999999</v>
      </c>
      <c r="E740" s="14">
        <f>CHOOSE(CONTROL!$C$42, 54.4403, 54.4403) * CHOOSE(CONTROL!$C$21, $C$9, 100%, $E$9)</f>
        <v>54.440300000000001</v>
      </c>
      <c r="F740" s="14">
        <f>CHOOSE(CONTROL!$C$42, 54.1652, 54.1652)*CHOOSE(CONTROL!$C$21, $C$9, 100%, $E$9)</f>
        <v>54.165199999999999</v>
      </c>
      <c r="G740" s="14">
        <f>CHOOSE(CONTROL!$C$42, 54.1818, 54.1818)*CHOOSE(CONTROL!$C$21, $C$9, 100%, $E$9)</f>
        <v>54.181800000000003</v>
      </c>
      <c r="H740" s="14">
        <f>CHOOSE(CONTROL!$C$42, 54.4289, 54.4289) * CHOOSE(CONTROL!$C$21, $C$9, 100%, $E$9)</f>
        <v>54.428899999999999</v>
      </c>
      <c r="I740" s="14">
        <f>CHOOSE(CONTROL!$C$42, 54.3527, 54.3527)* CHOOSE(CONTROL!$C$21, $C$9, 100%, $E$9)</f>
        <v>54.352699999999999</v>
      </c>
      <c r="J740" s="14">
        <f>CHOOSE(CONTROL!$C$42, 54.1582, 54.1582)* CHOOSE(CONTROL!$C$21, $C$9, 100%, $E$9)</f>
        <v>54.158200000000001</v>
      </c>
      <c r="K740" s="53">
        <f>CHOOSE(CONTROL!$C$42, 54.3488, 54.3488) * CHOOSE(CONTROL!$C$21, $C$9, 100%, $E$9)</f>
        <v>54.348799999999997</v>
      </c>
      <c r="L740" s="14">
        <f>CHOOSE(CONTROL!$C$42, 55.0159, 55.0159) * CHOOSE(CONTROL!$C$21, $C$9, 100%, $E$9)</f>
        <v>55.015900000000002</v>
      </c>
      <c r="M740" s="14">
        <f>CHOOSE(CONTROL!$C$42, 53.0562, 53.0562) * CHOOSE(CONTROL!$C$21, $C$9, 100%, $E$9)</f>
        <v>53.056199999999997</v>
      </c>
      <c r="N740" s="14">
        <f>CHOOSE(CONTROL!$C$42, 53.0725, 53.0725) * CHOOSE(CONTROL!$C$21, $C$9, 100%, $E$9)</f>
        <v>53.072499999999998</v>
      </c>
      <c r="O740" s="14">
        <f>CHOOSE(CONTROL!$C$42, 53.3214, 53.3214) * CHOOSE(CONTROL!$C$21, $C$9, 100%, $E$9)</f>
        <v>53.321399999999997</v>
      </c>
      <c r="P740" s="14">
        <f>CHOOSE(CONTROL!$C$42, 53.2434, 53.2434) * CHOOSE(CONTROL!$C$21, $C$9, 100%, $E$9)</f>
        <v>53.243400000000001</v>
      </c>
      <c r="Q740" s="14">
        <f>CHOOSE(CONTROL!$C$42, 53.9161, 53.9161) * CHOOSE(CONTROL!$C$21, $C$9, 100%, $E$9)</f>
        <v>53.9161</v>
      </c>
      <c r="R740" s="14">
        <f>CHOOSE(CONTROL!$C$42, 54.6379, 54.6379) * CHOOSE(CONTROL!$C$21, $C$9, 100%, $E$9)</f>
        <v>54.637900000000002</v>
      </c>
      <c r="S740" s="14">
        <f>CHOOSE(CONTROL!$C$42, 52.0386, 52.0386) * CHOOSE(CONTROL!$C$21, $C$9, 100%, $E$9)</f>
        <v>52.038600000000002</v>
      </c>
      <c r="T7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7">
        <f>(1000*CHOOSE(CONTROL!$C$42, 695, 695)*CHOOSE(CONTROL!$C$42, 0.5599, 0.5599)*CHOOSE(CONTROL!$C$42, 31, 31))/1000000</f>
        <v>12.063045499999998</v>
      </c>
      <c r="V740" s="57">
        <f>(1000*CHOOSE(CONTROL!$C$42, 500, 500)*CHOOSE(CONTROL!$C$42, 0.275, 0.275)*CHOOSE(CONTROL!$C$42, 31, 31))/1000000</f>
        <v>4.2625000000000002</v>
      </c>
      <c r="W740" s="57">
        <f>(1000*CHOOSE(CONTROL!$C$42, 0.1146, 0.1146)*CHOOSE(CONTROL!$C$42, 121.5, 121.5)*CHOOSE(CONTROL!$C$42, 31, 31))/1000000</f>
        <v>0.43164089999999994</v>
      </c>
      <c r="X740" s="57">
        <f>(31*0.1790888*245000/1000000)+(31*0.2374*100000/1000000)</f>
        <v>2.0961194359999999</v>
      </c>
      <c r="Y740" s="57"/>
      <c r="Z740" s="14"/>
      <c r="AA740" s="56"/>
      <c r="AB740" s="50">
        <f>(B740*194.205+C740*267.466+D740*133.845+E740*53.484+F740*40+G740*185+H740*0+I740*100+J740*300)/(194.205+267.466+133.845+53.484+0+40+185+100+300)</f>
        <v>54.220225243642069</v>
      </c>
      <c r="AC740" s="45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53.204271942446042</v>
      </c>
    </row>
    <row r="741" spans="1:29" ht="15.75" x14ac:dyDescent="0.25">
      <c r="A741" s="32">
        <v>63462</v>
      </c>
      <c r="B741" s="14">
        <f>CHOOSE(CONTROL!$C$42, 50.7285, 50.7285) * CHOOSE(CONTROL!$C$21, $C$9, 100%, $E$9)</f>
        <v>50.728499999999997</v>
      </c>
      <c r="C741" s="14">
        <f>CHOOSE(CONTROL!$C$42, 50.7366, 50.7366) * CHOOSE(CONTROL!$C$21, $C$9, 100%, $E$9)</f>
        <v>50.736600000000003</v>
      </c>
      <c r="D741" s="14">
        <f>CHOOSE(CONTROL!$C$42, 50.9702, 50.9702) * CHOOSE(CONTROL!$C$21, $C$9, 100%, $E$9)</f>
        <v>50.970199999999998</v>
      </c>
      <c r="E741" s="14">
        <f>CHOOSE(CONTROL!$C$42, 51.0016, 51.0016) * CHOOSE(CONTROL!$C$21, $C$9, 100%, $E$9)</f>
        <v>51.001600000000003</v>
      </c>
      <c r="F741" s="14">
        <f>CHOOSE(CONTROL!$C$42, 50.7265, 50.7265)*CHOOSE(CONTROL!$C$21, $C$9, 100%, $E$9)</f>
        <v>50.726500000000001</v>
      </c>
      <c r="G741" s="14">
        <f>CHOOSE(CONTROL!$C$42, 50.7432, 50.7432)*CHOOSE(CONTROL!$C$21, $C$9, 100%, $E$9)</f>
        <v>50.743200000000002</v>
      </c>
      <c r="H741" s="14">
        <f>CHOOSE(CONTROL!$C$42, 50.9903, 50.9903) * CHOOSE(CONTROL!$C$21, $C$9, 100%, $E$9)</f>
        <v>50.990299999999998</v>
      </c>
      <c r="I741" s="14">
        <f>CHOOSE(CONTROL!$C$42, 50.9033, 50.9033)* CHOOSE(CONTROL!$C$21, $C$9, 100%, $E$9)</f>
        <v>50.903300000000002</v>
      </c>
      <c r="J741" s="14">
        <f>CHOOSE(CONTROL!$C$42, 50.7195, 50.7195)* CHOOSE(CONTROL!$C$21, $C$9, 100%, $E$9)</f>
        <v>50.719499999999996</v>
      </c>
      <c r="K741" s="53">
        <f>CHOOSE(CONTROL!$C$42, 50.8994, 50.8994) * CHOOSE(CONTROL!$C$21, $C$9, 100%, $E$9)</f>
        <v>50.8994</v>
      </c>
      <c r="L741" s="14">
        <f>CHOOSE(CONTROL!$C$42, 51.5773, 51.5773) * CHOOSE(CONTROL!$C$21, $C$9, 100%, $E$9)</f>
        <v>51.577300000000001</v>
      </c>
      <c r="M741" s="14">
        <f>CHOOSE(CONTROL!$C$42, 49.688, 49.688) * CHOOSE(CONTROL!$C$21, $C$9, 100%, $E$9)</f>
        <v>49.688000000000002</v>
      </c>
      <c r="N741" s="14">
        <f>CHOOSE(CONTROL!$C$42, 49.7044, 49.7044) * CHOOSE(CONTROL!$C$21, $C$9, 100%, $E$9)</f>
        <v>49.7044</v>
      </c>
      <c r="O741" s="14">
        <f>CHOOSE(CONTROL!$C$42, 49.9532, 49.9532) * CHOOSE(CONTROL!$C$21, $C$9, 100%, $E$9)</f>
        <v>49.953200000000002</v>
      </c>
      <c r="P741" s="14">
        <f>CHOOSE(CONTROL!$C$42, 49.8649, 49.8649) * CHOOSE(CONTROL!$C$21, $C$9, 100%, $E$9)</f>
        <v>49.864899999999999</v>
      </c>
      <c r="Q741" s="14">
        <f>CHOOSE(CONTROL!$C$42, 50.5479, 50.5479) * CHOOSE(CONTROL!$C$21, $C$9, 100%, $E$9)</f>
        <v>50.547899999999998</v>
      </c>
      <c r="R741" s="14">
        <f>CHOOSE(CONTROL!$C$42, 51.2613, 51.2613) * CHOOSE(CONTROL!$C$21, $C$9, 100%, $E$9)</f>
        <v>51.261299999999999</v>
      </c>
      <c r="S741" s="14">
        <f>CHOOSE(CONTROL!$C$42, 48.7344, 48.7344) * CHOOSE(CONTROL!$C$21, $C$9, 100%, $E$9)</f>
        <v>48.734400000000001</v>
      </c>
      <c r="T7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7">
        <f>(1000*CHOOSE(CONTROL!$C$42, 695, 695)*CHOOSE(CONTROL!$C$42, 0.5599, 0.5599)*CHOOSE(CONTROL!$C$42, 30, 30))/1000000</f>
        <v>11.673914999999997</v>
      </c>
      <c r="V741" s="57">
        <f>(1000*CHOOSE(CONTROL!$C$42, 500, 500)*CHOOSE(CONTROL!$C$42, 0.275, 0.275)*CHOOSE(CONTROL!$C$42, 30, 30))/1000000</f>
        <v>4.125</v>
      </c>
      <c r="W741" s="57">
        <f>(1000*CHOOSE(CONTROL!$C$42, 0.1146, 0.1146)*CHOOSE(CONTROL!$C$42, 121.5, 121.5)*CHOOSE(CONTROL!$C$42, 30, 30))/1000000</f>
        <v>0.417717</v>
      </c>
      <c r="X741" s="57">
        <f>(30*0.1790888*245000/1000000)+(30*0.2374*100000/1000000)</f>
        <v>2.0285026799999999</v>
      </c>
      <c r="Y741" s="57"/>
      <c r="Z741" s="14"/>
      <c r="AA741" s="56"/>
      <c r="AB741" s="50">
        <f>(B741*194.205+C741*267.466+D741*133.845+E741*53.484+F741*40+G741*185+H741*0+I741*100+J741*300)/(194.205+267.466+133.845+53.484+0+40+185+100+300)</f>
        <v>50.780731390502346</v>
      </c>
      <c r="AC741" s="45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49.834595683453237</v>
      </c>
    </row>
    <row r="742" spans="1:29" ht="15.75" x14ac:dyDescent="0.25">
      <c r="A742" s="32">
        <v>63493</v>
      </c>
      <c r="B742" s="14">
        <f>CHOOSE(CONTROL!$C$42, 49.697, 49.697) * CHOOSE(CONTROL!$C$21, $C$9, 100%, $E$9)</f>
        <v>49.697000000000003</v>
      </c>
      <c r="C742" s="14">
        <f>CHOOSE(CONTROL!$C$42, 49.7023, 49.7023) * CHOOSE(CONTROL!$C$21, $C$9, 100%, $E$9)</f>
        <v>49.702300000000001</v>
      </c>
      <c r="D742" s="14">
        <f>CHOOSE(CONTROL!$C$42, 49.9409, 49.9409) * CHOOSE(CONTROL!$C$21, $C$9, 100%, $E$9)</f>
        <v>49.940899999999999</v>
      </c>
      <c r="E742" s="14">
        <f>CHOOSE(CONTROL!$C$42, 49.97, 49.97) * CHOOSE(CONTROL!$C$21, $C$9, 100%, $E$9)</f>
        <v>49.97</v>
      </c>
      <c r="F742" s="14">
        <f>CHOOSE(CONTROL!$C$42, 49.697, 49.697)*CHOOSE(CONTROL!$C$21, $C$9, 100%, $E$9)</f>
        <v>49.697000000000003</v>
      </c>
      <c r="G742" s="14">
        <f>CHOOSE(CONTROL!$C$42, 49.7133, 49.7133)*CHOOSE(CONTROL!$C$21, $C$9, 100%, $E$9)</f>
        <v>49.713299999999997</v>
      </c>
      <c r="H742" s="14">
        <f>CHOOSE(CONTROL!$C$42, 49.9605, 49.9605) * CHOOSE(CONTROL!$C$21, $C$9, 100%, $E$9)</f>
        <v>49.960500000000003</v>
      </c>
      <c r="I742" s="14">
        <f>CHOOSE(CONTROL!$C$42, 49.8703, 49.8703)* CHOOSE(CONTROL!$C$21, $C$9, 100%, $E$9)</f>
        <v>49.8703</v>
      </c>
      <c r="J742" s="14">
        <f>CHOOSE(CONTROL!$C$42, 49.69, 49.69)* CHOOSE(CONTROL!$C$21, $C$9, 100%, $E$9)</f>
        <v>49.69</v>
      </c>
      <c r="K742" s="53">
        <f>CHOOSE(CONTROL!$C$42, 49.8664, 49.8664) * CHOOSE(CONTROL!$C$21, $C$9, 100%, $E$9)</f>
        <v>49.866399999999999</v>
      </c>
      <c r="L742" s="14">
        <f>CHOOSE(CONTROL!$C$42, 50.5475, 50.5475) * CHOOSE(CONTROL!$C$21, $C$9, 100%, $E$9)</f>
        <v>50.547499999999999</v>
      </c>
      <c r="M742" s="14">
        <f>CHOOSE(CONTROL!$C$42, 48.6796, 48.6796) * CHOOSE(CONTROL!$C$21, $C$9, 100%, $E$9)</f>
        <v>48.679600000000001</v>
      </c>
      <c r="N742" s="14">
        <f>CHOOSE(CONTROL!$C$42, 48.6956, 48.6956) * CHOOSE(CONTROL!$C$21, $C$9, 100%, $E$9)</f>
        <v>48.695599999999999</v>
      </c>
      <c r="O742" s="14">
        <f>CHOOSE(CONTROL!$C$42, 48.9445, 48.9445) * CHOOSE(CONTROL!$C$21, $C$9, 100%, $E$9)</f>
        <v>48.944499999999998</v>
      </c>
      <c r="P742" s="14">
        <f>CHOOSE(CONTROL!$C$42, 48.8531, 48.8531) * CHOOSE(CONTROL!$C$21, $C$9, 100%, $E$9)</f>
        <v>48.853099999999998</v>
      </c>
      <c r="Q742" s="14">
        <f>CHOOSE(CONTROL!$C$42, 49.5392, 49.5392) * CHOOSE(CONTROL!$C$21, $C$9, 100%, $E$9)</f>
        <v>49.539200000000001</v>
      </c>
      <c r="R742" s="14">
        <f>CHOOSE(CONTROL!$C$42, 50.2501, 50.2501) * CHOOSE(CONTROL!$C$21, $C$9, 100%, $E$9)</f>
        <v>50.250100000000003</v>
      </c>
      <c r="S742" s="14">
        <f>CHOOSE(CONTROL!$C$42, 47.7449, 47.7449) * CHOOSE(CONTROL!$C$21, $C$9, 100%, $E$9)</f>
        <v>47.744900000000001</v>
      </c>
      <c r="T7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7">
        <f>(1000*CHOOSE(CONTROL!$C$42, 695, 695)*CHOOSE(CONTROL!$C$42, 0.5599, 0.5599)*CHOOSE(CONTROL!$C$42, 31, 31))/1000000</f>
        <v>12.063045499999998</v>
      </c>
      <c r="V742" s="57">
        <f>(1000*CHOOSE(CONTROL!$C$42, 500, 500)*CHOOSE(CONTROL!$C$42, 0.275, 0.275)*CHOOSE(CONTROL!$C$42, 31, 31))/1000000</f>
        <v>4.2625000000000002</v>
      </c>
      <c r="W742" s="57">
        <f>(1000*CHOOSE(CONTROL!$C$42, 0.1146, 0.1146)*CHOOSE(CONTROL!$C$42, 121.5, 121.5)*CHOOSE(CONTROL!$C$42, 31, 31))/1000000</f>
        <v>0.43164089999999994</v>
      </c>
      <c r="X742" s="57">
        <f>(31*0.1790888*245000/1000000)+(31*0.2374*100000/1000000)</f>
        <v>2.0961194359999999</v>
      </c>
      <c r="Y742" s="57"/>
      <c r="Z742" s="14"/>
      <c r="AA742" s="56"/>
      <c r="AB742" s="50">
        <f>(B742*131.881+C742*277.167+D742*79.08+E742*125.872+F742*40+G742*185+H742*0+I742*100+J742*300)/(131.881+277.167+79.08+125.872+0+40+185+100+300)</f>
        <v>49.756213198627925</v>
      </c>
      <c r="AC742" s="45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48.825547482014386</v>
      </c>
    </row>
    <row r="743" spans="1:29" ht="15.75" x14ac:dyDescent="0.25">
      <c r="A743" s="32">
        <v>63523</v>
      </c>
      <c r="B743" s="14">
        <f>CHOOSE(CONTROL!$C$42, 51.0056, 51.0056) * CHOOSE(CONTROL!$C$21, $C$9, 100%, $E$9)</f>
        <v>51.005600000000001</v>
      </c>
      <c r="C743" s="14">
        <f>CHOOSE(CONTROL!$C$42, 51.0107, 51.0107) * CHOOSE(CONTROL!$C$21, $C$9, 100%, $E$9)</f>
        <v>51.0107</v>
      </c>
      <c r="D743" s="14">
        <f>CHOOSE(CONTROL!$C$42, 51.0849, 51.0849) * CHOOSE(CONTROL!$C$21, $C$9, 100%, $E$9)</f>
        <v>51.084899999999998</v>
      </c>
      <c r="E743" s="14">
        <f>CHOOSE(CONTROL!$C$42, 51.119, 51.119) * CHOOSE(CONTROL!$C$21, $C$9, 100%, $E$9)</f>
        <v>51.119</v>
      </c>
      <c r="F743" s="14">
        <f>CHOOSE(CONTROL!$C$42, 51.0177, 51.0177)*CHOOSE(CONTROL!$C$21, $C$9, 100%, $E$9)</f>
        <v>51.017699999999998</v>
      </c>
      <c r="G743" s="14">
        <f>CHOOSE(CONTROL!$C$42, 51.0342, 51.0342)*CHOOSE(CONTROL!$C$21, $C$9, 100%, $E$9)</f>
        <v>51.034199999999998</v>
      </c>
      <c r="H743" s="14">
        <f>CHOOSE(CONTROL!$C$42, 51.1082, 51.1082) * CHOOSE(CONTROL!$C$21, $C$9, 100%, $E$9)</f>
        <v>51.108199999999997</v>
      </c>
      <c r="I743" s="14">
        <f>CHOOSE(CONTROL!$C$42, 51.1897, 51.1897)* CHOOSE(CONTROL!$C$21, $C$9, 100%, $E$9)</f>
        <v>51.189700000000002</v>
      </c>
      <c r="J743" s="14">
        <f>CHOOSE(CONTROL!$C$42, 51.0107, 51.0107)* CHOOSE(CONTROL!$C$21, $C$9, 100%, $E$9)</f>
        <v>51.0107</v>
      </c>
      <c r="K743" s="53">
        <f>CHOOSE(CONTROL!$C$42, 51.1858, 51.1858) * CHOOSE(CONTROL!$C$21, $C$9, 100%, $E$9)</f>
        <v>51.1858</v>
      </c>
      <c r="L743" s="14">
        <f>CHOOSE(CONTROL!$C$42, 51.6952, 51.6952) * CHOOSE(CONTROL!$C$21, $C$9, 100%, $E$9)</f>
        <v>51.6952</v>
      </c>
      <c r="M743" s="14">
        <f>CHOOSE(CONTROL!$C$42, 49.9732, 49.9732) * CHOOSE(CONTROL!$C$21, $C$9, 100%, $E$9)</f>
        <v>49.973199999999999</v>
      </c>
      <c r="N743" s="14">
        <f>CHOOSE(CONTROL!$C$42, 49.9894, 49.9894) * CHOOSE(CONTROL!$C$21, $C$9, 100%, $E$9)</f>
        <v>49.989400000000003</v>
      </c>
      <c r="O743" s="14">
        <f>CHOOSE(CONTROL!$C$42, 50.0687, 50.0687) * CHOOSE(CONTROL!$C$21, $C$9, 100%, $E$9)</f>
        <v>50.0687</v>
      </c>
      <c r="P743" s="14">
        <f>CHOOSE(CONTROL!$C$42, 50.1454, 50.1454) * CHOOSE(CONTROL!$C$21, $C$9, 100%, $E$9)</f>
        <v>50.145400000000002</v>
      </c>
      <c r="Q743" s="14">
        <f>CHOOSE(CONTROL!$C$42, 50.6634, 50.6634) * CHOOSE(CONTROL!$C$21, $C$9, 100%, $E$9)</f>
        <v>50.663400000000003</v>
      </c>
      <c r="R743" s="14">
        <f>CHOOSE(CONTROL!$C$42, 51.3771, 51.3771) * CHOOSE(CONTROL!$C$21, $C$9, 100%, $E$9)</f>
        <v>51.377099999999999</v>
      </c>
      <c r="S743" s="14">
        <f>CHOOSE(CONTROL!$C$42, 49.0027, 49.0027) * CHOOSE(CONTROL!$C$21, $C$9, 100%, $E$9)</f>
        <v>49.002699999999997</v>
      </c>
      <c r="T7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7">
        <f>(1000*CHOOSE(CONTROL!$C$42, 695, 695)*CHOOSE(CONTROL!$C$42, 0.5599, 0.5599)*CHOOSE(CONTROL!$C$42, 30, 30))/1000000</f>
        <v>11.673914999999997</v>
      </c>
      <c r="V743" s="57">
        <f>(1000*CHOOSE(CONTROL!$C$42, 500, 500)*CHOOSE(CONTROL!$C$42, 0.275, 0.275)*CHOOSE(CONTROL!$C$42, 30, 30))/1000000</f>
        <v>4.125</v>
      </c>
      <c r="W743" s="57">
        <f>(1000*CHOOSE(CONTROL!$C$42, 0.1146, 0.1146)*CHOOSE(CONTROL!$C$42, 121.5, 121.5)*CHOOSE(CONTROL!$C$42, 30, 30))/1000000</f>
        <v>0.417717</v>
      </c>
      <c r="X743" s="57">
        <f>(30*0.1790888*100000/1000000)+(30*0.2374*100000/1000000)</f>
        <v>1.2494664</v>
      </c>
      <c r="Y743" s="57"/>
      <c r="Z743" s="14"/>
      <c r="AA743" s="56"/>
      <c r="AB743" s="50">
        <f>(B743*122.58+C743*297.941+D743*89.177+E743*40.302+F743*40+G743*160+H743*0+I743*100+J743*300)/(122.58+297.941+89.177+40.302+0+40+160+100+300)</f>
        <v>51.038783897391305</v>
      </c>
      <c r="AC743" s="45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50.042193525179862</v>
      </c>
    </row>
    <row r="744" spans="1:29" ht="15.75" x14ac:dyDescent="0.25">
      <c r="A744" s="32">
        <v>63554</v>
      </c>
      <c r="B744" s="14">
        <f>CHOOSE(CONTROL!$C$42, 54.4825, 54.4825) * CHOOSE(CONTROL!$C$21, $C$9, 100%, $E$9)</f>
        <v>54.482500000000002</v>
      </c>
      <c r="C744" s="14">
        <f>CHOOSE(CONTROL!$C$42, 54.4875, 54.4875) * CHOOSE(CONTROL!$C$21, $C$9, 100%, $E$9)</f>
        <v>54.487499999999997</v>
      </c>
      <c r="D744" s="14">
        <f>CHOOSE(CONTROL!$C$42, 54.5618, 54.5618) * CHOOSE(CONTROL!$C$21, $C$9, 100%, $E$9)</f>
        <v>54.561799999999998</v>
      </c>
      <c r="E744" s="14">
        <f>CHOOSE(CONTROL!$C$42, 54.5959, 54.5959) * CHOOSE(CONTROL!$C$21, $C$9, 100%, $E$9)</f>
        <v>54.5959</v>
      </c>
      <c r="F744" s="14">
        <f>CHOOSE(CONTROL!$C$42, 54.4967, 54.4967)*CHOOSE(CONTROL!$C$21, $C$9, 100%, $E$9)</f>
        <v>54.496699999999997</v>
      </c>
      <c r="G744" s="14">
        <f>CHOOSE(CONTROL!$C$42, 54.5139, 54.5139)*CHOOSE(CONTROL!$C$21, $C$9, 100%, $E$9)</f>
        <v>54.5139</v>
      </c>
      <c r="H744" s="14">
        <f>CHOOSE(CONTROL!$C$42, 54.5851, 54.5851) * CHOOSE(CONTROL!$C$21, $C$9, 100%, $E$9)</f>
        <v>54.585099999999997</v>
      </c>
      <c r="I744" s="14">
        <f>CHOOSE(CONTROL!$C$42, 54.6774, 54.6774)* CHOOSE(CONTROL!$C$21, $C$9, 100%, $E$9)</f>
        <v>54.677399999999999</v>
      </c>
      <c r="J744" s="14">
        <f>CHOOSE(CONTROL!$C$42, 54.4897, 54.4897)* CHOOSE(CONTROL!$C$21, $C$9, 100%, $E$9)</f>
        <v>54.489699999999999</v>
      </c>
      <c r="K744" s="53">
        <f>CHOOSE(CONTROL!$C$42, 54.6735, 54.6735) * CHOOSE(CONTROL!$C$21, $C$9, 100%, $E$9)</f>
        <v>54.673499999999997</v>
      </c>
      <c r="L744" s="14">
        <f>CHOOSE(CONTROL!$C$42, 55.1721, 55.1721) * CHOOSE(CONTROL!$C$21, $C$9, 100%, $E$9)</f>
        <v>55.1721</v>
      </c>
      <c r="M744" s="14">
        <f>CHOOSE(CONTROL!$C$42, 53.3809, 53.3809) * CHOOSE(CONTROL!$C$21, $C$9, 100%, $E$9)</f>
        <v>53.380899999999997</v>
      </c>
      <c r="N744" s="14">
        <f>CHOOSE(CONTROL!$C$42, 53.3978, 53.3978) * CHOOSE(CONTROL!$C$21, $C$9, 100%, $E$9)</f>
        <v>53.397799999999997</v>
      </c>
      <c r="O744" s="14">
        <f>CHOOSE(CONTROL!$C$42, 53.4743, 53.4743) * CHOOSE(CONTROL!$C$21, $C$9, 100%, $E$9)</f>
        <v>53.474299999999999</v>
      </c>
      <c r="P744" s="14">
        <f>CHOOSE(CONTROL!$C$42, 53.5615, 53.5615) * CHOOSE(CONTROL!$C$21, $C$9, 100%, $E$9)</f>
        <v>53.561500000000002</v>
      </c>
      <c r="Q744" s="14">
        <f>CHOOSE(CONTROL!$C$42, 54.069, 54.069) * CHOOSE(CONTROL!$C$21, $C$9, 100%, $E$9)</f>
        <v>54.069000000000003</v>
      </c>
      <c r="R744" s="14">
        <f>CHOOSE(CONTROL!$C$42, 54.7912, 54.7912) * CHOOSE(CONTROL!$C$21, $C$9, 100%, $E$9)</f>
        <v>54.791200000000003</v>
      </c>
      <c r="S744" s="14">
        <f>CHOOSE(CONTROL!$C$42, 52.3437, 52.3437) * CHOOSE(CONTROL!$C$21, $C$9, 100%, $E$9)</f>
        <v>52.343699999999998</v>
      </c>
      <c r="T7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7">
        <f>(1000*CHOOSE(CONTROL!$C$42, 695, 695)*CHOOSE(CONTROL!$C$42, 0.5599, 0.5599)*CHOOSE(CONTROL!$C$42, 31, 31))/1000000</f>
        <v>12.063045499999998</v>
      </c>
      <c r="V744" s="57">
        <f>(1000*CHOOSE(CONTROL!$C$42, 500, 500)*CHOOSE(CONTROL!$C$42, 0.275, 0.275)*CHOOSE(CONTROL!$C$42, 31, 31))/1000000</f>
        <v>4.2625000000000002</v>
      </c>
      <c r="W744" s="57">
        <f>(1000*CHOOSE(CONTROL!$C$42, 0.1146, 0.1146)*CHOOSE(CONTROL!$C$42, 121.5, 121.5)*CHOOSE(CONTROL!$C$42, 31, 31))/1000000</f>
        <v>0.43164089999999994</v>
      </c>
      <c r="X744" s="57">
        <f>(31*0.1790888*100000/1000000)+(31*0.2374*100000/1000000)</f>
        <v>1.2911152800000001</v>
      </c>
      <c r="Y744" s="57"/>
      <c r="Z744" s="14"/>
      <c r="AA744" s="56"/>
      <c r="AB744" s="50">
        <f>(B744*122.58+C744*297.941+D744*89.177+E744*40.302+F744*40+G744*160+H744*0+I744*100+J744*300)/(122.58+297.941+89.177+40.302+0+40+160+100+300)</f>
        <v>54.517607554695644</v>
      </c>
      <c r="AC744" s="45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53.450190647482017</v>
      </c>
    </row>
    <row r="745" spans="1:29" ht="15.75" x14ac:dyDescent="0.25">
      <c r="A745" s="32">
        <v>63585</v>
      </c>
      <c r="B745" s="14">
        <f>CHOOSE(CONTROL!$C$42, 58.9983, 58.9983) * CHOOSE(CONTROL!$C$21, $C$9, 100%, $E$9)</f>
        <v>58.9983</v>
      </c>
      <c r="C745" s="14">
        <f>CHOOSE(CONTROL!$C$42, 59.0034, 59.0034) * CHOOSE(CONTROL!$C$21, $C$9, 100%, $E$9)</f>
        <v>59.003399999999999</v>
      </c>
      <c r="D745" s="14">
        <f>CHOOSE(CONTROL!$C$42, 59.0802, 59.0802) * CHOOSE(CONTROL!$C$21, $C$9, 100%, $E$9)</f>
        <v>59.080199999999998</v>
      </c>
      <c r="E745" s="14">
        <f>CHOOSE(CONTROL!$C$42, 59.1143, 59.1143) * CHOOSE(CONTROL!$C$21, $C$9, 100%, $E$9)</f>
        <v>59.1143</v>
      </c>
      <c r="F745" s="14">
        <f>CHOOSE(CONTROL!$C$42, 58.9985, 58.9985)*CHOOSE(CONTROL!$C$21, $C$9, 100%, $E$9)</f>
        <v>58.9985</v>
      </c>
      <c r="G745" s="14">
        <f>CHOOSE(CONTROL!$C$42, 59.0147, 59.0147)*CHOOSE(CONTROL!$C$21, $C$9, 100%, $E$9)</f>
        <v>59.014699999999998</v>
      </c>
      <c r="H745" s="14">
        <f>CHOOSE(CONTROL!$C$42, 59.1035, 59.1035) * CHOOSE(CONTROL!$C$21, $C$9, 100%, $E$9)</f>
        <v>59.103499999999997</v>
      </c>
      <c r="I745" s="14">
        <f>CHOOSE(CONTROL!$C$42, 59.2011, 59.2011)* CHOOSE(CONTROL!$C$21, $C$9, 100%, $E$9)</f>
        <v>59.201099999999997</v>
      </c>
      <c r="J745" s="14">
        <f>CHOOSE(CONTROL!$C$42, 58.9915, 58.9915)* CHOOSE(CONTROL!$C$21, $C$9, 100%, $E$9)</f>
        <v>58.991500000000002</v>
      </c>
      <c r="K745" s="53">
        <f>CHOOSE(CONTROL!$C$42, 59.1972, 59.1972) * CHOOSE(CONTROL!$C$21, $C$9, 100%, $E$9)</f>
        <v>59.197200000000002</v>
      </c>
      <c r="L745" s="14">
        <f>CHOOSE(CONTROL!$C$42, 59.6905, 59.6905) * CHOOSE(CONTROL!$C$21, $C$9, 100%, $E$9)</f>
        <v>59.6905</v>
      </c>
      <c r="M745" s="14">
        <f>CHOOSE(CONTROL!$C$42, 57.7905, 57.7905) * CHOOSE(CONTROL!$C$21, $C$9, 100%, $E$9)</f>
        <v>57.790500000000002</v>
      </c>
      <c r="N745" s="14">
        <f>CHOOSE(CONTROL!$C$42, 57.8064, 57.8064) * CHOOSE(CONTROL!$C$21, $C$9, 100%, $E$9)</f>
        <v>57.806399999999996</v>
      </c>
      <c r="O745" s="14">
        <f>CHOOSE(CONTROL!$C$42, 57.9002, 57.9002) * CHOOSE(CONTROL!$C$21, $C$9, 100%, $E$9)</f>
        <v>57.900199999999998</v>
      </c>
      <c r="P745" s="14">
        <f>CHOOSE(CONTROL!$C$42, 57.9922, 57.9922) * CHOOSE(CONTROL!$C$21, $C$9, 100%, $E$9)</f>
        <v>57.992199999999997</v>
      </c>
      <c r="Q745" s="14">
        <f>CHOOSE(CONTROL!$C$42, 58.4949, 58.4949) * CHOOSE(CONTROL!$C$21, $C$9, 100%, $E$9)</f>
        <v>58.494900000000001</v>
      </c>
      <c r="R745" s="14">
        <f>CHOOSE(CONTROL!$C$42, 59.2281, 59.2281) * CHOOSE(CONTROL!$C$21, $C$9, 100%, $E$9)</f>
        <v>59.228099999999998</v>
      </c>
      <c r="S745" s="14">
        <f>CHOOSE(CONTROL!$C$42, 56.6829, 56.6829) * CHOOSE(CONTROL!$C$21, $C$9, 100%, $E$9)</f>
        <v>56.682899999999997</v>
      </c>
      <c r="T7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7">
        <f>(1000*CHOOSE(CONTROL!$C$42, 695, 695)*CHOOSE(CONTROL!$C$42, 0.5599, 0.5599)*CHOOSE(CONTROL!$C$42, 31, 31))/1000000</f>
        <v>12.063045499999998</v>
      </c>
      <c r="V745" s="57">
        <f>(1000*CHOOSE(CONTROL!$C$42, 500, 500)*CHOOSE(CONTROL!$C$42, 0.275, 0.275)*CHOOSE(CONTROL!$C$42, 31, 31))/1000000</f>
        <v>4.2625000000000002</v>
      </c>
      <c r="W745" s="57">
        <f>(1000*CHOOSE(CONTROL!$C$42, 0.1146, 0.1146)*CHOOSE(CONTROL!$C$42, 121.5, 121.5)*CHOOSE(CONTROL!$C$42, 31, 31))/1000000</f>
        <v>0.43164089999999994</v>
      </c>
      <c r="X745" s="57">
        <f>(31*0.1790888*100000/1000000)+(31*0.2374*100000/1000000)</f>
        <v>1.2911152800000001</v>
      </c>
      <c r="Y745" s="57"/>
      <c r="Z745" s="14"/>
      <c r="AA745" s="56"/>
      <c r="AB745" s="50">
        <f>(B745*122.58+C745*297.941+D745*89.177+E745*40.302+F745*40+G745*160+H745*0+I745*100+J745*300)/(122.58+297.941+89.177+40.302+0+40+160+100+300)</f>
        <v>59.028187067304351</v>
      </c>
      <c r="AC745" s="45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57.870156834532374</v>
      </c>
    </row>
    <row r="746" spans="1:29" ht="15.75" x14ac:dyDescent="0.25">
      <c r="A746" s="32">
        <v>63613</v>
      </c>
      <c r="B746" s="14">
        <f>CHOOSE(CONTROL!$C$42, 60.0484, 60.0484) * CHOOSE(CONTROL!$C$21, $C$9, 100%, $E$9)</f>
        <v>60.048400000000001</v>
      </c>
      <c r="C746" s="14">
        <f>CHOOSE(CONTROL!$C$42, 60.0534, 60.0534) * CHOOSE(CONTROL!$C$21, $C$9, 100%, $E$9)</f>
        <v>60.053400000000003</v>
      </c>
      <c r="D746" s="14">
        <f>CHOOSE(CONTROL!$C$42, 60.1303, 60.1303) * CHOOSE(CONTROL!$C$21, $C$9, 100%, $E$9)</f>
        <v>60.130299999999998</v>
      </c>
      <c r="E746" s="14">
        <f>CHOOSE(CONTROL!$C$42, 60.1644, 60.1644) * CHOOSE(CONTROL!$C$21, $C$9, 100%, $E$9)</f>
        <v>60.164400000000001</v>
      </c>
      <c r="F746" s="14">
        <f>CHOOSE(CONTROL!$C$42, 60.0486, 60.0486)*CHOOSE(CONTROL!$C$21, $C$9, 100%, $E$9)</f>
        <v>60.0486</v>
      </c>
      <c r="G746" s="14">
        <f>CHOOSE(CONTROL!$C$42, 60.0649, 60.0649)*CHOOSE(CONTROL!$C$21, $C$9, 100%, $E$9)</f>
        <v>60.064900000000002</v>
      </c>
      <c r="H746" s="14">
        <f>CHOOSE(CONTROL!$C$42, 60.1536, 60.1536) * CHOOSE(CONTROL!$C$21, $C$9, 100%, $E$9)</f>
        <v>60.153599999999997</v>
      </c>
      <c r="I746" s="14">
        <f>CHOOSE(CONTROL!$C$42, 60.2545, 60.2545)* CHOOSE(CONTROL!$C$21, $C$9, 100%, $E$9)</f>
        <v>60.2545</v>
      </c>
      <c r="J746" s="14">
        <f>CHOOSE(CONTROL!$C$42, 60.0416, 60.0416)* CHOOSE(CONTROL!$C$21, $C$9, 100%, $E$9)</f>
        <v>60.041600000000003</v>
      </c>
      <c r="K746" s="53">
        <f>CHOOSE(CONTROL!$C$42, 60.2506, 60.2506) * CHOOSE(CONTROL!$C$21, $C$9, 100%, $E$9)</f>
        <v>60.250599999999999</v>
      </c>
      <c r="L746" s="14">
        <f>CHOOSE(CONTROL!$C$42, 60.7406, 60.7406) * CHOOSE(CONTROL!$C$21, $C$9, 100%, $E$9)</f>
        <v>60.740600000000001</v>
      </c>
      <c r="M746" s="14">
        <f>CHOOSE(CONTROL!$C$42, 58.8191, 58.8191) * CHOOSE(CONTROL!$C$21, $C$9, 100%, $E$9)</f>
        <v>58.819099999999999</v>
      </c>
      <c r="N746" s="14">
        <f>CHOOSE(CONTROL!$C$42, 58.835, 58.835) * CHOOSE(CONTROL!$C$21, $C$9, 100%, $E$9)</f>
        <v>58.835000000000001</v>
      </c>
      <c r="O746" s="14">
        <f>CHOOSE(CONTROL!$C$42, 58.9288, 58.9288) * CHOOSE(CONTROL!$C$21, $C$9, 100%, $E$9)</f>
        <v>58.928800000000003</v>
      </c>
      <c r="P746" s="14">
        <f>CHOOSE(CONTROL!$C$42, 59.0239, 59.0239) * CHOOSE(CONTROL!$C$21, $C$9, 100%, $E$9)</f>
        <v>59.023899999999998</v>
      </c>
      <c r="Q746" s="14">
        <f>CHOOSE(CONTROL!$C$42, 59.5235, 59.5235) * CHOOSE(CONTROL!$C$21, $C$9, 100%, $E$9)</f>
        <v>59.523499999999999</v>
      </c>
      <c r="R746" s="14">
        <f>CHOOSE(CONTROL!$C$42, 60.2593, 60.2593) * CHOOSE(CONTROL!$C$21, $C$9, 100%, $E$9)</f>
        <v>60.259300000000003</v>
      </c>
      <c r="S746" s="14">
        <f>CHOOSE(CONTROL!$C$42, 57.692, 57.692) * CHOOSE(CONTROL!$C$21, $C$9, 100%, $E$9)</f>
        <v>57.692</v>
      </c>
      <c r="T7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7">
        <f>(1000*CHOOSE(CONTROL!$C$42, 695, 695)*CHOOSE(CONTROL!$C$42, 0.5599, 0.5599)*CHOOSE(CONTROL!$C$42, 28, 28))/1000000</f>
        <v>10.895653999999999</v>
      </c>
      <c r="V746" s="57">
        <f>(1000*CHOOSE(CONTROL!$C$42, 500, 500)*CHOOSE(CONTROL!$C$42, 0.275, 0.275)*CHOOSE(CONTROL!$C$42, 28, 28))/1000000</f>
        <v>3.85</v>
      </c>
      <c r="W746" s="57">
        <f>(1000*CHOOSE(CONTROL!$C$42, 0.1146, 0.1146)*CHOOSE(CONTROL!$C$42, 121.5, 121.5)*CHOOSE(CONTROL!$C$42, 28, 28))/1000000</f>
        <v>0.38986920000000003</v>
      </c>
      <c r="X746" s="57">
        <f>(28*0.1790888*100000/1000000)+(28*0.2374*100000/1000000)</f>
        <v>1.16616864</v>
      </c>
      <c r="Y746" s="57"/>
      <c r="Z746" s="14"/>
      <c r="AA746" s="56"/>
      <c r="AB746" s="50">
        <f>(B746*122.58+C746*297.941+D746*89.177+E746*40.302+F746*40+G746*160+H746*0+I746*100+J746*300)/(122.58+297.941+89.177+40.302+0+40+160+100+300)</f>
        <v>60.078562028956519</v>
      </c>
      <c r="AC746" s="45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58.899202877697839</v>
      </c>
    </row>
    <row r="747" spans="1:29" ht="15.75" x14ac:dyDescent="0.25">
      <c r="A747" s="32">
        <v>63644</v>
      </c>
      <c r="B747" s="14">
        <f>CHOOSE(CONTROL!$C$42, 58.3438, 58.3438) * CHOOSE(CONTROL!$C$21, $C$9, 100%, $E$9)</f>
        <v>58.343800000000002</v>
      </c>
      <c r="C747" s="14">
        <f>CHOOSE(CONTROL!$C$42, 58.3489, 58.3489) * CHOOSE(CONTROL!$C$21, $C$9, 100%, $E$9)</f>
        <v>58.3489</v>
      </c>
      <c r="D747" s="14">
        <f>CHOOSE(CONTROL!$C$42, 58.4257, 58.4257) * CHOOSE(CONTROL!$C$21, $C$9, 100%, $E$9)</f>
        <v>58.425699999999999</v>
      </c>
      <c r="E747" s="14">
        <f>CHOOSE(CONTROL!$C$42, 58.4598, 58.4598) * CHOOSE(CONTROL!$C$21, $C$9, 100%, $E$9)</f>
        <v>58.459800000000001</v>
      </c>
      <c r="F747" s="14">
        <f>CHOOSE(CONTROL!$C$42, 58.3436, 58.3436)*CHOOSE(CONTROL!$C$21, $C$9, 100%, $E$9)</f>
        <v>58.343600000000002</v>
      </c>
      <c r="G747" s="14">
        <f>CHOOSE(CONTROL!$C$42, 58.3597, 58.3597)*CHOOSE(CONTROL!$C$21, $C$9, 100%, $E$9)</f>
        <v>58.359699999999997</v>
      </c>
      <c r="H747" s="14">
        <f>CHOOSE(CONTROL!$C$42, 58.449, 58.449) * CHOOSE(CONTROL!$C$21, $C$9, 100%, $E$9)</f>
        <v>58.448999999999998</v>
      </c>
      <c r="I747" s="14">
        <f>CHOOSE(CONTROL!$C$42, 58.5446, 58.5446)* CHOOSE(CONTROL!$C$21, $C$9, 100%, $E$9)</f>
        <v>58.544600000000003</v>
      </c>
      <c r="J747" s="14">
        <f>CHOOSE(CONTROL!$C$42, 58.3366, 58.3366)* CHOOSE(CONTROL!$C$21, $C$9, 100%, $E$9)</f>
        <v>58.336599999999997</v>
      </c>
      <c r="K747" s="53">
        <f>CHOOSE(CONTROL!$C$42, 58.5407, 58.5407) * CHOOSE(CONTROL!$C$21, $C$9, 100%, $E$9)</f>
        <v>58.540700000000001</v>
      </c>
      <c r="L747" s="14">
        <f>CHOOSE(CONTROL!$C$42, 59.036, 59.036) * CHOOSE(CONTROL!$C$21, $C$9, 100%, $E$9)</f>
        <v>59.036000000000001</v>
      </c>
      <c r="M747" s="14">
        <f>CHOOSE(CONTROL!$C$42, 57.1491, 57.1491) * CHOOSE(CONTROL!$C$21, $C$9, 100%, $E$9)</f>
        <v>57.149099999999997</v>
      </c>
      <c r="N747" s="14">
        <f>CHOOSE(CONTROL!$C$42, 57.1648, 57.1648) * CHOOSE(CONTROL!$C$21, $C$9, 100%, $E$9)</f>
        <v>57.1648</v>
      </c>
      <c r="O747" s="14">
        <f>CHOOSE(CONTROL!$C$42, 57.2591, 57.2591) * CHOOSE(CONTROL!$C$21, $C$9, 100%, $E$9)</f>
        <v>57.259099999999997</v>
      </c>
      <c r="P747" s="14">
        <f>CHOOSE(CONTROL!$C$42, 57.3492, 57.3492) * CHOOSE(CONTROL!$C$21, $C$9, 100%, $E$9)</f>
        <v>57.349200000000003</v>
      </c>
      <c r="Q747" s="14">
        <f>CHOOSE(CONTROL!$C$42, 57.8538, 57.8538) * CHOOSE(CONTROL!$C$21, $C$9, 100%, $E$9)</f>
        <v>57.8538</v>
      </c>
      <c r="R747" s="14">
        <f>CHOOSE(CONTROL!$C$42, 58.5855, 58.5855) * CHOOSE(CONTROL!$C$21, $C$9, 100%, $E$9)</f>
        <v>58.585500000000003</v>
      </c>
      <c r="S747" s="14">
        <f>CHOOSE(CONTROL!$C$42, 56.0541, 56.0541) * CHOOSE(CONTROL!$C$21, $C$9, 100%, $E$9)</f>
        <v>56.054099999999998</v>
      </c>
      <c r="T7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7">
        <f>(1000*CHOOSE(CONTROL!$C$42, 695, 695)*CHOOSE(CONTROL!$C$42, 0.5599, 0.5599)*CHOOSE(CONTROL!$C$42, 31, 31))/1000000</f>
        <v>12.063045499999998</v>
      </c>
      <c r="V747" s="57">
        <f>(1000*CHOOSE(CONTROL!$C$42, 500, 500)*CHOOSE(CONTROL!$C$42, 0.275, 0.275)*CHOOSE(CONTROL!$C$42, 31, 31))/1000000</f>
        <v>4.2625000000000002</v>
      </c>
      <c r="W747" s="57">
        <f>(1000*CHOOSE(CONTROL!$C$42, 0.1146, 0.1146)*CHOOSE(CONTROL!$C$42, 121.5, 121.5)*CHOOSE(CONTROL!$C$42, 31, 31))/1000000</f>
        <v>0.43164089999999994</v>
      </c>
      <c r="X747" s="57">
        <f>(31*0.1790888*100000/1000000)+(31*0.2374*100000/1000000)</f>
        <v>1.2911152800000001</v>
      </c>
      <c r="Y747" s="57"/>
      <c r="Z747" s="14"/>
      <c r="AA747" s="56"/>
      <c r="AB747" s="50">
        <f>(B747*122.58+C747*297.941+D747*89.177+E747*40.302+F747*40+G747*160+H747*0+I747*100+J747*300)/(122.58+297.941+89.177+40.302+0+40+160+100+300)</f>
        <v>58.373325328173912</v>
      </c>
      <c r="AC747" s="45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57.228651079136689</v>
      </c>
    </row>
    <row r="748" spans="1:29" ht="15.75" x14ac:dyDescent="0.25">
      <c r="A748" s="32">
        <v>63674</v>
      </c>
      <c r="B748" s="14">
        <f>CHOOSE(CONTROL!$C$42, 58.1704, 58.1704) * CHOOSE(CONTROL!$C$21, $C$9, 100%, $E$9)</f>
        <v>58.170400000000001</v>
      </c>
      <c r="C748" s="14">
        <f>CHOOSE(CONTROL!$C$42, 58.1749, 58.1749) * CHOOSE(CONTROL!$C$21, $C$9, 100%, $E$9)</f>
        <v>58.174900000000001</v>
      </c>
      <c r="D748" s="14">
        <f>CHOOSE(CONTROL!$C$42, 58.4116, 58.4116) * CHOOSE(CONTROL!$C$21, $C$9, 100%, $E$9)</f>
        <v>58.4116</v>
      </c>
      <c r="E748" s="14">
        <f>CHOOSE(CONTROL!$C$42, 58.4437, 58.4437) * CHOOSE(CONTROL!$C$21, $C$9, 100%, $E$9)</f>
        <v>58.4437</v>
      </c>
      <c r="F748" s="14">
        <f>CHOOSE(CONTROL!$C$42, 58.1684, 58.1684)*CHOOSE(CONTROL!$C$21, $C$9, 100%, $E$9)</f>
        <v>58.168399999999998</v>
      </c>
      <c r="G748" s="14">
        <f>CHOOSE(CONTROL!$C$42, 58.1842, 58.1842)*CHOOSE(CONTROL!$C$21, $C$9, 100%, $E$9)</f>
        <v>58.184199999999997</v>
      </c>
      <c r="H748" s="14">
        <f>CHOOSE(CONTROL!$C$42, 58.4335, 58.4335) * CHOOSE(CONTROL!$C$21, $C$9, 100%, $E$9)</f>
        <v>58.433500000000002</v>
      </c>
      <c r="I748" s="14">
        <f>CHOOSE(CONTROL!$C$42, 58.3699, 58.3699)* CHOOSE(CONTROL!$C$21, $C$9, 100%, $E$9)</f>
        <v>58.369900000000001</v>
      </c>
      <c r="J748" s="14">
        <f>CHOOSE(CONTROL!$C$42, 58.1614, 58.1614)* CHOOSE(CONTROL!$C$21, $C$9, 100%, $E$9)</f>
        <v>58.1614</v>
      </c>
      <c r="K748" s="53">
        <f>CHOOSE(CONTROL!$C$42, 58.366, 58.366) * CHOOSE(CONTROL!$C$21, $C$9, 100%, $E$9)</f>
        <v>58.366</v>
      </c>
      <c r="L748" s="14">
        <f>CHOOSE(CONTROL!$C$42, 59.0205, 59.0205) * CHOOSE(CONTROL!$C$21, $C$9, 100%, $E$9)</f>
        <v>59.020499999999998</v>
      </c>
      <c r="M748" s="14">
        <f>CHOOSE(CONTROL!$C$42, 56.9774, 56.9774) * CHOOSE(CONTROL!$C$21, $C$9, 100%, $E$9)</f>
        <v>56.977400000000003</v>
      </c>
      <c r="N748" s="14">
        <f>CHOOSE(CONTROL!$C$42, 56.9929, 56.9929) * CHOOSE(CONTROL!$C$21, $C$9, 100%, $E$9)</f>
        <v>56.992899999999999</v>
      </c>
      <c r="O748" s="14">
        <f>CHOOSE(CONTROL!$C$42, 57.244, 57.244) * CHOOSE(CONTROL!$C$21, $C$9, 100%, $E$9)</f>
        <v>57.244</v>
      </c>
      <c r="P748" s="14">
        <f>CHOOSE(CONTROL!$C$42, 57.178, 57.178) * CHOOSE(CONTROL!$C$21, $C$9, 100%, $E$9)</f>
        <v>57.177999999999997</v>
      </c>
      <c r="Q748" s="14">
        <f>CHOOSE(CONTROL!$C$42, 57.8387, 57.8387) * CHOOSE(CONTROL!$C$21, $C$9, 100%, $E$9)</f>
        <v>57.838700000000003</v>
      </c>
      <c r="R748" s="14">
        <f>CHOOSE(CONTROL!$C$42, 58.5703, 58.5703) * CHOOSE(CONTROL!$C$21, $C$9, 100%, $E$9)</f>
        <v>58.570300000000003</v>
      </c>
      <c r="S748" s="14">
        <f>CHOOSE(CONTROL!$C$42, 55.8867, 55.8867) * CHOOSE(CONTROL!$C$21, $C$9, 100%, $E$9)</f>
        <v>55.886699999999998</v>
      </c>
      <c r="T7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7">
        <f>(1000*CHOOSE(CONTROL!$C$42, 695, 695)*CHOOSE(CONTROL!$C$42, 0.5599, 0.5599)*CHOOSE(CONTROL!$C$42, 30, 30))/1000000</f>
        <v>11.673914999999997</v>
      </c>
      <c r="V748" s="57">
        <f>(1000*CHOOSE(CONTROL!$C$42, 500, 500)*CHOOSE(CONTROL!$C$42, 0.275, 0.275)*CHOOSE(CONTROL!$C$42, 30, 30))/1000000</f>
        <v>4.125</v>
      </c>
      <c r="W748" s="57">
        <f>(1000*CHOOSE(CONTROL!$C$42, 0.1146, 0.1146)*CHOOSE(CONTROL!$C$42, 121.5, 121.5)*CHOOSE(CONTROL!$C$42, 30, 30))/1000000</f>
        <v>0.417717</v>
      </c>
      <c r="X748" s="57">
        <f>(30*0.1790888*245000/1000000)+(30*0.2374*100000/1000000)</f>
        <v>2.0285026799999999</v>
      </c>
      <c r="Y748" s="57"/>
      <c r="Z748" s="14"/>
      <c r="AA748" s="56"/>
      <c r="AB748" s="50">
        <f>(B748*141.293+C748*267.993+D748*115.016+E748*89.698+F748*40+G748*185+H748*0+I748*100+J748*300)/(141.293+267.993+115.016+89.698+0+40+185+100+300)</f>
        <v>58.229468031557708</v>
      </c>
      <c r="AC748" s="45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57.12798848920864</v>
      </c>
    </row>
    <row r="749" spans="1:29" ht="15.75" x14ac:dyDescent="0.25">
      <c r="A749" s="32">
        <v>63705</v>
      </c>
      <c r="B749" s="14">
        <f>CHOOSE(CONTROL!$C$42, 58.6851, 58.6851) * CHOOSE(CONTROL!$C$21, $C$9, 100%, $E$9)</f>
        <v>58.685099999999998</v>
      </c>
      <c r="C749" s="14">
        <f>CHOOSE(CONTROL!$C$42, 58.6932, 58.6932) * CHOOSE(CONTROL!$C$21, $C$9, 100%, $E$9)</f>
        <v>58.693199999999997</v>
      </c>
      <c r="D749" s="14">
        <f>CHOOSE(CONTROL!$C$42, 58.9268, 58.9268) * CHOOSE(CONTROL!$C$21, $C$9, 100%, $E$9)</f>
        <v>58.9268</v>
      </c>
      <c r="E749" s="14">
        <f>CHOOSE(CONTROL!$C$42, 58.9582, 58.9582) * CHOOSE(CONTROL!$C$21, $C$9, 100%, $E$9)</f>
        <v>58.958199999999998</v>
      </c>
      <c r="F749" s="14">
        <f>CHOOSE(CONTROL!$C$42, 58.6819, 58.6819)*CHOOSE(CONTROL!$C$21, $C$9, 100%, $E$9)</f>
        <v>58.681899999999999</v>
      </c>
      <c r="G749" s="14">
        <f>CHOOSE(CONTROL!$C$42, 58.6983, 58.6983)*CHOOSE(CONTROL!$C$21, $C$9, 100%, $E$9)</f>
        <v>58.698300000000003</v>
      </c>
      <c r="H749" s="14">
        <f>CHOOSE(CONTROL!$C$42, 58.9469, 58.9469) * CHOOSE(CONTROL!$C$21, $C$9, 100%, $E$9)</f>
        <v>58.946899999999999</v>
      </c>
      <c r="I749" s="14">
        <f>CHOOSE(CONTROL!$C$42, 58.8848, 58.8848)* CHOOSE(CONTROL!$C$21, $C$9, 100%, $E$9)</f>
        <v>58.884799999999998</v>
      </c>
      <c r="J749" s="14">
        <f>CHOOSE(CONTROL!$C$42, 58.6749, 58.6749)* CHOOSE(CONTROL!$C$21, $C$9, 100%, $E$9)</f>
        <v>58.674900000000001</v>
      </c>
      <c r="K749" s="53">
        <f>CHOOSE(CONTROL!$C$42, 58.8809, 58.8809) * CHOOSE(CONTROL!$C$21, $C$9, 100%, $E$9)</f>
        <v>58.880899999999997</v>
      </c>
      <c r="L749" s="14">
        <f>CHOOSE(CONTROL!$C$42, 59.5339, 59.5339) * CHOOSE(CONTROL!$C$21, $C$9, 100%, $E$9)</f>
        <v>59.533900000000003</v>
      </c>
      <c r="M749" s="14">
        <f>CHOOSE(CONTROL!$C$42, 57.4804, 57.4804) * CHOOSE(CONTROL!$C$21, $C$9, 100%, $E$9)</f>
        <v>57.480400000000003</v>
      </c>
      <c r="N749" s="14">
        <f>CHOOSE(CONTROL!$C$42, 57.4964, 57.4964) * CHOOSE(CONTROL!$C$21, $C$9, 100%, $E$9)</f>
        <v>57.496400000000001</v>
      </c>
      <c r="O749" s="14">
        <f>CHOOSE(CONTROL!$C$42, 57.7468, 57.7468) * CHOOSE(CONTROL!$C$21, $C$9, 100%, $E$9)</f>
        <v>57.7468</v>
      </c>
      <c r="P749" s="14">
        <f>CHOOSE(CONTROL!$C$42, 57.6824, 57.6824) * CHOOSE(CONTROL!$C$21, $C$9, 100%, $E$9)</f>
        <v>57.682400000000001</v>
      </c>
      <c r="Q749" s="14">
        <f>CHOOSE(CONTROL!$C$42, 58.3415, 58.3415) * CHOOSE(CONTROL!$C$21, $C$9, 100%, $E$9)</f>
        <v>58.341500000000003</v>
      </c>
      <c r="R749" s="14">
        <f>CHOOSE(CONTROL!$C$42, 59.0743, 59.0743) * CHOOSE(CONTROL!$C$21, $C$9, 100%, $E$9)</f>
        <v>59.074300000000001</v>
      </c>
      <c r="S749" s="14">
        <f>CHOOSE(CONTROL!$C$42, 56.3799, 56.3799) * CHOOSE(CONTROL!$C$21, $C$9, 100%, $E$9)</f>
        <v>56.379899999999999</v>
      </c>
      <c r="T7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7">
        <f>(1000*CHOOSE(CONTROL!$C$42, 695, 695)*CHOOSE(CONTROL!$C$42, 0.5599, 0.5599)*CHOOSE(CONTROL!$C$42, 31, 31))/1000000</f>
        <v>12.063045499999998</v>
      </c>
      <c r="V749" s="57">
        <f>(1000*CHOOSE(CONTROL!$C$42, 500, 500)*CHOOSE(CONTROL!$C$42, 0.275, 0.275)*CHOOSE(CONTROL!$C$42, 31, 31))/1000000</f>
        <v>4.2625000000000002</v>
      </c>
      <c r="W749" s="57">
        <f>(1000*CHOOSE(CONTROL!$C$42, 0.1146, 0.1146)*CHOOSE(CONTROL!$C$42, 121.5, 121.5)*CHOOSE(CONTROL!$C$42, 31, 31))/1000000</f>
        <v>0.43164089999999994</v>
      </c>
      <c r="X749" s="57">
        <f>(31*0.1790888*245000/1000000)+(31*0.2374*100000/1000000)</f>
        <v>2.0961194359999999</v>
      </c>
      <c r="Y749" s="57"/>
      <c r="Z749" s="14"/>
      <c r="AA749" s="56"/>
      <c r="AB749" s="50">
        <f>(B749*194.205+C749*267.466+D749*133.845+E749*53.484+F749*40+G749*185+H749*0+I749*100+J749*300)/(194.205+267.466+133.845+53.484+0+40+185+100+300)</f>
        <v>58.738747795525903</v>
      </c>
      <c r="AC749" s="45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57.631128057553951</v>
      </c>
    </row>
    <row r="750" spans="1:29" ht="15.75" x14ac:dyDescent="0.25">
      <c r="A750" s="32">
        <v>63735</v>
      </c>
      <c r="B750" s="14">
        <f>CHOOSE(CONTROL!$C$42, 60.3495, 60.3495) * CHOOSE(CONTROL!$C$21, $C$9, 100%, $E$9)</f>
        <v>60.349499999999999</v>
      </c>
      <c r="C750" s="14">
        <f>CHOOSE(CONTROL!$C$42, 60.3575, 60.3575) * CHOOSE(CONTROL!$C$21, $C$9, 100%, $E$9)</f>
        <v>60.357500000000002</v>
      </c>
      <c r="D750" s="14">
        <f>CHOOSE(CONTROL!$C$42, 60.5911, 60.5911) * CHOOSE(CONTROL!$C$21, $C$9, 100%, $E$9)</f>
        <v>60.591099999999997</v>
      </c>
      <c r="E750" s="14">
        <f>CHOOSE(CONTROL!$C$42, 60.6226, 60.6226) * CHOOSE(CONTROL!$C$21, $C$9, 100%, $E$9)</f>
        <v>60.622599999999998</v>
      </c>
      <c r="F750" s="14">
        <f>CHOOSE(CONTROL!$C$42, 60.3467, 60.3467)*CHOOSE(CONTROL!$C$21, $C$9, 100%, $E$9)</f>
        <v>60.346699999999998</v>
      </c>
      <c r="G750" s="14">
        <f>CHOOSE(CONTROL!$C$42, 60.3632, 60.3632)*CHOOSE(CONTROL!$C$21, $C$9, 100%, $E$9)</f>
        <v>60.363199999999999</v>
      </c>
      <c r="H750" s="14">
        <f>CHOOSE(CONTROL!$C$42, 60.6112, 60.6112) * CHOOSE(CONTROL!$C$21, $C$9, 100%, $E$9)</f>
        <v>60.611199999999997</v>
      </c>
      <c r="I750" s="14">
        <f>CHOOSE(CONTROL!$C$42, 60.5544, 60.5544)* CHOOSE(CONTROL!$C$21, $C$9, 100%, $E$9)</f>
        <v>60.554400000000001</v>
      </c>
      <c r="J750" s="14">
        <f>CHOOSE(CONTROL!$C$42, 60.3397, 60.3397)* CHOOSE(CONTROL!$C$21, $C$9, 100%, $E$9)</f>
        <v>60.339700000000001</v>
      </c>
      <c r="K750" s="53">
        <f>CHOOSE(CONTROL!$C$42, 60.5505, 60.5505) * CHOOSE(CONTROL!$C$21, $C$9, 100%, $E$9)</f>
        <v>60.5505</v>
      </c>
      <c r="L750" s="14">
        <f>CHOOSE(CONTROL!$C$42, 61.1982, 61.1982) * CHOOSE(CONTROL!$C$21, $C$9, 100%, $E$9)</f>
        <v>61.1982</v>
      </c>
      <c r="M750" s="14">
        <f>CHOOSE(CONTROL!$C$42, 59.1111, 59.1111) * CHOOSE(CONTROL!$C$21, $C$9, 100%, $E$9)</f>
        <v>59.1111</v>
      </c>
      <c r="N750" s="14">
        <f>CHOOSE(CONTROL!$C$42, 59.1272, 59.1272) * CHOOSE(CONTROL!$C$21, $C$9, 100%, $E$9)</f>
        <v>59.127200000000002</v>
      </c>
      <c r="O750" s="14">
        <f>CHOOSE(CONTROL!$C$42, 59.377, 59.377) * CHOOSE(CONTROL!$C$21, $C$9, 100%, $E$9)</f>
        <v>59.377000000000002</v>
      </c>
      <c r="P750" s="14">
        <f>CHOOSE(CONTROL!$C$42, 59.3176, 59.3176) * CHOOSE(CONTROL!$C$21, $C$9, 100%, $E$9)</f>
        <v>59.317599999999999</v>
      </c>
      <c r="Q750" s="14">
        <f>CHOOSE(CONTROL!$C$42, 59.9717, 59.9717) * CHOOSE(CONTROL!$C$21, $C$9, 100%, $E$9)</f>
        <v>59.971699999999998</v>
      </c>
      <c r="R750" s="14">
        <f>CHOOSE(CONTROL!$C$42, 60.7086, 60.7086) * CHOOSE(CONTROL!$C$21, $C$9, 100%, $E$9)</f>
        <v>60.708599999999997</v>
      </c>
      <c r="S750" s="14">
        <f>CHOOSE(CONTROL!$C$42, 57.9792, 57.9792) * CHOOSE(CONTROL!$C$21, $C$9, 100%, $E$9)</f>
        <v>57.979199999999999</v>
      </c>
      <c r="T7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7">
        <f>(1000*CHOOSE(CONTROL!$C$42, 695, 695)*CHOOSE(CONTROL!$C$42, 0.5599, 0.5599)*CHOOSE(CONTROL!$C$42, 30, 30))/1000000</f>
        <v>11.673914999999997</v>
      </c>
      <c r="V750" s="57">
        <f>(1000*CHOOSE(CONTROL!$C$42, 500, 500)*CHOOSE(CONTROL!$C$42, 0.275, 0.275)*CHOOSE(CONTROL!$C$42, 30, 30))/1000000</f>
        <v>4.125</v>
      </c>
      <c r="W750" s="57">
        <f>(1000*CHOOSE(CONTROL!$C$42, 0.1146, 0.1146)*CHOOSE(CONTROL!$C$42, 121.5, 121.5)*CHOOSE(CONTROL!$C$42, 30, 30))/1000000</f>
        <v>0.417717</v>
      </c>
      <c r="X750" s="57">
        <f>(30*0.1790888*245000/1000000)+(30*0.2374*100000/1000000)</f>
        <v>2.0285026799999999</v>
      </c>
      <c r="Y750" s="57"/>
      <c r="Z750" s="14"/>
      <c r="AA750" s="56"/>
      <c r="AB750" s="50">
        <f>(B750*194.205+C750*267.466+D750*133.845+E750*53.484+F750*40+G750*185+H750*0+I750*100+J750*300)/(194.205+267.466+133.845+53.484+0+40+185+100+300)</f>
        <v>60.403703815070649</v>
      </c>
      <c r="AC750" s="45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59.262254676258991</v>
      </c>
    </row>
    <row r="751" spans="1:29" ht="15.75" x14ac:dyDescent="0.25">
      <c r="A751" s="32">
        <v>63766</v>
      </c>
      <c r="B751" s="14">
        <f>CHOOSE(CONTROL!$C$42, 59.1919, 59.1919) * CHOOSE(CONTROL!$C$21, $C$9, 100%, $E$9)</f>
        <v>59.191899999999997</v>
      </c>
      <c r="C751" s="14">
        <f>CHOOSE(CONTROL!$C$42, 59.2, 59.2) * CHOOSE(CONTROL!$C$21, $C$9, 100%, $E$9)</f>
        <v>59.2</v>
      </c>
      <c r="D751" s="14">
        <f>CHOOSE(CONTROL!$C$42, 59.4335, 59.4335) * CHOOSE(CONTROL!$C$21, $C$9, 100%, $E$9)</f>
        <v>59.433500000000002</v>
      </c>
      <c r="E751" s="14">
        <f>CHOOSE(CONTROL!$C$42, 59.465, 59.465) * CHOOSE(CONTROL!$C$21, $C$9, 100%, $E$9)</f>
        <v>59.465000000000003</v>
      </c>
      <c r="F751" s="14">
        <f>CHOOSE(CONTROL!$C$42, 59.1897, 59.1897)*CHOOSE(CONTROL!$C$21, $C$9, 100%, $E$9)</f>
        <v>59.189700000000002</v>
      </c>
      <c r="G751" s="14">
        <f>CHOOSE(CONTROL!$C$42, 59.2063, 59.2063)*CHOOSE(CONTROL!$C$21, $C$9, 100%, $E$9)</f>
        <v>59.206299999999999</v>
      </c>
      <c r="H751" s="14">
        <f>CHOOSE(CONTROL!$C$42, 59.4536, 59.4536) * CHOOSE(CONTROL!$C$21, $C$9, 100%, $E$9)</f>
        <v>59.453600000000002</v>
      </c>
      <c r="I751" s="14">
        <f>CHOOSE(CONTROL!$C$42, 59.3932, 59.3932)* CHOOSE(CONTROL!$C$21, $C$9, 100%, $E$9)</f>
        <v>59.3932</v>
      </c>
      <c r="J751" s="14">
        <f>CHOOSE(CONTROL!$C$42, 59.1827, 59.1827)* CHOOSE(CONTROL!$C$21, $C$9, 100%, $E$9)</f>
        <v>59.182699999999997</v>
      </c>
      <c r="K751" s="53">
        <f>CHOOSE(CONTROL!$C$42, 59.3893, 59.3893) * CHOOSE(CONTROL!$C$21, $C$9, 100%, $E$9)</f>
        <v>59.389299999999999</v>
      </c>
      <c r="L751" s="14">
        <f>CHOOSE(CONTROL!$C$42, 60.0406, 60.0406) * CHOOSE(CONTROL!$C$21, $C$9, 100%, $E$9)</f>
        <v>60.040599999999998</v>
      </c>
      <c r="M751" s="14">
        <f>CHOOSE(CONTROL!$C$42, 57.9778, 57.9778) * CHOOSE(CONTROL!$C$21, $C$9, 100%, $E$9)</f>
        <v>57.977800000000002</v>
      </c>
      <c r="N751" s="14">
        <f>CHOOSE(CONTROL!$C$42, 57.9941, 57.9941) * CHOOSE(CONTROL!$C$21, $C$9, 100%, $E$9)</f>
        <v>57.994100000000003</v>
      </c>
      <c r="O751" s="14">
        <f>CHOOSE(CONTROL!$C$42, 58.2432, 58.2432) * CHOOSE(CONTROL!$C$21, $C$9, 100%, $E$9)</f>
        <v>58.243200000000002</v>
      </c>
      <c r="P751" s="14">
        <f>CHOOSE(CONTROL!$C$42, 58.1803, 58.1803) * CHOOSE(CONTROL!$C$21, $C$9, 100%, $E$9)</f>
        <v>58.180300000000003</v>
      </c>
      <c r="Q751" s="14">
        <f>CHOOSE(CONTROL!$C$42, 58.8379, 58.8379) * CHOOSE(CONTROL!$C$21, $C$9, 100%, $E$9)</f>
        <v>58.837899999999998</v>
      </c>
      <c r="R751" s="14">
        <f>CHOOSE(CONTROL!$C$42, 59.572, 59.572) * CHOOSE(CONTROL!$C$21, $C$9, 100%, $E$9)</f>
        <v>59.572000000000003</v>
      </c>
      <c r="S751" s="14">
        <f>CHOOSE(CONTROL!$C$42, 56.8669, 56.8669) * CHOOSE(CONTROL!$C$21, $C$9, 100%, $E$9)</f>
        <v>56.866900000000001</v>
      </c>
      <c r="T7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7">
        <f>(1000*CHOOSE(CONTROL!$C$42, 695, 695)*CHOOSE(CONTROL!$C$42, 0.5599, 0.5599)*CHOOSE(CONTROL!$C$42, 31, 31))/1000000</f>
        <v>12.063045499999998</v>
      </c>
      <c r="V751" s="57">
        <f>(1000*CHOOSE(CONTROL!$C$42, 500, 500)*CHOOSE(CONTROL!$C$42, 0.275, 0.275)*CHOOSE(CONTROL!$C$42, 31, 31))/1000000</f>
        <v>4.2625000000000002</v>
      </c>
      <c r="W751" s="57">
        <f>(1000*CHOOSE(CONTROL!$C$42, 0.1146, 0.1146)*CHOOSE(CONTROL!$C$42, 121.5, 121.5)*CHOOSE(CONTROL!$C$42, 31, 31))/1000000</f>
        <v>0.43164089999999994</v>
      </c>
      <c r="X751" s="57">
        <f>(31*0.1790888*245000/1000000)+(31*0.2374*100000/1000000)</f>
        <v>2.0961194359999999</v>
      </c>
      <c r="Y751" s="57"/>
      <c r="Z751" s="14"/>
      <c r="AA751" s="56"/>
      <c r="AB751" s="50">
        <f>(B751*194.205+C751*267.466+D751*133.845+E751*53.484+F751*40+G751*185+H751*0+I751*100+J751*300)/(194.205+267.466+133.845+53.484+0+40+185+100+300)</f>
        <v>59.246104008634234</v>
      </c>
      <c r="AC751" s="45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58.128164028776979</v>
      </c>
    </row>
    <row r="752" spans="1:29" ht="15.75" x14ac:dyDescent="0.25">
      <c r="A752" s="32">
        <v>63797</v>
      </c>
      <c r="B752" s="14">
        <f>CHOOSE(CONTROL!$C$42, 56.2687, 56.2687) * CHOOSE(CONTROL!$C$21, $C$9, 100%, $E$9)</f>
        <v>56.268700000000003</v>
      </c>
      <c r="C752" s="14">
        <f>CHOOSE(CONTROL!$C$42, 56.2768, 56.2768) * CHOOSE(CONTROL!$C$21, $C$9, 100%, $E$9)</f>
        <v>56.276800000000001</v>
      </c>
      <c r="D752" s="14">
        <f>CHOOSE(CONTROL!$C$42, 56.5103, 56.5103) * CHOOSE(CONTROL!$C$21, $C$9, 100%, $E$9)</f>
        <v>56.510300000000001</v>
      </c>
      <c r="E752" s="14">
        <f>CHOOSE(CONTROL!$C$42, 56.5418, 56.5418) * CHOOSE(CONTROL!$C$21, $C$9, 100%, $E$9)</f>
        <v>56.541800000000002</v>
      </c>
      <c r="F752" s="14">
        <f>CHOOSE(CONTROL!$C$42, 56.2667, 56.2667)*CHOOSE(CONTROL!$C$21, $C$9, 100%, $E$9)</f>
        <v>56.2667</v>
      </c>
      <c r="G752" s="14">
        <f>CHOOSE(CONTROL!$C$42, 56.2834, 56.2834)*CHOOSE(CONTROL!$C$21, $C$9, 100%, $E$9)</f>
        <v>56.2834</v>
      </c>
      <c r="H752" s="14">
        <f>CHOOSE(CONTROL!$C$42, 56.5304, 56.5304) * CHOOSE(CONTROL!$C$21, $C$9, 100%, $E$9)</f>
        <v>56.5304</v>
      </c>
      <c r="I752" s="14">
        <f>CHOOSE(CONTROL!$C$42, 56.4608, 56.4608)* CHOOSE(CONTROL!$C$21, $C$9, 100%, $E$9)</f>
        <v>56.460799999999999</v>
      </c>
      <c r="J752" s="14">
        <f>CHOOSE(CONTROL!$C$42, 56.2597, 56.2597)* CHOOSE(CONTROL!$C$21, $C$9, 100%, $E$9)</f>
        <v>56.259700000000002</v>
      </c>
      <c r="K752" s="53">
        <f>CHOOSE(CONTROL!$C$42, 56.4569, 56.4569) * CHOOSE(CONTROL!$C$21, $C$9, 100%, $E$9)</f>
        <v>56.456899999999997</v>
      </c>
      <c r="L752" s="14">
        <f>CHOOSE(CONTROL!$C$42, 57.1174, 57.1174) * CHOOSE(CONTROL!$C$21, $C$9, 100%, $E$9)</f>
        <v>57.117400000000004</v>
      </c>
      <c r="M752" s="14">
        <f>CHOOSE(CONTROL!$C$42, 55.1147, 55.1147) * CHOOSE(CONTROL!$C$21, $C$9, 100%, $E$9)</f>
        <v>55.114699999999999</v>
      </c>
      <c r="N752" s="14">
        <f>CHOOSE(CONTROL!$C$42, 55.131, 55.131) * CHOOSE(CONTROL!$C$21, $C$9, 100%, $E$9)</f>
        <v>55.131</v>
      </c>
      <c r="O752" s="14">
        <f>CHOOSE(CONTROL!$C$42, 55.3799, 55.3799) * CHOOSE(CONTROL!$C$21, $C$9, 100%, $E$9)</f>
        <v>55.379899999999999</v>
      </c>
      <c r="P752" s="14">
        <f>CHOOSE(CONTROL!$C$42, 55.3082, 55.3082) * CHOOSE(CONTROL!$C$21, $C$9, 100%, $E$9)</f>
        <v>55.308199999999999</v>
      </c>
      <c r="Q752" s="14">
        <f>CHOOSE(CONTROL!$C$42, 55.9746, 55.9746) * CHOOSE(CONTROL!$C$21, $C$9, 100%, $E$9)</f>
        <v>55.974600000000002</v>
      </c>
      <c r="R752" s="14">
        <f>CHOOSE(CONTROL!$C$42, 56.7015, 56.7015) * CHOOSE(CONTROL!$C$21, $C$9, 100%, $E$9)</f>
        <v>56.701500000000003</v>
      </c>
      <c r="S752" s="14">
        <f>CHOOSE(CONTROL!$C$42, 54.058, 54.058) * CHOOSE(CONTROL!$C$21, $C$9, 100%, $E$9)</f>
        <v>54.058</v>
      </c>
      <c r="T7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7">
        <f>(1000*CHOOSE(CONTROL!$C$42, 695, 695)*CHOOSE(CONTROL!$C$42, 0.5599, 0.5599)*CHOOSE(CONTROL!$C$42, 31, 31))/1000000</f>
        <v>12.063045499999998</v>
      </c>
      <c r="V752" s="57">
        <f>(1000*CHOOSE(CONTROL!$C$42, 500, 500)*CHOOSE(CONTROL!$C$42, 0.275, 0.275)*CHOOSE(CONTROL!$C$42, 31, 31))/1000000</f>
        <v>4.2625000000000002</v>
      </c>
      <c r="W752" s="57">
        <f>(1000*CHOOSE(CONTROL!$C$42, 0.1146, 0.1146)*CHOOSE(CONTROL!$C$42, 121.5, 121.5)*CHOOSE(CONTROL!$C$42, 31, 31))/1000000</f>
        <v>0.43164089999999994</v>
      </c>
      <c r="X752" s="57">
        <f>(31*0.1790888*245000/1000000)+(31*0.2374*100000/1000000)</f>
        <v>2.0961194359999999</v>
      </c>
      <c r="Y752" s="57"/>
      <c r="Z752" s="14"/>
      <c r="AA752" s="56"/>
      <c r="AB752" s="50">
        <f>(B752*194.205+C752*267.466+D752*133.845+E752*53.484+F752*40+G752*185+H752*0+I752*100+J752*300)/(194.205+267.466+133.845+53.484+0+40+185+100+300)</f>
        <v>56.322278812401883</v>
      </c>
      <c r="AC752" s="45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55.263678417266178</v>
      </c>
    </row>
    <row r="753" spans="1:29" ht="15.75" x14ac:dyDescent="0.25">
      <c r="A753" s="32">
        <v>63827</v>
      </c>
      <c r="B753" s="14">
        <f>CHOOSE(CONTROL!$C$42, 52.6967, 52.6967) * CHOOSE(CONTROL!$C$21, $C$9, 100%, $E$9)</f>
        <v>52.6967</v>
      </c>
      <c r="C753" s="14">
        <f>CHOOSE(CONTROL!$C$42, 52.7047, 52.7047) * CHOOSE(CONTROL!$C$21, $C$9, 100%, $E$9)</f>
        <v>52.704700000000003</v>
      </c>
      <c r="D753" s="14">
        <f>CHOOSE(CONTROL!$C$42, 52.9383, 52.9383) * CHOOSE(CONTROL!$C$21, $C$9, 100%, $E$9)</f>
        <v>52.938299999999998</v>
      </c>
      <c r="E753" s="14">
        <f>CHOOSE(CONTROL!$C$42, 52.9698, 52.9698) * CHOOSE(CONTROL!$C$21, $C$9, 100%, $E$9)</f>
        <v>52.969799999999999</v>
      </c>
      <c r="F753" s="14">
        <f>CHOOSE(CONTROL!$C$42, 52.6947, 52.6947)*CHOOSE(CONTROL!$C$21, $C$9, 100%, $E$9)</f>
        <v>52.694699999999997</v>
      </c>
      <c r="G753" s="14">
        <f>CHOOSE(CONTROL!$C$42, 52.7113, 52.7113)*CHOOSE(CONTROL!$C$21, $C$9, 100%, $E$9)</f>
        <v>52.711300000000001</v>
      </c>
      <c r="H753" s="14">
        <f>CHOOSE(CONTROL!$C$42, 52.9584, 52.9584) * CHOOSE(CONTROL!$C$21, $C$9, 100%, $E$9)</f>
        <v>52.958399999999997</v>
      </c>
      <c r="I753" s="14">
        <f>CHOOSE(CONTROL!$C$42, 52.8776, 52.8776)* CHOOSE(CONTROL!$C$21, $C$9, 100%, $E$9)</f>
        <v>52.877600000000001</v>
      </c>
      <c r="J753" s="14">
        <f>CHOOSE(CONTROL!$C$42, 52.6877, 52.6877)* CHOOSE(CONTROL!$C$21, $C$9, 100%, $E$9)</f>
        <v>52.6877</v>
      </c>
      <c r="K753" s="53">
        <f>CHOOSE(CONTROL!$C$42, 52.8737, 52.8737) * CHOOSE(CONTROL!$C$21, $C$9, 100%, $E$9)</f>
        <v>52.873699999999999</v>
      </c>
      <c r="L753" s="14">
        <f>CHOOSE(CONTROL!$C$42, 53.5454, 53.5454) * CHOOSE(CONTROL!$C$21, $C$9, 100%, $E$9)</f>
        <v>53.545400000000001</v>
      </c>
      <c r="M753" s="14">
        <f>CHOOSE(CONTROL!$C$42, 51.6158, 51.6158) * CHOOSE(CONTROL!$C$21, $C$9, 100%, $E$9)</f>
        <v>51.6158</v>
      </c>
      <c r="N753" s="14">
        <f>CHOOSE(CONTROL!$C$42, 51.6322, 51.6322) * CHOOSE(CONTROL!$C$21, $C$9, 100%, $E$9)</f>
        <v>51.632199999999997</v>
      </c>
      <c r="O753" s="14">
        <f>CHOOSE(CONTROL!$C$42, 51.881, 51.881) * CHOOSE(CONTROL!$C$21, $C$9, 100%, $E$9)</f>
        <v>51.881</v>
      </c>
      <c r="P753" s="14">
        <f>CHOOSE(CONTROL!$C$42, 51.7986, 51.7986) * CHOOSE(CONTROL!$C$21, $C$9, 100%, $E$9)</f>
        <v>51.7986</v>
      </c>
      <c r="Q753" s="14">
        <f>CHOOSE(CONTROL!$C$42, 52.4757, 52.4757) * CHOOSE(CONTROL!$C$21, $C$9, 100%, $E$9)</f>
        <v>52.475700000000003</v>
      </c>
      <c r="R753" s="14">
        <f>CHOOSE(CONTROL!$C$42, 53.1939, 53.1939) * CHOOSE(CONTROL!$C$21, $C$9, 100%, $E$9)</f>
        <v>53.193899999999999</v>
      </c>
      <c r="S753" s="14">
        <f>CHOOSE(CONTROL!$C$42, 50.6256, 50.6256) * CHOOSE(CONTROL!$C$21, $C$9, 100%, $E$9)</f>
        <v>50.625599999999999</v>
      </c>
      <c r="T7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7">
        <f>(1000*CHOOSE(CONTROL!$C$42, 695, 695)*CHOOSE(CONTROL!$C$42, 0.5599, 0.5599)*CHOOSE(CONTROL!$C$42, 30, 30))/1000000</f>
        <v>11.673914999999997</v>
      </c>
      <c r="V753" s="57">
        <f>(1000*CHOOSE(CONTROL!$C$42, 500, 500)*CHOOSE(CONTROL!$C$42, 0.275, 0.275)*CHOOSE(CONTROL!$C$42, 30, 30))/1000000</f>
        <v>4.125</v>
      </c>
      <c r="W753" s="57">
        <f>(1000*CHOOSE(CONTROL!$C$42, 0.1146, 0.1146)*CHOOSE(CONTROL!$C$42, 121.5, 121.5)*CHOOSE(CONTROL!$C$42, 30, 30))/1000000</f>
        <v>0.417717</v>
      </c>
      <c r="X753" s="57">
        <f>(30*0.1790888*245000/1000000)+(30*0.2374*100000/1000000)</f>
        <v>2.0285026799999999</v>
      </c>
      <c r="Y753" s="57"/>
      <c r="Z753" s="14"/>
      <c r="AA753" s="56"/>
      <c r="AB753" s="50">
        <f>(B753*194.205+C753*267.466+D753*133.845+E753*53.484+F753*40+G753*185+H753*0+I753*100+J753*300)/(194.205+267.466+133.845+53.484+0+40+185+100+300)</f>
        <v>52.749364176138151</v>
      </c>
      <c r="AC753" s="45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51.763244604316547</v>
      </c>
    </row>
    <row r="754" spans="1:29" ht="15.75" x14ac:dyDescent="0.25">
      <c r="A754" s="32">
        <v>63858</v>
      </c>
      <c r="B754" s="14">
        <f>CHOOSE(CONTROL!$C$42, 51.6252, 51.6252) * CHOOSE(CONTROL!$C$21, $C$9, 100%, $E$9)</f>
        <v>51.6252</v>
      </c>
      <c r="C754" s="14">
        <f>CHOOSE(CONTROL!$C$42, 51.6305, 51.6305) * CHOOSE(CONTROL!$C$21, $C$9, 100%, $E$9)</f>
        <v>51.630499999999998</v>
      </c>
      <c r="D754" s="14">
        <f>CHOOSE(CONTROL!$C$42, 51.8691, 51.8691) * CHOOSE(CONTROL!$C$21, $C$9, 100%, $E$9)</f>
        <v>51.869100000000003</v>
      </c>
      <c r="E754" s="14">
        <f>CHOOSE(CONTROL!$C$42, 51.8982, 51.8982) * CHOOSE(CONTROL!$C$21, $C$9, 100%, $E$9)</f>
        <v>51.898200000000003</v>
      </c>
      <c r="F754" s="14">
        <f>CHOOSE(CONTROL!$C$42, 51.6252, 51.6252)*CHOOSE(CONTROL!$C$21, $C$9, 100%, $E$9)</f>
        <v>51.6252</v>
      </c>
      <c r="G754" s="14">
        <f>CHOOSE(CONTROL!$C$42, 51.6415, 51.6415)*CHOOSE(CONTROL!$C$21, $C$9, 100%, $E$9)</f>
        <v>51.641500000000001</v>
      </c>
      <c r="H754" s="14">
        <f>CHOOSE(CONTROL!$C$42, 51.8887, 51.8887) * CHOOSE(CONTROL!$C$21, $C$9, 100%, $E$9)</f>
        <v>51.8887</v>
      </c>
      <c r="I754" s="14">
        <f>CHOOSE(CONTROL!$C$42, 51.8045, 51.8045)* CHOOSE(CONTROL!$C$21, $C$9, 100%, $E$9)</f>
        <v>51.804499999999997</v>
      </c>
      <c r="J754" s="14">
        <f>CHOOSE(CONTROL!$C$42, 51.6182, 51.6182)* CHOOSE(CONTROL!$C$21, $C$9, 100%, $E$9)</f>
        <v>51.618200000000002</v>
      </c>
      <c r="K754" s="53">
        <f>CHOOSE(CONTROL!$C$42, 51.8006, 51.8006) * CHOOSE(CONTROL!$C$21, $C$9, 100%, $E$9)</f>
        <v>51.800600000000003</v>
      </c>
      <c r="L754" s="14">
        <f>CHOOSE(CONTROL!$C$42, 52.4757, 52.4757) * CHOOSE(CONTROL!$C$21, $C$9, 100%, $E$9)</f>
        <v>52.475700000000003</v>
      </c>
      <c r="M754" s="14">
        <f>CHOOSE(CONTROL!$C$42, 50.5683, 50.5683) * CHOOSE(CONTROL!$C$21, $C$9, 100%, $E$9)</f>
        <v>50.568300000000001</v>
      </c>
      <c r="N754" s="14">
        <f>CHOOSE(CONTROL!$C$42, 50.5842, 50.5842) * CHOOSE(CONTROL!$C$21, $C$9, 100%, $E$9)</f>
        <v>50.584200000000003</v>
      </c>
      <c r="O754" s="14">
        <f>CHOOSE(CONTROL!$C$42, 50.8332, 50.8332) * CHOOSE(CONTROL!$C$21, $C$9, 100%, $E$9)</f>
        <v>50.833199999999998</v>
      </c>
      <c r="P754" s="14">
        <f>CHOOSE(CONTROL!$C$42, 50.7476, 50.7476) * CHOOSE(CONTROL!$C$21, $C$9, 100%, $E$9)</f>
        <v>50.747599999999998</v>
      </c>
      <c r="Q754" s="14">
        <f>CHOOSE(CONTROL!$C$42, 51.4279, 51.4279) * CHOOSE(CONTROL!$C$21, $C$9, 100%, $E$9)</f>
        <v>51.427900000000001</v>
      </c>
      <c r="R754" s="14">
        <f>CHOOSE(CONTROL!$C$42, 52.1435, 52.1435) * CHOOSE(CONTROL!$C$21, $C$9, 100%, $E$9)</f>
        <v>52.143500000000003</v>
      </c>
      <c r="S754" s="14">
        <f>CHOOSE(CONTROL!$C$42, 49.5977, 49.5977) * CHOOSE(CONTROL!$C$21, $C$9, 100%, $E$9)</f>
        <v>49.597700000000003</v>
      </c>
      <c r="T7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7">
        <f>(1000*CHOOSE(CONTROL!$C$42, 695, 695)*CHOOSE(CONTROL!$C$42, 0.5599, 0.5599)*CHOOSE(CONTROL!$C$42, 31, 31))/1000000</f>
        <v>12.063045499999998</v>
      </c>
      <c r="V754" s="57">
        <f>(1000*CHOOSE(CONTROL!$C$42, 500, 500)*CHOOSE(CONTROL!$C$42, 0.275, 0.275)*CHOOSE(CONTROL!$C$42, 31, 31))/1000000</f>
        <v>4.2625000000000002</v>
      </c>
      <c r="W754" s="57">
        <f>(1000*CHOOSE(CONTROL!$C$42, 0.1146, 0.1146)*CHOOSE(CONTROL!$C$42, 121.5, 121.5)*CHOOSE(CONTROL!$C$42, 31, 31))/1000000</f>
        <v>0.43164089999999994</v>
      </c>
      <c r="X754" s="57">
        <f>(31*0.1790888*245000/1000000)+(31*0.2374*100000/1000000)</f>
        <v>2.0961194359999999</v>
      </c>
      <c r="Y754" s="57"/>
      <c r="Z754" s="14"/>
      <c r="AA754" s="56"/>
      <c r="AB754" s="50">
        <f>(B754*131.881+C754*277.167+D754*79.08+E754*125.872+F754*40+G754*185+H754*0+I754*100+J754*300)/(131.881+277.167+79.08+125.872+0+40+185+100+300)</f>
        <v>51.684897460129129</v>
      </c>
      <c r="AC754" s="45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50.715076258992809</v>
      </c>
    </row>
    <row r="755" spans="1:29" ht="15.75" x14ac:dyDescent="0.25">
      <c r="A755" s="32">
        <v>63888</v>
      </c>
      <c r="B755" s="14">
        <f>CHOOSE(CONTROL!$C$42, 52.9846, 52.9846) * CHOOSE(CONTROL!$C$21, $C$9, 100%, $E$9)</f>
        <v>52.9846</v>
      </c>
      <c r="C755" s="14">
        <f>CHOOSE(CONTROL!$C$42, 52.9896, 52.9896) * CHOOSE(CONTROL!$C$21, $C$9, 100%, $E$9)</f>
        <v>52.989600000000003</v>
      </c>
      <c r="D755" s="14">
        <f>CHOOSE(CONTROL!$C$42, 53.0639, 53.0639) * CHOOSE(CONTROL!$C$21, $C$9, 100%, $E$9)</f>
        <v>53.063899999999997</v>
      </c>
      <c r="E755" s="14">
        <f>CHOOSE(CONTROL!$C$42, 53.098, 53.098) * CHOOSE(CONTROL!$C$21, $C$9, 100%, $E$9)</f>
        <v>53.097999999999999</v>
      </c>
      <c r="F755" s="14">
        <f>CHOOSE(CONTROL!$C$42, 52.9966, 52.9966)*CHOOSE(CONTROL!$C$21, $C$9, 100%, $E$9)</f>
        <v>52.996600000000001</v>
      </c>
      <c r="G755" s="14">
        <f>CHOOSE(CONTROL!$C$42, 53.0132, 53.0132)*CHOOSE(CONTROL!$C$21, $C$9, 100%, $E$9)</f>
        <v>53.013199999999998</v>
      </c>
      <c r="H755" s="14">
        <f>CHOOSE(CONTROL!$C$42, 53.0872, 53.0872) * CHOOSE(CONTROL!$C$21, $C$9, 100%, $E$9)</f>
        <v>53.087200000000003</v>
      </c>
      <c r="I755" s="14">
        <f>CHOOSE(CONTROL!$C$42, 53.1748, 53.1748)* CHOOSE(CONTROL!$C$21, $C$9, 100%, $E$9)</f>
        <v>53.174799999999998</v>
      </c>
      <c r="J755" s="14">
        <f>CHOOSE(CONTROL!$C$42, 52.9896, 52.9896)* CHOOSE(CONTROL!$C$21, $C$9, 100%, $E$9)</f>
        <v>52.989600000000003</v>
      </c>
      <c r="K755" s="53">
        <f>CHOOSE(CONTROL!$C$42, 53.1709, 53.1709) * CHOOSE(CONTROL!$C$21, $C$9, 100%, $E$9)</f>
        <v>53.170900000000003</v>
      </c>
      <c r="L755" s="14">
        <f>CHOOSE(CONTROL!$C$42, 53.6742, 53.6742) * CHOOSE(CONTROL!$C$21, $C$9, 100%, $E$9)</f>
        <v>53.674199999999999</v>
      </c>
      <c r="M755" s="14">
        <f>CHOOSE(CONTROL!$C$42, 51.9116, 51.9116) * CHOOSE(CONTROL!$C$21, $C$9, 100%, $E$9)</f>
        <v>51.9116</v>
      </c>
      <c r="N755" s="14">
        <f>CHOOSE(CONTROL!$C$42, 51.9278, 51.9278) * CHOOSE(CONTROL!$C$21, $C$9, 100%, $E$9)</f>
        <v>51.927799999999998</v>
      </c>
      <c r="O755" s="14">
        <f>CHOOSE(CONTROL!$C$42, 52.0071, 52.0071) * CHOOSE(CONTROL!$C$21, $C$9, 100%, $E$9)</f>
        <v>52.007100000000001</v>
      </c>
      <c r="P755" s="14">
        <f>CHOOSE(CONTROL!$C$42, 52.0897, 52.0897) * CHOOSE(CONTROL!$C$21, $C$9, 100%, $E$9)</f>
        <v>52.089700000000001</v>
      </c>
      <c r="Q755" s="14">
        <f>CHOOSE(CONTROL!$C$42, 52.6018, 52.6018) * CHOOSE(CONTROL!$C$21, $C$9, 100%, $E$9)</f>
        <v>52.601799999999997</v>
      </c>
      <c r="R755" s="14">
        <f>CHOOSE(CONTROL!$C$42, 53.3203, 53.3203) * CHOOSE(CONTROL!$C$21, $C$9, 100%, $E$9)</f>
        <v>53.320300000000003</v>
      </c>
      <c r="S755" s="14">
        <f>CHOOSE(CONTROL!$C$42, 50.9043, 50.9043) * CHOOSE(CONTROL!$C$21, $C$9, 100%, $E$9)</f>
        <v>50.904299999999999</v>
      </c>
      <c r="T7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7">
        <f>(1000*CHOOSE(CONTROL!$C$42, 695, 695)*CHOOSE(CONTROL!$C$42, 0.5599, 0.5599)*CHOOSE(CONTROL!$C$42, 30, 30))/1000000</f>
        <v>11.673914999999997</v>
      </c>
      <c r="V755" s="57">
        <f>(1000*CHOOSE(CONTROL!$C$42, 500, 500)*CHOOSE(CONTROL!$C$42, 0.275, 0.275)*CHOOSE(CONTROL!$C$42, 30, 30))/1000000</f>
        <v>4.125</v>
      </c>
      <c r="W755" s="57">
        <f>(1000*CHOOSE(CONTROL!$C$42, 0.1146, 0.1146)*CHOOSE(CONTROL!$C$42, 121.5, 121.5)*CHOOSE(CONTROL!$C$42, 30, 30))/1000000</f>
        <v>0.417717</v>
      </c>
      <c r="X755" s="57">
        <f>(30*0.1790888*100000/1000000)+(30*0.2374*100000/1000000)</f>
        <v>1.2494664</v>
      </c>
      <c r="Y755" s="57"/>
      <c r="Z755" s="14"/>
      <c r="AA755" s="56"/>
      <c r="AB755" s="50">
        <f>(B755*122.58+C755*297.941+D755*89.177+E755*40.302+F755*40+G755*160+H755*0+I755*100+J755*300)/(122.58+297.941+89.177+40.302+0+40+160+100+300)</f>
        <v>53.018258859043478</v>
      </c>
      <c r="AC755" s="45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51.981442446043168</v>
      </c>
    </row>
    <row r="756" spans="1:29" ht="15.75" x14ac:dyDescent="0.25">
      <c r="A756" s="32">
        <v>63919</v>
      </c>
      <c r="B756" s="14">
        <f>CHOOSE(CONTROL!$C$42, 56.5964, 56.5964) * CHOOSE(CONTROL!$C$21, $C$9, 100%, $E$9)</f>
        <v>56.596400000000003</v>
      </c>
      <c r="C756" s="14">
        <f>CHOOSE(CONTROL!$C$42, 56.6014, 56.6014) * CHOOSE(CONTROL!$C$21, $C$9, 100%, $E$9)</f>
        <v>56.601399999999998</v>
      </c>
      <c r="D756" s="14">
        <f>CHOOSE(CONTROL!$C$42, 56.6757, 56.6757) * CHOOSE(CONTROL!$C$21, $C$9, 100%, $E$9)</f>
        <v>56.675699999999999</v>
      </c>
      <c r="E756" s="14">
        <f>CHOOSE(CONTROL!$C$42, 56.7098, 56.7098) * CHOOSE(CONTROL!$C$21, $C$9, 100%, $E$9)</f>
        <v>56.709800000000001</v>
      </c>
      <c r="F756" s="14">
        <f>CHOOSE(CONTROL!$C$42, 56.6106, 56.6106)*CHOOSE(CONTROL!$C$21, $C$9, 100%, $E$9)</f>
        <v>56.610599999999998</v>
      </c>
      <c r="G756" s="14">
        <f>CHOOSE(CONTROL!$C$42, 56.6278, 56.6278)*CHOOSE(CONTROL!$C$21, $C$9, 100%, $E$9)</f>
        <v>56.627800000000001</v>
      </c>
      <c r="H756" s="14">
        <f>CHOOSE(CONTROL!$C$42, 56.699, 56.699) * CHOOSE(CONTROL!$C$21, $C$9, 100%, $E$9)</f>
        <v>56.698999999999998</v>
      </c>
      <c r="I756" s="14">
        <f>CHOOSE(CONTROL!$C$42, 56.7979, 56.7979)* CHOOSE(CONTROL!$C$21, $C$9, 100%, $E$9)</f>
        <v>56.797899999999998</v>
      </c>
      <c r="J756" s="14">
        <f>CHOOSE(CONTROL!$C$42, 56.6036, 56.6036)* CHOOSE(CONTROL!$C$21, $C$9, 100%, $E$9)</f>
        <v>56.6036</v>
      </c>
      <c r="K756" s="53">
        <f>CHOOSE(CONTROL!$C$42, 56.7941, 56.7941) * CHOOSE(CONTROL!$C$21, $C$9, 100%, $E$9)</f>
        <v>56.7941</v>
      </c>
      <c r="L756" s="14">
        <f>CHOOSE(CONTROL!$C$42, 57.286, 57.286) * CHOOSE(CONTROL!$C$21, $C$9, 100%, $E$9)</f>
        <v>57.286000000000001</v>
      </c>
      <c r="M756" s="14">
        <f>CHOOSE(CONTROL!$C$42, 55.4515, 55.4515) * CHOOSE(CONTROL!$C$21, $C$9, 100%, $E$9)</f>
        <v>55.451500000000003</v>
      </c>
      <c r="N756" s="14">
        <f>CHOOSE(CONTROL!$C$42, 55.4683, 55.4683) * CHOOSE(CONTROL!$C$21, $C$9, 100%, $E$9)</f>
        <v>55.468299999999999</v>
      </c>
      <c r="O756" s="14">
        <f>CHOOSE(CONTROL!$C$42, 55.5449, 55.5449) * CHOOSE(CONTROL!$C$21, $C$9, 100%, $E$9)</f>
        <v>55.544899999999998</v>
      </c>
      <c r="P756" s="14">
        <f>CHOOSE(CONTROL!$C$42, 55.6384, 55.6384) * CHOOSE(CONTROL!$C$21, $C$9, 100%, $E$9)</f>
        <v>55.638399999999997</v>
      </c>
      <c r="Q756" s="14">
        <f>CHOOSE(CONTROL!$C$42, 56.1396, 56.1396) * CHOOSE(CONTROL!$C$21, $C$9, 100%, $E$9)</f>
        <v>56.139600000000002</v>
      </c>
      <c r="R756" s="14">
        <f>CHOOSE(CONTROL!$C$42, 56.867, 56.867) * CHOOSE(CONTROL!$C$21, $C$9, 100%, $E$9)</f>
        <v>56.866999999999997</v>
      </c>
      <c r="S756" s="14">
        <f>CHOOSE(CONTROL!$C$42, 54.3749, 54.3749) * CHOOSE(CONTROL!$C$21, $C$9, 100%, $E$9)</f>
        <v>54.374899999999997</v>
      </c>
      <c r="T7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7">
        <f>(1000*CHOOSE(CONTROL!$C$42, 695, 695)*CHOOSE(CONTROL!$C$42, 0.5599, 0.5599)*CHOOSE(CONTROL!$C$42, 31, 31))/1000000</f>
        <v>12.063045499999998</v>
      </c>
      <c r="V756" s="57">
        <f>(1000*CHOOSE(CONTROL!$C$42, 500, 500)*CHOOSE(CONTROL!$C$42, 0.275, 0.275)*CHOOSE(CONTROL!$C$42, 31, 31))/1000000</f>
        <v>4.2625000000000002</v>
      </c>
      <c r="W756" s="57">
        <f>(1000*CHOOSE(CONTROL!$C$42, 0.1146, 0.1146)*CHOOSE(CONTROL!$C$42, 121.5, 121.5)*CHOOSE(CONTROL!$C$42, 31, 31))/1000000</f>
        <v>0.43164089999999994</v>
      </c>
      <c r="X756" s="57">
        <f>(31*0.1790888*100000/1000000)+(31*0.2374*100000/1000000)</f>
        <v>1.2911152800000001</v>
      </c>
      <c r="Y756" s="57"/>
      <c r="Z756" s="14"/>
      <c r="AA756" s="56"/>
      <c r="AB756" s="50">
        <f>(B756*122.58+C756*297.941+D756*89.177+E756*40.302+F756*40+G756*160+H756*0+I756*100+J756*300)/(122.58+297.941+89.177+40.302+0+40+160+100+300)</f>
        <v>56.632081467739134</v>
      </c>
      <c r="AC756" s="45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55.52169136690646</v>
      </c>
    </row>
    <row r="757" spans="1:29" ht="15.75" x14ac:dyDescent="0.25">
      <c r="A757" s="32">
        <v>63950</v>
      </c>
      <c r="B757" s="14">
        <f>CHOOSE(CONTROL!$C$42, 61.2874, 61.2874) * CHOOSE(CONTROL!$C$21, $C$9, 100%, $E$9)</f>
        <v>61.287399999999998</v>
      </c>
      <c r="C757" s="14">
        <f>CHOOSE(CONTROL!$C$42, 61.2925, 61.2925) * CHOOSE(CONTROL!$C$21, $C$9, 100%, $E$9)</f>
        <v>61.292499999999997</v>
      </c>
      <c r="D757" s="14">
        <f>CHOOSE(CONTROL!$C$42, 61.3693, 61.3693) * CHOOSE(CONTROL!$C$21, $C$9, 100%, $E$9)</f>
        <v>61.369300000000003</v>
      </c>
      <c r="E757" s="14">
        <f>CHOOSE(CONTROL!$C$42, 61.4034, 61.4034) * CHOOSE(CONTROL!$C$21, $C$9, 100%, $E$9)</f>
        <v>61.403399999999998</v>
      </c>
      <c r="F757" s="14">
        <f>CHOOSE(CONTROL!$C$42, 61.2877, 61.2877)*CHOOSE(CONTROL!$C$21, $C$9, 100%, $E$9)</f>
        <v>61.287700000000001</v>
      </c>
      <c r="G757" s="14">
        <f>CHOOSE(CONTROL!$C$42, 61.3039, 61.3039)*CHOOSE(CONTROL!$C$21, $C$9, 100%, $E$9)</f>
        <v>61.303899999999999</v>
      </c>
      <c r="H757" s="14">
        <f>CHOOSE(CONTROL!$C$42, 61.3926, 61.3926) * CHOOSE(CONTROL!$C$21, $C$9, 100%, $E$9)</f>
        <v>61.392600000000002</v>
      </c>
      <c r="I757" s="14">
        <f>CHOOSE(CONTROL!$C$42, 61.4974, 61.4974)* CHOOSE(CONTROL!$C$21, $C$9, 100%, $E$9)</f>
        <v>61.497399999999999</v>
      </c>
      <c r="J757" s="14">
        <f>CHOOSE(CONTROL!$C$42, 61.2807, 61.2807)* CHOOSE(CONTROL!$C$21, $C$9, 100%, $E$9)</f>
        <v>61.280700000000003</v>
      </c>
      <c r="K757" s="53">
        <f>CHOOSE(CONTROL!$C$42, 61.4936, 61.4936) * CHOOSE(CONTROL!$C$21, $C$9, 100%, $E$9)</f>
        <v>61.493600000000001</v>
      </c>
      <c r="L757" s="14">
        <f>CHOOSE(CONTROL!$C$42, 61.9796, 61.9796) * CHOOSE(CONTROL!$C$21, $C$9, 100%, $E$9)</f>
        <v>61.979599999999998</v>
      </c>
      <c r="M757" s="14">
        <f>CHOOSE(CONTROL!$C$42, 60.0327, 60.0327) * CHOOSE(CONTROL!$C$21, $C$9, 100%, $E$9)</f>
        <v>60.032699999999998</v>
      </c>
      <c r="N757" s="14">
        <f>CHOOSE(CONTROL!$C$42, 60.0486, 60.0486) * CHOOSE(CONTROL!$C$21, $C$9, 100%, $E$9)</f>
        <v>60.0486</v>
      </c>
      <c r="O757" s="14">
        <f>CHOOSE(CONTROL!$C$42, 60.1424, 60.1424) * CHOOSE(CONTROL!$C$21, $C$9, 100%, $E$9)</f>
        <v>60.142400000000002</v>
      </c>
      <c r="P757" s="14">
        <f>CHOOSE(CONTROL!$C$42, 60.2413, 60.2413) * CHOOSE(CONTROL!$C$21, $C$9, 100%, $E$9)</f>
        <v>60.241300000000003</v>
      </c>
      <c r="Q757" s="14">
        <f>CHOOSE(CONTROL!$C$42, 60.7371, 60.7371) * CHOOSE(CONTROL!$C$21, $C$9, 100%, $E$9)</f>
        <v>60.737099999999998</v>
      </c>
      <c r="R757" s="14">
        <f>CHOOSE(CONTROL!$C$42, 61.476, 61.476) * CHOOSE(CONTROL!$C$21, $C$9, 100%, $E$9)</f>
        <v>61.475999999999999</v>
      </c>
      <c r="S757" s="14">
        <f>CHOOSE(CONTROL!$C$42, 58.8826, 58.8826) * CHOOSE(CONTROL!$C$21, $C$9, 100%, $E$9)</f>
        <v>58.882599999999996</v>
      </c>
      <c r="T7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7">
        <f>(1000*CHOOSE(CONTROL!$C$42, 695, 695)*CHOOSE(CONTROL!$C$42, 0.5599, 0.5599)*CHOOSE(CONTROL!$C$42, 31, 31))/1000000</f>
        <v>12.063045499999998</v>
      </c>
      <c r="V757" s="57">
        <f>(1000*CHOOSE(CONTROL!$C$42, 500, 500)*CHOOSE(CONTROL!$C$42, 0.275, 0.275)*CHOOSE(CONTROL!$C$42, 31, 31))/1000000</f>
        <v>4.2625000000000002</v>
      </c>
      <c r="W757" s="57">
        <f>(1000*CHOOSE(CONTROL!$C$42, 0.1146, 0.1146)*CHOOSE(CONTROL!$C$42, 121.5, 121.5)*CHOOSE(CONTROL!$C$42, 31, 31))/1000000</f>
        <v>0.43164089999999994</v>
      </c>
      <c r="X757" s="57">
        <f>(31*0.1790888*100000/1000000)+(31*0.2374*100000/1000000)</f>
        <v>1.2911152800000001</v>
      </c>
      <c r="Y757" s="57"/>
      <c r="Z757" s="14"/>
      <c r="AA757" s="56"/>
      <c r="AB757" s="50">
        <f>(B757*122.58+C757*297.941+D757*89.177+E757*40.302+F757*40+G757*160+H757*0+I757*100+J757*300)/(122.58+297.941+89.177+40.302+0+40+160+100+300)</f>
        <v>61.317956632521742</v>
      </c>
      <c r="AC757" s="45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60.113349640287765</v>
      </c>
    </row>
    <row r="758" spans="1:29" ht="15.75" x14ac:dyDescent="0.25">
      <c r="A758" s="32">
        <v>63978</v>
      </c>
      <c r="B758" s="14">
        <f>CHOOSE(CONTROL!$C$42, 62.3783, 62.3783) * CHOOSE(CONTROL!$C$21, $C$9, 100%, $E$9)</f>
        <v>62.378300000000003</v>
      </c>
      <c r="C758" s="14">
        <f>CHOOSE(CONTROL!$C$42, 62.3833, 62.3833) * CHOOSE(CONTROL!$C$21, $C$9, 100%, $E$9)</f>
        <v>62.383299999999998</v>
      </c>
      <c r="D758" s="14">
        <f>CHOOSE(CONTROL!$C$42, 62.4602, 62.4602) * CHOOSE(CONTROL!$C$21, $C$9, 100%, $E$9)</f>
        <v>62.4602</v>
      </c>
      <c r="E758" s="14">
        <f>CHOOSE(CONTROL!$C$42, 62.4943, 62.4943) * CHOOSE(CONTROL!$C$21, $C$9, 100%, $E$9)</f>
        <v>62.494300000000003</v>
      </c>
      <c r="F758" s="14">
        <f>CHOOSE(CONTROL!$C$42, 62.3785, 62.3785)*CHOOSE(CONTROL!$C$21, $C$9, 100%, $E$9)</f>
        <v>62.378500000000003</v>
      </c>
      <c r="G758" s="14">
        <f>CHOOSE(CONTROL!$C$42, 62.3948, 62.3948)*CHOOSE(CONTROL!$C$21, $C$9, 100%, $E$9)</f>
        <v>62.394799999999996</v>
      </c>
      <c r="H758" s="14">
        <f>CHOOSE(CONTROL!$C$42, 62.4835, 62.4835) * CHOOSE(CONTROL!$C$21, $C$9, 100%, $E$9)</f>
        <v>62.483499999999999</v>
      </c>
      <c r="I758" s="14">
        <f>CHOOSE(CONTROL!$C$42, 62.5917, 62.5917)* CHOOSE(CONTROL!$C$21, $C$9, 100%, $E$9)</f>
        <v>62.591700000000003</v>
      </c>
      <c r="J758" s="14">
        <f>CHOOSE(CONTROL!$C$42, 62.3715, 62.3715)* CHOOSE(CONTROL!$C$21, $C$9, 100%, $E$9)</f>
        <v>62.371499999999997</v>
      </c>
      <c r="K758" s="53">
        <f>CHOOSE(CONTROL!$C$42, 62.5878, 62.5878) * CHOOSE(CONTROL!$C$21, $C$9, 100%, $E$9)</f>
        <v>62.587800000000001</v>
      </c>
      <c r="L758" s="14">
        <f>CHOOSE(CONTROL!$C$42, 63.0705, 63.0705) * CHOOSE(CONTROL!$C$21, $C$9, 100%, $E$9)</f>
        <v>63.070500000000003</v>
      </c>
      <c r="M758" s="14">
        <f>CHOOSE(CONTROL!$C$42, 61.1013, 61.1013) * CHOOSE(CONTROL!$C$21, $C$9, 100%, $E$9)</f>
        <v>61.101300000000002</v>
      </c>
      <c r="N758" s="14">
        <f>CHOOSE(CONTROL!$C$42, 61.1172, 61.1172) * CHOOSE(CONTROL!$C$21, $C$9, 100%, $E$9)</f>
        <v>61.117199999999997</v>
      </c>
      <c r="O758" s="14">
        <f>CHOOSE(CONTROL!$C$42, 61.2109, 61.2109) * CHOOSE(CONTROL!$C$21, $C$9, 100%, $E$9)</f>
        <v>61.210900000000002</v>
      </c>
      <c r="P758" s="14">
        <f>CHOOSE(CONTROL!$C$42, 61.3131, 61.3131) * CHOOSE(CONTROL!$C$21, $C$9, 100%, $E$9)</f>
        <v>61.313099999999999</v>
      </c>
      <c r="Q758" s="14">
        <f>CHOOSE(CONTROL!$C$42, 61.8056, 61.8056) * CHOOSE(CONTROL!$C$21, $C$9, 100%, $E$9)</f>
        <v>61.805599999999998</v>
      </c>
      <c r="R758" s="14">
        <f>CHOOSE(CONTROL!$C$42, 62.5471, 62.5471) * CHOOSE(CONTROL!$C$21, $C$9, 100%, $E$9)</f>
        <v>62.5471</v>
      </c>
      <c r="S758" s="14">
        <f>CHOOSE(CONTROL!$C$42, 59.9307, 59.9307) * CHOOSE(CONTROL!$C$21, $C$9, 100%, $E$9)</f>
        <v>59.930700000000002</v>
      </c>
      <c r="T7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7">
        <f>(1000*CHOOSE(CONTROL!$C$42, 695, 695)*CHOOSE(CONTROL!$C$42, 0.5599, 0.5599)*CHOOSE(CONTROL!$C$42, 28, 28))/1000000</f>
        <v>10.895653999999999</v>
      </c>
      <c r="V758" s="57">
        <f>(1000*CHOOSE(CONTROL!$C$42, 500, 500)*CHOOSE(CONTROL!$C$42, 0.275, 0.275)*CHOOSE(CONTROL!$C$42, 28, 28))/1000000</f>
        <v>3.85</v>
      </c>
      <c r="W758" s="57">
        <f>(1000*CHOOSE(CONTROL!$C$42, 0.1146, 0.1146)*CHOOSE(CONTROL!$C$42, 121.5, 121.5)*CHOOSE(CONTROL!$C$42, 28, 28))/1000000</f>
        <v>0.38986920000000003</v>
      </c>
      <c r="X758" s="57">
        <f>(28*0.1790888*100000/1000000)+(28*0.2374*100000/1000000)</f>
        <v>1.16616864</v>
      </c>
      <c r="Y758" s="57"/>
      <c r="Z758" s="14"/>
      <c r="AA758" s="56"/>
      <c r="AB758" s="50">
        <f>(B758*122.58+C758*297.941+D758*89.177+E758*40.302+F758*40+G758*160+H758*0+I758*100+J758*300)/(122.58+297.941+89.177+40.302+0+40+160+100+300)</f>
        <v>62.409096811565206</v>
      </c>
      <c r="AC758" s="45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61.182364748201437</v>
      </c>
    </row>
    <row r="759" spans="1:29" ht="15.75" x14ac:dyDescent="0.25">
      <c r="A759" s="32">
        <v>64009</v>
      </c>
      <c r="B759" s="14">
        <f>CHOOSE(CONTROL!$C$42, 60.6076, 60.6076) * CHOOSE(CONTROL!$C$21, $C$9, 100%, $E$9)</f>
        <v>60.607599999999998</v>
      </c>
      <c r="C759" s="14">
        <f>CHOOSE(CONTROL!$C$42, 60.6127, 60.6127) * CHOOSE(CONTROL!$C$21, $C$9, 100%, $E$9)</f>
        <v>60.612699999999997</v>
      </c>
      <c r="D759" s="14">
        <f>CHOOSE(CONTROL!$C$42, 60.6895, 60.6895) * CHOOSE(CONTROL!$C$21, $C$9, 100%, $E$9)</f>
        <v>60.689500000000002</v>
      </c>
      <c r="E759" s="14">
        <f>CHOOSE(CONTROL!$C$42, 60.7236, 60.7236) * CHOOSE(CONTROL!$C$21, $C$9, 100%, $E$9)</f>
        <v>60.723599999999998</v>
      </c>
      <c r="F759" s="14">
        <f>CHOOSE(CONTROL!$C$42, 60.6074, 60.6074)*CHOOSE(CONTROL!$C$21, $C$9, 100%, $E$9)</f>
        <v>60.607399999999998</v>
      </c>
      <c r="G759" s="14">
        <f>CHOOSE(CONTROL!$C$42, 60.6235, 60.6235)*CHOOSE(CONTROL!$C$21, $C$9, 100%, $E$9)</f>
        <v>60.6235</v>
      </c>
      <c r="H759" s="14">
        <f>CHOOSE(CONTROL!$C$42, 60.7128, 60.7128) * CHOOSE(CONTROL!$C$21, $C$9, 100%, $E$9)</f>
        <v>60.712800000000001</v>
      </c>
      <c r="I759" s="14">
        <f>CHOOSE(CONTROL!$C$42, 60.8155, 60.8155)* CHOOSE(CONTROL!$C$21, $C$9, 100%, $E$9)</f>
        <v>60.8155</v>
      </c>
      <c r="J759" s="14">
        <f>CHOOSE(CONTROL!$C$42, 60.6004, 60.6004)* CHOOSE(CONTROL!$C$21, $C$9, 100%, $E$9)</f>
        <v>60.6004</v>
      </c>
      <c r="K759" s="53">
        <f>CHOOSE(CONTROL!$C$42, 60.8116, 60.8116) * CHOOSE(CONTROL!$C$21, $C$9, 100%, $E$9)</f>
        <v>60.811599999999999</v>
      </c>
      <c r="L759" s="14">
        <f>CHOOSE(CONTROL!$C$42, 61.2998, 61.2998) * CHOOSE(CONTROL!$C$21, $C$9, 100%, $E$9)</f>
        <v>61.299799999999998</v>
      </c>
      <c r="M759" s="14">
        <f>CHOOSE(CONTROL!$C$42, 59.3664, 59.3664) * CHOOSE(CONTROL!$C$21, $C$9, 100%, $E$9)</f>
        <v>59.366399999999999</v>
      </c>
      <c r="N759" s="14">
        <f>CHOOSE(CONTROL!$C$42, 59.3822, 59.3822) * CHOOSE(CONTROL!$C$21, $C$9, 100%, $E$9)</f>
        <v>59.382199999999997</v>
      </c>
      <c r="O759" s="14">
        <f>CHOOSE(CONTROL!$C$42, 59.4765, 59.4765) * CHOOSE(CONTROL!$C$21, $C$9, 100%, $E$9)</f>
        <v>59.476500000000001</v>
      </c>
      <c r="P759" s="14">
        <f>CHOOSE(CONTROL!$C$42, 59.5733, 59.5733) * CHOOSE(CONTROL!$C$21, $C$9, 100%, $E$9)</f>
        <v>59.573300000000003</v>
      </c>
      <c r="Q759" s="14">
        <f>CHOOSE(CONTROL!$C$42, 60.0712, 60.0712) * CHOOSE(CONTROL!$C$21, $C$9, 100%, $E$9)</f>
        <v>60.071199999999997</v>
      </c>
      <c r="R759" s="14">
        <f>CHOOSE(CONTROL!$C$42, 60.8084, 60.8084) * CHOOSE(CONTROL!$C$21, $C$9, 100%, $E$9)</f>
        <v>60.808399999999999</v>
      </c>
      <c r="S759" s="14">
        <f>CHOOSE(CONTROL!$C$42, 58.2293, 58.2293) * CHOOSE(CONTROL!$C$21, $C$9, 100%, $E$9)</f>
        <v>58.229300000000002</v>
      </c>
      <c r="T7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7">
        <f>(1000*CHOOSE(CONTROL!$C$42, 695, 695)*CHOOSE(CONTROL!$C$42, 0.5599, 0.5599)*CHOOSE(CONTROL!$C$42, 31, 31))/1000000</f>
        <v>12.063045499999998</v>
      </c>
      <c r="V759" s="57">
        <f>(1000*CHOOSE(CONTROL!$C$42, 500, 500)*CHOOSE(CONTROL!$C$42, 0.275, 0.275)*CHOOSE(CONTROL!$C$42, 31, 31))/1000000</f>
        <v>4.2625000000000002</v>
      </c>
      <c r="W759" s="57">
        <f>(1000*CHOOSE(CONTROL!$C$42, 0.1146, 0.1146)*CHOOSE(CONTROL!$C$42, 121.5, 121.5)*CHOOSE(CONTROL!$C$42, 31, 31))/1000000</f>
        <v>0.43164089999999994</v>
      </c>
      <c r="X759" s="57">
        <f>(31*0.1790888*100000/1000000)+(31*0.2374*100000/1000000)</f>
        <v>1.2911152800000001</v>
      </c>
      <c r="Y759" s="57"/>
      <c r="Z759" s="14"/>
      <c r="AA759" s="56"/>
      <c r="AB759" s="50">
        <f>(B759*122.58+C759*297.941+D759*89.177+E759*40.302+F759*40+G759*160+H759*0+I759*100+J759*300)/(122.58+297.941+89.177+40.302+0+40+160+100+300)</f>
        <v>60.637742719478268</v>
      </c>
      <c r="AC759" s="45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59.44698057553957</v>
      </c>
    </row>
    <row r="760" spans="1:29" ht="15.75" x14ac:dyDescent="0.25">
      <c r="A760" s="32">
        <v>64039</v>
      </c>
      <c r="B760" s="14">
        <f>CHOOSE(CONTROL!$C$42, 60.4274, 60.4274) * CHOOSE(CONTROL!$C$21, $C$9, 100%, $E$9)</f>
        <v>60.427399999999999</v>
      </c>
      <c r="C760" s="14">
        <f>CHOOSE(CONTROL!$C$42, 60.4319, 60.4319) * CHOOSE(CONTROL!$C$21, $C$9, 100%, $E$9)</f>
        <v>60.431899999999999</v>
      </c>
      <c r="D760" s="14">
        <f>CHOOSE(CONTROL!$C$42, 60.6686, 60.6686) * CHOOSE(CONTROL!$C$21, $C$9, 100%, $E$9)</f>
        <v>60.668599999999998</v>
      </c>
      <c r="E760" s="14">
        <f>CHOOSE(CONTROL!$C$42, 60.7007, 60.7007) * CHOOSE(CONTROL!$C$21, $C$9, 100%, $E$9)</f>
        <v>60.700699999999998</v>
      </c>
      <c r="F760" s="14">
        <f>CHOOSE(CONTROL!$C$42, 60.4253, 60.4253)*CHOOSE(CONTROL!$C$21, $C$9, 100%, $E$9)</f>
        <v>60.4253</v>
      </c>
      <c r="G760" s="14">
        <f>CHOOSE(CONTROL!$C$42, 60.4411, 60.4411)*CHOOSE(CONTROL!$C$21, $C$9, 100%, $E$9)</f>
        <v>60.441099999999999</v>
      </c>
      <c r="H760" s="14">
        <f>CHOOSE(CONTROL!$C$42, 60.6905, 60.6905) * CHOOSE(CONTROL!$C$21, $C$9, 100%, $E$9)</f>
        <v>60.6905</v>
      </c>
      <c r="I760" s="14">
        <f>CHOOSE(CONTROL!$C$42, 60.6339, 60.6339)* CHOOSE(CONTROL!$C$21, $C$9, 100%, $E$9)</f>
        <v>60.633899999999997</v>
      </c>
      <c r="J760" s="14">
        <f>CHOOSE(CONTROL!$C$42, 60.4183, 60.4183)* CHOOSE(CONTROL!$C$21, $C$9, 100%, $E$9)</f>
        <v>60.418300000000002</v>
      </c>
      <c r="K760" s="53">
        <f>CHOOSE(CONTROL!$C$42, 60.63, 60.63) * CHOOSE(CONTROL!$C$21, $C$9, 100%, $E$9)</f>
        <v>60.63</v>
      </c>
      <c r="L760" s="14">
        <f>CHOOSE(CONTROL!$C$42, 61.2775, 61.2775) * CHOOSE(CONTROL!$C$21, $C$9, 100%, $E$9)</f>
        <v>61.277500000000003</v>
      </c>
      <c r="M760" s="14">
        <f>CHOOSE(CONTROL!$C$42, 59.1881, 59.1881) * CHOOSE(CONTROL!$C$21, $C$9, 100%, $E$9)</f>
        <v>59.188099999999999</v>
      </c>
      <c r="N760" s="14">
        <f>CHOOSE(CONTROL!$C$42, 59.2036, 59.2036) * CHOOSE(CONTROL!$C$21, $C$9, 100%, $E$9)</f>
        <v>59.203600000000002</v>
      </c>
      <c r="O760" s="14">
        <f>CHOOSE(CONTROL!$C$42, 59.4547, 59.4547) * CHOOSE(CONTROL!$C$21, $C$9, 100%, $E$9)</f>
        <v>59.454700000000003</v>
      </c>
      <c r="P760" s="14">
        <f>CHOOSE(CONTROL!$C$42, 59.3955, 59.3955) * CHOOSE(CONTROL!$C$21, $C$9, 100%, $E$9)</f>
        <v>59.395499999999998</v>
      </c>
      <c r="Q760" s="14">
        <f>CHOOSE(CONTROL!$C$42, 60.0494, 60.0494) * CHOOSE(CONTROL!$C$21, $C$9, 100%, $E$9)</f>
        <v>60.049399999999999</v>
      </c>
      <c r="R760" s="14">
        <f>CHOOSE(CONTROL!$C$42, 60.7865, 60.7865) * CHOOSE(CONTROL!$C$21, $C$9, 100%, $E$9)</f>
        <v>60.786499999999997</v>
      </c>
      <c r="S760" s="14">
        <f>CHOOSE(CONTROL!$C$42, 58.0554, 58.0554) * CHOOSE(CONTROL!$C$21, $C$9, 100%, $E$9)</f>
        <v>58.055399999999999</v>
      </c>
      <c r="T7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7">
        <f>(1000*CHOOSE(CONTROL!$C$42, 695, 695)*CHOOSE(CONTROL!$C$42, 0.5599, 0.5599)*CHOOSE(CONTROL!$C$42, 30, 30))/1000000</f>
        <v>11.673914999999997</v>
      </c>
      <c r="V760" s="57">
        <f>(1000*CHOOSE(CONTROL!$C$42, 500, 500)*CHOOSE(CONTROL!$C$42, 0.275, 0.275)*CHOOSE(CONTROL!$C$42, 30, 30))/1000000</f>
        <v>4.125</v>
      </c>
      <c r="W760" s="57">
        <f>(1000*CHOOSE(CONTROL!$C$42, 0.1146, 0.1146)*CHOOSE(CONTROL!$C$42, 121.5, 121.5)*CHOOSE(CONTROL!$C$42, 30, 30))/1000000</f>
        <v>0.417717</v>
      </c>
      <c r="X760" s="57">
        <f>(30*0.1790888*245000/1000000)+(30*0.2374*100000/1000000)</f>
        <v>2.0285026799999999</v>
      </c>
      <c r="Y760" s="57"/>
      <c r="Z760" s="14"/>
      <c r="AA760" s="56"/>
      <c r="AB760" s="50">
        <f>(B760*141.293+C760*267.993+D760*115.016+E760*89.698+F760*40+G760*185+H760*0+I760*100+J760*300)/(141.293+267.993+115.016+89.698+0+40+185+100+300)</f>
        <v>60.486990630427769</v>
      </c>
      <c r="AC760" s="45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59.339666906474832</v>
      </c>
    </row>
    <row r="761" spans="1:29" ht="15.75" x14ac:dyDescent="0.25">
      <c r="A761" s="32">
        <v>64070</v>
      </c>
      <c r="B761" s="14">
        <f>CHOOSE(CONTROL!$C$42, 60.962, 60.962) * CHOOSE(CONTROL!$C$21, $C$9, 100%, $E$9)</f>
        <v>60.962000000000003</v>
      </c>
      <c r="C761" s="14">
        <f>CHOOSE(CONTROL!$C$42, 60.9701, 60.9701) * CHOOSE(CONTROL!$C$21, $C$9, 100%, $E$9)</f>
        <v>60.970100000000002</v>
      </c>
      <c r="D761" s="14">
        <f>CHOOSE(CONTROL!$C$42, 61.2036, 61.2036) * CHOOSE(CONTROL!$C$21, $C$9, 100%, $E$9)</f>
        <v>61.203600000000002</v>
      </c>
      <c r="E761" s="14">
        <f>CHOOSE(CONTROL!$C$42, 61.2351, 61.2351) * CHOOSE(CONTROL!$C$21, $C$9, 100%, $E$9)</f>
        <v>61.235100000000003</v>
      </c>
      <c r="F761" s="14">
        <f>CHOOSE(CONTROL!$C$42, 60.9588, 60.9588)*CHOOSE(CONTROL!$C$21, $C$9, 100%, $E$9)</f>
        <v>60.958799999999997</v>
      </c>
      <c r="G761" s="14">
        <f>CHOOSE(CONTROL!$C$42, 60.9751, 60.9751)*CHOOSE(CONTROL!$C$21, $C$9, 100%, $E$9)</f>
        <v>60.975099999999998</v>
      </c>
      <c r="H761" s="14">
        <f>CHOOSE(CONTROL!$C$42, 61.2237, 61.2237) * CHOOSE(CONTROL!$C$21, $C$9, 100%, $E$9)</f>
        <v>61.223700000000001</v>
      </c>
      <c r="I761" s="14">
        <f>CHOOSE(CONTROL!$C$42, 61.1688, 61.1688)* CHOOSE(CONTROL!$C$21, $C$9, 100%, $E$9)</f>
        <v>61.168799999999997</v>
      </c>
      <c r="J761" s="14">
        <f>CHOOSE(CONTROL!$C$42, 60.9518, 60.9518)* CHOOSE(CONTROL!$C$21, $C$9, 100%, $E$9)</f>
        <v>60.951799999999999</v>
      </c>
      <c r="K761" s="53">
        <f>CHOOSE(CONTROL!$C$42, 61.1649, 61.1649) * CHOOSE(CONTROL!$C$21, $C$9, 100%, $E$9)</f>
        <v>61.164900000000003</v>
      </c>
      <c r="L761" s="14">
        <f>CHOOSE(CONTROL!$C$42, 61.8107, 61.8107) * CHOOSE(CONTROL!$C$21, $C$9, 100%, $E$9)</f>
        <v>61.810699999999997</v>
      </c>
      <c r="M761" s="14">
        <f>CHOOSE(CONTROL!$C$42, 59.7106, 59.7106) * CHOOSE(CONTROL!$C$21, $C$9, 100%, $E$9)</f>
        <v>59.710599999999999</v>
      </c>
      <c r="N761" s="14">
        <f>CHOOSE(CONTROL!$C$42, 59.7266, 59.7266) * CHOOSE(CONTROL!$C$21, $C$9, 100%, $E$9)</f>
        <v>59.726599999999998</v>
      </c>
      <c r="O761" s="14">
        <f>CHOOSE(CONTROL!$C$42, 59.977, 59.977) * CHOOSE(CONTROL!$C$21, $C$9, 100%, $E$9)</f>
        <v>59.976999999999997</v>
      </c>
      <c r="P761" s="14">
        <f>CHOOSE(CONTROL!$C$42, 59.9194, 59.9194) * CHOOSE(CONTROL!$C$21, $C$9, 100%, $E$9)</f>
        <v>59.919400000000003</v>
      </c>
      <c r="Q761" s="14">
        <f>CHOOSE(CONTROL!$C$42, 60.5717, 60.5717) * CHOOSE(CONTROL!$C$21, $C$9, 100%, $E$9)</f>
        <v>60.5717</v>
      </c>
      <c r="R761" s="14">
        <f>CHOOSE(CONTROL!$C$42, 61.3101, 61.3101) * CHOOSE(CONTROL!$C$21, $C$9, 100%, $E$9)</f>
        <v>61.310099999999998</v>
      </c>
      <c r="S761" s="14">
        <f>CHOOSE(CONTROL!$C$42, 58.5678, 58.5678) * CHOOSE(CONTROL!$C$21, $C$9, 100%, $E$9)</f>
        <v>58.567799999999998</v>
      </c>
      <c r="T7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7">
        <f>(1000*CHOOSE(CONTROL!$C$42, 695, 695)*CHOOSE(CONTROL!$C$42, 0.5599, 0.5599)*CHOOSE(CONTROL!$C$42, 31, 31))/1000000</f>
        <v>12.063045499999998</v>
      </c>
      <c r="V761" s="57">
        <f>(1000*CHOOSE(CONTROL!$C$42, 500, 500)*CHOOSE(CONTROL!$C$42, 0.275, 0.275)*CHOOSE(CONTROL!$C$42, 31, 31))/1000000</f>
        <v>4.2625000000000002</v>
      </c>
      <c r="W761" s="57">
        <f>(1000*CHOOSE(CONTROL!$C$42, 0.1146, 0.1146)*CHOOSE(CONTROL!$C$42, 121.5, 121.5)*CHOOSE(CONTROL!$C$42, 31, 31))/1000000</f>
        <v>0.43164089999999994</v>
      </c>
      <c r="X761" s="57">
        <f>(31*0.1790888*245000/1000000)+(31*0.2374*100000/1000000)</f>
        <v>2.0961194359999999</v>
      </c>
      <c r="Y761" s="57"/>
      <c r="Z761" s="14"/>
      <c r="AA761" s="56"/>
      <c r="AB761" s="50">
        <f>(B761*194.205+C761*267.466+D761*133.845+E761*53.484+F761*40+G761*185+H761*0+I761*100+J761*300)/(194.205+267.466+133.845+53.484+0+40+185+100+300)</f>
        <v>61.016180068288854</v>
      </c>
      <c r="AC761" s="45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59.862306474820144</v>
      </c>
    </row>
    <row r="762" spans="1:29" ht="15.75" x14ac:dyDescent="0.25">
      <c r="A762" s="32">
        <v>64100</v>
      </c>
      <c r="B762" s="14">
        <f>CHOOSE(CONTROL!$C$42, 62.691, 62.691) * CHOOSE(CONTROL!$C$21, $C$9, 100%, $E$9)</f>
        <v>62.691000000000003</v>
      </c>
      <c r="C762" s="14">
        <f>CHOOSE(CONTROL!$C$42, 62.699, 62.699) * CHOOSE(CONTROL!$C$21, $C$9, 100%, $E$9)</f>
        <v>62.698999999999998</v>
      </c>
      <c r="D762" s="14">
        <f>CHOOSE(CONTROL!$C$42, 62.9326, 62.9326) * CHOOSE(CONTROL!$C$21, $C$9, 100%, $E$9)</f>
        <v>62.932600000000001</v>
      </c>
      <c r="E762" s="14">
        <f>CHOOSE(CONTROL!$C$42, 62.964, 62.964) * CHOOSE(CONTROL!$C$21, $C$9, 100%, $E$9)</f>
        <v>62.963999999999999</v>
      </c>
      <c r="F762" s="14">
        <f>CHOOSE(CONTROL!$C$42, 62.6882, 62.6882)*CHOOSE(CONTROL!$C$21, $C$9, 100%, $E$9)</f>
        <v>62.688200000000002</v>
      </c>
      <c r="G762" s="14">
        <f>CHOOSE(CONTROL!$C$42, 62.7047, 62.7047)*CHOOSE(CONTROL!$C$21, $C$9, 100%, $E$9)</f>
        <v>62.704700000000003</v>
      </c>
      <c r="H762" s="14">
        <f>CHOOSE(CONTROL!$C$42, 62.9527, 62.9527) * CHOOSE(CONTROL!$C$21, $C$9, 100%, $E$9)</f>
        <v>62.9527</v>
      </c>
      <c r="I762" s="14">
        <f>CHOOSE(CONTROL!$C$42, 62.9032, 62.9032)* CHOOSE(CONTROL!$C$21, $C$9, 100%, $E$9)</f>
        <v>62.903199999999998</v>
      </c>
      <c r="J762" s="14">
        <f>CHOOSE(CONTROL!$C$42, 62.6812, 62.6812)* CHOOSE(CONTROL!$C$21, $C$9, 100%, $E$9)</f>
        <v>62.681199999999997</v>
      </c>
      <c r="K762" s="53">
        <f>CHOOSE(CONTROL!$C$42, 62.8993, 62.8993) * CHOOSE(CONTROL!$C$21, $C$9, 100%, $E$9)</f>
        <v>62.899299999999997</v>
      </c>
      <c r="L762" s="14">
        <f>CHOOSE(CONTROL!$C$42, 63.5397, 63.5397) * CHOOSE(CONTROL!$C$21, $C$9, 100%, $E$9)</f>
        <v>63.539700000000003</v>
      </c>
      <c r="M762" s="14">
        <f>CHOOSE(CONTROL!$C$42, 61.4046, 61.4046) * CHOOSE(CONTROL!$C$21, $C$9, 100%, $E$9)</f>
        <v>61.404600000000002</v>
      </c>
      <c r="N762" s="14">
        <f>CHOOSE(CONTROL!$C$42, 61.4207, 61.4207) * CHOOSE(CONTROL!$C$21, $C$9, 100%, $E$9)</f>
        <v>61.420699999999997</v>
      </c>
      <c r="O762" s="14">
        <f>CHOOSE(CONTROL!$C$42, 61.6705, 61.6705) * CHOOSE(CONTROL!$C$21, $C$9, 100%, $E$9)</f>
        <v>61.670499999999997</v>
      </c>
      <c r="P762" s="14">
        <f>CHOOSE(CONTROL!$C$42, 61.6181, 61.6181) * CHOOSE(CONTROL!$C$21, $C$9, 100%, $E$9)</f>
        <v>61.618099999999998</v>
      </c>
      <c r="Q762" s="14">
        <f>CHOOSE(CONTROL!$C$42, 62.2652, 62.2652) * CHOOSE(CONTROL!$C$21, $C$9, 100%, $E$9)</f>
        <v>62.2652</v>
      </c>
      <c r="R762" s="14">
        <f>CHOOSE(CONTROL!$C$42, 63.0079, 63.0079) * CHOOSE(CONTROL!$C$21, $C$9, 100%, $E$9)</f>
        <v>63.007899999999999</v>
      </c>
      <c r="S762" s="14">
        <f>CHOOSE(CONTROL!$C$42, 60.2291, 60.2291) * CHOOSE(CONTROL!$C$21, $C$9, 100%, $E$9)</f>
        <v>60.229100000000003</v>
      </c>
      <c r="T7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7">
        <f>(1000*CHOOSE(CONTROL!$C$42, 695, 695)*CHOOSE(CONTROL!$C$42, 0.5599, 0.5599)*CHOOSE(CONTROL!$C$42, 30, 30))/1000000</f>
        <v>11.673914999999997</v>
      </c>
      <c r="V762" s="57">
        <f>(1000*CHOOSE(CONTROL!$C$42, 500, 500)*CHOOSE(CONTROL!$C$42, 0.275, 0.275)*CHOOSE(CONTROL!$C$42, 30, 30))/1000000</f>
        <v>4.125</v>
      </c>
      <c r="W762" s="57">
        <f>(1000*CHOOSE(CONTROL!$C$42, 0.1146, 0.1146)*CHOOSE(CONTROL!$C$42, 121.5, 121.5)*CHOOSE(CONTROL!$C$42, 30, 30))/1000000</f>
        <v>0.417717</v>
      </c>
      <c r="X762" s="57">
        <f>(30*0.1790888*245000/1000000)+(30*0.2374*100000/1000000)</f>
        <v>2.0285026799999999</v>
      </c>
      <c r="Y762" s="57"/>
      <c r="Z762" s="14"/>
      <c r="AA762" s="56"/>
      <c r="AB762" s="50">
        <f>(B762*194.205+C762*267.466+D762*133.845+E762*53.484+F762*40+G762*185+H762*0+I762*100+J762*300)/(194.205+267.466+133.845+53.484+0+40+185+100+300)</f>
        <v>62.74577261538461</v>
      </c>
      <c r="AC762" s="45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61.5567618705036</v>
      </c>
    </row>
    <row r="763" spans="1:29" ht="15.75" x14ac:dyDescent="0.25">
      <c r="A763" s="32">
        <v>64131</v>
      </c>
      <c r="B763" s="14">
        <f>CHOOSE(CONTROL!$C$42, 61.4885, 61.4885) * CHOOSE(CONTROL!$C$21, $C$9, 100%, $E$9)</f>
        <v>61.488500000000002</v>
      </c>
      <c r="C763" s="14">
        <f>CHOOSE(CONTROL!$C$42, 61.4965, 61.4965) * CHOOSE(CONTROL!$C$21, $C$9, 100%, $E$9)</f>
        <v>61.496499999999997</v>
      </c>
      <c r="D763" s="14">
        <f>CHOOSE(CONTROL!$C$42, 61.7301, 61.7301) * CHOOSE(CONTROL!$C$21, $C$9, 100%, $E$9)</f>
        <v>61.7301</v>
      </c>
      <c r="E763" s="14">
        <f>CHOOSE(CONTROL!$C$42, 61.7616, 61.7616) * CHOOSE(CONTROL!$C$21, $C$9, 100%, $E$9)</f>
        <v>61.761600000000001</v>
      </c>
      <c r="F763" s="14">
        <f>CHOOSE(CONTROL!$C$42, 61.4863, 61.4863)*CHOOSE(CONTROL!$C$21, $C$9, 100%, $E$9)</f>
        <v>61.4863</v>
      </c>
      <c r="G763" s="14">
        <f>CHOOSE(CONTROL!$C$42, 61.5029, 61.5029)*CHOOSE(CONTROL!$C$21, $C$9, 100%, $E$9)</f>
        <v>61.502899999999997</v>
      </c>
      <c r="H763" s="14">
        <f>CHOOSE(CONTROL!$C$42, 61.7502, 61.7502) * CHOOSE(CONTROL!$C$21, $C$9, 100%, $E$9)</f>
        <v>61.7502</v>
      </c>
      <c r="I763" s="14">
        <f>CHOOSE(CONTROL!$C$42, 61.6969, 61.6969)* CHOOSE(CONTROL!$C$21, $C$9, 100%, $E$9)</f>
        <v>61.696899999999999</v>
      </c>
      <c r="J763" s="14">
        <f>CHOOSE(CONTROL!$C$42, 61.4793, 61.4793)* CHOOSE(CONTROL!$C$21, $C$9, 100%, $E$9)</f>
        <v>61.479300000000002</v>
      </c>
      <c r="K763" s="53">
        <f>CHOOSE(CONTROL!$C$42, 61.693, 61.693) * CHOOSE(CONTROL!$C$21, $C$9, 100%, $E$9)</f>
        <v>61.692999999999998</v>
      </c>
      <c r="L763" s="14">
        <f>CHOOSE(CONTROL!$C$42, 62.3372, 62.3372) * CHOOSE(CONTROL!$C$21, $C$9, 100%, $E$9)</f>
        <v>62.337200000000003</v>
      </c>
      <c r="M763" s="14">
        <f>CHOOSE(CONTROL!$C$42, 60.2273, 60.2273) * CHOOSE(CONTROL!$C$21, $C$9, 100%, $E$9)</f>
        <v>60.2273</v>
      </c>
      <c r="N763" s="14">
        <f>CHOOSE(CONTROL!$C$42, 60.2435, 60.2435) * CHOOSE(CONTROL!$C$21, $C$9, 100%, $E$9)</f>
        <v>60.243499999999997</v>
      </c>
      <c r="O763" s="14">
        <f>CHOOSE(CONTROL!$C$42, 60.4927, 60.4927) * CHOOSE(CONTROL!$C$21, $C$9, 100%, $E$9)</f>
        <v>60.492699999999999</v>
      </c>
      <c r="P763" s="14">
        <f>CHOOSE(CONTROL!$C$42, 60.4367, 60.4367) * CHOOSE(CONTROL!$C$21, $C$9, 100%, $E$9)</f>
        <v>60.436700000000002</v>
      </c>
      <c r="Q763" s="14">
        <f>CHOOSE(CONTROL!$C$42, 61.0874, 61.0874) * CHOOSE(CONTROL!$C$21, $C$9, 100%, $E$9)</f>
        <v>61.087400000000002</v>
      </c>
      <c r="R763" s="14">
        <f>CHOOSE(CONTROL!$C$42, 61.8271, 61.8271) * CHOOSE(CONTROL!$C$21, $C$9, 100%, $E$9)</f>
        <v>61.827100000000002</v>
      </c>
      <c r="S763" s="14">
        <f>CHOOSE(CONTROL!$C$42, 59.0736, 59.0736) * CHOOSE(CONTROL!$C$21, $C$9, 100%, $E$9)</f>
        <v>59.073599999999999</v>
      </c>
      <c r="T7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7">
        <f>(1000*CHOOSE(CONTROL!$C$42, 695, 695)*CHOOSE(CONTROL!$C$42, 0.5599, 0.5599)*CHOOSE(CONTROL!$C$42, 31, 31))/1000000</f>
        <v>12.063045499999998</v>
      </c>
      <c r="V763" s="57">
        <f>(1000*CHOOSE(CONTROL!$C$42, 500, 500)*CHOOSE(CONTROL!$C$42, 0.275, 0.275)*CHOOSE(CONTROL!$C$42, 31, 31))/1000000</f>
        <v>4.2625000000000002</v>
      </c>
      <c r="W763" s="57">
        <f>(1000*CHOOSE(CONTROL!$C$42, 0.1146, 0.1146)*CHOOSE(CONTROL!$C$42, 121.5, 121.5)*CHOOSE(CONTROL!$C$42, 31, 31))/1000000</f>
        <v>0.43164089999999994</v>
      </c>
      <c r="X763" s="57">
        <f>(31*0.1790888*245000/1000000)+(31*0.2374*100000/1000000)</f>
        <v>2.0961194359999999</v>
      </c>
      <c r="Y763" s="57"/>
      <c r="Z763" s="14"/>
      <c r="AA763" s="56"/>
      <c r="AB763" s="50">
        <f>(B763*194.205+C763*267.466+D763*133.845+E763*53.484+F763*40+G763*185+H763*0+I763*100+J763*300)/(194.205+267.466+133.845+53.484+0+40+185+100+300)</f>
        <v>61.543240314285725</v>
      </c>
      <c r="AC763" s="45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60.378651079136688</v>
      </c>
    </row>
    <row r="764" spans="1:29" ht="15.75" x14ac:dyDescent="0.25">
      <c r="A764" s="32">
        <v>64162</v>
      </c>
      <c r="B764" s="14">
        <f>CHOOSE(CONTROL!$C$42, 58.4518, 58.4518) * CHOOSE(CONTROL!$C$21, $C$9, 100%, $E$9)</f>
        <v>58.451799999999999</v>
      </c>
      <c r="C764" s="14">
        <f>CHOOSE(CONTROL!$C$42, 58.4599, 58.4599) * CHOOSE(CONTROL!$C$21, $C$9, 100%, $E$9)</f>
        <v>58.459899999999998</v>
      </c>
      <c r="D764" s="14">
        <f>CHOOSE(CONTROL!$C$42, 58.6935, 58.6935) * CHOOSE(CONTROL!$C$21, $C$9, 100%, $E$9)</f>
        <v>58.6935</v>
      </c>
      <c r="E764" s="14">
        <f>CHOOSE(CONTROL!$C$42, 58.7249, 58.7249) * CHOOSE(CONTROL!$C$21, $C$9, 100%, $E$9)</f>
        <v>58.724899999999998</v>
      </c>
      <c r="F764" s="14">
        <f>CHOOSE(CONTROL!$C$42, 58.4498, 58.4498)*CHOOSE(CONTROL!$C$21, $C$9, 100%, $E$9)</f>
        <v>58.449800000000003</v>
      </c>
      <c r="G764" s="14">
        <f>CHOOSE(CONTROL!$C$42, 58.4665, 58.4665)*CHOOSE(CONTROL!$C$21, $C$9, 100%, $E$9)</f>
        <v>58.466500000000003</v>
      </c>
      <c r="H764" s="14">
        <f>CHOOSE(CONTROL!$C$42, 58.7136, 58.7136) * CHOOSE(CONTROL!$C$21, $C$9, 100%, $E$9)</f>
        <v>58.7136</v>
      </c>
      <c r="I764" s="14">
        <f>CHOOSE(CONTROL!$C$42, 58.6508, 58.6508)* CHOOSE(CONTROL!$C$21, $C$9, 100%, $E$9)</f>
        <v>58.650799999999997</v>
      </c>
      <c r="J764" s="14">
        <f>CHOOSE(CONTROL!$C$42, 58.4428, 58.4428)* CHOOSE(CONTROL!$C$21, $C$9, 100%, $E$9)</f>
        <v>58.442799999999998</v>
      </c>
      <c r="K764" s="53">
        <f>CHOOSE(CONTROL!$C$42, 58.6469, 58.6469) * CHOOSE(CONTROL!$C$21, $C$9, 100%, $E$9)</f>
        <v>58.646900000000002</v>
      </c>
      <c r="L764" s="14">
        <f>CHOOSE(CONTROL!$C$42, 59.3006, 59.3006) * CHOOSE(CONTROL!$C$21, $C$9, 100%, $E$9)</f>
        <v>59.300600000000003</v>
      </c>
      <c r="M764" s="14">
        <f>CHOOSE(CONTROL!$C$42, 57.2531, 57.2531) * CHOOSE(CONTROL!$C$21, $C$9, 100%, $E$9)</f>
        <v>57.253100000000003</v>
      </c>
      <c r="N764" s="14">
        <f>CHOOSE(CONTROL!$C$42, 57.2694, 57.2694) * CHOOSE(CONTROL!$C$21, $C$9, 100%, $E$9)</f>
        <v>57.269399999999997</v>
      </c>
      <c r="O764" s="14">
        <f>CHOOSE(CONTROL!$C$42, 57.5182, 57.5182) * CHOOSE(CONTROL!$C$21, $C$9, 100%, $E$9)</f>
        <v>57.5182</v>
      </c>
      <c r="P764" s="14">
        <f>CHOOSE(CONTROL!$C$42, 57.4532, 57.4532) * CHOOSE(CONTROL!$C$21, $C$9, 100%, $E$9)</f>
        <v>57.453200000000002</v>
      </c>
      <c r="Q764" s="14">
        <f>CHOOSE(CONTROL!$C$42, 58.1129, 58.1129) * CHOOSE(CONTROL!$C$21, $C$9, 100%, $E$9)</f>
        <v>58.112900000000003</v>
      </c>
      <c r="R764" s="14">
        <f>CHOOSE(CONTROL!$C$42, 58.8452, 58.8452) * CHOOSE(CONTROL!$C$21, $C$9, 100%, $E$9)</f>
        <v>58.845199999999998</v>
      </c>
      <c r="S764" s="14">
        <f>CHOOSE(CONTROL!$C$42, 56.1557, 56.1557) * CHOOSE(CONTROL!$C$21, $C$9, 100%, $E$9)</f>
        <v>56.155700000000003</v>
      </c>
      <c r="T7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7">
        <f>(1000*CHOOSE(CONTROL!$C$42, 695, 695)*CHOOSE(CONTROL!$C$42, 0.5599, 0.5599)*CHOOSE(CONTROL!$C$42, 31, 31))/1000000</f>
        <v>12.063045499999998</v>
      </c>
      <c r="V764" s="57">
        <f>(1000*CHOOSE(CONTROL!$C$42, 500, 500)*CHOOSE(CONTROL!$C$42, 0.275, 0.275)*CHOOSE(CONTROL!$C$42, 31, 31))/1000000</f>
        <v>4.2625000000000002</v>
      </c>
      <c r="W764" s="57">
        <f>(1000*CHOOSE(CONTROL!$C$42, 0.1146, 0.1146)*CHOOSE(CONTROL!$C$42, 121.5, 121.5)*CHOOSE(CONTROL!$C$42, 31, 31))/1000000</f>
        <v>0.43164089999999994</v>
      </c>
      <c r="X764" s="57">
        <f>(31*0.1790888*245000/1000000)+(31*0.2374*100000/1000000)</f>
        <v>2.0961194359999999</v>
      </c>
      <c r="Y764" s="57"/>
      <c r="Z764" s="14"/>
      <c r="AA764" s="56"/>
      <c r="AB764" s="50">
        <f>(B764*194.205+C764*267.466+D764*133.845+E764*53.484+F764*40+G764*185+H764*0+I764*100+J764*300)/(194.205+267.466+133.845+53.484+0+40+185+100+300)</f>
        <v>58.505930919544731</v>
      </c>
      <c r="AC764" s="45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57.402982733812948</v>
      </c>
    </row>
    <row r="765" spans="1:29" ht="15.75" x14ac:dyDescent="0.25">
      <c r="A765" s="32">
        <v>64192</v>
      </c>
      <c r="B765" s="14">
        <f>CHOOSE(CONTROL!$C$42, 54.7412, 54.7412) * CHOOSE(CONTROL!$C$21, $C$9, 100%, $E$9)</f>
        <v>54.741199999999999</v>
      </c>
      <c r="C765" s="14">
        <f>CHOOSE(CONTROL!$C$42, 54.7492, 54.7492) * CHOOSE(CONTROL!$C$21, $C$9, 100%, $E$9)</f>
        <v>54.749200000000002</v>
      </c>
      <c r="D765" s="14">
        <f>CHOOSE(CONTROL!$C$42, 54.9828, 54.9828) * CHOOSE(CONTROL!$C$21, $C$9, 100%, $E$9)</f>
        <v>54.982799999999997</v>
      </c>
      <c r="E765" s="14">
        <f>CHOOSE(CONTROL!$C$42, 55.0143, 55.0143) * CHOOSE(CONTROL!$C$21, $C$9, 100%, $E$9)</f>
        <v>55.014299999999999</v>
      </c>
      <c r="F765" s="14">
        <f>CHOOSE(CONTROL!$C$42, 54.7392, 54.7392)*CHOOSE(CONTROL!$C$21, $C$9, 100%, $E$9)</f>
        <v>54.739199999999997</v>
      </c>
      <c r="G765" s="14">
        <f>CHOOSE(CONTROL!$C$42, 54.7559, 54.7559)*CHOOSE(CONTROL!$C$21, $C$9, 100%, $E$9)</f>
        <v>54.755899999999997</v>
      </c>
      <c r="H765" s="14">
        <f>CHOOSE(CONTROL!$C$42, 55.0029, 55.0029) * CHOOSE(CONTROL!$C$21, $C$9, 100%, $E$9)</f>
        <v>55.002899999999997</v>
      </c>
      <c r="I765" s="14">
        <f>CHOOSE(CONTROL!$C$42, 54.9285, 54.9285)* CHOOSE(CONTROL!$C$21, $C$9, 100%, $E$9)</f>
        <v>54.9285</v>
      </c>
      <c r="J765" s="14">
        <f>CHOOSE(CONTROL!$C$42, 54.7322, 54.7322)* CHOOSE(CONTROL!$C$21, $C$9, 100%, $E$9)</f>
        <v>54.732199999999999</v>
      </c>
      <c r="K765" s="53">
        <f>CHOOSE(CONTROL!$C$42, 54.9246, 54.9246) * CHOOSE(CONTROL!$C$21, $C$9, 100%, $E$9)</f>
        <v>54.924599999999998</v>
      </c>
      <c r="L765" s="14">
        <f>CHOOSE(CONTROL!$C$42, 55.5899, 55.5899) * CHOOSE(CONTROL!$C$21, $C$9, 100%, $E$9)</f>
        <v>55.5899</v>
      </c>
      <c r="M765" s="14">
        <f>CHOOSE(CONTROL!$C$42, 53.6185, 53.6185) * CHOOSE(CONTROL!$C$21, $C$9, 100%, $E$9)</f>
        <v>53.618499999999997</v>
      </c>
      <c r="N765" s="14">
        <f>CHOOSE(CONTROL!$C$42, 53.6348, 53.6348) * CHOOSE(CONTROL!$C$21, $C$9, 100%, $E$9)</f>
        <v>53.634799999999998</v>
      </c>
      <c r="O765" s="14">
        <f>CHOOSE(CONTROL!$C$42, 53.8836, 53.8836) * CHOOSE(CONTROL!$C$21, $C$9, 100%, $E$9)</f>
        <v>53.883600000000001</v>
      </c>
      <c r="P765" s="14">
        <f>CHOOSE(CONTROL!$C$42, 53.8074, 53.8074) * CHOOSE(CONTROL!$C$21, $C$9, 100%, $E$9)</f>
        <v>53.807400000000001</v>
      </c>
      <c r="Q765" s="14">
        <f>CHOOSE(CONTROL!$C$42, 54.4783, 54.4783) * CHOOSE(CONTROL!$C$21, $C$9, 100%, $E$9)</f>
        <v>54.478299999999997</v>
      </c>
      <c r="R765" s="14">
        <f>CHOOSE(CONTROL!$C$42, 55.2015, 55.2015) * CHOOSE(CONTROL!$C$21, $C$9, 100%, $E$9)</f>
        <v>55.201500000000003</v>
      </c>
      <c r="S765" s="14">
        <f>CHOOSE(CONTROL!$C$42, 52.5902, 52.5902) * CHOOSE(CONTROL!$C$21, $C$9, 100%, $E$9)</f>
        <v>52.590200000000003</v>
      </c>
      <c r="T7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7">
        <f>(1000*CHOOSE(CONTROL!$C$42, 695, 695)*CHOOSE(CONTROL!$C$42, 0.5599, 0.5599)*CHOOSE(CONTROL!$C$42, 30, 30))/1000000</f>
        <v>11.673914999999997</v>
      </c>
      <c r="V765" s="57">
        <f>(1000*CHOOSE(CONTROL!$C$42, 500, 500)*CHOOSE(CONTROL!$C$42, 0.275, 0.275)*CHOOSE(CONTROL!$C$42, 30, 30))/1000000</f>
        <v>4.125</v>
      </c>
      <c r="W765" s="57">
        <f>(1000*CHOOSE(CONTROL!$C$42, 0.1146, 0.1146)*CHOOSE(CONTROL!$C$42, 121.5, 121.5)*CHOOSE(CONTROL!$C$42, 30, 30))/1000000</f>
        <v>0.417717</v>
      </c>
      <c r="X765" s="57">
        <f>(30*0.1790888*245000/1000000)+(30*0.2374*100000/1000000)</f>
        <v>2.0285026799999999</v>
      </c>
      <c r="Y765" s="57"/>
      <c r="Z765" s="14"/>
      <c r="AA765" s="56"/>
      <c r="AB765" s="50">
        <f>(B765*194.205+C765*267.466+D765*133.845+E765*53.484+F765*40+G765*185+H765*0+I765*100+J765*300)/(194.205+267.466+133.845+53.484+0+40+185+100+300)</f>
        <v>54.794381052119306</v>
      </c>
      <c r="AC765" s="45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53.766771223021578</v>
      </c>
    </row>
    <row r="766" spans="1:29" ht="15.75" x14ac:dyDescent="0.25">
      <c r="A766" s="32">
        <v>64223</v>
      </c>
      <c r="B766" s="14">
        <f>CHOOSE(CONTROL!$C$42, 53.6282, 53.6282) * CHOOSE(CONTROL!$C$21, $C$9, 100%, $E$9)</f>
        <v>53.6282</v>
      </c>
      <c r="C766" s="14">
        <f>CHOOSE(CONTROL!$C$42, 53.6335, 53.6335) * CHOOSE(CONTROL!$C$21, $C$9, 100%, $E$9)</f>
        <v>53.633499999999998</v>
      </c>
      <c r="D766" s="14">
        <f>CHOOSE(CONTROL!$C$42, 53.8721, 53.8721) * CHOOSE(CONTROL!$C$21, $C$9, 100%, $E$9)</f>
        <v>53.872100000000003</v>
      </c>
      <c r="E766" s="14">
        <f>CHOOSE(CONTROL!$C$42, 53.9012, 53.9012) * CHOOSE(CONTROL!$C$21, $C$9, 100%, $E$9)</f>
        <v>53.901200000000003</v>
      </c>
      <c r="F766" s="14">
        <f>CHOOSE(CONTROL!$C$42, 53.6282, 53.6282)*CHOOSE(CONTROL!$C$21, $C$9, 100%, $E$9)</f>
        <v>53.6282</v>
      </c>
      <c r="G766" s="14">
        <f>CHOOSE(CONTROL!$C$42, 53.6445, 53.6445)*CHOOSE(CONTROL!$C$21, $C$9, 100%, $E$9)</f>
        <v>53.644500000000001</v>
      </c>
      <c r="H766" s="14">
        <f>CHOOSE(CONTROL!$C$42, 53.8917, 53.8917) * CHOOSE(CONTROL!$C$21, $C$9, 100%, $E$9)</f>
        <v>53.8917</v>
      </c>
      <c r="I766" s="14">
        <f>CHOOSE(CONTROL!$C$42, 53.8138, 53.8138)* CHOOSE(CONTROL!$C$21, $C$9, 100%, $E$9)</f>
        <v>53.813800000000001</v>
      </c>
      <c r="J766" s="14">
        <f>CHOOSE(CONTROL!$C$42, 53.6212, 53.6212)* CHOOSE(CONTROL!$C$21, $C$9, 100%, $E$9)</f>
        <v>53.621200000000002</v>
      </c>
      <c r="K766" s="53">
        <f>CHOOSE(CONTROL!$C$42, 53.8099, 53.8099) * CHOOSE(CONTROL!$C$21, $C$9, 100%, $E$9)</f>
        <v>53.809899999999999</v>
      </c>
      <c r="L766" s="14">
        <f>CHOOSE(CONTROL!$C$42, 54.4787, 54.4787) * CHOOSE(CONTROL!$C$21, $C$9, 100%, $E$9)</f>
        <v>54.478700000000003</v>
      </c>
      <c r="M766" s="14">
        <f>CHOOSE(CONTROL!$C$42, 52.5302, 52.5302) * CHOOSE(CONTROL!$C$21, $C$9, 100%, $E$9)</f>
        <v>52.530200000000001</v>
      </c>
      <c r="N766" s="14">
        <f>CHOOSE(CONTROL!$C$42, 52.5462, 52.5462) * CHOOSE(CONTROL!$C$21, $C$9, 100%, $E$9)</f>
        <v>52.546199999999999</v>
      </c>
      <c r="O766" s="14">
        <f>CHOOSE(CONTROL!$C$42, 52.7952, 52.7952) * CHOOSE(CONTROL!$C$21, $C$9, 100%, $E$9)</f>
        <v>52.795200000000001</v>
      </c>
      <c r="P766" s="14">
        <f>CHOOSE(CONTROL!$C$42, 52.7156, 52.7156) * CHOOSE(CONTROL!$C$21, $C$9, 100%, $E$9)</f>
        <v>52.715600000000002</v>
      </c>
      <c r="Q766" s="14">
        <f>CHOOSE(CONTROL!$C$42, 53.3899, 53.3899) * CHOOSE(CONTROL!$C$21, $C$9, 100%, $E$9)</f>
        <v>53.389899999999997</v>
      </c>
      <c r="R766" s="14">
        <f>CHOOSE(CONTROL!$C$42, 54.1103, 54.1103) * CHOOSE(CONTROL!$C$21, $C$9, 100%, $E$9)</f>
        <v>54.110300000000002</v>
      </c>
      <c r="S766" s="14">
        <f>CHOOSE(CONTROL!$C$42, 51.5224, 51.5224) * CHOOSE(CONTROL!$C$21, $C$9, 100%, $E$9)</f>
        <v>51.522399999999998</v>
      </c>
      <c r="T7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7">
        <f>(1000*CHOOSE(CONTROL!$C$42, 695, 695)*CHOOSE(CONTROL!$C$42, 0.5599, 0.5599)*CHOOSE(CONTROL!$C$42, 31, 31))/1000000</f>
        <v>12.063045499999998</v>
      </c>
      <c r="V766" s="57">
        <f>(1000*CHOOSE(CONTROL!$C$42, 500, 500)*CHOOSE(CONTROL!$C$42, 0.275, 0.275)*CHOOSE(CONTROL!$C$42, 31, 31))/1000000</f>
        <v>4.2625000000000002</v>
      </c>
      <c r="W766" s="57">
        <f>(1000*CHOOSE(CONTROL!$C$42, 0.1146, 0.1146)*CHOOSE(CONTROL!$C$42, 121.5, 121.5)*CHOOSE(CONTROL!$C$42, 31, 31))/1000000</f>
        <v>0.43164089999999994</v>
      </c>
      <c r="X766" s="57">
        <f>(31*0.1790888*245000/1000000)+(31*0.2374*100000/1000000)</f>
        <v>2.0961194359999999</v>
      </c>
      <c r="Y766" s="57"/>
      <c r="Z766" s="14"/>
      <c r="AA766" s="56"/>
      <c r="AB766" s="50">
        <f>(B766*131.881+C766*277.167+D766*79.08+E766*125.872+F766*40+G766*185+H766*0+I766*100+J766*300)/(131.881+277.167+79.08+125.872+0+40+185+100+300)</f>
        <v>53.688405934705401</v>
      </c>
      <c r="AC766" s="45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52.677905035971222</v>
      </c>
    </row>
    <row r="767" spans="1:29" ht="15.75" x14ac:dyDescent="0.25">
      <c r="A767" s="32">
        <v>64253</v>
      </c>
      <c r="B767" s="14">
        <f>CHOOSE(CONTROL!$C$42, 55.0403, 55.0403) * CHOOSE(CONTROL!$C$21, $C$9, 100%, $E$9)</f>
        <v>55.040300000000002</v>
      </c>
      <c r="C767" s="14">
        <f>CHOOSE(CONTROL!$C$42, 55.0454, 55.0454) * CHOOSE(CONTROL!$C$21, $C$9, 100%, $E$9)</f>
        <v>55.045400000000001</v>
      </c>
      <c r="D767" s="14">
        <f>CHOOSE(CONTROL!$C$42, 55.1196, 55.1196) * CHOOSE(CONTROL!$C$21, $C$9, 100%, $E$9)</f>
        <v>55.119599999999998</v>
      </c>
      <c r="E767" s="14">
        <f>CHOOSE(CONTROL!$C$42, 55.1537, 55.1537) * CHOOSE(CONTROL!$C$21, $C$9, 100%, $E$9)</f>
        <v>55.153700000000001</v>
      </c>
      <c r="F767" s="14">
        <f>CHOOSE(CONTROL!$C$42, 55.0524, 55.0524)*CHOOSE(CONTROL!$C$21, $C$9, 100%, $E$9)</f>
        <v>55.052399999999999</v>
      </c>
      <c r="G767" s="14">
        <f>CHOOSE(CONTROL!$C$42, 55.069, 55.069)*CHOOSE(CONTROL!$C$21, $C$9, 100%, $E$9)</f>
        <v>55.069000000000003</v>
      </c>
      <c r="H767" s="14">
        <f>CHOOSE(CONTROL!$C$42, 55.1429, 55.1429) * CHOOSE(CONTROL!$C$21, $C$9, 100%, $E$9)</f>
        <v>55.142899999999997</v>
      </c>
      <c r="I767" s="14">
        <f>CHOOSE(CONTROL!$C$42, 55.237, 55.237)* CHOOSE(CONTROL!$C$21, $C$9, 100%, $E$9)</f>
        <v>55.237000000000002</v>
      </c>
      <c r="J767" s="14">
        <f>CHOOSE(CONTROL!$C$42, 55.0454, 55.0454)* CHOOSE(CONTROL!$C$21, $C$9, 100%, $E$9)</f>
        <v>55.045400000000001</v>
      </c>
      <c r="K767" s="53">
        <f>CHOOSE(CONTROL!$C$42, 55.2331, 55.2331) * CHOOSE(CONTROL!$C$21, $C$9, 100%, $E$9)</f>
        <v>55.2331</v>
      </c>
      <c r="L767" s="14">
        <f>CHOOSE(CONTROL!$C$42, 55.7299, 55.7299) * CHOOSE(CONTROL!$C$21, $C$9, 100%, $E$9)</f>
        <v>55.729900000000001</v>
      </c>
      <c r="M767" s="14">
        <f>CHOOSE(CONTROL!$C$42, 53.9252, 53.9252) * CHOOSE(CONTROL!$C$21, $C$9, 100%, $E$9)</f>
        <v>53.925199999999997</v>
      </c>
      <c r="N767" s="14">
        <f>CHOOSE(CONTROL!$C$42, 53.9415, 53.9415) * CHOOSE(CONTROL!$C$21, $C$9, 100%, $E$9)</f>
        <v>53.941499999999998</v>
      </c>
      <c r="O767" s="14">
        <f>CHOOSE(CONTROL!$C$42, 54.0208, 54.0208) * CHOOSE(CONTROL!$C$21, $C$9, 100%, $E$9)</f>
        <v>54.020800000000001</v>
      </c>
      <c r="P767" s="14">
        <f>CHOOSE(CONTROL!$C$42, 54.1096, 54.1096) * CHOOSE(CONTROL!$C$21, $C$9, 100%, $E$9)</f>
        <v>54.1096</v>
      </c>
      <c r="Q767" s="14">
        <f>CHOOSE(CONTROL!$C$42, 54.6155, 54.6155) * CHOOSE(CONTROL!$C$21, $C$9, 100%, $E$9)</f>
        <v>54.615499999999997</v>
      </c>
      <c r="R767" s="14">
        <f>CHOOSE(CONTROL!$C$42, 55.339, 55.339) * CHOOSE(CONTROL!$C$21, $C$9, 100%, $E$9)</f>
        <v>55.338999999999999</v>
      </c>
      <c r="S767" s="14">
        <f>CHOOSE(CONTROL!$C$42, 52.8797, 52.8797) * CHOOSE(CONTROL!$C$21, $C$9, 100%, $E$9)</f>
        <v>52.8797</v>
      </c>
      <c r="T7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7">
        <f>(1000*CHOOSE(CONTROL!$C$42, 695, 695)*CHOOSE(CONTROL!$C$42, 0.5599, 0.5599)*CHOOSE(CONTROL!$C$42, 30, 30))/1000000</f>
        <v>11.673914999999997</v>
      </c>
      <c r="V767" s="57">
        <f>(1000*CHOOSE(CONTROL!$C$42, 500, 500)*CHOOSE(CONTROL!$C$42, 0.275, 0.275)*CHOOSE(CONTROL!$C$42, 30, 30))/1000000</f>
        <v>4.125</v>
      </c>
      <c r="W767" s="57">
        <f>(1000*CHOOSE(CONTROL!$C$42, 0.1146, 0.1146)*CHOOSE(CONTROL!$C$42, 121.5, 121.5)*CHOOSE(CONTROL!$C$42, 30, 30))/1000000</f>
        <v>0.417717</v>
      </c>
      <c r="X767" s="57">
        <f>(30*0.1790888*100000/1000000)+(30*0.2374*100000/1000000)</f>
        <v>1.2494664</v>
      </c>
      <c r="Y767" s="57"/>
      <c r="Z767" s="14"/>
      <c r="AA767" s="56"/>
      <c r="AB767" s="50">
        <f>(B767*122.58+C767*297.941+D767*89.177+E767*40.302+F767*40+G767*160+H767*0+I767*100+J767*300)/(122.58+297.941+89.177+40.302+0+40+160+100+300)</f>
        <v>55.074593462608689</v>
      </c>
      <c r="AC767" s="45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53.996000000000002</v>
      </c>
    </row>
    <row r="768" spans="1:29" ht="15.75" x14ac:dyDescent="0.25">
      <c r="A768" s="32">
        <v>64284</v>
      </c>
      <c r="B768" s="14">
        <f>CHOOSE(CONTROL!$C$42, 58.7923, 58.7923) * CHOOSE(CONTROL!$C$21, $C$9, 100%, $E$9)</f>
        <v>58.792299999999997</v>
      </c>
      <c r="C768" s="14">
        <f>CHOOSE(CONTROL!$C$42, 58.7974, 58.7974) * CHOOSE(CONTROL!$C$21, $C$9, 100%, $E$9)</f>
        <v>58.797400000000003</v>
      </c>
      <c r="D768" s="14">
        <f>CHOOSE(CONTROL!$C$42, 58.8716, 58.8716) * CHOOSE(CONTROL!$C$21, $C$9, 100%, $E$9)</f>
        <v>58.871600000000001</v>
      </c>
      <c r="E768" s="14">
        <f>CHOOSE(CONTROL!$C$42, 58.9057, 58.9057) * CHOOSE(CONTROL!$C$21, $C$9, 100%, $E$9)</f>
        <v>58.905700000000003</v>
      </c>
      <c r="F768" s="14">
        <f>CHOOSE(CONTROL!$C$42, 58.8065, 58.8065)*CHOOSE(CONTROL!$C$21, $C$9, 100%, $E$9)</f>
        <v>58.8065</v>
      </c>
      <c r="G768" s="14">
        <f>CHOOSE(CONTROL!$C$42, 58.8237, 58.8237)*CHOOSE(CONTROL!$C$21, $C$9, 100%, $E$9)</f>
        <v>58.823700000000002</v>
      </c>
      <c r="H768" s="14">
        <f>CHOOSE(CONTROL!$C$42, 58.8949, 58.8949) * CHOOSE(CONTROL!$C$21, $C$9, 100%, $E$9)</f>
        <v>58.8949</v>
      </c>
      <c r="I768" s="14">
        <f>CHOOSE(CONTROL!$C$42, 59.0007, 59.0007)* CHOOSE(CONTROL!$C$21, $C$9, 100%, $E$9)</f>
        <v>59.000700000000002</v>
      </c>
      <c r="J768" s="14">
        <f>CHOOSE(CONTROL!$C$42, 58.7995, 58.7995)* CHOOSE(CONTROL!$C$21, $C$9, 100%, $E$9)</f>
        <v>58.799500000000002</v>
      </c>
      <c r="K768" s="53">
        <f>CHOOSE(CONTROL!$C$42, 58.9969, 58.9969) * CHOOSE(CONTROL!$C$21, $C$9, 100%, $E$9)</f>
        <v>58.996899999999997</v>
      </c>
      <c r="L768" s="14">
        <f>CHOOSE(CONTROL!$C$42, 59.4819, 59.4819) * CHOOSE(CONTROL!$C$21, $C$9, 100%, $E$9)</f>
        <v>59.481900000000003</v>
      </c>
      <c r="M768" s="14">
        <f>CHOOSE(CONTROL!$C$42, 57.6025, 57.6025) * CHOOSE(CONTROL!$C$21, $C$9, 100%, $E$9)</f>
        <v>57.602499999999999</v>
      </c>
      <c r="N768" s="14">
        <f>CHOOSE(CONTROL!$C$42, 57.6193, 57.6193) * CHOOSE(CONTROL!$C$21, $C$9, 100%, $E$9)</f>
        <v>57.619300000000003</v>
      </c>
      <c r="O768" s="14">
        <f>CHOOSE(CONTROL!$C$42, 57.6959, 57.6959) * CHOOSE(CONTROL!$C$21, $C$9, 100%, $E$9)</f>
        <v>57.695900000000002</v>
      </c>
      <c r="P768" s="14">
        <f>CHOOSE(CONTROL!$C$42, 57.7959, 57.7959) * CHOOSE(CONTROL!$C$21, $C$9, 100%, $E$9)</f>
        <v>57.795900000000003</v>
      </c>
      <c r="Q768" s="14">
        <f>CHOOSE(CONTROL!$C$42, 58.2906, 58.2906) * CHOOSE(CONTROL!$C$21, $C$9, 100%, $E$9)</f>
        <v>58.290599999999998</v>
      </c>
      <c r="R768" s="14">
        <f>CHOOSE(CONTROL!$C$42, 59.0233, 59.0233) * CHOOSE(CONTROL!$C$21, $C$9, 100%, $E$9)</f>
        <v>59.023299999999999</v>
      </c>
      <c r="S768" s="14">
        <f>CHOOSE(CONTROL!$C$42, 56.485, 56.485) * CHOOSE(CONTROL!$C$21, $C$9, 100%, $E$9)</f>
        <v>56.484999999999999</v>
      </c>
      <c r="T7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7">
        <f>(1000*CHOOSE(CONTROL!$C$42, 695, 695)*CHOOSE(CONTROL!$C$42, 0.5599, 0.5599)*CHOOSE(CONTROL!$C$42, 31, 31))/1000000</f>
        <v>12.063045499999998</v>
      </c>
      <c r="V768" s="57">
        <f>(1000*CHOOSE(CONTROL!$C$42, 500, 500)*CHOOSE(CONTROL!$C$42, 0.275, 0.275)*CHOOSE(CONTROL!$C$42, 31, 31))/1000000</f>
        <v>4.2625000000000002</v>
      </c>
      <c r="W768" s="57">
        <f>(1000*CHOOSE(CONTROL!$C$42, 0.1146, 0.1146)*CHOOSE(CONTROL!$C$42, 121.5, 121.5)*CHOOSE(CONTROL!$C$42, 31, 31))/1000000</f>
        <v>0.43164089999999994</v>
      </c>
      <c r="X768" s="57">
        <f>(31*0.1790888*100000/1000000)+(31*0.2374*100000/1000000)</f>
        <v>1.2911152800000001</v>
      </c>
      <c r="Y768" s="57"/>
      <c r="Z768" s="14"/>
      <c r="AA768" s="56"/>
      <c r="AB768" s="50">
        <f>(B768*122.58+C768*297.941+D768*89.177+E768*40.302+F768*40+G768*160+H768*0+I768*100+J768*300)/(122.58+297.941+89.177+40.302+0+40+160+100+300)</f>
        <v>58.828607375652176</v>
      </c>
      <c r="AC768" s="45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57.673626618705029</v>
      </c>
    </row>
    <row r="769" spans="1:29" ht="15.75" x14ac:dyDescent="0.25">
      <c r="A769" s="32">
        <v>64315</v>
      </c>
      <c r="B769" s="14">
        <f>CHOOSE(CONTROL!$C$42, 63.6654, 63.6654) * CHOOSE(CONTROL!$C$21, $C$9, 100%, $E$9)</f>
        <v>63.665399999999998</v>
      </c>
      <c r="C769" s="14">
        <f>CHOOSE(CONTROL!$C$42, 63.6705, 63.6705) * CHOOSE(CONTROL!$C$21, $C$9, 100%, $E$9)</f>
        <v>63.670499999999997</v>
      </c>
      <c r="D769" s="14">
        <f>CHOOSE(CONTROL!$C$42, 63.7473, 63.7473) * CHOOSE(CONTROL!$C$21, $C$9, 100%, $E$9)</f>
        <v>63.747300000000003</v>
      </c>
      <c r="E769" s="14">
        <f>CHOOSE(CONTROL!$C$42, 63.7814, 63.7814) * CHOOSE(CONTROL!$C$21, $C$9, 100%, $E$9)</f>
        <v>63.781399999999998</v>
      </c>
      <c r="F769" s="14">
        <f>CHOOSE(CONTROL!$C$42, 63.6656, 63.6656)*CHOOSE(CONTROL!$C$21, $C$9, 100%, $E$9)</f>
        <v>63.665599999999998</v>
      </c>
      <c r="G769" s="14">
        <f>CHOOSE(CONTROL!$C$42, 63.6818, 63.6818)*CHOOSE(CONTROL!$C$21, $C$9, 100%, $E$9)</f>
        <v>63.681800000000003</v>
      </c>
      <c r="H769" s="14">
        <f>CHOOSE(CONTROL!$C$42, 63.7706, 63.7706) * CHOOSE(CONTROL!$C$21, $C$9, 100%, $E$9)</f>
        <v>63.770600000000002</v>
      </c>
      <c r="I769" s="14">
        <f>CHOOSE(CONTROL!$C$42, 63.8829, 63.8829)* CHOOSE(CONTROL!$C$21, $C$9, 100%, $E$9)</f>
        <v>63.882899999999999</v>
      </c>
      <c r="J769" s="14">
        <f>CHOOSE(CONTROL!$C$42, 63.6586, 63.6586)* CHOOSE(CONTROL!$C$21, $C$9, 100%, $E$9)</f>
        <v>63.6586</v>
      </c>
      <c r="K769" s="53">
        <f>CHOOSE(CONTROL!$C$42, 63.879, 63.879) * CHOOSE(CONTROL!$C$21, $C$9, 100%, $E$9)</f>
        <v>63.878999999999998</v>
      </c>
      <c r="L769" s="14">
        <f>CHOOSE(CONTROL!$C$42, 64.3576, 64.3576) * CHOOSE(CONTROL!$C$21, $C$9, 100%, $E$9)</f>
        <v>64.357600000000005</v>
      </c>
      <c r="M769" s="14">
        <f>CHOOSE(CONTROL!$C$42, 62.362, 62.362) * CHOOSE(CONTROL!$C$21, $C$9, 100%, $E$9)</f>
        <v>62.362000000000002</v>
      </c>
      <c r="N769" s="14">
        <f>CHOOSE(CONTROL!$C$42, 62.3779, 62.3779) * CHOOSE(CONTROL!$C$21, $C$9, 100%, $E$9)</f>
        <v>62.377899999999997</v>
      </c>
      <c r="O769" s="14">
        <f>CHOOSE(CONTROL!$C$42, 62.4717, 62.4717) * CHOOSE(CONTROL!$C$21, $C$9, 100%, $E$9)</f>
        <v>62.471699999999998</v>
      </c>
      <c r="P769" s="14">
        <f>CHOOSE(CONTROL!$C$42, 62.5777, 62.5777) * CHOOSE(CONTROL!$C$21, $C$9, 100%, $E$9)</f>
        <v>62.5777</v>
      </c>
      <c r="Q769" s="14">
        <f>CHOOSE(CONTROL!$C$42, 63.0664, 63.0664) * CHOOSE(CONTROL!$C$21, $C$9, 100%, $E$9)</f>
        <v>63.066400000000002</v>
      </c>
      <c r="R769" s="14">
        <f>CHOOSE(CONTROL!$C$42, 63.811, 63.811) * CHOOSE(CONTROL!$C$21, $C$9, 100%, $E$9)</f>
        <v>63.811</v>
      </c>
      <c r="S769" s="14">
        <f>CHOOSE(CONTROL!$C$42, 61.1676, 61.1676) * CHOOSE(CONTROL!$C$21, $C$9, 100%, $E$9)</f>
        <v>61.1676</v>
      </c>
      <c r="T7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7">
        <f>(1000*CHOOSE(CONTROL!$C$42, 695, 695)*CHOOSE(CONTROL!$C$42, 0.5599, 0.5599)*CHOOSE(CONTROL!$C$42, 31, 31))/1000000</f>
        <v>12.063045499999998</v>
      </c>
      <c r="V769" s="57">
        <f>(1000*CHOOSE(CONTROL!$C$42, 500, 500)*CHOOSE(CONTROL!$C$42, 0.275, 0.275)*CHOOSE(CONTROL!$C$42, 31, 31))/1000000</f>
        <v>4.2625000000000002</v>
      </c>
      <c r="W769" s="57">
        <f>(1000*CHOOSE(CONTROL!$C$42, 0.1146, 0.1146)*CHOOSE(CONTROL!$C$42, 121.5, 121.5)*CHOOSE(CONTROL!$C$42, 31, 31))/1000000</f>
        <v>0.43164089999999994</v>
      </c>
      <c r="X769" s="57">
        <f>(31*0.1790888*100000/1000000)+(31*0.2374*100000/1000000)</f>
        <v>1.2911152800000001</v>
      </c>
      <c r="Y769" s="57"/>
      <c r="Z769" s="14"/>
      <c r="AA769" s="56"/>
      <c r="AB769" s="50">
        <f>(B769*122.58+C769*297.941+D769*89.177+E769*40.302+F769*40+G769*160+H769*0+I769*100+J769*300)/(122.58+297.941+89.177+40.302+0+40+160+100+300)</f>
        <v>63.696565328173911</v>
      </c>
      <c r="AC769" s="45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62.443671223021589</v>
      </c>
    </row>
    <row r="770" spans="1:29" ht="15.75" x14ac:dyDescent="0.25">
      <c r="A770" s="32">
        <v>64344</v>
      </c>
      <c r="B770" s="14">
        <f>CHOOSE(CONTROL!$C$42, 64.7986, 64.7986) * CHOOSE(CONTROL!$C$21, $C$9, 100%, $E$9)</f>
        <v>64.798599999999993</v>
      </c>
      <c r="C770" s="14">
        <f>CHOOSE(CONTROL!$C$42, 64.8036, 64.8036) * CHOOSE(CONTROL!$C$21, $C$9, 100%, $E$9)</f>
        <v>64.803600000000003</v>
      </c>
      <c r="D770" s="14">
        <f>CHOOSE(CONTROL!$C$42, 64.8805, 64.8805) * CHOOSE(CONTROL!$C$21, $C$9, 100%, $E$9)</f>
        <v>64.880499999999998</v>
      </c>
      <c r="E770" s="14">
        <f>CHOOSE(CONTROL!$C$42, 64.9146, 64.9146) * CHOOSE(CONTROL!$C$21, $C$9, 100%, $E$9)</f>
        <v>64.914599999999993</v>
      </c>
      <c r="F770" s="14">
        <f>CHOOSE(CONTROL!$C$42, 64.7988, 64.7988)*CHOOSE(CONTROL!$C$21, $C$9, 100%, $E$9)</f>
        <v>64.7988</v>
      </c>
      <c r="G770" s="14">
        <f>CHOOSE(CONTROL!$C$42, 64.8151, 64.8151)*CHOOSE(CONTROL!$C$21, $C$9, 100%, $E$9)</f>
        <v>64.815100000000001</v>
      </c>
      <c r="H770" s="14">
        <f>CHOOSE(CONTROL!$C$42, 64.9038, 64.9038) * CHOOSE(CONTROL!$C$21, $C$9, 100%, $E$9)</f>
        <v>64.903800000000004</v>
      </c>
      <c r="I770" s="14">
        <f>CHOOSE(CONTROL!$C$42, 65.0196, 65.0196)* CHOOSE(CONTROL!$C$21, $C$9, 100%, $E$9)</f>
        <v>65.019599999999997</v>
      </c>
      <c r="J770" s="14">
        <f>CHOOSE(CONTROL!$C$42, 64.7918, 64.7918)* CHOOSE(CONTROL!$C$21, $C$9, 100%, $E$9)</f>
        <v>64.791799999999995</v>
      </c>
      <c r="K770" s="53">
        <f>CHOOSE(CONTROL!$C$42, 65.0157, 65.0157) * CHOOSE(CONTROL!$C$21, $C$9, 100%, $E$9)</f>
        <v>65.015699999999995</v>
      </c>
      <c r="L770" s="14">
        <f>CHOOSE(CONTROL!$C$42, 65.4908, 65.4908) * CHOOSE(CONTROL!$C$21, $C$9, 100%, $E$9)</f>
        <v>65.490799999999993</v>
      </c>
      <c r="M770" s="14">
        <f>CHOOSE(CONTROL!$C$42, 63.472, 63.472) * CHOOSE(CONTROL!$C$21, $C$9, 100%, $E$9)</f>
        <v>63.472000000000001</v>
      </c>
      <c r="N770" s="14">
        <f>CHOOSE(CONTROL!$C$42, 63.4879, 63.4879) * CHOOSE(CONTROL!$C$21, $C$9, 100%, $E$9)</f>
        <v>63.487900000000003</v>
      </c>
      <c r="O770" s="14">
        <f>CHOOSE(CONTROL!$C$42, 63.5816, 63.5816) * CHOOSE(CONTROL!$C$21, $C$9, 100%, $E$9)</f>
        <v>63.581600000000002</v>
      </c>
      <c r="P770" s="14">
        <f>CHOOSE(CONTROL!$C$42, 63.6911, 63.6911) * CHOOSE(CONTROL!$C$21, $C$9, 100%, $E$9)</f>
        <v>63.691099999999999</v>
      </c>
      <c r="Q770" s="14">
        <f>CHOOSE(CONTROL!$C$42, 64.1763, 64.1763) * CHOOSE(CONTROL!$C$21, $C$9, 100%, $E$9)</f>
        <v>64.176299999999998</v>
      </c>
      <c r="R770" s="14">
        <f>CHOOSE(CONTROL!$C$42, 64.9238, 64.9238) * CHOOSE(CONTROL!$C$21, $C$9, 100%, $E$9)</f>
        <v>64.9238</v>
      </c>
      <c r="S770" s="14">
        <f>CHOOSE(CONTROL!$C$42, 62.2564, 62.2564) * CHOOSE(CONTROL!$C$21, $C$9, 100%, $E$9)</f>
        <v>62.256399999999999</v>
      </c>
      <c r="T77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7">
        <f>(1000*CHOOSE(CONTROL!$C$42, 695, 695)*CHOOSE(CONTROL!$C$42, 0.5599, 0.5599)*CHOOSE(CONTROL!$C$42, 29, 29))/1000000</f>
        <v>11.284784499999999</v>
      </c>
      <c r="V770" s="57">
        <f>(1000*CHOOSE(CONTROL!$C$42, 500, 500)*CHOOSE(CONTROL!$C$42, 0.275, 0.275)*CHOOSE(CONTROL!$C$42, 29, 29))/1000000</f>
        <v>3.9874999999999998</v>
      </c>
      <c r="W770" s="57">
        <f>(1000*CHOOSE(CONTROL!$C$42, 0.1146, 0.1146)*CHOOSE(CONTROL!$C$42, 121.5, 121.5)*CHOOSE(CONTROL!$C$42, 29, 29))/1000000</f>
        <v>0.40379309999999996</v>
      </c>
      <c r="X770" s="57">
        <f>(29*0.1790888*100000/1000000)+(29*0.2374*100000/1000000)</f>
        <v>1.2078175199999999</v>
      </c>
      <c r="Y770" s="57"/>
      <c r="Z770" s="14"/>
      <c r="AA770" s="56"/>
      <c r="AB770" s="50">
        <f>(B770*122.58+C770*297.941+D770*89.177+E770*40.302+F770*40+G770*160+H770*0+I770*100+J770*300)/(122.58+297.941+89.177+40.302+0+40+160+100+300)</f>
        <v>64.830057681130427</v>
      </c>
      <c r="AC770" s="45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63.554115107913667</v>
      </c>
    </row>
    <row r="771" spans="1:29" ht="15.75" x14ac:dyDescent="0.25">
      <c r="A771" s="32">
        <v>64375</v>
      </c>
      <c r="B771" s="14">
        <f>CHOOSE(CONTROL!$C$42, 62.9592, 62.9592) * CHOOSE(CONTROL!$C$21, $C$9, 100%, $E$9)</f>
        <v>62.959200000000003</v>
      </c>
      <c r="C771" s="14">
        <f>CHOOSE(CONTROL!$C$42, 62.9642, 62.9642) * CHOOSE(CONTROL!$C$21, $C$9, 100%, $E$9)</f>
        <v>62.964199999999998</v>
      </c>
      <c r="D771" s="14">
        <f>CHOOSE(CONTROL!$C$42, 63.0411, 63.0411) * CHOOSE(CONTROL!$C$21, $C$9, 100%, $E$9)</f>
        <v>63.0411</v>
      </c>
      <c r="E771" s="14">
        <f>CHOOSE(CONTROL!$C$42, 63.0752, 63.0752) * CHOOSE(CONTROL!$C$21, $C$9, 100%, $E$9)</f>
        <v>63.075200000000002</v>
      </c>
      <c r="F771" s="14">
        <f>CHOOSE(CONTROL!$C$42, 62.959, 62.959)*CHOOSE(CONTROL!$C$21, $C$9, 100%, $E$9)</f>
        <v>62.959000000000003</v>
      </c>
      <c r="G771" s="14">
        <f>CHOOSE(CONTROL!$C$42, 62.9751, 62.9751)*CHOOSE(CONTROL!$C$21, $C$9, 100%, $E$9)</f>
        <v>62.975099999999998</v>
      </c>
      <c r="H771" s="14">
        <f>CHOOSE(CONTROL!$C$42, 63.0644, 63.0644) * CHOOSE(CONTROL!$C$21, $C$9, 100%, $E$9)</f>
        <v>63.064399999999999</v>
      </c>
      <c r="I771" s="14">
        <f>CHOOSE(CONTROL!$C$42, 63.1744, 63.1744)* CHOOSE(CONTROL!$C$21, $C$9, 100%, $E$9)</f>
        <v>63.174399999999999</v>
      </c>
      <c r="J771" s="14">
        <f>CHOOSE(CONTROL!$C$42, 62.952, 62.952)* CHOOSE(CONTROL!$C$21, $C$9, 100%, $E$9)</f>
        <v>62.951999999999998</v>
      </c>
      <c r="K771" s="53">
        <f>CHOOSE(CONTROL!$C$42, 63.1705, 63.1705) * CHOOSE(CONTROL!$C$21, $C$9, 100%, $E$9)</f>
        <v>63.170499999999997</v>
      </c>
      <c r="L771" s="14">
        <f>CHOOSE(CONTROL!$C$42, 63.6514, 63.6514) * CHOOSE(CONTROL!$C$21, $C$9, 100%, $E$9)</f>
        <v>63.651400000000002</v>
      </c>
      <c r="M771" s="14">
        <f>CHOOSE(CONTROL!$C$42, 61.6698, 61.6698) * CHOOSE(CONTROL!$C$21, $C$9, 100%, $E$9)</f>
        <v>61.669800000000002</v>
      </c>
      <c r="N771" s="14">
        <f>CHOOSE(CONTROL!$C$42, 61.6856, 61.6856) * CHOOSE(CONTROL!$C$21, $C$9, 100%, $E$9)</f>
        <v>61.685600000000001</v>
      </c>
      <c r="O771" s="14">
        <f>CHOOSE(CONTROL!$C$42, 61.7799, 61.7799) * CHOOSE(CONTROL!$C$21, $C$9, 100%, $E$9)</f>
        <v>61.779899999999998</v>
      </c>
      <c r="P771" s="14">
        <f>CHOOSE(CONTROL!$C$42, 61.8838, 61.8838) * CHOOSE(CONTROL!$C$21, $C$9, 100%, $E$9)</f>
        <v>61.883800000000001</v>
      </c>
      <c r="Q771" s="14">
        <f>CHOOSE(CONTROL!$C$42, 62.3746, 62.3746) * CHOOSE(CONTROL!$C$21, $C$9, 100%, $E$9)</f>
        <v>62.374600000000001</v>
      </c>
      <c r="R771" s="14">
        <f>CHOOSE(CONTROL!$C$42, 63.1175, 63.1175) * CHOOSE(CONTROL!$C$21, $C$9, 100%, $E$9)</f>
        <v>63.1175</v>
      </c>
      <c r="S771" s="14">
        <f>CHOOSE(CONTROL!$C$42, 60.4889, 60.4889) * CHOOSE(CONTROL!$C$21, $C$9, 100%, $E$9)</f>
        <v>60.488900000000001</v>
      </c>
      <c r="T7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7">
        <f>(1000*CHOOSE(CONTROL!$C$42, 695, 695)*CHOOSE(CONTROL!$C$42, 0.5599, 0.5599)*CHOOSE(CONTROL!$C$42, 31, 31))/1000000</f>
        <v>12.063045499999998</v>
      </c>
      <c r="V771" s="57">
        <f>(1000*CHOOSE(CONTROL!$C$42, 500, 500)*CHOOSE(CONTROL!$C$42, 0.275, 0.275)*CHOOSE(CONTROL!$C$42, 31, 31))/1000000</f>
        <v>4.2625000000000002</v>
      </c>
      <c r="W771" s="57">
        <f>(1000*CHOOSE(CONTROL!$C$42, 0.1146, 0.1146)*CHOOSE(CONTROL!$C$42, 121.5, 121.5)*CHOOSE(CONTROL!$C$42, 31, 31))/1000000</f>
        <v>0.43164089999999994</v>
      </c>
      <c r="X771" s="57">
        <f>(31*0.1790888*100000/1000000)+(31*0.2374*100000/1000000)</f>
        <v>1.2911152800000001</v>
      </c>
      <c r="Y771" s="57"/>
      <c r="Z771" s="14"/>
      <c r="AA771" s="56"/>
      <c r="AB771" s="50">
        <f>(B771*122.58+C771*297.941+D771*89.177+E771*40.302+F771*40+G771*160+H771*0+I771*100+J771*300)/(122.58+297.941+89.177+40.302+0+40+160+100+300)</f>
        <v>62.98995159417391</v>
      </c>
      <c r="AC771" s="45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61.751402158273379</v>
      </c>
    </row>
    <row r="772" spans="1:29" ht="15.75" x14ac:dyDescent="0.25">
      <c r="A772" s="32">
        <v>64405</v>
      </c>
      <c r="B772" s="14">
        <f>CHOOSE(CONTROL!$C$42, 62.7719, 62.7719) * CHOOSE(CONTROL!$C$21, $C$9, 100%, $E$9)</f>
        <v>62.771900000000002</v>
      </c>
      <c r="C772" s="14">
        <f>CHOOSE(CONTROL!$C$42, 62.7764, 62.7764) * CHOOSE(CONTROL!$C$21, $C$9, 100%, $E$9)</f>
        <v>62.776400000000002</v>
      </c>
      <c r="D772" s="14">
        <f>CHOOSE(CONTROL!$C$42, 63.0132, 63.0132) * CHOOSE(CONTROL!$C$21, $C$9, 100%, $E$9)</f>
        <v>63.013199999999998</v>
      </c>
      <c r="E772" s="14">
        <f>CHOOSE(CONTROL!$C$42, 63.0453, 63.0453) * CHOOSE(CONTROL!$C$21, $C$9, 100%, $E$9)</f>
        <v>63.045299999999997</v>
      </c>
      <c r="F772" s="14">
        <f>CHOOSE(CONTROL!$C$42, 62.7699, 62.7699)*CHOOSE(CONTROL!$C$21, $C$9, 100%, $E$9)</f>
        <v>62.7699</v>
      </c>
      <c r="G772" s="14">
        <f>CHOOSE(CONTROL!$C$42, 62.7857, 62.7857)*CHOOSE(CONTROL!$C$21, $C$9, 100%, $E$9)</f>
        <v>62.785699999999999</v>
      </c>
      <c r="H772" s="14">
        <f>CHOOSE(CONTROL!$C$42, 63.035, 63.035) * CHOOSE(CONTROL!$C$21, $C$9, 100%, $E$9)</f>
        <v>63.034999999999997</v>
      </c>
      <c r="I772" s="14">
        <f>CHOOSE(CONTROL!$C$42, 62.9858, 62.9858)* CHOOSE(CONTROL!$C$21, $C$9, 100%, $E$9)</f>
        <v>62.985799999999998</v>
      </c>
      <c r="J772" s="14">
        <f>CHOOSE(CONTROL!$C$42, 62.7629, 62.7629)* CHOOSE(CONTROL!$C$21, $C$9, 100%, $E$9)</f>
        <v>62.762900000000002</v>
      </c>
      <c r="K772" s="53">
        <f>CHOOSE(CONTROL!$C$42, 62.9819, 62.9819) * CHOOSE(CONTROL!$C$21, $C$9, 100%, $E$9)</f>
        <v>62.981900000000003</v>
      </c>
      <c r="L772" s="14">
        <f>CHOOSE(CONTROL!$C$42, 63.622, 63.622) * CHOOSE(CONTROL!$C$21, $C$9, 100%, $E$9)</f>
        <v>63.622</v>
      </c>
      <c r="M772" s="14">
        <f>CHOOSE(CONTROL!$C$42, 61.4846, 61.4846) * CHOOSE(CONTROL!$C$21, $C$9, 100%, $E$9)</f>
        <v>61.4846</v>
      </c>
      <c r="N772" s="14">
        <f>CHOOSE(CONTROL!$C$42, 61.5001, 61.5001) * CHOOSE(CONTROL!$C$21, $C$9, 100%, $E$9)</f>
        <v>61.500100000000003</v>
      </c>
      <c r="O772" s="14">
        <f>CHOOSE(CONTROL!$C$42, 61.7512, 61.7512) * CHOOSE(CONTROL!$C$21, $C$9, 100%, $E$9)</f>
        <v>61.751199999999997</v>
      </c>
      <c r="P772" s="14">
        <f>CHOOSE(CONTROL!$C$42, 61.6991, 61.6991) * CHOOSE(CONTROL!$C$21, $C$9, 100%, $E$9)</f>
        <v>61.699100000000001</v>
      </c>
      <c r="Q772" s="14">
        <f>CHOOSE(CONTROL!$C$42, 62.3459, 62.3459) * CHOOSE(CONTROL!$C$21, $C$9, 100%, $E$9)</f>
        <v>62.3459</v>
      </c>
      <c r="R772" s="14">
        <f>CHOOSE(CONTROL!$C$42, 63.0888, 63.0888) * CHOOSE(CONTROL!$C$21, $C$9, 100%, $E$9)</f>
        <v>63.088799999999999</v>
      </c>
      <c r="S772" s="14">
        <f>CHOOSE(CONTROL!$C$42, 60.3083, 60.3083) * CHOOSE(CONTROL!$C$21, $C$9, 100%, $E$9)</f>
        <v>60.308300000000003</v>
      </c>
      <c r="T7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7">
        <f>(1000*CHOOSE(CONTROL!$C$42, 695, 695)*CHOOSE(CONTROL!$C$42, 0.5599, 0.5599)*CHOOSE(CONTROL!$C$42, 30, 30))/1000000</f>
        <v>11.673914999999997</v>
      </c>
      <c r="V772" s="57">
        <f>(1000*CHOOSE(CONTROL!$C$42, 500, 500)*CHOOSE(CONTROL!$C$42, 0.275, 0.275)*CHOOSE(CONTROL!$C$42, 30, 30))/1000000</f>
        <v>4.125</v>
      </c>
      <c r="W772" s="57">
        <f>(1000*CHOOSE(CONTROL!$C$42, 0.1146, 0.1146)*CHOOSE(CONTROL!$C$42, 121.5, 121.5)*CHOOSE(CONTROL!$C$42, 30, 30))/1000000</f>
        <v>0.417717</v>
      </c>
      <c r="X772" s="57">
        <f>(30*0.1790888*245000/1000000)+(30*0.2374*100000/1000000)</f>
        <v>2.0285026799999999</v>
      </c>
      <c r="Y772" s="57"/>
      <c r="Z772" s="14"/>
      <c r="AA772" s="56"/>
      <c r="AB772" s="50">
        <f>(B772*141.293+C772*267.993+D772*115.016+E772*89.698+F772*40+G772*185+H772*0+I772*100+J772*300)/(141.293+267.993+115.016+89.698+0+40+185+100+300)</f>
        <v>62.832146781678773</v>
      </c>
      <c r="AC772" s="45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61.63718848920864</v>
      </c>
    </row>
    <row r="773" spans="1:29" ht="15.75" x14ac:dyDescent="0.25">
      <c r="A773" s="32">
        <v>64436</v>
      </c>
      <c r="B773" s="14">
        <f>CHOOSE(CONTROL!$C$42, 63.3273, 63.3273) * CHOOSE(CONTROL!$C$21, $C$9, 100%, $E$9)</f>
        <v>63.327300000000001</v>
      </c>
      <c r="C773" s="14">
        <f>CHOOSE(CONTROL!$C$42, 63.3353, 63.3353) * CHOOSE(CONTROL!$C$21, $C$9, 100%, $E$9)</f>
        <v>63.335299999999997</v>
      </c>
      <c r="D773" s="14">
        <f>CHOOSE(CONTROL!$C$42, 63.5689, 63.5689) * CHOOSE(CONTROL!$C$21, $C$9, 100%, $E$9)</f>
        <v>63.568899999999999</v>
      </c>
      <c r="E773" s="14">
        <f>CHOOSE(CONTROL!$C$42, 63.6003, 63.6003) * CHOOSE(CONTROL!$C$21, $C$9, 100%, $E$9)</f>
        <v>63.600299999999997</v>
      </c>
      <c r="F773" s="14">
        <f>CHOOSE(CONTROL!$C$42, 63.324, 63.324)*CHOOSE(CONTROL!$C$21, $C$9, 100%, $E$9)</f>
        <v>63.323999999999998</v>
      </c>
      <c r="G773" s="14">
        <f>CHOOSE(CONTROL!$C$42, 63.3404, 63.3404)*CHOOSE(CONTROL!$C$21, $C$9, 100%, $E$9)</f>
        <v>63.340400000000002</v>
      </c>
      <c r="H773" s="14">
        <f>CHOOSE(CONTROL!$C$42, 63.589, 63.589) * CHOOSE(CONTROL!$C$21, $C$9, 100%, $E$9)</f>
        <v>63.588999999999999</v>
      </c>
      <c r="I773" s="14">
        <f>CHOOSE(CONTROL!$C$42, 63.5415, 63.5415)* CHOOSE(CONTROL!$C$21, $C$9, 100%, $E$9)</f>
        <v>63.541499999999999</v>
      </c>
      <c r="J773" s="14">
        <f>CHOOSE(CONTROL!$C$42, 63.317, 63.317)* CHOOSE(CONTROL!$C$21, $C$9, 100%, $E$9)</f>
        <v>63.317</v>
      </c>
      <c r="K773" s="53">
        <f>CHOOSE(CONTROL!$C$42, 63.5376, 63.5376) * CHOOSE(CONTROL!$C$21, $C$9, 100%, $E$9)</f>
        <v>63.537599999999998</v>
      </c>
      <c r="L773" s="14">
        <f>CHOOSE(CONTROL!$C$42, 64.176, 64.176) * CHOOSE(CONTROL!$C$21, $C$9, 100%, $E$9)</f>
        <v>64.176000000000002</v>
      </c>
      <c r="M773" s="14">
        <f>CHOOSE(CONTROL!$C$42, 62.0274, 62.0274) * CHOOSE(CONTROL!$C$21, $C$9, 100%, $E$9)</f>
        <v>62.0274</v>
      </c>
      <c r="N773" s="14">
        <f>CHOOSE(CONTROL!$C$42, 62.0434, 62.0434) * CHOOSE(CONTROL!$C$21, $C$9, 100%, $E$9)</f>
        <v>62.043399999999998</v>
      </c>
      <c r="O773" s="14">
        <f>CHOOSE(CONTROL!$C$42, 62.2938, 62.2938) * CHOOSE(CONTROL!$C$21, $C$9, 100%, $E$9)</f>
        <v>62.293799999999997</v>
      </c>
      <c r="P773" s="14">
        <f>CHOOSE(CONTROL!$C$42, 62.2433, 62.2433) * CHOOSE(CONTROL!$C$21, $C$9, 100%, $E$9)</f>
        <v>62.243299999999998</v>
      </c>
      <c r="Q773" s="14">
        <f>CHOOSE(CONTROL!$C$42, 62.8885, 62.8885) * CHOOSE(CONTROL!$C$21, $C$9, 100%, $E$9)</f>
        <v>62.888500000000001</v>
      </c>
      <c r="R773" s="14">
        <f>CHOOSE(CONTROL!$C$42, 63.6327, 63.6327) * CHOOSE(CONTROL!$C$21, $C$9, 100%, $E$9)</f>
        <v>63.6327</v>
      </c>
      <c r="S773" s="14">
        <f>CHOOSE(CONTROL!$C$42, 60.8405, 60.8405) * CHOOSE(CONTROL!$C$21, $C$9, 100%, $E$9)</f>
        <v>60.840499999999999</v>
      </c>
      <c r="T7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7">
        <f>(1000*CHOOSE(CONTROL!$C$42, 695, 695)*CHOOSE(CONTROL!$C$42, 0.5599, 0.5599)*CHOOSE(CONTROL!$C$42, 31, 31))/1000000</f>
        <v>12.063045499999998</v>
      </c>
      <c r="V773" s="57">
        <f>(1000*CHOOSE(CONTROL!$C$42, 500, 500)*CHOOSE(CONTROL!$C$42, 0.275, 0.275)*CHOOSE(CONTROL!$C$42, 31, 31))/1000000</f>
        <v>4.2625000000000002</v>
      </c>
      <c r="W773" s="57">
        <f>(1000*CHOOSE(CONTROL!$C$42, 0.1146, 0.1146)*CHOOSE(CONTROL!$C$42, 121.5, 121.5)*CHOOSE(CONTROL!$C$42, 31, 31))/1000000</f>
        <v>0.43164089999999994</v>
      </c>
      <c r="X773" s="57">
        <f>(31*0.1790888*245000/1000000)+(31*0.2374*100000/1000000)</f>
        <v>2.0961194359999999</v>
      </c>
      <c r="Y773" s="57"/>
      <c r="Z773" s="14"/>
      <c r="AA773" s="56"/>
      <c r="AB773" s="50">
        <f>(B773*194.205+C773*267.466+D773*133.845+E773*53.484+F773*40+G773*185+H773*0+I773*100+J773*300)/(194.205+267.466+133.845+53.484+0+40+185+100+300)</f>
        <v>63.382009036106751</v>
      </c>
      <c r="AC773" s="45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62.180128057553958</v>
      </c>
    </row>
    <row r="774" spans="1:29" ht="15.75" x14ac:dyDescent="0.25">
      <c r="A774" s="32">
        <v>64466</v>
      </c>
      <c r="B774" s="14">
        <f>CHOOSE(CONTROL!$C$42, 65.1233, 65.1233) * CHOOSE(CONTROL!$C$21, $C$9, 100%, $E$9)</f>
        <v>65.1233</v>
      </c>
      <c r="C774" s="14">
        <f>CHOOSE(CONTROL!$C$42, 65.1313, 65.1313) * CHOOSE(CONTROL!$C$21, $C$9, 100%, $E$9)</f>
        <v>65.131299999999996</v>
      </c>
      <c r="D774" s="14">
        <f>CHOOSE(CONTROL!$C$42, 65.3649, 65.3649) * CHOOSE(CONTROL!$C$21, $C$9, 100%, $E$9)</f>
        <v>65.364900000000006</v>
      </c>
      <c r="E774" s="14">
        <f>CHOOSE(CONTROL!$C$42, 65.3964, 65.3964) * CHOOSE(CONTROL!$C$21, $C$9, 100%, $E$9)</f>
        <v>65.3964</v>
      </c>
      <c r="F774" s="14">
        <f>CHOOSE(CONTROL!$C$42, 65.1205, 65.1205)*CHOOSE(CONTROL!$C$21, $C$9, 100%, $E$9)</f>
        <v>65.120500000000007</v>
      </c>
      <c r="G774" s="14">
        <f>CHOOSE(CONTROL!$C$42, 65.137, 65.137)*CHOOSE(CONTROL!$C$21, $C$9, 100%, $E$9)</f>
        <v>65.137</v>
      </c>
      <c r="H774" s="14">
        <f>CHOOSE(CONTROL!$C$42, 65.385, 65.385) * CHOOSE(CONTROL!$C$21, $C$9, 100%, $E$9)</f>
        <v>65.385000000000005</v>
      </c>
      <c r="I774" s="14">
        <f>CHOOSE(CONTROL!$C$42, 65.3431, 65.3431)* CHOOSE(CONTROL!$C$21, $C$9, 100%, $E$9)</f>
        <v>65.343100000000007</v>
      </c>
      <c r="J774" s="14">
        <f>CHOOSE(CONTROL!$C$42, 65.1135, 65.1135)* CHOOSE(CONTROL!$C$21, $C$9, 100%, $E$9)</f>
        <v>65.113500000000002</v>
      </c>
      <c r="K774" s="53">
        <f>CHOOSE(CONTROL!$C$42, 65.3392, 65.3392) * CHOOSE(CONTROL!$C$21, $C$9, 100%, $E$9)</f>
        <v>65.339200000000005</v>
      </c>
      <c r="L774" s="14">
        <f>CHOOSE(CONTROL!$C$42, 65.972, 65.972) * CHOOSE(CONTROL!$C$21, $C$9, 100%, $E$9)</f>
        <v>65.971999999999994</v>
      </c>
      <c r="M774" s="14">
        <f>CHOOSE(CONTROL!$C$42, 63.7871, 63.7871) * CHOOSE(CONTROL!$C$21, $C$9, 100%, $E$9)</f>
        <v>63.787100000000002</v>
      </c>
      <c r="N774" s="14">
        <f>CHOOSE(CONTROL!$C$42, 63.8032, 63.8032) * CHOOSE(CONTROL!$C$21, $C$9, 100%, $E$9)</f>
        <v>63.803199999999997</v>
      </c>
      <c r="O774" s="14">
        <f>CHOOSE(CONTROL!$C$42, 64.053, 64.053) * CHOOSE(CONTROL!$C$21, $C$9, 100%, $E$9)</f>
        <v>64.052999999999997</v>
      </c>
      <c r="P774" s="14">
        <f>CHOOSE(CONTROL!$C$42, 64.0079, 64.0079) * CHOOSE(CONTROL!$C$21, $C$9, 100%, $E$9)</f>
        <v>64.007900000000006</v>
      </c>
      <c r="Q774" s="14">
        <f>CHOOSE(CONTROL!$C$42, 64.6477, 64.6477) * CHOOSE(CONTROL!$C$21, $C$9, 100%, $E$9)</f>
        <v>64.6477</v>
      </c>
      <c r="R774" s="14">
        <f>CHOOSE(CONTROL!$C$42, 65.3963, 65.3963) * CHOOSE(CONTROL!$C$21, $C$9, 100%, $E$9)</f>
        <v>65.396299999999997</v>
      </c>
      <c r="S774" s="14">
        <f>CHOOSE(CONTROL!$C$42, 62.5663, 62.5663) * CHOOSE(CONTROL!$C$21, $C$9, 100%, $E$9)</f>
        <v>62.566299999999998</v>
      </c>
      <c r="T7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7">
        <f>(1000*CHOOSE(CONTROL!$C$42, 695, 695)*CHOOSE(CONTROL!$C$42, 0.5599, 0.5599)*CHOOSE(CONTROL!$C$42, 30, 30))/1000000</f>
        <v>11.673914999999997</v>
      </c>
      <c r="V774" s="57">
        <f>(1000*CHOOSE(CONTROL!$C$42, 500, 500)*CHOOSE(CONTROL!$C$42, 0.275, 0.275)*CHOOSE(CONTROL!$C$42, 30, 30))/1000000</f>
        <v>4.125</v>
      </c>
      <c r="W774" s="57">
        <f>(1000*CHOOSE(CONTROL!$C$42, 0.1146, 0.1146)*CHOOSE(CONTROL!$C$42, 121.5, 121.5)*CHOOSE(CONTROL!$C$42, 30, 30))/1000000</f>
        <v>0.417717</v>
      </c>
      <c r="X774" s="57">
        <f>(30*0.1790888*245000/1000000)+(30*0.2374*100000/1000000)</f>
        <v>2.0285026799999999</v>
      </c>
      <c r="Y774" s="57"/>
      <c r="Z774" s="14"/>
      <c r="AA774" s="56"/>
      <c r="AB774" s="50">
        <f>(B774*194.205+C774*267.466+D774*133.845+E774*53.484+F774*40+G774*185+H774*0+I774*100+J774*300)/(194.205+267.466+133.845+53.484+0+40+185+100+300)</f>
        <v>65.178673359811626</v>
      </c>
      <c r="AC774" s="45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63.940312230215824</v>
      </c>
    </row>
    <row r="775" spans="1:29" ht="15.75" x14ac:dyDescent="0.25">
      <c r="A775" s="32">
        <v>64497</v>
      </c>
      <c r="B775" s="14">
        <f>CHOOSE(CONTROL!$C$42, 63.8741, 63.8741) * CHOOSE(CONTROL!$C$21, $C$9, 100%, $E$9)</f>
        <v>63.874099999999999</v>
      </c>
      <c r="C775" s="14">
        <f>CHOOSE(CONTROL!$C$42, 63.8822, 63.8822) * CHOOSE(CONTROL!$C$21, $C$9, 100%, $E$9)</f>
        <v>63.882199999999997</v>
      </c>
      <c r="D775" s="14">
        <f>CHOOSE(CONTROL!$C$42, 64.1158, 64.1158) * CHOOSE(CONTROL!$C$21, $C$9, 100%, $E$9)</f>
        <v>64.115799999999993</v>
      </c>
      <c r="E775" s="14">
        <f>CHOOSE(CONTROL!$C$42, 64.1472, 64.1472) * CHOOSE(CONTROL!$C$21, $C$9, 100%, $E$9)</f>
        <v>64.147199999999998</v>
      </c>
      <c r="F775" s="14">
        <f>CHOOSE(CONTROL!$C$42, 63.8719, 63.8719)*CHOOSE(CONTROL!$C$21, $C$9, 100%, $E$9)</f>
        <v>63.871899999999997</v>
      </c>
      <c r="G775" s="14">
        <f>CHOOSE(CONTROL!$C$42, 63.8885, 63.8885)*CHOOSE(CONTROL!$C$21, $C$9, 100%, $E$9)</f>
        <v>63.888500000000001</v>
      </c>
      <c r="H775" s="14">
        <f>CHOOSE(CONTROL!$C$42, 64.1359, 64.1359) * CHOOSE(CONTROL!$C$21, $C$9, 100%, $E$9)</f>
        <v>64.135900000000007</v>
      </c>
      <c r="I775" s="14">
        <f>CHOOSE(CONTROL!$C$42, 64.0901, 64.0901)* CHOOSE(CONTROL!$C$21, $C$9, 100%, $E$9)</f>
        <v>64.090100000000007</v>
      </c>
      <c r="J775" s="14">
        <f>CHOOSE(CONTROL!$C$42, 63.8649, 63.8649)* CHOOSE(CONTROL!$C$21, $C$9, 100%, $E$9)</f>
        <v>63.864899999999999</v>
      </c>
      <c r="K775" s="53">
        <f>CHOOSE(CONTROL!$C$42, 64.0862, 64.0862) * CHOOSE(CONTROL!$C$21, $C$9, 100%, $E$9)</f>
        <v>64.086200000000005</v>
      </c>
      <c r="L775" s="14">
        <f>CHOOSE(CONTROL!$C$42, 64.7229, 64.7229) * CHOOSE(CONTROL!$C$21, $C$9, 100%, $E$9)</f>
        <v>64.722899999999996</v>
      </c>
      <c r="M775" s="14">
        <f>CHOOSE(CONTROL!$C$42, 62.5641, 62.5641) * CHOOSE(CONTROL!$C$21, $C$9, 100%, $E$9)</f>
        <v>62.564100000000003</v>
      </c>
      <c r="N775" s="14">
        <f>CHOOSE(CONTROL!$C$42, 62.5803, 62.5803) * CHOOSE(CONTROL!$C$21, $C$9, 100%, $E$9)</f>
        <v>62.580300000000001</v>
      </c>
      <c r="O775" s="14">
        <f>CHOOSE(CONTROL!$C$42, 62.8295, 62.8295) * CHOOSE(CONTROL!$C$21, $C$9, 100%, $E$9)</f>
        <v>62.829500000000003</v>
      </c>
      <c r="P775" s="14">
        <f>CHOOSE(CONTROL!$C$42, 62.7806, 62.7806) * CHOOSE(CONTROL!$C$21, $C$9, 100%, $E$9)</f>
        <v>62.7806</v>
      </c>
      <c r="Q775" s="14">
        <f>CHOOSE(CONTROL!$C$42, 63.4242, 63.4242) * CHOOSE(CONTROL!$C$21, $C$9, 100%, $E$9)</f>
        <v>63.424199999999999</v>
      </c>
      <c r="R775" s="14">
        <f>CHOOSE(CONTROL!$C$42, 64.1697, 64.1697) * CHOOSE(CONTROL!$C$21, $C$9, 100%, $E$9)</f>
        <v>64.169700000000006</v>
      </c>
      <c r="S775" s="14">
        <f>CHOOSE(CONTROL!$C$42, 61.366, 61.366) * CHOOSE(CONTROL!$C$21, $C$9, 100%, $E$9)</f>
        <v>61.366</v>
      </c>
      <c r="T7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7">
        <f>(1000*CHOOSE(CONTROL!$C$42, 695, 695)*CHOOSE(CONTROL!$C$42, 0.5599, 0.5599)*CHOOSE(CONTROL!$C$42, 31, 31))/1000000</f>
        <v>12.063045499999998</v>
      </c>
      <c r="V775" s="57">
        <f>(1000*CHOOSE(CONTROL!$C$42, 500, 500)*CHOOSE(CONTROL!$C$42, 0.275, 0.275)*CHOOSE(CONTROL!$C$42, 31, 31))/1000000</f>
        <v>4.2625000000000002</v>
      </c>
      <c r="W775" s="57">
        <f>(1000*CHOOSE(CONTROL!$C$42, 0.1146, 0.1146)*CHOOSE(CONTROL!$C$42, 121.5, 121.5)*CHOOSE(CONTROL!$C$42, 31, 31))/1000000</f>
        <v>0.43164089999999994</v>
      </c>
      <c r="X775" s="57">
        <f>(31*0.1790888*245000/1000000)+(31*0.2374*100000/1000000)</f>
        <v>2.0961194359999999</v>
      </c>
      <c r="Y775" s="57"/>
      <c r="Z775" s="14"/>
      <c r="AA775" s="56"/>
      <c r="AB775" s="50">
        <f>(B775*194.205+C775*267.466+D775*133.845+E775*53.484+F775*40+G775*185+H775*0+I775*100+J775*300)/(194.205+267.466+133.845+53.484+0+40+185+100+300)</f>
        <v>63.929468360675031</v>
      </c>
      <c r="AC775" s="45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62.716472661870505</v>
      </c>
    </row>
    <row r="776" spans="1:29" ht="15.75" x14ac:dyDescent="0.25">
      <c r="A776" s="32">
        <v>64528</v>
      </c>
      <c r="B776" s="14">
        <f>CHOOSE(CONTROL!$C$42, 60.7197, 60.7197) * CHOOSE(CONTROL!$C$21, $C$9, 100%, $E$9)</f>
        <v>60.719700000000003</v>
      </c>
      <c r="C776" s="14">
        <f>CHOOSE(CONTROL!$C$42, 60.7277, 60.7277) * CHOOSE(CONTROL!$C$21, $C$9, 100%, $E$9)</f>
        <v>60.727699999999999</v>
      </c>
      <c r="D776" s="14">
        <f>CHOOSE(CONTROL!$C$42, 60.9613, 60.9613) * CHOOSE(CONTROL!$C$21, $C$9, 100%, $E$9)</f>
        <v>60.961300000000001</v>
      </c>
      <c r="E776" s="14">
        <f>CHOOSE(CONTROL!$C$42, 60.9928, 60.9928) * CHOOSE(CONTROL!$C$21, $C$9, 100%, $E$9)</f>
        <v>60.992800000000003</v>
      </c>
      <c r="F776" s="14">
        <f>CHOOSE(CONTROL!$C$42, 60.7176, 60.7176)*CHOOSE(CONTROL!$C$21, $C$9, 100%, $E$9)</f>
        <v>60.717599999999997</v>
      </c>
      <c r="G776" s="14">
        <f>CHOOSE(CONTROL!$C$42, 60.7343, 60.7343)*CHOOSE(CONTROL!$C$21, $C$9, 100%, $E$9)</f>
        <v>60.734299999999998</v>
      </c>
      <c r="H776" s="14">
        <f>CHOOSE(CONTROL!$C$42, 60.9814, 60.9814) * CHOOSE(CONTROL!$C$21, $C$9, 100%, $E$9)</f>
        <v>60.981400000000001</v>
      </c>
      <c r="I776" s="14">
        <f>CHOOSE(CONTROL!$C$42, 60.9257, 60.9257)* CHOOSE(CONTROL!$C$21, $C$9, 100%, $E$9)</f>
        <v>60.925699999999999</v>
      </c>
      <c r="J776" s="14">
        <f>CHOOSE(CONTROL!$C$42, 60.7106, 60.7106)* CHOOSE(CONTROL!$C$21, $C$9, 100%, $E$9)</f>
        <v>60.710599999999999</v>
      </c>
      <c r="K776" s="53">
        <f>CHOOSE(CONTROL!$C$42, 60.9218, 60.9218) * CHOOSE(CONTROL!$C$21, $C$9, 100%, $E$9)</f>
        <v>60.921799999999998</v>
      </c>
      <c r="L776" s="14">
        <f>CHOOSE(CONTROL!$C$42, 61.5684, 61.5684) * CHOOSE(CONTROL!$C$21, $C$9, 100%, $E$9)</f>
        <v>61.568399999999997</v>
      </c>
      <c r="M776" s="14">
        <f>CHOOSE(CONTROL!$C$42, 59.4744, 59.4744) * CHOOSE(CONTROL!$C$21, $C$9, 100%, $E$9)</f>
        <v>59.474400000000003</v>
      </c>
      <c r="N776" s="14">
        <f>CHOOSE(CONTROL!$C$42, 59.4907, 59.4907) * CHOOSE(CONTROL!$C$21, $C$9, 100%, $E$9)</f>
        <v>59.490699999999997</v>
      </c>
      <c r="O776" s="14">
        <f>CHOOSE(CONTROL!$C$42, 59.7396, 59.7396) * CHOOSE(CONTROL!$C$21, $C$9, 100%, $E$9)</f>
        <v>59.739600000000003</v>
      </c>
      <c r="P776" s="14">
        <f>CHOOSE(CONTROL!$C$42, 59.6813, 59.6813) * CHOOSE(CONTROL!$C$21, $C$9, 100%, $E$9)</f>
        <v>59.6813</v>
      </c>
      <c r="Q776" s="14">
        <f>CHOOSE(CONTROL!$C$42, 60.3343, 60.3343) * CHOOSE(CONTROL!$C$21, $C$9, 100%, $E$9)</f>
        <v>60.334299999999999</v>
      </c>
      <c r="R776" s="14">
        <f>CHOOSE(CONTROL!$C$42, 61.0721, 61.0721) * CHOOSE(CONTROL!$C$21, $C$9, 100%, $E$9)</f>
        <v>61.072099999999999</v>
      </c>
      <c r="S776" s="14">
        <f>CHOOSE(CONTROL!$C$42, 58.3349, 58.3349) * CHOOSE(CONTROL!$C$21, $C$9, 100%, $E$9)</f>
        <v>58.334899999999998</v>
      </c>
      <c r="T7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7">
        <f>(1000*CHOOSE(CONTROL!$C$42, 695, 695)*CHOOSE(CONTROL!$C$42, 0.5599, 0.5599)*CHOOSE(CONTROL!$C$42, 31, 31))/1000000</f>
        <v>12.063045499999998</v>
      </c>
      <c r="V776" s="57">
        <f>(1000*CHOOSE(CONTROL!$C$42, 500, 500)*CHOOSE(CONTROL!$C$42, 0.275, 0.275)*CHOOSE(CONTROL!$C$42, 31, 31))/1000000</f>
        <v>4.2625000000000002</v>
      </c>
      <c r="W776" s="57">
        <f>(1000*CHOOSE(CONTROL!$C$42, 0.1146, 0.1146)*CHOOSE(CONTROL!$C$42, 121.5, 121.5)*CHOOSE(CONTROL!$C$42, 31, 31))/1000000</f>
        <v>0.43164089999999994</v>
      </c>
      <c r="X776" s="57">
        <f>(31*0.1790888*245000/1000000)+(31*0.2374*100000/1000000)</f>
        <v>2.0961194359999999</v>
      </c>
      <c r="Y776" s="57"/>
      <c r="Z776" s="14"/>
      <c r="AA776" s="56"/>
      <c r="AB776" s="50">
        <f>(B776*194.205+C776*267.466+D776*133.845+E776*53.484+F776*40+G776*185+H776*0+I776*100+J776*300)/(194.205+267.466+133.845+53.484+0+40+185+100+300)</f>
        <v>60.774307661224491</v>
      </c>
      <c r="AC776" s="45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59.625306474820135</v>
      </c>
    </row>
    <row r="777" spans="1:29" ht="15.75" x14ac:dyDescent="0.25">
      <c r="A777" s="32">
        <v>64558</v>
      </c>
      <c r="B777" s="14">
        <f>CHOOSE(CONTROL!$C$42, 56.865, 56.865) * CHOOSE(CONTROL!$C$21, $C$9, 100%, $E$9)</f>
        <v>56.865000000000002</v>
      </c>
      <c r="C777" s="14">
        <f>CHOOSE(CONTROL!$C$42, 56.8731, 56.8731) * CHOOSE(CONTROL!$C$21, $C$9, 100%, $E$9)</f>
        <v>56.873100000000001</v>
      </c>
      <c r="D777" s="14">
        <f>CHOOSE(CONTROL!$C$42, 57.1066, 57.1066) * CHOOSE(CONTROL!$C$21, $C$9, 100%, $E$9)</f>
        <v>57.1066</v>
      </c>
      <c r="E777" s="14">
        <f>CHOOSE(CONTROL!$C$42, 57.1381, 57.1381) * CHOOSE(CONTROL!$C$21, $C$9, 100%, $E$9)</f>
        <v>57.138100000000001</v>
      </c>
      <c r="F777" s="14">
        <f>CHOOSE(CONTROL!$C$42, 56.863, 56.863)*CHOOSE(CONTROL!$C$21, $C$9, 100%, $E$9)</f>
        <v>56.863</v>
      </c>
      <c r="G777" s="14">
        <f>CHOOSE(CONTROL!$C$42, 56.8797, 56.8797)*CHOOSE(CONTROL!$C$21, $C$9, 100%, $E$9)</f>
        <v>56.8797</v>
      </c>
      <c r="H777" s="14">
        <f>CHOOSE(CONTROL!$C$42, 57.1267, 57.1267) * CHOOSE(CONTROL!$C$21, $C$9, 100%, $E$9)</f>
        <v>57.1267</v>
      </c>
      <c r="I777" s="14">
        <f>CHOOSE(CONTROL!$C$42, 57.059, 57.059)* CHOOSE(CONTROL!$C$21, $C$9, 100%, $E$9)</f>
        <v>57.058999999999997</v>
      </c>
      <c r="J777" s="14">
        <f>CHOOSE(CONTROL!$C$42, 56.856, 56.856)* CHOOSE(CONTROL!$C$21, $C$9, 100%, $E$9)</f>
        <v>56.856000000000002</v>
      </c>
      <c r="K777" s="53">
        <f>CHOOSE(CONTROL!$C$42, 57.0551, 57.0551) * CHOOSE(CONTROL!$C$21, $C$9, 100%, $E$9)</f>
        <v>57.055100000000003</v>
      </c>
      <c r="L777" s="14">
        <f>CHOOSE(CONTROL!$C$42, 57.7137, 57.7137) * CHOOSE(CONTROL!$C$21, $C$9, 100%, $E$9)</f>
        <v>57.713700000000003</v>
      </c>
      <c r="M777" s="14">
        <f>CHOOSE(CONTROL!$C$42, 55.6988, 55.6988) * CHOOSE(CONTROL!$C$21, $C$9, 100%, $E$9)</f>
        <v>55.698799999999999</v>
      </c>
      <c r="N777" s="14">
        <f>CHOOSE(CONTROL!$C$42, 55.7151, 55.7151) * CHOOSE(CONTROL!$C$21, $C$9, 100%, $E$9)</f>
        <v>55.7151</v>
      </c>
      <c r="O777" s="14">
        <f>CHOOSE(CONTROL!$C$42, 55.9639, 55.9639) * CHOOSE(CONTROL!$C$21, $C$9, 100%, $E$9)</f>
        <v>55.963900000000002</v>
      </c>
      <c r="P777" s="14">
        <f>CHOOSE(CONTROL!$C$42, 55.8941, 55.8941) * CHOOSE(CONTROL!$C$21, $C$9, 100%, $E$9)</f>
        <v>55.894100000000002</v>
      </c>
      <c r="Q777" s="14">
        <f>CHOOSE(CONTROL!$C$42, 56.5586, 56.5586) * CHOOSE(CONTROL!$C$21, $C$9, 100%, $E$9)</f>
        <v>56.558599999999998</v>
      </c>
      <c r="R777" s="14">
        <f>CHOOSE(CONTROL!$C$42, 57.287, 57.287) * CHOOSE(CONTROL!$C$21, $C$9, 100%, $E$9)</f>
        <v>57.286999999999999</v>
      </c>
      <c r="S777" s="14">
        <f>CHOOSE(CONTROL!$C$42, 54.631, 54.631) * CHOOSE(CONTROL!$C$21, $C$9, 100%, $E$9)</f>
        <v>54.631</v>
      </c>
      <c r="T7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7">
        <f>(1000*CHOOSE(CONTROL!$C$42, 695, 695)*CHOOSE(CONTROL!$C$42, 0.5599, 0.5599)*CHOOSE(CONTROL!$C$42, 30, 30))/1000000</f>
        <v>11.673914999999997</v>
      </c>
      <c r="V777" s="57">
        <f>(1000*CHOOSE(CONTROL!$C$42, 500, 500)*CHOOSE(CONTROL!$C$42, 0.275, 0.275)*CHOOSE(CONTROL!$C$42, 30, 30))/1000000</f>
        <v>4.125</v>
      </c>
      <c r="W777" s="57">
        <f>(1000*CHOOSE(CONTROL!$C$42, 0.1146, 0.1146)*CHOOSE(CONTROL!$C$42, 121.5, 121.5)*CHOOSE(CONTROL!$C$42, 30, 30))/1000000</f>
        <v>0.417717</v>
      </c>
      <c r="X777" s="57">
        <f>(30*0.1790888*245000/1000000)+(30*0.2374*100000/1000000)</f>
        <v>2.0285026799999999</v>
      </c>
      <c r="Y777" s="57"/>
      <c r="Z777" s="14"/>
      <c r="AA777" s="56"/>
      <c r="AB777" s="50">
        <f>(B777*194.205+C777*267.466+D777*133.845+E777*53.484+F777*40+G777*185+H777*0+I777*100+J777*300)/(194.205+267.466+133.845+53.484+0+40+185+100+300)</f>
        <v>56.918727948979594</v>
      </c>
      <c r="AC777" s="45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55.84799208633094</v>
      </c>
    </row>
    <row r="778" spans="1:29" ht="15.75" x14ac:dyDescent="0.25">
      <c r="A778" s="32">
        <v>64589</v>
      </c>
      <c r="B778" s="14">
        <f>CHOOSE(CONTROL!$C$42, 55.7089, 55.7089) * CHOOSE(CONTROL!$C$21, $C$9, 100%, $E$9)</f>
        <v>55.7089</v>
      </c>
      <c r="C778" s="14">
        <f>CHOOSE(CONTROL!$C$42, 55.7142, 55.7142) * CHOOSE(CONTROL!$C$21, $C$9, 100%, $E$9)</f>
        <v>55.714199999999998</v>
      </c>
      <c r="D778" s="14">
        <f>CHOOSE(CONTROL!$C$42, 55.9528, 55.9528) * CHOOSE(CONTROL!$C$21, $C$9, 100%, $E$9)</f>
        <v>55.952800000000003</v>
      </c>
      <c r="E778" s="14">
        <f>CHOOSE(CONTROL!$C$42, 55.9819, 55.9819) * CHOOSE(CONTROL!$C$21, $C$9, 100%, $E$9)</f>
        <v>55.981900000000003</v>
      </c>
      <c r="F778" s="14">
        <f>CHOOSE(CONTROL!$C$42, 55.7089, 55.7089)*CHOOSE(CONTROL!$C$21, $C$9, 100%, $E$9)</f>
        <v>55.7089</v>
      </c>
      <c r="G778" s="14">
        <f>CHOOSE(CONTROL!$C$42, 55.7252, 55.7252)*CHOOSE(CONTROL!$C$21, $C$9, 100%, $E$9)</f>
        <v>55.725200000000001</v>
      </c>
      <c r="H778" s="14">
        <f>CHOOSE(CONTROL!$C$42, 55.9724, 55.9724) * CHOOSE(CONTROL!$C$21, $C$9, 100%, $E$9)</f>
        <v>55.9724</v>
      </c>
      <c r="I778" s="14">
        <f>CHOOSE(CONTROL!$C$42, 55.901, 55.901)* CHOOSE(CONTROL!$C$21, $C$9, 100%, $E$9)</f>
        <v>55.901000000000003</v>
      </c>
      <c r="J778" s="14">
        <f>CHOOSE(CONTROL!$C$42, 55.7019, 55.7019)* CHOOSE(CONTROL!$C$21, $C$9, 100%, $E$9)</f>
        <v>55.701900000000002</v>
      </c>
      <c r="K778" s="53">
        <f>CHOOSE(CONTROL!$C$42, 55.8971, 55.8971) * CHOOSE(CONTROL!$C$21, $C$9, 100%, $E$9)</f>
        <v>55.897100000000002</v>
      </c>
      <c r="L778" s="14">
        <f>CHOOSE(CONTROL!$C$42, 56.5594, 56.5594) * CHOOSE(CONTROL!$C$21, $C$9, 100%, $E$9)</f>
        <v>56.559399999999997</v>
      </c>
      <c r="M778" s="14">
        <f>CHOOSE(CONTROL!$C$42, 54.5683, 54.5683) * CHOOSE(CONTROL!$C$21, $C$9, 100%, $E$9)</f>
        <v>54.568300000000001</v>
      </c>
      <c r="N778" s="14">
        <f>CHOOSE(CONTROL!$C$42, 54.5843, 54.5843) * CHOOSE(CONTROL!$C$21, $C$9, 100%, $E$9)</f>
        <v>54.584299999999999</v>
      </c>
      <c r="O778" s="14">
        <f>CHOOSE(CONTROL!$C$42, 54.8333, 54.8333) * CHOOSE(CONTROL!$C$21, $C$9, 100%, $E$9)</f>
        <v>54.833300000000001</v>
      </c>
      <c r="P778" s="14">
        <f>CHOOSE(CONTROL!$C$42, 54.7599, 54.7599) * CHOOSE(CONTROL!$C$21, $C$9, 100%, $E$9)</f>
        <v>54.759900000000002</v>
      </c>
      <c r="Q778" s="14">
        <f>CHOOSE(CONTROL!$C$42, 55.428, 55.428) * CHOOSE(CONTROL!$C$21, $C$9, 100%, $E$9)</f>
        <v>55.427999999999997</v>
      </c>
      <c r="R778" s="14">
        <f>CHOOSE(CONTROL!$C$42, 56.1535, 56.1535) * CHOOSE(CONTROL!$C$21, $C$9, 100%, $E$9)</f>
        <v>56.153500000000001</v>
      </c>
      <c r="S778" s="14">
        <f>CHOOSE(CONTROL!$C$42, 53.5218, 53.5218) * CHOOSE(CONTROL!$C$21, $C$9, 100%, $E$9)</f>
        <v>53.521799999999999</v>
      </c>
      <c r="T7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7">
        <f>(1000*CHOOSE(CONTROL!$C$42, 695, 695)*CHOOSE(CONTROL!$C$42, 0.5599, 0.5599)*CHOOSE(CONTROL!$C$42, 31, 31))/1000000</f>
        <v>12.063045499999998</v>
      </c>
      <c r="V778" s="57">
        <f>(1000*CHOOSE(CONTROL!$C$42, 500, 500)*CHOOSE(CONTROL!$C$42, 0.275, 0.275)*CHOOSE(CONTROL!$C$42, 31, 31))/1000000</f>
        <v>4.2625000000000002</v>
      </c>
      <c r="W778" s="57">
        <f>(1000*CHOOSE(CONTROL!$C$42, 0.1146, 0.1146)*CHOOSE(CONTROL!$C$42, 121.5, 121.5)*CHOOSE(CONTROL!$C$42, 31, 31))/1000000</f>
        <v>0.43164089999999994</v>
      </c>
      <c r="X778" s="57">
        <f>(31*0.1790888*245000/1000000)+(31*0.2374*100000/1000000)</f>
        <v>2.0961194359999999</v>
      </c>
      <c r="Y778" s="57"/>
      <c r="Z778" s="14"/>
      <c r="AA778" s="56"/>
      <c r="AB778" s="50">
        <f>(B778*131.881+C778*277.167+D778*79.08+E778*125.872+F778*40+G778*185+H778*0+I778*100+J778*300)/(131.881+277.167+79.08+125.872+0+40+185+100+300)</f>
        <v>55.769630551331716</v>
      </c>
      <c r="AC778" s="45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54.716897122302157</v>
      </c>
    </row>
    <row r="779" spans="1:29" ht="15.75" x14ac:dyDescent="0.25">
      <c r="A779" s="32">
        <v>64619</v>
      </c>
      <c r="B779" s="14">
        <f>CHOOSE(CONTROL!$C$42, 57.1759, 57.1759) * CHOOSE(CONTROL!$C$21, $C$9, 100%, $E$9)</f>
        <v>57.175899999999999</v>
      </c>
      <c r="C779" s="14">
        <f>CHOOSE(CONTROL!$C$42, 57.1809, 57.1809) * CHOOSE(CONTROL!$C$21, $C$9, 100%, $E$9)</f>
        <v>57.180900000000001</v>
      </c>
      <c r="D779" s="14">
        <f>CHOOSE(CONTROL!$C$42, 57.2552, 57.2552) * CHOOSE(CONTROL!$C$21, $C$9, 100%, $E$9)</f>
        <v>57.255200000000002</v>
      </c>
      <c r="E779" s="14">
        <f>CHOOSE(CONTROL!$C$42, 57.2893, 57.2893) * CHOOSE(CONTROL!$C$21, $C$9, 100%, $E$9)</f>
        <v>57.289299999999997</v>
      </c>
      <c r="F779" s="14">
        <f>CHOOSE(CONTROL!$C$42, 57.1879, 57.1879)*CHOOSE(CONTROL!$C$21, $C$9, 100%, $E$9)</f>
        <v>57.187899999999999</v>
      </c>
      <c r="G779" s="14">
        <f>CHOOSE(CONTROL!$C$42, 57.2045, 57.2045)*CHOOSE(CONTROL!$C$21, $C$9, 100%, $E$9)</f>
        <v>57.204500000000003</v>
      </c>
      <c r="H779" s="14">
        <f>CHOOSE(CONTROL!$C$42, 57.2785, 57.2785) * CHOOSE(CONTROL!$C$21, $C$9, 100%, $E$9)</f>
        <v>57.278500000000001</v>
      </c>
      <c r="I779" s="14">
        <f>CHOOSE(CONTROL!$C$42, 57.3793, 57.3793)* CHOOSE(CONTROL!$C$21, $C$9, 100%, $E$9)</f>
        <v>57.379300000000001</v>
      </c>
      <c r="J779" s="14">
        <f>CHOOSE(CONTROL!$C$42, 57.1809, 57.1809)* CHOOSE(CONTROL!$C$21, $C$9, 100%, $E$9)</f>
        <v>57.180900000000001</v>
      </c>
      <c r="K779" s="53">
        <f>CHOOSE(CONTROL!$C$42, 57.3754, 57.3754) * CHOOSE(CONTROL!$C$21, $C$9, 100%, $E$9)</f>
        <v>57.375399999999999</v>
      </c>
      <c r="L779" s="14">
        <f>CHOOSE(CONTROL!$C$42, 57.8655, 57.8655) * CHOOSE(CONTROL!$C$21, $C$9, 100%, $E$9)</f>
        <v>57.865499999999997</v>
      </c>
      <c r="M779" s="14">
        <f>CHOOSE(CONTROL!$C$42, 56.017, 56.017) * CHOOSE(CONTROL!$C$21, $C$9, 100%, $E$9)</f>
        <v>56.017000000000003</v>
      </c>
      <c r="N779" s="14">
        <f>CHOOSE(CONTROL!$C$42, 56.0333, 56.0333) * CHOOSE(CONTROL!$C$21, $C$9, 100%, $E$9)</f>
        <v>56.033299999999997</v>
      </c>
      <c r="O779" s="14">
        <f>CHOOSE(CONTROL!$C$42, 56.1126, 56.1126) * CHOOSE(CONTROL!$C$21, $C$9, 100%, $E$9)</f>
        <v>56.1126</v>
      </c>
      <c r="P779" s="14">
        <f>CHOOSE(CONTROL!$C$42, 56.2078, 56.2078) * CHOOSE(CONTROL!$C$21, $C$9, 100%, $E$9)</f>
        <v>56.207799999999999</v>
      </c>
      <c r="Q779" s="14">
        <f>CHOOSE(CONTROL!$C$42, 56.7073, 56.7073) * CHOOSE(CONTROL!$C$21, $C$9, 100%, $E$9)</f>
        <v>56.707299999999996</v>
      </c>
      <c r="R779" s="14">
        <f>CHOOSE(CONTROL!$C$42, 57.436, 57.436) * CHOOSE(CONTROL!$C$21, $C$9, 100%, $E$9)</f>
        <v>57.436</v>
      </c>
      <c r="S779" s="14">
        <f>CHOOSE(CONTROL!$C$42, 54.9318, 54.9318) * CHOOSE(CONTROL!$C$21, $C$9, 100%, $E$9)</f>
        <v>54.931800000000003</v>
      </c>
      <c r="T7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7">
        <f>(1000*CHOOSE(CONTROL!$C$42, 695, 695)*CHOOSE(CONTROL!$C$42, 0.5599, 0.5599)*CHOOSE(CONTROL!$C$42, 30, 30))/1000000</f>
        <v>11.673914999999997</v>
      </c>
      <c r="V779" s="57">
        <f>(1000*CHOOSE(CONTROL!$C$42, 500, 500)*CHOOSE(CONTROL!$C$42, 0.275, 0.275)*CHOOSE(CONTROL!$C$42, 30, 30))/1000000</f>
        <v>4.125</v>
      </c>
      <c r="W779" s="57">
        <f>(1000*CHOOSE(CONTROL!$C$42, 0.1146, 0.1146)*CHOOSE(CONTROL!$C$42, 121.5, 121.5)*CHOOSE(CONTROL!$C$42, 30, 30))/1000000</f>
        <v>0.417717</v>
      </c>
      <c r="X779" s="57">
        <f>(30*0.1790888*100000/1000000)+(30*0.2374*100000/1000000)</f>
        <v>1.2494664</v>
      </c>
      <c r="Y779" s="57"/>
      <c r="Z779" s="14"/>
      <c r="AA779" s="56"/>
      <c r="AB779" s="50">
        <f>(B779*122.58+C779*297.941+D779*89.177+E779*40.302+F779*40+G779*160+H779*0+I779*100+J779*300)/(122.58+297.941+89.177+40.302+0+40+160+100+300)</f>
        <v>57.21070668513044</v>
      </c>
      <c r="AC779" s="45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56.088720863309355</v>
      </c>
    </row>
    <row r="780" spans="1:29" ht="15.75" x14ac:dyDescent="0.25">
      <c r="A780" s="32">
        <v>64650</v>
      </c>
      <c r="B780" s="14">
        <f>CHOOSE(CONTROL!$C$42, 61.0734, 61.0734) * CHOOSE(CONTROL!$C$21, $C$9, 100%, $E$9)</f>
        <v>61.073399999999999</v>
      </c>
      <c r="C780" s="14">
        <f>CHOOSE(CONTROL!$C$42, 61.0785, 61.0785) * CHOOSE(CONTROL!$C$21, $C$9, 100%, $E$9)</f>
        <v>61.078499999999998</v>
      </c>
      <c r="D780" s="14">
        <f>CHOOSE(CONTROL!$C$42, 61.1527, 61.1527) * CHOOSE(CONTROL!$C$21, $C$9, 100%, $E$9)</f>
        <v>61.152700000000003</v>
      </c>
      <c r="E780" s="14">
        <f>CHOOSE(CONTROL!$C$42, 61.1868, 61.1868) * CHOOSE(CONTROL!$C$21, $C$9, 100%, $E$9)</f>
        <v>61.186799999999998</v>
      </c>
      <c r="F780" s="14">
        <f>CHOOSE(CONTROL!$C$42, 61.0877, 61.0877)*CHOOSE(CONTROL!$C$21, $C$9, 100%, $E$9)</f>
        <v>61.087699999999998</v>
      </c>
      <c r="G780" s="14">
        <f>CHOOSE(CONTROL!$C$42, 61.1048, 61.1048)*CHOOSE(CONTROL!$C$21, $C$9, 100%, $E$9)</f>
        <v>61.104799999999997</v>
      </c>
      <c r="H780" s="14">
        <f>CHOOSE(CONTROL!$C$42, 61.176, 61.176) * CHOOSE(CONTROL!$C$21, $C$9, 100%, $E$9)</f>
        <v>61.176000000000002</v>
      </c>
      <c r="I780" s="14">
        <f>CHOOSE(CONTROL!$C$42, 61.289, 61.289)* CHOOSE(CONTROL!$C$21, $C$9, 100%, $E$9)</f>
        <v>61.289000000000001</v>
      </c>
      <c r="J780" s="14">
        <f>CHOOSE(CONTROL!$C$42, 61.0807, 61.0807)* CHOOSE(CONTROL!$C$21, $C$9, 100%, $E$9)</f>
        <v>61.0807</v>
      </c>
      <c r="K780" s="53">
        <f>CHOOSE(CONTROL!$C$42, 61.2851, 61.2851) * CHOOSE(CONTROL!$C$21, $C$9, 100%, $E$9)</f>
        <v>61.2851</v>
      </c>
      <c r="L780" s="14">
        <f>CHOOSE(CONTROL!$C$42, 61.763, 61.763) * CHOOSE(CONTROL!$C$21, $C$9, 100%, $E$9)</f>
        <v>61.762999999999998</v>
      </c>
      <c r="M780" s="14">
        <f>CHOOSE(CONTROL!$C$42, 59.8369, 59.8369) * CHOOSE(CONTROL!$C$21, $C$9, 100%, $E$9)</f>
        <v>59.8369</v>
      </c>
      <c r="N780" s="14">
        <f>CHOOSE(CONTROL!$C$42, 59.8537, 59.8537) * CHOOSE(CONTROL!$C$21, $C$9, 100%, $E$9)</f>
        <v>59.853700000000003</v>
      </c>
      <c r="O780" s="14">
        <f>CHOOSE(CONTROL!$C$42, 59.9303, 59.9303) * CHOOSE(CONTROL!$C$21, $C$9, 100%, $E$9)</f>
        <v>59.930300000000003</v>
      </c>
      <c r="P780" s="14">
        <f>CHOOSE(CONTROL!$C$42, 60.0372, 60.0372) * CHOOSE(CONTROL!$C$21, $C$9, 100%, $E$9)</f>
        <v>60.037199999999999</v>
      </c>
      <c r="Q780" s="14">
        <f>CHOOSE(CONTROL!$C$42, 60.525, 60.525) * CHOOSE(CONTROL!$C$21, $C$9, 100%, $E$9)</f>
        <v>60.524999999999999</v>
      </c>
      <c r="R780" s="14">
        <f>CHOOSE(CONTROL!$C$42, 61.2633, 61.2633) * CHOOSE(CONTROL!$C$21, $C$9, 100%, $E$9)</f>
        <v>61.263300000000001</v>
      </c>
      <c r="S780" s="14">
        <f>CHOOSE(CONTROL!$C$42, 58.6769, 58.6769) * CHOOSE(CONTROL!$C$21, $C$9, 100%, $E$9)</f>
        <v>58.676900000000003</v>
      </c>
      <c r="T7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7">
        <f>(1000*CHOOSE(CONTROL!$C$42, 695, 695)*CHOOSE(CONTROL!$C$42, 0.5599, 0.5599)*CHOOSE(CONTROL!$C$42, 31, 31))/1000000</f>
        <v>12.063045499999998</v>
      </c>
      <c r="V780" s="57">
        <f>(1000*CHOOSE(CONTROL!$C$42, 500, 500)*CHOOSE(CONTROL!$C$42, 0.275, 0.275)*CHOOSE(CONTROL!$C$42, 31, 31))/1000000</f>
        <v>4.2625000000000002</v>
      </c>
      <c r="W780" s="57">
        <f>(1000*CHOOSE(CONTROL!$C$42, 0.1146, 0.1146)*CHOOSE(CONTROL!$C$42, 121.5, 121.5)*CHOOSE(CONTROL!$C$42, 31, 31))/1000000</f>
        <v>0.43164089999999994</v>
      </c>
      <c r="X780" s="57">
        <f>(31*0.1790888*100000/1000000)+(31*0.2374*100000/1000000)</f>
        <v>1.2911152800000001</v>
      </c>
      <c r="Y780" s="57"/>
      <c r="Z780" s="14"/>
      <c r="AA780" s="56"/>
      <c r="AB780" s="50">
        <f>(B780*122.58+C780*297.941+D780*89.177+E780*40.302+F780*40+G780*160+H780*0+I780*100+J780*300)/(122.58+297.941+89.177+40.302+0+40+160+100+300)</f>
        <v>61.110363027826089</v>
      </c>
      <c r="AC780" s="45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59.909019424460439</v>
      </c>
    </row>
    <row r="781" spans="1:29" ht="15.75" x14ac:dyDescent="0.25">
      <c r="A781" s="32">
        <v>64681</v>
      </c>
      <c r="B781" s="14">
        <f>CHOOSE(CONTROL!$C$42, 66.1357, 66.1357) * CHOOSE(CONTROL!$C$21, $C$9, 100%, $E$9)</f>
        <v>66.1357</v>
      </c>
      <c r="C781" s="14">
        <f>CHOOSE(CONTROL!$C$42, 66.1407, 66.1407) * CHOOSE(CONTROL!$C$21, $C$9, 100%, $E$9)</f>
        <v>66.140699999999995</v>
      </c>
      <c r="D781" s="14">
        <f>CHOOSE(CONTROL!$C$42, 66.2175, 66.2175) * CHOOSE(CONTROL!$C$21, $C$9, 100%, $E$9)</f>
        <v>66.217500000000001</v>
      </c>
      <c r="E781" s="14">
        <f>CHOOSE(CONTROL!$C$42, 66.2517, 66.2517) * CHOOSE(CONTROL!$C$21, $C$9, 100%, $E$9)</f>
        <v>66.2517</v>
      </c>
      <c r="F781" s="14">
        <f>CHOOSE(CONTROL!$C$42, 66.1359, 66.1359)*CHOOSE(CONTROL!$C$21, $C$9, 100%, $E$9)</f>
        <v>66.135900000000007</v>
      </c>
      <c r="G781" s="14">
        <f>CHOOSE(CONTROL!$C$42, 66.1521, 66.1521)*CHOOSE(CONTROL!$C$21, $C$9, 100%, $E$9)</f>
        <v>66.152100000000004</v>
      </c>
      <c r="H781" s="14">
        <f>CHOOSE(CONTROL!$C$42, 66.2408, 66.2408) * CHOOSE(CONTROL!$C$21, $C$9, 100%, $E$9)</f>
        <v>66.240799999999993</v>
      </c>
      <c r="I781" s="14">
        <f>CHOOSE(CONTROL!$C$42, 66.3609, 66.3609)* CHOOSE(CONTROL!$C$21, $C$9, 100%, $E$9)</f>
        <v>66.360900000000001</v>
      </c>
      <c r="J781" s="14">
        <f>CHOOSE(CONTROL!$C$42, 66.1289, 66.1289)* CHOOSE(CONTROL!$C$21, $C$9, 100%, $E$9)</f>
        <v>66.128900000000002</v>
      </c>
      <c r="K781" s="53">
        <f>CHOOSE(CONTROL!$C$42, 66.357, 66.357) * CHOOSE(CONTROL!$C$21, $C$9, 100%, $E$9)</f>
        <v>66.356999999999999</v>
      </c>
      <c r="L781" s="14">
        <f>CHOOSE(CONTROL!$C$42, 66.8278, 66.8278) * CHOOSE(CONTROL!$C$21, $C$9, 100%, $E$9)</f>
        <v>66.827799999999996</v>
      </c>
      <c r="M781" s="14">
        <f>CHOOSE(CONTROL!$C$42, 64.7816, 64.7816) * CHOOSE(CONTROL!$C$21, $C$9, 100%, $E$9)</f>
        <v>64.781599999999997</v>
      </c>
      <c r="N781" s="14">
        <f>CHOOSE(CONTROL!$C$42, 64.7975, 64.7975) * CHOOSE(CONTROL!$C$21, $C$9, 100%, $E$9)</f>
        <v>64.797499999999999</v>
      </c>
      <c r="O781" s="14">
        <f>CHOOSE(CONTROL!$C$42, 64.8913, 64.8913) * CHOOSE(CONTROL!$C$21, $C$9, 100%, $E$9)</f>
        <v>64.891300000000001</v>
      </c>
      <c r="P781" s="14">
        <f>CHOOSE(CONTROL!$C$42, 65.0048, 65.0048) * CHOOSE(CONTROL!$C$21, $C$9, 100%, $E$9)</f>
        <v>65.004800000000003</v>
      </c>
      <c r="Q781" s="14">
        <f>CHOOSE(CONTROL!$C$42, 65.486, 65.486) * CHOOSE(CONTROL!$C$21, $C$9, 100%, $E$9)</f>
        <v>65.486000000000004</v>
      </c>
      <c r="R781" s="14">
        <f>CHOOSE(CONTROL!$C$42, 66.2367, 66.2367) * CHOOSE(CONTROL!$C$21, $C$9, 100%, $E$9)</f>
        <v>66.236699999999999</v>
      </c>
      <c r="S781" s="14">
        <f>CHOOSE(CONTROL!$C$42, 63.5412, 63.5412) * CHOOSE(CONTROL!$C$21, $C$9, 100%, $E$9)</f>
        <v>63.541200000000003</v>
      </c>
      <c r="T7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7">
        <f>(1000*CHOOSE(CONTROL!$C$42, 695, 695)*CHOOSE(CONTROL!$C$42, 0.5599, 0.5599)*CHOOSE(CONTROL!$C$42, 31, 31))/1000000</f>
        <v>12.063045499999998</v>
      </c>
      <c r="V781" s="57">
        <f>(1000*CHOOSE(CONTROL!$C$42, 500, 500)*CHOOSE(CONTROL!$C$42, 0.275, 0.275)*CHOOSE(CONTROL!$C$42, 31, 31))/1000000</f>
        <v>4.2625000000000002</v>
      </c>
      <c r="W781" s="57">
        <f>(1000*CHOOSE(CONTROL!$C$42, 0.1146, 0.1146)*CHOOSE(CONTROL!$C$42, 121.5, 121.5)*CHOOSE(CONTROL!$C$42, 31, 31))/1000000</f>
        <v>0.43164089999999994</v>
      </c>
      <c r="X781" s="57">
        <f>(31*0.1790888*100000/1000000)+(31*0.2374*100000/1000000)</f>
        <v>1.2911152800000001</v>
      </c>
      <c r="Y781" s="57"/>
      <c r="Z781" s="14"/>
      <c r="AA781" s="56"/>
      <c r="AB781" s="50">
        <f>(B781*122.58+C781*297.941+D781*89.177+E781*40.302+F781*40+G781*160+H781*0+I781*100+J781*300)/(122.58+297.941+89.177+40.302+0+40+160+100+300)</f>
        <v>66.167501230956518</v>
      </c>
      <c r="AC781" s="45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64.864350359712233</v>
      </c>
    </row>
    <row r="782" spans="1:29" ht="15.75" x14ac:dyDescent="0.25">
      <c r="A782" s="32">
        <v>64709</v>
      </c>
      <c r="B782" s="14">
        <f>CHOOSE(CONTROL!$C$42, 67.3128, 67.3128) * CHOOSE(CONTROL!$C$21, $C$9, 100%, $E$9)</f>
        <v>67.312799999999996</v>
      </c>
      <c r="C782" s="14">
        <f>CHOOSE(CONTROL!$C$42, 67.3179, 67.3179) * CHOOSE(CONTROL!$C$21, $C$9, 100%, $E$9)</f>
        <v>67.317899999999995</v>
      </c>
      <c r="D782" s="14">
        <f>CHOOSE(CONTROL!$C$42, 67.3947, 67.3947) * CHOOSE(CONTROL!$C$21, $C$9, 100%, $E$9)</f>
        <v>67.3947</v>
      </c>
      <c r="E782" s="14">
        <f>CHOOSE(CONTROL!$C$42, 67.4288, 67.4288) * CHOOSE(CONTROL!$C$21, $C$9, 100%, $E$9)</f>
        <v>67.428799999999995</v>
      </c>
      <c r="F782" s="14">
        <f>CHOOSE(CONTROL!$C$42, 67.3131, 67.3131)*CHOOSE(CONTROL!$C$21, $C$9, 100%, $E$9)</f>
        <v>67.313100000000006</v>
      </c>
      <c r="G782" s="14">
        <f>CHOOSE(CONTROL!$C$42, 67.3293, 67.3293)*CHOOSE(CONTROL!$C$21, $C$9, 100%, $E$9)</f>
        <v>67.329300000000003</v>
      </c>
      <c r="H782" s="14">
        <f>CHOOSE(CONTROL!$C$42, 67.418, 67.418) * CHOOSE(CONTROL!$C$21, $C$9, 100%, $E$9)</f>
        <v>67.418000000000006</v>
      </c>
      <c r="I782" s="14">
        <f>CHOOSE(CONTROL!$C$42, 67.5417, 67.5417)* CHOOSE(CONTROL!$C$21, $C$9, 100%, $E$9)</f>
        <v>67.541700000000006</v>
      </c>
      <c r="J782" s="14">
        <f>CHOOSE(CONTROL!$C$42, 67.3061, 67.3061)* CHOOSE(CONTROL!$C$21, $C$9, 100%, $E$9)</f>
        <v>67.306100000000001</v>
      </c>
      <c r="K782" s="53">
        <f>CHOOSE(CONTROL!$C$42, 67.5378, 67.5378) * CHOOSE(CONTROL!$C$21, $C$9, 100%, $E$9)</f>
        <v>67.537800000000004</v>
      </c>
      <c r="L782" s="14">
        <f>CHOOSE(CONTROL!$C$42, 68.005, 68.005) * CHOOSE(CONTROL!$C$21, $C$9, 100%, $E$9)</f>
        <v>68.004999999999995</v>
      </c>
      <c r="M782" s="14">
        <f>CHOOSE(CONTROL!$C$42, 65.9347, 65.9347) * CHOOSE(CONTROL!$C$21, $C$9, 100%, $E$9)</f>
        <v>65.934700000000007</v>
      </c>
      <c r="N782" s="14">
        <f>CHOOSE(CONTROL!$C$42, 65.9506, 65.9506) * CHOOSE(CONTROL!$C$21, $C$9, 100%, $E$9)</f>
        <v>65.950599999999994</v>
      </c>
      <c r="O782" s="14">
        <f>CHOOSE(CONTROL!$C$42, 66.0443, 66.0443) * CHOOSE(CONTROL!$C$21, $C$9, 100%, $E$9)</f>
        <v>66.044300000000007</v>
      </c>
      <c r="P782" s="14">
        <f>CHOOSE(CONTROL!$C$42, 66.1613, 66.1613) * CHOOSE(CONTROL!$C$21, $C$9, 100%, $E$9)</f>
        <v>66.161299999999997</v>
      </c>
      <c r="Q782" s="14">
        <f>CHOOSE(CONTROL!$C$42, 66.639, 66.639) * CHOOSE(CONTROL!$C$21, $C$9, 100%, $E$9)</f>
        <v>66.638999999999996</v>
      </c>
      <c r="R782" s="14">
        <f>CHOOSE(CONTROL!$C$42, 67.3926, 67.3926) * CHOOSE(CONTROL!$C$21, $C$9, 100%, $E$9)</f>
        <v>67.392600000000002</v>
      </c>
      <c r="S782" s="14">
        <f>CHOOSE(CONTROL!$C$42, 64.6723, 64.6723) * CHOOSE(CONTROL!$C$21, $C$9, 100%, $E$9)</f>
        <v>64.672300000000007</v>
      </c>
      <c r="T7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7">
        <f>(1000*CHOOSE(CONTROL!$C$42, 695, 695)*CHOOSE(CONTROL!$C$42, 0.5599, 0.5599)*CHOOSE(CONTROL!$C$42, 28, 28))/1000000</f>
        <v>10.895653999999999</v>
      </c>
      <c r="V782" s="57">
        <f>(1000*CHOOSE(CONTROL!$C$42, 500, 500)*CHOOSE(CONTROL!$C$42, 0.275, 0.275)*CHOOSE(CONTROL!$C$42, 28, 28))/1000000</f>
        <v>3.85</v>
      </c>
      <c r="W782" s="57">
        <f>(1000*CHOOSE(CONTROL!$C$42, 0.1146, 0.1146)*CHOOSE(CONTROL!$C$42, 121.5, 121.5)*CHOOSE(CONTROL!$C$42, 28, 28))/1000000</f>
        <v>0.38986920000000003</v>
      </c>
      <c r="X782" s="57">
        <f>(28*0.1790888*100000/1000000)+(28*0.2374*100000/1000000)</f>
        <v>1.16616864</v>
      </c>
      <c r="Y782" s="57"/>
      <c r="Z782" s="14"/>
      <c r="AA782" s="56"/>
      <c r="AB782" s="50">
        <f>(B782*122.58+C782*297.941+D782*89.177+E782*40.302+F782*40+G782*160+H782*0+I782*100+J782*300)/(122.58+297.941+89.177+40.302+0+40+160+100+300)</f>
        <v>67.345000110782593</v>
      </c>
      <c r="AC782" s="45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66.017894244604321</v>
      </c>
    </row>
    <row r="783" spans="1:29" ht="15.75" x14ac:dyDescent="0.25">
      <c r="A783" s="32">
        <v>64740</v>
      </c>
      <c r="B783" s="14">
        <f>CHOOSE(CONTROL!$C$42, 65.402, 65.402) * CHOOSE(CONTROL!$C$21, $C$9, 100%, $E$9)</f>
        <v>65.402000000000001</v>
      </c>
      <c r="C783" s="14">
        <f>CHOOSE(CONTROL!$C$42, 65.4071, 65.4071) * CHOOSE(CONTROL!$C$21, $C$9, 100%, $E$9)</f>
        <v>65.4071</v>
      </c>
      <c r="D783" s="14">
        <f>CHOOSE(CONTROL!$C$42, 65.4839, 65.4839) * CHOOSE(CONTROL!$C$21, $C$9, 100%, $E$9)</f>
        <v>65.483900000000006</v>
      </c>
      <c r="E783" s="14">
        <f>CHOOSE(CONTROL!$C$42, 65.518, 65.518) * CHOOSE(CONTROL!$C$21, $C$9, 100%, $E$9)</f>
        <v>65.518000000000001</v>
      </c>
      <c r="F783" s="14">
        <f>CHOOSE(CONTROL!$C$42, 65.4018, 65.4018)*CHOOSE(CONTROL!$C$21, $C$9, 100%, $E$9)</f>
        <v>65.401799999999994</v>
      </c>
      <c r="G783" s="14">
        <f>CHOOSE(CONTROL!$C$42, 65.4179, 65.4179)*CHOOSE(CONTROL!$C$21, $C$9, 100%, $E$9)</f>
        <v>65.417900000000003</v>
      </c>
      <c r="H783" s="14">
        <f>CHOOSE(CONTROL!$C$42, 65.5072, 65.5072) * CHOOSE(CONTROL!$C$21, $C$9, 100%, $E$9)</f>
        <v>65.507199999999997</v>
      </c>
      <c r="I783" s="14">
        <f>CHOOSE(CONTROL!$C$42, 65.6249, 65.6249)* CHOOSE(CONTROL!$C$21, $C$9, 100%, $E$9)</f>
        <v>65.624899999999997</v>
      </c>
      <c r="J783" s="14">
        <f>CHOOSE(CONTROL!$C$42, 65.3948, 65.3948)* CHOOSE(CONTROL!$C$21, $C$9, 100%, $E$9)</f>
        <v>65.394800000000004</v>
      </c>
      <c r="K783" s="53">
        <f>CHOOSE(CONTROL!$C$42, 65.621, 65.621) * CHOOSE(CONTROL!$C$21, $C$9, 100%, $E$9)</f>
        <v>65.620999999999995</v>
      </c>
      <c r="L783" s="14">
        <f>CHOOSE(CONTROL!$C$42, 66.0942, 66.0942) * CHOOSE(CONTROL!$C$21, $C$9, 100%, $E$9)</f>
        <v>66.094200000000001</v>
      </c>
      <c r="M783" s="14">
        <f>CHOOSE(CONTROL!$C$42, 64.0626, 64.0626) * CHOOSE(CONTROL!$C$21, $C$9, 100%, $E$9)</f>
        <v>64.062600000000003</v>
      </c>
      <c r="N783" s="14">
        <f>CHOOSE(CONTROL!$C$42, 64.0784, 64.0784) * CHOOSE(CONTROL!$C$21, $C$9, 100%, $E$9)</f>
        <v>64.078400000000002</v>
      </c>
      <c r="O783" s="14">
        <f>CHOOSE(CONTROL!$C$42, 64.1727, 64.1727) * CHOOSE(CONTROL!$C$21, $C$9, 100%, $E$9)</f>
        <v>64.172700000000006</v>
      </c>
      <c r="P783" s="14">
        <f>CHOOSE(CONTROL!$C$42, 64.2839, 64.2839) * CHOOSE(CONTROL!$C$21, $C$9, 100%, $E$9)</f>
        <v>64.283900000000003</v>
      </c>
      <c r="Q783" s="14">
        <f>CHOOSE(CONTROL!$C$42, 64.7674, 64.7674) * CHOOSE(CONTROL!$C$21, $C$9, 100%, $E$9)</f>
        <v>64.767399999999995</v>
      </c>
      <c r="R783" s="14">
        <f>CHOOSE(CONTROL!$C$42, 65.5163, 65.5163) * CHOOSE(CONTROL!$C$21, $C$9, 100%, $E$9)</f>
        <v>65.516300000000001</v>
      </c>
      <c r="S783" s="14">
        <f>CHOOSE(CONTROL!$C$42, 62.8363, 62.8363) * CHOOSE(CONTROL!$C$21, $C$9, 100%, $E$9)</f>
        <v>62.836300000000001</v>
      </c>
      <c r="T7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7">
        <f>(1000*CHOOSE(CONTROL!$C$42, 695, 695)*CHOOSE(CONTROL!$C$42, 0.5599, 0.5599)*CHOOSE(CONTROL!$C$42, 31, 31))/1000000</f>
        <v>12.063045499999998</v>
      </c>
      <c r="V783" s="57">
        <f>(1000*CHOOSE(CONTROL!$C$42, 500, 500)*CHOOSE(CONTROL!$C$42, 0.275, 0.275)*CHOOSE(CONTROL!$C$42, 31, 31))/1000000</f>
        <v>4.2625000000000002</v>
      </c>
      <c r="W783" s="57">
        <f>(1000*CHOOSE(CONTROL!$C$42, 0.1146, 0.1146)*CHOOSE(CONTROL!$C$42, 121.5, 121.5)*CHOOSE(CONTROL!$C$42, 31, 31))/1000000</f>
        <v>0.43164089999999994</v>
      </c>
      <c r="X783" s="57">
        <f>(31*0.1790888*100000/1000000)+(31*0.2374*100000/1000000)</f>
        <v>1.2911152800000001</v>
      </c>
      <c r="Y783" s="57"/>
      <c r="Z783" s="14"/>
      <c r="AA783" s="56"/>
      <c r="AB783" s="50">
        <f>(B783*122.58+C783*297.941+D783*89.177+E783*40.302+F783*40+G783*160+H783*0+I783*100+J783*300)/(122.58+297.941+89.177+40.302+0+40+160+100+300)</f>
        <v>65.433447067304357</v>
      </c>
      <c r="AC783" s="45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64.145252517985625</v>
      </c>
    </row>
    <row r="784" spans="1:29" ht="15.75" x14ac:dyDescent="0.25">
      <c r="A784" s="32">
        <v>64770</v>
      </c>
      <c r="B784" s="14">
        <f>CHOOSE(CONTROL!$C$42, 65.2075, 65.2075) * CHOOSE(CONTROL!$C$21, $C$9, 100%, $E$9)</f>
        <v>65.207499999999996</v>
      </c>
      <c r="C784" s="14">
        <f>CHOOSE(CONTROL!$C$42, 65.2119, 65.2119) * CHOOSE(CONTROL!$C$21, $C$9, 100%, $E$9)</f>
        <v>65.2119</v>
      </c>
      <c r="D784" s="14">
        <f>CHOOSE(CONTROL!$C$42, 65.4487, 65.4487) * CHOOSE(CONTROL!$C$21, $C$9, 100%, $E$9)</f>
        <v>65.448700000000002</v>
      </c>
      <c r="E784" s="14">
        <f>CHOOSE(CONTROL!$C$42, 65.4808, 65.4808) * CHOOSE(CONTROL!$C$21, $C$9, 100%, $E$9)</f>
        <v>65.480800000000002</v>
      </c>
      <c r="F784" s="14">
        <f>CHOOSE(CONTROL!$C$42, 65.2054, 65.2054)*CHOOSE(CONTROL!$C$21, $C$9, 100%, $E$9)</f>
        <v>65.205399999999997</v>
      </c>
      <c r="G784" s="14">
        <f>CHOOSE(CONTROL!$C$42, 65.2212, 65.2212)*CHOOSE(CONTROL!$C$21, $C$9, 100%, $E$9)</f>
        <v>65.221199999999996</v>
      </c>
      <c r="H784" s="14">
        <f>CHOOSE(CONTROL!$C$42, 65.4706, 65.4706) * CHOOSE(CONTROL!$C$21, $C$9, 100%, $E$9)</f>
        <v>65.470600000000005</v>
      </c>
      <c r="I784" s="14">
        <f>CHOOSE(CONTROL!$C$42, 65.429, 65.429)* CHOOSE(CONTROL!$C$21, $C$9, 100%, $E$9)</f>
        <v>65.429000000000002</v>
      </c>
      <c r="J784" s="14">
        <f>CHOOSE(CONTROL!$C$42, 65.1984, 65.1984)* CHOOSE(CONTROL!$C$21, $C$9, 100%, $E$9)</f>
        <v>65.198400000000007</v>
      </c>
      <c r="K784" s="53">
        <f>CHOOSE(CONTROL!$C$42, 65.4251, 65.4251) * CHOOSE(CONTROL!$C$21, $C$9, 100%, $E$9)</f>
        <v>65.4251</v>
      </c>
      <c r="L784" s="14">
        <f>CHOOSE(CONTROL!$C$42, 66.0576, 66.0576) * CHOOSE(CONTROL!$C$21, $C$9, 100%, $E$9)</f>
        <v>66.057599999999994</v>
      </c>
      <c r="M784" s="14">
        <f>CHOOSE(CONTROL!$C$42, 63.8702, 63.8702) * CHOOSE(CONTROL!$C$21, $C$9, 100%, $E$9)</f>
        <v>63.870199999999997</v>
      </c>
      <c r="N784" s="14">
        <f>CHOOSE(CONTROL!$C$42, 63.8857, 63.8857) * CHOOSE(CONTROL!$C$21, $C$9, 100%, $E$9)</f>
        <v>63.8857</v>
      </c>
      <c r="O784" s="14">
        <f>CHOOSE(CONTROL!$C$42, 64.1368, 64.1368) * CHOOSE(CONTROL!$C$21, $C$9, 100%, $E$9)</f>
        <v>64.136799999999994</v>
      </c>
      <c r="P784" s="14">
        <f>CHOOSE(CONTROL!$C$42, 64.092, 64.092) * CHOOSE(CONTROL!$C$21, $C$9, 100%, $E$9)</f>
        <v>64.091999999999999</v>
      </c>
      <c r="Q784" s="14">
        <f>CHOOSE(CONTROL!$C$42, 64.7315, 64.7315) * CHOOSE(CONTROL!$C$21, $C$9, 100%, $E$9)</f>
        <v>64.731499999999997</v>
      </c>
      <c r="R784" s="14">
        <f>CHOOSE(CONTROL!$C$42, 65.4803, 65.4803) * CHOOSE(CONTROL!$C$21, $C$9, 100%, $E$9)</f>
        <v>65.4803</v>
      </c>
      <c r="S784" s="14">
        <f>CHOOSE(CONTROL!$C$42, 62.6486, 62.6486) * CHOOSE(CONTROL!$C$21, $C$9, 100%, $E$9)</f>
        <v>62.648600000000002</v>
      </c>
      <c r="T7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7">
        <f>(1000*CHOOSE(CONTROL!$C$42, 695, 695)*CHOOSE(CONTROL!$C$42, 0.5599, 0.5599)*CHOOSE(CONTROL!$C$42, 30, 30))/1000000</f>
        <v>11.673914999999997</v>
      </c>
      <c r="V784" s="57">
        <f>(1000*CHOOSE(CONTROL!$C$42, 500, 500)*CHOOSE(CONTROL!$C$42, 0.275, 0.275)*CHOOSE(CONTROL!$C$42, 30, 30))/1000000</f>
        <v>4.125</v>
      </c>
      <c r="W784" s="57">
        <f>(1000*CHOOSE(CONTROL!$C$42, 0.1146, 0.1146)*CHOOSE(CONTROL!$C$42, 121.5, 121.5)*CHOOSE(CONTROL!$C$42, 30, 30))/1000000</f>
        <v>0.417717</v>
      </c>
      <c r="X784" s="57">
        <f>(30*0.1790888*245000/1000000)+(30*0.2374*100000/1000000)</f>
        <v>2.0285026799999999</v>
      </c>
      <c r="Y784" s="57"/>
      <c r="Z784" s="14"/>
      <c r="AA784" s="56"/>
      <c r="AB784" s="50">
        <f>(B784*141.293+C784*267.993+D784*115.016+E784*89.698+F784*40+G784*185+H784*0+I784*100+J784*300)/(141.293+267.993+115.016+89.698+0+40+185+100+300)</f>
        <v>65.268279654398711</v>
      </c>
      <c r="AC784" s="45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64.023838848920846</v>
      </c>
    </row>
    <row r="785" spans="1:29" ht="15.75" x14ac:dyDescent="0.25">
      <c r="A785" s="32">
        <v>64801</v>
      </c>
      <c r="B785" s="14">
        <f>CHOOSE(CONTROL!$C$42, 65.7843, 65.7843) * CHOOSE(CONTROL!$C$21, $C$9, 100%, $E$9)</f>
        <v>65.784300000000002</v>
      </c>
      <c r="C785" s="14">
        <f>CHOOSE(CONTROL!$C$42, 65.7923, 65.7923) * CHOOSE(CONTROL!$C$21, $C$9, 100%, $E$9)</f>
        <v>65.792299999999997</v>
      </c>
      <c r="D785" s="14">
        <f>CHOOSE(CONTROL!$C$42, 66.0259, 66.0259) * CHOOSE(CONTROL!$C$21, $C$9, 100%, $E$9)</f>
        <v>66.025899999999993</v>
      </c>
      <c r="E785" s="14">
        <f>CHOOSE(CONTROL!$C$42, 66.0574, 66.0574) * CHOOSE(CONTROL!$C$21, $C$9, 100%, $E$9)</f>
        <v>66.057400000000001</v>
      </c>
      <c r="F785" s="14">
        <f>CHOOSE(CONTROL!$C$42, 65.7811, 65.7811)*CHOOSE(CONTROL!$C$21, $C$9, 100%, $E$9)</f>
        <v>65.781099999999995</v>
      </c>
      <c r="G785" s="14">
        <f>CHOOSE(CONTROL!$C$42, 65.7974, 65.7974)*CHOOSE(CONTROL!$C$21, $C$9, 100%, $E$9)</f>
        <v>65.797399999999996</v>
      </c>
      <c r="H785" s="14">
        <f>CHOOSE(CONTROL!$C$42, 66.046, 66.046) * CHOOSE(CONTROL!$C$21, $C$9, 100%, $E$9)</f>
        <v>66.046000000000006</v>
      </c>
      <c r="I785" s="14">
        <f>CHOOSE(CONTROL!$C$42, 66.0062, 66.0062)* CHOOSE(CONTROL!$C$21, $C$9, 100%, $E$9)</f>
        <v>66.006200000000007</v>
      </c>
      <c r="J785" s="14">
        <f>CHOOSE(CONTROL!$C$42, 65.7741, 65.7741)* CHOOSE(CONTROL!$C$21, $C$9, 100%, $E$9)</f>
        <v>65.774100000000004</v>
      </c>
      <c r="K785" s="53">
        <f>CHOOSE(CONTROL!$C$42, 66.0023, 66.0023) * CHOOSE(CONTROL!$C$21, $C$9, 100%, $E$9)</f>
        <v>66.002300000000005</v>
      </c>
      <c r="L785" s="14">
        <f>CHOOSE(CONTROL!$C$42, 66.633, 66.633) * CHOOSE(CONTROL!$C$21, $C$9, 100%, $E$9)</f>
        <v>66.632999999999996</v>
      </c>
      <c r="M785" s="14">
        <f>CHOOSE(CONTROL!$C$42, 64.4341, 64.4341) * CHOOSE(CONTROL!$C$21, $C$9, 100%, $E$9)</f>
        <v>64.434100000000001</v>
      </c>
      <c r="N785" s="14">
        <f>CHOOSE(CONTROL!$C$42, 64.4501, 64.4501) * CHOOSE(CONTROL!$C$21, $C$9, 100%, $E$9)</f>
        <v>64.450100000000006</v>
      </c>
      <c r="O785" s="14">
        <f>CHOOSE(CONTROL!$C$42, 64.7005, 64.7005) * CHOOSE(CONTROL!$C$21, $C$9, 100%, $E$9)</f>
        <v>64.700500000000005</v>
      </c>
      <c r="P785" s="14">
        <f>CHOOSE(CONTROL!$C$42, 64.6574, 64.6574) * CHOOSE(CONTROL!$C$21, $C$9, 100%, $E$9)</f>
        <v>64.657399999999996</v>
      </c>
      <c r="Q785" s="14">
        <f>CHOOSE(CONTROL!$C$42, 65.2952, 65.2952) * CHOOSE(CONTROL!$C$21, $C$9, 100%, $E$9)</f>
        <v>65.295199999999994</v>
      </c>
      <c r="R785" s="14">
        <f>CHOOSE(CONTROL!$C$42, 66.0454, 66.0454) * CHOOSE(CONTROL!$C$21, $C$9, 100%, $E$9)</f>
        <v>66.045400000000001</v>
      </c>
      <c r="S785" s="14">
        <f>CHOOSE(CONTROL!$C$42, 63.2015, 63.2015) * CHOOSE(CONTROL!$C$21, $C$9, 100%, $E$9)</f>
        <v>63.201500000000003</v>
      </c>
      <c r="T7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7">
        <f>(1000*CHOOSE(CONTROL!$C$42, 695, 695)*CHOOSE(CONTROL!$C$42, 0.5599, 0.5599)*CHOOSE(CONTROL!$C$42, 31, 31))/1000000</f>
        <v>12.063045499999998</v>
      </c>
      <c r="V785" s="57">
        <f>(1000*CHOOSE(CONTROL!$C$42, 500, 500)*CHOOSE(CONTROL!$C$42, 0.275, 0.275)*CHOOSE(CONTROL!$C$42, 31, 31))/1000000</f>
        <v>4.2625000000000002</v>
      </c>
      <c r="W785" s="57">
        <f>(1000*CHOOSE(CONTROL!$C$42, 0.1146, 0.1146)*CHOOSE(CONTROL!$C$42, 121.5, 121.5)*CHOOSE(CONTROL!$C$42, 31, 31))/1000000</f>
        <v>0.43164089999999994</v>
      </c>
      <c r="X785" s="57">
        <f>(31*0.1790888*245000/1000000)+(31*0.2374*100000/1000000)</f>
        <v>2.0961194359999999</v>
      </c>
      <c r="Y785" s="57"/>
      <c r="Z785" s="14"/>
      <c r="AA785" s="56"/>
      <c r="AB785" s="50">
        <f>(B785*194.205+C785*267.466+D785*133.845+E785*53.484+F785*40+G785*185+H785*0+I785*100+J785*300)/(194.205+267.466+133.845+53.484+0+40+185+100+300)</f>
        <v>65.839644317425424</v>
      </c>
      <c r="AC785" s="45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64.587892805755402</v>
      </c>
    </row>
    <row r="786" spans="1:29" ht="15.75" x14ac:dyDescent="0.25">
      <c r="A786" s="32">
        <v>64831</v>
      </c>
      <c r="B786" s="14">
        <f>CHOOSE(CONTROL!$C$42, 67.65, 67.65) * CHOOSE(CONTROL!$C$21, $C$9, 100%, $E$9)</f>
        <v>67.650000000000006</v>
      </c>
      <c r="C786" s="14">
        <f>CHOOSE(CONTROL!$C$42, 67.658, 67.658) * CHOOSE(CONTROL!$C$21, $C$9, 100%, $E$9)</f>
        <v>67.658000000000001</v>
      </c>
      <c r="D786" s="14">
        <f>CHOOSE(CONTROL!$C$42, 67.8916, 67.8916) * CHOOSE(CONTROL!$C$21, $C$9, 100%, $E$9)</f>
        <v>67.891599999999997</v>
      </c>
      <c r="E786" s="14">
        <f>CHOOSE(CONTROL!$C$42, 67.9231, 67.9231) * CHOOSE(CONTROL!$C$21, $C$9, 100%, $E$9)</f>
        <v>67.923100000000005</v>
      </c>
      <c r="F786" s="14">
        <f>CHOOSE(CONTROL!$C$42, 67.6473, 67.6473)*CHOOSE(CONTROL!$C$21, $C$9, 100%, $E$9)</f>
        <v>67.647300000000001</v>
      </c>
      <c r="G786" s="14">
        <f>CHOOSE(CONTROL!$C$42, 67.6637, 67.6637)*CHOOSE(CONTROL!$C$21, $C$9, 100%, $E$9)</f>
        <v>67.663700000000006</v>
      </c>
      <c r="H786" s="14">
        <f>CHOOSE(CONTROL!$C$42, 67.9117, 67.9117) * CHOOSE(CONTROL!$C$21, $C$9, 100%, $E$9)</f>
        <v>67.911699999999996</v>
      </c>
      <c r="I786" s="14">
        <f>CHOOSE(CONTROL!$C$42, 67.8778, 67.8778)* CHOOSE(CONTROL!$C$21, $C$9, 100%, $E$9)</f>
        <v>67.877799999999993</v>
      </c>
      <c r="J786" s="14">
        <f>CHOOSE(CONTROL!$C$42, 67.6403, 67.6403)* CHOOSE(CONTROL!$C$21, $C$9, 100%, $E$9)</f>
        <v>67.640299999999996</v>
      </c>
      <c r="K786" s="53">
        <f>CHOOSE(CONTROL!$C$42, 67.8739, 67.8739) * CHOOSE(CONTROL!$C$21, $C$9, 100%, $E$9)</f>
        <v>67.873900000000006</v>
      </c>
      <c r="L786" s="14">
        <f>CHOOSE(CONTROL!$C$42, 68.4987, 68.4987) * CHOOSE(CONTROL!$C$21, $C$9, 100%, $E$9)</f>
        <v>68.498699999999999</v>
      </c>
      <c r="M786" s="14">
        <f>CHOOSE(CONTROL!$C$42, 66.2621, 66.2621) * CHOOSE(CONTROL!$C$21, $C$9, 100%, $E$9)</f>
        <v>66.262100000000004</v>
      </c>
      <c r="N786" s="14">
        <f>CHOOSE(CONTROL!$C$42, 66.2782, 66.2782) * CHOOSE(CONTROL!$C$21, $C$9, 100%, $E$9)</f>
        <v>66.278199999999998</v>
      </c>
      <c r="O786" s="14">
        <f>CHOOSE(CONTROL!$C$42, 66.528, 66.528) * CHOOSE(CONTROL!$C$21, $C$9, 100%, $E$9)</f>
        <v>66.528000000000006</v>
      </c>
      <c r="P786" s="14">
        <f>CHOOSE(CONTROL!$C$42, 66.4905, 66.4905) * CHOOSE(CONTROL!$C$21, $C$9, 100%, $E$9)</f>
        <v>66.490499999999997</v>
      </c>
      <c r="Q786" s="14">
        <f>CHOOSE(CONTROL!$C$42, 67.1227, 67.1227) * CHOOSE(CONTROL!$C$21, $C$9, 100%, $E$9)</f>
        <v>67.122699999999995</v>
      </c>
      <c r="R786" s="14">
        <f>CHOOSE(CONTROL!$C$42, 67.8775, 67.8775) * CHOOSE(CONTROL!$C$21, $C$9, 100%, $E$9)</f>
        <v>67.877499999999998</v>
      </c>
      <c r="S786" s="14">
        <f>CHOOSE(CONTROL!$C$42, 64.9943, 64.9943) * CHOOSE(CONTROL!$C$21, $C$9, 100%, $E$9)</f>
        <v>64.994299999999996</v>
      </c>
      <c r="T7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7">
        <f>(1000*CHOOSE(CONTROL!$C$42, 695, 695)*CHOOSE(CONTROL!$C$42, 0.5599, 0.5599)*CHOOSE(CONTROL!$C$42, 30, 30))/1000000</f>
        <v>11.673914999999997</v>
      </c>
      <c r="V786" s="57">
        <f>(1000*CHOOSE(CONTROL!$C$42, 500, 500)*CHOOSE(CONTROL!$C$42, 0.275, 0.275)*CHOOSE(CONTROL!$C$42, 30, 30))/1000000</f>
        <v>4.125</v>
      </c>
      <c r="W786" s="57">
        <f>(1000*CHOOSE(CONTROL!$C$42, 0.1146, 0.1146)*CHOOSE(CONTROL!$C$42, 121.5, 121.5)*CHOOSE(CONTROL!$C$42, 30, 30))/1000000</f>
        <v>0.417717</v>
      </c>
      <c r="X786" s="57">
        <f>(30*0.1790888*245000/1000000)+(30*0.2374*100000/1000000)</f>
        <v>2.0285026799999999</v>
      </c>
      <c r="Y786" s="57"/>
      <c r="Z786" s="14"/>
      <c r="AA786" s="56"/>
      <c r="AB786" s="50">
        <f>(B786*194.205+C786*267.466+D786*133.845+E786*53.484+F786*40+G786*185+H786*0+I786*100+J786*300)/(194.205+267.466+133.845+53.484+0+40+185+100+300)</f>
        <v>67.706027990894825</v>
      </c>
      <c r="AC786" s="45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66.416405755395687</v>
      </c>
    </row>
    <row r="787" spans="1:29" ht="15.75" x14ac:dyDescent="0.25">
      <c r="A787" s="32">
        <v>64862</v>
      </c>
      <c r="B787" s="14">
        <f>CHOOSE(CONTROL!$C$42, 66.3524, 66.3524) * CHOOSE(CONTROL!$C$21, $C$9, 100%, $E$9)</f>
        <v>66.352400000000003</v>
      </c>
      <c r="C787" s="14">
        <f>CHOOSE(CONTROL!$C$42, 66.3604, 66.3604) * CHOOSE(CONTROL!$C$21, $C$9, 100%, $E$9)</f>
        <v>66.360399999999998</v>
      </c>
      <c r="D787" s="14">
        <f>CHOOSE(CONTROL!$C$42, 66.594, 66.594) * CHOOSE(CONTROL!$C$21, $C$9, 100%, $E$9)</f>
        <v>66.593999999999994</v>
      </c>
      <c r="E787" s="14">
        <f>CHOOSE(CONTROL!$C$42, 66.6255, 66.6255) * CHOOSE(CONTROL!$C$21, $C$9, 100%, $E$9)</f>
        <v>66.625500000000002</v>
      </c>
      <c r="F787" s="14">
        <f>CHOOSE(CONTROL!$C$42, 66.3502, 66.3502)*CHOOSE(CONTROL!$C$21, $C$9, 100%, $E$9)</f>
        <v>66.350200000000001</v>
      </c>
      <c r="G787" s="14">
        <f>CHOOSE(CONTROL!$C$42, 66.3668, 66.3668)*CHOOSE(CONTROL!$C$21, $C$9, 100%, $E$9)</f>
        <v>66.366799999999998</v>
      </c>
      <c r="H787" s="14">
        <f>CHOOSE(CONTROL!$C$42, 66.6141, 66.6141) * CHOOSE(CONTROL!$C$21, $C$9, 100%, $E$9)</f>
        <v>66.614099999999993</v>
      </c>
      <c r="I787" s="14">
        <f>CHOOSE(CONTROL!$C$42, 66.5761, 66.5761)* CHOOSE(CONTROL!$C$21, $C$9, 100%, $E$9)</f>
        <v>66.576099999999997</v>
      </c>
      <c r="J787" s="14">
        <f>CHOOSE(CONTROL!$C$42, 66.3432, 66.3432)* CHOOSE(CONTROL!$C$21, $C$9, 100%, $E$9)</f>
        <v>66.343199999999996</v>
      </c>
      <c r="K787" s="53">
        <f>CHOOSE(CONTROL!$C$42, 66.5722, 66.5722) * CHOOSE(CONTROL!$C$21, $C$9, 100%, $E$9)</f>
        <v>66.572199999999995</v>
      </c>
      <c r="L787" s="14">
        <f>CHOOSE(CONTROL!$C$42, 67.2011, 67.2011) * CHOOSE(CONTROL!$C$21, $C$9, 100%, $E$9)</f>
        <v>67.201099999999997</v>
      </c>
      <c r="M787" s="14">
        <f>CHOOSE(CONTROL!$C$42, 64.9915, 64.9915) * CHOOSE(CONTROL!$C$21, $C$9, 100%, $E$9)</f>
        <v>64.991500000000002</v>
      </c>
      <c r="N787" s="14">
        <f>CHOOSE(CONTROL!$C$42, 65.0078, 65.0078) * CHOOSE(CONTROL!$C$21, $C$9, 100%, $E$9)</f>
        <v>65.007800000000003</v>
      </c>
      <c r="O787" s="14">
        <f>CHOOSE(CONTROL!$C$42, 65.2569, 65.2569) * CHOOSE(CONTROL!$C$21, $C$9, 100%, $E$9)</f>
        <v>65.256900000000002</v>
      </c>
      <c r="P787" s="14">
        <f>CHOOSE(CONTROL!$C$42, 65.2156, 65.2156) * CHOOSE(CONTROL!$C$21, $C$9, 100%, $E$9)</f>
        <v>65.215599999999995</v>
      </c>
      <c r="Q787" s="14">
        <f>CHOOSE(CONTROL!$C$42, 65.8516, 65.8516) * CHOOSE(CONTROL!$C$21, $C$9, 100%, $E$9)</f>
        <v>65.851600000000005</v>
      </c>
      <c r="R787" s="14">
        <f>CHOOSE(CONTROL!$C$42, 66.6033, 66.6033) * CHOOSE(CONTROL!$C$21, $C$9, 100%, $E$9)</f>
        <v>66.603300000000004</v>
      </c>
      <c r="S787" s="14">
        <f>CHOOSE(CONTROL!$C$42, 63.7474, 63.7474) * CHOOSE(CONTROL!$C$21, $C$9, 100%, $E$9)</f>
        <v>63.747399999999999</v>
      </c>
      <c r="T7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7">
        <f>(1000*CHOOSE(CONTROL!$C$42, 695, 695)*CHOOSE(CONTROL!$C$42, 0.5599, 0.5599)*CHOOSE(CONTROL!$C$42, 31, 31))/1000000</f>
        <v>12.063045499999998</v>
      </c>
      <c r="V787" s="57">
        <f>(1000*CHOOSE(CONTROL!$C$42, 500, 500)*CHOOSE(CONTROL!$C$42, 0.275, 0.275)*CHOOSE(CONTROL!$C$42, 31, 31))/1000000</f>
        <v>4.2625000000000002</v>
      </c>
      <c r="W787" s="57">
        <f>(1000*CHOOSE(CONTROL!$C$42, 0.1146, 0.1146)*CHOOSE(CONTROL!$C$42, 121.5, 121.5)*CHOOSE(CONTROL!$C$42, 31, 31))/1000000</f>
        <v>0.43164089999999994</v>
      </c>
      <c r="X787" s="57">
        <f>(31*0.1790888*245000/1000000)+(31*0.2374*100000/1000000)</f>
        <v>2.0961194359999999</v>
      </c>
      <c r="Y787" s="57"/>
      <c r="Z787" s="14"/>
      <c r="AA787" s="56"/>
      <c r="AB787" s="50">
        <f>(B787*194.205+C787*267.466+D787*133.845+E787*53.484+F787*40+G787*185+H787*0+I787*100+J787*300)/(194.205+267.466+133.845+53.484+0+40+185+100+300)</f>
        <v>66.408341256200941</v>
      </c>
      <c r="AC787" s="45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65.144971942446048</v>
      </c>
    </row>
    <row r="788" spans="1:29" ht="15.75" x14ac:dyDescent="0.25">
      <c r="A788" s="32">
        <v>64893</v>
      </c>
      <c r="B788" s="14">
        <f>CHOOSE(CONTROL!$C$42, 63.0755, 63.0755) * CHOOSE(CONTROL!$C$21, $C$9, 100%, $E$9)</f>
        <v>63.075499999999998</v>
      </c>
      <c r="C788" s="14">
        <f>CHOOSE(CONTROL!$C$42, 63.0835, 63.0835) * CHOOSE(CONTROL!$C$21, $C$9, 100%, $E$9)</f>
        <v>63.083500000000001</v>
      </c>
      <c r="D788" s="14">
        <f>CHOOSE(CONTROL!$C$42, 63.3171, 63.3171) * CHOOSE(CONTROL!$C$21, $C$9, 100%, $E$9)</f>
        <v>63.317100000000003</v>
      </c>
      <c r="E788" s="14">
        <f>CHOOSE(CONTROL!$C$42, 63.3486, 63.3486) * CHOOSE(CONTROL!$C$21, $C$9, 100%, $E$9)</f>
        <v>63.348599999999998</v>
      </c>
      <c r="F788" s="14">
        <f>CHOOSE(CONTROL!$C$42, 63.0735, 63.0735)*CHOOSE(CONTROL!$C$21, $C$9, 100%, $E$9)</f>
        <v>63.073500000000003</v>
      </c>
      <c r="G788" s="14">
        <f>CHOOSE(CONTROL!$C$42, 63.0901, 63.0901)*CHOOSE(CONTROL!$C$21, $C$9, 100%, $E$9)</f>
        <v>63.0901</v>
      </c>
      <c r="H788" s="14">
        <f>CHOOSE(CONTROL!$C$42, 63.3372, 63.3372) * CHOOSE(CONTROL!$C$21, $C$9, 100%, $E$9)</f>
        <v>63.337200000000003</v>
      </c>
      <c r="I788" s="14">
        <f>CHOOSE(CONTROL!$C$42, 63.2889, 63.2889)* CHOOSE(CONTROL!$C$21, $C$9, 100%, $E$9)</f>
        <v>63.288899999999998</v>
      </c>
      <c r="J788" s="14">
        <f>CHOOSE(CONTROL!$C$42, 63.0665, 63.0665)* CHOOSE(CONTROL!$C$21, $C$9, 100%, $E$9)</f>
        <v>63.066499999999998</v>
      </c>
      <c r="K788" s="53">
        <f>CHOOSE(CONTROL!$C$42, 63.285, 63.285) * CHOOSE(CONTROL!$C$21, $C$9, 100%, $E$9)</f>
        <v>63.284999999999997</v>
      </c>
      <c r="L788" s="14">
        <f>CHOOSE(CONTROL!$C$42, 63.9242, 63.9242) * CHOOSE(CONTROL!$C$21, $C$9, 100%, $E$9)</f>
        <v>63.924199999999999</v>
      </c>
      <c r="M788" s="14">
        <f>CHOOSE(CONTROL!$C$42, 61.782, 61.782) * CHOOSE(CONTROL!$C$21, $C$9, 100%, $E$9)</f>
        <v>61.781999999999996</v>
      </c>
      <c r="N788" s="14">
        <f>CHOOSE(CONTROL!$C$42, 61.7983, 61.7983) * CHOOSE(CONTROL!$C$21, $C$9, 100%, $E$9)</f>
        <v>61.798299999999998</v>
      </c>
      <c r="O788" s="14">
        <f>CHOOSE(CONTROL!$C$42, 62.0472, 62.0472) * CHOOSE(CONTROL!$C$21, $C$9, 100%, $E$9)</f>
        <v>62.047199999999997</v>
      </c>
      <c r="P788" s="14">
        <f>CHOOSE(CONTROL!$C$42, 61.996, 61.996) * CHOOSE(CONTROL!$C$21, $C$9, 100%, $E$9)</f>
        <v>61.996000000000002</v>
      </c>
      <c r="Q788" s="14">
        <f>CHOOSE(CONTROL!$C$42, 62.6419, 62.6419) * CHOOSE(CONTROL!$C$21, $C$9, 100%, $E$9)</f>
        <v>62.6419</v>
      </c>
      <c r="R788" s="14">
        <f>CHOOSE(CONTROL!$C$42, 63.3855, 63.3855) * CHOOSE(CONTROL!$C$21, $C$9, 100%, $E$9)</f>
        <v>63.3855</v>
      </c>
      <c r="S788" s="14">
        <f>CHOOSE(CONTROL!$C$42, 60.5986, 60.5986) * CHOOSE(CONTROL!$C$21, $C$9, 100%, $E$9)</f>
        <v>60.598599999999998</v>
      </c>
      <c r="T7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7">
        <f>(1000*CHOOSE(CONTROL!$C$42, 695, 695)*CHOOSE(CONTROL!$C$42, 0.5599, 0.5599)*CHOOSE(CONTROL!$C$42, 31, 31))/1000000</f>
        <v>12.063045499999998</v>
      </c>
      <c r="V788" s="57">
        <f>(1000*CHOOSE(CONTROL!$C$42, 500, 500)*CHOOSE(CONTROL!$C$42, 0.275, 0.275)*CHOOSE(CONTROL!$C$42, 31, 31))/1000000</f>
        <v>4.2625000000000002</v>
      </c>
      <c r="W788" s="57">
        <f>(1000*CHOOSE(CONTROL!$C$42, 0.1146, 0.1146)*CHOOSE(CONTROL!$C$42, 121.5, 121.5)*CHOOSE(CONTROL!$C$42, 31, 31))/1000000</f>
        <v>0.43164089999999994</v>
      </c>
      <c r="X788" s="57">
        <f>(31*0.1790888*245000/1000000)+(31*0.2374*100000/1000000)</f>
        <v>2.0961194359999999</v>
      </c>
      <c r="Y788" s="57"/>
      <c r="Z788" s="14"/>
      <c r="AA788" s="56"/>
      <c r="AB788" s="50">
        <f>(B788*194.205+C788*267.466+D788*133.845+E788*53.484+F788*40+G788*185+H788*0+I788*100+J788*300)/(194.205+267.466+133.845+53.484+0+40+185+100+300)</f>
        <v>63.130715196546312</v>
      </c>
      <c r="AC788" s="45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61.933928057553949</v>
      </c>
    </row>
    <row r="789" spans="1:29" ht="15.75" x14ac:dyDescent="0.25">
      <c r="A789" s="32">
        <v>64923</v>
      </c>
      <c r="B789" s="14">
        <f>CHOOSE(CONTROL!$C$42, 59.0713, 59.0713) * CHOOSE(CONTROL!$C$21, $C$9, 100%, $E$9)</f>
        <v>59.071300000000001</v>
      </c>
      <c r="C789" s="14">
        <f>CHOOSE(CONTROL!$C$42, 59.0793, 59.0793) * CHOOSE(CONTROL!$C$21, $C$9, 100%, $E$9)</f>
        <v>59.079300000000003</v>
      </c>
      <c r="D789" s="14">
        <f>CHOOSE(CONTROL!$C$42, 59.3129, 59.3129) * CHOOSE(CONTROL!$C$21, $C$9, 100%, $E$9)</f>
        <v>59.312899999999999</v>
      </c>
      <c r="E789" s="14">
        <f>CHOOSE(CONTROL!$C$42, 59.3444, 59.3444) * CHOOSE(CONTROL!$C$21, $C$9, 100%, $E$9)</f>
        <v>59.3444</v>
      </c>
      <c r="F789" s="14">
        <f>CHOOSE(CONTROL!$C$42, 59.0693, 59.0693)*CHOOSE(CONTROL!$C$21, $C$9, 100%, $E$9)</f>
        <v>59.069299999999998</v>
      </c>
      <c r="G789" s="14">
        <f>CHOOSE(CONTROL!$C$42, 59.086, 59.086)*CHOOSE(CONTROL!$C$21, $C$9, 100%, $E$9)</f>
        <v>59.085999999999999</v>
      </c>
      <c r="H789" s="14">
        <f>CHOOSE(CONTROL!$C$42, 59.333, 59.333) * CHOOSE(CONTROL!$C$21, $C$9, 100%, $E$9)</f>
        <v>59.332999999999998</v>
      </c>
      <c r="I789" s="14">
        <f>CHOOSE(CONTROL!$C$42, 59.2722, 59.2722)* CHOOSE(CONTROL!$C$21, $C$9, 100%, $E$9)</f>
        <v>59.272199999999998</v>
      </c>
      <c r="J789" s="14">
        <f>CHOOSE(CONTROL!$C$42, 59.0623, 59.0623)* CHOOSE(CONTROL!$C$21, $C$9, 100%, $E$9)</f>
        <v>59.0623</v>
      </c>
      <c r="K789" s="53">
        <f>CHOOSE(CONTROL!$C$42, 59.2683, 59.2683) * CHOOSE(CONTROL!$C$21, $C$9, 100%, $E$9)</f>
        <v>59.268300000000004</v>
      </c>
      <c r="L789" s="14">
        <f>CHOOSE(CONTROL!$C$42, 59.92, 59.92) * CHOOSE(CONTROL!$C$21, $C$9, 100%, $E$9)</f>
        <v>59.92</v>
      </c>
      <c r="M789" s="14">
        <f>CHOOSE(CONTROL!$C$42, 57.8598, 57.8598) * CHOOSE(CONTROL!$C$21, $C$9, 100%, $E$9)</f>
        <v>57.8598</v>
      </c>
      <c r="N789" s="14">
        <f>CHOOSE(CONTROL!$C$42, 57.8762, 57.8762) * CHOOSE(CONTROL!$C$21, $C$9, 100%, $E$9)</f>
        <v>57.876199999999997</v>
      </c>
      <c r="O789" s="14">
        <f>CHOOSE(CONTROL!$C$42, 58.125, 58.125) * CHOOSE(CONTROL!$C$21, $C$9, 100%, $E$9)</f>
        <v>58.125</v>
      </c>
      <c r="P789" s="14">
        <f>CHOOSE(CONTROL!$C$42, 58.0618, 58.0618) * CHOOSE(CONTROL!$C$21, $C$9, 100%, $E$9)</f>
        <v>58.061799999999998</v>
      </c>
      <c r="Q789" s="14">
        <f>CHOOSE(CONTROL!$C$42, 58.7197, 58.7197) * CHOOSE(CONTROL!$C$21, $C$9, 100%, $E$9)</f>
        <v>58.719700000000003</v>
      </c>
      <c r="R789" s="14">
        <f>CHOOSE(CONTROL!$C$42, 59.4535, 59.4535) * CHOOSE(CONTROL!$C$21, $C$9, 100%, $E$9)</f>
        <v>59.453499999999998</v>
      </c>
      <c r="S789" s="14">
        <f>CHOOSE(CONTROL!$C$42, 56.751, 56.751) * CHOOSE(CONTROL!$C$21, $C$9, 100%, $E$9)</f>
        <v>56.750999999999998</v>
      </c>
      <c r="T7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7">
        <f>(1000*CHOOSE(CONTROL!$C$42, 695, 695)*CHOOSE(CONTROL!$C$42, 0.5599, 0.5599)*CHOOSE(CONTROL!$C$42, 30, 30))/1000000</f>
        <v>11.673914999999997</v>
      </c>
      <c r="V789" s="57">
        <f>(1000*CHOOSE(CONTROL!$C$42, 500, 500)*CHOOSE(CONTROL!$C$42, 0.275, 0.275)*CHOOSE(CONTROL!$C$42, 30, 30))/1000000</f>
        <v>4.125</v>
      </c>
      <c r="W789" s="57">
        <f>(1000*CHOOSE(CONTROL!$C$42, 0.1146, 0.1146)*CHOOSE(CONTROL!$C$42, 121.5, 121.5)*CHOOSE(CONTROL!$C$42, 30, 30))/1000000</f>
        <v>0.417717</v>
      </c>
      <c r="X789" s="57">
        <f>(30*0.1790888*245000/1000000)+(30*0.2374*100000/1000000)</f>
        <v>2.0285026799999999</v>
      </c>
      <c r="Y789" s="57"/>
      <c r="Z789" s="14"/>
      <c r="AA789" s="56"/>
      <c r="AB789" s="50">
        <f>(B789*194.205+C789*267.466+D789*133.845+E789*53.484+F789*40+G789*185+H789*0+I789*100+J789*300)/(194.205+267.466+133.845+53.484+0+40+185+100+300)</f>
        <v>59.12554855604396</v>
      </c>
      <c r="AC789" s="45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58.010007194244608</v>
      </c>
    </row>
    <row r="790" spans="1:29" ht="15.75" x14ac:dyDescent="0.25">
      <c r="A790" s="32">
        <v>64954</v>
      </c>
      <c r="B790" s="14">
        <f>CHOOSE(CONTROL!$C$42, 57.8704, 57.8704) * CHOOSE(CONTROL!$C$21, $C$9, 100%, $E$9)</f>
        <v>57.870399999999997</v>
      </c>
      <c r="C790" s="14">
        <f>CHOOSE(CONTROL!$C$42, 57.8757, 57.8757) * CHOOSE(CONTROL!$C$21, $C$9, 100%, $E$9)</f>
        <v>57.875700000000002</v>
      </c>
      <c r="D790" s="14">
        <f>CHOOSE(CONTROL!$C$42, 58.1143, 58.1143) * CHOOSE(CONTROL!$C$21, $C$9, 100%, $E$9)</f>
        <v>58.1143</v>
      </c>
      <c r="E790" s="14">
        <f>CHOOSE(CONTROL!$C$42, 58.1434, 58.1434) * CHOOSE(CONTROL!$C$21, $C$9, 100%, $E$9)</f>
        <v>58.1434</v>
      </c>
      <c r="F790" s="14">
        <f>CHOOSE(CONTROL!$C$42, 57.8704, 57.8704)*CHOOSE(CONTROL!$C$21, $C$9, 100%, $E$9)</f>
        <v>57.870399999999997</v>
      </c>
      <c r="G790" s="14">
        <f>CHOOSE(CONTROL!$C$42, 57.8867, 57.8867)*CHOOSE(CONTROL!$C$21, $C$9, 100%, $E$9)</f>
        <v>57.886699999999998</v>
      </c>
      <c r="H790" s="14">
        <f>CHOOSE(CONTROL!$C$42, 58.1339, 58.1339) * CHOOSE(CONTROL!$C$21, $C$9, 100%, $E$9)</f>
        <v>58.133899999999997</v>
      </c>
      <c r="I790" s="14">
        <f>CHOOSE(CONTROL!$C$42, 58.0693, 58.0693)* CHOOSE(CONTROL!$C$21, $C$9, 100%, $E$9)</f>
        <v>58.069299999999998</v>
      </c>
      <c r="J790" s="14">
        <f>CHOOSE(CONTROL!$C$42, 57.8634, 57.8634)* CHOOSE(CONTROL!$C$21, $C$9, 100%, $E$9)</f>
        <v>57.863399999999999</v>
      </c>
      <c r="K790" s="53">
        <f>CHOOSE(CONTROL!$C$42, 58.0654, 58.0654) * CHOOSE(CONTROL!$C$21, $C$9, 100%, $E$9)</f>
        <v>58.065399999999997</v>
      </c>
      <c r="L790" s="14">
        <f>CHOOSE(CONTROL!$C$42, 58.7209, 58.7209) * CHOOSE(CONTROL!$C$21, $C$9, 100%, $E$9)</f>
        <v>58.7209</v>
      </c>
      <c r="M790" s="14">
        <f>CHOOSE(CONTROL!$C$42, 56.6855, 56.6855) * CHOOSE(CONTROL!$C$21, $C$9, 100%, $E$9)</f>
        <v>56.685499999999998</v>
      </c>
      <c r="N790" s="14">
        <f>CHOOSE(CONTROL!$C$42, 56.7015, 56.7015) * CHOOSE(CONTROL!$C$21, $C$9, 100%, $E$9)</f>
        <v>56.701500000000003</v>
      </c>
      <c r="O790" s="14">
        <f>CHOOSE(CONTROL!$C$42, 56.9504, 56.9504) * CHOOSE(CONTROL!$C$21, $C$9, 100%, $E$9)</f>
        <v>56.950400000000002</v>
      </c>
      <c r="P790" s="14">
        <f>CHOOSE(CONTROL!$C$42, 56.8836, 56.8836) * CHOOSE(CONTROL!$C$21, $C$9, 100%, $E$9)</f>
        <v>56.883600000000001</v>
      </c>
      <c r="Q790" s="14">
        <f>CHOOSE(CONTROL!$C$42, 57.5451, 57.5451) * CHOOSE(CONTROL!$C$21, $C$9, 100%, $E$9)</f>
        <v>57.545099999999998</v>
      </c>
      <c r="R790" s="14">
        <f>CHOOSE(CONTROL!$C$42, 58.276, 58.276) * CHOOSE(CONTROL!$C$21, $C$9, 100%, $E$9)</f>
        <v>58.276000000000003</v>
      </c>
      <c r="S790" s="14">
        <f>CHOOSE(CONTROL!$C$42, 55.5987, 55.5987) * CHOOSE(CONTROL!$C$21, $C$9, 100%, $E$9)</f>
        <v>55.598700000000001</v>
      </c>
      <c r="T7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7">
        <f>(1000*CHOOSE(CONTROL!$C$42, 695, 695)*CHOOSE(CONTROL!$C$42, 0.5599, 0.5599)*CHOOSE(CONTROL!$C$42, 31, 31))/1000000</f>
        <v>12.063045499999998</v>
      </c>
      <c r="V790" s="57">
        <f>(1000*CHOOSE(CONTROL!$C$42, 500, 500)*CHOOSE(CONTROL!$C$42, 0.275, 0.275)*CHOOSE(CONTROL!$C$42, 31, 31))/1000000</f>
        <v>4.2625000000000002</v>
      </c>
      <c r="W790" s="57">
        <f>(1000*CHOOSE(CONTROL!$C$42, 0.1146, 0.1146)*CHOOSE(CONTROL!$C$42, 121.5, 121.5)*CHOOSE(CONTROL!$C$42, 31, 31))/1000000</f>
        <v>0.43164089999999994</v>
      </c>
      <c r="X790" s="57">
        <f>(31*0.1790888*245000/1000000)+(31*0.2374*100000/1000000)</f>
        <v>2.0961194359999999</v>
      </c>
      <c r="Y790" s="57"/>
      <c r="Z790" s="14"/>
      <c r="AA790" s="56"/>
      <c r="AB790" s="50">
        <f>(B790*131.881+C790*277.167+D790*79.08+E790*125.872+F790*40+G790*185+H790*0+I790*100+J790*300)/(131.881+277.167+79.08+125.872+0+40+185+100+300)</f>
        <v>57.931679381033099</v>
      </c>
      <c r="AC790" s="45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56.834987050359707</v>
      </c>
    </row>
    <row r="791" spans="1:29" ht="15.75" x14ac:dyDescent="0.25">
      <c r="A791" s="32">
        <v>64984</v>
      </c>
      <c r="B791" s="14">
        <f>CHOOSE(CONTROL!$C$42, 59.3943, 59.3943) * CHOOSE(CONTROL!$C$21, $C$9, 100%, $E$9)</f>
        <v>59.394300000000001</v>
      </c>
      <c r="C791" s="14">
        <f>CHOOSE(CONTROL!$C$42, 59.3994, 59.3994) * CHOOSE(CONTROL!$C$21, $C$9, 100%, $E$9)</f>
        <v>59.3994</v>
      </c>
      <c r="D791" s="14">
        <f>CHOOSE(CONTROL!$C$42, 59.4736, 59.4736) * CHOOSE(CONTROL!$C$21, $C$9, 100%, $E$9)</f>
        <v>59.473599999999998</v>
      </c>
      <c r="E791" s="14">
        <f>CHOOSE(CONTROL!$C$42, 59.5077, 59.5077) * CHOOSE(CONTROL!$C$21, $C$9, 100%, $E$9)</f>
        <v>59.5077</v>
      </c>
      <c r="F791" s="14">
        <f>CHOOSE(CONTROL!$C$42, 59.4063, 59.4063)*CHOOSE(CONTROL!$C$21, $C$9, 100%, $E$9)</f>
        <v>59.406300000000002</v>
      </c>
      <c r="G791" s="14">
        <f>CHOOSE(CONTROL!$C$42, 59.4229, 59.4229)*CHOOSE(CONTROL!$C$21, $C$9, 100%, $E$9)</f>
        <v>59.422899999999998</v>
      </c>
      <c r="H791" s="14">
        <f>CHOOSE(CONTROL!$C$42, 59.4969, 59.4969) * CHOOSE(CONTROL!$C$21, $C$9, 100%, $E$9)</f>
        <v>59.496899999999997</v>
      </c>
      <c r="I791" s="14">
        <f>CHOOSE(CONTROL!$C$42, 59.6046, 59.6046)* CHOOSE(CONTROL!$C$21, $C$9, 100%, $E$9)</f>
        <v>59.604599999999998</v>
      </c>
      <c r="J791" s="14">
        <f>CHOOSE(CONTROL!$C$42, 59.3993, 59.3993)* CHOOSE(CONTROL!$C$21, $C$9, 100%, $E$9)</f>
        <v>59.399299999999997</v>
      </c>
      <c r="K791" s="53">
        <f>CHOOSE(CONTROL!$C$42, 59.6007, 59.6007) * CHOOSE(CONTROL!$C$21, $C$9, 100%, $E$9)</f>
        <v>59.600700000000003</v>
      </c>
      <c r="L791" s="14">
        <f>CHOOSE(CONTROL!$C$42, 60.0839, 60.0839) * CHOOSE(CONTROL!$C$21, $C$9, 100%, $E$9)</f>
        <v>60.0839</v>
      </c>
      <c r="M791" s="14">
        <f>CHOOSE(CONTROL!$C$42, 58.19, 58.19) * CHOOSE(CONTROL!$C$21, $C$9, 100%, $E$9)</f>
        <v>58.19</v>
      </c>
      <c r="N791" s="14">
        <f>CHOOSE(CONTROL!$C$42, 58.2062, 58.2062) * CHOOSE(CONTROL!$C$21, $C$9, 100%, $E$9)</f>
        <v>58.206200000000003</v>
      </c>
      <c r="O791" s="14">
        <f>CHOOSE(CONTROL!$C$42, 58.2855, 58.2855) * CHOOSE(CONTROL!$C$21, $C$9, 100%, $E$9)</f>
        <v>58.285499999999999</v>
      </c>
      <c r="P791" s="14">
        <f>CHOOSE(CONTROL!$C$42, 58.3874, 58.3874) * CHOOSE(CONTROL!$C$21, $C$9, 100%, $E$9)</f>
        <v>58.3874</v>
      </c>
      <c r="Q791" s="14">
        <f>CHOOSE(CONTROL!$C$42, 58.8802, 58.8802) * CHOOSE(CONTROL!$C$21, $C$9, 100%, $E$9)</f>
        <v>58.880200000000002</v>
      </c>
      <c r="R791" s="14">
        <f>CHOOSE(CONTROL!$C$42, 59.6144, 59.6144) * CHOOSE(CONTROL!$C$21, $C$9, 100%, $E$9)</f>
        <v>59.614400000000003</v>
      </c>
      <c r="S791" s="14">
        <f>CHOOSE(CONTROL!$C$42, 57.0634, 57.0634) * CHOOSE(CONTROL!$C$21, $C$9, 100%, $E$9)</f>
        <v>57.063400000000001</v>
      </c>
      <c r="T7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7">
        <f>(1000*CHOOSE(CONTROL!$C$42, 695, 695)*CHOOSE(CONTROL!$C$42, 0.5599, 0.5599)*CHOOSE(CONTROL!$C$42, 30, 30))/1000000</f>
        <v>11.673914999999997</v>
      </c>
      <c r="V791" s="57">
        <f>(1000*CHOOSE(CONTROL!$C$42, 500, 500)*CHOOSE(CONTROL!$C$42, 0.275, 0.275)*CHOOSE(CONTROL!$C$42, 30, 30))/1000000</f>
        <v>4.125</v>
      </c>
      <c r="W791" s="57">
        <f>(1000*CHOOSE(CONTROL!$C$42, 0.1146, 0.1146)*CHOOSE(CONTROL!$C$42, 121.5, 121.5)*CHOOSE(CONTROL!$C$42, 30, 30))/1000000</f>
        <v>0.417717</v>
      </c>
      <c r="X791" s="57">
        <f>(30*0.1790888*100000/1000000)+(30*0.2374*100000/1000000)</f>
        <v>1.2494664</v>
      </c>
      <c r="Y791" s="57"/>
      <c r="Z791" s="14"/>
      <c r="AA791" s="56"/>
      <c r="AB791" s="50">
        <f>(B791*122.58+C791*297.941+D791*89.177+E791*40.302+F791*40+G791*160+H791*0+I791*100+J791*300)/(122.58+297.941+89.177+40.302+0+40+160+100+300)</f>
        <v>59.429732593043475</v>
      </c>
      <c r="AC791" s="45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58.262619424460418</v>
      </c>
    </row>
    <row r="792" spans="1:29" ht="15.75" x14ac:dyDescent="0.25">
      <c r="A792" s="32">
        <v>65015</v>
      </c>
      <c r="B792" s="14">
        <f>CHOOSE(CONTROL!$C$42, 63.4431, 63.4431) * CHOOSE(CONTROL!$C$21, $C$9, 100%, $E$9)</f>
        <v>63.443100000000001</v>
      </c>
      <c r="C792" s="14">
        <f>CHOOSE(CONTROL!$C$42, 63.4482, 63.4482) * CHOOSE(CONTROL!$C$21, $C$9, 100%, $E$9)</f>
        <v>63.4482</v>
      </c>
      <c r="D792" s="14">
        <f>CHOOSE(CONTROL!$C$42, 63.5224, 63.5224) * CHOOSE(CONTROL!$C$21, $C$9, 100%, $E$9)</f>
        <v>63.522399999999998</v>
      </c>
      <c r="E792" s="14">
        <f>CHOOSE(CONTROL!$C$42, 63.5565, 63.5565) * CHOOSE(CONTROL!$C$21, $C$9, 100%, $E$9)</f>
        <v>63.5565</v>
      </c>
      <c r="F792" s="14">
        <f>CHOOSE(CONTROL!$C$42, 63.4573, 63.4573)*CHOOSE(CONTROL!$C$21, $C$9, 100%, $E$9)</f>
        <v>63.457299999999996</v>
      </c>
      <c r="G792" s="14">
        <f>CHOOSE(CONTROL!$C$42, 63.4745, 63.4745)*CHOOSE(CONTROL!$C$21, $C$9, 100%, $E$9)</f>
        <v>63.474499999999999</v>
      </c>
      <c r="H792" s="14">
        <f>CHOOSE(CONTROL!$C$42, 63.5457, 63.5457) * CHOOSE(CONTROL!$C$21, $C$9, 100%, $E$9)</f>
        <v>63.545699999999997</v>
      </c>
      <c r="I792" s="14">
        <f>CHOOSE(CONTROL!$C$42, 63.6661, 63.6661)* CHOOSE(CONTROL!$C$21, $C$9, 100%, $E$9)</f>
        <v>63.6661</v>
      </c>
      <c r="J792" s="14">
        <f>CHOOSE(CONTROL!$C$42, 63.4503, 63.4503)* CHOOSE(CONTROL!$C$21, $C$9, 100%, $E$9)</f>
        <v>63.450299999999999</v>
      </c>
      <c r="K792" s="53">
        <f>CHOOSE(CONTROL!$C$42, 63.6622, 63.6622) * CHOOSE(CONTROL!$C$21, $C$9, 100%, $E$9)</f>
        <v>63.662199999999999</v>
      </c>
      <c r="L792" s="14">
        <f>CHOOSE(CONTROL!$C$42, 64.1327, 64.1327) * CHOOSE(CONTROL!$C$21, $C$9, 100%, $E$9)</f>
        <v>64.1327</v>
      </c>
      <c r="M792" s="14">
        <f>CHOOSE(CONTROL!$C$42, 62.158, 62.158) * CHOOSE(CONTROL!$C$21, $C$9, 100%, $E$9)</f>
        <v>62.158000000000001</v>
      </c>
      <c r="N792" s="14">
        <f>CHOOSE(CONTROL!$C$42, 62.1748, 62.1748) * CHOOSE(CONTROL!$C$21, $C$9, 100%, $E$9)</f>
        <v>62.174799999999998</v>
      </c>
      <c r="O792" s="14">
        <f>CHOOSE(CONTROL!$C$42, 62.2514, 62.2514) * CHOOSE(CONTROL!$C$21, $C$9, 100%, $E$9)</f>
        <v>62.251399999999997</v>
      </c>
      <c r="P792" s="14">
        <f>CHOOSE(CONTROL!$C$42, 62.3654, 62.3654) * CHOOSE(CONTROL!$C$21, $C$9, 100%, $E$9)</f>
        <v>62.365400000000001</v>
      </c>
      <c r="Q792" s="14">
        <f>CHOOSE(CONTROL!$C$42, 62.8461, 62.8461) * CHOOSE(CONTROL!$C$21, $C$9, 100%, $E$9)</f>
        <v>62.8461</v>
      </c>
      <c r="R792" s="14">
        <f>CHOOSE(CONTROL!$C$42, 63.5902, 63.5902) * CHOOSE(CONTROL!$C$21, $C$9, 100%, $E$9)</f>
        <v>63.590200000000003</v>
      </c>
      <c r="S792" s="14">
        <f>CHOOSE(CONTROL!$C$42, 60.9539, 60.9539) * CHOOSE(CONTROL!$C$21, $C$9, 100%, $E$9)</f>
        <v>60.953899999999997</v>
      </c>
      <c r="T7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7">
        <f>(1000*CHOOSE(CONTROL!$C$42, 695, 695)*CHOOSE(CONTROL!$C$42, 0.5599, 0.5599)*CHOOSE(CONTROL!$C$42, 31, 31))/1000000</f>
        <v>12.063045499999998</v>
      </c>
      <c r="V792" s="57">
        <f>(1000*CHOOSE(CONTROL!$C$42, 500, 500)*CHOOSE(CONTROL!$C$42, 0.275, 0.275)*CHOOSE(CONTROL!$C$42, 31, 31))/1000000</f>
        <v>4.2625000000000002</v>
      </c>
      <c r="W792" s="57">
        <f>(1000*CHOOSE(CONTROL!$C$42, 0.1146, 0.1146)*CHOOSE(CONTROL!$C$42, 121.5, 121.5)*CHOOSE(CONTROL!$C$42, 31, 31))/1000000</f>
        <v>0.43164089999999994</v>
      </c>
      <c r="X792" s="57">
        <f>(31*0.1790888*100000/1000000)+(31*0.2374*100000/1000000)</f>
        <v>1.2911152800000001</v>
      </c>
      <c r="Y792" s="57"/>
      <c r="Z792" s="14"/>
      <c r="AA792" s="56"/>
      <c r="AB792" s="50">
        <f>(B792*122.58+C792*297.941+D792*89.177+E792*40.302+F792*40+G792*160+H792*0+I792*100+J792*300)/(122.58+297.941+89.177+40.302+0+40+160+100+300)</f>
        <v>63.480676940869557</v>
      </c>
      <c r="AC792" s="45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62.231141007194253</v>
      </c>
    </row>
    <row r="793" spans="1:29" ht="15.75" x14ac:dyDescent="0.25">
      <c r="A793" s="32">
        <v>65046</v>
      </c>
      <c r="B793" s="14">
        <f>CHOOSE(CONTROL!$C$42, 68.7018, 68.7018) * CHOOSE(CONTROL!$C$21, $C$9, 100%, $E$9)</f>
        <v>68.701800000000006</v>
      </c>
      <c r="C793" s="14">
        <f>CHOOSE(CONTROL!$C$42, 68.7068, 68.7068) * CHOOSE(CONTROL!$C$21, $C$9, 100%, $E$9)</f>
        <v>68.706800000000001</v>
      </c>
      <c r="D793" s="14">
        <f>CHOOSE(CONTROL!$C$42, 68.7837, 68.7837) * CHOOSE(CONTROL!$C$21, $C$9, 100%, $E$9)</f>
        <v>68.783699999999996</v>
      </c>
      <c r="E793" s="14">
        <f>CHOOSE(CONTROL!$C$42, 68.8178, 68.8178) * CHOOSE(CONTROL!$C$21, $C$9, 100%, $E$9)</f>
        <v>68.817800000000005</v>
      </c>
      <c r="F793" s="14">
        <f>CHOOSE(CONTROL!$C$42, 68.702, 68.702)*CHOOSE(CONTROL!$C$21, $C$9, 100%, $E$9)</f>
        <v>68.701999999999998</v>
      </c>
      <c r="G793" s="14">
        <f>CHOOSE(CONTROL!$C$42, 68.7182, 68.7182)*CHOOSE(CONTROL!$C$21, $C$9, 100%, $E$9)</f>
        <v>68.718199999999996</v>
      </c>
      <c r="H793" s="14">
        <f>CHOOSE(CONTROL!$C$42, 68.807, 68.807) * CHOOSE(CONTROL!$C$21, $C$9, 100%, $E$9)</f>
        <v>68.807000000000002</v>
      </c>
      <c r="I793" s="14">
        <f>CHOOSE(CONTROL!$C$42, 68.935, 68.935)* CHOOSE(CONTROL!$C$21, $C$9, 100%, $E$9)</f>
        <v>68.935000000000002</v>
      </c>
      <c r="J793" s="14">
        <f>CHOOSE(CONTROL!$C$42, 68.695, 68.695)* CHOOSE(CONTROL!$C$21, $C$9, 100%, $E$9)</f>
        <v>68.694999999999993</v>
      </c>
      <c r="K793" s="53">
        <f>CHOOSE(CONTROL!$C$42, 68.9311, 68.9311) * CHOOSE(CONTROL!$C$21, $C$9, 100%, $E$9)</f>
        <v>68.931100000000001</v>
      </c>
      <c r="L793" s="14">
        <f>CHOOSE(CONTROL!$C$42, 69.394, 69.394) * CHOOSE(CONTROL!$C$21, $C$9, 100%, $E$9)</f>
        <v>69.394000000000005</v>
      </c>
      <c r="M793" s="14">
        <f>CHOOSE(CONTROL!$C$42, 67.2952, 67.2952) * CHOOSE(CONTROL!$C$21, $C$9, 100%, $E$9)</f>
        <v>67.295199999999994</v>
      </c>
      <c r="N793" s="14">
        <f>CHOOSE(CONTROL!$C$42, 67.311, 67.311) * CHOOSE(CONTROL!$C$21, $C$9, 100%, $E$9)</f>
        <v>67.311000000000007</v>
      </c>
      <c r="O793" s="14">
        <f>CHOOSE(CONTROL!$C$42, 67.4048, 67.4048) * CHOOSE(CONTROL!$C$21, $C$9, 100%, $E$9)</f>
        <v>67.404799999999994</v>
      </c>
      <c r="P793" s="14">
        <f>CHOOSE(CONTROL!$C$42, 67.526, 67.526) * CHOOSE(CONTROL!$C$21, $C$9, 100%, $E$9)</f>
        <v>67.525999999999996</v>
      </c>
      <c r="Q793" s="14">
        <f>CHOOSE(CONTROL!$C$42, 67.9995, 67.9995) * CHOOSE(CONTROL!$C$21, $C$9, 100%, $E$9)</f>
        <v>67.999499999999998</v>
      </c>
      <c r="R793" s="14">
        <f>CHOOSE(CONTROL!$C$42, 68.7565, 68.7565) * CHOOSE(CONTROL!$C$21, $C$9, 100%, $E$9)</f>
        <v>68.756500000000003</v>
      </c>
      <c r="S793" s="14">
        <f>CHOOSE(CONTROL!$C$42, 66.007, 66.007) * CHOOSE(CONTROL!$C$21, $C$9, 100%, $E$9)</f>
        <v>66.007000000000005</v>
      </c>
      <c r="T7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7">
        <f>(1000*CHOOSE(CONTROL!$C$42, 695, 695)*CHOOSE(CONTROL!$C$42, 0.5599, 0.5599)*CHOOSE(CONTROL!$C$42, 31, 31))/1000000</f>
        <v>12.063045499999998</v>
      </c>
      <c r="V793" s="57">
        <f>(1000*CHOOSE(CONTROL!$C$42, 500, 500)*CHOOSE(CONTROL!$C$42, 0.275, 0.275)*CHOOSE(CONTROL!$C$42, 31, 31))/1000000</f>
        <v>4.2625000000000002</v>
      </c>
      <c r="W793" s="57">
        <f>(1000*CHOOSE(CONTROL!$C$42, 0.1146, 0.1146)*CHOOSE(CONTROL!$C$42, 121.5, 121.5)*CHOOSE(CONTROL!$C$42, 31, 31))/1000000</f>
        <v>0.43164089999999994</v>
      </c>
      <c r="X793" s="57">
        <f>(31*0.1790888*100000/1000000)+(31*0.2374*100000/1000000)</f>
        <v>1.2911152800000001</v>
      </c>
      <c r="Y793" s="57"/>
      <c r="Z793" s="14"/>
      <c r="AA793" s="56"/>
      <c r="AB793" s="50">
        <f>(B793*122.58+C793*297.941+D793*89.177+E793*40.302+F793*40+G793*160+H793*0+I793*100+J793*300)/(122.58+297.941+89.177+40.302+0+40+160+100+300)</f>
        <v>68.734304637652173</v>
      </c>
      <c r="AC793" s="45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67.378992805755402</v>
      </c>
    </row>
    <row r="794" spans="1:29" ht="15.75" x14ac:dyDescent="0.25">
      <c r="A794" s="32">
        <v>65074</v>
      </c>
      <c r="B794" s="14">
        <f>CHOOSE(CONTROL!$C$42, 69.9246, 69.9246) * CHOOSE(CONTROL!$C$21, $C$9, 100%, $E$9)</f>
        <v>69.924599999999998</v>
      </c>
      <c r="C794" s="14">
        <f>CHOOSE(CONTROL!$C$42, 69.9297, 69.9297) * CHOOSE(CONTROL!$C$21, $C$9, 100%, $E$9)</f>
        <v>69.929699999999997</v>
      </c>
      <c r="D794" s="14">
        <f>CHOOSE(CONTROL!$C$42, 70.0065, 70.0065) * CHOOSE(CONTROL!$C$21, $C$9, 100%, $E$9)</f>
        <v>70.006500000000003</v>
      </c>
      <c r="E794" s="14">
        <f>CHOOSE(CONTROL!$C$42, 70.0406, 70.0406) * CHOOSE(CONTROL!$C$21, $C$9, 100%, $E$9)</f>
        <v>70.040599999999998</v>
      </c>
      <c r="F794" s="14">
        <f>CHOOSE(CONTROL!$C$42, 69.9249, 69.9249)*CHOOSE(CONTROL!$C$21, $C$9, 100%, $E$9)</f>
        <v>69.924899999999994</v>
      </c>
      <c r="G794" s="14">
        <f>CHOOSE(CONTROL!$C$42, 69.9411, 69.9411)*CHOOSE(CONTROL!$C$21, $C$9, 100%, $E$9)</f>
        <v>69.941100000000006</v>
      </c>
      <c r="H794" s="14">
        <f>CHOOSE(CONTROL!$C$42, 70.0298, 70.0298) * CHOOSE(CONTROL!$C$21, $C$9, 100%, $E$9)</f>
        <v>70.029799999999994</v>
      </c>
      <c r="I794" s="14">
        <f>CHOOSE(CONTROL!$C$42, 70.1616, 70.1616)* CHOOSE(CONTROL!$C$21, $C$9, 100%, $E$9)</f>
        <v>70.161600000000007</v>
      </c>
      <c r="J794" s="14">
        <f>CHOOSE(CONTROL!$C$42, 69.9179, 69.9179)* CHOOSE(CONTROL!$C$21, $C$9, 100%, $E$9)</f>
        <v>69.917900000000003</v>
      </c>
      <c r="K794" s="53">
        <f>CHOOSE(CONTROL!$C$42, 70.1578, 70.1578) * CHOOSE(CONTROL!$C$21, $C$9, 100%, $E$9)</f>
        <v>70.157799999999995</v>
      </c>
      <c r="L794" s="14">
        <f>CHOOSE(CONTROL!$C$42, 70.6168, 70.6168) * CHOOSE(CONTROL!$C$21, $C$9, 100%, $E$9)</f>
        <v>70.616799999999998</v>
      </c>
      <c r="M794" s="14">
        <f>CHOOSE(CONTROL!$C$42, 68.493, 68.493) * CHOOSE(CONTROL!$C$21, $C$9, 100%, $E$9)</f>
        <v>68.492999999999995</v>
      </c>
      <c r="N794" s="14">
        <f>CHOOSE(CONTROL!$C$42, 68.5089, 68.5089) * CHOOSE(CONTROL!$C$21, $C$9, 100%, $E$9)</f>
        <v>68.508899999999997</v>
      </c>
      <c r="O794" s="14">
        <f>CHOOSE(CONTROL!$C$42, 68.6026, 68.6026) * CHOOSE(CONTROL!$C$21, $C$9, 100%, $E$9)</f>
        <v>68.602599999999995</v>
      </c>
      <c r="P794" s="14">
        <f>CHOOSE(CONTROL!$C$42, 68.7274, 68.7274) * CHOOSE(CONTROL!$C$21, $C$9, 100%, $E$9)</f>
        <v>68.727400000000003</v>
      </c>
      <c r="Q794" s="14">
        <f>CHOOSE(CONTROL!$C$42, 69.1973, 69.1973) * CHOOSE(CONTROL!$C$21, $C$9, 100%, $E$9)</f>
        <v>69.197299999999998</v>
      </c>
      <c r="R794" s="14">
        <f>CHOOSE(CONTROL!$C$42, 69.9573, 69.9573) * CHOOSE(CONTROL!$C$21, $C$9, 100%, $E$9)</f>
        <v>69.957300000000004</v>
      </c>
      <c r="S794" s="14">
        <f>CHOOSE(CONTROL!$C$42, 67.182, 67.182) * CHOOSE(CONTROL!$C$21, $C$9, 100%, $E$9)</f>
        <v>67.182000000000002</v>
      </c>
      <c r="T7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7">
        <f>(1000*CHOOSE(CONTROL!$C$42, 695, 695)*CHOOSE(CONTROL!$C$42, 0.5599, 0.5599)*CHOOSE(CONTROL!$C$42, 28, 28))/1000000</f>
        <v>10.895653999999999</v>
      </c>
      <c r="V794" s="57">
        <f>(1000*CHOOSE(CONTROL!$C$42, 500, 500)*CHOOSE(CONTROL!$C$42, 0.275, 0.275)*CHOOSE(CONTROL!$C$42, 28, 28))/1000000</f>
        <v>3.85</v>
      </c>
      <c r="W794" s="57">
        <f>(1000*CHOOSE(CONTROL!$C$42, 0.1146, 0.1146)*CHOOSE(CONTROL!$C$42, 121.5, 121.5)*CHOOSE(CONTROL!$C$42, 28, 28))/1000000</f>
        <v>0.38986920000000003</v>
      </c>
      <c r="X794" s="57">
        <f>(28*0.1790888*100000/1000000)+(28*0.2374*100000/1000000)</f>
        <v>1.16616864</v>
      </c>
      <c r="Y794" s="57"/>
      <c r="Z794" s="14"/>
      <c r="AA794" s="56"/>
      <c r="AB794" s="50">
        <f>(B794*122.58+C794*297.941+D794*89.177+E794*40.302+F794*40+G794*160+H794*0+I794*100+J794*300)/(122.58+297.941+89.177+40.302+0+40+160+100+300)</f>
        <v>69.95750445860871</v>
      </c>
      <c r="AC794" s="45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68.577316546762574</v>
      </c>
    </row>
    <row r="795" spans="1:29" ht="15.75" x14ac:dyDescent="0.25">
      <c r="A795" s="32">
        <v>65105</v>
      </c>
      <c r="B795" s="14">
        <f>CHOOSE(CONTROL!$C$42, 67.9397, 67.9397) * CHOOSE(CONTROL!$C$21, $C$9, 100%, $E$9)</f>
        <v>67.939700000000002</v>
      </c>
      <c r="C795" s="14">
        <f>CHOOSE(CONTROL!$C$42, 67.9447, 67.9447) * CHOOSE(CONTROL!$C$21, $C$9, 100%, $E$9)</f>
        <v>67.944699999999997</v>
      </c>
      <c r="D795" s="14">
        <f>CHOOSE(CONTROL!$C$42, 68.0215, 68.0215) * CHOOSE(CONTROL!$C$21, $C$9, 100%, $E$9)</f>
        <v>68.021500000000003</v>
      </c>
      <c r="E795" s="14">
        <f>CHOOSE(CONTROL!$C$42, 68.0557, 68.0557) * CHOOSE(CONTROL!$C$21, $C$9, 100%, $E$9)</f>
        <v>68.055700000000002</v>
      </c>
      <c r="F795" s="14">
        <f>CHOOSE(CONTROL!$C$42, 67.9395, 67.9395)*CHOOSE(CONTROL!$C$21, $C$9, 100%, $E$9)</f>
        <v>67.939499999999995</v>
      </c>
      <c r="G795" s="14">
        <f>CHOOSE(CONTROL!$C$42, 67.9556, 67.9556)*CHOOSE(CONTROL!$C$21, $C$9, 100%, $E$9)</f>
        <v>67.955600000000004</v>
      </c>
      <c r="H795" s="14">
        <f>CHOOSE(CONTROL!$C$42, 68.0448, 68.0448) * CHOOSE(CONTROL!$C$21, $C$9, 100%, $E$9)</f>
        <v>68.044799999999995</v>
      </c>
      <c r="I795" s="14">
        <f>CHOOSE(CONTROL!$C$42, 68.1705, 68.1705)* CHOOSE(CONTROL!$C$21, $C$9, 100%, $E$9)</f>
        <v>68.170500000000004</v>
      </c>
      <c r="J795" s="14">
        <f>CHOOSE(CONTROL!$C$42, 67.9325, 67.9325)* CHOOSE(CONTROL!$C$21, $C$9, 100%, $E$9)</f>
        <v>67.932500000000005</v>
      </c>
      <c r="K795" s="53">
        <f>CHOOSE(CONTROL!$C$42, 68.1666, 68.1666) * CHOOSE(CONTROL!$C$21, $C$9, 100%, $E$9)</f>
        <v>68.166600000000003</v>
      </c>
      <c r="L795" s="14">
        <f>CHOOSE(CONTROL!$C$42, 68.6318, 68.6318) * CHOOSE(CONTROL!$C$21, $C$9, 100%, $E$9)</f>
        <v>68.631799999999998</v>
      </c>
      <c r="M795" s="14">
        <f>CHOOSE(CONTROL!$C$42, 66.5483, 66.5483) * CHOOSE(CONTROL!$C$21, $C$9, 100%, $E$9)</f>
        <v>66.548299999999998</v>
      </c>
      <c r="N795" s="14">
        <f>CHOOSE(CONTROL!$C$42, 66.564, 66.564) * CHOOSE(CONTROL!$C$21, $C$9, 100%, $E$9)</f>
        <v>66.563999999999993</v>
      </c>
      <c r="O795" s="14">
        <f>CHOOSE(CONTROL!$C$42, 66.6583, 66.6583) * CHOOSE(CONTROL!$C$21, $C$9, 100%, $E$9)</f>
        <v>66.658299999999997</v>
      </c>
      <c r="P795" s="14">
        <f>CHOOSE(CONTROL!$C$42, 66.7772, 66.7772) * CHOOSE(CONTROL!$C$21, $C$9, 100%, $E$9)</f>
        <v>66.777199999999993</v>
      </c>
      <c r="Q795" s="14">
        <f>CHOOSE(CONTROL!$C$42, 67.253, 67.253) * CHOOSE(CONTROL!$C$21, $C$9, 100%, $E$9)</f>
        <v>67.253</v>
      </c>
      <c r="R795" s="14">
        <f>CHOOSE(CONTROL!$C$42, 68.0082, 68.0082) * CHOOSE(CONTROL!$C$21, $C$9, 100%, $E$9)</f>
        <v>68.008200000000002</v>
      </c>
      <c r="S795" s="14">
        <f>CHOOSE(CONTROL!$C$42, 65.2747, 65.2747) * CHOOSE(CONTROL!$C$21, $C$9, 100%, $E$9)</f>
        <v>65.274699999999996</v>
      </c>
      <c r="T7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7">
        <f>(1000*CHOOSE(CONTROL!$C$42, 695, 695)*CHOOSE(CONTROL!$C$42, 0.5599, 0.5599)*CHOOSE(CONTROL!$C$42, 31, 31))/1000000</f>
        <v>12.063045499999998</v>
      </c>
      <c r="V795" s="57">
        <f>(1000*CHOOSE(CONTROL!$C$42, 500, 500)*CHOOSE(CONTROL!$C$42, 0.275, 0.275)*CHOOSE(CONTROL!$C$42, 31, 31))/1000000</f>
        <v>4.2625000000000002</v>
      </c>
      <c r="W795" s="57">
        <f>(1000*CHOOSE(CONTROL!$C$42, 0.1146, 0.1146)*CHOOSE(CONTROL!$C$42, 121.5, 121.5)*CHOOSE(CONTROL!$C$42, 31, 31))/1000000</f>
        <v>0.43164089999999994</v>
      </c>
      <c r="X795" s="57">
        <f>(31*0.1790888*100000/1000000)+(31*0.2374*100000/1000000)</f>
        <v>1.2911152800000001</v>
      </c>
      <c r="Y795" s="57"/>
      <c r="Z795" s="14"/>
      <c r="AA795" s="56"/>
      <c r="AB795" s="50">
        <f>(B795*122.58+C795*297.941+D795*89.177+E795*40.302+F795*40+G795*160+H795*0+I795*100+J795*300)/(122.58+297.941+89.177+40.302+0+40+160+100+300)</f>
        <v>67.971800361391303</v>
      </c>
      <c r="AC795" s="45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66.631994964028777</v>
      </c>
    </row>
    <row r="796" spans="1:29" ht="15.75" x14ac:dyDescent="0.25">
      <c r="A796" s="32">
        <v>65135</v>
      </c>
      <c r="B796" s="14">
        <f>CHOOSE(CONTROL!$C$42, 67.7375, 67.7375) * CHOOSE(CONTROL!$C$21, $C$9, 100%, $E$9)</f>
        <v>67.737499999999997</v>
      </c>
      <c r="C796" s="14">
        <f>CHOOSE(CONTROL!$C$42, 67.742, 67.742) * CHOOSE(CONTROL!$C$21, $C$9, 100%, $E$9)</f>
        <v>67.742000000000004</v>
      </c>
      <c r="D796" s="14">
        <f>CHOOSE(CONTROL!$C$42, 67.9787, 67.9787) * CHOOSE(CONTROL!$C$21, $C$9, 100%, $E$9)</f>
        <v>67.978700000000003</v>
      </c>
      <c r="E796" s="14">
        <f>CHOOSE(CONTROL!$C$42, 68.0108, 68.0108) * CHOOSE(CONTROL!$C$21, $C$9, 100%, $E$9)</f>
        <v>68.010800000000003</v>
      </c>
      <c r="F796" s="14">
        <f>CHOOSE(CONTROL!$C$42, 67.7354, 67.7354)*CHOOSE(CONTROL!$C$21, $C$9, 100%, $E$9)</f>
        <v>67.735399999999998</v>
      </c>
      <c r="G796" s="14">
        <f>CHOOSE(CONTROL!$C$42, 67.7513, 67.7513)*CHOOSE(CONTROL!$C$21, $C$9, 100%, $E$9)</f>
        <v>67.751300000000001</v>
      </c>
      <c r="H796" s="14">
        <f>CHOOSE(CONTROL!$C$42, 68.0006, 68.0006) * CHOOSE(CONTROL!$C$21, $C$9, 100%, $E$9)</f>
        <v>68.000600000000006</v>
      </c>
      <c r="I796" s="14">
        <f>CHOOSE(CONTROL!$C$42, 67.9669, 67.9669)* CHOOSE(CONTROL!$C$21, $C$9, 100%, $E$9)</f>
        <v>67.966899999999995</v>
      </c>
      <c r="J796" s="14">
        <f>CHOOSE(CONTROL!$C$42, 67.7284, 67.7284)* CHOOSE(CONTROL!$C$21, $C$9, 100%, $E$9)</f>
        <v>67.728399999999993</v>
      </c>
      <c r="K796" s="53">
        <f>CHOOSE(CONTROL!$C$42, 67.963, 67.963) * CHOOSE(CONTROL!$C$21, $C$9, 100%, $E$9)</f>
        <v>67.962999999999994</v>
      </c>
      <c r="L796" s="14">
        <f>CHOOSE(CONTROL!$C$42, 68.5876, 68.5876) * CHOOSE(CONTROL!$C$21, $C$9, 100%, $E$9)</f>
        <v>68.587599999999995</v>
      </c>
      <c r="M796" s="14">
        <f>CHOOSE(CONTROL!$C$42, 66.3484, 66.3484) * CHOOSE(CONTROL!$C$21, $C$9, 100%, $E$9)</f>
        <v>66.348399999999998</v>
      </c>
      <c r="N796" s="14">
        <f>CHOOSE(CONTROL!$C$42, 66.3639, 66.3639) * CHOOSE(CONTROL!$C$21, $C$9, 100%, $E$9)</f>
        <v>66.363900000000001</v>
      </c>
      <c r="O796" s="14">
        <f>CHOOSE(CONTROL!$C$42, 66.615, 66.615) * CHOOSE(CONTROL!$C$21, $C$9, 100%, $E$9)</f>
        <v>66.614999999999995</v>
      </c>
      <c r="P796" s="14">
        <f>CHOOSE(CONTROL!$C$42, 66.5778, 66.5778) * CHOOSE(CONTROL!$C$21, $C$9, 100%, $E$9)</f>
        <v>66.577799999999996</v>
      </c>
      <c r="Q796" s="14">
        <f>CHOOSE(CONTROL!$C$42, 67.2097, 67.2097) * CHOOSE(CONTROL!$C$21, $C$9, 100%, $E$9)</f>
        <v>67.209699999999998</v>
      </c>
      <c r="R796" s="14">
        <f>CHOOSE(CONTROL!$C$42, 67.9647, 67.9647) * CHOOSE(CONTROL!$C$21, $C$9, 100%, $E$9)</f>
        <v>67.964699999999993</v>
      </c>
      <c r="S796" s="14">
        <f>CHOOSE(CONTROL!$C$42, 65.0797, 65.0797) * CHOOSE(CONTROL!$C$21, $C$9, 100%, $E$9)</f>
        <v>65.079700000000003</v>
      </c>
      <c r="T7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7">
        <f>(1000*CHOOSE(CONTROL!$C$42, 695, 695)*CHOOSE(CONTROL!$C$42, 0.5599, 0.5599)*CHOOSE(CONTROL!$C$42, 30, 30))/1000000</f>
        <v>11.673914999999997</v>
      </c>
      <c r="V796" s="57">
        <f>(1000*CHOOSE(CONTROL!$C$42, 500, 500)*CHOOSE(CONTROL!$C$42, 0.275, 0.275)*CHOOSE(CONTROL!$C$42, 30, 30))/1000000</f>
        <v>4.125</v>
      </c>
      <c r="W796" s="57">
        <f>(1000*CHOOSE(CONTROL!$C$42, 0.1146, 0.1146)*CHOOSE(CONTROL!$C$42, 121.5, 121.5)*CHOOSE(CONTROL!$C$42, 30, 30))/1000000</f>
        <v>0.417717</v>
      </c>
      <c r="X796" s="57">
        <f>(30*0.1790888*245000/1000000)+(30*0.2374*100000/1000000)</f>
        <v>2.0285026799999999</v>
      </c>
      <c r="Y796" s="57"/>
      <c r="Z796" s="14"/>
      <c r="AA796" s="56"/>
      <c r="AB796" s="50">
        <f>(B796*141.293+C796*267.993+D796*115.016+E796*89.698+F796*40+G796*185+H796*0+I796*100+J796*300)/(141.293+267.993+115.016+89.698+0+40+185+100+300)</f>
        <v>67.798953826553671</v>
      </c>
      <c r="AC796" s="45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66.503132374100716</v>
      </c>
    </row>
    <row r="797" spans="1:29" ht="15.75" x14ac:dyDescent="0.25">
      <c r="A797" s="32">
        <v>65166</v>
      </c>
      <c r="B797" s="14">
        <f>CHOOSE(CONTROL!$C$42, 68.3367, 68.3367) * CHOOSE(CONTROL!$C$21, $C$9, 100%, $E$9)</f>
        <v>68.336699999999993</v>
      </c>
      <c r="C797" s="14">
        <f>CHOOSE(CONTROL!$C$42, 68.3447, 68.3447) * CHOOSE(CONTROL!$C$21, $C$9, 100%, $E$9)</f>
        <v>68.344700000000003</v>
      </c>
      <c r="D797" s="14">
        <f>CHOOSE(CONTROL!$C$42, 68.5783, 68.5783) * CHOOSE(CONTROL!$C$21, $C$9, 100%, $E$9)</f>
        <v>68.578299999999999</v>
      </c>
      <c r="E797" s="14">
        <f>CHOOSE(CONTROL!$C$42, 68.6097, 68.6097) * CHOOSE(CONTROL!$C$21, $C$9, 100%, $E$9)</f>
        <v>68.609700000000004</v>
      </c>
      <c r="F797" s="14">
        <f>CHOOSE(CONTROL!$C$42, 68.3334, 68.3334)*CHOOSE(CONTROL!$C$21, $C$9, 100%, $E$9)</f>
        <v>68.333399999999997</v>
      </c>
      <c r="G797" s="14">
        <f>CHOOSE(CONTROL!$C$42, 68.3498, 68.3498)*CHOOSE(CONTROL!$C$21, $C$9, 100%, $E$9)</f>
        <v>68.349800000000002</v>
      </c>
      <c r="H797" s="14">
        <f>CHOOSE(CONTROL!$C$42, 68.5984, 68.5984) * CHOOSE(CONTROL!$C$21, $C$9, 100%, $E$9)</f>
        <v>68.598399999999998</v>
      </c>
      <c r="I797" s="14">
        <f>CHOOSE(CONTROL!$C$42, 68.5666, 68.5666)* CHOOSE(CONTROL!$C$21, $C$9, 100%, $E$9)</f>
        <v>68.566599999999994</v>
      </c>
      <c r="J797" s="14">
        <f>CHOOSE(CONTROL!$C$42, 68.3264, 68.3264)* CHOOSE(CONTROL!$C$21, $C$9, 100%, $E$9)</f>
        <v>68.326400000000007</v>
      </c>
      <c r="K797" s="53">
        <f>CHOOSE(CONTROL!$C$42, 68.5627, 68.5627) * CHOOSE(CONTROL!$C$21, $C$9, 100%, $E$9)</f>
        <v>68.562700000000007</v>
      </c>
      <c r="L797" s="14">
        <f>CHOOSE(CONTROL!$C$42, 69.1854, 69.1854) * CHOOSE(CONTROL!$C$21, $C$9, 100%, $E$9)</f>
        <v>69.185400000000001</v>
      </c>
      <c r="M797" s="14">
        <f>CHOOSE(CONTROL!$C$42, 66.9342, 66.9342) * CHOOSE(CONTROL!$C$21, $C$9, 100%, $E$9)</f>
        <v>66.934200000000004</v>
      </c>
      <c r="N797" s="14">
        <f>CHOOSE(CONTROL!$C$42, 66.9502, 66.9502) * CHOOSE(CONTROL!$C$21, $C$9, 100%, $E$9)</f>
        <v>66.950199999999995</v>
      </c>
      <c r="O797" s="14">
        <f>CHOOSE(CONTROL!$C$42, 67.2005, 67.2005) * CHOOSE(CONTROL!$C$21, $C$9, 100%, $E$9)</f>
        <v>67.200500000000005</v>
      </c>
      <c r="P797" s="14">
        <f>CHOOSE(CONTROL!$C$42, 67.1651, 67.1651) * CHOOSE(CONTROL!$C$21, $C$9, 100%, $E$9)</f>
        <v>67.165099999999995</v>
      </c>
      <c r="Q797" s="14">
        <f>CHOOSE(CONTROL!$C$42, 67.7952, 67.7952) * CHOOSE(CONTROL!$C$21, $C$9, 100%, $E$9)</f>
        <v>67.795199999999994</v>
      </c>
      <c r="R797" s="14">
        <f>CHOOSE(CONTROL!$C$42, 68.5517, 68.5517) * CHOOSE(CONTROL!$C$21, $C$9, 100%, $E$9)</f>
        <v>68.551699999999997</v>
      </c>
      <c r="S797" s="14">
        <f>CHOOSE(CONTROL!$C$42, 65.6541, 65.6541) * CHOOSE(CONTROL!$C$21, $C$9, 100%, $E$9)</f>
        <v>65.6541</v>
      </c>
      <c r="T7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7">
        <f>(1000*CHOOSE(CONTROL!$C$42, 695, 695)*CHOOSE(CONTROL!$C$42, 0.5599, 0.5599)*CHOOSE(CONTROL!$C$42, 31, 31))/1000000</f>
        <v>12.063045499999998</v>
      </c>
      <c r="V797" s="57">
        <f>(1000*CHOOSE(CONTROL!$C$42, 500, 500)*CHOOSE(CONTROL!$C$42, 0.275, 0.275)*CHOOSE(CONTROL!$C$42, 31, 31))/1000000</f>
        <v>4.2625000000000002</v>
      </c>
      <c r="W797" s="57">
        <f>(1000*CHOOSE(CONTROL!$C$42, 0.1146, 0.1146)*CHOOSE(CONTROL!$C$42, 121.5, 121.5)*CHOOSE(CONTROL!$C$42, 31, 31))/1000000</f>
        <v>0.43164089999999994</v>
      </c>
      <c r="X797" s="57">
        <f>(31*0.1790888*245000/1000000)+(31*0.2374*100000/1000000)</f>
        <v>2.0961194359999999</v>
      </c>
      <c r="Y797" s="57"/>
      <c r="Z797" s="14"/>
      <c r="AA797" s="56"/>
      <c r="AB797" s="50">
        <f>(B797*194.205+C797*267.466+D797*133.845+E797*53.484+F797*40+G797*185+H797*0+I797*100+J797*300)/(194.205+267.466+133.845+53.484+0+40+185+100+300)</f>
        <v>68.392641375196234</v>
      </c>
      <c r="AC797" s="45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67.089041007194254</v>
      </c>
    </row>
    <row r="798" spans="1:29" ht="15.75" x14ac:dyDescent="0.25">
      <c r="A798" s="32">
        <v>65196</v>
      </c>
      <c r="B798" s="14">
        <f>CHOOSE(CONTROL!$C$42, 70.2748, 70.2748) * CHOOSE(CONTROL!$C$21, $C$9, 100%, $E$9)</f>
        <v>70.274799999999999</v>
      </c>
      <c r="C798" s="14">
        <f>CHOOSE(CONTROL!$C$42, 70.2828, 70.2828) * CHOOSE(CONTROL!$C$21, $C$9, 100%, $E$9)</f>
        <v>70.282799999999995</v>
      </c>
      <c r="D798" s="14">
        <f>CHOOSE(CONTROL!$C$42, 70.5164, 70.5164) * CHOOSE(CONTROL!$C$21, $C$9, 100%, $E$9)</f>
        <v>70.516400000000004</v>
      </c>
      <c r="E798" s="14">
        <f>CHOOSE(CONTROL!$C$42, 70.5479, 70.5479) * CHOOSE(CONTROL!$C$21, $C$9, 100%, $E$9)</f>
        <v>70.547899999999998</v>
      </c>
      <c r="F798" s="14">
        <f>CHOOSE(CONTROL!$C$42, 70.272, 70.272)*CHOOSE(CONTROL!$C$21, $C$9, 100%, $E$9)</f>
        <v>70.272000000000006</v>
      </c>
      <c r="G798" s="14">
        <f>CHOOSE(CONTROL!$C$42, 70.2885, 70.2885)*CHOOSE(CONTROL!$C$21, $C$9, 100%, $E$9)</f>
        <v>70.288499999999999</v>
      </c>
      <c r="H798" s="14">
        <f>CHOOSE(CONTROL!$C$42, 70.5365, 70.5365) * CHOOSE(CONTROL!$C$21, $C$9, 100%, $E$9)</f>
        <v>70.536500000000004</v>
      </c>
      <c r="I798" s="14">
        <f>CHOOSE(CONTROL!$C$42, 70.5108, 70.5108)* CHOOSE(CONTROL!$C$21, $C$9, 100%, $E$9)</f>
        <v>70.510800000000003</v>
      </c>
      <c r="J798" s="14">
        <f>CHOOSE(CONTROL!$C$42, 70.265, 70.265)* CHOOSE(CONTROL!$C$21, $C$9, 100%, $E$9)</f>
        <v>70.265000000000001</v>
      </c>
      <c r="K798" s="53">
        <f>CHOOSE(CONTROL!$C$42, 70.5069, 70.5069) * CHOOSE(CONTROL!$C$21, $C$9, 100%, $E$9)</f>
        <v>70.506900000000002</v>
      </c>
      <c r="L798" s="14">
        <f>CHOOSE(CONTROL!$C$42, 71.1235, 71.1235) * CHOOSE(CONTROL!$C$21, $C$9, 100%, $E$9)</f>
        <v>71.123500000000007</v>
      </c>
      <c r="M798" s="14">
        <f>CHOOSE(CONTROL!$C$42, 68.8331, 68.8331) * CHOOSE(CONTROL!$C$21, $C$9, 100%, $E$9)</f>
        <v>68.833100000000002</v>
      </c>
      <c r="N798" s="14">
        <f>CHOOSE(CONTROL!$C$42, 68.8492, 68.8492) * CHOOSE(CONTROL!$C$21, $C$9, 100%, $E$9)</f>
        <v>68.849199999999996</v>
      </c>
      <c r="O798" s="14">
        <f>CHOOSE(CONTROL!$C$42, 69.0989, 69.0989) * CHOOSE(CONTROL!$C$21, $C$9, 100%, $E$9)</f>
        <v>69.0989</v>
      </c>
      <c r="P798" s="14">
        <f>CHOOSE(CONTROL!$C$42, 69.0694, 69.0694) * CHOOSE(CONTROL!$C$21, $C$9, 100%, $E$9)</f>
        <v>69.069400000000002</v>
      </c>
      <c r="Q798" s="14">
        <f>CHOOSE(CONTROL!$C$42, 69.6936, 69.6936) * CHOOSE(CONTROL!$C$21, $C$9, 100%, $E$9)</f>
        <v>69.693600000000004</v>
      </c>
      <c r="R798" s="14">
        <f>CHOOSE(CONTROL!$C$42, 70.4549, 70.4549) * CHOOSE(CONTROL!$C$21, $C$9, 100%, $E$9)</f>
        <v>70.454899999999995</v>
      </c>
      <c r="S798" s="14">
        <f>CHOOSE(CONTROL!$C$42, 67.5164, 67.5164) * CHOOSE(CONTROL!$C$21, $C$9, 100%, $E$9)</f>
        <v>67.516400000000004</v>
      </c>
      <c r="T7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7">
        <f>(1000*CHOOSE(CONTROL!$C$42, 695, 695)*CHOOSE(CONTROL!$C$42, 0.5599, 0.5599)*CHOOSE(CONTROL!$C$42, 30, 30))/1000000</f>
        <v>11.673914999999997</v>
      </c>
      <c r="V798" s="57">
        <f>(1000*CHOOSE(CONTROL!$C$42, 500, 500)*CHOOSE(CONTROL!$C$42, 0.275, 0.275)*CHOOSE(CONTROL!$C$42, 30, 30))/1000000</f>
        <v>4.125</v>
      </c>
      <c r="W798" s="57">
        <f>(1000*CHOOSE(CONTROL!$C$42, 0.1146, 0.1146)*CHOOSE(CONTROL!$C$42, 121.5, 121.5)*CHOOSE(CONTROL!$C$42, 30, 30))/1000000</f>
        <v>0.417717</v>
      </c>
      <c r="X798" s="57">
        <f>(30*0.1790888*245000/1000000)+(30*0.2374*100000/1000000)</f>
        <v>2.0285026799999999</v>
      </c>
      <c r="Y798" s="57"/>
      <c r="Z798" s="14"/>
      <c r="AA798" s="56"/>
      <c r="AB798" s="50">
        <f>(B798*194.205+C798*267.466+D798*133.845+E798*53.484+F798*40+G798*185+H798*0+I798*100+J798*300)/(194.205+267.466+133.845+53.484+0+40+185+100+300)</f>
        <v>70.331444945368915</v>
      </c>
      <c r="AC798" s="45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68.988497122302164</v>
      </c>
    </row>
    <row r="799" spans="1:29" ht="15.75" x14ac:dyDescent="0.25">
      <c r="A799" s="32">
        <v>65227</v>
      </c>
      <c r="B799" s="14">
        <f>CHOOSE(CONTROL!$C$42, 68.9268, 68.9268) * CHOOSE(CONTROL!$C$21, $C$9, 100%, $E$9)</f>
        <v>68.9268</v>
      </c>
      <c r="C799" s="14">
        <f>CHOOSE(CONTROL!$C$42, 68.9348, 68.9348) * CHOOSE(CONTROL!$C$21, $C$9, 100%, $E$9)</f>
        <v>68.934799999999996</v>
      </c>
      <c r="D799" s="14">
        <f>CHOOSE(CONTROL!$C$42, 69.1684, 69.1684) * CHOOSE(CONTROL!$C$21, $C$9, 100%, $E$9)</f>
        <v>69.168400000000005</v>
      </c>
      <c r="E799" s="14">
        <f>CHOOSE(CONTROL!$C$42, 69.1999, 69.1999) * CHOOSE(CONTROL!$C$21, $C$9, 100%, $E$9)</f>
        <v>69.1999</v>
      </c>
      <c r="F799" s="14">
        <f>CHOOSE(CONTROL!$C$42, 68.9246, 68.9246)*CHOOSE(CONTROL!$C$21, $C$9, 100%, $E$9)</f>
        <v>68.924599999999998</v>
      </c>
      <c r="G799" s="14">
        <f>CHOOSE(CONTROL!$C$42, 68.9412, 68.9412)*CHOOSE(CONTROL!$C$21, $C$9, 100%, $E$9)</f>
        <v>68.941199999999995</v>
      </c>
      <c r="H799" s="14">
        <f>CHOOSE(CONTROL!$C$42, 69.1885, 69.1885) * CHOOSE(CONTROL!$C$21, $C$9, 100%, $E$9)</f>
        <v>69.188500000000005</v>
      </c>
      <c r="I799" s="14">
        <f>CHOOSE(CONTROL!$C$42, 69.1586, 69.1586)* CHOOSE(CONTROL!$C$21, $C$9, 100%, $E$9)</f>
        <v>69.158600000000007</v>
      </c>
      <c r="J799" s="14">
        <f>CHOOSE(CONTROL!$C$42, 68.9176, 68.9176)* CHOOSE(CONTROL!$C$21, $C$9, 100%, $E$9)</f>
        <v>68.917599999999993</v>
      </c>
      <c r="K799" s="53">
        <f>CHOOSE(CONTROL!$C$42, 69.1547, 69.1547) * CHOOSE(CONTROL!$C$21, $C$9, 100%, $E$9)</f>
        <v>69.154700000000005</v>
      </c>
      <c r="L799" s="14">
        <f>CHOOSE(CONTROL!$C$42, 69.7755, 69.7755) * CHOOSE(CONTROL!$C$21, $C$9, 100%, $E$9)</f>
        <v>69.775499999999994</v>
      </c>
      <c r="M799" s="14">
        <f>CHOOSE(CONTROL!$C$42, 67.5132, 67.5132) * CHOOSE(CONTROL!$C$21, $C$9, 100%, $E$9)</f>
        <v>67.513199999999998</v>
      </c>
      <c r="N799" s="14">
        <f>CHOOSE(CONTROL!$C$42, 67.5295, 67.5295) * CHOOSE(CONTROL!$C$21, $C$9, 100%, $E$9)</f>
        <v>67.529499999999999</v>
      </c>
      <c r="O799" s="14">
        <f>CHOOSE(CONTROL!$C$42, 67.7786, 67.7786) * CHOOSE(CONTROL!$C$21, $C$9, 100%, $E$9)</f>
        <v>67.778599999999997</v>
      </c>
      <c r="P799" s="14">
        <f>CHOOSE(CONTROL!$C$42, 67.745, 67.745) * CHOOSE(CONTROL!$C$21, $C$9, 100%, $E$9)</f>
        <v>67.745000000000005</v>
      </c>
      <c r="Q799" s="14">
        <f>CHOOSE(CONTROL!$C$42, 68.3733, 68.3733) * CHOOSE(CONTROL!$C$21, $C$9, 100%, $E$9)</f>
        <v>68.3733</v>
      </c>
      <c r="R799" s="14">
        <f>CHOOSE(CONTROL!$C$42, 69.1312, 69.1312) * CHOOSE(CONTROL!$C$21, $C$9, 100%, $E$9)</f>
        <v>69.131200000000007</v>
      </c>
      <c r="S799" s="14">
        <f>CHOOSE(CONTROL!$C$42, 66.2211, 66.2211) * CHOOSE(CONTROL!$C$21, $C$9, 100%, $E$9)</f>
        <v>66.221100000000007</v>
      </c>
      <c r="T7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7">
        <f>(1000*CHOOSE(CONTROL!$C$42, 695, 695)*CHOOSE(CONTROL!$C$42, 0.5599, 0.5599)*CHOOSE(CONTROL!$C$42, 31, 31))/1000000</f>
        <v>12.063045499999998</v>
      </c>
      <c r="V799" s="57">
        <f>(1000*CHOOSE(CONTROL!$C$42, 500, 500)*CHOOSE(CONTROL!$C$42, 0.275, 0.275)*CHOOSE(CONTROL!$C$42, 31, 31))/1000000</f>
        <v>4.2625000000000002</v>
      </c>
      <c r="W799" s="57">
        <f>(1000*CHOOSE(CONTROL!$C$42, 0.1146, 0.1146)*CHOOSE(CONTROL!$C$42, 121.5, 121.5)*CHOOSE(CONTROL!$C$42, 31, 31))/1000000</f>
        <v>0.43164089999999994</v>
      </c>
      <c r="X799" s="57">
        <f>(31*0.1790888*245000/1000000)+(31*0.2374*100000/1000000)</f>
        <v>2.0961194359999999</v>
      </c>
      <c r="Y799" s="57"/>
      <c r="Z799" s="14"/>
      <c r="AA799" s="56"/>
      <c r="AB799" s="50">
        <f>(B799*194.205+C799*267.466+D799*133.845+E799*53.484+F799*40+G799*185+H799*0+I799*100+J799*300)/(194.205+267.466+133.845+53.484+0+40+185+100+300)</f>
        <v>68.983377048979591</v>
      </c>
      <c r="AC799" s="45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67.667779856115104</v>
      </c>
    </row>
    <row r="800" spans="1:29" ht="15.75" x14ac:dyDescent="0.25">
      <c r="A800" s="32">
        <v>65258</v>
      </c>
      <c r="B800" s="14">
        <f>CHOOSE(CONTROL!$C$42, 65.5228, 65.5228) * CHOOSE(CONTROL!$C$21, $C$9, 100%, $E$9)</f>
        <v>65.522800000000004</v>
      </c>
      <c r="C800" s="14">
        <f>CHOOSE(CONTROL!$C$42, 65.5308, 65.5308) * CHOOSE(CONTROL!$C$21, $C$9, 100%, $E$9)</f>
        <v>65.530799999999999</v>
      </c>
      <c r="D800" s="14">
        <f>CHOOSE(CONTROL!$C$42, 65.7644, 65.7644) * CHOOSE(CONTROL!$C$21, $C$9, 100%, $E$9)</f>
        <v>65.764399999999995</v>
      </c>
      <c r="E800" s="14">
        <f>CHOOSE(CONTROL!$C$42, 65.7958, 65.7958) * CHOOSE(CONTROL!$C$21, $C$9, 100%, $E$9)</f>
        <v>65.7958</v>
      </c>
      <c r="F800" s="14">
        <f>CHOOSE(CONTROL!$C$42, 65.5207, 65.5207)*CHOOSE(CONTROL!$C$21, $C$9, 100%, $E$9)</f>
        <v>65.520700000000005</v>
      </c>
      <c r="G800" s="14">
        <f>CHOOSE(CONTROL!$C$42, 65.5374, 65.5374)*CHOOSE(CONTROL!$C$21, $C$9, 100%, $E$9)</f>
        <v>65.537400000000005</v>
      </c>
      <c r="H800" s="14">
        <f>CHOOSE(CONTROL!$C$42, 65.7845, 65.7845) * CHOOSE(CONTROL!$C$21, $C$9, 100%, $E$9)</f>
        <v>65.784499999999994</v>
      </c>
      <c r="I800" s="14">
        <f>CHOOSE(CONTROL!$C$42, 65.7438, 65.7438)* CHOOSE(CONTROL!$C$21, $C$9, 100%, $E$9)</f>
        <v>65.743799999999993</v>
      </c>
      <c r="J800" s="14">
        <f>CHOOSE(CONTROL!$C$42, 65.5137, 65.5137)* CHOOSE(CONTROL!$C$21, $C$9, 100%, $E$9)</f>
        <v>65.5137</v>
      </c>
      <c r="K800" s="53">
        <f>CHOOSE(CONTROL!$C$42, 65.74, 65.74) * CHOOSE(CONTROL!$C$21, $C$9, 100%, $E$9)</f>
        <v>65.739999999999995</v>
      </c>
      <c r="L800" s="14">
        <f>CHOOSE(CONTROL!$C$42, 66.3715, 66.3715) * CHOOSE(CONTROL!$C$21, $C$9, 100%, $E$9)</f>
        <v>66.371499999999997</v>
      </c>
      <c r="M800" s="14">
        <f>CHOOSE(CONTROL!$C$42, 64.1791, 64.1791) * CHOOSE(CONTROL!$C$21, $C$9, 100%, $E$9)</f>
        <v>64.179100000000005</v>
      </c>
      <c r="N800" s="14">
        <f>CHOOSE(CONTROL!$C$42, 64.1954, 64.1954) * CHOOSE(CONTROL!$C$21, $C$9, 100%, $E$9)</f>
        <v>64.195400000000006</v>
      </c>
      <c r="O800" s="14">
        <f>CHOOSE(CONTROL!$C$42, 64.4443, 64.4443) * CHOOSE(CONTROL!$C$21, $C$9, 100%, $E$9)</f>
        <v>64.444299999999998</v>
      </c>
      <c r="P800" s="14">
        <f>CHOOSE(CONTROL!$C$42, 64.4004, 64.4004) * CHOOSE(CONTROL!$C$21, $C$9, 100%, $E$9)</f>
        <v>64.400400000000005</v>
      </c>
      <c r="Q800" s="14">
        <f>CHOOSE(CONTROL!$C$42, 65.039, 65.039) * CHOOSE(CONTROL!$C$21, $C$9, 100%, $E$9)</f>
        <v>65.039000000000001</v>
      </c>
      <c r="R800" s="14">
        <f>CHOOSE(CONTROL!$C$42, 65.7886, 65.7886) * CHOOSE(CONTROL!$C$21, $C$9, 100%, $E$9)</f>
        <v>65.788600000000002</v>
      </c>
      <c r="S800" s="14">
        <f>CHOOSE(CONTROL!$C$42, 62.9502, 62.9502) * CHOOSE(CONTROL!$C$21, $C$9, 100%, $E$9)</f>
        <v>62.950200000000002</v>
      </c>
      <c r="T8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7">
        <f>(1000*CHOOSE(CONTROL!$C$42, 695, 695)*CHOOSE(CONTROL!$C$42, 0.5599, 0.5599)*CHOOSE(CONTROL!$C$42, 31, 31))/1000000</f>
        <v>12.063045499999998</v>
      </c>
      <c r="V800" s="57">
        <f>(1000*CHOOSE(CONTROL!$C$42, 500, 500)*CHOOSE(CONTROL!$C$42, 0.275, 0.275)*CHOOSE(CONTROL!$C$42, 31, 31))/1000000</f>
        <v>4.2625000000000002</v>
      </c>
      <c r="W800" s="57">
        <f>(1000*CHOOSE(CONTROL!$C$42, 0.1146, 0.1146)*CHOOSE(CONTROL!$C$42, 121.5, 121.5)*CHOOSE(CONTROL!$C$42, 31, 31))/1000000</f>
        <v>0.43164089999999994</v>
      </c>
      <c r="X800" s="57">
        <f>(31*0.1790888*245000/1000000)+(31*0.2374*100000/1000000)</f>
        <v>2.0961194359999999</v>
      </c>
      <c r="Y800" s="57"/>
      <c r="Z800" s="14"/>
      <c r="AA800" s="56"/>
      <c r="AB800" s="50">
        <f>(B800*194.205+C800*267.466+D800*133.845+E800*53.484+F800*40+G800*185+H800*0+I800*100+J800*300)/(194.205+267.466+133.845+53.484+0+40+185+100+300)</f>
        <v>65.578580857142853</v>
      </c>
      <c r="AC800" s="45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64.332078417266189</v>
      </c>
    </row>
    <row r="801" spans="1:29" ht="15.75" x14ac:dyDescent="0.25">
      <c r="A801" s="32">
        <v>65288</v>
      </c>
      <c r="B801" s="14">
        <f>CHOOSE(CONTROL!$C$42, 61.3632, 61.3632) * CHOOSE(CONTROL!$C$21, $C$9, 100%, $E$9)</f>
        <v>61.363199999999999</v>
      </c>
      <c r="C801" s="14">
        <f>CHOOSE(CONTROL!$C$42, 61.3712, 61.3712) * CHOOSE(CONTROL!$C$21, $C$9, 100%, $E$9)</f>
        <v>61.371200000000002</v>
      </c>
      <c r="D801" s="14">
        <f>CHOOSE(CONTROL!$C$42, 61.6048, 61.6048) * CHOOSE(CONTROL!$C$21, $C$9, 100%, $E$9)</f>
        <v>61.604799999999997</v>
      </c>
      <c r="E801" s="14">
        <f>CHOOSE(CONTROL!$C$42, 61.6363, 61.6363) * CHOOSE(CONTROL!$C$21, $C$9, 100%, $E$9)</f>
        <v>61.636299999999999</v>
      </c>
      <c r="F801" s="14">
        <f>CHOOSE(CONTROL!$C$42, 61.3612, 61.3612)*CHOOSE(CONTROL!$C$21, $C$9, 100%, $E$9)</f>
        <v>61.361199999999997</v>
      </c>
      <c r="G801" s="14">
        <f>CHOOSE(CONTROL!$C$42, 61.3779, 61.3779)*CHOOSE(CONTROL!$C$21, $C$9, 100%, $E$9)</f>
        <v>61.377899999999997</v>
      </c>
      <c r="H801" s="14">
        <f>CHOOSE(CONTROL!$C$42, 61.6249, 61.6249) * CHOOSE(CONTROL!$C$21, $C$9, 100%, $E$9)</f>
        <v>61.624899999999997</v>
      </c>
      <c r="I801" s="14">
        <f>CHOOSE(CONTROL!$C$42, 61.5712, 61.5712)* CHOOSE(CONTROL!$C$21, $C$9, 100%, $E$9)</f>
        <v>61.571199999999997</v>
      </c>
      <c r="J801" s="14">
        <f>CHOOSE(CONTROL!$C$42, 61.3542, 61.3542)* CHOOSE(CONTROL!$C$21, $C$9, 100%, $E$9)</f>
        <v>61.354199999999999</v>
      </c>
      <c r="K801" s="53">
        <f>CHOOSE(CONTROL!$C$42, 61.5674, 61.5674) * CHOOSE(CONTROL!$C$21, $C$9, 100%, $E$9)</f>
        <v>61.567399999999999</v>
      </c>
      <c r="L801" s="14">
        <f>CHOOSE(CONTROL!$C$42, 62.2119, 62.2119) * CHOOSE(CONTROL!$C$21, $C$9, 100%, $E$9)</f>
        <v>62.2119</v>
      </c>
      <c r="M801" s="14">
        <f>CHOOSE(CONTROL!$C$42, 60.1048, 60.1048) * CHOOSE(CONTROL!$C$21, $C$9, 100%, $E$9)</f>
        <v>60.104799999999997</v>
      </c>
      <c r="N801" s="14">
        <f>CHOOSE(CONTROL!$C$42, 60.1211, 60.1211) * CHOOSE(CONTROL!$C$21, $C$9, 100%, $E$9)</f>
        <v>60.121099999999998</v>
      </c>
      <c r="O801" s="14">
        <f>CHOOSE(CONTROL!$C$42, 60.3699, 60.3699) * CHOOSE(CONTROL!$C$21, $C$9, 100%, $E$9)</f>
        <v>60.369900000000001</v>
      </c>
      <c r="P801" s="14">
        <f>CHOOSE(CONTROL!$C$42, 60.3136, 60.3136) * CHOOSE(CONTROL!$C$21, $C$9, 100%, $E$9)</f>
        <v>60.313600000000001</v>
      </c>
      <c r="Q801" s="14">
        <f>CHOOSE(CONTROL!$C$42, 60.9646, 60.9646) * CHOOSE(CONTROL!$C$21, $C$9, 100%, $E$9)</f>
        <v>60.964599999999997</v>
      </c>
      <c r="R801" s="14">
        <f>CHOOSE(CONTROL!$C$42, 61.704, 61.704) * CHOOSE(CONTROL!$C$21, $C$9, 100%, $E$9)</f>
        <v>61.704000000000001</v>
      </c>
      <c r="S801" s="14">
        <f>CHOOSE(CONTROL!$C$42, 58.9532, 58.9532) * CHOOSE(CONTROL!$C$21, $C$9, 100%, $E$9)</f>
        <v>58.953200000000002</v>
      </c>
      <c r="T8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7">
        <f>(1000*CHOOSE(CONTROL!$C$42, 695, 695)*CHOOSE(CONTROL!$C$42, 0.5599, 0.5599)*CHOOSE(CONTROL!$C$42, 30, 30))/1000000</f>
        <v>11.673914999999997</v>
      </c>
      <c r="V801" s="57">
        <f>(1000*CHOOSE(CONTROL!$C$42, 500, 500)*CHOOSE(CONTROL!$C$42, 0.275, 0.275)*CHOOSE(CONTROL!$C$42, 30, 30))/1000000</f>
        <v>4.125</v>
      </c>
      <c r="W801" s="57">
        <f>(1000*CHOOSE(CONTROL!$C$42, 0.1146, 0.1146)*CHOOSE(CONTROL!$C$42, 121.5, 121.5)*CHOOSE(CONTROL!$C$42, 30, 30))/1000000</f>
        <v>0.417717</v>
      </c>
      <c r="X801" s="57">
        <f>(30*0.1790888*245000/1000000)+(30*0.2374*100000/1000000)</f>
        <v>2.0285026799999999</v>
      </c>
      <c r="Y801" s="57"/>
      <c r="Z801" s="14"/>
      <c r="AA801" s="56"/>
      <c r="AB801" s="50">
        <f>(B801*194.205+C801*267.466+D801*133.845+E801*53.484+F801*40+G801*185+H801*0+I801*100+J801*300)/(194.205+267.466+133.845+53.484+0+40+185+100+300)</f>
        <v>61.418005855886975</v>
      </c>
      <c r="AC801" s="45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60.255934532374106</v>
      </c>
    </row>
    <row r="802" spans="1:29" ht="15.75" x14ac:dyDescent="0.25">
      <c r="A802" s="32">
        <v>65319</v>
      </c>
      <c r="B802" s="14">
        <f>CHOOSE(CONTROL!$C$42, 60.1157, 60.1157) * CHOOSE(CONTROL!$C$21, $C$9, 100%, $E$9)</f>
        <v>60.115699999999997</v>
      </c>
      <c r="C802" s="14">
        <f>CHOOSE(CONTROL!$C$42, 60.1211, 60.1211) * CHOOSE(CONTROL!$C$21, $C$9, 100%, $E$9)</f>
        <v>60.121099999999998</v>
      </c>
      <c r="D802" s="14">
        <f>CHOOSE(CONTROL!$C$42, 60.3596, 60.3596) * CHOOSE(CONTROL!$C$21, $C$9, 100%, $E$9)</f>
        <v>60.3596</v>
      </c>
      <c r="E802" s="14">
        <f>CHOOSE(CONTROL!$C$42, 60.3888, 60.3888) * CHOOSE(CONTROL!$C$21, $C$9, 100%, $E$9)</f>
        <v>60.388800000000003</v>
      </c>
      <c r="F802" s="14">
        <f>CHOOSE(CONTROL!$C$42, 60.1158, 60.1158)*CHOOSE(CONTROL!$C$21, $C$9, 100%, $E$9)</f>
        <v>60.1158</v>
      </c>
      <c r="G802" s="14">
        <f>CHOOSE(CONTROL!$C$42, 60.132, 60.132)*CHOOSE(CONTROL!$C$21, $C$9, 100%, $E$9)</f>
        <v>60.131999999999998</v>
      </c>
      <c r="H802" s="14">
        <f>CHOOSE(CONTROL!$C$42, 60.3792, 60.3792) * CHOOSE(CONTROL!$C$21, $C$9, 100%, $E$9)</f>
        <v>60.379199999999997</v>
      </c>
      <c r="I802" s="14">
        <f>CHOOSE(CONTROL!$C$42, 60.3217, 60.3217)* CHOOSE(CONTROL!$C$21, $C$9, 100%, $E$9)</f>
        <v>60.3217</v>
      </c>
      <c r="J802" s="14">
        <f>CHOOSE(CONTROL!$C$42, 60.1088, 60.1088)* CHOOSE(CONTROL!$C$21, $C$9, 100%, $E$9)</f>
        <v>60.108800000000002</v>
      </c>
      <c r="K802" s="53">
        <f>CHOOSE(CONTROL!$C$42, 60.3178, 60.3178) * CHOOSE(CONTROL!$C$21, $C$9, 100%, $E$9)</f>
        <v>60.317799999999998</v>
      </c>
      <c r="L802" s="14">
        <f>CHOOSE(CONTROL!$C$42, 60.9662, 60.9662) * CHOOSE(CONTROL!$C$21, $C$9, 100%, $E$9)</f>
        <v>60.966200000000001</v>
      </c>
      <c r="M802" s="14">
        <f>CHOOSE(CONTROL!$C$42, 58.8849, 58.8849) * CHOOSE(CONTROL!$C$21, $C$9, 100%, $E$9)</f>
        <v>58.884900000000002</v>
      </c>
      <c r="N802" s="14">
        <f>CHOOSE(CONTROL!$C$42, 58.9008, 58.9008) * CHOOSE(CONTROL!$C$21, $C$9, 100%, $E$9)</f>
        <v>58.900799999999997</v>
      </c>
      <c r="O802" s="14">
        <f>CHOOSE(CONTROL!$C$42, 59.1498, 59.1498) * CHOOSE(CONTROL!$C$21, $C$9, 100%, $E$9)</f>
        <v>59.149799999999999</v>
      </c>
      <c r="P802" s="14">
        <f>CHOOSE(CONTROL!$C$42, 59.0897, 59.0897) * CHOOSE(CONTROL!$C$21, $C$9, 100%, $E$9)</f>
        <v>59.089700000000001</v>
      </c>
      <c r="Q802" s="14">
        <f>CHOOSE(CONTROL!$C$42, 59.7445, 59.7445) * CHOOSE(CONTROL!$C$21, $C$9, 100%, $E$9)</f>
        <v>59.744500000000002</v>
      </c>
      <c r="R802" s="14">
        <f>CHOOSE(CONTROL!$C$42, 60.4808, 60.4808) * CHOOSE(CONTROL!$C$21, $C$9, 100%, $E$9)</f>
        <v>60.480800000000002</v>
      </c>
      <c r="S802" s="14">
        <f>CHOOSE(CONTROL!$C$42, 57.7563, 57.7563) * CHOOSE(CONTROL!$C$21, $C$9, 100%, $E$9)</f>
        <v>57.756300000000003</v>
      </c>
      <c r="T8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7">
        <f>(1000*CHOOSE(CONTROL!$C$42, 695, 695)*CHOOSE(CONTROL!$C$42, 0.5599, 0.5599)*CHOOSE(CONTROL!$C$42, 31, 31))/1000000</f>
        <v>12.063045499999998</v>
      </c>
      <c r="V802" s="57">
        <f>(1000*CHOOSE(CONTROL!$C$42, 500, 500)*CHOOSE(CONTROL!$C$42, 0.275, 0.275)*CHOOSE(CONTROL!$C$42, 31, 31))/1000000</f>
        <v>4.2625000000000002</v>
      </c>
      <c r="W802" s="57">
        <f>(1000*CHOOSE(CONTROL!$C$42, 0.1146, 0.1146)*CHOOSE(CONTROL!$C$42, 121.5, 121.5)*CHOOSE(CONTROL!$C$42, 31, 31))/1000000</f>
        <v>0.43164089999999994</v>
      </c>
      <c r="X802" s="57">
        <f>(31*0.1790888*245000/1000000)+(31*0.2374*100000/1000000)</f>
        <v>2.0961194359999999</v>
      </c>
      <c r="Y802" s="57"/>
      <c r="Z802" s="14"/>
      <c r="AA802" s="56"/>
      <c r="AB802" s="50">
        <f>(B802*131.881+C802*277.167+D802*79.08+E802*125.872+F802*40+G802*185+H802*0+I802*100+J802*300)/(131.881+277.167+79.08+125.872+0+40+185+100+300)</f>
        <v>60.177612394673112</v>
      </c>
      <c r="AC802" s="45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59.035345323741012</v>
      </c>
    </row>
    <row r="803" spans="1:29" ht="15.75" x14ac:dyDescent="0.25">
      <c r="A803" s="32">
        <v>65349</v>
      </c>
      <c r="B803" s="14">
        <f>CHOOSE(CONTROL!$C$42, 61.6988, 61.6988) * CHOOSE(CONTROL!$C$21, $C$9, 100%, $E$9)</f>
        <v>61.698799999999999</v>
      </c>
      <c r="C803" s="14">
        <f>CHOOSE(CONTROL!$C$42, 61.7039, 61.7039) * CHOOSE(CONTROL!$C$21, $C$9, 100%, $E$9)</f>
        <v>61.703899999999997</v>
      </c>
      <c r="D803" s="14">
        <f>CHOOSE(CONTROL!$C$42, 61.7781, 61.7781) * CHOOSE(CONTROL!$C$21, $C$9, 100%, $E$9)</f>
        <v>61.778100000000002</v>
      </c>
      <c r="E803" s="14">
        <f>CHOOSE(CONTROL!$C$42, 61.8122, 61.8122) * CHOOSE(CONTROL!$C$21, $C$9, 100%, $E$9)</f>
        <v>61.812199999999997</v>
      </c>
      <c r="F803" s="14">
        <f>CHOOSE(CONTROL!$C$42, 61.7108, 61.7108)*CHOOSE(CONTROL!$C$21, $C$9, 100%, $E$9)</f>
        <v>61.710799999999999</v>
      </c>
      <c r="G803" s="14">
        <f>CHOOSE(CONTROL!$C$42, 61.7274, 61.7274)*CHOOSE(CONTROL!$C$21, $C$9, 100%, $E$9)</f>
        <v>61.727400000000003</v>
      </c>
      <c r="H803" s="14">
        <f>CHOOSE(CONTROL!$C$42, 61.8014, 61.8014) * CHOOSE(CONTROL!$C$21, $C$9, 100%, $E$9)</f>
        <v>61.801400000000001</v>
      </c>
      <c r="I803" s="14">
        <f>CHOOSE(CONTROL!$C$42, 61.9164, 61.9164)* CHOOSE(CONTROL!$C$21, $C$9, 100%, $E$9)</f>
        <v>61.916400000000003</v>
      </c>
      <c r="J803" s="14">
        <f>CHOOSE(CONTROL!$C$42, 61.7038, 61.7038)* CHOOSE(CONTROL!$C$21, $C$9, 100%, $E$9)</f>
        <v>61.703800000000001</v>
      </c>
      <c r="K803" s="53">
        <f>CHOOSE(CONTROL!$C$42, 61.9125, 61.9125) * CHOOSE(CONTROL!$C$21, $C$9, 100%, $E$9)</f>
        <v>61.912500000000001</v>
      </c>
      <c r="L803" s="14">
        <f>CHOOSE(CONTROL!$C$42, 62.3884, 62.3884) * CHOOSE(CONTROL!$C$21, $C$9, 100%, $E$9)</f>
        <v>62.388399999999997</v>
      </c>
      <c r="M803" s="14">
        <f>CHOOSE(CONTROL!$C$42, 60.4473, 60.4473) * CHOOSE(CONTROL!$C$21, $C$9, 100%, $E$9)</f>
        <v>60.447299999999998</v>
      </c>
      <c r="N803" s="14">
        <f>CHOOSE(CONTROL!$C$42, 60.4635, 60.4635) * CHOOSE(CONTROL!$C$21, $C$9, 100%, $E$9)</f>
        <v>60.463500000000003</v>
      </c>
      <c r="O803" s="14">
        <f>CHOOSE(CONTROL!$C$42, 60.5428, 60.5428) * CHOOSE(CONTROL!$C$21, $C$9, 100%, $E$9)</f>
        <v>60.5428</v>
      </c>
      <c r="P803" s="14">
        <f>CHOOSE(CONTROL!$C$42, 60.6516, 60.6516) * CHOOSE(CONTROL!$C$21, $C$9, 100%, $E$9)</f>
        <v>60.651600000000002</v>
      </c>
      <c r="Q803" s="14">
        <f>CHOOSE(CONTROL!$C$42, 61.1375, 61.1375) * CHOOSE(CONTROL!$C$21, $C$9, 100%, $E$9)</f>
        <v>61.137500000000003</v>
      </c>
      <c r="R803" s="14">
        <f>CHOOSE(CONTROL!$C$42, 61.8773, 61.8773) * CHOOSE(CONTROL!$C$21, $C$9, 100%, $E$9)</f>
        <v>61.877299999999998</v>
      </c>
      <c r="S803" s="14">
        <f>CHOOSE(CONTROL!$C$42, 59.2778, 59.2778) * CHOOSE(CONTROL!$C$21, $C$9, 100%, $E$9)</f>
        <v>59.277799999999999</v>
      </c>
      <c r="T8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7">
        <f>(1000*CHOOSE(CONTROL!$C$42, 695, 695)*CHOOSE(CONTROL!$C$42, 0.5599, 0.5599)*CHOOSE(CONTROL!$C$42, 30, 30))/1000000</f>
        <v>11.673914999999997</v>
      </c>
      <c r="V803" s="57">
        <f>(1000*CHOOSE(CONTROL!$C$42, 500, 500)*CHOOSE(CONTROL!$C$42, 0.275, 0.275)*CHOOSE(CONTROL!$C$42, 30, 30))/1000000</f>
        <v>4.125</v>
      </c>
      <c r="W803" s="57">
        <f>(1000*CHOOSE(CONTROL!$C$42, 0.1146, 0.1146)*CHOOSE(CONTROL!$C$42, 121.5, 121.5)*CHOOSE(CONTROL!$C$42, 30, 30))/1000000</f>
        <v>0.417717</v>
      </c>
      <c r="X803" s="57">
        <f>(30*0.1790888*100000/1000000)+(30*0.2374*100000/1000000)</f>
        <v>1.2494664</v>
      </c>
      <c r="Y803" s="57"/>
      <c r="Z803" s="14"/>
      <c r="AA803" s="56"/>
      <c r="AB803" s="50">
        <f>(B803*122.58+C803*297.941+D803*89.177+E803*40.302+F803*40+G803*160+H803*0+I803*100+J803*300)/(122.58+297.941+89.177+40.302+0+40+160+100+300)</f>
        <v>61.734867375652158</v>
      </c>
      <c r="AC803" s="45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60.520912230215828</v>
      </c>
    </row>
    <row r="804" spans="1:29" ht="15.75" x14ac:dyDescent="0.25">
      <c r="A804" s="32">
        <v>65380</v>
      </c>
      <c r="B804" s="14">
        <f>CHOOSE(CONTROL!$C$42, 65.9047, 65.9047) * CHOOSE(CONTROL!$C$21, $C$9, 100%, $E$9)</f>
        <v>65.904700000000005</v>
      </c>
      <c r="C804" s="14">
        <f>CHOOSE(CONTROL!$C$42, 65.9098, 65.9098) * CHOOSE(CONTROL!$C$21, $C$9, 100%, $E$9)</f>
        <v>65.909800000000004</v>
      </c>
      <c r="D804" s="14">
        <f>CHOOSE(CONTROL!$C$42, 65.984, 65.984) * CHOOSE(CONTROL!$C$21, $C$9, 100%, $E$9)</f>
        <v>65.983999999999995</v>
      </c>
      <c r="E804" s="14">
        <f>CHOOSE(CONTROL!$C$42, 66.0181, 66.0181) * CHOOSE(CONTROL!$C$21, $C$9, 100%, $E$9)</f>
        <v>66.018100000000004</v>
      </c>
      <c r="F804" s="14">
        <f>CHOOSE(CONTROL!$C$42, 65.919, 65.919)*CHOOSE(CONTROL!$C$21, $C$9, 100%, $E$9)</f>
        <v>65.918999999999997</v>
      </c>
      <c r="G804" s="14">
        <f>CHOOSE(CONTROL!$C$42, 65.9361, 65.9361)*CHOOSE(CONTROL!$C$21, $C$9, 100%, $E$9)</f>
        <v>65.936099999999996</v>
      </c>
      <c r="H804" s="14">
        <f>CHOOSE(CONTROL!$C$42, 66.0073, 66.0073) * CHOOSE(CONTROL!$C$21, $C$9, 100%, $E$9)</f>
        <v>66.007300000000001</v>
      </c>
      <c r="I804" s="14">
        <f>CHOOSE(CONTROL!$C$42, 66.1355, 66.1355)* CHOOSE(CONTROL!$C$21, $C$9, 100%, $E$9)</f>
        <v>66.135499999999993</v>
      </c>
      <c r="J804" s="14">
        <f>CHOOSE(CONTROL!$C$42, 65.912, 65.912)* CHOOSE(CONTROL!$C$21, $C$9, 100%, $E$9)</f>
        <v>65.912000000000006</v>
      </c>
      <c r="K804" s="53">
        <f>CHOOSE(CONTROL!$C$42, 66.1316, 66.1316) * CHOOSE(CONTROL!$C$21, $C$9, 100%, $E$9)</f>
        <v>66.131600000000006</v>
      </c>
      <c r="L804" s="14">
        <f>CHOOSE(CONTROL!$C$42, 66.5943, 66.5943) * CHOOSE(CONTROL!$C$21, $C$9, 100%, $E$9)</f>
        <v>66.594300000000004</v>
      </c>
      <c r="M804" s="14">
        <f>CHOOSE(CONTROL!$C$42, 64.5692, 64.5692) * CHOOSE(CONTROL!$C$21, $C$9, 100%, $E$9)</f>
        <v>64.569199999999995</v>
      </c>
      <c r="N804" s="14">
        <f>CHOOSE(CONTROL!$C$42, 64.586, 64.586) * CHOOSE(CONTROL!$C$21, $C$9, 100%, $E$9)</f>
        <v>64.585999999999999</v>
      </c>
      <c r="O804" s="14">
        <f>CHOOSE(CONTROL!$C$42, 64.6626, 64.6626) * CHOOSE(CONTROL!$C$21, $C$9, 100%, $E$9)</f>
        <v>64.662599999999998</v>
      </c>
      <c r="P804" s="14">
        <f>CHOOSE(CONTROL!$C$42, 64.784, 64.784) * CHOOSE(CONTROL!$C$21, $C$9, 100%, $E$9)</f>
        <v>64.784000000000006</v>
      </c>
      <c r="Q804" s="14">
        <f>CHOOSE(CONTROL!$C$42, 65.2573, 65.2573) * CHOOSE(CONTROL!$C$21, $C$9, 100%, $E$9)</f>
        <v>65.257300000000001</v>
      </c>
      <c r="R804" s="14">
        <f>CHOOSE(CONTROL!$C$42, 66.0074, 66.0074) * CHOOSE(CONTROL!$C$21, $C$9, 100%, $E$9)</f>
        <v>66.007400000000004</v>
      </c>
      <c r="S804" s="14">
        <f>CHOOSE(CONTROL!$C$42, 63.3193, 63.3193) * CHOOSE(CONTROL!$C$21, $C$9, 100%, $E$9)</f>
        <v>63.319299999999998</v>
      </c>
      <c r="T8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7">
        <f>(1000*CHOOSE(CONTROL!$C$42, 695, 695)*CHOOSE(CONTROL!$C$42, 0.5599, 0.5599)*CHOOSE(CONTROL!$C$42, 31, 31))/1000000</f>
        <v>12.063045499999998</v>
      </c>
      <c r="V804" s="57">
        <f>(1000*CHOOSE(CONTROL!$C$42, 500, 500)*CHOOSE(CONTROL!$C$42, 0.275, 0.275)*CHOOSE(CONTROL!$C$42, 31, 31))/1000000</f>
        <v>4.2625000000000002</v>
      </c>
      <c r="W804" s="57">
        <f>(1000*CHOOSE(CONTROL!$C$42, 0.1146, 0.1146)*CHOOSE(CONTROL!$C$42, 121.5, 121.5)*CHOOSE(CONTROL!$C$42, 31, 31))/1000000</f>
        <v>0.43164089999999994</v>
      </c>
      <c r="X804" s="57">
        <f>(31*0.1790888*100000/1000000)+(31*0.2374*100000/1000000)</f>
        <v>1.2911152800000001</v>
      </c>
      <c r="Y804" s="57"/>
      <c r="Z804" s="14"/>
      <c r="AA804" s="56"/>
      <c r="AB804" s="50">
        <f>(B804*122.58+C804*297.941+D804*89.177+E804*40.302+F804*40+G804*160+H804*0+I804*100+J804*300)/(122.58+297.941+89.177+40.302+0+40+160+100+300)</f>
        <v>65.942984766956528</v>
      </c>
      <c r="AC804" s="45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64.64340575539569</v>
      </c>
    </row>
    <row r="805" spans="1:29" ht="15.75" x14ac:dyDescent="0.25">
      <c r="A805" s="32">
        <v>65411</v>
      </c>
      <c r="B805" s="14">
        <f>CHOOSE(CONTROL!$C$42, 71.3675, 71.3675) * CHOOSE(CONTROL!$C$21, $C$9, 100%, $E$9)</f>
        <v>71.367500000000007</v>
      </c>
      <c r="C805" s="14">
        <f>CHOOSE(CONTROL!$C$42, 71.3725, 71.3725) * CHOOSE(CONTROL!$C$21, $C$9, 100%, $E$9)</f>
        <v>71.372500000000002</v>
      </c>
      <c r="D805" s="14">
        <f>CHOOSE(CONTROL!$C$42, 71.4494, 71.4494) * CHOOSE(CONTROL!$C$21, $C$9, 100%, $E$9)</f>
        <v>71.449399999999997</v>
      </c>
      <c r="E805" s="14">
        <f>CHOOSE(CONTROL!$C$42, 71.4835, 71.4835) * CHOOSE(CONTROL!$C$21, $C$9, 100%, $E$9)</f>
        <v>71.483500000000006</v>
      </c>
      <c r="F805" s="14">
        <f>CHOOSE(CONTROL!$C$42, 71.3677, 71.3677)*CHOOSE(CONTROL!$C$21, $C$9, 100%, $E$9)</f>
        <v>71.367699999999999</v>
      </c>
      <c r="G805" s="14">
        <f>CHOOSE(CONTROL!$C$42, 71.3839, 71.3839)*CHOOSE(CONTROL!$C$21, $C$9, 100%, $E$9)</f>
        <v>71.383899999999997</v>
      </c>
      <c r="H805" s="14">
        <f>CHOOSE(CONTROL!$C$42, 71.4727, 71.4727) * CHOOSE(CONTROL!$C$21, $C$9, 100%, $E$9)</f>
        <v>71.472700000000003</v>
      </c>
      <c r="I805" s="14">
        <f>CHOOSE(CONTROL!$C$42, 71.609, 71.609)* CHOOSE(CONTROL!$C$21, $C$9, 100%, $E$9)</f>
        <v>71.608999999999995</v>
      </c>
      <c r="J805" s="14">
        <f>CHOOSE(CONTROL!$C$42, 71.3607, 71.3607)* CHOOSE(CONTROL!$C$21, $C$9, 100%, $E$9)</f>
        <v>71.360699999999994</v>
      </c>
      <c r="K805" s="53">
        <f>CHOOSE(CONTROL!$C$42, 71.6052, 71.6052) * CHOOSE(CONTROL!$C$21, $C$9, 100%, $E$9)</f>
        <v>71.605199999999996</v>
      </c>
      <c r="L805" s="14">
        <f>CHOOSE(CONTROL!$C$42, 72.0597, 72.0597) * CHOOSE(CONTROL!$C$21, $C$9, 100%, $E$9)</f>
        <v>72.059700000000007</v>
      </c>
      <c r="M805" s="14">
        <f>CHOOSE(CONTROL!$C$42, 69.9062, 69.9062) * CHOOSE(CONTROL!$C$21, $C$9, 100%, $E$9)</f>
        <v>69.906199999999998</v>
      </c>
      <c r="N805" s="14">
        <f>CHOOSE(CONTROL!$C$42, 69.9221, 69.9221) * CHOOSE(CONTROL!$C$21, $C$9, 100%, $E$9)</f>
        <v>69.9221</v>
      </c>
      <c r="O805" s="14">
        <f>CHOOSE(CONTROL!$C$42, 70.0159, 70.0159) * CHOOSE(CONTROL!$C$21, $C$9, 100%, $E$9)</f>
        <v>70.015900000000002</v>
      </c>
      <c r="P805" s="14">
        <f>CHOOSE(CONTROL!$C$42, 70.1451, 70.1451) * CHOOSE(CONTROL!$C$21, $C$9, 100%, $E$9)</f>
        <v>70.145099999999999</v>
      </c>
      <c r="Q805" s="14">
        <f>CHOOSE(CONTROL!$C$42, 70.6106, 70.6106) * CHOOSE(CONTROL!$C$21, $C$9, 100%, $E$9)</f>
        <v>70.610600000000005</v>
      </c>
      <c r="R805" s="14">
        <f>CHOOSE(CONTROL!$C$42, 71.3742, 71.3742) * CHOOSE(CONTROL!$C$21, $C$9, 100%, $E$9)</f>
        <v>71.374200000000002</v>
      </c>
      <c r="S805" s="14">
        <f>CHOOSE(CONTROL!$C$42, 68.5685, 68.5685) * CHOOSE(CONTROL!$C$21, $C$9, 100%, $E$9)</f>
        <v>68.5685</v>
      </c>
      <c r="T8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7">
        <f>(1000*CHOOSE(CONTROL!$C$42, 695, 695)*CHOOSE(CONTROL!$C$42, 0.5599, 0.5599)*CHOOSE(CONTROL!$C$42, 31, 31))/1000000</f>
        <v>12.063045499999998</v>
      </c>
      <c r="V805" s="57">
        <f>(1000*CHOOSE(CONTROL!$C$42, 500, 500)*CHOOSE(CONTROL!$C$42, 0.275, 0.275)*CHOOSE(CONTROL!$C$42, 31, 31))/1000000</f>
        <v>4.2625000000000002</v>
      </c>
      <c r="W805" s="57">
        <f>(1000*CHOOSE(CONTROL!$C$42, 0.1146, 0.1146)*CHOOSE(CONTROL!$C$42, 121.5, 121.5)*CHOOSE(CONTROL!$C$42, 31, 31))/1000000</f>
        <v>0.43164089999999994</v>
      </c>
      <c r="X805" s="57">
        <f>(31*0.1790888*100000/1000000)+(31*0.2374*100000/1000000)</f>
        <v>1.2911152800000001</v>
      </c>
      <c r="Y805" s="57"/>
      <c r="Z805" s="14"/>
      <c r="AA805" s="56"/>
      <c r="AB805" s="50">
        <f>(B805*122.58+C805*297.941+D805*89.177+E805*40.302+F805*40+G805*160+H805*0+I805*100+J805*300)/(122.58+297.941+89.177+40.302+0+40+160+100+300)</f>
        <v>71.4007263767826</v>
      </c>
      <c r="AC805" s="45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69.991209352517984</v>
      </c>
    </row>
    <row r="806" spans="1:29" ht="15.75" x14ac:dyDescent="0.25">
      <c r="A806" s="32">
        <v>65439</v>
      </c>
      <c r="B806" s="14">
        <f>CHOOSE(CONTROL!$C$42, 72.6377, 72.6377) * CHOOSE(CONTROL!$C$21, $C$9, 100%, $E$9)</f>
        <v>72.637699999999995</v>
      </c>
      <c r="C806" s="14">
        <f>CHOOSE(CONTROL!$C$42, 72.6428, 72.6428) * CHOOSE(CONTROL!$C$21, $C$9, 100%, $E$9)</f>
        <v>72.642799999999994</v>
      </c>
      <c r="D806" s="14">
        <f>CHOOSE(CONTROL!$C$42, 72.7196, 72.7196) * CHOOSE(CONTROL!$C$21, $C$9, 100%, $E$9)</f>
        <v>72.7196</v>
      </c>
      <c r="E806" s="14">
        <f>CHOOSE(CONTROL!$C$42, 72.7537, 72.7537) * CHOOSE(CONTROL!$C$21, $C$9, 100%, $E$9)</f>
        <v>72.753699999999995</v>
      </c>
      <c r="F806" s="14">
        <f>CHOOSE(CONTROL!$C$42, 72.638, 72.638)*CHOOSE(CONTROL!$C$21, $C$9, 100%, $E$9)</f>
        <v>72.638000000000005</v>
      </c>
      <c r="G806" s="14">
        <f>CHOOSE(CONTROL!$C$42, 72.6542, 72.6542)*CHOOSE(CONTROL!$C$21, $C$9, 100%, $E$9)</f>
        <v>72.654200000000003</v>
      </c>
      <c r="H806" s="14">
        <f>CHOOSE(CONTROL!$C$42, 72.7429, 72.7429) * CHOOSE(CONTROL!$C$21, $C$9, 100%, $E$9)</f>
        <v>72.742900000000006</v>
      </c>
      <c r="I806" s="14">
        <f>CHOOSE(CONTROL!$C$42, 72.8833, 72.8833)* CHOOSE(CONTROL!$C$21, $C$9, 100%, $E$9)</f>
        <v>72.883300000000006</v>
      </c>
      <c r="J806" s="14">
        <f>CHOOSE(CONTROL!$C$42, 72.631, 72.631)* CHOOSE(CONTROL!$C$21, $C$9, 100%, $E$9)</f>
        <v>72.631</v>
      </c>
      <c r="K806" s="53">
        <f>CHOOSE(CONTROL!$C$42, 72.8794, 72.8794) * CHOOSE(CONTROL!$C$21, $C$9, 100%, $E$9)</f>
        <v>72.879400000000004</v>
      </c>
      <c r="L806" s="14">
        <f>CHOOSE(CONTROL!$C$42, 73.3299, 73.3299) * CHOOSE(CONTROL!$C$21, $C$9, 100%, $E$9)</f>
        <v>73.329899999999995</v>
      </c>
      <c r="M806" s="14">
        <f>CHOOSE(CONTROL!$C$42, 71.1505, 71.1505) * CHOOSE(CONTROL!$C$21, $C$9, 100%, $E$9)</f>
        <v>71.150499999999994</v>
      </c>
      <c r="N806" s="14">
        <f>CHOOSE(CONTROL!$C$42, 71.1664, 71.1664) * CHOOSE(CONTROL!$C$21, $C$9, 100%, $E$9)</f>
        <v>71.166399999999996</v>
      </c>
      <c r="O806" s="14">
        <f>CHOOSE(CONTROL!$C$42, 71.2602, 71.2602) * CHOOSE(CONTROL!$C$21, $C$9, 100%, $E$9)</f>
        <v>71.260199999999998</v>
      </c>
      <c r="P806" s="14">
        <f>CHOOSE(CONTROL!$C$42, 71.3932, 71.3932) * CHOOSE(CONTROL!$C$21, $C$9, 100%, $E$9)</f>
        <v>71.393199999999993</v>
      </c>
      <c r="Q806" s="14">
        <f>CHOOSE(CONTROL!$C$42, 71.8549, 71.8549) * CHOOSE(CONTROL!$C$21, $C$9, 100%, $E$9)</f>
        <v>71.854900000000001</v>
      </c>
      <c r="R806" s="14">
        <f>CHOOSE(CONTROL!$C$42, 72.6215, 72.6215) * CHOOSE(CONTROL!$C$21, $C$9, 100%, $E$9)</f>
        <v>72.621499999999997</v>
      </c>
      <c r="S806" s="14">
        <f>CHOOSE(CONTROL!$C$42, 69.7891, 69.7891) * CHOOSE(CONTROL!$C$21, $C$9, 100%, $E$9)</f>
        <v>69.789100000000005</v>
      </c>
      <c r="T8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7">
        <f>(1000*CHOOSE(CONTROL!$C$42, 695, 695)*CHOOSE(CONTROL!$C$42, 0.5599, 0.5599)*CHOOSE(CONTROL!$C$42, 28, 28))/1000000</f>
        <v>10.895653999999999</v>
      </c>
      <c r="V806" s="57">
        <f>(1000*CHOOSE(CONTROL!$C$42, 500, 500)*CHOOSE(CONTROL!$C$42, 0.275, 0.275)*CHOOSE(CONTROL!$C$42, 28, 28))/1000000</f>
        <v>3.85</v>
      </c>
      <c r="W806" s="57">
        <f>(1000*CHOOSE(CONTROL!$C$42, 0.1146, 0.1146)*CHOOSE(CONTROL!$C$42, 121.5, 121.5)*CHOOSE(CONTROL!$C$42, 28, 28))/1000000</f>
        <v>0.38986920000000003</v>
      </c>
      <c r="X806" s="57">
        <f>(28*0.1790888*100000/1000000)+(28*0.2374*100000/1000000)</f>
        <v>1.16616864</v>
      </c>
      <c r="Y806" s="57"/>
      <c r="Z806" s="14"/>
      <c r="AA806" s="56"/>
      <c r="AB806" s="50">
        <f>(B806*122.58+C806*297.941+D806*89.177+E806*40.302+F806*40+G806*160+H806*0+I806*100+J806*300)/(122.58+297.941+89.177+40.302+0+40+160+100+300)</f>
        <v>72.671352284695644</v>
      </c>
      <c r="AC806" s="45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71.236056115107914</v>
      </c>
    </row>
    <row r="807" spans="1:29" ht="15.75" x14ac:dyDescent="0.25">
      <c r="A807" s="32">
        <v>65470</v>
      </c>
      <c r="B807" s="14">
        <f>CHOOSE(CONTROL!$C$42, 70.5758, 70.5758) * CHOOSE(CONTROL!$C$21, $C$9, 100%, $E$9)</f>
        <v>70.575800000000001</v>
      </c>
      <c r="C807" s="14">
        <f>CHOOSE(CONTROL!$C$42, 70.5808, 70.5808) * CHOOSE(CONTROL!$C$21, $C$9, 100%, $E$9)</f>
        <v>70.580799999999996</v>
      </c>
      <c r="D807" s="14">
        <f>CHOOSE(CONTROL!$C$42, 70.6577, 70.6577) * CHOOSE(CONTROL!$C$21, $C$9, 100%, $E$9)</f>
        <v>70.657700000000006</v>
      </c>
      <c r="E807" s="14">
        <f>CHOOSE(CONTROL!$C$42, 70.6918, 70.6918) * CHOOSE(CONTROL!$C$21, $C$9, 100%, $E$9)</f>
        <v>70.691800000000001</v>
      </c>
      <c r="F807" s="14">
        <f>CHOOSE(CONTROL!$C$42, 70.5756, 70.5756)*CHOOSE(CONTROL!$C$21, $C$9, 100%, $E$9)</f>
        <v>70.575599999999994</v>
      </c>
      <c r="G807" s="14">
        <f>CHOOSE(CONTROL!$C$42, 70.5917, 70.5917)*CHOOSE(CONTROL!$C$21, $C$9, 100%, $E$9)</f>
        <v>70.591700000000003</v>
      </c>
      <c r="H807" s="14">
        <f>CHOOSE(CONTROL!$C$42, 70.681, 70.681) * CHOOSE(CONTROL!$C$21, $C$9, 100%, $E$9)</f>
        <v>70.680999999999997</v>
      </c>
      <c r="I807" s="14">
        <f>CHOOSE(CONTROL!$C$42, 70.8149, 70.8149)* CHOOSE(CONTROL!$C$21, $C$9, 100%, $E$9)</f>
        <v>70.814899999999994</v>
      </c>
      <c r="J807" s="14">
        <f>CHOOSE(CONTROL!$C$42, 70.5686, 70.5686)* CHOOSE(CONTROL!$C$21, $C$9, 100%, $E$9)</f>
        <v>70.568600000000004</v>
      </c>
      <c r="K807" s="53">
        <f>CHOOSE(CONTROL!$C$42, 70.811, 70.811) * CHOOSE(CONTROL!$C$21, $C$9, 100%, $E$9)</f>
        <v>70.811000000000007</v>
      </c>
      <c r="L807" s="14">
        <f>CHOOSE(CONTROL!$C$42, 71.268, 71.268) * CHOOSE(CONTROL!$C$21, $C$9, 100%, $E$9)</f>
        <v>71.268000000000001</v>
      </c>
      <c r="M807" s="14">
        <f>CHOOSE(CONTROL!$C$42, 69.1304, 69.1304) * CHOOSE(CONTROL!$C$21, $C$9, 100%, $E$9)</f>
        <v>69.130399999999995</v>
      </c>
      <c r="N807" s="14">
        <f>CHOOSE(CONTROL!$C$42, 69.1461, 69.1461) * CHOOSE(CONTROL!$C$21, $C$9, 100%, $E$9)</f>
        <v>69.146100000000004</v>
      </c>
      <c r="O807" s="14">
        <f>CHOOSE(CONTROL!$C$42, 69.2405, 69.2405) * CHOOSE(CONTROL!$C$21, $C$9, 100%, $E$9)</f>
        <v>69.240499999999997</v>
      </c>
      <c r="P807" s="14">
        <f>CHOOSE(CONTROL!$C$42, 69.3673, 69.3673) * CHOOSE(CONTROL!$C$21, $C$9, 100%, $E$9)</f>
        <v>69.3673</v>
      </c>
      <c r="Q807" s="14">
        <f>CHOOSE(CONTROL!$C$42, 69.8352, 69.8352) * CHOOSE(CONTROL!$C$21, $C$9, 100%, $E$9)</f>
        <v>69.8352</v>
      </c>
      <c r="R807" s="14">
        <f>CHOOSE(CONTROL!$C$42, 70.5967, 70.5967) * CHOOSE(CONTROL!$C$21, $C$9, 100%, $E$9)</f>
        <v>70.596699999999998</v>
      </c>
      <c r="S807" s="14">
        <f>CHOOSE(CONTROL!$C$42, 67.8077, 67.8077) * CHOOSE(CONTROL!$C$21, $C$9, 100%, $E$9)</f>
        <v>67.807699999999997</v>
      </c>
      <c r="T8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7">
        <f>(1000*CHOOSE(CONTROL!$C$42, 695, 695)*CHOOSE(CONTROL!$C$42, 0.5599, 0.5599)*CHOOSE(CONTROL!$C$42, 31, 31))/1000000</f>
        <v>12.063045499999998</v>
      </c>
      <c r="V807" s="57">
        <f>(1000*CHOOSE(CONTROL!$C$42, 500, 500)*CHOOSE(CONTROL!$C$42, 0.275, 0.275)*CHOOSE(CONTROL!$C$42, 31, 31))/1000000</f>
        <v>4.2625000000000002</v>
      </c>
      <c r="W807" s="57">
        <f>(1000*CHOOSE(CONTROL!$C$42, 0.1146, 0.1146)*CHOOSE(CONTROL!$C$42, 121.5, 121.5)*CHOOSE(CONTROL!$C$42, 31, 31))/1000000</f>
        <v>0.43164089999999994</v>
      </c>
      <c r="X807" s="57">
        <f>(31*0.1790888*100000/1000000)+(31*0.2374*100000/1000000)</f>
        <v>1.2911152800000001</v>
      </c>
      <c r="Y807" s="57"/>
      <c r="Z807" s="14"/>
      <c r="AA807" s="56"/>
      <c r="AB807" s="50">
        <f>(B807*122.58+C807*297.941+D807*89.177+E807*40.302+F807*40+G807*160+H807*0+I807*100+J807*300)/(122.58+297.941+89.177+40.302+0+40+160+100+300)</f>
        <v>70.608629855043475</v>
      </c>
      <c r="AC807" s="45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69.215291366906484</v>
      </c>
    </row>
    <row r="808" spans="1:29" ht="15.75" x14ac:dyDescent="0.25">
      <c r="A808" s="32">
        <v>65500</v>
      </c>
      <c r="B808" s="14">
        <f>CHOOSE(CONTROL!$C$42, 70.3657, 70.3657) * CHOOSE(CONTROL!$C$21, $C$9, 100%, $E$9)</f>
        <v>70.365700000000004</v>
      </c>
      <c r="C808" s="14">
        <f>CHOOSE(CONTROL!$C$42, 70.3702, 70.3702) * CHOOSE(CONTROL!$C$21, $C$9, 100%, $E$9)</f>
        <v>70.370199999999997</v>
      </c>
      <c r="D808" s="14">
        <f>CHOOSE(CONTROL!$C$42, 70.607, 70.607) * CHOOSE(CONTROL!$C$21, $C$9, 100%, $E$9)</f>
        <v>70.606999999999999</v>
      </c>
      <c r="E808" s="14">
        <f>CHOOSE(CONTROL!$C$42, 70.6391, 70.6391) * CHOOSE(CONTROL!$C$21, $C$9, 100%, $E$9)</f>
        <v>70.639099999999999</v>
      </c>
      <c r="F808" s="14">
        <f>CHOOSE(CONTROL!$C$42, 70.3637, 70.3637)*CHOOSE(CONTROL!$C$21, $C$9, 100%, $E$9)</f>
        <v>70.363699999999994</v>
      </c>
      <c r="G808" s="14">
        <f>CHOOSE(CONTROL!$C$42, 70.3795, 70.3795)*CHOOSE(CONTROL!$C$21, $C$9, 100%, $E$9)</f>
        <v>70.379499999999993</v>
      </c>
      <c r="H808" s="14">
        <f>CHOOSE(CONTROL!$C$42, 70.6288, 70.6288) * CHOOSE(CONTROL!$C$21, $C$9, 100%, $E$9)</f>
        <v>70.628799999999998</v>
      </c>
      <c r="I808" s="14">
        <f>CHOOSE(CONTROL!$C$42, 70.6034, 70.6034)* CHOOSE(CONTROL!$C$21, $C$9, 100%, $E$9)</f>
        <v>70.603399999999993</v>
      </c>
      <c r="J808" s="14">
        <f>CHOOSE(CONTROL!$C$42, 70.3567, 70.3567)* CHOOSE(CONTROL!$C$21, $C$9, 100%, $E$9)</f>
        <v>70.356700000000004</v>
      </c>
      <c r="K808" s="53">
        <f>CHOOSE(CONTROL!$C$42, 70.5995, 70.5995) * CHOOSE(CONTROL!$C$21, $C$9, 100%, $E$9)</f>
        <v>70.599500000000006</v>
      </c>
      <c r="L808" s="14">
        <f>CHOOSE(CONTROL!$C$42, 71.2158, 71.2158) * CHOOSE(CONTROL!$C$21, $C$9, 100%, $E$9)</f>
        <v>71.215800000000002</v>
      </c>
      <c r="M808" s="14">
        <f>CHOOSE(CONTROL!$C$42, 68.9228, 68.9228) * CHOOSE(CONTROL!$C$21, $C$9, 100%, $E$9)</f>
        <v>68.922799999999995</v>
      </c>
      <c r="N808" s="14">
        <f>CHOOSE(CONTROL!$C$42, 68.9383, 68.9383) * CHOOSE(CONTROL!$C$21, $C$9, 100%, $E$9)</f>
        <v>68.938299999999998</v>
      </c>
      <c r="O808" s="14">
        <f>CHOOSE(CONTROL!$C$42, 69.1894, 69.1894) * CHOOSE(CONTROL!$C$21, $C$9, 100%, $E$9)</f>
        <v>69.189400000000006</v>
      </c>
      <c r="P808" s="14">
        <f>CHOOSE(CONTROL!$C$42, 69.1601, 69.1601) * CHOOSE(CONTROL!$C$21, $C$9, 100%, $E$9)</f>
        <v>69.1601</v>
      </c>
      <c r="Q808" s="14">
        <f>CHOOSE(CONTROL!$C$42, 69.7841, 69.7841) * CHOOSE(CONTROL!$C$21, $C$9, 100%, $E$9)</f>
        <v>69.784099999999995</v>
      </c>
      <c r="R808" s="14">
        <f>CHOOSE(CONTROL!$C$42, 70.5456, 70.5456) * CHOOSE(CONTROL!$C$21, $C$9, 100%, $E$9)</f>
        <v>70.545599999999993</v>
      </c>
      <c r="S808" s="14">
        <f>CHOOSE(CONTROL!$C$42, 67.6051, 67.6051) * CHOOSE(CONTROL!$C$21, $C$9, 100%, $E$9)</f>
        <v>67.605099999999993</v>
      </c>
      <c r="T8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7">
        <f>(1000*CHOOSE(CONTROL!$C$42, 695, 695)*CHOOSE(CONTROL!$C$42, 0.5599, 0.5599)*CHOOSE(CONTROL!$C$42, 30, 30))/1000000</f>
        <v>11.673914999999997</v>
      </c>
      <c r="V808" s="57">
        <f>(1000*CHOOSE(CONTROL!$C$42, 500, 500)*CHOOSE(CONTROL!$C$42, 0.275, 0.275)*CHOOSE(CONTROL!$C$42, 30, 30))/1000000</f>
        <v>4.125</v>
      </c>
      <c r="W808" s="57">
        <f>(1000*CHOOSE(CONTROL!$C$42, 0.1146, 0.1146)*CHOOSE(CONTROL!$C$42, 121.5, 121.5)*CHOOSE(CONTROL!$C$42, 30, 30))/1000000</f>
        <v>0.417717</v>
      </c>
      <c r="X808" s="57">
        <f>(30*0.1790888*245000/1000000)+(30*0.2374*100000/1000000)</f>
        <v>2.0285026799999999</v>
      </c>
      <c r="Y808" s="57"/>
      <c r="Z808" s="14"/>
      <c r="AA808" s="56"/>
      <c r="AB808" s="50">
        <f>(B808*141.293+C808*267.993+D808*115.016+E808*89.698+F808*40+G808*185+H808*0+I808*100+J808*300)/(141.293+267.993+115.016+89.698+0+40+185+100+300)</f>
        <v>70.427867685633586</v>
      </c>
      <c r="AC808" s="45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69.078669064748212</v>
      </c>
    </row>
    <row r="809" spans="1:29" ht="15.75" x14ac:dyDescent="0.25">
      <c r="A809" s="32">
        <v>65531</v>
      </c>
      <c r="B809" s="14">
        <f>CHOOSE(CONTROL!$C$42, 70.9881, 70.9881) * CHOOSE(CONTROL!$C$21, $C$9, 100%, $E$9)</f>
        <v>70.988100000000003</v>
      </c>
      <c r="C809" s="14">
        <f>CHOOSE(CONTROL!$C$42, 70.9961, 70.9961) * CHOOSE(CONTROL!$C$21, $C$9, 100%, $E$9)</f>
        <v>70.996099999999998</v>
      </c>
      <c r="D809" s="14">
        <f>CHOOSE(CONTROL!$C$42, 71.2297, 71.2297) * CHOOSE(CONTROL!$C$21, $C$9, 100%, $E$9)</f>
        <v>71.229699999999994</v>
      </c>
      <c r="E809" s="14">
        <f>CHOOSE(CONTROL!$C$42, 71.2612, 71.2612) * CHOOSE(CONTROL!$C$21, $C$9, 100%, $E$9)</f>
        <v>71.261200000000002</v>
      </c>
      <c r="F809" s="14">
        <f>CHOOSE(CONTROL!$C$42, 70.9849, 70.9849)*CHOOSE(CONTROL!$C$21, $C$9, 100%, $E$9)</f>
        <v>70.984899999999996</v>
      </c>
      <c r="G809" s="14">
        <f>CHOOSE(CONTROL!$C$42, 71.0012, 71.0012)*CHOOSE(CONTROL!$C$21, $C$9, 100%, $E$9)</f>
        <v>71.001199999999997</v>
      </c>
      <c r="H809" s="14">
        <f>CHOOSE(CONTROL!$C$42, 71.2498, 71.2498) * CHOOSE(CONTROL!$C$21, $C$9, 100%, $E$9)</f>
        <v>71.249799999999993</v>
      </c>
      <c r="I809" s="14">
        <f>CHOOSE(CONTROL!$C$42, 71.2263, 71.2263)* CHOOSE(CONTROL!$C$21, $C$9, 100%, $E$9)</f>
        <v>71.226299999999995</v>
      </c>
      <c r="J809" s="14">
        <f>CHOOSE(CONTROL!$C$42, 70.9779, 70.9779)* CHOOSE(CONTROL!$C$21, $C$9, 100%, $E$9)</f>
        <v>70.977900000000005</v>
      </c>
      <c r="K809" s="53">
        <f>CHOOSE(CONTROL!$C$42, 71.2224, 71.2224) * CHOOSE(CONTROL!$C$21, $C$9, 100%, $E$9)</f>
        <v>71.222399999999993</v>
      </c>
      <c r="L809" s="14">
        <f>CHOOSE(CONTROL!$C$42, 71.8368, 71.8368) * CHOOSE(CONTROL!$C$21, $C$9, 100%, $E$9)</f>
        <v>71.836799999999997</v>
      </c>
      <c r="M809" s="14">
        <f>CHOOSE(CONTROL!$C$42, 69.5313, 69.5313) * CHOOSE(CONTROL!$C$21, $C$9, 100%, $E$9)</f>
        <v>69.531300000000002</v>
      </c>
      <c r="N809" s="14">
        <f>CHOOSE(CONTROL!$C$42, 69.5473, 69.5473) * CHOOSE(CONTROL!$C$21, $C$9, 100%, $E$9)</f>
        <v>69.547300000000007</v>
      </c>
      <c r="O809" s="14">
        <f>CHOOSE(CONTROL!$C$42, 69.7976, 69.7976) * CHOOSE(CONTROL!$C$21, $C$9, 100%, $E$9)</f>
        <v>69.797600000000003</v>
      </c>
      <c r="P809" s="14">
        <f>CHOOSE(CONTROL!$C$42, 69.7702, 69.7702) * CHOOSE(CONTROL!$C$21, $C$9, 100%, $E$9)</f>
        <v>69.770200000000003</v>
      </c>
      <c r="Q809" s="14">
        <f>CHOOSE(CONTROL!$C$42, 70.3923, 70.3923) * CHOOSE(CONTROL!$C$21, $C$9, 100%, $E$9)</f>
        <v>70.392300000000006</v>
      </c>
      <c r="R809" s="14">
        <f>CHOOSE(CONTROL!$C$42, 71.1553, 71.1553) * CHOOSE(CONTROL!$C$21, $C$9, 100%, $E$9)</f>
        <v>71.155299999999997</v>
      </c>
      <c r="S809" s="14">
        <f>CHOOSE(CONTROL!$C$42, 68.2018, 68.2018) * CHOOSE(CONTROL!$C$21, $C$9, 100%, $E$9)</f>
        <v>68.201800000000006</v>
      </c>
      <c r="T8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7">
        <f>(1000*CHOOSE(CONTROL!$C$42, 695, 695)*CHOOSE(CONTROL!$C$42, 0.5599, 0.5599)*CHOOSE(CONTROL!$C$42, 31, 31))/1000000</f>
        <v>12.063045499999998</v>
      </c>
      <c r="V809" s="57">
        <f>(1000*CHOOSE(CONTROL!$C$42, 500, 500)*CHOOSE(CONTROL!$C$42, 0.275, 0.275)*CHOOSE(CONTROL!$C$42, 31, 31))/1000000</f>
        <v>4.2625000000000002</v>
      </c>
      <c r="W809" s="57">
        <f>(1000*CHOOSE(CONTROL!$C$42, 0.1146, 0.1146)*CHOOSE(CONTROL!$C$42, 121.5, 121.5)*CHOOSE(CONTROL!$C$42, 31, 31))/1000000</f>
        <v>0.43164089999999994</v>
      </c>
      <c r="X809" s="57">
        <f>(31*0.1790888*245000/1000000)+(31*0.2374*100000/1000000)</f>
        <v>2.0961194359999999</v>
      </c>
      <c r="Y809" s="57"/>
      <c r="Z809" s="14"/>
      <c r="AA809" s="56"/>
      <c r="AB809" s="50">
        <f>(B809*194.205+C809*267.466+D809*133.845+E809*53.484+F809*40+G809*185+H809*0+I809*100+J809*300)/(194.205+267.466+133.845+53.484+0+40+185+100+300)</f>
        <v>71.044723752276298</v>
      </c>
      <c r="AC809" s="45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69.687292086330942</v>
      </c>
    </row>
    <row r="810" spans="1:29" ht="15.75" x14ac:dyDescent="0.25">
      <c r="A810" s="32">
        <v>65561</v>
      </c>
      <c r="B810" s="14">
        <f>CHOOSE(CONTROL!$C$42, 73.0014, 73.0014) * CHOOSE(CONTROL!$C$21, $C$9, 100%, $E$9)</f>
        <v>73.001400000000004</v>
      </c>
      <c r="C810" s="14">
        <f>CHOOSE(CONTROL!$C$42, 73.0094, 73.0094) * CHOOSE(CONTROL!$C$21, $C$9, 100%, $E$9)</f>
        <v>73.009399999999999</v>
      </c>
      <c r="D810" s="14">
        <f>CHOOSE(CONTROL!$C$42, 73.243, 73.243) * CHOOSE(CONTROL!$C$21, $C$9, 100%, $E$9)</f>
        <v>73.242999999999995</v>
      </c>
      <c r="E810" s="14">
        <f>CHOOSE(CONTROL!$C$42, 73.2745, 73.2745) * CHOOSE(CONTROL!$C$21, $C$9, 100%, $E$9)</f>
        <v>73.274500000000003</v>
      </c>
      <c r="F810" s="14">
        <f>CHOOSE(CONTROL!$C$42, 72.9987, 72.9987)*CHOOSE(CONTROL!$C$21, $C$9, 100%, $E$9)</f>
        <v>72.998699999999999</v>
      </c>
      <c r="G810" s="14">
        <f>CHOOSE(CONTROL!$C$42, 73.0151, 73.0151)*CHOOSE(CONTROL!$C$21, $C$9, 100%, $E$9)</f>
        <v>73.015100000000004</v>
      </c>
      <c r="H810" s="14">
        <f>CHOOSE(CONTROL!$C$42, 73.2631, 73.2631) * CHOOSE(CONTROL!$C$21, $C$9, 100%, $E$9)</f>
        <v>73.263099999999994</v>
      </c>
      <c r="I810" s="14">
        <f>CHOOSE(CONTROL!$C$42, 73.2459, 73.2459)* CHOOSE(CONTROL!$C$21, $C$9, 100%, $E$9)</f>
        <v>73.245900000000006</v>
      </c>
      <c r="J810" s="14">
        <f>CHOOSE(CONTROL!$C$42, 72.9917, 72.9917)* CHOOSE(CONTROL!$C$21, $C$9, 100%, $E$9)</f>
        <v>72.991699999999994</v>
      </c>
      <c r="K810" s="53">
        <f>CHOOSE(CONTROL!$C$42, 73.242, 73.242) * CHOOSE(CONTROL!$C$21, $C$9, 100%, $E$9)</f>
        <v>73.242000000000004</v>
      </c>
      <c r="L810" s="14">
        <f>CHOOSE(CONTROL!$C$42, 73.8501, 73.8501) * CHOOSE(CONTROL!$C$21, $C$9, 100%, $E$9)</f>
        <v>73.850099999999998</v>
      </c>
      <c r="M810" s="14">
        <f>CHOOSE(CONTROL!$C$42, 71.5038, 71.5038) * CHOOSE(CONTROL!$C$21, $C$9, 100%, $E$9)</f>
        <v>71.503799999999998</v>
      </c>
      <c r="N810" s="14">
        <f>CHOOSE(CONTROL!$C$42, 71.52, 71.52) * CHOOSE(CONTROL!$C$21, $C$9, 100%, $E$9)</f>
        <v>71.52</v>
      </c>
      <c r="O810" s="14">
        <f>CHOOSE(CONTROL!$C$42, 71.7697, 71.7697) * CHOOSE(CONTROL!$C$21, $C$9, 100%, $E$9)</f>
        <v>71.7697</v>
      </c>
      <c r="P810" s="14">
        <f>CHOOSE(CONTROL!$C$42, 71.7483, 71.7483) * CHOOSE(CONTROL!$C$21, $C$9, 100%, $E$9)</f>
        <v>71.7483</v>
      </c>
      <c r="Q810" s="14">
        <f>CHOOSE(CONTROL!$C$42, 72.3644, 72.3644) * CHOOSE(CONTROL!$C$21, $C$9, 100%, $E$9)</f>
        <v>72.364400000000003</v>
      </c>
      <c r="R810" s="14">
        <f>CHOOSE(CONTROL!$C$42, 73.1323, 73.1323) * CHOOSE(CONTROL!$C$21, $C$9, 100%, $E$9)</f>
        <v>73.132300000000001</v>
      </c>
      <c r="S810" s="14">
        <f>CHOOSE(CONTROL!$C$42, 70.1364, 70.1364) * CHOOSE(CONTROL!$C$21, $C$9, 100%, $E$9)</f>
        <v>70.136399999999995</v>
      </c>
      <c r="T8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7">
        <f>(1000*CHOOSE(CONTROL!$C$42, 695, 695)*CHOOSE(CONTROL!$C$42, 0.5599, 0.5599)*CHOOSE(CONTROL!$C$42, 30, 30))/1000000</f>
        <v>11.673914999999997</v>
      </c>
      <c r="V810" s="57">
        <f>(1000*CHOOSE(CONTROL!$C$42, 500, 500)*CHOOSE(CONTROL!$C$42, 0.275, 0.275)*CHOOSE(CONTROL!$C$42, 30, 30))/1000000</f>
        <v>4.125</v>
      </c>
      <c r="W810" s="57">
        <f>(1000*CHOOSE(CONTROL!$C$42, 0.1146, 0.1146)*CHOOSE(CONTROL!$C$42, 121.5, 121.5)*CHOOSE(CONTROL!$C$42, 30, 30))/1000000</f>
        <v>0.417717</v>
      </c>
      <c r="X810" s="57">
        <f>(30*0.1790888*245000/1000000)+(30*0.2374*100000/1000000)</f>
        <v>2.0285026799999999</v>
      </c>
      <c r="Y810" s="57"/>
      <c r="Z810" s="14"/>
      <c r="AA810" s="56"/>
      <c r="AB810" s="50">
        <f>(B810*194.205+C810*267.466+D810*133.845+E810*53.484+F810*40+G810*185+H810*0+I810*100+J810*300)/(194.205+267.466+133.845+53.484+0+40+185+100+300)</f>
        <v>73.058738822919935</v>
      </c>
      <c r="AC810" s="45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71.660428057553958</v>
      </c>
    </row>
    <row r="811" spans="1:29" ht="15.75" x14ac:dyDescent="0.25">
      <c r="A811" s="32">
        <v>65592</v>
      </c>
      <c r="B811" s="14">
        <f>CHOOSE(CONTROL!$C$42, 71.6011, 71.6011) * CHOOSE(CONTROL!$C$21, $C$9, 100%, $E$9)</f>
        <v>71.601100000000002</v>
      </c>
      <c r="C811" s="14">
        <f>CHOOSE(CONTROL!$C$42, 71.6092, 71.6092) * CHOOSE(CONTROL!$C$21, $C$9, 100%, $E$9)</f>
        <v>71.609200000000001</v>
      </c>
      <c r="D811" s="14">
        <f>CHOOSE(CONTROL!$C$42, 71.8428, 71.8428) * CHOOSE(CONTROL!$C$21, $C$9, 100%, $E$9)</f>
        <v>71.842799999999997</v>
      </c>
      <c r="E811" s="14">
        <f>CHOOSE(CONTROL!$C$42, 71.8742, 71.8742) * CHOOSE(CONTROL!$C$21, $C$9, 100%, $E$9)</f>
        <v>71.874200000000002</v>
      </c>
      <c r="F811" s="14">
        <f>CHOOSE(CONTROL!$C$42, 71.5989, 71.5989)*CHOOSE(CONTROL!$C$21, $C$9, 100%, $E$9)</f>
        <v>71.5989</v>
      </c>
      <c r="G811" s="14">
        <f>CHOOSE(CONTROL!$C$42, 71.6155, 71.6155)*CHOOSE(CONTROL!$C$21, $C$9, 100%, $E$9)</f>
        <v>71.615499999999997</v>
      </c>
      <c r="H811" s="14">
        <f>CHOOSE(CONTROL!$C$42, 71.8629, 71.8629) * CHOOSE(CONTROL!$C$21, $C$9, 100%, $E$9)</f>
        <v>71.862899999999996</v>
      </c>
      <c r="I811" s="14">
        <f>CHOOSE(CONTROL!$C$42, 71.8413, 71.8413)* CHOOSE(CONTROL!$C$21, $C$9, 100%, $E$9)</f>
        <v>71.841300000000004</v>
      </c>
      <c r="J811" s="14">
        <f>CHOOSE(CONTROL!$C$42, 71.5919, 71.5919)* CHOOSE(CONTROL!$C$21, $C$9, 100%, $E$9)</f>
        <v>71.591899999999995</v>
      </c>
      <c r="K811" s="53">
        <f>CHOOSE(CONTROL!$C$42, 71.8374, 71.8374) * CHOOSE(CONTROL!$C$21, $C$9, 100%, $E$9)</f>
        <v>71.837400000000002</v>
      </c>
      <c r="L811" s="14">
        <f>CHOOSE(CONTROL!$C$42, 72.4499, 72.4499) * CHOOSE(CONTROL!$C$21, $C$9, 100%, $E$9)</f>
        <v>72.4499</v>
      </c>
      <c r="M811" s="14">
        <f>CHOOSE(CONTROL!$C$42, 70.1327, 70.1327) * CHOOSE(CONTROL!$C$21, $C$9, 100%, $E$9)</f>
        <v>70.1327</v>
      </c>
      <c r="N811" s="14">
        <f>CHOOSE(CONTROL!$C$42, 70.149, 70.149) * CHOOSE(CONTROL!$C$21, $C$9, 100%, $E$9)</f>
        <v>70.149000000000001</v>
      </c>
      <c r="O811" s="14">
        <f>CHOOSE(CONTROL!$C$42, 70.3981, 70.3981) * CHOOSE(CONTROL!$C$21, $C$9, 100%, $E$9)</f>
        <v>70.398099999999999</v>
      </c>
      <c r="P811" s="14">
        <f>CHOOSE(CONTROL!$C$42, 70.3725, 70.3725) * CHOOSE(CONTROL!$C$21, $C$9, 100%, $E$9)</f>
        <v>70.372500000000002</v>
      </c>
      <c r="Q811" s="14">
        <f>CHOOSE(CONTROL!$C$42, 70.9928, 70.9928) * CHOOSE(CONTROL!$C$21, $C$9, 100%, $E$9)</f>
        <v>70.992800000000003</v>
      </c>
      <c r="R811" s="14">
        <f>CHOOSE(CONTROL!$C$42, 71.7573, 71.7573) * CHOOSE(CONTROL!$C$21, $C$9, 100%, $E$9)</f>
        <v>71.757300000000001</v>
      </c>
      <c r="S811" s="14">
        <f>CHOOSE(CONTROL!$C$42, 68.7909, 68.7909) * CHOOSE(CONTROL!$C$21, $C$9, 100%, $E$9)</f>
        <v>68.790899999999993</v>
      </c>
      <c r="T8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7">
        <f>(1000*CHOOSE(CONTROL!$C$42, 695, 695)*CHOOSE(CONTROL!$C$42, 0.5599, 0.5599)*CHOOSE(CONTROL!$C$42, 31, 31))/1000000</f>
        <v>12.063045499999998</v>
      </c>
      <c r="V811" s="57">
        <f>(1000*CHOOSE(CONTROL!$C$42, 500, 500)*CHOOSE(CONTROL!$C$42, 0.275, 0.275)*CHOOSE(CONTROL!$C$42, 31, 31))/1000000</f>
        <v>4.2625000000000002</v>
      </c>
      <c r="W811" s="57">
        <f>(1000*CHOOSE(CONTROL!$C$42, 0.1146, 0.1146)*CHOOSE(CONTROL!$C$42, 121.5, 121.5)*CHOOSE(CONTROL!$C$42, 31, 31))/1000000</f>
        <v>0.43164089999999994</v>
      </c>
      <c r="X811" s="57">
        <f>(31*0.1790888*245000/1000000)+(31*0.2374*100000/1000000)</f>
        <v>2.0961194359999999</v>
      </c>
      <c r="Y811" s="57"/>
      <c r="Z811" s="14"/>
      <c r="AA811" s="56"/>
      <c r="AB811" s="50">
        <f>(B811*194.205+C811*267.466+D811*133.845+E811*53.484+F811*40+G811*185+H811*0+I811*100+J811*300)/(194.205+267.466+133.845+53.484+0+40+185+100+300)</f>
        <v>71.658367889717425</v>
      </c>
      <c r="AC811" s="45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70.288430935251796</v>
      </c>
    </row>
    <row r="812" spans="1:29" ht="15.75" x14ac:dyDescent="0.25">
      <c r="A812" s="32">
        <v>65623</v>
      </c>
      <c r="B812" s="14">
        <f>CHOOSE(CONTROL!$C$42, 68.065, 68.065) * CHOOSE(CONTROL!$C$21, $C$9, 100%, $E$9)</f>
        <v>68.064999999999998</v>
      </c>
      <c r="C812" s="14">
        <f>CHOOSE(CONTROL!$C$42, 68.073, 68.073) * CHOOSE(CONTROL!$C$21, $C$9, 100%, $E$9)</f>
        <v>68.072999999999993</v>
      </c>
      <c r="D812" s="14">
        <f>CHOOSE(CONTROL!$C$42, 68.3066, 68.3066) * CHOOSE(CONTROL!$C$21, $C$9, 100%, $E$9)</f>
        <v>68.306600000000003</v>
      </c>
      <c r="E812" s="14">
        <f>CHOOSE(CONTROL!$C$42, 68.3381, 68.3381) * CHOOSE(CONTROL!$C$21, $C$9, 100%, $E$9)</f>
        <v>68.338099999999997</v>
      </c>
      <c r="F812" s="14">
        <f>CHOOSE(CONTROL!$C$42, 68.063, 68.063)*CHOOSE(CONTROL!$C$21, $C$9, 100%, $E$9)</f>
        <v>68.063000000000002</v>
      </c>
      <c r="G812" s="14">
        <f>CHOOSE(CONTROL!$C$42, 68.0796, 68.0796)*CHOOSE(CONTROL!$C$21, $C$9, 100%, $E$9)</f>
        <v>68.079599999999999</v>
      </c>
      <c r="H812" s="14">
        <f>CHOOSE(CONTROL!$C$42, 68.3267, 68.3267) * CHOOSE(CONTROL!$C$21, $C$9, 100%, $E$9)</f>
        <v>68.326700000000002</v>
      </c>
      <c r="I812" s="14">
        <f>CHOOSE(CONTROL!$C$42, 68.294, 68.294)* CHOOSE(CONTROL!$C$21, $C$9, 100%, $E$9)</f>
        <v>68.293999999999997</v>
      </c>
      <c r="J812" s="14">
        <f>CHOOSE(CONTROL!$C$42, 68.056, 68.056)* CHOOSE(CONTROL!$C$21, $C$9, 100%, $E$9)</f>
        <v>68.055999999999997</v>
      </c>
      <c r="K812" s="53">
        <f>CHOOSE(CONTROL!$C$42, 68.2901, 68.2901) * CHOOSE(CONTROL!$C$21, $C$9, 100%, $E$9)</f>
        <v>68.290099999999995</v>
      </c>
      <c r="L812" s="14">
        <f>CHOOSE(CONTROL!$C$42, 68.9137, 68.9137) * CHOOSE(CONTROL!$C$21, $C$9, 100%, $E$9)</f>
        <v>68.913700000000006</v>
      </c>
      <c r="M812" s="14">
        <f>CHOOSE(CONTROL!$C$42, 66.6692, 66.6692) * CHOOSE(CONTROL!$C$21, $C$9, 100%, $E$9)</f>
        <v>66.669200000000004</v>
      </c>
      <c r="N812" s="14">
        <f>CHOOSE(CONTROL!$C$42, 66.6856, 66.6856) * CHOOSE(CONTROL!$C$21, $C$9, 100%, $E$9)</f>
        <v>66.685599999999994</v>
      </c>
      <c r="O812" s="14">
        <f>CHOOSE(CONTROL!$C$42, 66.9344, 66.9344) * CHOOSE(CONTROL!$C$21, $C$9, 100%, $E$9)</f>
        <v>66.934399999999997</v>
      </c>
      <c r="P812" s="14">
        <f>CHOOSE(CONTROL!$C$42, 66.8982, 66.8982) * CHOOSE(CONTROL!$C$21, $C$9, 100%, $E$9)</f>
        <v>66.898200000000003</v>
      </c>
      <c r="Q812" s="14">
        <f>CHOOSE(CONTROL!$C$42, 67.5291, 67.5291) * CHOOSE(CONTROL!$C$21, $C$9, 100%, $E$9)</f>
        <v>67.5291</v>
      </c>
      <c r="R812" s="14">
        <f>CHOOSE(CONTROL!$C$42, 68.2849, 68.2849) * CHOOSE(CONTROL!$C$21, $C$9, 100%, $E$9)</f>
        <v>68.284899999999993</v>
      </c>
      <c r="S812" s="14">
        <f>CHOOSE(CONTROL!$C$42, 65.393, 65.393) * CHOOSE(CONTROL!$C$21, $C$9, 100%, $E$9)</f>
        <v>65.393000000000001</v>
      </c>
      <c r="T8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7">
        <f>(1000*CHOOSE(CONTROL!$C$42, 695, 695)*CHOOSE(CONTROL!$C$42, 0.5599, 0.5599)*CHOOSE(CONTROL!$C$42, 31, 31))/1000000</f>
        <v>12.063045499999998</v>
      </c>
      <c r="V812" s="57">
        <f>(1000*CHOOSE(CONTROL!$C$42, 500, 500)*CHOOSE(CONTROL!$C$42, 0.275, 0.275)*CHOOSE(CONTROL!$C$42, 31, 31))/1000000</f>
        <v>4.2625000000000002</v>
      </c>
      <c r="W812" s="57">
        <f>(1000*CHOOSE(CONTROL!$C$42, 0.1146, 0.1146)*CHOOSE(CONTROL!$C$42, 121.5, 121.5)*CHOOSE(CONTROL!$C$42, 31, 31))/1000000</f>
        <v>0.43164089999999994</v>
      </c>
      <c r="X812" s="57">
        <f>(31*0.1790888*245000/1000000)+(31*0.2374*100000/1000000)</f>
        <v>2.0961194359999999</v>
      </c>
      <c r="Y812" s="57"/>
      <c r="Z812" s="14"/>
      <c r="AA812" s="56"/>
      <c r="AB812" s="50">
        <f>(B812*194.205+C812*267.466+D812*133.845+E812*53.484+F812*40+G812*185+H812*0+I812*100+J812*300)/(194.205+267.466+133.845+53.484+0+40+185+100+300)</f>
        <v>68.121439686342228</v>
      </c>
      <c r="AC812" s="45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66.823292086330937</v>
      </c>
    </row>
    <row r="813" spans="1:29" ht="15.75" x14ac:dyDescent="0.25">
      <c r="A813" s="32">
        <v>65653</v>
      </c>
      <c r="B813" s="14">
        <f>CHOOSE(CONTROL!$C$42, 63.744, 63.744) * CHOOSE(CONTROL!$C$21, $C$9, 100%, $E$9)</f>
        <v>63.744</v>
      </c>
      <c r="C813" s="14">
        <f>CHOOSE(CONTROL!$C$42, 63.752, 63.752) * CHOOSE(CONTROL!$C$21, $C$9, 100%, $E$9)</f>
        <v>63.752000000000002</v>
      </c>
      <c r="D813" s="14">
        <f>CHOOSE(CONTROL!$C$42, 63.9856, 63.9856) * CHOOSE(CONTROL!$C$21, $C$9, 100%, $E$9)</f>
        <v>63.985599999999998</v>
      </c>
      <c r="E813" s="14">
        <f>CHOOSE(CONTROL!$C$42, 64.0171, 64.0171) * CHOOSE(CONTROL!$C$21, $C$9, 100%, $E$9)</f>
        <v>64.017099999999999</v>
      </c>
      <c r="F813" s="14">
        <f>CHOOSE(CONTROL!$C$42, 63.742, 63.742)*CHOOSE(CONTROL!$C$21, $C$9, 100%, $E$9)</f>
        <v>63.741999999999997</v>
      </c>
      <c r="G813" s="14">
        <f>CHOOSE(CONTROL!$C$42, 63.7587, 63.7587)*CHOOSE(CONTROL!$C$21, $C$9, 100%, $E$9)</f>
        <v>63.758699999999997</v>
      </c>
      <c r="H813" s="14">
        <f>CHOOSE(CONTROL!$C$42, 64.0057, 64.0057) * CHOOSE(CONTROL!$C$21, $C$9, 100%, $E$9)</f>
        <v>64.005700000000004</v>
      </c>
      <c r="I813" s="14">
        <f>CHOOSE(CONTROL!$C$42, 63.9595, 63.9595)* CHOOSE(CONTROL!$C$21, $C$9, 100%, $E$9)</f>
        <v>63.959499999999998</v>
      </c>
      <c r="J813" s="14">
        <f>CHOOSE(CONTROL!$C$42, 63.735, 63.735)* CHOOSE(CONTROL!$C$21, $C$9, 100%, $E$9)</f>
        <v>63.734999999999999</v>
      </c>
      <c r="K813" s="53">
        <f>CHOOSE(CONTROL!$C$42, 63.9556, 63.9556) * CHOOSE(CONTROL!$C$21, $C$9, 100%, $E$9)</f>
        <v>63.955599999999997</v>
      </c>
      <c r="L813" s="14">
        <f>CHOOSE(CONTROL!$C$42, 64.5927, 64.5927) * CHOOSE(CONTROL!$C$21, $C$9, 100%, $E$9)</f>
        <v>64.592699999999994</v>
      </c>
      <c r="M813" s="14">
        <f>CHOOSE(CONTROL!$C$42, 62.4368, 62.4368) * CHOOSE(CONTROL!$C$21, $C$9, 100%, $E$9)</f>
        <v>62.436799999999998</v>
      </c>
      <c r="N813" s="14">
        <f>CHOOSE(CONTROL!$C$42, 62.4531, 62.4531) * CHOOSE(CONTROL!$C$21, $C$9, 100%, $E$9)</f>
        <v>62.453099999999999</v>
      </c>
      <c r="O813" s="14">
        <f>CHOOSE(CONTROL!$C$42, 62.702, 62.702) * CHOOSE(CONTROL!$C$21, $C$9, 100%, $E$9)</f>
        <v>62.701999999999998</v>
      </c>
      <c r="P813" s="14">
        <f>CHOOSE(CONTROL!$C$42, 62.6528, 62.6528) * CHOOSE(CONTROL!$C$21, $C$9, 100%, $E$9)</f>
        <v>62.652799999999999</v>
      </c>
      <c r="Q813" s="14">
        <f>CHOOSE(CONTROL!$C$42, 63.2967, 63.2967) * CHOOSE(CONTROL!$C$21, $C$9, 100%, $E$9)</f>
        <v>63.296700000000001</v>
      </c>
      <c r="R813" s="14">
        <f>CHOOSE(CONTROL!$C$42, 64.0419, 64.0419) * CHOOSE(CONTROL!$C$21, $C$9, 100%, $E$9)</f>
        <v>64.041899999999998</v>
      </c>
      <c r="S813" s="14">
        <f>CHOOSE(CONTROL!$C$42, 61.241, 61.241) * CHOOSE(CONTROL!$C$21, $C$9, 100%, $E$9)</f>
        <v>61.241</v>
      </c>
      <c r="T8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7">
        <f>(1000*CHOOSE(CONTROL!$C$42, 695, 695)*CHOOSE(CONTROL!$C$42, 0.5599, 0.5599)*CHOOSE(CONTROL!$C$42, 30, 30))/1000000</f>
        <v>11.673914999999997</v>
      </c>
      <c r="V813" s="57">
        <f>(1000*CHOOSE(CONTROL!$C$42, 500, 500)*CHOOSE(CONTROL!$C$42, 0.275, 0.275)*CHOOSE(CONTROL!$C$42, 30, 30))/1000000</f>
        <v>4.125</v>
      </c>
      <c r="W813" s="57">
        <f>(1000*CHOOSE(CONTROL!$C$42, 0.1146, 0.1146)*CHOOSE(CONTROL!$C$42, 121.5, 121.5)*CHOOSE(CONTROL!$C$42, 30, 30))/1000000</f>
        <v>0.417717</v>
      </c>
      <c r="X813" s="57">
        <f>(30*0.1790888*245000/1000000)+(30*0.2374*100000/1000000)</f>
        <v>2.0285026799999999</v>
      </c>
      <c r="Y813" s="57"/>
      <c r="Z813" s="14"/>
      <c r="AA813" s="56"/>
      <c r="AB813" s="50">
        <f>(B813*194.205+C813*267.466+D813*133.845+E813*53.484+F813*40+G813*185+H813*0+I813*100+J813*300)/(194.205+267.466+133.845+53.484+0+40+185+100+300)</f>
        <v>63.799394552904246</v>
      </c>
      <c r="AC813" s="45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62.589015827338123</v>
      </c>
    </row>
    <row r="814" spans="1:29" ht="15.75" x14ac:dyDescent="0.25">
      <c r="A814" s="32">
        <v>65684</v>
      </c>
      <c r="B814" s="14">
        <f>CHOOSE(CONTROL!$C$42, 62.4482, 62.4482) * CHOOSE(CONTROL!$C$21, $C$9, 100%, $E$9)</f>
        <v>62.4482</v>
      </c>
      <c r="C814" s="14">
        <f>CHOOSE(CONTROL!$C$42, 62.4535, 62.4535) * CHOOSE(CONTROL!$C$21, $C$9, 100%, $E$9)</f>
        <v>62.453499999999998</v>
      </c>
      <c r="D814" s="14">
        <f>CHOOSE(CONTROL!$C$42, 62.6921, 62.6921) * CHOOSE(CONTROL!$C$21, $C$9, 100%, $E$9)</f>
        <v>62.692100000000003</v>
      </c>
      <c r="E814" s="14">
        <f>CHOOSE(CONTROL!$C$42, 62.7212, 62.7212) * CHOOSE(CONTROL!$C$21, $C$9, 100%, $E$9)</f>
        <v>62.721200000000003</v>
      </c>
      <c r="F814" s="14">
        <f>CHOOSE(CONTROL!$C$42, 62.4482, 62.4482)*CHOOSE(CONTROL!$C$21, $C$9, 100%, $E$9)</f>
        <v>62.4482</v>
      </c>
      <c r="G814" s="14">
        <f>CHOOSE(CONTROL!$C$42, 62.4645, 62.4645)*CHOOSE(CONTROL!$C$21, $C$9, 100%, $E$9)</f>
        <v>62.464500000000001</v>
      </c>
      <c r="H814" s="14">
        <f>CHOOSE(CONTROL!$C$42, 62.7117, 62.7117) * CHOOSE(CONTROL!$C$21, $C$9, 100%, $E$9)</f>
        <v>62.7117</v>
      </c>
      <c r="I814" s="14">
        <f>CHOOSE(CONTROL!$C$42, 62.6615, 62.6615)* CHOOSE(CONTROL!$C$21, $C$9, 100%, $E$9)</f>
        <v>62.661499999999997</v>
      </c>
      <c r="J814" s="14">
        <f>CHOOSE(CONTROL!$C$42, 62.4412, 62.4412)* CHOOSE(CONTROL!$C$21, $C$9, 100%, $E$9)</f>
        <v>62.441200000000002</v>
      </c>
      <c r="K814" s="53">
        <f>CHOOSE(CONTROL!$C$42, 62.6576, 62.6576) * CHOOSE(CONTROL!$C$21, $C$9, 100%, $E$9)</f>
        <v>62.657600000000002</v>
      </c>
      <c r="L814" s="14">
        <f>CHOOSE(CONTROL!$C$42, 63.2987, 63.2987) * CHOOSE(CONTROL!$C$21, $C$9, 100%, $E$9)</f>
        <v>63.298699999999997</v>
      </c>
      <c r="M814" s="14">
        <f>CHOOSE(CONTROL!$C$42, 61.1696, 61.1696) * CHOOSE(CONTROL!$C$21, $C$9, 100%, $E$9)</f>
        <v>61.169600000000003</v>
      </c>
      <c r="N814" s="14">
        <f>CHOOSE(CONTROL!$C$42, 61.1855, 61.1855) * CHOOSE(CONTROL!$C$21, $C$9, 100%, $E$9)</f>
        <v>61.185499999999998</v>
      </c>
      <c r="O814" s="14">
        <f>CHOOSE(CONTROL!$C$42, 61.4345, 61.4345) * CHOOSE(CONTROL!$C$21, $C$9, 100%, $E$9)</f>
        <v>61.4345</v>
      </c>
      <c r="P814" s="14">
        <f>CHOOSE(CONTROL!$C$42, 61.3814, 61.3814) * CHOOSE(CONTROL!$C$21, $C$9, 100%, $E$9)</f>
        <v>61.381399999999999</v>
      </c>
      <c r="Q814" s="14">
        <f>CHOOSE(CONTROL!$C$42, 62.0292, 62.0292) * CHOOSE(CONTROL!$C$21, $C$9, 100%, $E$9)</f>
        <v>62.029200000000003</v>
      </c>
      <c r="R814" s="14">
        <f>CHOOSE(CONTROL!$C$42, 62.7713, 62.7713) * CHOOSE(CONTROL!$C$21, $C$9, 100%, $E$9)</f>
        <v>62.771299999999997</v>
      </c>
      <c r="S814" s="14">
        <f>CHOOSE(CONTROL!$C$42, 59.9976, 59.9976) * CHOOSE(CONTROL!$C$21, $C$9, 100%, $E$9)</f>
        <v>59.997599999999998</v>
      </c>
      <c r="T8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7">
        <f>(1000*CHOOSE(CONTROL!$C$42, 695, 695)*CHOOSE(CONTROL!$C$42, 0.5599, 0.5599)*CHOOSE(CONTROL!$C$42, 31, 31))/1000000</f>
        <v>12.063045499999998</v>
      </c>
      <c r="V814" s="57">
        <f>(1000*CHOOSE(CONTROL!$C$42, 500, 500)*CHOOSE(CONTROL!$C$42, 0.275, 0.275)*CHOOSE(CONTROL!$C$42, 31, 31))/1000000</f>
        <v>4.2625000000000002</v>
      </c>
      <c r="W814" s="57">
        <f>(1000*CHOOSE(CONTROL!$C$42, 0.1146, 0.1146)*CHOOSE(CONTROL!$C$42, 121.5, 121.5)*CHOOSE(CONTROL!$C$42, 31, 31))/1000000</f>
        <v>0.43164089999999994</v>
      </c>
      <c r="X814" s="57">
        <f>(31*0.1790888*245000/1000000)+(31*0.2374*100000/1000000)</f>
        <v>2.0961194359999999</v>
      </c>
      <c r="Y814" s="57"/>
      <c r="Z814" s="14"/>
      <c r="AA814" s="56"/>
      <c r="AB814" s="50">
        <f>(B814*131.881+C814*277.167+D814*79.08+E814*125.872+F814*40+G814*185+H814*0+I814*100+J814*300)/(131.881+277.167+79.08+125.872+0+40+185+100+300)</f>
        <v>62.510641608636</v>
      </c>
      <c r="AC814" s="45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61.321052517985613</v>
      </c>
    </row>
    <row r="815" spans="1:29" ht="15.75" x14ac:dyDescent="0.25">
      <c r="A815" s="32">
        <v>65714</v>
      </c>
      <c r="B815" s="14">
        <f>CHOOSE(CONTROL!$C$42, 64.0927, 64.0927) * CHOOSE(CONTROL!$C$21, $C$9, 100%, $E$9)</f>
        <v>64.092699999999994</v>
      </c>
      <c r="C815" s="14">
        <f>CHOOSE(CONTROL!$C$42, 64.0978, 64.0978) * CHOOSE(CONTROL!$C$21, $C$9, 100%, $E$9)</f>
        <v>64.097800000000007</v>
      </c>
      <c r="D815" s="14">
        <f>CHOOSE(CONTROL!$C$42, 64.172, 64.172) * CHOOSE(CONTROL!$C$21, $C$9, 100%, $E$9)</f>
        <v>64.171999999999997</v>
      </c>
      <c r="E815" s="14">
        <f>CHOOSE(CONTROL!$C$42, 64.2061, 64.2061) * CHOOSE(CONTROL!$C$21, $C$9, 100%, $E$9)</f>
        <v>64.206100000000006</v>
      </c>
      <c r="F815" s="14">
        <f>CHOOSE(CONTROL!$C$42, 64.1048, 64.1048)*CHOOSE(CONTROL!$C$21, $C$9, 100%, $E$9)</f>
        <v>64.104799999999997</v>
      </c>
      <c r="G815" s="14">
        <f>CHOOSE(CONTROL!$C$42, 64.1214, 64.1214)*CHOOSE(CONTROL!$C$21, $C$9, 100%, $E$9)</f>
        <v>64.121399999999994</v>
      </c>
      <c r="H815" s="14">
        <f>CHOOSE(CONTROL!$C$42, 64.1953, 64.1953) * CHOOSE(CONTROL!$C$21, $C$9, 100%, $E$9)</f>
        <v>64.195300000000003</v>
      </c>
      <c r="I815" s="14">
        <f>CHOOSE(CONTROL!$C$42, 64.3178, 64.3178)* CHOOSE(CONTROL!$C$21, $C$9, 100%, $E$9)</f>
        <v>64.317800000000005</v>
      </c>
      <c r="J815" s="14">
        <f>CHOOSE(CONTROL!$C$42, 64.0978, 64.0978)* CHOOSE(CONTROL!$C$21, $C$9, 100%, $E$9)</f>
        <v>64.097800000000007</v>
      </c>
      <c r="K815" s="53">
        <f>CHOOSE(CONTROL!$C$42, 64.3139, 64.3139) * CHOOSE(CONTROL!$C$21, $C$9, 100%, $E$9)</f>
        <v>64.313900000000004</v>
      </c>
      <c r="L815" s="14">
        <f>CHOOSE(CONTROL!$C$42, 64.7823, 64.7823) * CHOOSE(CONTROL!$C$21, $C$9, 100%, $E$9)</f>
        <v>64.782300000000006</v>
      </c>
      <c r="M815" s="14">
        <f>CHOOSE(CONTROL!$C$42, 62.7922, 62.7922) * CHOOSE(CONTROL!$C$21, $C$9, 100%, $E$9)</f>
        <v>62.792200000000001</v>
      </c>
      <c r="N815" s="14">
        <f>CHOOSE(CONTROL!$C$42, 62.8084, 62.8084) * CHOOSE(CONTROL!$C$21, $C$9, 100%, $E$9)</f>
        <v>62.808399999999999</v>
      </c>
      <c r="O815" s="14">
        <f>CHOOSE(CONTROL!$C$42, 62.8877, 62.8877) * CHOOSE(CONTROL!$C$21, $C$9, 100%, $E$9)</f>
        <v>62.887700000000002</v>
      </c>
      <c r="P815" s="14">
        <f>CHOOSE(CONTROL!$C$42, 63.0037, 63.0037) * CHOOSE(CONTROL!$C$21, $C$9, 100%, $E$9)</f>
        <v>63.003700000000002</v>
      </c>
      <c r="Q815" s="14">
        <f>CHOOSE(CONTROL!$C$42, 63.4824, 63.4824) * CHOOSE(CONTROL!$C$21, $C$9, 100%, $E$9)</f>
        <v>63.482399999999998</v>
      </c>
      <c r="R815" s="14">
        <f>CHOOSE(CONTROL!$C$42, 64.2281, 64.2281) * CHOOSE(CONTROL!$C$21, $C$9, 100%, $E$9)</f>
        <v>64.228099999999998</v>
      </c>
      <c r="S815" s="14">
        <f>CHOOSE(CONTROL!$C$42, 61.5782, 61.5782) * CHOOSE(CONTROL!$C$21, $C$9, 100%, $E$9)</f>
        <v>61.578200000000002</v>
      </c>
      <c r="T8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7">
        <f>(1000*CHOOSE(CONTROL!$C$42, 695, 695)*CHOOSE(CONTROL!$C$42, 0.5599, 0.5599)*CHOOSE(CONTROL!$C$42, 30, 30))/1000000</f>
        <v>11.673914999999997</v>
      </c>
      <c r="V815" s="57">
        <f>(1000*CHOOSE(CONTROL!$C$42, 500, 500)*CHOOSE(CONTROL!$C$42, 0.275, 0.275)*CHOOSE(CONTROL!$C$42, 30, 30))/1000000</f>
        <v>4.125</v>
      </c>
      <c r="W815" s="57">
        <f>(1000*CHOOSE(CONTROL!$C$42, 0.1146, 0.1146)*CHOOSE(CONTROL!$C$42, 121.5, 121.5)*CHOOSE(CONTROL!$C$42, 30, 30))/1000000</f>
        <v>0.417717</v>
      </c>
      <c r="X815" s="57">
        <f>(30*0.1790888*100000/1000000)+(30*0.2374*100000/1000000)</f>
        <v>1.2494664</v>
      </c>
      <c r="Y815" s="57"/>
      <c r="Z815" s="14"/>
      <c r="AA815" s="56"/>
      <c r="AB815" s="50">
        <f>(B815*122.58+C815*297.941+D815*89.177+E815*40.302+F815*40+G815*160+H815*0+I815*100+J815*300)/(122.58+297.941+89.177+40.302+0+40+160+100+300)</f>
        <v>64.129463027826105</v>
      </c>
      <c r="AC815" s="45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62.866848201438856</v>
      </c>
    </row>
    <row r="816" spans="1:29" ht="15.75" x14ac:dyDescent="0.25">
      <c r="A816" s="32">
        <v>65745</v>
      </c>
      <c r="B816" s="14">
        <f>CHOOSE(CONTROL!$C$42, 68.4619, 68.4619) * CHOOSE(CONTROL!$C$21, $C$9, 100%, $E$9)</f>
        <v>68.4619</v>
      </c>
      <c r="C816" s="14">
        <f>CHOOSE(CONTROL!$C$42, 68.4669, 68.4669) * CHOOSE(CONTROL!$C$21, $C$9, 100%, $E$9)</f>
        <v>68.466899999999995</v>
      </c>
      <c r="D816" s="14">
        <f>CHOOSE(CONTROL!$C$42, 68.5412, 68.5412) * CHOOSE(CONTROL!$C$21, $C$9, 100%, $E$9)</f>
        <v>68.541200000000003</v>
      </c>
      <c r="E816" s="14">
        <f>CHOOSE(CONTROL!$C$42, 68.5753, 68.5753) * CHOOSE(CONTROL!$C$21, $C$9, 100%, $E$9)</f>
        <v>68.575299999999999</v>
      </c>
      <c r="F816" s="14">
        <f>CHOOSE(CONTROL!$C$42, 68.4761, 68.4761)*CHOOSE(CONTROL!$C$21, $C$9, 100%, $E$9)</f>
        <v>68.476100000000002</v>
      </c>
      <c r="G816" s="14">
        <f>CHOOSE(CONTROL!$C$42, 68.4933, 68.4933)*CHOOSE(CONTROL!$C$21, $C$9, 100%, $E$9)</f>
        <v>68.493300000000005</v>
      </c>
      <c r="H816" s="14">
        <f>CHOOSE(CONTROL!$C$42, 68.5645, 68.5645) * CHOOSE(CONTROL!$C$21, $C$9, 100%, $E$9)</f>
        <v>68.564499999999995</v>
      </c>
      <c r="I816" s="14">
        <f>CHOOSE(CONTROL!$C$42, 68.7006, 68.7006)* CHOOSE(CONTROL!$C$21, $C$9, 100%, $E$9)</f>
        <v>68.700599999999994</v>
      </c>
      <c r="J816" s="14">
        <f>CHOOSE(CONTROL!$C$42, 68.4691, 68.4691)* CHOOSE(CONTROL!$C$21, $C$9, 100%, $E$9)</f>
        <v>68.469099999999997</v>
      </c>
      <c r="K816" s="53">
        <f>CHOOSE(CONTROL!$C$42, 68.6967, 68.6967) * CHOOSE(CONTROL!$C$21, $C$9, 100%, $E$9)</f>
        <v>68.696700000000007</v>
      </c>
      <c r="L816" s="14">
        <f>CHOOSE(CONTROL!$C$42, 69.1515, 69.1515) * CHOOSE(CONTROL!$C$21, $C$9, 100%, $E$9)</f>
        <v>69.151499999999999</v>
      </c>
      <c r="M816" s="14">
        <f>CHOOSE(CONTROL!$C$42, 67.0739, 67.0739) * CHOOSE(CONTROL!$C$21, $C$9, 100%, $E$9)</f>
        <v>67.073899999999995</v>
      </c>
      <c r="N816" s="14">
        <f>CHOOSE(CONTROL!$C$42, 67.0907, 67.0907) * CHOOSE(CONTROL!$C$21, $C$9, 100%, $E$9)</f>
        <v>67.090699999999998</v>
      </c>
      <c r="O816" s="14">
        <f>CHOOSE(CONTROL!$C$42, 67.1673, 67.1673) * CHOOSE(CONTROL!$C$21, $C$9, 100%, $E$9)</f>
        <v>67.167299999999997</v>
      </c>
      <c r="P816" s="14">
        <f>CHOOSE(CONTROL!$C$42, 67.2964, 67.2964) * CHOOSE(CONTROL!$C$21, $C$9, 100%, $E$9)</f>
        <v>67.296400000000006</v>
      </c>
      <c r="Q816" s="14">
        <f>CHOOSE(CONTROL!$C$42, 67.762, 67.762) * CHOOSE(CONTROL!$C$21, $C$9, 100%, $E$9)</f>
        <v>67.762</v>
      </c>
      <c r="R816" s="14">
        <f>CHOOSE(CONTROL!$C$42, 68.5184, 68.5184) * CHOOSE(CONTROL!$C$21, $C$9, 100%, $E$9)</f>
        <v>68.5184</v>
      </c>
      <c r="S816" s="14">
        <f>CHOOSE(CONTROL!$C$42, 65.7765, 65.7765) * CHOOSE(CONTROL!$C$21, $C$9, 100%, $E$9)</f>
        <v>65.776499999999999</v>
      </c>
      <c r="T8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7">
        <f>(1000*CHOOSE(CONTROL!$C$42, 695, 695)*CHOOSE(CONTROL!$C$42, 0.5599, 0.5599)*CHOOSE(CONTROL!$C$42, 31, 31))/1000000</f>
        <v>12.063045499999998</v>
      </c>
      <c r="V816" s="57">
        <f>(1000*CHOOSE(CONTROL!$C$42, 500, 500)*CHOOSE(CONTROL!$C$42, 0.275, 0.275)*CHOOSE(CONTROL!$C$42, 31, 31))/1000000</f>
        <v>4.2625000000000002</v>
      </c>
      <c r="W816" s="57">
        <f>(1000*CHOOSE(CONTROL!$C$42, 0.1146, 0.1146)*CHOOSE(CONTROL!$C$42, 121.5, 121.5)*CHOOSE(CONTROL!$C$42, 31, 31))/1000000</f>
        <v>0.43164089999999994</v>
      </c>
      <c r="X816" s="57">
        <f>(31*0.1790888*100000/1000000)+(31*0.2374*100000/1000000)</f>
        <v>1.2911152800000001</v>
      </c>
      <c r="Y816" s="57"/>
      <c r="Z816" s="14"/>
      <c r="AA816" s="56"/>
      <c r="AB816" s="50">
        <f>(B816*122.58+C816*297.941+D816*89.177+E816*40.302+F816*40+G816*160+H816*0+I816*100+J816*300)/(122.58+297.941+89.177+40.302+0+40+160+100+300)</f>
        <v>68.500816250347825</v>
      </c>
      <c r="AC816" s="45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67.149213669064736</v>
      </c>
    </row>
    <row r="817" spans="1:29" ht="15.75" x14ac:dyDescent="0.25">
      <c r="A817" s="32">
        <v>65776</v>
      </c>
      <c r="B817" s="14">
        <f>CHOOSE(CONTROL!$C$42, 74.1366, 74.1366) * CHOOSE(CONTROL!$C$21, $C$9, 100%, $E$9)</f>
        <v>74.136600000000001</v>
      </c>
      <c r="C817" s="14">
        <f>CHOOSE(CONTROL!$C$42, 74.1417, 74.1417) * CHOOSE(CONTROL!$C$21, $C$9, 100%, $E$9)</f>
        <v>74.1417</v>
      </c>
      <c r="D817" s="14">
        <f>CHOOSE(CONTROL!$C$42, 74.2185, 74.2185) * CHOOSE(CONTROL!$C$21, $C$9, 100%, $E$9)</f>
        <v>74.218500000000006</v>
      </c>
      <c r="E817" s="14">
        <f>CHOOSE(CONTROL!$C$42, 74.2526, 74.2526) * CHOOSE(CONTROL!$C$21, $C$9, 100%, $E$9)</f>
        <v>74.252600000000001</v>
      </c>
      <c r="F817" s="14">
        <f>CHOOSE(CONTROL!$C$42, 74.1368, 74.1368)*CHOOSE(CONTROL!$C$21, $C$9, 100%, $E$9)</f>
        <v>74.136799999999994</v>
      </c>
      <c r="G817" s="14">
        <f>CHOOSE(CONTROL!$C$42, 74.153, 74.153)*CHOOSE(CONTROL!$C$21, $C$9, 100%, $E$9)</f>
        <v>74.153000000000006</v>
      </c>
      <c r="H817" s="14">
        <f>CHOOSE(CONTROL!$C$42, 74.2418, 74.2418) * CHOOSE(CONTROL!$C$21, $C$9, 100%, $E$9)</f>
        <v>74.241799999999998</v>
      </c>
      <c r="I817" s="14">
        <f>CHOOSE(CONTROL!$C$42, 74.3869, 74.3869)* CHOOSE(CONTROL!$C$21, $C$9, 100%, $E$9)</f>
        <v>74.386899999999997</v>
      </c>
      <c r="J817" s="14">
        <f>CHOOSE(CONTROL!$C$42, 74.1298, 74.1298)* CHOOSE(CONTROL!$C$21, $C$9, 100%, $E$9)</f>
        <v>74.129800000000003</v>
      </c>
      <c r="K817" s="53">
        <f>CHOOSE(CONTROL!$C$42, 74.383, 74.383) * CHOOSE(CONTROL!$C$21, $C$9, 100%, $E$9)</f>
        <v>74.382999999999996</v>
      </c>
      <c r="L817" s="14">
        <f>CHOOSE(CONTROL!$C$42, 74.8288, 74.8288) * CHOOSE(CONTROL!$C$21, $C$9, 100%, $E$9)</f>
        <v>74.828800000000001</v>
      </c>
      <c r="M817" s="14">
        <f>CHOOSE(CONTROL!$C$42, 72.6186, 72.6186) * CHOOSE(CONTROL!$C$21, $C$9, 100%, $E$9)</f>
        <v>72.618600000000001</v>
      </c>
      <c r="N817" s="14">
        <f>CHOOSE(CONTROL!$C$42, 72.6345, 72.6345) * CHOOSE(CONTROL!$C$21, $C$9, 100%, $E$9)</f>
        <v>72.634500000000003</v>
      </c>
      <c r="O817" s="14">
        <f>CHOOSE(CONTROL!$C$42, 72.7283, 72.7283) * CHOOSE(CONTROL!$C$21, $C$9, 100%, $E$9)</f>
        <v>72.728300000000004</v>
      </c>
      <c r="P817" s="14">
        <f>CHOOSE(CONTROL!$C$42, 72.8658, 72.8658) * CHOOSE(CONTROL!$C$21, $C$9, 100%, $E$9)</f>
        <v>72.865799999999993</v>
      </c>
      <c r="Q817" s="14">
        <f>CHOOSE(CONTROL!$C$42, 73.323, 73.323) * CHOOSE(CONTROL!$C$21, $C$9, 100%, $E$9)</f>
        <v>73.322999999999993</v>
      </c>
      <c r="R817" s="14">
        <f>CHOOSE(CONTROL!$C$42, 74.0933, 74.0933) * CHOOSE(CONTROL!$C$21, $C$9, 100%, $E$9)</f>
        <v>74.093299999999999</v>
      </c>
      <c r="S817" s="14">
        <f>CHOOSE(CONTROL!$C$42, 71.2293, 71.2293) * CHOOSE(CONTROL!$C$21, $C$9, 100%, $E$9)</f>
        <v>71.229299999999995</v>
      </c>
      <c r="T8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7">
        <f>(1000*CHOOSE(CONTROL!$C$42, 695, 695)*CHOOSE(CONTROL!$C$42, 0.5599, 0.5599)*CHOOSE(CONTROL!$C$42, 31, 31))/1000000</f>
        <v>12.063045499999998</v>
      </c>
      <c r="V817" s="57">
        <f>(1000*CHOOSE(CONTROL!$C$42, 500, 500)*CHOOSE(CONTROL!$C$42, 0.275, 0.275)*CHOOSE(CONTROL!$C$42, 31, 31))/1000000</f>
        <v>4.2625000000000002</v>
      </c>
      <c r="W817" s="57">
        <f>(1000*CHOOSE(CONTROL!$C$42, 0.1146, 0.1146)*CHOOSE(CONTROL!$C$42, 121.5, 121.5)*CHOOSE(CONTROL!$C$42, 31, 31))/1000000</f>
        <v>0.43164089999999994</v>
      </c>
      <c r="X817" s="57">
        <f>(31*0.1790888*100000/1000000)+(31*0.2374*100000/1000000)</f>
        <v>1.2911152800000001</v>
      </c>
      <c r="Y817" s="57"/>
      <c r="Z817" s="14"/>
      <c r="AA817" s="56"/>
      <c r="AB817" s="50">
        <f>(B817*122.58+C817*297.941+D817*89.177+E817*40.302+F817*40+G817*160+H817*0+I817*100+J817*300)/(122.58+297.941+89.177+40.302+0+40+160+100+300)</f>
        <v>74.170617502086955</v>
      </c>
      <c r="AC817" s="45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72.704803597122307</v>
      </c>
    </row>
    <row r="818" spans="1:29" ht="15.75" x14ac:dyDescent="0.25">
      <c r="A818" s="32">
        <v>65805</v>
      </c>
      <c r="B818" s="14">
        <f>CHOOSE(CONTROL!$C$42, 75.4562, 75.4562) * CHOOSE(CONTROL!$C$21, $C$9, 100%, $E$9)</f>
        <v>75.456199999999995</v>
      </c>
      <c r="C818" s="14">
        <f>CHOOSE(CONTROL!$C$42, 75.4612, 75.4612) * CHOOSE(CONTROL!$C$21, $C$9, 100%, $E$9)</f>
        <v>75.461200000000005</v>
      </c>
      <c r="D818" s="14">
        <f>CHOOSE(CONTROL!$C$42, 75.5381, 75.5381) * CHOOSE(CONTROL!$C$21, $C$9, 100%, $E$9)</f>
        <v>75.5381</v>
      </c>
      <c r="E818" s="14">
        <f>CHOOSE(CONTROL!$C$42, 75.5722, 75.5722) * CHOOSE(CONTROL!$C$21, $C$9, 100%, $E$9)</f>
        <v>75.572199999999995</v>
      </c>
      <c r="F818" s="14">
        <f>CHOOSE(CONTROL!$C$42, 75.4564, 75.4564)*CHOOSE(CONTROL!$C$21, $C$9, 100%, $E$9)</f>
        <v>75.456400000000002</v>
      </c>
      <c r="G818" s="14">
        <f>CHOOSE(CONTROL!$C$42, 75.4727, 75.4727)*CHOOSE(CONTROL!$C$21, $C$9, 100%, $E$9)</f>
        <v>75.472700000000003</v>
      </c>
      <c r="H818" s="14">
        <f>CHOOSE(CONTROL!$C$42, 75.5614, 75.5614) * CHOOSE(CONTROL!$C$21, $C$9, 100%, $E$9)</f>
        <v>75.561400000000006</v>
      </c>
      <c r="I818" s="14">
        <f>CHOOSE(CONTROL!$C$42, 75.7106, 75.7106)* CHOOSE(CONTROL!$C$21, $C$9, 100%, $E$9)</f>
        <v>75.710599999999999</v>
      </c>
      <c r="J818" s="14">
        <f>CHOOSE(CONTROL!$C$42, 75.4494, 75.4494)* CHOOSE(CONTROL!$C$21, $C$9, 100%, $E$9)</f>
        <v>75.449399999999997</v>
      </c>
      <c r="K818" s="53">
        <f>CHOOSE(CONTROL!$C$42, 75.7067, 75.7067) * CHOOSE(CONTROL!$C$21, $C$9, 100%, $E$9)</f>
        <v>75.706699999999998</v>
      </c>
      <c r="L818" s="14">
        <f>CHOOSE(CONTROL!$C$42, 76.1484, 76.1484) * CHOOSE(CONTROL!$C$21, $C$9, 100%, $E$9)</f>
        <v>76.148399999999995</v>
      </c>
      <c r="M818" s="14">
        <f>CHOOSE(CONTROL!$C$42, 73.9112, 73.9112) * CHOOSE(CONTROL!$C$21, $C$9, 100%, $E$9)</f>
        <v>73.911199999999994</v>
      </c>
      <c r="N818" s="14">
        <f>CHOOSE(CONTROL!$C$42, 73.9271, 73.9271) * CHOOSE(CONTROL!$C$21, $C$9, 100%, $E$9)</f>
        <v>73.927099999999996</v>
      </c>
      <c r="O818" s="14">
        <f>CHOOSE(CONTROL!$C$42, 74.0209, 74.0209) * CHOOSE(CONTROL!$C$21, $C$9, 100%, $E$9)</f>
        <v>74.020899999999997</v>
      </c>
      <c r="P818" s="14">
        <f>CHOOSE(CONTROL!$C$42, 74.1623, 74.1623) * CHOOSE(CONTROL!$C$21, $C$9, 100%, $E$9)</f>
        <v>74.162300000000002</v>
      </c>
      <c r="Q818" s="14">
        <f>CHOOSE(CONTROL!$C$42, 74.6156, 74.6156) * CHOOSE(CONTROL!$C$21, $C$9, 100%, $E$9)</f>
        <v>74.615600000000001</v>
      </c>
      <c r="R818" s="14">
        <f>CHOOSE(CONTROL!$C$42, 75.3891, 75.3891) * CHOOSE(CONTROL!$C$21, $C$9, 100%, $E$9)</f>
        <v>75.389099999999999</v>
      </c>
      <c r="S818" s="14">
        <f>CHOOSE(CONTROL!$C$42, 72.4973, 72.4973) * CHOOSE(CONTROL!$C$21, $C$9, 100%, $E$9)</f>
        <v>72.497299999999996</v>
      </c>
      <c r="T81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7">
        <f>(1000*CHOOSE(CONTROL!$C$42, 695, 695)*CHOOSE(CONTROL!$C$42, 0.5599, 0.5599)*CHOOSE(CONTROL!$C$42, 29, 29))/1000000</f>
        <v>11.284784499999999</v>
      </c>
      <c r="V818" s="57">
        <f>(1000*CHOOSE(CONTROL!$C$42, 500, 500)*CHOOSE(CONTROL!$C$42, 0.275, 0.275)*CHOOSE(CONTROL!$C$42, 29, 29))/1000000</f>
        <v>3.9874999999999998</v>
      </c>
      <c r="W818" s="57">
        <f>(1000*CHOOSE(CONTROL!$C$42, 0.1146, 0.1146)*CHOOSE(CONTROL!$C$42, 121.5, 121.5)*CHOOSE(CONTROL!$C$42, 29, 29))/1000000</f>
        <v>0.40379309999999996</v>
      </c>
      <c r="X818" s="57">
        <f>(29*0.1790888*100000/1000000)+(29*0.2374*100000/1000000)</f>
        <v>1.2078175199999999</v>
      </c>
      <c r="Y818" s="57"/>
      <c r="Z818" s="14"/>
      <c r="AA818" s="56"/>
      <c r="AB818" s="50">
        <f>(B818*122.58+C818*297.941+D818*89.177+E818*40.302+F818*40+G818*160+H818*0+I818*100+J818*300)/(122.58+297.941+89.177+40.302+0+40+160+100+300)</f>
        <v>75.490562028956504</v>
      </c>
      <c r="AC818" s="45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73.99796474820144</v>
      </c>
    </row>
    <row r="819" spans="1:29" ht="15.75" x14ac:dyDescent="0.25">
      <c r="A819" s="32">
        <v>65836</v>
      </c>
      <c r="B819" s="14">
        <f>CHOOSE(CONTROL!$C$42, 73.3142, 73.3142) * CHOOSE(CONTROL!$C$21, $C$9, 100%, $E$9)</f>
        <v>73.3142</v>
      </c>
      <c r="C819" s="14">
        <f>CHOOSE(CONTROL!$C$42, 73.3193, 73.3193) * CHOOSE(CONTROL!$C$21, $C$9, 100%, $E$9)</f>
        <v>73.319299999999998</v>
      </c>
      <c r="D819" s="14">
        <f>CHOOSE(CONTROL!$C$42, 73.3961, 73.3961) * CHOOSE(CONTROL!$C$21, $C$9, 100%, $E$9)</f>
        <v>73.396100000000004</v>
      </c>
      <c r="E819" s="14">
        <f>CHOOSE(CONTROL!$C$42, 73.4302, 73.4302) * CHOOSE(CONTROL!$C$21, $C$9, 100%, $E$9)</f>
        <v>73.430199999999999</v>
      </c>
      <c r="F819" s="14">
        <f>CHOOSE(CONTROL!$C$42, 73.314, 73.314)*CHOOSE(CONTROL!$C$21, $C$9, 100%, $E$9)</f>
        <v>73.313999999999993</v>
      </c>
      <c r="G819" s="14">
        <f>CHOOSE(CONTROL!$C$42, 73.3301, 73.3301)*CHOOSE(CONTROL!$C$21, $C$9, 100%, $E$9)</f>
        <v>73.330100000000002</v>
      </c>
      <c r="H819" s="14">
        <f>CHOOSE(CONTROL!$C$42, 73.4194, 73.4194) * CHOOSE(CONTROL!$C$21, $C$9, 100%, $E$9)</f>
        <v>73.419399999999996</v>
      </c>
      <c r="I819" s="14">
        <f>CHOOSE(CONTROL!$C$42, 73.5619, 73.5619)* CHOOSE(CONTROL!$C$21, $C$9, 100%, $E$9)</f>
        <v>73.561899999999994</v>
      </c>
      <c r="J819" s="14">
        <f>CHOOSE(CONTROL!$C$42, 73.307, 73.307)* CHOOSE(CONTROL!$C$21, $C$9, 100%, $E$9)</f>
        <v>73.307000000000002</v>
      </c>
      <c r="K819" s="53">
        <f>CHOOSE(CONTROL!$C$42, 73.558, 73.558) * CHOOSE(CONTROL!$C$21, $C$9, 100%, $E$9)</f>
        <v>73.558000000000007</v>
      </c>
      <c r="L819" s="14">
        <f>CHOOSE(CONTROL!$C$42, 74.0064, 74.0064) * CHOOSE(CONTROL!$C$21, $C$9, 100%, $E$9)</f>
        <v>74.006399999999999</v>
      </c>
      <c r="M819" s="14">
        <f>CHOOSE(CONTROL!$C$42, 71.8127, 71.8127) * CHOOSE(CONTROL!$C$21, $C$9, 100%, $E$9)</f>
        <v>71.812700000000007</v>
      </c>
      <c r="N819" s="14">
        <f>CHOOSE(CONTROL!$C$42, 71.8285, 71.8285) * CHOOSE(CONTROL!$C$21, $C$9, 100%, $E$9)</f>
        <v>71.828500000000005</v>
      </c>
      <c r="O819" s="14">
        <f>CHOOSE(CONTROL!$C$42, 71.9228, 71.9228) * CHOOSE(CONTROL!$C$21, $C$9, 100%, $E$9)</f>
        <v>71.922799999999995</v>
      </c>
      <c r="P819" s="14">
        <f>CHOOSE(CONTROL!$C$42, 72.0578, 72.0578) * CHOOSE(CONTROL!$C$21, $C$9, 100%, $E$9)</f>
        <v>72.0578</v>
      </c>
      <c r="Q819" s="14">
        <f>CHOOSE(CONTROL!$C$42, 72.5175, 72.5175) * CHOOSE(CONTROL!$C$21, $C$9, 100%, $E$9)</f>
        <v>72.517499999999998</v>
      </c>
      <c r="R819" s="14">
        <f>CHOOSE(CONTROL!$C$42, 73.2858, 73.2858) * CHOOSE(CONTROL!$C$21, $C$9, 100%, $E$9)</f>
        <v>73.285799999999995</v>
      </c>
      <c r="S819" s="14">
        <f>CHOOSE(CONTROL!$C$42, 70.4391, 70.4391) * CHOOSE(CONTROL!$C$21, $C$9, 100%, $E$9)</f>
        <v>70.439099999999996</v>
      </c>
      <c r="T8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7">
        <f>(1000*CHOOSE(CONTROL!$C$42, 695, 695)*CHOOSE(CONTROL!$C$42, 0.5599, 0.5599)*CHOOSE(CONTROL!$C$42, 31, 31))/1000000</f>
        <v>12.063045499999998</v>
      </c>
      <c r="V819" s="57">
        <f>(1000*CHOOSE(CONTROL!$C$42, 500, 500)*CHOOSE(CONTROL!$C$42, 0.275, 0.275)*CHOOSE(CONTROL!$C$42, 31, 31))/1000000</f>
        <v>4.2625000000000002</v>
      </c>
      <c r="W819" s="57">
        <f>(1000*CHOOSE(CONTROL!$C$42, 0.1146, 0.1146)*CHOOSE(CONTROL!$C$42, 121.5, 121.5)*CHOOSE(CONTROL!$C$42, 31, 31))/1000000</f>
        <v>0.43164089999999994</v>
      </c>
      <c r="X819" s="57">
        <f>(31*0.1790888*100000/1000000)+(31*0.2374*100000/1000000)</f>
        <v>1.2911152800000001</v>
      </c>
      <c r="Y819" s="57"/>
      <c r="Z819" s="14"/>
      <c r="AA819" s="56"/>
      <c r="AB819" s="50">
        <f>(B819*122.58+C819*297.941+D819*89.177+E819*40.302+F819*40+G819*160+H819*0+I819*100+J819*300)/(122.58+297.941+89.177+40.302+0+40+160+100+300)</f>
        <v>73.34780358904348</v>
      </c>
      <c r="AC819" s="45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71.89877697841726</v>
      </c>
    </row>
    <row r="820" spans="1:29" ht="15.75" x14ac:dyDescent="0.25">
      <c r="A820" s="32">
        <v>65866</v>
      </c>
      <c r="B820" s="14">
        <f>CHOOSE(CONTROL!$C$42, 73.096, 73.096) * CHOOSE(CONTROL!$C$21, $C$9, 100%, $E$9)</f>
        <v>73.096000000000004</v>
      </c>
      <c r="C820" s="14">
        <f>CHOOSE(CONTROL!$C$42, 73.1004, 73.1004) * CHOOSE(CONTROL!$C$21, $C$9, 100%, $E$9)</f>
        <v>73.100399999999993</v>
      </c>
      <c r="D820" s="14">
        <f>CHOOSE(CONTROL!$C$42, 73.3372, 73.3372) * CHOOSE(CONTROL!$C$21, $C$9, 100%, $E$9)</f>
        <v>73.337199999999996</v>
      </c>
      <c r="E820" s="14">
        <f>CHOOSE(CONTROL!$C$42, 73.3693, 73.3693) * CHOOSE(CONTROL!$C$21, $C$9, 100%, $E$9)</f>
        <v>73.369299999999996</v>
      </c>
      <c r="F820" s="14">
        <f>CHOOSE(CONTROL!$C$42, 73.0939, 73.0939)*CHOOSE(CONTROL!$C$21, $C$9, 100%, $E$9)</f>
        <v>73.093900000000005</v>
      </c>
      <c r="G820" s="14">
        <f>CHOOSE(CONTROL!$C$42, 73.1097, 73.1097)*CHOOSE(CONTROL!$C$21, $C$9, 100%, $E$9)</f>
        <v>73.109700000000004</v>
      </c>
      <c r="H820" s="14">
        <f>CHOOSE(CONTROL!$C$42, 73.3591, 73.3591) * CHOOSE(CONTROL!$C$21, $C$9, 100%, $E$9)</f>
        <v>73.359099999999998</v>
      </c>
      <c r="I820" s="14">
        <f>CHOOSE(CONTROL!$C$42, 73.3422, 73.3422)* CHOOSE(CONTROL!$C$21, $C$9, 100%, $E$9)</f>
        <v>73.342200000000005</v>
      </c>
      <c r="J820" s="14">
        <f>CHOOSE(CONTROL!$C$42, 73.0869, 73.0869)* CHOOSE(CONTROL!$C$21, $C$9, 100%, $E$9)</f>
        <v>73.0869</v>
      </c>
      <c r="K820" s="53">
        <f>CHOOSE(CONTROL!$C$42, 73.3383, 73.3383) * CHOOSE(CONTROL!$C$21, $C$9, 100%, $E$9)</f>
        <v>73.338300000000004</v>
      </c>
      <c r="L820" s="14">
        <f>CHOOSE(CONTROL!$C$42, 73.9461, 73.9461) * CHOOSE(CONTROL!$C$21, $C$9, 100%, $E$9)</f>
        <v>73.946100000000001</v>
      </c>
      <c r="M820" s="14">
        <f>CHOOSE(CONTROL!$C$42, 71.5971, 71.5971) * CHOOSE(CONTROL!$C$21, $C$9, 100%, $E$9)</f>
        <v>71.597099999999998</v>
      </c>
      <c r="N820" s="14">
        <f>CHOOSE(CONTROL!$C$42, 71.6126, 71.6126) * CHOOSE(CONTROL!$C$21, $C$9, 100%, $E$9)</f>
        <v>71.6126</v>
      </c>
      <c r="O820" s="14">
        <f>CHOOSE(CONTROL!$C$42, 71.8637, 71.8637) * CHOOSE(CONTROL!$C$21, $C$9, 100%, $E$9)</f>
        <v>71.863699999999994</v>
      </c>
      <c r="P820" s="14">
        <f>CHOOSE(CONTROL!$C$42, 71.8426, 71.8426) * CHOOSE(CONTROL!$C$21, $C$9, 100%, $E$9)</f>
        <v>71.842600000000004</v>
      </c>
      <c r="Q820" s="14">
        <f>CHOOSE(CONTROL!$C$42, 72.4584, 72.4584) * CHOOSE(CONTROL!$C$21, $C$9, 100%, $E$9)</f>
        <v>72.458399999999997</v>
      </c>
      <c r="R820" s="14">
        <f>CHOOSE(CONTROL!$C$42, 73.2265, 73.2265) * CHOOSE(CONTROL!$C$21, $C$9, 100%, $E$9)</f>
        <v>73.226500000000001</v>
      </c>
      <c r="S820" s="14">
        <f>CHOOSE(CONTROL!$C$42, 70.2286, 70.2286) * CHOOSE(CONTROL!$C$21, $C$9, 100%, $E$9)</f>
        <v>70.2286</v>
      </c>
      <c r="T8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7">
        <f>(1000*CHOOSE(CONTROL!$C$42, 695, 695)*CHOOSE(CONTROL!$C$42, 0.5599, 0.5599)*CHOOSE(CONTROL!$C$42, 30, 30))/1000000</f>
        <v>11.673914999999997</v>
      </c>
      <c r="V820" s="57">
        <f>(1000*CHOOSE(CONTROL!$C$42, 500, 500)*CHOOSE(CONTROL!$C$42, 0.275, 0.275)*CHOOSE(CONTROL!$C$42, 30, 30))/1000000</f>
        <v>4.125</v>
      </c>
      <c r="W820" s="57">
        <f>(1000*CHOOSE(CONTROL!$C$42, 0.1146, 0.1146)*CHOOSE(CONTROL!$C$42, 121.5, 121.5)*CHOOSE(CONTROL!$C$42, 30, 30))/1000000</f>
        <v>0.417717</v>
      </c>
      <c r="X820" s="57">
        <f>(30*0.1790888*245000/1000000)+(30*0.2374*100000/1000000)</f>
        <v>2.0285026799999999</v>
      </c>
      <c r="Y820" s="57"/>
      <c r="Z820" s="14"/>
      <c r="AA820" s="56"/>
      <c r="AB820" s="50">
        <f>(B820*141.293+C820*267.993+D820*115.016+E820*89.698+F820*40+G820*185+H820*0+I820*100+J820*300)/(141.293+267.993+115.016+89.698+0+40+185+100+300)</f>
        <v>73.158773197578697</v>
      </c>
      <c r="AC820" s="45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71.754148920863315</v>
      </c>
    </row>
    <row r="821" spans="1:29" ht="15.75" x14ac:dyDescent="0.25">
      <c r="A821" s="32">
        <v>65897</v>
      </c>
      <c r="B821" s="14">
        <f>CHOOSE(CONTROL!$C$42, 73.7424, 73.7424) * CHOOSE(CONTROL!$C$21, $C$9, 100%, $E$9)</f>
        <v>73.742400000000004</v>
      </c>
      <c r="C821" s="14">
        <f>CHOOSE(CONTROL!$C$42, 73.7504, 73.7504) * CHOOSE(CONTROL!$C$21, $C$9, 100%, $E$9)</f>
        <v>73.750399999999999</v>
      </c>
      <c r="D821" s="14">
        <f>CHOOSE(CONTROL!$C$42, 73.984, 73.984) * CHOOSE(CONTROL!$C$21, $C$9, 100%, $E$9)</f>
        <v>73.983999999999995</v>
      </c>
      <c r="E821" s="14">
        <f>CHOOSE(CONTROL!$C$42, 74.0155, 74.0155) * CHOOSE(CONTROL!$C$21, $C$9, 100%, $E$9)</f>
        <v>74.015500000000003</v>
      </c>
      <c r="F821" s="14">
        <f>CHOOSE(CONTROL!$C$42, 73.7392, 73.7392)*CHOOSE(CONTROL!$C$21, $C$9, 100%, $E$9)</f>
        <v>73.739199999999997</v>
      </c>
      <c r="G821" s="14">
        <f>CHOOSE(CONTROL!$C$42, 73.7555, 73.7555)*CHOOSE(CONTROL!$C$21, $C$9, 100%, $E$9)</f>
        <v>73.755499999999998</v>
      </c>
      <c r="H821" s="14">
        <f>CHOOSE(CONTROL!$C$42, 74.0041, 74.0041) * CHOOSE(CONTROL!$C$21, $C$9, 100%, $E$9)</f>
        <v>74.004099999999994</v>
      </c>
      <c r="I821" s="14">
        <f>CHOOSE(CONTROL!$C$42, 73.9892, 73.9892)* CHOOSE(CONTROL!$C$21, $C$9, 100%, $E$9)</f>
        <v>73.989199999999997</v>
      </c>
      <c r="J821" s="14">
        <f>CHOOSE(CONTROL!$C$42, 73.7322, 73.7322)* CHOOSE(CONTROL!$C$21, $C$9, 100%, $E$9)</f>
        <v>73.732200000000006</v>
      </c>
      <c r="K821" s="53">
        <f>CHOOSE(CONTROL!$C$42, 73.9853, 73.9853) * CHOOSE(CONTROL!$C$21, $C$9, 100%, $E$9)</f>
        <v>73.985299999999995</v>
      </c>
      <c r="L821" s="14">
        <f>CHOOSE(CONTROL!$C$42, 74.5911, 74.5911) * CHOOSE(CONTROL!$C$21, $C$9, 100%, $E$9)</f>
        <v>74.591099999999997</v>
      </c>
      <c r="M821" s="14">
        <f>CHOOSE(CONTROL!$C$42, 72.2292, 72.2292) * CHOOSE(CONTROL!$C$21, $C$9, 100%, $E$9)</f>
        <v>72.229200000000006</v>
      </c>
      <c r="N821" s="14">
        <f>CHOOSE(CONTROL!$C$42, 72.2452, 72.2452) * CHOOSE(CONTROL!$C$21, $C$9, 100%, $E$9)</f>
        <v>72.245199999999997</v>
      </c>
      <c r="O821" s="14">
        <f>CHOOSE(CONTROL!$C$42, 72.4955, 72.4955) * CHOOSE(CONTROL!$C$21, $C$9, 100%, $E$9)</f>
        <v>72.495500000000007</v>
      </c>
      <c r="P821" s="14">
        <f>CHOOSE(CONTROL!$C$42, 72.4764, 72.4764) * CHOOSE(CONTROL!$C$21, $C$9, 100%, $E$9)</f>
        <v>72.476399999999998</v>
      </c>
      <c r="Q821" s="14">
        <f>CHOOSE(CONTROL!$C$42, 73.0902, 73.0902) * CHOOSE(CONTROL!$C$21, $C$9, 100%, $E$9)</f>
        <v>73.090199999999996</v>
      </c>
      <c r="R821" s="14">
        <f>CHOOSE(CONTROL!$C$42, 73.8599, 73.8599) * CHOOSE(CONTROL!$C$21, $C$9, 100%, $E$9)</f>
        <v>73.859899999999996</v>
      </c>
      <c r="S821" s="14">
        <f>CHOOSE(CONTROL!$C$42, 70.8484, 70.8484) * CHOOSE(CONTROL!$C$21, $C$9, 100%, $E$9)</f>
        <v>70.848399999999998</v>
      </c>
      <c r="T8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7">
        <f>(1000*CHOOSE(CONTROL!$C$42, 695, 695)*CHOOSE(CONTROL!$C$42, 0.5599, 0.5599)*CHOOSE(CONTROL!$C$42, 31, 31))/1000000</f>
        <v>12.063045499999998</v>
      </c>
      <c r="V821" s="57">
        <f>(1000*CHOOSE(CONTROL!$C$42, 500, 500)*CHOOSE(CONTROL!$C$42, 0.275, 0.275)*CHOOSE(CONTROL!$C$42, 31, 31))/1000000</f>
        <v>4.2625000000000002</v>
      </c>
      <c r="W821" s="57">
        <f>(1000*CHOOSE(CONTROL!$C$42, 0.1146, 0.1146)*CHOOSE(CONTROL!$C$42, 121.5, 121.5)*CHOOSE(CONTROL!$C$42, 31, 31))/1000000</f>
        <v>0.43164089999999994</v>
      </c>
      <c r="X821" s="57">
        <f>(31*0.1790888*245000/1000000)+(31*0.2374*100000/1000000)</f>
        <v>2.0961194359999999</v>
      </c>
      <c r="Y821" s="57"/>
      <c r="Z821" s="14"/>
      <c r="AA821" s="56"/>
      <c r="AB821" s="50">
        <f>(B821*194.205+C821*267.466+D821*133.845+E821*53.484+F821*40+G821*185+H821*0+I821*100+J821*300)/(194.205+267.466+133.845+53.484+0+40+185+100+300)</f>
        <v>73.799698791522772</v>
      </c>
      <c r="AC821" s="45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72.386386330935252</v>
      </c>
    </row>
    <row r="822" spans="1:29" ht="15.75" x14ac:dyDescent="0.25">
      <c r="A822" s="32">
        <v>65927</v>
      </c>
      <c r="B822" s="14">
        <f>CHOOSE(CONTROL!$C$42, 75.8339, 75.8339) * CHOOSE(CONTROL!$C$21, $C$9, 100%, $E$9)</f>
        <v>75.8339</v>
      </c>
      <c r="C822" s="14">
        <f>CHOOSE(CONTROL!$C$42, 75.8419, 75.8419) * CHOOSE(CONTROL!$C$21, $C$9, 100%, $E$9)</f>
        <v>75.841899999999995</v>
      </c>
      <c r="D822" s="14">
        <f>CHOOSE(CONTROL!$C$42, 76.0755, 76.0755) * CHOOSE(CONTROL!$C$21, $C$9, 100%, $E$9)</f>
        <v>76.075500000000005</v>
      </c>
      <c r="E822" s="14">
        <f>CHOOSE(CONTROL!$C$42, 76.1069, 76.1069) * CHOOSE(CONTROL!$C$21, $C$9, 100%, $E$9)</f>
        <v>76.106899999999996</v>
      </c>
      <c r="F822" s="14">
        <f>CHOOSE(CONTROL!$C$42, 75.8311, 75.8311)*CHOOSE(CONTROL!$C$21, $C$9, 100%, $E$9)</f>
        <v>75.831100000000006</v>
      </c>
      <c r="G822" s="14">
        <f>CHOOSE(CONTROL!$C$42, 75.8476, 75.8476)*CHOOSE(CONTROL!$C$21, $C$9, 100%, $E$9)</f>
        <v>75.8476</v>
      </c>
      <c r="H822" s="14">
        <f>CHOOSE(CONTROL!$C$42, 76.0956, 76.0956) * CHOOSE(CONTROL!$C$21, $C$9, 100%, $E$9)</f>
        <v>76.095600000000005</v>
      </c>
      <c r="I822" s="14">
        <f>CHOOSE(CONTROL!$C$42, 76.0872, 76.0872)* CHOOSE(CONTROL!$C$21, $C$9, 100%, $E$9)</f>
        <v>76.087199999999996</v>
      </c>
      <c r="J822" s="14">
        <f>CHOOSE(CONTROL!$C$42, 75.8241, 75.8241)* CHOOSE(CONTROL!$C$21, $C$9, 100%, $E$9)</f>
        <v>75.824100000000001</v>
      </c>
      <c r="K822" s="53">
        <f>CHOOSE(CONTROL!$C$42, 76.0834, 76.0834) * CHOOSE(CONTROL!$C$21, $C$9, 100%, $E$9)</f>
        <v>76.083399999999997</v>
      </c>
      <c r="L822" s="14">
        <f>CHOOSE(CONTROL!$C$42, 76.6826, 76.6826) * CHOOSE(CONTROL!$C$21, $C$9, 100%, $E$9)</f>
        <v>76.682599999999994</v>
      </c>
      <c r="M822" s="14">
        <f>CHOOSE(CONTROL!$C$42, 74.2782, 74.2782) * CHOOSE(CONTROL!$C$21, $C$9, 100%, $E$9)</f>
        <v>74.278199999999998</v>
      </c>
      <c r="N822" s="14">
        <f>CHOOSE(CONTROL!$C$42, 74.2944, 74.2944) * CHOOSE(CONTROL!$C$21, $C$9, 100%, $E$9)</f>
        <v>74.294399999999996</v>
      </c>
      <c r="O822" s="14">
        <f>CHOOSE(CONTROL!$C$42, 74.5441, 74.5441) * CHOOSE(CONTROL!$C$21, $C$9, 100%, $E$9)</f>
        <v>74.5441</v>
      </c>
      <c r="P822" s="14">
        <f>CHOOSE(CONTROL!$C$42, 74.5313, 74.5313) * CHOOSE(CONTROL!$C$21, $C$9, 100%, $E$9)</f>
        <v>74.531300000000002</v>
      </c>
      <c r="Q822" s="14">
        <f>CHOOSE(CONTROL!$C$42, 75.1388, 75.1388) * CHOOSE(CONTROL!$C$21, $C$9, 100%, $E$9)</f>
        <v>75.138800000000003</v>
      </c>
      <c r="R822" s="14">
        <f>CHOOSE(CONTROL!$C$42, 75.9137, 75.9137) * CHOOSE(CONTROL!$C$21, $C$9, 100%, $E$9)</f>
        <v>75.913700000000006</v>
      </c>
      <c r="S822" s="14">
        <f>CHOOSE(CONTROL!$C$42, 72.8581, 72.8581) * CHOOSE(CONTROL!$C$21, $C$9, 100%, $E$9)</f>
        <v>72.858099999999993</v>
      </c>
      <c r="T8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7">
        <f>(1000*CHOOSE(CONTROL!$C$42, 695, 695)*CHOOSE(CONTROL!$C$42, 0.5599, 0.5599)*CHOOSE(CONTROL!$C$42, 30, 30))/1000000</f>
        <v>11.673914999999997</v>
      </c>
      <c r="V822" s="57">
        <f>(1000*CHOOSE(CONTROL!$C$42, 500, 500)*CHOOSE(CONTROL!$C$42, 0.275, 0.275)*CHOOSE(CONTROL!$C$42, 30, 30))/1000000</f>
        <v>4.125</v>
      </c>
      <c r="W822" s="57">
        <f>(1000*CHOOSE(CONTROL!$C$42, 0.1146, 0.1146)*CHOOSE(CONTROL!$C$42, 121.5, 121.5)*CHOOSE(CONTROL!$C$42, 30, 30))/1000000</f>
        <v>0.417717</v>
      </c>
      <c r="X822" s="57">
        <f>(30*0.1790888*245000/1000000)+(30*0.2374*100000/1000000)</f>
        <v>2.0285026799999999</v>
      </c>
      <c r="Y822" s="57"/>
      <c r="Z822" s="14"/>
      <c r="AA822" s="56"/>
      <c r="AB822" s="50">
        <f>(B822*194.205+C822*267.466+D822*133.845+E822*53.484+F822*40+G822*185+H822*0+I822*100+J822*300)/(194.205+267.466+133.845+53.484+0+40+185+100+300)</f>
        <v>75.891898675039243</v>
      </c>
      <c r="AC822" s="45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74.436065467625909</v>
      </c>
    </row>
    <row r="823" spans="1:29" ht="15.75" x14ac:dyDescent="0.25">
      <c r="A823" s="32">
        <v>65958</v>
      </c>
      <c r="B823" s="14">
        <f>CHOOSE(CONTROL!$C$42, 74.3792, 74.3792) * CHOOSE(CONTROL!$C$21, $C$9, 100%, $E$9)</f>
        <v>74.379199999999997</v>
      </c>
      <c r="C823" s="14">
        <f>CHOOSE(CONTROL!$C$42, 74.3873, 74.3873) * CHOOSE(CONTROL!$C$21, $C$9, 100%, $E$9)</f>
        <v>74.387299999999996</v>
      </c>
      <c r="D823" s="14">
        <f>CHOOSE(CONTROL!$C$42, 74.6209, 74.6209) * CHOOSE(CONTROL!$C$21, $C$9, 100%, $E$9)</f>
        <v>74.620900000000006</v>
      </c>
      <c r="E823" s="14">
        <f>CHOOSE(CONTROL!$C$42, 74.6523, 74.6523) * CHOOSE(CONTROL!$C$21, $C$9, 100%, $E$9)</f>
        <v>74.652299999999997</v>
      </c>
      <c r="F823" s="14">
        <f>CHOOSE(CONTROL!$C$42, 74.377, 74.377)*CHOOSE(CONTROL!$C$21, $C$9, 100%, $E$9)</f>
        <v>74.376999999999995</v>
      </c>
      <c r="G823" s="14">
        <f>CHOOSE(CONTROL!$C$42, 74.3936, 74.3936)*CHOOSE(CONTROL!$C$21, $C$9, 100%, $E$9)</f>
        <v>74.393600000000006</v>
      </c>
      <c r="H823" s="14">
        <f>CHOOSE(CONTROL!$C$42, 74.641, 74.641) * CHOOSE(CONTROL!$C$21, $C$9, 100%, $E$9)</f>
        <v>74.641000000000005</v>
      </c>
      <c r="I823" s="14">
        <f>CHOOSE(CONTROL!$C$42, 74.6281, 74.6281)* CHOOSE(CONTROL!$C$21, $C$9, 100%, $E$9)</f>
        <v>74.628100000000003</v>
      </c>
      <c r="J823" s="14">
        <f>CHOOSE(CONTROL!$C$42, 74.37, 74.37)* CHOOSE(CONTROL!$C$21, $C$9, 100%, $E$9)</f>
        <v>74.37</v>
      </c>
      <c r="K823" s="53">
        <f>CHOOSE(CONTROL!$C$42, 74.6242, 74.6242) * CHOOSE(CONTROL!$C$21, $C$9, 100%, $E$9)</f>
        <v>74.624200000000002</v>
      </c>
      <c r="L823" s="14">
        <f>CHOOSE(CONTROL!$C$42, 75.228, 75.228) * CHOOSE(CONTROL!$C$21, $C$9, 100%, $E$9)</f>
        <v>75.227999999999994</v>
      </c>
      <c r="M823" s="14">
        <f>CHOOSE(CONTROL!$C$42, 72.8539, 72.8539) * CHOOSE(CONTROL!$C$21, $C$9, 100%, $E$9)</f>
        <v>72.853899999999996</v>
      </c>
      <c r="N823" s="14">
        <f>CHOOSE(CONTROL!$C$42, 72.8702, 72.8702) * CHOOSE(CONTROL!$C$21, $C$9, 100%, $E$9)</f>
        <v>72.870199999999997</v>
      </c>
      <c r="O823" s="14">
        <f>CHOOSE(CONTROL!$C$42, 73.1193, 73.1193) * CHOOSE(CONTROL!$C$21, $C$9, 100%, $E$9)</f>
        <v>73.119299999999996</v>
      </c>
      <c r="P823" s="14">
        <f>CHOOSE(CONTROL!$C$42, 73.1021, 73.1021) * CHOOSE(CONTROL!$C$21, $C$9, 100%, $E$9)</f>
        <v>73.102099999999993</v>
      </c>
      <c r="Q823" s="14">
        <f>CHOOSE(CONTROL!$C$42, 73.714, 73.714) * CHOOSE(CONTROL!$C$21, $C$9, 100%, $E$9)</f>
        <v>73.713999999999999</v>
      </c>
      <c r="R823" s="14">
        <f>CHOOSE(CONTROL!$C$42, 74.4853, 74.4853) * CHOOSE(CONTROL!$C$21, $C$9, 100%, $E$9)</f>
        <v>74.485299999999995</v>
      </c>
      <c r="S823" s="14">
        <f>CHOOSE(CONTROL!$C$42, 71.4604, 71.4604) * CHOOSE(CONTROL!$C$21, $C$9, 100%, $E$9)</f>
        <v>71.460400000000007</v>
      </c>
      <c r="T8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7">
        <f>(1000*CHOOSE(CONTROL!$C$42, 695, 695)*CHOOSE(CONTROL!$C$42, 0.5599, 0.5599)*CHOOSE(CONTROL!$C$42, 31, 31))/1000000</f>
        <v>12.063045499999998</v>
      </c>
      <c r="V823" s="57">
        <f>(1000*CHOOSE(CONTROL!$C$42, 500, 500)*CHOOSE(CONTROL!$C$42, 0.275, 0.275)*CHOOSE(CONTROL!$C$42, 31, 31))/1000000</f>
        <v>4.2625000000000002</v>
      </c>
      <c r="W823" s="57">
        <f>(1000*CHOOSE(CONTROL!$C$42, 0.1146, 0.1146)*CHOOSE(CONTROL!$C$42, 121.5, 121.5)*CHOOSE(CONTROL!$C$42, 31, 31))/1000000</f>
        <v>0.43164089999999994</v>
      </c>
      <c r="X823" s="57">
        <f>(31*0.1790888*245000/1000000)+(31*0.2374*100000/1000000)</f>
        <v>2.0961194359999999</v>
      </c>
      <c r="Y823" s="57"/>
      <c r="Z823" s="14"/>
      <c r="AA823" s="56"/>
      <c r="AB823" s="50">
        <f>(B823*194.205+C823*267.466+D823*133.845+E823*53.484+F823*40+G823*185+H823*0+I823*100+J823*300)/(194.205+267.466+133.845+53.484+0+40+185+100+300)</f>
        <v>74.437150778257461</v>
      </c>
      <c r="AC823" s="45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73.010839568345318</v>
      </c>
    </row>
    <row r="824" spans="1:29" ht="15.75" x14ac:dyDescent="0.25">
      <c r="A824" s="32">
        <v>65989</v>
      </c>
      <c r="B824" s="14">
        <f>CHOOSE(CONTROL!$C$42, 70.7059, 70.7059) * CHOOSE(CONTROL!$C$21, $C$9, 100%, $E$9)</f>
        <v>70.7059</v>
      </c>
      <c r="C824" s="14">
        <f>CHOOSE(CONTROL!$C$42, 70.7139, 70.7139) * CHOOSE(CONTROL!$C$21, $C$9, 100%, $E$9)</f>
        <v>70.713899999999995</v>
      </c>
      <c r="D824" s="14">
        <f>CHOOSE(CONTROL!$C$42, 70.9475, 70.9475) * CHOOSE(CONTROL!$C$21, $C$9, 100%, $E$9)</f>
        <v>70.947500000000005</v>
      </c>
      <c r="E824" s="14">
        <f>CHOOSE(CONTROL!$C$42, 70.9789, 70.9789) * CHOOSE(CONTROL!$C$21, $C$9, 100%, $E$9)</f>
        <v>70.978899999999996</v>
      </c>
      <c r="F824" s="14">
        <f>CHOOSE(CONTROL!$C$42, 70.7038, 70.7038)*CHOOSE(CONTROL!$C$21, $C$9, 100%, $E$9)</f>
        <v>70.703800000000001</v>
      </c>
      <c r="G824" s="14">
        <f>CHOOSE(CONTROL!$C$42, 70.7205, 70.7205)*CHOOSE(CONTROL!$C$21, $C$9, 100%, $E$9)</f>
        <v>70.720500000000001</v>
      </c>
      <c r="H824" s="14">
        <f>CHOOSE(CONTROL!$C$42, 70.9676, 70.9676) * CHOOSE(CONTROL!$C$21, $C$9, 100%, $E$9)</f>
        <v>70.967600000000004</v>
      </c>
      <c r="I824" s="14">
        <f>CHOOSE(CONTROL!$C$42, 70.9432, 70.9432)* CHOOSE(CONTROL!$C$21, $C$9, 100%, $E$9)</f>
        <v>70.943200000000004</v>
      </c>
      <c r="J824" s="14">
        <f>CHOOSE(CONTROL!$C$42, 70.6968, 70.6968)* CHOOSE(CONTROL!$C$21, $C$9, 100%, $E$9)</f>
        <v>70.696799999999996</v>
      </c>
      <c r="K824" s="53">
        <f>CHOOSE(CONTROL!$C$42, 70.9393, 70.9393) * CHOOSE(CONTROL!$C$21, $C$9, 100%, $E$9)</f>
        <v>70.939300000000003</v>
      </c>
      <c r="L824" s="14">
        <f>CHOOSE(CONTROL!$C$42, 71.5546, 71.5546) * CHOOSE(CONTROL!$C$21, $C$9, 100%, $E$9)</f>
        <v>71.554599999999994</v>
      </c>
      <c r="M824" s="14">
        <f>CHOOSE(CONTROL!$C$42, 69.256, 69.256) * CHOOSE(CONTROL!$C$21, $C$9, 100%, $E$9)</f>
        <v>69.256</v>
      </c>
      <c r="N824" s="14">
        <f>CHOOSE(CONTROL!$C$42, 69.2723, 69.2723) * CHOOSE(CONTROL!$C$21, $C$9, 100%, $E$9)</f>
        <v>69.272300000000001</v>
      </c>
      <c r="O824" s="14">
        <f>CHOOSE(CONTROL!$C$42, 69.5212, 69.5212) * CHOOSE(CONTROL!$C$21, $C$9, 100%, $E$9)</f>
        <v>69.521199999999993</v>
      </c>
      <c r="P824" s="14">
        <f>CHOOSE(CONTROL!$C$42, 69.4929, 69.4929) * CHOOSE(CONTROL!$C$21, $C$9, 100%, $E$9)</f>
        <v>69.492900000000006</v>
      </c>
      <c r="Q824" s="14">
        <f>CHOOSE(CONTROL!$C$42, 70.1159, 70.1159) * CHOOSE(CONTROL!$C$21, $C$9, 100%, $E$9)</f>
        <v>70.115899999999996</v>
      </c>
      <c r="R824" s="14">
        <f>CHOOSE(CONTROL!$C$42, 70.8782, 70.8782) * CHOOSE(CONTROL!$C$21, $C$9, 100%, $E$9)</f>
        <v>70.878200000000007</v>
      </c>
      <c r="S824" s="14">
        <f>CHOOSE(CONTROL!$C$42, 67.9306, 67.9306) * CHOOSE(CONTROL!$C$21, $C$9, 100%, $E$9)</f>
        <v>67.930599999999998</v>
      </c>
      <c r="T8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7">
        <f>(1000*CHOOSE(CONTROL!$C$42, 695, 695)*CHOOSE(CONTROL!$C$42, 0.5599, 0.5599)*CHOOSE(CONTROL!$C$42, 31, 31))/1000000</f>
        <v>12.063045499999998</v>
      </c>
      <c r="V824" s="57">
        <f>(1000*CHOOSE(CONTROL!$C$42, 500, 500)*CHOOSE(CONTROL!$C$42, 0.275, 0.275)*CHOOSE(CONTROL!$C$42, 31, 31))/1000000</f>
        <v>4.2625000000000002</v>
      </c>
      <c r="W824" s="57">
        <f>(1000*CHOOSE(CONTROL!$C$42, 0.1146, 0.1146)*CHOOSE(CONTROL!$C$42, 121.5, 121.5)*CHOOSE(CONTROL!$C$42, 31, 31))/1000000</f>
        <v>0.43164089999999994</v>
      </c>
      <c r="X824" s="57">
        <f>(31*0.1790888*245000/1000000)+(31*0.2374*100000/1000000)</f>
        <v>2.0961194359999999</v>
      </c>
      <c r="Y824" s="57"/>
      <c r="Z824" s="14"/>
      <c r="AA824" s="56"/>
      <c r="AB824" s="50">
        <f>(B824*194.205+C824*267.466+D824*133.845+E824*53.484+F824*40+G824*185+H824*0+I824*100+J824*300)/(194.205+267.466+133.845+53.484+0+40+185+100+300)</f>
        <v>70.762960291993721</v>
      </c>
      <c r="AC824" s="45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69.411223021582728</v>
      </c>
    </row>
    <row r="825" spans="1:29" ht="15.75" x14ac:dyDescent="0.25">
      <c r="A825" s="32">
        <v>66019</v>
      </c>
      <c r="B825" s="14">
        <f>CHOOSE(CONTROL!$C$42, 66.2172, 66.2172) * CHOOSE(CONTROL!$C$21, $C$9, 100%, $E$9)</f>
        <v>66.217200000000005</v>
      </c>
      <c r="C825" s="14">
        <f>CHOOSE(CONTROL!$C$42, 66.2253, 66.2253) * CHOOSE(CONTROL!$C$21, $C$9, 100%, $E$9)</f>
        <v>66.225300000000004</v>
      </c>
      <c r="D825" s="14">
        <f>CHOOSE(CONTROL!$C$42, 66.4588, 66.4588) * CHOOSE(CONTROL!$C$21, $C$9, 100%, $E$9)</f>
        <v>66.458799999999997</v>
      </c>
      <c r="E825" s="14">
        <f>CHOOSE(CONTROL!$C$42, 66.4903, 66.4903) * CHOOSE(CONTROL!$C$21, $C$9, 100%, $E$9)</f>
        <v>66.490300000000005</v>
      </c>
      <c r="F825" s="14">
        <f>CHOOSE(CONTROL!$C$42, 66.2152, 66.2152)*CHOOSE(CONTROL!$C$21, $C$9, 100%, $E$9)</f>
        <v>66.215199999999996</v>
      </c>
      <c r="G825" s="14">
        <f>CHOOSE(CONTROL!$C$42, 66.2319, 66.2319)*CHOOSE(CONTROL!$C$21, $C$9, 100%, $E$9)</f>
        <v>66.231899999999996</v>
      </c>
      <c r="H825" s="14">
        <f>CHOOSE(CONTROL!$C$42, 66.4789, 66.4789) * CHOOSE(CONTROL!$C$21, $C$9, 100%, $E$9)</f>
        <v>66.478899999999996</v>
      </c>
      <c r="I825" s="14">
        <f>CHOOSE(CONTROL!$C$42, 66.4405, 66.4405)* CHOOSE(CONTROL!$C$21, $C$9, 100%, $E$9)</f>
        <v>66.4405</v>
      </c>
      <c r="J825" s="14">
        <f>CHOOSE(CONTROL!$C$42, 66.2082, 66.2082)* CHOOSE(CONTROL!$C$21, $C$9, 100%, $E$9)</f>
        <v>66.208200000000005</v>
      </c>
      <c r="K825" s="53">
        <f>CHOOSE(CONTROL!$C$42, 66.4366, 66.4366) * CHOOSE(CONTROL!$C$21, $C$9, 100%, $E$9)</f>
        <v>66.436599999999999</v>
      </c>
      <c r="L825" s="14">
        <f>CHOOSE(CONTROL!$C$42, 67.0659, 67.0659) * CHOOSE(CONTROL!$C$21, $C$9, 100%, $E$9)</f>
        <v>67.065899999999999</v>
      </c>
      <c r="M825" s="14">
        <f>CHOOSE(CONTROL!$C$42, 64.8594, 64.8594) * CHOOSE(CONTROL!$C$21, $C$9, 100%, $E$9)</f>
        <v>64.859399999999994</v>
      </c>
      <c r="N825" s="14">
        <f>CHOOSE(CONTROL!$C$42, 64.8757, 64.8757) * CHOOSE(CONTROL!$C$21, $C$9, 100%, $E$9)</f>
        <v>64.875699999999995</v>
      </c>
      <c r="O825" s="14">
        <f>CHOOSE(CONTROL!$C$42, 65.1245, 65.1245) * CHOOSE(CONTROL!$C$21, $C$9, 100%, $E$9)</f>
        <v>65.124499999999998</v>
      </c>
      <c r="P825" s="14">
        <f>CHOOSE(CONTROL!$C$42, 65.0828, 65.0828) * CHOOSE(CONTROL!$C$21, $C$9, 100%, $E$9)</f>
        <v>65.082800000000006</v>
      </c>
      <c r="Q825" s="14">
        <f>CHOOSE(CONTROL!$C$42, 65.7192, 65.7192) * CHOOSE(CONTROL!$C$21, $C$9, 100%, $E$9)</f>
        <v>65.719200000000001</v>
      </c>
      <c r="R825" s="14">
        <f>CHOOSE(CONTROL!$C$42, 66.4705, 66.4705) * CHOOSE(CONTROL!$C$21, $C$9, 100%, $E$9)</f>
        <v>66.470500000000001</v>
      </c>
      <c r="S825" s="14">
        <f>CHOOSE(CONTROL!$C$42, 63.6175, 63.6175) * CHOOSE(CONTROL!$C$21, $C$9, 100%, $E$9)</f>
        <v>63.6175</v>
      </c>
      <c r="T8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7">
        <f>(1000*CHOOSE(CONTROL!$C$42, 695, 695)*CHOOSE(CONTROL!$C$42, 0.5599, 0.5599)*CHOOSE(CONTROL!$C$42, 30, 30))/1000000</f>
        <v>11.673914999999997</v>
      </c>
      <c r="V825" s="57">
        <f>(1000*CHOOSE(CONTROL!$C$42, 500, 500)*CHOOSE(CONTROL!$C$42, 0.275, 0.275)*CHOOSE(CONTROL!$C$42, 30, 30))/1000000</f>
        <v>4.125</v>
      </c>
      <c r="W825" s="57">
        <f>(1000*CHOOSE(CONTROL!$C$42, 0.1146, 0.1146)*CHOOSE(CONTROL!$C$42, 121.5, 121.5)*CHOOSE(CONTROL!$C$42, 30, 30))/1000000</f>
        <v>0.417717</v>
      </c>
      <c r="X825" s="57">
        <f>(30*0.1790888*245000/1000000)+(30*0.2374*100000/1000000)</f>
        <v>2.0285026799999999</v>
      </c>
      <c r="Y825" s="57"/>
      <c r="Z825" s="14"/>
      <c r="AA825" s="56"/>
      <c r="AB825" s="50">
        <f>(B825*194.205+C825*267.466+D825*133.845+E825*53.484+F825*40+G825*185+H825*0+I825*100+J825*300)/(194.205+267.466+133.845+53.484+0+40+185+100+300)</f>
        <v>66.273227791993733</v>
      </c>
      <c r="AC825" s="45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65.012635251798557</v>
      </c>
    </row>
    <row r="826" spans="1:29" ht="15.75" x14ac:dyDescent="0.25">
      <c r="A826" s="32">
        <v>66050</v>
      </c>
      <c r="B826" s="14">
        <f>CHOOSE(CONTROL!$C$42, 64.8712, 64.8712) * CHOOSE(CONTROL!$C$21, $C$9, 100%, $E$9)</f>
        <v>64.871200000000002</v>
      </c>
      <c r="C826" s="14">
        <f>CHOOSE(CONTROL!$C$42, 64.8765, 64.8765) * CHOOSE(CONTROL!$C$21, $C$9, 100%, $E$9)</f>
        <v>64.876499999999993</v>
      </c>
      <c r="D826" s="14">
        <f>CHOOSE(CONTROL!$C$42, 65.1151, 65.1151) * CHOOSE(CONTROL!$C$21, $C$9, 100%, $E$9)</f>
        <v>65.115099999999998</v>
      </c>
      <c r="E826" s="14">
        <f>CHOOSE(CONTROL!$C$42, 65.1442, 65.1442) * CHOOSE(CONTROL!$C$21, $C$9, 100%, $E$9)</f>
        <v>65.144199999999998</v>
      </c>
      <c r="F826" s="14">
        <f>CHOOSE(CONTROL!$C$42, 64.8712, 64.8712)*CHOOSE(CONTROL!$C$21, $C$9, 100%, $E$9)</f>
        <v>64.871200000000002</v>
      </c>
      <c r="G826" s="14">
        <f>CHOOSE(CONTROL!$C$42, 64.8875, 64.8875)*CHOOSE(CONTROL!$C$21, $C$9, 100%, $E$9)</f>
        <v>64.887500000000003</v>
      </c>
      <c r="H826" s="14">
        <f>CHOOSE(CONTROL!$C$42, 65.1347, 65.1347) * CHOOSE(CONTROL!$C$21, $C$9, 100%, $E$9)</f>
        <v>65.134699999999995</v>
      </c>
      <c r="I826" s="14">
        <f>CHOOSE(CONTROL!$C$42, 65.092, 65.092)* CHOOSE(CONTROL!$C$21, $C$9, 100%, $E$9)</f>
        <v>65.091999999999999</v>
      </c>
      <c r="J826" s="14">
        <f>CHOOSE(CONTROL!$C$42, 64.8642, 64.8642)* CHOOSE(CONTROL!$C$21, $C$9, 100%, $E$9)</f>
        <v>64.864199999999997</v>
      </c>
      <c r="K826" s="53">
        <f>CHOOSE(CONTROL!$C$42, 65.0881, 65.0881) * CHOOSE(CONTROL!$C$21, $C$9, 100%, $E$9)</f>
        <v>65.088099999999997</v>
      </c>
      <c r="L826" s="14">
        <f>CHOOSE(CONTROL!$C$42, 65.7217, 65.7217) * CHOOSE(CONTROL!$C$21, $C$9, 100%, $E$9)</f>
        <v>65.721699999999998</v>
      </c>
      <c r="M826" s="14">
        <f>CHOOSE(CONTROL!$C$42, 63.5429, 63.5429) * CHOOSE(CONTROL!$C$21, $C$9, 100%, $E$9)</f>
        <v>63.542900000000003</v>
      </c>
      <c r="N826" s="14">
        <f>CHOOSE(CONTROL!$C$42, 63.5589, 63.5589) * CHOOSE(CONTROL!$C$21, $C$9, 100%, $E$9)</f>
        <v>63.558900000000001</v>
      </c>
      <c r="O826" s="14">
        <f>CHOOSE(CONTROL!$C$42, 63.8078, 63.8078) * CHOOSE(CONTROL!$C$21, $C$9, 100%, $E$9)</f>
        <v>63.8078</v>
      </c>
      <c r="P826" s="14">
        <f>CHOOSE(CONTROL!$C$42, 63.762, 63.762) * CHOOSE(CONTROL!$C$21, $C$9, 100%, $E$9)</f>
        <v>63.762</v>
      </c>
      <c r="Q826" s="14">
        <f>CHOOSE(CONTROL!$C$42, 64.4025, 64.4025) * CHOOSE(CONTROL!$C$21, $C$9, 100%, $E$9)</f>
        <v>64.402500000000003</v>
      </c>
      <c r="R826" s="14">
        <f>CHOOSE(CONTROL!$C$42, 65.1505, 65.1505) * CHOOSE(CONTROL!$C$21, $C$9, 100%, $E$9)</f>
        <v>65.150499999999994</v>
      </c>
      <c r="S826" s="14">
        <f>CHOOSE(CONTROL!$C$42, 62.3258, 62.3258) * CHOOSE(CONTROL!$C$21, $C$9, 100%, $E$9)</f>
        <v>62.325800000000001</v>
      </c>
      <c r="T8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7">
        <f>(1000*CHOOSE(CONTROL!$C$42, 695, 695)*CHOOSE(CONTROL!$C$42, 0.5599, 0.5599)*CHOOSE(CONTROL!$C$42, 31, 31))/1000000</f>
        <v>12.063045499999998</v>
      </c>
      <c r="V826" s="57">
        <f>(1000*CHOOSE(CONTROL!$C$42, 500, 500)*CHOOSE(CONTROL!$C$42, 0.275, 0.275)*CHOOSE(CONTROL!$C$42, 31, 31))/1000000</f>
        <v>4.2625000000000002</v>
      </c>
      <c r="W826" s="57">
        <f>(1000*CHOOSE(CONTROL!$C$42, 0.1146, 0.1146)*CHOOSE(CONTROL!$C$42, 121.5, 121.5)*CHOOSE(CONTROL!$C$42, 31, 31))/1000000</f>
        <v>0.43164089999999994</v>
      </c>
      <c r="X826" s="57">
        <f>(31*0.1790888*245000/1000000)+(31*0.2374*100000/1000000)</f>
        <v>2.0961194359999999</v>
      </c>
      <c r="Y826" s="57"/>
      <c r="Z826" s="14"/>
      <c r="AA826" s="56"/>
      <c r="AB826" s="50">
        <f>(B826*131.881+C826*277.167+D826*79.08+E826*125.872+F826*40+G826*185+H826*0+I826*100+J826*300)/(131.881+277.167+79.08+125.872+0+40+185+100+300)</f>
        <v>64.93424693551249</v>
      </c>
      <c r="AC826" s="45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63.695408633093514</v>
      </c>
    </row>
    <row r="827" spans="1:29" ht="15.75" x14ac:dyDescent="0.25">
      <c r="A827" s="32">
        <v>66080</v>
      </c>
      <c r="B827" s="14">
        <f>CHOOSE(CONTROL!$C$42, 66.5796, 66.5796) * CHOOSE(CONTROL!$C$21, $C$9, 100%, $E$9)</f>
        <v>66.579599999999999</v>
      </c>
      <c r="C827" s="14">
        <f>CHOOSE(CONTROL!$C$42, 66.5846, 66.5846) * CHOOSE(CONTROL!$C$21, $C$9, 100%, $E$9)</f>
        <v>66.584599999999995</v>
      </c>
      <c r="D827" s="14">
        <f>CHOOSE(CONTROL!$C$42, 66.6588, 66.6588) * CHOOSE(CONTROL!$C$21, $C$9, 100%, $E$9)</f>
        <v>66.658799999999999</v>
      </c>
      <c r="E827" s="14">
        <f>CHOOSE(CONTROL!$C$42, 66.693, 66.693) * CHOOSE(CONTROL!$C$21, $C$9, 100%, $E$9)</f>
        <v>66.692999999999998</v>
      </c>
      <c r="F827" s="14">
        <f>CHOOSE(CONTROL!$C$42, 66.5916, 66.5916)*CHOOSE(CONTROL!$C$21, $C$9, 100%, $E$9)</f>
        <v>66.5916</v>
      </c>
      <c r="G827" s="14">
        <f>CHOOSE(CONTROL!$C$42, 66.6082, 66.6082)*CHOOSE(CONTROL!$C$21, $C$9, 100%, $E$9)</f>
        <v>66.608199999999997</v>
      </c>
      <c r="H827" s="14">
        <f>CHOOSE(CONTROL!$C$42, 66.6821, 66.6821) * CHOOSE(CONTROL!$C$21, $C$9, 100%, $E$9)</f>
        <v>66.682100000000005</v>
      </c>
      <c r="I827" s="14">
        <f>CHOOSE(CONTROL!$C$42, 66.8124, 66.8124)* CHOOSE(CONTROL!$C$21, $C$9, 100%, $E$9)</f>
        <v>66.812399999999997</v>
      </c>
      <c r="J827" s="14">
        <f>CHOOSE(CONTROL!$C$42, 66.5846, 66.5846)* CHOOSE(CONTROL!$C$21, $C$9, 100%, $E$9)</f>
        <v>66.584599999999995</v>
      </c>
      <c r="K827" s="53">
        <f>CHOOSE(CONTROL!$C$42, 66.8085, 66.8085) * CHOOSE(CONTROL!$C$21, $C$9, 100%, $E$9)</f>
        <v>66.808499999999995</v>
      </c>
      <c r="L827" s="14">
        <f>CHOOSE(CONTROL!$C$42, 67.2691, 67.2691) * CHOOSE(CONTROL!$C$21, $C$9, 100%, $E$9)</f>
        <v>67.269099999999995</v>
      </c>
      <c r="M827" s="14">
        <f>CHOOSE(CONTROL!$C$42, 65.228, 65.228) * CHOOSE(CONTROL!$C$21, $C$9, 100%, $E$9)</f>
        <v>65.227999999999994</v>
      </c>
      <c r="N827" s="14">
        <f>CHOOSE(CONTROL!$C$42, 65.2443, 65.2443) * CHOOSE(CONTROL!$C$21, $C$9, 100%, $E$9)</f>
        <v>65.244299999999996</v>
      </c>
      <c r="O827" s="14">
        <f>CHOOSE(CONTROL!$C$42, 65.3236, 65.3236) * CHOOSE(CONTROL!$C$21, $C$9, 100%, $E$9)</f>
        <v>65.323599999999999</v>
      </c>
      <c r="P827" s="14">
        <f>CHOOSE(CONTROL!$C$42, 65.447, 65.447) * CHOOSE(CONTROL!$C$21, $C$9, 100%, $E$9)</f>
        <v>65.447000000000003</v>
      </c>
      <c r="Q827" s="14">
        <f>CHOOSE(CONTROL!$C$42, 65.9183, 65.9183) * CHOOSE(CONTROL!$C$21, $C$9, 100%, $E$9)</f>
        <v>65.918300000000002</v>
      </c>
      <c r="R827" s="14">
        <f>CHOOSE(CONTROL!$C$42, 66.6701, 66.6701) * CHOOSE(CONTROL!$C$21, $C$9, 100%, $E$9)</f>
        <v>66.670100000000005</v>
      </c>
      <c r="S827" s="14">
        <f>CHOOSE(CONTROL!$C$42, 63.9678, 63.9678) * CHOOSE(CONTROL!$C$21, $C$9, 100%, $E$9)</f>
        <v>63.967799999999997</v>
      </c>
      <c r="T8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7">
        <f>(1000*CHOOSE(CONTROL!$C$42, 695, 695)*CHOOSE(CONTROL!$C$42, 0.5599, 0.5599)*CHOOSE(CONTROL!$C$42, 30, 30))/1000000</f>
        <v>11.673914999999997</v>
      </c>
      <c r="V827" s="57">
        <f>(1000*CHOOSE(CONTROL!$C$42, 500, 500)*CHOOSE(CONTROL!$C$42, 0.275, 0.275)*CHOOSE(CONTROL!$C$42, 30, 30))/1000000</f>
        <v>4.125</v>
      </c>
      <c r="W827" s="57">
        <f>(1000*CHOOSE(CONTROL!$C$42, 0.1146, 0.1146)*CHOOSE(CONTROL!$C$42, 121.5, 121.5)*CHOOSE(CONTROL!$C$42, 30, 30))/1000000</f>
        <v>0.417717</v>
      </c>
      <c r="X827" s="57">
        <f>(30*0.1790888*100000/1000000)+(30*0.2374*100000/1000000)</f>
        <v>1.2494664</v>
      </c>
      <c r="Y827" s="57"/>
      <c r="Z827" s="14"/>
      <c r="AA827" s="56"/>
      <c r="AB827" s="50">
        <f>(B827*122.58+C827*297.941+D827*89.177+E827*40.302+F827*40+G827*160+H827*0+I827*100+J827*300)/(122.58+297.941+89.177+40.302+0+40+160+100+300)</f>
        <v>66.61695545234781</v>
      </c>
      <c r="AC827" s="45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65.303778417266187</v>
      </c>
    </row>
    <row r="828" spans="1:29" ht="15.75" x14ac:dyDescent="0.25">
      <c r="A828" s="32">
        <v>66111</v>
      </c>
      <c r="B828" s="14">
        <f>CHOOSE(CONTROL!$C$42, 71.1183, 71.1183) * CHOOSE(CONTROL!$C$21, $C$9, 100%, $E$9)</f>
        <v>71.118300000000005</v>
      </c>
      <c r="C828" s="14">
        <f>CHOOSE(CONTROL!$C$42, 71.1233, 71.1233) * CHOOSE(CONTROL!$C$21, $C$9, 100%, $E$9)</f>
        <v>71.1233</v>
      </c>
      <c r="D828" s="14">
        <f>CHOOSE(CONTROL!$C$42, 71.1975, 71.1975) * CHOOSE(CONTROL!$C$21, $C$9, 100%, $E$9)</f>
        <v>71.197500000000005</v>
      </c>
      <c r="E828" s="14">
        <f>CHOOSE(CONTROL!$C$42, 71.2317, 71.2317) * CHOOSE(CONTROL!$C$21, $C$9, 100%, $E$9)</f>
        <v>71.231700000000004</v>
      </c>
      <c r="F828" s="14">
        <f>CHOOSE(CONTROL!$C$42, 71.1325, 71.1325)*CHOOSE(CONTROL!$C$21, $C$9, 100%, $E$9)</f>
        <v>71.132499999999993</v>
      </c>
      <c r="G828" s="14">
        <f>CHOOSE(CONTROL!$C$42, 71.1497, 71.1497)*CHOOSE(CONTROL!$C$21, $C$9, 100%, $E$9)</f>
        <v>71.149699999999996</v>
      </c>
      <c r="H828" s="14">
        <f>CHOOSE(CONTROL!$C$42, 71.2208, 71.2208) * CHOOSE(CONTROL!$C$21, $C$9, 100%, $E$9)</f>
        <v>71.220799999999997</v>
      </c>
      <c r="I828" s="14">
        <f>CHOOSE(CONTROL!$C$42, 71.3653, 71.3653)* CHOOSE(CONTROL!$C$21, $C$9, 100%, $E$9)</f>
        <v>71.365300000000005</v>
      </c>
      <c r="J828" s="14">
        <f>CHOOSE(CONTROL!$C$42, 71.1255, 71.1255)* CHOOSE(CONTROL!$C$21, $C$9, 100%, $E$9)</f>
        <v>71.125500000000002</v>
      </c>
      <c r="K828" s="53">
        <f>CHOOSE(CONTROL!$C$42, 71.3614, 71.3614) * CHOOSE(CONTROL!$C$21, $C$9, 100%, $E$9)</f>
        <v>71.361400000000003</v>
      </c>
      <c r="L828" s="14">
        <f>CHOOSE(CONTROL!$C$42, 71.8078, 71.8078) * CHOOSE(CONTROL!$C$21, $C$9, 100%, $E$9)</f>
        <v>71.8078</v>
      </c>
      <c r="M828" s="14">
        <f>CHOOSE(CONTROL!$C$42, 69.6759, 69.6759) * CHOOSE(CONTROL!$C$21, $C$9, 100%, $E$9)</f>
        <v>69.675899999999999</v>
      </c>
      <c r="N828" s="14">
        <f>CHOOSE(CONTROL!$C$42, 69.6927, 69.6927) * CHOOSE(CONTROL!$C$21, $C$9, 100%, $E$9)</f>
        <v>69.692700000000002</v>
      </c>
      <c r="O828" s="14">
        <f>CHOOSE(CONTROL!$C$42, 69.7693, 69.7693) * CHOOSE(CONTROL!$C$21, $C$9, 100%, $E$9)</f>
        <v>69.769300000000001</v>
      </c>
      <c r="P828" s="14">
        <f>CHOOSE(CONTROL!$C$42, 69.9064, 69.9064) * CHOOSE(CONTROL!$C$21, $C$9, 100%, $E$9)</f>
        <v>69.906400000000005</v>
      </c>
      <c r="Q828" s="14">
        <f>CHOOSE(CONTROL!$C$42, 70.364, 70.364) * CHOOSE(CONTROL!$C$21, $C$9, 100%, $E$9)</f>
        <v>70.364000000000004</v>
      </c>
      <c r="R828" s="14">
        <f>CHOOSE(CONTROL!$C$42, 71.1269, 71.1269) * CHOOSE(CONTROL!$C$21, $C$9, 100%, $E$9)</f>
        <v>71.126900000000006</v>
      </c>
      <c r="S828" s="14">
        <f>CHOOSE(CONTROL!$C$42, 68.329, 68.329) * CHOOSE(CONTROL!$C$21, $C$9, 100%, $E$9)</f>
        <v>68.328999999999994</v>
      </c>
      <c r="T8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7">
        <f>(1000*CHOOSE(CONTROL!$C$42, 695, 695)*CHOOSE(CONTROL!$C$42, 0.5599, 0.5599)*CHOOSE(CONTROL!$C$42, 31, 31))/1000000</f>
        <v>12.063045499999998</v>
      </c>
      <c r="V828" s="57">
        <f>(1000*CHOOSE(CONTROL!$C$42, 500, 500)*CHOOSE(CONTROL!$C$42, 0.275, 0.275)*CHOOSE(CONTROL!$C$42, 31, 31))/1000000</f>
        <v>4.2625000000000002</v>
      </c>
      <c r="W828" s="57">
        <f>(1000*CHOOSE(CONTROL!$C$42, 0.1146, 0.1146)*CHOOSE(CONTROL!$C$42, 121.5, 121.5)*CHOOSE(CONTROL!$C$42, 31, 31))/1000000</f>
        <v>0.43164089999999994</v>
      </c>
      <c r="X828" s="57">
        <f>(31*0.1790888*100000/1000000)+(31*0.2374*100000/1000000)</f>
        <v>1.2911152800000001</v>
      </c>
      <c r="Y828" s="57"/>
      <c r="Z828" s="14"/>
      <c r="AA828" s="56"/>
      <c r="AB828" s="50">
        <f>(B828*122.58+C828*297.941+D828*89.177+E828*40.302+F828*40+G828*160+H828*0+I828*100+J828*300)/(122.58+297.941+89.177+40.302+0+40+160+100+300)</f>
        <v>71.15793023495651</v>
      </c>
      <c r="AC828" s="45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69.75236474820143</v>
      </c>
    </row>
    <row r="829" spans="1:29" ht="15.75" x14ac:dyDescent="0.25">
      <c r="A829" s="32">
        <v>66142</v>
      </c>
      <c r="B829" s="14">
        <f>CHOOSE(CONTROL!$C$42, 77.0132, 77.0132) * CHOOSE(CONTROL!$C$21, $C$9, 100%, $E$9)</f>
        <v>77.013199999999998</v>
      </c>
      <c r="C829" s="14">
        <f>CHOOSE(CONTROL!$C$42, 77.0183, 77.0183) * CHOOSE(CONTROL!$C$21, $C$9, 100%, $E$9)</f>
        <v>77.018299999999996</v>
      </c>
      <c r="D829" s="14">
        <f>CHOOSE(CONTROL!$C$42, 77.0951, 77.0951) * CHOOSE(CONTROL!$C$21, $C$9, 100%, $E$9)</f>
        <v>77.095100000000002</v>
      </c>
      <c r="E829" s="14">
        <f>CHOOSE(CONTROL!$C$42, 77.1292, 77.1292) * CHOOSE(CONTROL!$C$21, $C$9, 100%, $E$9)</f>
        <v>77.129199999999997</v>
      </c>
      <c r="F829" s="14">
        <f>CHOOSE(CONTROL!$C$42, 77.0134, 77.0134)*CHOOSE(CONTROL!$C$21, $C$9, 100%, $E$9)</f>
        <v>77.013400000000004</v>
      </c>
      <c r="G829" s="14">
        <f>CHOOSE(CONTROL!$C$42, 77.0296, 77.0296)*CHOOSE(CONTROL!$C$21, $C$9, 100%, $E$9)</f>
        <v>77.029600000000002</v>
      </c>
      <c r="H829" s="14">
        <f>CHOOSE(CONTROL!$C$42, 77.1184, 77.1184) * CHOOSE(CONTROL!$C$21, $C$9, 100%, $E$9)</f>
        <v>77.118399999999994</v>
      </c>
      <c r="I829" s="14">
        <f>CHOOSE(CONTROL!$C$42, 77.2725, 77.2725)* CHOOSE(CONTROL!$C$21, $C$9, 100%, $E$9)</f>
        <v>77.272499999999994</v>
      </c>
      <c r="J829" s="14">
        <f>CHOOSE(CONTROL!$C$42, 77.0064, 77.0064)* CHOOSE(CONTROL!$C$21, $C$9, 100%, $E$9)</f>
        <v>77.006399999999999</v>
      </c>
      <c r="K829" s="53">
        <f>CHOOSE(CONTROL!$C$42, 77.2686, 77.2686) * CHOOSE(CONTROL!$C$21, $C$9, 100%, $E$9)</f>
        <v>77.268600000000006</v>
      </c>
      <c r="L829" s="14">
        <f>CHOOSE(CONTROL!$C$42, 77.7054, 77.7054) * CHOOSE(CONTROL!$C$21, $C$9, 100%, $E$9)</f>
        <v>77.705399999999997</v>
      </c>
      <c r="M829" s="14">
        <f>CHOOSE(CONTROL!$C$42, 75.4363, 75.4363) * CHOOSE(CONTROL!$C$21, $C$9, 100%, $E$9)</f>
        <v>75.436300000000003</v>
      </c>
      <c r="N829" s="14">
        <f>CHOOSE(CONTROL!$C$42, 75.4522, 75.4522) * CHOOSE(CONTROL!$C$21, $C$9, 100%, $E$9)</f>
        <v>75.452200000000005</v>
      </c>
      <c r="O829" s="14">
        <f>CHOOSE(CONTROL!$C$42, 75.546, 75.546) * CHOOSE(CONTROL!$C$21, $C$9, 100%, $E$9)</f>
        <v>75.546000000000006</v>
      </c>
      <c r="P829" s="14">
        <f>CHOOSE(CONTROL!$C$42, 75.6921, 75.6921) * CHOOSE(CONTROL!$C$21, $C$9, 100%, $E$9)</f>
        <v>75.692099999999996</v>
      </c>
      <c r="Q829" s="14">
        <f>CHOOSE(CONTROL!$C$42, 76.1407, 76.1407) * CHOOSE(CONTROL!$C$21, $C$9, 100%, $E$9)</f>
        <v>76.140699999999995</v>
      </c>
      <c r="R829" s="14">
        <f>CHOOSE(CONTROL!$C$42, 76.918, 76.918) * CHOOSE(CONTROL!$C$21, $C$9, 100%, $E$9)</f>
        <v>76.918000000000006</v>
      </c>
      <c r="S829" s="14">
        <f>CHOOSE(CONTROL!$C$42, 73.9935, 73.9935) * CHOOSE(CONTROL!$C$21, $C$9, 100%, $E$9)</f>
        <v>73.993499999999997</v>
      </c>
      <c r="T8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7">
        <f>(1000*CHOOSE(CONTROL!$C$42, 695, 695)*CHOOSE(CONTROL!$C$42, 0.5599, 0.5599)*CHOOSE(CONTROL!$C$42, 31, 31))/1000000</f>
        <v>12.063045499999998</v>
      </c>
      <c r="V829" s="57">
        <f>(1000*CHOOSE(CONTROL!$C$42, 500, 500)*CHOOSE(CONTROL!$C$42, 0.275, 0.275)*CHOOSE(CONTROL!$C$42, 31, 31))/1000000</f>
        <v>4.2625000000000002</v>
      </c>
      <c r="W829" s="57">
        <f>(1000*CHOOSE(CONTROL!$C$42, 0.1146, 0.1146)*CHOOSE(CONTROL!$C$42, 121.5, 121.5)*CHOOSE(CONTROL!$C$42, 31, 31))/1000000</f>
        <v>0.43164089999999994</v>
      </c>
      <c r="X829" s="57">
        <f>(31*0.1790888*100000/1000000)+(31*0.2374*100000/1000000)</f>
        <v>1.2911152800000001</v>
      </c>
      <c r="Y829" s="57"/>
      <c r="Z829" s="14"/>
      <c r="AA829" s="56"/>
      <c r="AB829" s="50">
        <f>(B829*122.58+C829*297.941+D829*89.177+E829*40.302+F829*40+G829*160+H829*0+I829*100+J829*300)/(122.58+297.941+89.177+40.302+0+40+160+100+300)</f>
        <v>77.048000110782596</v>
      </c>
      <c r="AC829" s="45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75.523741007194246</v>
      </c>
    </row>
    <row r="830" spans="1:29" ht="15.75" x14ac:dyDescent="0.25">
      <c r="A830" s="32">
        <v>66170</v>
      </c>
      <c r="B830" s="14">
        <f>CHOOSE(CONTROL!$C$42, 78.384, 78.384) * CHOOSE(CONTROL!$C$21, $C$9, 100%, $E$9)</f>
        <v>78.384</v>
      </c>
      <c r="C830" s="14">
        <f>CHOOSE(CONTROL!$C$42, 78.3891, 78.3891) * CHOOSE(CONTROL!$C$21, $C$9, 100%, $E$9)</f>
        <v>78.389099999999999</v>
      </c>
      <c r="D830" s="14">
        <f>CHOOSE(CONTROL!$C$42, 78.4659, 78.4659) * CHOOSE(CONTROL!$C$21, $C$9, 100%, $E$9)</f>
        <v>78.465900000000005</v>
      </c>
      <c r="E830" s="14">
        <f>CHOOSE(CONTROL!$C$42, 78.5, 78.5) * CHOOSE(CONTROL!$C$21, $C$9, 100%, $E$9)</f>
        <v>78.5</v>
      </c>
      <c r="F830" s="14">
        <f>CHOOSE(CONTROL!$C$42, 78.3843, 78.3843)*CHOOSE(CONTROL!$C$21, $C$9, 100%, $E$9)</f>
        <v>78.384299999999996</v>
      </c>
      <c r="G830" s="14">
        <f>CHOOSE(CONTROL!$C$42, 78.4005, 78.4005)*CHOOSE(CONTROL!$C$21, $C$9, 100%, $E$9)</f>
        <v>78.400499999999994</v>
      </c>
      <c r="H830" s="14">
        <f>CHOOSE(CONTROL!$C$42, 78.4892, 78.4892) * CHOOSE(CONTROL!$C$21, $C$9, 100%, $E$9)</f>
        <v>78.489199999999997</v>
      </c>
      <c r="I830" s="14">
        <f>CHOOSE(CONTROL!$C$42, 78.6475, 78.6475)* CHOOSE(CONTROL!$C$21, $C$9, 100%, $E$9)</f>
        <v>78.647499999999994</v>
      </c>
      <c r="J830" s="14">
        <f>CHOOSE(CONTROL!$C$42, 78.3773, 78.3773)* CHOOSE(CONTROL!$C$21, $C$9, 100%, $E$9)</f>
        <v>78.377300000000005</v>
      </c>
      <c r="K830" s="53">
        <f>CHOOSE(CONTROL!$C$42, 78.6436, 78.6436) * CHOOSE(CONTROL!$C$21, $C$9, 100%, $E$9)</f>
        <v>78.643600000000006</v>
      </c>
      <c r="L830" s="14">
        <f>CHOOSE(CONTROL!$C$42, 79.0762, 79.0762) * CHOOSE(CONTROL!$C$21, $C$9, 100%, $E$9)</f>
        <v>79.0762</v>
      </c>
      <c r="M830" s="14">
        <f>CHOOSE(CONTROL!$C$42, 76.779, 76.779) * CHOOSE(CONTROL!$C$21, $C$9, 100%, $E$9)</f>
        <v>76.778999999999996</v>
      </c>
      <c r="N830" s="14">
        <f>CHOOSE(CONTROL!$C$42, 76.7949, 76.7949) * CHOOSE(CONTROL!$C$21, $C$9, 100%, $E$9)</f>
        <v>76.794899999999998</v>
      </c>
      <c r="O830" s="14">
        <f>CHOOSE(CONTROL!$C$42, 76.8887, 76.8887) * CHOOSE(CONTROL!$C$21, $C$9, 100%, $E$9)</f>
        <v>76.8887</v>
      </c>
      <c r="P830" s="14">
        <f>CHOOSE(CONTROL!$C$42, 77.0389, 77.0389) * CHOOSE(CONTROL!$C$21, $C$9, 100%, $E$9)</f>
        <v>77.038899999999998</v>
      </c>
      <c r="Q830" s="14">
        <f>CHOOSE(CONTROL!$C$42, 77.4834, 77.4834) * CHOOSE(CONTROL!$C$21, $C$9, 100%, $E$9)</f>
        <v>77.483400000000003</v>
      </c>
      <c r="R830" s="14">
        <f>CHOOSE(CONTROL!$C$42, 78.2641, 78.2641) * CHOOSE(CONTROL!$C$21, $C$9, 100%, $E$9)</f>
        <v>78.264099999999999</v>
      </c>
      <c r="S830" s="14">
        <f>CHOOSE(CONTROL!$C$42, 75.3106, 75.3106) * CHOOSE(CONTROL!$C$21, $C$9, 100%, $E$9)</f>
        <v>75.310599999999994</v>
      </c>
      <c r="T8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7">
        <f>(1000*CHOOSE(CONTROL!$C$42, 695, 695)*CHOOSE(CONTROL!$C$42, 0.5599, 0.5599)*CHOOSE(CONTROL!$C$42, 28, 28))/1000000</f>
        <v>10.895653999999999</v>
      </c>
      <c r="V830" s="57">
        <f>(1000*CHOOSE(CONTROL!$C$42, 500, 500)*CHOOSE(CONTROL!$C$42, 0.275, 0.275)*CHOOSE(CONTROL!$C$42, 28, 28))/1000000</f>
        <v>3.85</v>
      </c>
      <c r="W830" s="57">
        <f>(1000*CHOOSE(CONTROL!$C$42, 0.1146, 0.1146)*CHOOSE(CONTROL!$C$42, 121.5, 121.5)*CHOOSE(CONTROL!$C$42, 28, 28))/1000000</f>
        <v>0.38986920000000003</v>
      </c>
      <c r="X830" s="57">
        <f>(28*0.1790888*100000/1000000)+(28*0.2374*100000/1000000)</f>
        <v>1.16616864</v>
      </c>
      <c r="Y830" s="57"/>
      <c r="Z830" s="14"/>
      <c r="AA830" s="56"/>
      <c r="AB830" s="50">
        <f>(B830*122.58+C830*297.941+D830*89.177+E830*40.302+F830*40+G830*160+H830*0+I830*100+J830*300)/(122.58+297.941+89.177+40.302+0+40+160+100+300)</f>
        <v>78.419208806434781</v>
      </c>
      <c r="AC830" s="45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76.86703093525179</v>
      </c>
    </row>
    <row r="831" spans="1:29" ht="15.75" x14ac:dyDescent="0.25">
      <c r="A831" s="32">
        <v>66201</v>
      </c>
      <c r="B831" s="14">
        <f>CHOOSE(CONTROL!$C$42, 76.1589, 76.1589) * CHOOSE(CONTROL!$C$21, $C$9, 100%, $E$9)</f>
        <v>76.158900000000003</v>
      </c>
      <c r="C831" s="14">
        <f>CHOOSE(CONTROL!$C$42, 76.164, 76.164) * CHOOSE(CONTROL!$C$21, $C$9, 100%, $E$9)</f>
        <v>76.164000000000001</v>
      </c>
      <c r="D831" s="14">
        <f>CHOOSE(CONTROL!$C$42, 76.2408, 76.2408) * CHOOSE(CONTROL!$C$21, $C$9, 100%, $E$9)</f>
        <v>76.240799999999993</v>
      </c>
      <c r="E831" s="14">
        <f>CHOOSE(CONTROL!$C$42, 76.2749, 76.2749) * CHOOSE(CONTROL!$C$21, $C$9, 100%, $E$9)</f>
        <v>76.274900000000002</v>
      </c>
      <c r="F831" s="14">
        <f>CHOOSE(CONTROL!$C$42, 76.1587, 76.1587)*CHOOSE(CONTROL!$C$21, $C$9, 100%, $E$9)</f>
        <v>76.158699999999996</v>
      </c>
      <c r="G831" s="14">
        <f>CHOOSE(CONTROL!$C$42, 76.1748, 76.1748)*CHOOSE(CONTROL!$C$21, $C$9, 100%, $E$9)</f>
        <v>76.174800000000005</v>
      </c>
      <c r="H831" s="14">
        <f>CHOOSE(CONTROL!$C$42, 76.2641, 76.2641) * CHOOSE(CONTROL!$C$21, $C$9, 100%, $E$9)</f>
        <v>76.264099999999999</v>
      </c>
      <c r="I831" s="14">
        <f>CHOOSE(CONTROL!$C$42, 76.4155, 76.4155)* CHOOSE(CONTROL!$C$21, $C$9, 100%, $E$9)</f>
        <v>76.415499999999994</v>
      </c>
      <c r="J831" s="14">
        <f>CHOOSE(CONTROL!$C$42, 76.1517, 76.1517)* CHOOSE(CONTROL!$C$21, $C$9, 100%, $E$9)</f>
        <v>76.151700000000005</v>
      </c>
      <c r="K831" s="53">
        <f>CHOOSE(CONTROL!$C$42, 76.4116, 76.4116) * CHOOSE(CONTROL!$C$21, $C$9, 100%, $E$9)</f>
        <v>76.411600000000007</v>
      </c>
      <c r="L831" s="14">
        <f>CHOOSE(CONTROL!$C$42, 76.8511, 76.8511) * CHOOSE(CONTROL!$C$21, $C$9, 100%, $E$9)</f>
        <v>76.851100000000002</v>
      </c>
      <c r="M831" s="14">
        <f>CHOOSE(CONTROL!$C$42, 74.5991, 74.5991) * CHOOSE(CONTROL!$C$21, $C$9, 100%, $E$9)</f>
        <v>74.599100000000007</v>
      </c>
      <c r="N831" s="14">
        <f>CHOOSE(CONTROL!$C$42, 74.6149, 74.6149) * CHOOSE(CONTROL!$C$21, $C$9, 100%, $E$9)</f>
        <v>74.614900000000006</v>
      </c>
      <c r="O831" s="14">
        <f>CHOOSE(CONTROL!$C$42, 74.7092, 74.7092) * CHOOSE(CONTROL!$C$21, $C$9, 100%, $E$9)</f>
        <v>74.709199999999996</v>
      </c>
      <c r="P831" s="14">
        <f>CHOOSE(CONTROL!$C$42, 74.8527, 74.8527) * CHOOSE(CONTROL!$C$21, $C$9, 100%, $E$9)</f>
        <v>74.852699999999999</v>
      </c>
      <c r="Q831" s="14">
        <f>CHOOSE(CONTROL!$C$42, 75.3039, 75.3039) * CHOOSE(CONTROL!$C$21, $C$9, 100%, $E$9)</f>
        <v>75.303899999999999</v>
      </c>
      <c r="R831" s="14">
        <f>CHOOSE(CONTROL!$C$42, 76.0791, 76.0791) * CHOOSE(CONTROL!$C$21, $C$9, 100%, $E$9)</f>
        <v>76.079099999999997</v>
      </c>
      <c r="S831" s="14">
        <f>CHOOSE(CONTROL!$C$42, 73.1725, 73.1725) * CHOOSE(CONTROL!$C$21, $C$9, 100%, $E$9)</f>
        <v>73.172499999999999</v>
      </c>
      <c r="T8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7">
        <f>(1000*CHOOSE(CONTROL!$C$42, 695, 695)*CHOOSE(CONTROL!$C$42, 0.5599, 0.5599)*CHOOSE(CONTROL!$C$42, 31, 31))/1000000</f>
        <v>12.063045499999998</v>
      </c>
      <c r="V831" s="57">
        <f>(1000*CHOOSE(CONTROL!$C$42, 500, 500)*CHOOSE(CONTROL!$C$42, 0.275, 0.275)*CHOOSE(CONTROL!$C$42, 31, 31))/1000000</f>
        <v>4.2625000000000002</v>
      </c>
      <c r="W831" s="57">
        <f>(1000*CHOOSE(CONTROL!$C$42, 0.1146, 0.1146)*CHOOSE(CONTROL!$C$42, 121.5, 121.5)*CHOOSE(CONTROL!$C$42, 31, 31))/1000000</f>
        <v>0.43164089999999994</v>
      </c>
      <c r="X831" s="57">
        <f>(31*0.1790888*100000/1000000)+(31*0.2374*100000/1000000)</f>
        <v>1.2911152800000001</v>
      </c>
      <c r="Y831" s="57"/>
      <c r="Z831" s="14"/>
      <c r="AA831" s="56"/>
      <c r="AB831" s="50">
        <f>(B831*122.58+C831*297.941+D831*89.177+E831*40.302+F831*40+G831*160+H831*0+I831*100+J831*300)/(122.58+297.941+89.177+40.302+0+40+160+100+300)</f>
        <v>76.193277502086971</v>
      </c>
      <c r="AC831" s="45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74.686400000000006</v>
      </c>
    </row>
    <row r="832" spans="1:29" ht="15.75" x14ac:dyDescent="0.25">
      <c r="A832" s="32">
        <v>66231</v>
      </c>
      <c r="B832" s="14">
        <f>CHOOSE(CONTROL!$C$42, 75.9321, 75.9321) * CHOOSE(CONTROL!$C$21, $C$9, 100%, $E$9)</f>
        <v>75.932100000000005</v>
      </c>
      <c r="C832" s="14">
        <f>CHOOSE(CONTROL!$C$42, 75.9366, 75.9366) * CHOOSE(CONTROL!$C$21, $C$9, 100%, $E$9)</f>
        <v>75.936599999999999</v>
      </c>
      <c r="D832" s="14">
        <f>CHOOSE(CONTROL!$C$42, 76.1733, 76.1733) * CHOOSE(CONTROL!$C$21, $C$9, 100%, $E$9)</f>
        <v>76.173299999999998</v>
      </c>
      <c r="E832" s="14">
        <f>CHOOSE(CONTROL!$C$42, 76.2054, 76.2054) * CHOOSE(CONTROL!$C$21, $C$9, 100%, $E$9)</f>
        <v>76.205399999999997</v>
      </c>
      <c r="F832" s="14">
        <f>CHOOSE(CONTROL!$C$42, 75.9301, 75.9301)*CHOOSE(CONTROL!$C$21, $C$9, 100%, $E$9)</f>
        <v>75.930099999999996</v>
      </c>
      <c r="G832" s="14">
        <f>CHOOSE(CONTROL!$C$42, 75.9459, 75.9459)*CHOOSE(CONTROL!$C$21, $C$9, 100%, $E$9)</f>
        <v>75.945899999999995</v>
      </c>
      <c r="H832" s="14">
        <f>CHOOSE(CONTROL!$C$42, 76.1952, 76.1952) * CHOOSE(CONTROL!$C$21, $C$9, 100%, $E$9)</f>
        <v>76.1952</v>
      </c>
      <c r="I832" s="14">
        <f>CHOOSE(CONTROL!$C$42, 76.1872, 76.1872)* CHOOSE(CONTROL!$C$21, $C$9, 100%, $E$9)</f>
        <v>76.187200000000004</v>
      </c>
      <c r="J832" s="14">
        <f>CHOOSE(CONTROL!$C$42, 75.9231, 75.9231)* CHOOSE(CONTROL!$C$21, $C$9, 100%, $E$9)</f>
        <v>75.923100000000005</v>
      </c>
      <c r="K832" s="53">
        <f>CHOOSE(CONTROL!$C$42, 76.1833, 76.1833) * CHOOSE(CONTROL!$C$21, $C$9, 100%, $E$9)</f>
        <v>76.183300000000003</v>
      </c>
      <c r="L832" s="14">
        <f>CHOOSE(CONTROL!$C$42, 76.7822, 76.7822) * CHOOSE(CONTROL!$C$21, $C$9, 100%, $E$9)</f>
        <v>76.782200000000003</v>
      </c>
      <c r="M832" s="14">
        <f>CHOOSE(CONTROL!$C$42, 74.3751, 74.3751) * CHOOSE(CONTROL!$C$21, $C$9, 100%, $E$9)</f>
        <v>74.375100000000003</v>
      </c>
      <c r="N832" s="14">
        <f>CHOOSE(CONTROL!$C$42, 74.3906, 74.3906) * CHOOSE(CONTROL!$C$21, $C$9, 100%, $E$9)</f>
        <v>74.390600000000006</v>
      </c>
      <c r="O832" s="14">
        <f>CHOOSE(CONTROL!$C$42, 74.6417, 74.6417) * CHOOSE(CONTROL!$C$21, $C$9, 100%, $E$9)</f>
        <v>74.6417</v>
      </c>
      <c r="P832" s="14">
        <f>CHOOSE(CONTROL!$C$42, 74.6292, 74.6292) * CHOOSE(CONTROL!$C$21, $C$9, 100%, $E$9)</f>
        <v>74.629199999999997</v>
      </c>
      <c r="Q832" s="14">
        <f>CHOOSE(CONTROL!$C$42, 75.2364, 75.2364) * CHOOSE(CONTROL!$C$21, $C$9, 100%, $E$9)</f>
        <v>75.236400000000003</v>
      </c>
      <c r="R832" s="14">
        <f>CHOOSE(CONTROL!$C$42, 76.0115, 76.0115) * CHOOSE(CONTROL!$C$21, $C$9, 100%, $E$9)</f>
        <v>76.011499999999998</v>
      </c>
      <c r="S832" s="14">
        <f>CHOOSE(CONTROL!$C$42, 72.9539, 72.9539) * CHOOSE(CONTROL!$C$21, $C$9, 100%, $E$9)</f>
        <v>72.953900000000004</v>
      </c>
      <c r="T8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7">
        <f>(1000*CHOOSE(CONTROL!$C$42, 695, 695)*CHOOSE(CONTROL!$C$42, 0.5599, 0.5599)*CHOOSE(CONTROL!$C$42, 30, 30))/1000000</f>
        <v>11.673914999999997</v>
      </c>
      <c r="V832" s="57">
        <f>(1000*CHOOSE(CONTROL!$C$42, 500, 500)*CHOOSE(CONTROL!$C$42, 0.275, 0.275)*CHOOSE(CONTROL!$C$42, 30, 30))/1000000</f>
        <v>4.125</v>
      </c>
      <c r="W832" s="57">
        <f>(1000*CHOOSE(CONTROL!$C$42, 0.1146, 0.1146)*CHOOSE(CONTROL!$C$42, 121.5, 121.5)*CHOOSE(CONTROL!$C$42, 30, 30))/1000000</f>
        <v>0.417717</v>
      </c>
      <c r="X832" s="57">
        <f>(30*0.1790888*245000/1000000)+(30*0.2374*100000/1000000)</f>
        <v>2.0285026799999999</v>
      </c>
      <c r="Y832" s="57"/>
      <c r="Z832" s="14"/>
      <c r="AA832" s="56"/>
      <c r="AB832" s="50">
        <f>(B832*141.293+C832*267.993+D832*115.016+E832*89.698+F832*40+G832*185+H832*0+I832*100+J832*300)/(141.293+267.993+115.016+89.698+0+40+185+100+300)</f>
        <v>75.995655521468919</v>
      </c>
      <c r="AC832" s="45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74.533386330935258</v>
      </c>
    </row>
    <row r="833" spans="1:29" ht="15.75" x14ac:dyDescent="0.25">
      <c r="A833" s="32">
        <v>66262</v>
      </c>
      <c r="B833" s="14">
        <f>CHOOSE(CONTROL!$C$42, 76.6036, 76.6036) * CHOOSE(CONTROL!$C$21, $C$9, 100%, $E$9)</f>
        <v>76.6036</v>
      </c>
      <c r="C833" s="14">
        <f>CHOOSE(CONTROL!$C$42, 76.6116, 76.6116) * CHOOSE(CONTROL!$C$21, $C$9, 100%, $E$9)</f>
        <v>76.611599999999996</v>
      </c>
      <c r="D833" s="14">
        <f>CHOOSE(CONTROL!$C$42, 76.8452, 76.8452) * CHOOSE(CONTROL!$C$21, $C$9, 100%, $E$9)</f>
        <v>76.845200000000006</v>
      </c>
      <c r="E833" s="14">
        <f>CHOOSE(CONTROL!$C$42, 76.8767, 76.8767) * CHOOSE(CONTROL!$C$21, $C$9, 100%, $E$9)</f>
        <v>76.8767</v>
      </c>
      <c r="F833" s="14">
        <f>CHOOSE(CONTROL!$C$42, 76.6004, 76.6004)*CHOOSE(CONTROL!$C$21, $C$9, 100%, $E$9)</f>
        <v>76.600399999999993</v>
      </c>
      <c r="G833" s="14">
        <f>CHOOSE(CONTROL!$C$42, 76.6167, 76.6167)*CHOOSE(CONTROL!$C$21, $C$9, 100%, $E$9)</f>
        <v>76.616699999999994</v>
      </c>
      <c r="H833" s="14">
        <f>CHOOSE(CONTROL!$C$42, 76.8653, 76.8653) * CHOOSE(CONTROL!$C$21, $C$9, 100%, $E$9)</f>
        <v>76.865300000000005</v>
      </c>
      <c r="I833" s="14">
        <f>CHOOSE(CONTROL!$C$42, 76.8594, 76.8594)* CHOOSE(CONTROL!$C$21, $C$9, 100%, $E$9)</f>
        <v>76.859399999999994</v>
      </c>
      <c r="J833" s="14">
        <f>CHOOSE(CONTROL!$C$42, 76.5934, 76.5934)* CHOOSE(CONTROL!$C$21, $C$9, 100%, $E$9)</f>
        <v>76.593400000000003</v>
      </c>
      <c r="K833" s="53">
        <f>CHOOSE(CONTROL!$C$42, 76.8555, 76.8555) * CHOOSE(CONTROL!$C$21, $C$9, 100%, $E$9)</f>
        <v>76.855500000000006</v>
      </c>
      <c r="L833" s="14">
        <f>CHOOSE(CONTROL!$C$42, 77.4523, 77.4523) * CHOOSE(CONTROL!$C$21, $C$9, 100%, $E$9)</f>
        <v>77.452299999999994</v>
      </c>
      <c r="M833" s="14">
        <f>CHOOSE(CONTROL!$C$42, 75.0317, 75.0317) * CHOOSE(CONTROL!$C$21, $C$9, 100%, $E$9)</f>
        <v>75.031700000000001</v>
      </c>
      <c r="N833" s="14">
        <f>CHOOSE(CONTROL!$C$42, 75.0477, 75.0477) * CHOOSE(CONTROL!$C$21, $C$9, 100%, $E$9)</f>
        <v>75.047700000000006</v>
      </c>
      <c r="O833" s="14">
        <f>CHOOSE(CONTROL!$C$42, 75.2981, 75.2981) * CHOOSE(CONTROL!$C$21, $C$9, 100%, $E$9)</f>
        <v>75.298100000000005</v>
      </c>
      <c r="P833" s="14">
        <f>CHOOSE(CONTROL!$C$42, 75.2875, 75.2875) * CHOOSE(CONTROL!$C$21, $C$9, 100%, $E$9)</f>
        <v>75.287499999999994</v>
      </c>
      <c r="Q833" s="14">
        <f>CHOOSE(CONTROL!$C$42, 75.8928, 75.8928) * CHOOSE(CONTROL!$C$21, $C$9, 100%, $E$9)</f>
        <v>75.892799999999994</v>
      </c>
      <c r="R833" s="14">
        <f>CHOOSE(CONTROL!$C$42, 76.6695, 76.6695) * CHOOSE(CONTROL!$C$21, $C$9, 100%, $E$9)</f>
        <v>76.669499999999999</v>
      </c>
      <c r="S833" s="14">
        <f>CHOOSE(CONTROL!$C$42, 73.5978, 73.5978) * CHOOSE(CONTROL!$C$21, $C$9, 100%, $E$9)</f>
        <v>73.597800000000007</v>
      </c>
      <c r="T8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7">
        <f>(1000*CHOOSE(CONTROL!$C$42, 695, 695)*CHOOSE(CONTROL!$C$42, 0.5599, 0.5599)*CHOOSE(CONTROL!$C$42, 31, 31))/1000000</f>
        <v>12.063045499999998</v>
      </c>
      <c r="V833" s="57">
        <f>(1000*CHOOSE(CONTROL!$C$42, 500, 500)*CHOOSE(CONTROL!$C$42, 0.275, 0.275)*CHOOSE(CONTROL!$C$42, 31, 31))/1000000</f>
        <v>4.2625000000000002</v>
      </c>
      <c r="W833" s="57">
        <f>(1000*CHOOSE(CONTROL!$C$42, 0.1146, 0.1146)*CHOOSE(CONTROL!$C$42, 121.5, 121.5)*CHOOSE(CONTROL!$C$42, 31, 31))/1000000</f>
        <v>0.43164089999999994</v>
      </c>
      <c r="X833" s="57">
        <f>(31*0.1790888*245000/1000000)+(31*0.2374*100000/1000000)</f>
        <v>2.0961194359999999</v>
      </c>
      <c r="Y833" s="57"/>
      <c r="Z833" s="14"/>
      <c r="AA833" s="56"/>
      <c r="AB833" s="50">
        <f>(B833*194.205+C833*267.466+D833*133.845+E833*53.484+F833*40+G833*185+H833*0+I833*100+J833*300)/(194.205+267.466+133.845+53.484+0+40+185+100+300)</f>
        <v>76.661605227943483</v>
      </c>
      <c r="AC833" s="45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75.19016906474819</v>
      </c>
    </row>
    <row r="834" spans="1:29" ht="15.75" x14ac:dyDescent="0.25">
      <c r="A834" s="32">
        <v>66292</v>
      </c>
      <c r="B834" s="14">
        <f>CHOOSE(CONTROL!$C$42, 78.7762, 78.7762) * CHOOSE(CONTROL!$C$21, $C$9, 100%, $E$9)</f>
        <v>78.776200000000003</v>
      </c>
      <c r="C834" s="14">
        <f>CHOOSE(CONTROL!$C$42, 78.7843, 78.7843) * CHOOSE(CONTROL!$C$21, $C$9, 100%, $E$9)</f>
        <v>78.784300000000002</v>
      </c>
      <c r="D834" s="14">
        <f>CHOOSE(CONTROL!$C$42, 79.0178, 79.0178) * CHOOSE(CONTROL!$C$21, $C$9, 100%, $E$9)</f>
        <v>79.017799999999994</v>
      </c>
      <c r="E834" s="14">
        <f>CHOOSE(CONTROL!$C$42, 79.0493, 79.0493) * CHOOSE(CONTROL!$C$21, $C$9, 100%, $E$9)</f>
        <v>79.049300000000002</v>
      </c>
      <c r="F834" s="14">
        <f>CHOOSE(CONTROL!$C$42, 78.7735, 78.7735)*CHOOSE(CONTROL!$C$21, $C$9, 100%, $E$9)</f>
        <v>78.773499999999999</v>
      </c>
      <c r="G834" s="14">
        <f>CHOOSE(CONTROL!$C$42, 78.79, 78.79)*CHOOSE(CONTROL!$C$21, $C$9, 100%, $E$9)</f>
        <v>78.790000000000006</v>
      </c>
      <c r="H834" s="14">
        <f>CHOOSE(CONTROL!$C$42, 79.0379, 79.0379) * CHOOSE(CONTROL!$C$21, $C$9, 100%, $E$9)</f>
        <v>79.037899999999993</v>
      </c>
      <c r="I834" s="14">
        <f>CHOOSE(CONTROL!$C$42, 79.0388, 79.0388)* CHOOSE(CONTROL!$C$21, $C$9, 100%, $E$9)</f>
        <v>79.038799999999995</v>
      </c>
      <c r="J834" s="14">
        <f>CHOOSE(CONTROL!$C$42, 78.7665, 78.7665)* CHOOSE(CONTROL!$C$21, $C$9, 100%, $E$9)</f>
        <v>78.766499999999994</v>
      </c>
      <c r="K834" s="53">
        <f>CHOOSE(CONTROL!$C$42, 79.0349, 79.0349) * CHOOSE(CONTROL!$C$21, $C$9, 100%, $E$9)</f>
        <v>79.034899999999993</v>
      </c>
      <c r="L834" s="14">
        <f>CHOOSE(CONTROL!$C$42, 79.6249, 79.6249) * CHOOSE(CONTROL!$C$21, $C$9, 100%, $E$9)</f>
        <v>79.624899999999997</v>
      </c>
      <c r="M834" s="14">
        <f>CHOOSE(CONTROL!$C$42, 77.1603, 77.1603) * CHOOSE(CONTROL!$C$21, $C$9, 100%, $E$9)</f>
        <v>77.160300000000007</v>
      </c>
      <c r="N834" s="14">
        <f>CHOOSE(CONTROL!$C$42, 77.1764, 77.1764) * CHOOSE(CONTROL!$C$21, $C$9, 100%, $E$9)</f>
        <v>77.176400000000001</v>
      </c>
      <c r="O834" s="14">
        <f>CHOOSE(CONTROL!$C$42, 77.4262, 77.4262) * CHOOSE(CONTROL!$C$21, $C$9, 100%, $E$9)</f>
        <v>77.426199999999994</v>
      </c>
      <c r="P834" s="14">
        <f>CHOOSE(CONTROL!$C$42, 77.4222, 77.4222) * CHOOSE(CONTROL!$C$21, $C$9, 100%, $E$9)</f>
        <v>77.422200000000004</v>
      </c>
      <c r="Q834" s="14">
        <f>CHOOSE(CONTROL!$C$42, 78.0209, 78.0209) * CHOOSE(CONTROL!$C$21, $C$9, 100%, $E$9)</f>
        <v>78.020899999999997</v>
      </c>
      <c r="R834" s="14">
        <f>CHOOSE(CONTROL!$C$42, 78.803, 78.803) * CHOOSE(CONTROL!$C$21, $C$9, 100%, $E$9)</f>
        <v>78.802999999999997</v>
      </c>
      <c r="S834" s="14">
        <f>CHOOSE(CONTROL!$C$42, 75.6854, 75.6854) * CHOOSE(CONTROL!$C$21, $C$9, 100%, $E$9)</f>
        <v>75.685400000000001</v>
      </c>
      <c r="T8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7">
        <f>(1000*CHOOSE(CONTROL!$C$42, 695, 695)*CHOOSE(CONTROL!$C$42, 0.5599, 0.5599)*CHOOSE(CONTROL!$C$42, 30, 30))/1000000</f>
        <v>11.673914999999997</v>
      </c>
      <c r="V834" s="57">
        <f>(1000*CHOOSE(CONTROL!$C$42, 500, 500)*CHOOSE(CONTROL!$C$42, 0.275, 0.275)*CHOOSE(CONTROL!$C$42, 30, 30))/1000000</f>
        <v>4.125</v>
      </c>
      <c r="W834" s="57">
        <f>(1000*CHOOSE(CONTROL!$C$42, 0.1146, 0.1146)*CHOOSE(CONTROL!$C$42, 121.5, 121.5)*CHOOSE(CONTROL!$C$42, 30, 30))/1000000</f>
        <v>0.417717</v>
      </c>
      <c r="X834" s="57">
        <f>(30*0.1790888*245000/1000000)+(30*0.2374*100000/1000000)</f>
        <v>2.0285026799999999</v>
      </c>
      <c r="Y834" s="57"/>
      <c r="Z834" s="14"/>
      <c r="AA834" s="56"/>
      <c r="AB834" s="50">
        <f>(B834*194.205+C834*267.466+D834*133.845+E834*53.484+F834*40+G834*185+H834*0+I834*100+J834*300)/(194.205+267.466+133.845+53.484+0+40+185+100+300)</f>
        <v>78.834995060439567</v>
      </c>
      <c r="AC834" s="45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77.319425899280574</v>
      </c>
    </row>
    <row r="835" spans="1:29" ht="15.75" x14ac:dyDescent="0.25">
      <c r="A835" s="32">
        <v>66323</v>
      </c>
      <c r="B835" s="14">
        <f>CHOOSE(CONTROL!$C$42, 77.2652, 77.2652) * CHOOSE(CONTROL!$C$21, $C$9, 100%, $E$9)</f>
        <v>77.265199999999993</v>
      </c>
      <c r="C835" s="14">
        <f>CHOOSE(CONTROL!$C$42, 77.2732, 77.2732) * CHOOSE(CONTROL!$C$21, $C$9, 100%, $E$9)</f>
        <v>77.273200000000003</v>
      </c>
      <c r="D835" s="14">
        <f>CHOOSE(CONTROL!$C$42, 77.5068, 77.5068) * CHOOSE(CONTROL!$C$21, $C$9, 100%, $E$9)</f>
        <v>77.506799999999998</v>
      </c>
      <c r="E835" s="14">
        <f>CHOOSE(CONTROL!$C$42, 77.5382, 77.5382) * CHOOSE(CONTROL!$C$21, $C$9, 100%, $E$9)</f>
        <v>77.538200000000003</v>
      </c>
      <c r="F835" s="14">
        <f>CHOOSE(CONTROL!$C$42, 77.2629, 77.2629)*CHOOSE(CONTROL!$C$21, $C$9, 100%, $E$9)</f>
        <v>77.262900000000002</v>
      </c>
      <c r="G835" s="14">
        <f>CHOOSE(CONTROL!$C$42, 77.2795, 77.2795)*CHOOSE(CONTROL!$C$21, $C$9, 100%, $E$9)</f>
        <v>77.279499999999999</v>
      </c>
      <c r="H835" s="14">
        <f>CHOOSE(CONTROL!$C$42, 77.5269, 77.5269) * CHOOSE(CONTROL!$C$21, $C$9, 100%, $E$9)</f>
        <v>77.526899999999998</v>
      </c>
      <c r="I835" s="14">
        <f>CHOOSE(CONTROL!$C$42, 77.523, 77.523)* CHOOSE(CONTROL!$C$21, $C$9, 100%, $E$9)</f>
        <v>77.522999999999996</v>
      </c>
      <c r="J835" s="14">
        <f>CHOOSE(CONTROL!$C$42, 77.2559, 77.2559)* CHOOSE(CONTROL!$C$21, $C$9, 100%, $E$9)</f>
        <v>77.255899999999997</v>
      </c>
      <c r="K835" s="53">
        <f>CHOOSE(CONTROL!$C$42, 77.5191, 77.5191) * CHOOSE(CONTROL!$C$21, $C$9, 100%, $E$9)</f>
        <v>77.519099999999995</v>
      </c>
      <c r="L835" s="14">
        <f>CHOOSE(CONTROL!$C$42, 78.1139, 78.1139) * CHOOSE(CONTROL!$C$21, $C$9, 100%, $E$9)</f>
        <v>78.113900000000001</v>
      </c>
      <c r="M835" s="14">
        <f>CHOOSE(CONTROL!$C$42, 75.6807, 75.6807) * CHOOSE(CONTROL!$C$21, $C$9, 100%, $E$9)</f>
        <v>75.680700000000002</v>
      </c>
      <c r="N835" s="14">
        <f>CHOOSE(CONTROL!$C$42, 75.697, 75.697) * CHOOSE(CONTROL!$C$21, $C$9, 100%, $E$9)</f>
        <v>75.697000000000003</v>
      </c>
      <c r="O835" s="14">
        <f>CHOOSE(CONTROL!$C$42, 75.9461, 75.9461) * CHOOSE(CONTROL!$C$21, $C$9, 100%, $E$9)</f>
        <v>75.946100000000001</v>
      </c>
      <c r="P835" s="14">
        <f>CHOOSE(CONTROL!$C$42, 75.9375, 75.9375) * CHOOSE(CONTROL!$C$21, $C$9, 100%, $E$9)</f>
        <v>75.9375</v>
      </c>
      <c r="Q835" s="14">
        <f>CHOOSE(CONTROL!$C$42, 76.5408, 76.5408) * CHOOSE(CONTROL!$C$21, $C$9, 100%, $E$9)</f>
        <v>76.540800000000004</v>
      </c>
      <c r="R835" s="14">
        <f>CHOOSE(CONTROL!$C$42, 77.3191, 77.3191) * CHOOSE(CONTROL!$C$21, $C$9, 100%, $E$9)</f>
        <v>77.319100000000006</v>
      </c>
      <c r="S835" s="14">
        <f>CHOOSE(CONTROL!$C$42, 74.2335, 74.2335) * CHOOSE(CONTROL!$C$21, $C$9, 100%, $E$9)</f>
        <v>74.233500000000006</v>
      </c>
      <c r="T8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7">
        <f>(1000*CHOOSE(CONTROL!$C$42, 695, 695)*CHOOSE(CONTROL!$C$42, 0.5599, 0.5599)*CHOOSE(CONTROL!$C$42, 31, 31))/1000000</f>
        <v>12.063045499999998</v>
      </c>
      <c r="V835" s="57">
        <f>(1000*CHOOSE(CONTROL!$C$42, 500, 500)*CHOOSE(CONTROL!$C$42, 0.275, 0.275)*CHOOSE(CONTROL!$C$42, 31, 31))/1000000</f>
        <v>4.2625000000000002</v>
      </c>
      <c r="W835" s="57">
        <f>(1000*CHOOSE(CONTROL!$C$42, 0.1146, 0.1146)*CHOOSE(CONTROL!$C$42, 121.5, 121.5)*CHOOSE(CONTROL!$C$42, 31, 31))/1000000</f>
        <v>0.43164089999999994</v>
      </c>
      <c r="X835" s="57">
        <f>(31*0.1790888*245000/1000000)+(31*0.2374*100000/1000000)</f>
        <v>2.0961194359999999</v>
      </c>
      <c r="Y835" s="57"/>
      <c r="Z835" s="14"/>
      <c r="AA835" s="56"/>
      <c r="AB835" s="50">
        <f>(B835*194.205+C835*267.466+D835*133.845+E835*53.484+F835*40+G835*185+H835*0+I835*100+J835*300)/(194.205+267.466+133.845+53.484+0+40+185+100+300)</f>
        <v>77.32377245839875</v>
      </c>
      <c r="AC835" s="45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75.838876978417275</v>
      </c>
    </row>
    <row r="836" spans="1:29" ht="15.75" x14ac:dyDescent="0.25">
      <c r="A836" s="32">
        <v>66354</v>
      </c>
      <c r="B836" s="14">
        <f>CHOOSE(CONTROL!$C$42, 73.4492, 73.4492) * CHOOSE(CONTROL!$C$21, $C$9, 100%, $E$9)</f>
        <v>73.449200000000005</v>
      </c>
      <c r="C836" s="14">
        <f>CHOOSE(CONTROL!$C$42, 73.4573, 73.4573) * CHOOSE(CONTROL!$C$21, $C$9, 100%, $E$9)</f>
        <v>73.457300000000004</v>
      </c>
      <c r="D836" s="14">
        <f>CHOOSE(CONTROL!$C$42, 73.6908, 73.6908) * CHOOSE(CONTROL!$C$21, $C$9, 100%, $E$9)</f>
        <v>73.690799999999996</v>
      </c>
      <c r="E836" s="14">
        <f>CHOOSE(CONTROL!$C$42, 73.7223, 73.7223) * CHOOSE(CONTROL!$C$21, $C$9, 100%, $E$9)</f>
        <v>73.722300000000004</v>
      </c>
      <c r="F836" s="14">
        <f>CHOOSE(CONTROL!$C$42, 73.4472, 73.4472)*CHOOSE(CONTROL!$C$21, $C$9, 100%, $E$9)</f>
        <v>73.447199999999995</v>
      </c>
      <c r="G836" s="14">
        <f>CHOOSE(CONTROL!$C$42, 73.4639, 73.4639)*CHOOSE(CONTROL!$C$21, $C$9, 100%, $E$9)</f>
        <v>73.463899999999995</v>
      </c>
      <c r="H836" s="14">
        <f>CHOOSE(CONTROL!$C$42, 73.7109, 73.7109) * CHOOSE(CONTROL!$C$21, $C$9, 100%, $E$9)</f>
        <v>73.710899999999995</v>
      </c>
      <c r="I836" s="14">
        <f>CHOOSE(CONTROL!$C$42, 73.6951, 73.6951)* CHOOSE(CONTROL!$C$21, $C$9, 100%, $E$9)</f>
        <v>73.695099999999996</v>
      </c>
      <c r="J836" s="14">
        <f>CHOOSE(CONTROL!$C$42, 73.4402, 73.4402)* CHOOSE(CONTROL!$C$21, $C$9, 100%, $E$9)</f>
        <v>73.440200000000004</v>
      </c>
      <c r="K836" s="53">
        <f>CHOOSE(CONTROL!$C$42, 73.6913, 73.6913) * CHOOSE(CONTROL!$C$21, $C$9, 100%, $E$9)</f>
        <v>73.691299999999998</v>
      </c>
      <c r="L836" s="14">
        <f>CHOOSE(CONTROL!$C$42, 74.2979, 74.2979) * CHOOSE(CONTROL!$C$21, $C$9, 100%, $E$9)</f>
        <v>74.297899999999998</v>
      </c>
      <c r="M836" s="14">
        <f>CHOOSE(CONTROL!$C$42, 71.9432, 71.9432) * CHOOSE(CONTROL!$C$21, $C$9, 100%, $E$9)</f>
        <v>71.943200000000004</v>
      </c>
      <c r="N836" s="14">
        <f>CHOOSE(CONTROL!$C$42, 71.9595, 71.9595) * CHOOSE(CONTROL!$C$21, $C$9, 100%, $E$9)</f>
        <v>71.959500000000006</v>
      </c>
      <c r="O836" s="14">
        <f>CHOOSE(CONTROL!$C$42, 72.2084, 72.2084) * CHOOSE(CONTROL!$C$21, $C$9, 100%, $E$9)</f>
        <v>72.208399999999997</v>
      </c>
      <c r="P836" s="14">
        <f>CHOOSE(CONTROL!$C$42, 72.1883, 72.1883) * CHOOSE(CONTROL!$C$21, $C$9, 100%, $E$9)</f>
        <v>72.188299999999998</v>
      </c>
      <c r="Q836" s="14">
        <f>CHOOSE(CONTROL!$C$42, 72.8031, 72.8031) * CHOOSE(CONTROL!$C$21, $C$9, 100%, $E$9)</f>
        <v>72.803100000000001</v>
      </c>
      <c r="R836" s="14">
        <f>CHOOSE(CONTROL!$C$42, 73.5721, 73.5721) * CHOOSE(CONTROL!$C$21, $C$9, 100%, $E$9)</f>
        <v>73.572100000000006</v>
      </c>
      <c r="S836" s="14">
        <f>CHOOSE(CONTROL!$C$42, 70.5667, 70.5667) * CHOOSE(CONTROL!$C$21, $C$9, 100%, $E$9)</f>
        <v>70.566699999999997</v>
      </c>
      <c r="T8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7">
        <f>(1000*CHOOSE(CONTROL!$C$42, 695, 695)*CHOOSE(CONTROL!$C$42, 0.5599, 0.5599)*CHOOSE(CONTROL!$C$42, 31, 31))/1000000</f>
        <v>12.063045499999998</v>
      </c>
      <c r="V836" s="57">
        <f>(1000*CHOOSE(CONTROL!$C$42, 500, 500)*CHOOSE(CONTROL!$C$42, 0.275, 0.275)*CHOOSE(CONTROL!$C$42, 31, 31))/1000000</f>
        <v>4.2625000000000002</v>
      </c>
      <c r="W836" s="57">
        <f>(1000*CHOOSE(CONTROL!$C$42, 0.1146, 0.1146)*CHOOSE(CONTROL!$C$42, 121.5, 121.5)*CHOOSE(CONTROL!$C$42, 31, 31))/1000000</f>
        <v>0.43164089999999994</v>
      </c>
      <c r="X836" s="57">
        <f>(31*0.1790888*245000/1000000)+(31*0.2374*100000/1000000)</f>
        <v>2.0961194359999999</v>
      </c>
      <c r="Y836" s="57"/>
      <c r="Z836" s="14"/>
      <c r="AA836" s="56"/>
      <c r="AB836" s="50">
        <f>(B836*194.205+C836*267.466+D836*133.845+E836*53.484+F836*40+G836*185+H836*0+I836*100+J836*300)/(194.205+267.466+133.845+53.484+0+40+185+100+300)</f>
        <v>73.507001732339091</v>
      </c>
      <c r="AC836" s="45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72.099602877697848</v>
      </c>
    </row>
    <row r="837" spans="1:29" ht="15.75" x14ac:dyDescent="0.25">
      <c r="A837" s="32">
        <v>66384</v>
      </c>
      <c r="B837" s="14">
        <f>CHOOSE(CONTROL!$C$42, 68.7864, 68.7864) * CHOOSE(CONTROL!$C$21, $C$9, 100%, $E$9)</f>
        <v>68.7864</v>
      </c>
      <c r="C837" s="14">
        <f>CHOOSE(CONTROL!$C$42, 68.7944, 68.7944) * CHOOSE(CONTROL!$C$21, $C$9, 100%, $E$9)</f>
        <v>68.794399999999996</v>
      </c>
      <c r="D837" s="14">
        <f>CHOOSE(CONTROL!$C$42, 69.028, 69.028) * CHOOSE(CONTROL!$C$21, $C$9, 100%, $E$9)</f>
        <v>69.028000000000006</v>
      </c>
      <c r="E837" s="14">
        <f>CHOOSE(CONTROL!$C$42, 69.0595, 69.0595) * CHOOSE(CONTROL!$C$21, $C$9, 100%, $E$9)</f>
        <v>69.0595</v>
      </c>
      <c r="F837" s="14">
        <f>CHOOSE(CONTROL!$C$42, 68.7844, 68.7844)*CHOOSE(CONTROL!$C$21, $C$9, 100%, $E$9)</f>
        <v>68.784400000000005</v>
      </c>
      <c r="G837" s="14">
        <f>CHOOSE(CONTROL!$C$42, 68.8011, 68.8011)*CHOOSE(CONTROL!$C$21, $C$9, 100%, $E$9)</f>
        <v>68.801100000000005</v>
      </c>
      <c r="H837" s="14">
        <f>CHOOSE(CONTROL!$C$42, 69.0481, 69.0481) * CHOOSE(CONTROL!$C$21, $C$9, 100%, $E$9)</f>
        <v>69.048100000000005</v>
      </c>
      <c r="I837" s="14">
        <f>CHOOSE(CONTROL!$C$42, 69.0177, 69.0177)* CHOOSE(CONTROL!$C$21, $C$9, 100%, $E$9)</f>
        <v>69.017700000000005</v>
      </c>
      <c r="J837" s="14">
        <f>CHOOSE(CONTROL!$C$42, 68.7774, 68.7774)* CHOOSE(CONTROL!$C$21, $C$9, 100%, $E$9)</f>
        <v>68.7774</v>
      </c>
      <c r="K837" s="53">
        <f>CHOOSE(CONTROL!$C$42, 69.0138, 69.0138) * CHOOSE(CONTROL!$C$21, $C$9, 100%, $E$9)</f>
        <v>69.013800000000003</v>
      </c>
      <c r="L837" s="14">
        <f>CHOOSE(CONTROL!$C$42, 69.6351, 69.6351) * CHOOSE(CONTROL!$C$21, $C$9, 100%, $E$9)</f>
        <v>69.635099999999994</v>
      </c>
      <c r="M837" s="14">
        <f>CHOOSE(CONTROL!$C$42, 67.3759, 67.3759) * CHOOSE(CONTROL!$C$21, $C$9, 100%, $E$9)</f>
        <v>67.375900000000001</v>
      </c>
      <c r="N837" s="14">
        <f>CHOOSE(CONTROL!$C$42, 67.3922, 67.3922) * CHOOSE(CONTROL!$C$21, $C$9, 100%, $E$9)</f>
        <v>67.392200000000003</v>
      </c>
      <c r="O837" s="14">
        <f>CHOOSE(CONTROL!$C$42, 67.6411, 67.6411) * CHOOSE(CONTROL!$C$21, $C$9, 100%, $E$9)</f>
        <v>67.641099999999994</v>
      </c>
      <c r="P837" s="14">
        <f>CHOOSE(CONTROL!$C$42, 67.607, 67.607) * CHOOSE(CONTROL!$C$21, $C$9, 100%, $E$9)</f>
        <v>67.606999999999999</v>
      </c>
      <c r="Q837" s="14">
        <f>CHOOSE(CONTROL!$C$42, 68.2358, 68.2358) * CHOOSE(CONTROL!$C$21, $C$9, 100%, $E$9)</f>
        <v>68.235799999999998</v>
      </c>
      <c r="R837" s="14">
        <f>CHOOSE(CONTROL!$C$42, 68.9934, 68.9934) * CHOOSE(CONTROL!$C$21, $C$9, 100%, $E$9)</f>
        <v>68.993399999999994</v>
      </c>
      <c r="S837" s="14">
        <f>CHOOSE(CONTROL!$C$42, 66.0862, 66.0862) * CHOOSE(CONTROL!$C$21, $C$9, 100%, $E$9)</f>
        <v>66.086200000000005</v>
      </c>
      <c r="T8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7">
        <f>(1000*CHOOSE(CONTROL!$C$42, 695, 695)*CHOOSE(CONTROL!$C$42, 0.5599, 0.5599)*CHOOSE(CONTROL!$C$42, 30, 30))/1000000</f>
        <v>11.673914999999997</v>
      </c>
      <c r="V837" s="57">
        <f>(1000*CHOOSE(CONTROL!$C$42, 500, 500)*CHOOSE(CONTROL!$C$42, 0.275, 0.275)*CHOOSE(CONTROL!$C$42, 30, 30))/1000000</f>
        <v>4.125</v>
      </c>
      <c r="W837" s="57">
        <f>(1000*CHOOSE(CONTROL!$C$42, 0.1146, 0.1146)*CHOOSE(CONTROL!$C$42, 121.5, 121.5)*CHOOSE(CONTROL!$C$42, 30, 30))/1000000</f>
        <v>0.417717</v>
      </c>
      <c r="X837" s="57">
        <f>(30*0.1790888*245000/1000000)+(30*0.2374*100000/1000000)</f>
        <v>2.0285026799999999</v>
      </c>
      <c r="Y837" s="57"/>
      <c r="Z837" s="14"/>
      <c r="AA837" s="56"/>
      <c r="AB837" s="50">
        <f>(B837*194.205+C837*267.466+D837*133.845+E837*53.484+F837*40+G837*185+H837*0+I837*100+J837*300)/(194.205+267.466+133.845+53.484+0+40+185+100+300)</f>
        <v>68.843034741287298</v>
      </c>
      <c r="AC837" s="45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67.53028848920863</v>
      </c>
    </row>
    <row r="838" spans="1:29" ht="15.75" x14ac:dyDescent="0.25">
      <c r="A838" s="32">
        <v>66415</v>
      </c>
      <c r="B838" s="14">
        <f>CHOOSE(CONTROL!$C$42, 67.3883, 67.3883) * CHOOSE(CONTROL!$C$21, $C$9, 100%, $E$9)</f>
        <v>67.388300000000001</v>
      </c>
      <c r="C838" s="14">
        <f>CHOOSE(CONTROL!$C$42, 67.3936, 67.3936) * CHOOSE(CONTROL!$C$21, $C$9, 100%, $E$9)</f>
        <v>67.393600000000006</v>
      </c>
      <c r="D838" s="14">
        <f>CHOOSE(CONTROL!$C$42, 67.6321, 67.6321) * CHOOSE(CONTROL!$C$21, $C$9, 100%, $E$9)</f>
        <v>67.632099999999994</v>
      </c>
      <c r="E838" s="14">
        <f>CHOOSE(CONTROL!$C$42, 67.6613, 67.6613) * CHOOSE(CONTROL!$C$21, $C$9, 100%, $E$9)</f>
        <v>67.661299999999997</v>
      </c>
      <c r="F838" s="14">
        <f>CHOOSE(CONTROL!$C$42, 67.3883, 67.3883)*CHOOSE(CONTROL!$C$21, $C$9, 100%, $E$9)</f>
        <v>67.388300000000001</v>
      </c>
      <c r="G838" s="14">
        <f>CHOOSE(CONTROL!$C$42, 67.4046, 67.4046)*CHOOSE(CONTROL!$C$21, $C$9, 100%, $E$9)</f>
        <v>67.404600000000002</v>
      </c>
      <c r="H838" s="14">
        <f>CHOOSE(CONTROL!$C$42, 67.6517, 67.6517) * CHOOSE(CONTROL!$C$21, $C$9, 100%, $E$9)</f>
        <v>67.651700000000005</v>
      </c>
      <c r="I838" s="14">
        <f>CHOOSE(CONTROL!$C$42, 67.617, 67.617)* CHOOSE(CONTROL!$C$21, $C$9, 100%, $E$9)</f>
        <v>67.617000000000004</v>
      </c>
      <c r="J838" s="14">
        <f>CHOOSE(CONTROL!$C$42, 67.3813, 67.3813)* CHOOSE(CONTROL!$C$21, $C$9, 100%, $E$9)</f>
        <v>67.381299999999996</v>
      </c>
      <c r="K838" s="53">
        <f>CHOOSE(CONTROL!$C$42, 67.6131, 67.6131) * CHOOSE(CONTROL!$C$21, $C$9, 100%, $E$9)</f>
        <v>67.613100000000003</v>
      </c>
      <c r="L838" s="14">
        <f>CHOOSE(CONTROL!$C$42, 68.2387, 68.2387) * CHOOSE(CONTROL!$C$21, $C$9, 100%, $E$9)</f>
        <v>68.238699999999994</v>
      </c>
      <c r="M838" s="14">
        <f>CHOOSE(CONTROL!$C$42, 66.0084, 66.0084) * CHOOSE(CONTROL!$C$21, $C$9, 100%, $E$9)</f>
        <v>66.008399999999995</v>
      </c>
      <c r="N838" s="14">
        <f>CHOOSE(CONTROL!$C$42, 66.0243, 66.0243) * CHOOSE(CONTROL!$C$21, $C$9, 100%, $E$9)</f>
        <v>66.024299999999997</v>
      </c>
      <c r="O838" s="14">
        <f>CHOOSE(CONTROL!$C$42, 66.2733, 66.2733) * CHOOSE(CONTROL!$C$21, $C$9, 100%, $E$9)</f>
        <v>66.273300000000006</v>
      </c>
      <c r="P838" s="14">
        <f>CHOOSE(CONTROL!$C$42, 66.235, 66.235) * CHOOSE(CONTROL!$C$21, $C$9, 100%, $E$9)</f>
        <v>66.234999999999999</v>
      </c>
      <c r="Q838" s="14">
        <f>CHOOSE(CONTROL!$C$42, 66.868, 66.868) * CHOOSE(CONTROL!$C$21, $C$9, 100%, $E$9)</f>
        <v>66.867999999999995</v>
      </c>
      <c r="R838" s="14">
        <f>CHOOSE(CONTROL!$C$42, 67.6222, 67.6222) * CHOOSE(CONTROL!$C$21, $C$9, 100%, $E$9)</f>
        <v>67.622200000000007</v>
      </c>
      <c r="S838" s="14">
        <f>CHOOSE(CONTROL!$C$42, 64.7444, 64.7444) * CHOOSE(CONTROL!$C$21, $C$9, 100%, $E$9)</f>
        <v>64.744399999999999</v>
      </c>
      <c r="T8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7">
        <f>(1000*CHOOSE(CONTROL!$C$42, 695, 695)*CHOOSE(CONTROL!$C$42, 0.5599, 0.5599)*CHOOSE(CONTROL!$C$42, 31, 31))/1000000</f>
        <v>12.063045499999998</v>
      </c>
      <c r="V838" s="57">
        <f>(1000*CHOOSE(CONTROL!$C$42, 500, 500)*CHOOSE(CONTROL!$C$42, 0.275, 0.275)*CHOOSE(CONTROL!$C$42, 31, 31))/1000000</f>
        <v>4.2625000000000002</v>
      </c>
      <c r="W838" s="57">
        <f>(1000*CHOOSE(CONTROL!$C$42, 0.1146, 0.1146)*CHOOSE(CONTROL!$C$42, 121.5, 121.5)*CHOOSE(CONTROL!$C$42, 31, 31))/1000000</f>
        <v>0.43164089999999994</v>
      </c>
      <c r="X838" s="57">
        <f>(31*0.1790888*245000/1000000)+(31*0.2374*100000/1000000)</f>
        <v>2.0961194359999999</v>
      </c>
      <c r="Y838" s="57"/>
      <c r="Z838" s="14"/>
      <c r="AA838" s="56"/>
      <c r="AB838" s="50">
        <f>(B838*131.881+C838*277.167+D838*79.08+E838*125.872+F838*40+G838*185+H838*0+I838*100+J838*300)/(131.881+277.167+79.08+125.872+0+40+185+100+300)</f>
        <v>67.451978163922519</v>
      </c>
      <c r="AC838" s="45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66.161982014388485</v>
      </c>
    </row>
    <row r="839" spans="1:29" ht="15.75" x14ac:dyDescent="0.25">
      <c r="A839" s="32">
        <v>66445</v>
      </c>
      <c r="B839" s="14">
        <f>CHOOSE(CONTROL!$C$42, 69.1629, 69.1629) * CHOOSE(CONTROL!$C$21, $C$9, 100%, $E$9)</f>
        <v>69.162899999999993</v>
      </c>
      <c r="C839" s="14">
        <f>CHOOSE(CONTROL!$C$42, 69.168, 69.168) * CHOOSE(CONTROL!$C$21, $C$9, 100%, $E$9)</f>
        <v>69.168000000000006</v>
      </c>
      <c r="D839" s="14">
        <f>CHOOSE(CONTROL!$C$42, 69.2422, 69.2422) * CHOOSE(CONTROL!$C$21, $C$9, 100%, $E$9)</f>
        <v>69.242199999999997</v>
      </c>
      <c r="E839" s="14">
        <f>CHOOSE(CONTROL!$C$42, 69.2763, 69.2763) * CHOOSE(CONTROL!$C$21, $C$9, 100%, $E$9)</f>
        <v>69.276300000000006</v>
      </c>
      <c r="F839" s="14">
        <f>CHOOSE(CONTROL!$C$42, 69.175, 69.175)*CHOOSE(CONTROL!$C$21, $C$9, 100%, $E$9)</f>
        <v>69.174999999999997</v>
      </c>
      <c r="G839" s="14">
        <f>CHOOSE(CONTROL!$C$42, 69.1915, 69.1915)*CHOOSE(CONTROL!$C$21, $C$9, 100%, $E$9)</f>
        <v>69.191500000000005</v>
      </c>
      <c r="H839" s="14">
        <f>CHOOSE(CONTROL!$C$42, 69.2655, 69.2655) * CHOOSE(CONTROL!$C$21, $C$9, 100%, $E$9)</f>
        <v>69.265500000000003</v>
      </c>
      <c r="I839" s="14">
        <f>CHOOSE(CONTROL!$C$42, 69.4038, 69.4038)* CHOOSE(CONTROL!$C$21, $C$9, 100%, $E$9)</f>
        <v>69.403800000000004</v>
      </c>
      <c r="J839" s="14">
        <f>CHOOSE(CONTROL!$C$42, 69.168, 69.168)* CHOOSE(CONTROL!$C$21, $C$9, 100%, $E$9)</f>
        <v>69.168000000000006</v>
      </c>
      <c r="K839" s="53">
        <f>CHOOSE(CONTROL!$C$42, 69.3999, 69.3999) * CHOOSE(CONTROL!$C$21, $C$9, 100%, $E$9)</f>
        <v>69.399900000000002</v>
      </c>
      <c r="L839" s="14">
        <f>CHOOSE(CONTROL!$C$42, 69.8525, 69.8525) * CHOOSE(CONTROL!$C$21, $C$9, 100%, $E$9)</f>
        <v>69.852500000000006</v>
      </c>
      <c r="M839" s="14">
        <f>CHOOSE(CONTROL!$C$42, 67.7584, 67.7584) * CHOOSE(CONTROL!$C$21, $C$9, 100%, $E$9)</f>
        <v>67.758399999999995</v>
      </c>
      <c r="N839" s="14">
        <f>CHOOSE(CONTROL!$C$42, 67.7747, 67.7747) * CHOOSE(CONTROL!$C$21, $C$9, 100%, $E$9)</f>
        <v>67.774699999999996</v>
      </c>
      <c r="O839" s="14">
        <f>CHOOSE(CONTROL!$C$42, 67.854, 67.854) * CHOOSE(CONTROL!$C$21, $C$9, 100%, $E$9)</f>
        <v>67.853999999999999</v>
      </c>
      <c r="P839" s="14">
        <f>CHOOSE(CONTROL!$C$42, 67.9852, 67.9852) * CHOOSE(CONTROL!$C$21, $C$9, 100%, $E$9)</f>
        <v>67.985200000000006</v>
      </c>
      <c r="Q839" s="14">
        <f>CHOOSE(CONTROL!$C$42, 68.4487, 68.4487) * CHOOSE(CONTROL!$C$21, $C$9, 100%, $E$9)</f>
        <v>68.448700000000002</v>
      </c>
      <c r="R839" s="14">
        <f>CHOOSE(CONTROL!$C$42, 69.2068, 69.2068) * CHOOSE(CONTROL!$C$21, $C$9, 100%, $E$9)</f>
        <v>69.206800000000001</v>
      </c>
      <c r="S839" s="14">
        <f>CHOOSE(CONTROL!$C$42, 66.4501, 66.4501) * CHOOSE(CONTROL!$C$21, $C$9, 100%, $E$9)</f>
        <v>66.450100000000006</v>
      </c>
      <c r="T8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7">
        <f>(1000*CHOOSE(CONTROL!$C$42, 695, 695)*CHOOSE(CONTROL!$C$42, 0.5599, 0.5599)*CHOOSE(CONTROL!$C$42, 30, 30))/1000000</f>
        <v>11.673914999999997</v>
      </c>
      <c r="V839" s="57">
        <f>(1000*CHOOSE(CONTROL!$C$42, 500, 500)*CHOOSE(CONTROL!$C$42, 0.275, 0.275)*CHOOSE(CONTROL!$C$42, 30, 30))/1000000</f>
        <v>4.125</v>
      </c>
      <c r="W839" s="57">
        <f>(1000*CHOOSE(CONTROL!$C$42, 0.1146, 0.1146)*CHOOSE(CONTROL!$C$42, 121.5, 121.5)*CHOOSE(CONTROL!$C$42, 30, 30))/1000000</f>
        <v>0.417717</v>
      </c>
      <c r="X839" s="57">
        <f>(30*0.1790888*100000/1000000)+(30*0.2374*100000/1000000)</f>
        <v>1.2494664</v>
      </c>
      <c r="Y839" s="57"/>
      <c r="Z839" s="14"/>
      <c r="AA839" s="56"/>
      <c r="AB839" s="50">
        <f>(B839*122.58+C839*297.941+D839*89.177+E839*40.302+F839*40+G839*160+H839*0+I839*100+J839*300)/(122.58+297.941+89.177+40.302+0+40+160+100+300)</f>
        <v>69.201023027826082</v>
      </c>
      <c r="AC839" s="45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67.835300719424467</v>
      </c>
    </row>
    <row r="840" spans="1:29" ht="15.75" x14ac:dyDescent="0.25">
      <c r="A840" s="32">
        <v>66476</v>
      </c>
      <c r="B840" s="14">
        <f>CHOOSE(CONTROL!$C$42, 73.8777, 73.8777) * CHOOSE(CONTROL!$C$21, $C$9, 100%, $E$9)</f>
        <v>73.877700000000004</v>
      </c>
      <c r="C840" s="14">
        <f>CHOOSE(CONTROL!$C$42, 73.8828, 73.8828) * CHOOSE(CONTROL!$C$21, $C$9, 100%, $E$9)</f>
        <v>73.882800000000003</v>
      </c>
      <c r="D840" s="14">
        <f>CHOOSE(CONTROL!$C$42, 73.957, 73.957) * CHOOSE(CONTROL!$C$21, $C$9, 100%, $E$9)</f>
        <v>73.956999999999994</v>
      </c>
      <c r="E840" s="14">
        <f>CHOOSE(CONTROL!$C$42, 73.9911, 73.9911) * CHOOSE(CONTROL!$C$21, $C$9, 100%, $E$9)</f>
        <v>73.991100000000003</v>
      </c>
      <c r="F840" s="14">
        <f>CHOOSE(CONTROL!$C$42, 73.892, 73.892)*CHOOSE(CONTROL!$C$21, $C$9, 100%, $E$9)</f>
        <v>73.891999999999996</v>
      </c>
      <c r="G840" s="14">
        <f>CHOOSE(CONTROL!$C$42, 73.9091, 73.9091)*CHOOSE(CONTROL!$C$21, $C$9, 100%, $E$9)</f>
        <v>73.909099999999995</v>
      </c>
      <c r="H840" s="14">
        <f>CHOOSE(CONTROL!$C$42, 73.9803, 73.9803) * CHOOSE(CONTROL!$C$21, $C$9, 100%, $E$9)</f>
        <v>73.9803</v>
      </c>
      <c r="I840" s="14">
        <f>CHOOSE(CONTROL!$C$42, 74.1334, 74.1334)* CHOOSE(CONTROL!$C$21, $C$9, 100%, $E$9)</f>
        <v>74.133399999999995</v>
      </c>
      <c r="J840" s="14">
        <f>CHOOSE(CONTROL!$C$42, 73.885, 73.885)* CHOOSE(CONTROL!$C$21, $C$9, 100%, $E$9)</f>
        <v>73.885000000000005</v>
      </c>
      <c r="K840" s="53">
        <f>CHOOSE(CONTROL!$C$42, 74.1295, 74.1295) * CHOOSE(CONTROL!$C$21, $C$9, 100%, $E$9)</f>
        <v>74.129499999999993</v>
      </c>
      <c r="L840" s="14">
        <f>CHOOSE(CONTROL!$C$42, 74.5673, 74.5673) * CHOOSE(CONTROL!$C$21, $C$9, 100%, $E$9)</f>
        <v>74.567300000000003</v>
      </c>
      <c r="M840" s="14">
        <f>CHOOSE(CONTROL!$C$42, 72.3788, 72.3788) * CHOOSE(CONTROL!$C$21, $C$9, 100%, $E$9)</f>
        <v>72.378799999999998</v>
      </c>
      <c r="N840" s="14">
        <f>CHOOSE(CONTROL!$C$42, 72.3956, 72.3956) * CHOOSE(CONTROL!$C$21, $C$9, 100%, $E$9)</f>
        <v>72.395600000000002</v>
      </c>
      <c r="O840" s="14">
        <f>CHOOSE(CONTROL!$C$42, 72.4722, 72.4722) * CHOOSE(CONTROL!$C$21, $C$9, 100%, $E$9)</f>
        <v>72.472200000000001</v>
      </c>
      <c r="P840" s="14">
        <f>CHOOSE(CONTROL!$C$42, 72.6176, 72.6176) * CHOOSE(CONTROL!$C$21, $C$9, 100%, $E$9)</f>
        <v>72.617599999999996</v>
      </c>
      <c r="Q840" s="14">
        <f>CHOOSE(CONTROL!$C$42, 73.0669, 73.0669) * CHOOSE(CONTROL!$C$21, $C$9, 100%, $E$9)</f>
        <v>73.066900000000004</v>
      </c>
      <c r="R840" s="14">
        <f>CHOOSE(CONTROL!$C$42, 73.8366, 73.8366) * CHOOSE(CONTROL!$C$21, $C$9, 100%, $E$9)</f>
        <v>73.836600000000004</v>
      </c>
      <c r="S840" s="14">
        <f>CHOOSE(CONTROL!$C$42, 70.9806, 70.9806) * CHOOSE(CONTROL!$C$21, $C$9, 100%, $E$9)</f>
        <v>70.980599999999995</v>
      </c>
      <c r="T8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7">
        <f>(1000*CHOOSE(CONTROL!$C$42, 695, 695)*CHOOSE(CONTROL!$C$42, 0.5599, 0.5599)*CHOOSE(CONTROL!$C$42, 31, 31))/1000000</f>
        <v>12.063045499999998</v>
      </c>
      <c r="V840" s="57">
        <f>(1000*CHOOSE(CONTROL!$C$42, 500, 500)*CHOOSE(CONTROL!$C$42, 0.275, 0.275)*CHOOSE(CONTROL!$C$42, 31, 31))/1000000</f>
        <v>4.2625000000000002</v>
      </c>
      <c r="W840" s="57">
        <f>(1000*CHOOSE(CONTROL!$C$42, 0.1146, 0.1146)*CHOOSE(CONTROL!$C$42, 121.5, 121.5)*CHOOSE(CONTROL!$C$42, 31, 31))/1000000</f>
        <v>0.43164089999999994</v>
      </c>
      <c r="X840" s="57">
        <f>(31*0.1790888*100000/1000000)+(31*0.2374*100000/1000000)</f>
        <v>1.2911152800000001</v>
      </c>
      <c r="Y840" s="57"/>
      <c r="Z840" s="14"/>
      <c r="AA840" s="56"/>
      <c r="AB840" s="50">
        <f>(B840*122.58+C840*297.941+D840*89.177+E840*40.302+F840*40+G840*160+H840*0+I840*100+J840*300)/(122.58+297.941+89.177+40.302+0+40+160+100+300)</f>
        <v>73.918149984347835</v>
      </c>
      <c r="AC840" s="45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72.456458992805764</v>
      </c>
    </row>
    <row r="841" spans="1:29" ht="15.75" x14ac:dyDescent="0.25">
      <c r="A841" s="32">
        <v>66507</v>
      </c>
      <c r="B841" s="14">
        <f>CHOOSE(CONTROL!$C$42, 80.0014, 80.0014) * CHOOSE(CONTROL!$C$21, $C$9, 100%, $E$9)</f>
        <v>80.001400000000004</v>
      </c>
      <c r="C841" s="14">
        <f>CHOOSE(CONTROL!$C$42, 80.0065, 80.0065) * CHOOSE(CONTROL!$C$21, $C$9, 100%, $E$9)</f>
        <v>80.006500000000003</v>
      </c>
      <c r="D841" s="14">
        <f>CHOOSE(CONTROL!$C$42, 80.0833, 80.0833) * CHOOSE(CONTROL!$C$21, $C$9, 100%, $E$9)</f>
        <v>80.083299999999994</v>
      </c>
      <c r="E841" s="14">
        <f>CHOOSE(CONTROL!$C$42, 80.1174, 80.1174) * CHOOSE(CONTROL!$C$21, $C$9, 100%, $E$9)</f>
        <v>80.117400000000004</v>
      </c>
      <c r="F841" s="14">
        <f>CHOOSE(CONTROL!$C$42, 80.0017, 80.0017)*CHOOSE(CONTROL!$C$21, $C$9, 100%, $E$9)</f>
        <v>80.0017</v>
      </c>
      <c r="G841" s="14">
        <f>CHOOSE(CONTROL!$C$42, 80.0179, 80.0179)*CHOOSE(CONTROL!$C$21, $C$9, 100%, $E$9)</f>
        <v>80.017899999999997</v>
      </c>
      <c r="H841" s="14">
        <f>CHOOSE(CONTROL!$C$42, 80.1066, 80.1066) * CHOOSE(CONTROL!$C$21, $C$9, 100%, $E$9)</f>
        <v>80.1066</v>
      </c>
      <c r="I841" s="14">
        <f>CHOOSE(CONTROL!$C$42, 80.2701, 80.2701)* CHOOSE(CONTROL!$C$21, $C$9, 100%, $E$9)</f>
        <v>80.270099999999999</v>
      </c>
      <c r="J841" s="14">
        <f>CHOOSE(CONTROL!$C$42, 79.9947, 79.9947)* CHOOSE(CONTROL!$C$21, $C$9, 100%, $E$9)</f>
        <v>79.994699999999995</v>
      </c>
      <c r="K841" s="53">
        <f>CHOOSE(CONTROL!$C$42, 80.2662, 80.2662) * CHOOSE(CONTROL!$C$21, $C$9, 100%, $E$9)</f>
        <v>80.266199999999998</v>
      </c>
      <c r="L841" s="14">
        <f>CHOOSE(CONTROL!$C$42, 80.6936, 80.6936) * CHOOSE(CONTROL!$C$21, $C$9, 100%, $E$9)</f>
        <v>80.693600000000004</v>
      </c>
      <c r="M841" s="14">
        <f>CHOOSE(CONTROL!$C$42, 78.3633, 78.3633) * CHOOSE(CONTROL!$C$21, $C$9, 100%, $E$9)</f>
        <v>78.363299999999995</v>
      </c>
      <c r="N841" s="14">
        <f>CHOOSE(CONTROL!$C$42, 78.3792, 78.3792) * CHOOSE(CONTROL!$C$21, $C$9, 100%, $E$9)</f>
        <v>78.379199999999997</v>
      </c>
      <c r="O841" s="14">
        <f>CHOOSE(CONTROL!$C$42, 78.473, 78.473) * CHOOSE(CONTROL!$C$21, $C$9, 100%, $E$9)</f>
        <v>78.472999999999999</v>
      </c>
      <c r="P841" s="14">
        <f>CHOOSE(CONTROL!$C$42, 78.6281, 78.6281) * CHOOSE(CONTROL!$C$21, $C$9, 100%, $E$9)</f>
        <v>78.628100000000003</v>
      </c>
      <c r="Q841" s="14">
        <f>CHOOSE(CONTROL!$C$42, 79.0677, 79.0677) * CHOOSE(CONTROL!$C$21, $C$9, 100%, $E$9)</f>
        <v>79.067700000000002</v>
      </c>
      <c r="R841" s="14">
        <f>CHOOSE(CONTROL!$C$42, 79.8524, 79.8524) * CHOOSE(CONTROL!$C$21, $C$9, 100%, $E$9)</f>
        <v>79.852400000000003</v>
      </c>
      <c r="S841" s="14">
        <f>CHOOSE(CONTROL!$C$42, 76.8648, 76.8648) * CHOOSE(CONTROL!$C$21, $C$9, 100%, $E$9)</f>
        <v>76.864800000000002</v>
      </c>
      <c r="T8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7">
        <f>(1000*CHOOSE(CONTROL!$C$42, 695, 695)*CHOOSE(CONTROL!$C$42, 0.5599, 0.5599)*CHOOSE(CONTROL!$C$42, 31, 31))/1000000</f>
        <v>12.063045499999998</v>
      </c>
      <c r="V841" s="57">
        <f>(1000*CHOOSE(CONTROL!$C$42, 500, 500)*CHOOSE(CONTROL!$C$42, 0.275, 0.275)*CHOOSE(CONTROL!$C$42, 31, 31))/1000000</f>
        <v>4.2625000000000002</v>
      </c>
      <c r="W841" s="57">
        <f>(1000*CHOOSE(CONTROL!$C$42, 0.1146, 0.1146)*CHOOSE(CONTROL!$C$42, 121.5, 121.5)*CHOOSE(CONTROL!$C$42, 31, 31))/1000000</f>
        <v>0.43164089999999994</v>
      </c>
      <c r="X841" s="57">
        <f>(31*0.1790888*100000/1000000)+(31*0.2374*100000/1000000)</f>
        <v>1.2911152800000001</v>
      </c>
      <c r="Y841" s="57"/>
      <c r="Z841" s="14"/>
      <c r="AA841" s="56"/>
      <c r="AB841" s="50">
        <f>(B841*122.58+C841*297.941+D841*89.177+E841*40.302+F841*40+G841*160+H841*0+I841*100+J841*300)/(122.58+297.941+89.177+40.302+0+40+160+100+300)</f>
        <v>80.037060980347832</v>
      </c>
      <c r="AC841" s="45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78.452035971223012</v>
      </c>
    </row>
    <row r="842" spans="1:29" ht="15.75" x14ac:dyDescent="0.25">
      <c r="A842" s="32">
        <v>66535</v>
      </c>
      <c r="B842" s="14">
        <f>CHOOSE(CONTROL!$C$42, 81.4254, 81.4254) * CHOOSE(CONTROL!$C$21, $C$9, 100%, $E$9)</f>
        <v>81.425399999999996</v>
      </c>
      <c r="C842" s="14">
        <f>CHOOSE(CONTROL!$C$42, 81.4305, 81.4305) * CHOOSE(CONTROL!$C$21, $C$9, 100%, $E$9)</f>
        <v>81.430499999999995</v>
      </c>
      <c r="D842" s="14">
        <f>CHOOSE(CONTROL!$C$42, 81.5073, 81.5073) * CHOOSE(CONTROL!$C$21, $C$9, 100%, $E$9)</f>
        <v>81.507300000000001</v>
      </c>
      <c r="E842" s="14">
        <f>CHOOSE(CONTROL!$C$42, 81.5414, 81.5414) * CHOOSE(CONTROL!$C$21, $C$9, 100%, $E$9)</f>
        <v>81.541399999999996</v>
      </c>
      <c r="F842" s="14">
        <f>CHOOSE(CONTROL!$C$42, 81.4257, 81.4257)*CHOOSE(CONTROL!$C$21, $C$9, 100%, $E$9)</f>
        <v>81.425700000000006</v>
      </c>
      <c r="G842" s="14">
        <f>CHOOSE(CONTROL!$C$42, 81.4419, 81.4419)*CHOOSE(CONTROL!$C$21, $C$9, 100%, $E$9)</f>
        <v>81.441900000000004</v>
      </c>
      <c r="H842" s="14">
        <f>CHOOSE(CONTROL!$C$42, 81.5306, 81.5306) * CHOOSE(CONTROL!$C$21, $C$9, 100%, $E$9)</f>
        <v>81.530600000000007</v>
      </c>
      <c r="I842" s="14">
        <f>CHOOSE(CONTROL!$C$42, 81.6985, 81.6985)* CHOOSE(CONTROL!$C$21, $C$9, 100%, $E$9)</f>
        <v>81.698499999999996</v>
      </c>
      <c r="J842" s="14">
        <f>CHOOSE(CONTROL!$C$42, 81.4187, 81.4187)* CHOOSE(CONTROL!$C$21, $C$9, 100%, $E$9)</f>
        <v>81.418700000000001</v>
      </c>
      <c r="K842" s="53">
        <f>CHOOSE(CONTROL!$C$42, 81.6946, 81.6946) * CHOOSE(CONTROL!$C$21, $C$9, 100%, $E$9)</f>
        <v>81.694599999999994</v>
      </c>
      <c r="L842" s="14">
        <f>CHOOSE(CONTROL!$C$42, 82.1176, 82.1176) * CHOOSE(CONTROL!$C$21, $C$9, 100%, $E$9)</f>
        <v>82.117599999999996</v>
      </c>
      <c r="M842" s="14">
        <f>CHOOSE(CONTROL!$C$42, 79.7582, 79.7582) * CHOOSE(CONTROL!$C$21, $C$9, 100%, $E$9)</f>
        <v>79.758200000000002</v>
      </c>
      <c r="N842" s="14">
        <f>CHOOSE(CONTROL!$C$42, 79.7741, 79.7741) * CHOOSE(CONTROL!$C$21, $C$9, 100%, $E$9)</f>
        <v>79.774100000000004</v>
      </c>
      <c r="O842" s="14">
        <f>CHOOSE(CONTROL!$C$42, 79.8678, 79.8678) * CHOOSE(CONTROL!$C$21, $C$9, 100%, $E$9)</f>
        <v>79.867800000000003</v>
      </c>
      <c r="P842" s="14">
        <f>CHOOSE(CONTROL!$C$42, 80.0272, 80.0272) * CHOOSE(CONTROL!$C$21, $C$9, 100%, $E$9)</f>
        <v>80.027199999999993</v>
      </c>
      <c r="Q842" s="14">
        <f>CHOOSE(CONTROL!$C$42, 80.4625, 80.4625) * CHOOSE(CONTROL!$C$21, $C$9, 100%, $E$9)</f>
        <v>80.462500000000006</v>
      </c>
      <c r="R842" s="14">
        <f>CHOOSE(CONTROL!$C$42, 81.2506, 81.2506) * CHOOSE(CONTROL!$C$21, $C$9, 100%, $E$9)</f>
        <v>81.250600000000006</v>
      </c>
      <c r="S842" s="14">
        <f>CHOOSE(CONTROL!$C$42, 78.2331, 78.2331) * CHOOSE(CONTROL!$C$21, $C$9, 100%, $E$9)</f>
        <v>78.233099999999993</v>
      </c>
      <c r="T8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7">
        <f>(1000*CHOOSE(CONTROL!$C$42, 695, 695)*CHOOSE(CONTROL!$C$42, 0.5599, 0.5599)*CHOOSE(CONTROL!$C$42, 28, 28))/1000000</f>
        <v>10.895653999999999</v>
      </c>
      <c r="V842" s="57">
        <f>(1000*CHOOSE(CONTROL!$C$42, 500, 500)*CHOOSE(CONTROL!$C$42, 0.275, 0.275)*CHOOSE(CONTROL!$C$42, 28, 28))/1000000</f>
        <v>3.85</v>
      </c>
      <c r="W842" s="57">
        <f>(1000*CHOOSE(CONTROL!$C$42, 0.1146, 0.1146)*CHOOSE(CONTROL!$C$42, 121.5, 121.5)*CHOOSE(CONTROL!$C$42, 28, 28))/1000000</f>
        <v>0.38986920000000003</v>
      </c>
      <c r="X842" s="57">
        <f>(28*0.1790888*100000/1000000)+(28*0.2374*100000/1000000)</f>
        <v>1.16616864</v>
      </c>
      <c r="Y842" s="57"/>
      <c r="Z842" s="14"/>
      <c r="AA842" s="56"/>
      <c r="AB842" s="50">
        <f>(B842*122.58+C842*297.941+D842*89.177+E842*40.302+F842*40+G842*160+H842*0+I842*100+J842*300)/(122.58+297.941+89.177+40.302+0+40+160+100+300)</f>
        <v>81.461443589043483</v>
      </c>
      <c r="AC842" s="45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79.847494964028783</v>
      </c>
    </row>
    <row r="843" spans="1:29" ht="15.75" x14ac:dyDescent="0.25">
      <c r="A843" s="32">
        <v>66566</v>
      </c>
      <c r="B843" s="14">
        <f>CHOOSE(CONTROL!$C$42, 79.114, 79.114) * CHOOSE(CONTROL!$C$21, $C$9, 100%, $E$9)</f>
        <v>79.114000000000004</v>
      </c>
      <c r="C843" s="14">
        <f>CHOOSE(CONTROL!$C$42, 79.119, 79.119) * CHOOSE(CONTROL!$C$21, $C$9, 100%, $E$9)</f>
        <v>79.119</v>
      </c>
      <c r="D843" s="14">
        <f>CHOOSE(CONTROL!$C$42, 79.1959, 79.1959) * CHOOSE(CONTROL!$C$21, $C$9, 100%, $E$9)</f>
        <v>79.195899999999995</v>
      </c>
      <c r="E843" s="14">
        <f>CHOOSE(CONTROL!$C$42, 79.23, 79.23) * CHOOSE(CONTROL!$C$21, $C$9, 100%, $E$9)</f>
        <v>79.23</v>
      </c>
      <c r="F843" s="14">
        <f>CHOOSE(CONTROL!$C$42, 79.1138, 79.1138)*CHOOSE(CONTROL!$C$21, $C$9, 100%, $E$9)</f>
        <v>79.113799999999998</v>
      </c>
      <c r="G843" s="14">
        <f>CHOOSE(CONTROL!$C$42, 79.1299, 79.1299)*CHOOSE(CONTROL!$C$21, $C$9, 100%, $E$9)</f>
        <v>79.129900000000006</v>
      </c>
      <c r="H843" s="14">
        <f>CHOOSE(CONTROL!$C$42, 79.2192, 79.2192) * CHOOSE(CONTROL!$C$21, $C$9, 100%, $E$9)</f>
        <v>79.219200000000001</v>
      </c>
      <c r="I843" s="14">
        <f>CHOOSE(CONTROL!$C$42, 79.3798, 79.3798)* CHOOSE(CONTROL!$C$21, $C$9, 100%, $E$9)</f>
        <v>79.379800000000003</v>
      </c>
      <c r="J843" s="14">
        <f>CHOOSE(CONTROL!$C$42, 79.1068, 79.1068)* CHOOSE(CONTROL!$C$21, $C$9, 100%, $E$9)</f>
        <v>79.106800000000007</v>
      </c>
      <c r="K843" s="53">
        <f>CHOOSE(CONTROL!$C$42, 79.3759, 79.3759) * CHOOSE(CONTROL!$C$21, $C$9, 100%, $E$9)</f>
        <v>79.375900000000001</v>
      </c>
      <c r="L843" s="14">
        <f>CHOOSE(CONTROL!$C$42, 79.8062, 79.8062) * CHOOSE(CONTROL!$C$21, $C$9, 100%, $E$9)</f>
        <v>79.806200000000004</v>
      </c>
      <c r="M843" s="14">
        <f>CHOOSE(CONTROL!$C$42, 77.4936, 77.4936) * CHOOSE(CONTROL!$C$21, $C$9, 100%, $E$9)</f>
        <v>77.493600000000001</v>
      </c>
      <c r="N843" s="14">
        <f>CHOOSE(CONTROL!$C$42, 77.5094, 77.5094) * CHOOSE(CONTROL!$C$21, $C$9, 100%, $E$9)</f>
        <v>77.509399999999999</v>
      </c>
      <c r="O843" s="14">
        <f>CHOOSE(CONTROL!$C$42, 77.6037, 77.6037) * CHOOSE(CONTROL!$C$21, $C$9, 100%, $E$9)</f>
        <v>77.603700000000003</v>
      </c>
      <c r="P843" s="14">
        <f>CHOOSE(CONTROL!$C$42, 77.7561, 77.7561) * CHOOSE(CONTROL!$C$21, $C$9, 100%, $E$9)</f>
        <v>77.756100000000004</v>
      </c>
      <c r="Q843" s="14">
        <f>CHOOSE(CONTROL!$C$42, 78.1984, 78.1984) * CHOOSE(CONTROL!$C$21, $C$9, 100%, $E$9)</f>
        <v>78.198400000000007</v>
      </c>
      <c r="R843" s="14">
        <f>CHOOSE(CONTROL!$C$42, 78.9809, 78.9809) * CHOOSE(CONTROL!$C$21, $C$9, 100%, $E$9)</f>
        <v>78.980900000000005</v>
      </c>
      <c r="S843" s="14">
        <f>CHOOSE(CONTROL!$C$42, 76.0121, 76.0121) * CHOOSE(CONTROL!$C$21, $C$9, 100%, $E$9)</f>
        <v>76.012100000000004</v>
      </c>
      <c r="T8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7">
        <f>(1000*CHOOSE(CONTROL!$C$42, 695, 695)*CHOOSE(CONTROL!$C$42, 0.5599, 0.5599)*CHOOSE(CONTROL!$C$42, 31, 31))/1000000</f>
        <v>12.063045499999998</v>
      </c>
      <c r="V843" s="57">
        <f>(1000*CHOOSE(CONTROL!$C$42, 500, 500)*CHOOSE(CONTROL!$C$42, 0.275, 0.275)*CHOOSE(CONTROL!$C$42, 31, 31))/1000000</f>
        <v>4.2625000000000002</v>
      </c>
      <c r="W843" s="57">
        <f>(1000*CHOOSE(CONTROL!$C$42, 0.1146, 0.1146)*CHOOSE(CONTROL!$C$42, 121.5, 121.5)*CHOOSE(CONTROL!$C$42, 31, 31))/1000000</f>
        <v>0.43164089999999994</v>
      </c>
      <c r="X843" s="57">
        <f>(31*0.1790888*100000/1000000)+(31*0.2374*100000/1000000)</f>
        <v>1.2911152800000001</v>
      </c>
      <c r="Y843" s="57"/>
      <c r="Z843" s="14"/>
      <c r="AA843" s="56"/>
      <c r="AB843" s="50">
        <f>(B843*122.58+C843*297.941+D843*89.177+E843*40.302+F843*40+G843*160+H843*0+I843*100+J843*300)/(122.58+297.941+89.177+40.302+0+40+160+100+300)</f>
        <v>79.149151594173929</v>
      </c>
      <c r="AC843" s="45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77.582180575539567</v>
      </c>
    </row>
    <row r="844" spans="1:29" ht="15.75" x14ac:dyDescent="0.25">
      <c r="A844" s="32">
        <v>66596</v>
      </c>
      <c r="B844" s="14">
        <f>CHOOSE(CONTROL!$C$42, 78.8784, 78.8784) * CHOOSE(CONTROL!$C$21, $C$9, 100%, $E$9)</f>
        <v>78.878399999999999</v>
      </c>
      <c r="C844" s="14">
        <f>CHOOSE(CONTROL!$C$42, 78.8828, 78.8828) * CHOOSE(CONTROL!$C$21, $C$9, 100%, $E$9)</f>
        <v>78.882800000000003</v>
      </c>
      <c r="D844" s="14">
        <f>CHOOSE(CONTROL!$C$42, 79.1196, 79.1196) * CHOOSE(CONTROL!$C$21, $C$9, 100%, $E$9)</f>
        <v>79.119600000000005</v>
      </c>
      <c r="E844" s="14">
        <f>CHOOSE(CONTROL!$C$42, 79.1517, 79.1517) * CHOOSE(CONTROL!$C$21, $C$9, 100%, $E$9)</f>
        <v>79.151700000000005</v>
      </c>
      <c r="F844" s="14">
        <f>CHOOSE(CONTROL!$C$42, 78.8763, 78.8763)*CHOOSE(CONTROL!$C$21, $C$9, 100%, $E$9)</f>
        <v>78.876300000000001</v>
      </c>
      <c r="G844" s="14">
        <f>CHOOSE(CONTROL!$C$42, 78.8921, 78.8921)*CHOOSE(CONTROL!$C$21, $C$9, 100%, $E$9)</f>
        <v>78.892099999999999</v>
      </c>
      <c r="H844" s="14">
        <f>CHOOSE(CONTROL!$C$42, 79.1415, 79.1415) * CHOOSE(CONTROL!$C$21, $C$9, 100%, $E$9)</f>
        <v>79.141499999999994</v>
      </c>
      <c r="I844" s="14">
        <f>CHOOSE(CONTROL!$C$42, 79.1427, 79.1427)* CHOOSE(CONTROL!$C$21, $C$9, 100%, $E$9)</f>
        <v>79.142700000000005</v>
      </c>
      <c r="J844" s="14">
        <f>CHOOSE(CONTROL!$C$42, 78.8693, 78.8693)* CHOOSE(CONTROL!$C$21, $C$9, 100%, $E$9)</f>
        <v>78.869299999999996</v>
      </c>
      <c r="K844" s="53">
        <f>CHOOSE(CONTROL!$C$42, 79.1388, 79.1388) * CHOOSE(CONTROL!$C$21, $C$9, 100%, $E$9)</f>
        <v>79.138800000000003</v>
      </c>
      <c r="L844" s="14">
        <f>CHOOSE(CONTROL!$C$42, 79.7285, 79.7285) * CHOOSE(CONTROL!$C$21, $C$9, 100%, $E$9)</f>
        <v>79.728499999999997</v>
      </c>
      <c r="M844" s="14">
        <f>CHOOSE(CONTROL!$C$42, 77.261, 77.261) * CHOOSE(CONTROL!$C$21, $C$9, 100%, $E$9)</f>
        <v>77.260999999999996</v>
      </c>
      <c r="N844" s="14">
        <f>CHOOSE(CONTROL!$C$42, 77.2765, 77.2765) * CHOOSE(CONTROL!$C$21, $C$9, 100%, $E$9)</f>
        <v>77.276499999999999</v>
      </c>
      <c r="O844" s="14">
        <f>CHOOSE(CONTROL!$C$42, 77.5276, 77.5276) * CHOOSE(CONTROL!$C$21, $C$9, 100%, $E$9)</f>
        <v>77.527600000000007</v>
      </c>
      <c r="P844" s="14">
        <f>CHOOSE(CONTROL!$C$42, 77.5239, 77.5239) * CHOOSE(CONTROL!$C$21, $C$9, 100%, $E$9)</f>
        <v>77.523899999999998</v>
      </c>
      <c r="Q844" s="14">
        <f>CHOOSE(CONTROL!$C$42, 78.1223, 78.1223) * CHOOSE(CONTROL!$C$21, $C$9, 100%, $E$9)</f>
        <v>78.122299999999996</v>
      </c>
      <c r="R844" s="14">
        <f>CHOOSE(CONTROL!$C$42, 78.9046, 78.9046) * CHOOSE(CONTROL!$C$21, $C$9, 100%, $E$9)</f>
        <v>78.904600000000002</v>
      </c>
      <c r="S844" s="14">
        <f>CHOOSE(CONTROL!$C$42, 75.7849, 75.7849) * CHOOSE(CONTROL!$C$21, $C$9, 100%, $E$9)</f>
        <v>75.784899999999993</v>
      </c>
      <c r="T8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7">
        <f>(1000*CHOOSE(CONTROL!$C$42, 695, 695)*CHOOSE(CONTROL!$C$42, 0.5599, 0.5599)*CHOOSE(CONTROL!$C$42, 30, 30))/1000000</f>
        <v>11.673914999999997</v>
      </c>
      <c r="V844" s="57">
        <f>(1000*CHOOSE(CONTROL!$C$42, 500, 500)*CHOOSE(CONTROL!$C$42, 0.275, 0.275)*CHOOSE(CONTROL!$C$42, 30, 30))/1000000</f>
        <v>4.125</v>
      </c>
      <c r="W844" s="57">
        <f>(1000*CHOOSE(CONTROL!$C$42, 0.1146, 0.1146)*CHOOSE(CONTROL!$C$42, 121.5, 121.5)*CHOOSE(CONTROL!$C$42, 30, 30))/1000000</f>
        <v>0.417717</v>
      </c>
      <c r="X844" s="57">
        <f>(30*0.1790888*245000/1000000)+(30*0.2374*100000/1000000)</f>
        <v>2.0285026799999999</v>
      </c>
      <c r="Y844" s="57"/>
      <c r="Z844" s="14"/>
      <c r="AA844" s="56"/>
      <c r="AB844" s="50">
        <f>(B844*141.293+C844*267.993+D844*115.016+E844*89.698+F844*40+G844*185+H844*0+I844*100+J844*300)/(141.293+267.993+115.016+89.698+0+40+185+100+300)</f>
        <v>78.942634053107355</v>
      </c>
      <c r="AC844" s="45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77.420552517985612</v>
      </c>
    </row>
    <row r="845" spans="1:29" ht="15.75" x14ac:dyDescent="0.25">
      <c r="A845" s="32">
        <v>66627</v>
      </c>
      <c r="B845" s="14">
        <f>CHOOSE(CONTROL!$C$42, 79.5758, 79.5758) * CHOOSE(CONTROL!$C$21, $C$9, 100%, $E$9)</f>
        <v>79.575800000000001</v>
      </c>
      <c r="C845" s="14">
        <f>CHOOSE(CONTROL!$C$42, 79.5839, 79.5839) * CHOOSE(CONTROL!$C$21, $C$9, 100%, $E$9)</f>
        <v>79.5839</v>
      </c>
      <c r="D845" s="14">
        <f>CHOOSE(CONTROL!$C$42, 79.8175, 79.8175) * CHOOSE(CONTROL!$C$21, $C$9, 100%, $E$9)</f>
        <v>79.817499999999995</v>
      </c>
      <c r="E845" s="14">
        <f>CHOOSE(CONTROL!$C$42, 79.8489, 79.8489) * CHOOSE(CONTROL!$C$21, $C$9, 100%, $E$9)</f>
        <v>79.8489</v>
      </c>
      <c r="F845" s="14">
        <f>CHOOSE(CONTROL!$C$42, 79.5726, 79.5726)*CHOOSE(CONTROL!$C$21, $C$9, 100%, $E$9)</f>
        <v>79.572599999999994</v>
      </c>
      <c r="G845" s="14">
        <f>CHOOSE(CONTROL!$C$42, 79.589, 79.589)*CHOOSE(CONTROL!$C$21, $C$9, 100%, $E$9)</f>
        <v>79.588999999999999</v>
      </c>
      <c r="H845" s="14">
        <f>CHOOSE(CONTROL!$C$42, 79.8376, 79.8376) * CHOOSE(CONTROL!$C$21, $C$9, 100%, $E$9)</f>
        <v>79.837599999999995</v>
      </c>
      <c r="I845" s="14">
        <f>CHOOSE(CONTROL!$C$42, 79.8409, 79.8409)* CHOOSE(CONTROL!$C$21, $C$9, 100%, $E$9)</f>
        <v>79.840900000000005</v>
      </c>
      <c r="J845" s="14">
        <f>CHOOSE(CONTROL!$C$42, 79.5656, 79.5656)* CHOOSE(CONTROL!$C$21, $C$9, 100%, $E$9)</f>
        <v>79.565600000000003</v>
      </c>
      <c r="K845" s="53">
        <f>CHOOSE(CONTROL!$C$42, 79.8371, 79.8371) * CHOOSE(CONTROL!$C$21, $C$9, 100%, $E$9)</f>
        <v>79.837100000000007</v>
      </c>
      <c r="L845" s="14">
        <f>CHOOSE(CONTROL!$C$42, 80.4246, 80.4246) * CHOOSE(CONTROL!$C$21, $C$9, 100%, $E$9)</f>
        <v>80.424599999999998</v>
      </c>
      <c r="M845" s="14">
        <f>CHOOSE(CONTROL!$C$42, 77.9431, 77.9431) * CHOOSE(CONTROL!$C$21, $C$9, 100%, $E$9)</f>
        <v>77.943100000000001</v>
      </c>
      <c r="N845" s="14">
        <f>CHOOSE(CONTROL!$C$42, 77.9591, 77.9591) * CHOOSE(CONTROL!$C$21, $C$9, 100%, $E$9)</f>
        <v>77.959100000000007</v>
      </c>
      <c r="O845" s="14">
        <f>CHOOSE(CONTROL!$C$42, 78.2094, 78.2094) * CHOOSE(CONTROL!$C$21, $C$9, 100%, $E$9)</f>
        <v>78.209400000000002</v>
      </c>
      <c r="P845" s="14">
        <f>CHOOSE(CONTROL!$C$42, 78.2078, 78.2078) * CHOOSE(CONTROL!$C$21, $C$9, 100%, $E$9)</f>
        <v>78.207800000000006</v>
      </c>
      <c r="Q845" s="14">
        <f>CHOOSE(CONTROL!$C$42, 78.8041, 78.8041) * CHOOSE(CONTROL!$C$21, $C$9, 100%, $E$9)</f>
        <v>78.804100000000005</v>
      </c>
      <c r="R845" s="14">
        <f>CHOOSE(CONTROL!$C$42, 79.5881, 79.5881) * CHOOSE(CONTROL!$C$21, $C$9, 100%, $E$9)</f>
        <v>79.588099999999997</v>
      </c>
      <c r="S845" s="14">
        <f>CHOOSE(CONTROL!$C$42, 76.4538, 76.4538) * CHOOSE(CONTROL!$C$21, $C$9, 100%, $E$9)</f>
        <v>76.453800000000001</v>
      </c>
      <c r="T8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7">
        <f>(1000*CHOOSE(CONTROL!$C$42, 695, 695)*CHOOSE(CONTROL!$C$42, 0.5599, 0.5599)*CHOOSE(CONTROL!$C$42, 31, 31))/1000000</f>
        <v>12.063045499999998</v>
      </c>
      <c r="V845" s="57">
        <f>(1000*CHOOSE(CONTROL!$C$42, 500, 500)*CHOOSE(CONTROL!$C$42, 0.275, 0.275)*CHOOSE(CONTROL!$C$42, 31, 31))/1000000</f>
        <v>4.2625000000000002</v>
      </c>
      <c r="W845" s="57">
        <f>(1000*CHOOSE(CONTROL!$C$42, 0.1146, 0.1146)*CHOOSE(CONTROL!$C$42, 121.5, 121.5)*CHOOSE(CONTROL!$C$42, 31, 31))/1000000</f>
        <v>0.43164089999999994</v>
      </c>
      <c r="X845" s="57">
        <f>(31*0.1790888*245000/1000000)+(31*0.2374*100000/1000000)</f>
        <v>2.0961194359999999</v>
      </c>
      <c r="Y845" s="57"/>
      <c r="Z845" s="14"/>
      <c r="AA845" s="56"/>
      <c r="AB845" s="50">
        <f>(B845*194.205+C845*267.466+D845*133.845+E845*53.484+F845*40+G845*185+H845*0+I845*100+J845*300)/(194.205+267.466+133.845+53.484+0+40+185+100+300)</f>
        <v>79.634581233516485</v>
      </c>
      <c r="AC845" s="45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78.102804316546766</v>
      </c>
    </row>
    <row r="846" spans="1:29" ht="15.75" x14ac:dyDescent="0.25">
      <c r="A846" s="32">
        <v>66657</v>
      </c>
      <c r="B846" s="14">
        <f>CHOOSE(CONTROL!$C$42, 81.8328, 81.8328) * CHOOSE(CONTROL!$C$21, $C$9, 100%, $E$9)</f>
        <v>81.832800000000006</v>
      </c>
      <c r="C846" s="14">
        <f>CHOOSE(CONTROL!$C$42, 81.8408, 81.8408) * CHOOSE(CONTROL!$C$21, $C$9, 100%, $E$9)</f>
        <v>81.840800000000002</v>
      </c>
      <c r="D846" s="14">
        <f>CHOOSE(CONTROL!$C$42, 82.0744, 82.0744) * CHOOSE(CONTROL!$C$21, $C$9, 100%, $E$9)</f>
        <v>82.074399999999997</v>
      </c>
      <c r="E846" s="14">
        <f>CHOOSE(CONTROL!$C$42, 82.1059, 82.1059) * CHOOSE(CONTROL!$C$21, $C$9, 100%, $E$9)</f>
        <v>82.105900000000005</v>
      </c>
      <c r="F846" s="14">
        <f>CHOOSE(CONTROL!$C$42, 81.83, 81.83)*CHOOSE(CONTROL!$C$21, $C$9, 100%, $E$9)</f>
        <v>81.83</v>
      </c>
      <c r="G846" s="14">
        <f>CHOOSE(CONTROL!$C$42, 81.8465, 81.8465)*CHOOSE(CONTROL!$C$21, $C$9, 100%, $E$9)</f>
        <v>81.846500000000006</v>
      </c>
      <c r="H846" s="14">
        <f>CHOOSE(CONTROL!$C$42, 82.0945, 82.0945) * CHOOSE(CONTROL!$C$21, $C$9, 100%, $E$9)</f>
        <v>82.094499999999996</v>
      </c>
      <c r="I846" s="14">
        <f>CHOOSE(CONTROL!$C$42, 82.1049, 82.1049)* CHOOSE(CONTROL!$C$21, $C$9, 100%, $E$9)</f>
        <v>82.104900000000001</v>
      </c>
      <c r="J846" s="14">
        <f>CHOOSE(CONTROL!$C$42, 81.823, 81.823)* CHOOSE(CONTROL!$C$21, $C$9, 100%, $E$9)</f>
        <v>81.822999999999993</v>
      </c>
      <c r="K846" s="53">
        <f>CHOOSE(CONTROL!$C$42, 82.1011, 82.1011) * CHOOSE(CONTROL!$C$21, $C$9, 100%, $E$9)</f>
        <v>82.101100000000002</v>
      </c>
      <c r="L846" s="14">
        <f>CHOOSE(CONTROL!$C$42, 82.6815, 82.6815) * CHOOSE(CONTROL!$C$21, $C$9, 100%, $E$9)</f>
        <v>82.6815</v>
      </c>
      <c r="M846" s="14">
        <f>CHOOSE(CONTROL!$C$42, 80.1542, 80.1542) * CHOOSE(CONTROL!$C$21, $C$9, 100%, $E$9)</f>
        <v>80.154200000000003</v>
      </c>
      <c r="N846" s="14">
        <f>CHOOSE(CONTROL!$C$42, 80.1704, 80.1704) * CHOOSE(CONTROL!$C$21, $C$9, 100%, $E$9)</f>
        <v>80.170400000000001</v>
      </c>
      <c r="O846" s="14">
        <f>CHOOSE(CONTROL!$C$42, 80.4201, 80.4201) * CHOOSE(CONTROL!$C$21, $C$9, 100%, $E$9)</f>
        <v>80.420100000000005</v>
      </c>
      <c r="P846" s="14">
        <f>CHOOSE(CONTROL!$C$42, 80.4253, 80.4253) * CHOOSE(CONTROL!$C$21, $C$9, 100%, $E$9)</f>
        <v>80.425299999999993</v>
      </c>
      <c r="Q846" s="14">
        <f>CHOOSE(CONTROL!$C$42, 81.0148, 81.0148) * CHOOSE(CONTROL!$C$21, $C$9, 100%, $E$9)</f>
        <v>81.014799999999994</v>
      </c>
      <c r="R846" s="14">
        <f>CHOOSE(CONTROL!$C$42, 81.8044, 81.8044) * CHOOSE(CONTROL!$C$21, $C$9, 100%, $E$9)</f>
        <v>81.804400000000001</v>
      </c>
      <c r="S846" s="14">
        <f>CHOOSE(CONTROL!$C$42, 78.6225, 78.6225) * CHOOSE(CONTROL!$C$21, $C$9, 100%, $E$9)</f>
        <v>78.622500000000002</v>
      </c>
      <c r="T8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7">
        <f>(1000*CHOOSE(CONTROL!$C$42, 695, 695)*CHOOSE(CONTROL!$C$42, 0.5599, 0.5599)*CHOOSE(CONTROL!$C$42, 30, 30))/1000000</f>
        <v>11.673914999999997</v>
      </c>
      <c r="V846" s="57">
        <f>(1000*CHOOSE(CONTROL!$C$42, 500, 500)*CHOOSE(CONTROL!$C$42, 0.275, 0.275)*CHOOSE(CONTROL!$C$42, 30, 30))/1000000</f>
        <v>4.125</v>
      </c>
      <c r="W846" s="57">
        <f>(1000*CHOOSE(CONTROL!$C$42, 0.1146, 0.1146)*CHOOSE(CONTROL!$C$42, 121.5, 121.5)*CHOOSE(CONTROL!$C$42, 30, 30))/1000000</f>
        <v>0.417717</v>
      </c>
      <c r="X846" s="57">
        <f>(30*0.1790888*245000/1000000)+(30*0.2374*100000/1000000)</f>
        <v>2.0285026799999999</v>
      </c>
      <c r="Y846" s="57"/>
      <c r="Z846" s="14"/>
      <c r="AA846" s="56"/>
      <c r="AB846" s="50">
        <f>(B846*194.205+C846*267.466+D846*133.845+E846*53.484+F846*40+G846*185+H846*0+I846*100+J846*300)/(194.205+267.466+133.845+53.484+0+40+185+100+300)</f>
        <v>81.892278540345373</v>
      </c>
      <c r="AC846" s="45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80.314655395683459</v>
      </c>
    </row>
    <row r="847" spans="1:29" ht="15.75" x14ac:dyDescent="0.25">
      <c r="A847" s="32">
        <v>66688</v>
      </c>
      <c r="B847" s="14">
        <f>CHOOSE(CONTROL!$C$42, 80.2631, 80.2631) * CHOOSE(CONTROL!$C$21, $C$9, 100%, $E$9)</f>
        <v>80.263099999999994</v>
      </c>
      <c r="C847" s="14">
        <f>CHOOSE(CONTROL!$C$42, 80.2711, 80.2711) * CHOOSE(CONTROL!$C$21, $C$9, 100%, $E$9)</f>
        <v>80.271100000000004</v>
      </c>
      <c r="D847" s="14">
        <f>CHOOSE(CONTROL!$C$42, 80.5047, 80.5047) * CHOOSE(CONTROL!$C$21, $C$9, 100%, $E$9)</f>
        <v>80.5047</v>
      </c>
      <c r="E847" s="14">
        <f>CHOOSE(CONTROL!$C$42, 80.5361, 80.5361) * CHOOSE(CONTROL!$C$21, $C$9, 100%, $E$9)</f>
        <v>80.536100000000005</v>
      </c>
      <c r="F847" s="14">
        <f>CHOOSE(CONTROL!$C$42, 80.2608, 80.2608)*CHOOSE(CONTROL!$C$21, $C$9, 100%, $E$9)</f>
        <v>80.260800000000003</v>
      </c>
      <c r="G847" s="14">
        <f>CHOOSE(CONTROL!$C$42, 80.2775, 80.2775)*CHOOSE(CONTROL!$C$21, $C$9, 100%, $E$9)</f>
        <v>80.277500000000003</v>
      </c>
      <c r="H847" s="14">
        <f>CHOOSE(CONTROL!$C$42, 80.5248, 80.5248) * CHOOSE(CONTROL!$C$21, $C$9, 100%, $E$9)</f>
        <v>80.524799999999999</v>
      </c>
      <c r="I847" s="14">
        <f>CHOOSE(CONTROL!$C$42, 80.5303, 80.5303)* CHOOSE(CONTROL!$C$21, $C$9, 100%, $E$9)</f>
        <v>80.530299999999997</v>
      </c>
      <c r="J847" s="14">
        <f>CHOOSE(CONTROL!$C$42, 80.2538, 80.2538)* CHOOSE(CONTROL!$C$21, $C$9, 100%, $E$9)</f>
        <v>80.253799999999998</v>
      </c>
      <c r="K847" s="53">
        <f>CHOOSE(CONTROL!$C$42, 80.5264, 80.5264) * CHOOSE(CONTROL!$C$21, $C$9, 100%, $E$9)</f>
        <v>80.526399999999995</v>
      </c>
      <c r="L847" s="14">
        <f>CHOOSE(CONTROL!$C$42, 81.1118, 81.1118) * CHOOSE(CONTROL!$C$21, $C$9, 100%, $E$9)</f>
        <v>81.111800000000002</v>
      </c>
      <c r="M847" s="14">
        <f>CHOOSE(CONTROL!$C$42, 78.6172, 78.6172) * CHOOSE(CONTROL!$C$21, $C$9, 100%, $E$9)</f>
        <v>78.617199999999997</v>
      </c>
      <c r="N847" s="14">
        <f>CHOOSE(CONTROL!$C$42, 78.6335, 78.6335) * CHOOSE(CONTROL!$C$21, $C$9, 100%, $E$9)</f>
        <v>78.633499999999998</v>
      </c>
      <c r="O847" s="14">
        <f>CHOOSE(CONTROL!$C$42, 78.8826, 78.8826) * CHOOSE(CONTROL!$C$21, $C$9, 100%, $E$9)</f>
        <v>78.882599999999996</v>
      </c>
      <c r="P847" s="14">
        <f>CHOOSE(CONTROL!$C$42, 78.883, 78.883) * CHOOSE(CONTROL!$C$21, $C$9, 100%, $E$9)</f>
        <v>78.882999999999996</v>
      </c>
      <c r="Q847" s="14">
        <f>CHOOSE(CONTROL!$C$42, 79.4773, 79.4773) * CHOOSE(CONTROL!$C$21, $C$9, 100%, $E$9)</f>
        <v>79.4773</v>
      </c>
      <c r="R847" s="14">
        <f>CHOOSE(CONTROL!$C$42, 80.263, 80.263) * CHOOSE(CONTROL!$C$21, $C$9, 100%, $E$9)</f>
        <v>80.263000000000005</v>
      </c>
      <c r="S847" s="14">
        <f>CHOOSE(CONTROL!$C$42, 77.1141, 77.1141) * CHOOSE(CONTROL!$C$21, $C$9, 100%, $E$9)</f>
        <v>77.114099999999993</v>
      </c>
      <c r="T8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7">
        <f>(1000*CHOOSE(CONTROL!$C$42, 695, 695)*CHOOSE(CONTROL!$C$42, 0.5599, 0.5599)*CHOOSE(CONTROL!$C$42, 31, 31))/1000000</f>
        <v>12.063045499999998</v>
      </c>
      <c r="V847" s="57">
        <f>(1000*CHOOSE(CONTROL!$C$42, 500, 500)*CHOOSE(CONTROL!$C$42, 0.275, 0.275)*CHOOSE(CONTROL!$C$42, 31, 31))/1000000</f>
        <v>4.2625000000000002</v>
      </c>
      <c r="W847" s="57">
        <f>(1000*CHOOSE(CONTROL!$C$42, 0.1146, 0.1146)*CHOOSE(CONTROL!$C$42, 121.5, 121.5)*CHOOSE(CONTROL!$C$42, 31, 31))/1000000</f>
        <v>0.43164089999999994</v>
      </c>
      <c r="X847" s="57">
        <f>(31*0.1790888*245000/1000000)+(31*0.2374*100000/1000000)</f>
        <v>2.0961194359999999</v>
      </c>
      <c r="Y847" s="57"/>
      <c r="Z847" s="14"/>
      <c r="AA847" s="56"/>
      <c r="AB847" s="50">
        <f>(B847*194.205+C847*267.466+D847*133.845+E847*53.484+F847*40+G847*185+H847*0+I847*100+J847*300)/(194.205+267.466+133.845+53.484+0+40+185+100+300)</f>
        <v>80.322424813186814</v>
      </c>
      <c r="AC847" s="45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78.776671942446043</v>
      </c>
    </row>
    <row r="848" spans="1:29" ht="15.75" x14ac:dyDescent="0.25">
      <c r="A848" s="32">
        <v>66719</v>
      </c>
      <c r="B848" s="14">
        <f>CHOOSE(CONTROL!$C$42, 76.2991, 76.2991) * CHOOSE(CONTROL!$C$21, $C$9, 100%, $E$9)</f>
        <v>76.299099999999996</v>
      </c>
      <c r="C848" s="14">
        <f>CHOOSE(CONTROL!$C$42, 76.3071, 76.3071) * CHOOSE(CONTROL!$C$21, $C$9, 100%, $E$9)</f>
        <v>76.307100000000005</v>
      </c>
      <c r="D848" s="14">
        <f>CHOOSE(CONTROL!$C$42, 76.5407, 76.5407) * CHOOSE(CONTROL!$C$21, $C$9, 100%, $E$9)</f>
        <v>76.540700000000001</v>
      </c>
      <c r="E848" s="14">
        <f>CHOOSE(CONTROL!$C$42, 76.5721, 76.5721) * CHOOSE(CONTROL!$C$21, $C$9, 100%, $E$9)</f>
        <v>76.572100000000006</v>
      </c>
      <c r="F848" s="14">
        <f>CHOOSE(CONTROL!$C$42, 76.297, 76.297)*CHOOSE(CONTROL!$C$21, $C$9, 100%, $E$9)</f>
        <v>76.296999999999997</v>
      </c>
      <c r="G848" s="14">
        <f>CHOOSE(CONTROL!$C$42, 76.3137, 76.3137)*CHOOSE(CONTROL!$C$21, $C$9, 100%, $E$9)</f>
        <v>76.313699999999997</v>
      </c>
      <c r="H848" s="14">
        <f>CHOOSE(CONTROL!$C$42, 76.5608, 76.5608) * CHOOSE(CONTROL!$C$21, $C$9, 100%, $E$9)</f>
        <v>76.5608</v>
      </c>
      <c r="I848" s="14">
        <f>CHOOSE(CONTROL!$C$42, 76.5539, 76.5539)* CHOOSE(CONTROL!$C$21, $C$9, 100%, $E$9)</f>
        <v>76.553899999999999</v>
      </c>
      <c r="J848" s="14">
        <f>CHOOSE(CONTROL!$C$42, 76.29, 76.29)* CHOOSE(CONTROL!$C$21, $C$9, 100%, $E$9)</f>
        <v>76.290000000000006</v>
      </c>
      <c r="K848" s="53">
        <f>CHOOSE(CONTROL!$C$42, 76.55, 76.55) * CHOOSE(CONTROL!$C$21, $C$9, 100%, $E$9)</f>
        <v>76.55</v>
      </c>
      <c r="L848" s="14">
        <f>CHOOSE(CONTROL!$C$42, 77.1478, 77.1478) * CHOOSE(CONTROL!$C$21, $C$9, 100%, $E$9)</f>
        <v>77.147800000000004</v>
      </c>
      <c r="M848" s="14">
        <f>CHOOSE(CONTROL!$C$42, 74.7346, 74.7346) * CHOOSE(CONTROL!$C$21, $C$9, 100%, $E$9)</f>
        <v>74.7346</v>
      </c>
      <c r="N848" s="14">
        <f>CHOOSE(CONTROL!$C$42, 74.7509, 74.7509) * CHOOSE(CONTROL!$C$21, $C$9, 100%, $E$9)</f>
        <v>74.750900000000001</v>
      </c>
      <c r="O848" s="14">
        <f>CHOOSE(CONTROL!$C$42, 74.9998, 74.9998) * CHOOSE(CONTROL!$C$21, $C$9, 100%, $E$9)</f>
        <v>74.999799999999993</v>
      </c>
      <c r="P848" s="14">
        <f>CHOOSE(CONTROL!$C$42, 74.9883, 74.9883) * CHOOSE(CONTROL!$C$21, $C$9, 100%, $E$9)</f>
        <v>74.988299999999995</v>
      </c>
      <c r="Q848" s="14">
        <f>CHOOSE(CONTROL!$C$42, 75.5945, 75.5945) * CHOOSE(CONTROL!$C$21, $C$9, 100%, $E$9)</f>
        <v>75.594499999999996</v>
      </c>
      <c r="R848" s="14">
        <f>CHOOSE(CONTROL!$C$42, 76.3705, 76.3705) * CHOOSE(CONTROL!$C$21, $C$9, 100%, $E$9)</f>
        <v>76.370500000000007</v>
      </c>
      <c r="S848" s="14">
        <f>CHOOSE(CONTROL!$C$42, 73.3051, 73.3051) * CHOOSE(CONTROL!$C$21, $C$9, 100%, $E$9)</f>
        <v>73.305099999999996</v>
      </c>
      <c r="T8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7">
        <f>(1000*CHOOSE(CONTROL!$C$42, 695, 695)*CHOOSE(CONTROL!$C$42, 0.5599, 0.5599)*CHOOSE(CONTROL!$C$42, 31, 31))/1000000</f>
        <v>12.063045499999998</v>
      </c>
      <c r="V848" s="57">
        <f>(1000*CHOOSE(CONTROL!$C$42, 500, 500)*CHOOSE(CONTROL!$C$42, 0.275, 0.275)*CHOOSE(CONTROL!$C$42, 31, 31))/1000000</f>
        <v>4.2625000000000002</v>
      </c>
      <c r="W848" s="57">
        <f>(1000*CHOOSE(CONTROL!$C$42, 0.1146, 0.1146)*CHOOSE(CONTROL!$C$42, 121.5, 121.5)*CHOOSE(CONTROL!$C$42, 31, 31))/1000000</f>
        <v>0.43164089999999994</v>
      </c>
      <c r="X848" s="57">
        <f>(31*0.1790888*245000/1000000)+(31*0.2374*100000/1000000)</f>
        <v>2.0961194359999999</v>
      </c>
      <c r="Y848" s="57"/>
      <c r="Z848" s="14"/>
      <c r="AA848" s="56"/>
      <c r="AB848" s="50">
        <f>(B848*194.205+C848*267.466+D848*133.845+E848*53.484+F848*40+G848*185+H848*0+I848*100+J848*300)/(194.205+267.466+133.845+53.484+0+40+185+100+300)</f>
        <v>76.357533918367338</v>
      </c>
      <c r="AC848" s="45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74.892240287769795</v>
      </c>
    </row>
    <row r="849" spans="1:29" ht="15.75" x14ac:dyDescent="0.25">
      <c r="A849" s="32">
        <v>66749</v>
      </c>
      <c r="B849" s="14">
        <f>CHOOSE(CONTROL!$C$42, 71.4553, 71.4553) * CHOOSE(CONTROL!$C$21, $C$9, 100%, $E$9)</f>
        <v>71.455299999999994</v>
      </c>
      <c r="C849" s="14">
        <f>CHOOSE(CONTROL!$C$42, 71.4633, 71.4633) * CHOOSE(CONTROL!$C$21, $C$9, 100%, $E$9)</f>
        <v>71.463300000000004</v>
      </c>
      <c r="D849" s="14">
        <f>CHOOSE(CONTROL!$C$42, 71.6969, 71.6969) * CHOOSE(CONTROL!$C$21, $C$9, 100%, $E$9)</f>
        <v>71.696899999999999</v>
      </c>
      <c r="E849" s="14">
        <f>CHOOSE(CONTROL!$C$42, 71.7284, 71.7284) * CHOOSE(CONTROL!$C$21, $C$9, 100%, $E$9)</f>
        <v>71.728399999999993</v>
      </c>
      <c r="F849" s="14">
        <f>CHOOSE(CONTROL!$C$42, 71.4533, 71.4533)*CHOOSE(CONTROL!$C$21, $C$9, 100%, $E$9)</f>
        <v>71.453299999999999</v>
      </c>
      <c r="G849" s="14">
        <f>CHOOSE(CONTROL!$C$42, 71.47, 71.47)*CHOOSE(CONTROL!$C$21, $C$9, 100%, $E$9)</f>
        <v>71.47</v>
      </c>
      <c r="H849" s="14">
        <f>CHOOSE(CONTROL!$C$42, 71.717, 71.717) * CHOOSE(CONTROL!$C$21, $C$9, 100%, $E$9)</f>
        <v>71.716999999999999</v>
      </c>
      <c r="I849" s="14">
        <f>CHOOSE(CONTROL!$C$42, 71.695, 71.695)* CHOOSE(CONTROL!$C$21, $C$9, 100%, $E$9)</f>
        <v>71.694999999999993</v>
      </c>
      <c r="J849" s="14">
        <f>CHOOSE(CONTROL!$C$42, 71.4463, 71.4463)* CHOOSE(CONTROL!$C$21, $C$9, 100%, $E$9)</f>
        <v>71.446299999999994</v>
      </c>
      <c r="K849" s="53">
        <f>CHOOSE(CONTROL!$C$42, 71.6911, 71.6911) * CHOOSE(CONTROL!$C$21, $C$9, 100%, $E$9)</f>
        <v>71.691100000000006</v>
      </c>
      <c r="L849" s="14">
        <f>CHOOSE(CONTROL!$C$42, 72.304, 72.304) * CHOOSE(CONTROL!$C$21, $C$9, 100%, $E$9)</f>
        <v>72.304000000000002</v>
      </c>
      <c r="M849" s="14">
        <f>CHOOSE(CONTROL!$C$42, 69.9901, 69.9901) * CHOOSE(CONTROL!$C$21, $C$9, 100%, $E$9)</f>
        <v>69.990099999999998</v>
      </c>
      <c r="N849" s="14">
        <f>CHOOSE(CONTROL!$C$42, 70.0065, 70.0065) * CHOOSE(CONTROL!$C$21, $C$9, 100%, $E$9)</f>
        <v>70.006500000000003</v>
      </c>
      <c r="O849" s="14">
        <f>CHOOSE(CONTROL!$C$42, 70.2553, 70.2553) * CHOOSE(CONTROL!$C$21, $C$9, 100%, $E$9)</f>
        <v>70.255300000000005</v>
      </c>
      <c r="P849" s="14">
        <f>CHOOSE(CONTROL!$C$42, 70.2293, 70.2293) * CHOOSE(CONTROL!$C$21, $C$9, 100%, $E$9)</f>
        <v>70.229299999999995</v>
      </c>
      <c r="Q849" s="14">
        <f>CHOOSE(CONTROL!$C$42, 70.85, 70.85) * CHOOSE(CONTROL!$C$21, $C$9, 100%, $E$9)</f>
        <v>70.849999999999994</v>
      </c>
      <c r="R849" s="14">
        <f>CHOOSE(CONTROL!$C$42, 71.6141, 71.6141) * CHOOSE(CONTROL!$C$21, $C$9, 100%, $E$9)</f>
        <v>71.614099999999993</v>
      </c>
      <c r="S849" s="14">
        <f>CHOOSE(CONTROL!$C$42, 68.6508, 68.6508) * CHOOSE(CONTROL!$C$21, $C$9, 100%, $E$9)</f>
        <v>68.650800000000004</v>
      </c>
      <c r="T8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7">
        <f>(1000*CHOOSE(CONTROL!$C$42, 695, 695)*CHOOSE(CONTROL!$C$42, 0.5599, 0.5599)*CHOOSE(CONTROL!$C$42, 30, 30))/1000000</f>
        <v>11.673914999999997</v>
      </c>
      <c r="V849" s="57">
        <f>(1000*CHOOSE(CONTROL!$C$42, 500, 500)*CHOOSE(CONTROL!$C$42, 0.275, 0.275)*CHOOSE(CONTROL!$C$42, 30, 30))/1000000</f>
        <v>4.125</v>
      </c>
      <c r="W849" s="57">
        <f>(1000*CHOOSE(CONTROL!$C$42, 0.1146, 0.1146)*CHOOSE(CONTROL!$C$42, 121.5, 121.5)*CHOOSE(CONTROL!$C$42, 30, 30))/1000000</f>
        <v>0.417717</v>
      </c>
      <c r="X849" s="57">
        <f>(30*0.1790888*245000/1000000)+(30*0.2374*100000/1000000)</f>
        <v>2.0285026799999999</v>
      </c>
      <c r="Y849" s="57"/>
      <c r="Z849" s="14"/>
      <c r="AA849" s="56"/>
      <c r="AB849" s="50">
        <f>(B849*194.205+C849*267.466+D849*133.845+E849*53.484+F849*40+G849*185+H849*0+I849*100+J849*300)/(194.205+267.466+133.845+53.484+0+40+185+100+300)</f>
        <v>71.512594081946617</v>
      </c>
      <c r="AC849" s="45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70.145659712230213</v>
      </c>
    </row>
    <row r="850" spans="1:29" ht="15.75" x14ac:dyDescent="0.25">
      <c r="A850" s="32">
        <v>66780</v>
      </c>
      <c r="B850" s="14">
        <f>CHOOSE(CONTROL!$C$42, 70.003, 70.003) * CHOOSE(CONTROL!$C$21, $C$9, 100%, $E$9)</f>
        <v>70.003</v>
      </c>
      <c r="C850" s="14">
        <f>CHOOSE(CONTROL!$C$42, 70.0083, 70.0083) * CHOOSE(CONTROL!$C$21, $C$9, 100%, $E$9)</f>
        <v>70.008300000000006</v>
      </c>
      <c r="D850" s="14">
        <f>CHOOSE(CONTROL!$C$42, 70.2468, 70.2468) * CHOOSE(CONTROL!$C$21, $C$9, 100%, $E$9)</f>
        <v>70.246799999999993</v>
      </c>
      <c r="E850" s="14">
        <f>CHOOSE(CONTROL!$C$42, 70.276, 70.276) * CHOOSE(CONTROL!$C$21, $C$9, 100%, $E$9)</f>
        <v>70.275999999999996</v>
      </c>
      <c r="F850" s="14">
        <f>CHOOSE(CONTROL!$C$42, 70.003, 70.003)*CHOOSE(CONTROL!$C$21, $C$9, 100%, $E$9)</f>
        <v>70.003</v>
      </c>
      <c r="G850" s="14">
        <f>CHOOSE(CONTROL!$C$42, 70.0193, 70.0193)*CHOOSE(CONTROL!$C$21, $C$9, 100%, $E$9)</f>
        <v>70.019300000000001</v>
      </c>
      <c r="H850" s="14">
        <f>CHOOSE(CONTROL!$C$42, 70.2664, 70.2664) * CHOOSE(CONTROL!$C$21, $C$9, 100%, $E$9)</f>
        <v>70.266400000000004</v>
      </c>
      <c r="I850" s="14">
        <f>CHOOSE(CONTROL!$C$42, 70.2398, 70.2398)* CHOOSE(CONTROL!$C$21, $C$9, 100%, $E$9)</f>
        <v>70.239800000000002</v>
      </c>
      <c r="J850" s="14">
        <f>CHOOSE(CONTROL!$C$42, 69.996, 69.996)* CHOOSE(CONTROL!$C$21, $C$9, 100%, $E$9)</f>
        <v>69.995999999999995</v>
      </c>
      <c r="K850" s="53">
        <f>CHOOSE(CONTROL!$C$42, 70.236, 70.236) * CHOOSE(CONTROL!$C$21, $C$9, 100%, $E$9)</f>
        <v>70.236000000000004</v>
      </c>
      <c r="L850" s="14">
        <f>CHOOSE(CONTROL!$C$42, 70.8534, 70.8534) * CHOOSE(CONTROL!$C$21, $C$9, 100%, $E$9)</f>
        <v>70.853399999999993</v>
      </c>
      <c r="M850" s="14">
        <f>CHOOSE(CONTROL!$C$42, 68.5695, 68.5695) * CHOOSE(CONTROL!$C$21, $C$9, 100%, $E$9)</f>
        <v>68.569500000000005</v>
      </c>
      <c r="N850" s="14">
        <f>CHOOSE(CONTROL!$C$42, 68.5854, 68.5854) * CHOOSE(CONTROL!$C$21, $C$9, 100%, $E$9)</f>
        <v>68.585400000000007</v>
      </c>
      <c r="O850" s="14">
        <f>CHOOSE(CONTROL!$C$42, 68.8344, 68.8344) * CHOOSE(CONTROL!$C$21, $C$9, 100%, $E$9)</f>
        <v>68.834400000000002</v>
      </c>
      <c r="P850" s="14">
        <f>CHOOSE(CONTROL!$C$42, 68.804, 68.804) * CHOOSE(CONTROL!$C$21, $C$9, 100%, $E$9)</f>
        <v>68.804000000000002</v>
      </c>
      <c r="Q850" s="14">
        <f>CHOOSE(CONTROL!$C$42, 69.4291, 69.4291) * CHOOSE(CONTROL!$C$21, $C$9, 100%, $E$9)</f>
        <v>69.429100000000005</v>
      </c>
      <c r="R850" s="14">
        <f>CHOOSE(CONTROL!$C$42, 70.1897, 70.1897) * CHOOSE(CONTROL!$C$21, $C$9, 100%, $E$9)</f>
        <v>70.189700000000002</v>
      </c>
      <c r="S850" s="14">
        <f>CHOOSE(CONTROL!$C$42, 67.2569, 67.2569) * CHOOSE(CONTROL!$C$21, $C$9, 100%, $E$9)</f>
        <v>67.256900000000002</v>
      </c>
      <c r="T8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7">
        <f>(1000*CHOOSE(CONTROL!$C$42, 695, 695)*CHOOSE(CONTROL!$C$42, 0.5599, 0.5599)*CHOOSE(CONTROL!$C$42, 31, 31))/1000000</f>
        <v>12.063045499999998</v>
      </c>
      <c r="V850" s="57">
        <f>(1000*CHOOSE(CONTROL!$C$42, 500, 500)*CHOOSE(CONTROL!$C$42, 0.275, 0.275)*CHOOSE(CONTROL!$C$42, 31, 31))/1000000</f>
        <v>4.2625000000000002</v>
      </c>
      <c r="W850" s="57">
        <f>(1000*CHOOSE(CONTROL!$C$42, 0.1146, 0.1146)*CHOOSE(CONTROL!$C$42, 121.5, 121.5)*CHOOSE(CONTROL!$C$42, 31, 31))/1000000</f>
        <v>0.43164089999999994</v>
      </c>
      <c r="X850" s="57">
        <f>(31*0.1790888*245000/1000000)+(31*0.2374*100000/1000000)</f>
        <v>2.0961194359999999</v>
      </c>
      <c r="Y850" s="57"/>
      <c r="Z850" s="14"/>
      <c r="AA850" s="56"/>
      <c r="AB850" s="50">
        <f>(B850*131.881+C850*277.167+D850*79.08+E850*125.872+F850*40+G850*185+H850*0+I850*100+J850*300)/(131.881+277.167+79.08+125.872+0+40+185+100+300)</f>
        <v>70.067331916949158</v>
      </c>
      <c r="AC850" s="45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68.72421870503598</v>
      </c>
    </row>
    <row r="851" spans="1:29" ht="15.75" x14ac:dyDescent="0.25">
      <c r="A851" s="32">
        <v>66810</v>
      </c>
      <c r="B851" s="14">
        <f>CHOOSE(CONTROL!$C$42, 71.8465, 71.8465) * CHOOSE(CONTROL!$C$21, $C$9, 100%, $E$9)</f>
        <v>71.846500000000006</v>
      </c>
      <c r="C851" s="14">
        <f>CHOOSE(CONTROL!$C$42, 71.8516, 71.8516) * CHOOSE(CONTROL!$C$21, $C$9, 100%, $E$9)</f>
        <v>71.851600000000005</v>
      </c>
      <c r="D851" s="14">
        <f>CHOOSE(CONTROL!$C$42, 71.9258, 71.9258) * CHOOSE(CONTROL!$C$21, $C$9, 100%, $E$9)</f>
        <v>71.925799999999995</v>
      </c>
      <c r="E851" s="14">
        <f>CHOOSE(CONTROL!$C$42, 71.9599, 71.9599) * CHOOSE(CONTROL!$C$21, $C$9, 100%, $E$9)</f>
        <v>71.959900000000005</v>
      </c>
      <c r="F851" s="14">
        <f>CHOOSE(CONTROL!$C$42, 71.8585, 71.8585)*CHOOSE(CONTROL!$C$21, $C$9, 100%, $E$9)</f>
        <v>71.858500000000006</v>
      </c>
      <c r="G851" s="14">
        <f>CHOOSE(CONTROL!$C$42, 71.8751, 71.8751)*CHOOSE(CONTROL!$C$21, $C$9, 100%, $E$9)</f>
        <v>71.875100000000003</v>
      </c>
      <c r="H851" s="14">
        <f>CHOOSE(CONTROL!$C$42, 71.9491, 71.9491) * CHOOSE(CONTROL!$C$21, $C$9, 100%, $E$9)</f>
        <v>71.949100000000001</v>
      </c>
      <c r="I851" s="14">
        <f>CHOOSE(CONTROL!$C$42, 72.0958, 72.0958)* CHOOSE(CONTROL!$C$21, $C$9, 100%, $E$9)</f>
        <v>72.095799999999997</v>
      </c>
      <c r="J851" s="14">
        <f>CHOOSE(CONTROL!$C$42, 71.8515, 71.8515)* CHOOSE(CONTROL!$C$21, $C$9, 100%, $E$9)</f>
        <v>71.851500000000001</v>
      </c>
      <c r="K851" s="53">
        <f>CHOOSE(CONTROL!$C$42, 72.0919, 72.0919) * CHOOSE(CONTROL!$C$21, $C$9, 100%, $E$9)</f>
        <v>72.091899999999995</v>
      </c>
      <c r="L851" s="14">
        <f>CHOOSE(CONTROL!$C$42, 72.5361, 72.5361) * CHOOSE(CONTROL!$C$21, $C$9, 100%, $E$9)</f>
        <v>72.536100000000005</v>
      </c>
      <c r="M851" s="14">
        <f>CHOOSE(CONTROL!$C$42, 70.387, 70.387) * CHOOSE(CONTROL!$C$21, $C$9, 100%, $E$9)</f>
        <v>70.387</v>
      </c>
      <c r="N851" s="14">
        <f>CHOOSE(CONTROL!$C$42, 70.4033, 70.4033) * CHOOSE(CONTROL!$C$21, $C$9, 100%, $E$9)</f>
        <v>70.403300000000002</v>
      </c>
      <c r="O851" s="14">
        <f>CHOOSE(CONTROL!$C$42, 70.4826, 70.4826) * CHOOSE(CONTROL!$C$21, $C$9, 100%, $E$9)</f>
        <v>70.482600000000005</v>
      </c>
      <c r="P851" s="14">
        <f>CHOOSE(CONTROL!$C$42, 70.6219, 70.6219) * CHOOSE(CONTROL!$C$21, $C$9, 100%, $E$9)</f>
        <v>70.621899999999997</v>
      </c>
      <c r="Q851" s="14">
        <f>CHOOSE(CONTROL!$C$42, 71.0773, 71.0773) * CHOOSE(CONTROL!$C$21, $C$9, 100%, $E$9)</f>
        <v>71.077299999999994</v>
      </c>
      <c r="R851" s="14">
        <f>CHOOSE(CONTROL!$C$42, 71.842, 71.842) * CHOOSE(CONTROL!$C$21, $C$9, 100%, $E$9)</f>
        <v>71.841999999999999</v>
      </c>
      <c r="S851" s="14">
        <f>CHOOSE(CONTROL!$C$42, 69.0288, 69.0288) * CHOOSE(CONTROL!$C$21, $C$9, 100%, $E$9)</f>
        <v>69.028800000000004</v>
      </c>
      <c r="T8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7">
        <f>(1000*CHOOSE(CONTROL!$C$42, 695, 695)*CHOOSE(CONTROL!$C$42, 0.5599, 0.5599)*CHOOSE(CONTROL!$C$42, 30, 30))/1000000</f>
        <v>11.673914999999997</v>
      </c>
      <c r="V851" s="57">
        <f>(1000*CHOOSE(CONTROL!$C$42, 500, 500)*CHOOSE(CONTROL!$C$42, 0.275, 0.275)*CHOOSE(CONTROL!$C$42, 30, 30))/1000000</f>
        <v>4.125</v>
      </c>
      <c r="W851" s="57">
        <f>(1000*CHOOSE(CONTROL!$C$42, 0.1146, 0.1146)*CHOOSE(CONTROL!$C$42, 121.5, 121.5)*CHOOSE(CONTROL!$C$42, 30, 30))/1000000</f>
        <v>0.417717</v>
      </c>
      <c r="X851" s="57">
        <f>(30*0.1790888*100000/1000000)+(30*0.2374*100000/1000000)</f>
        <v>1.2494664</v>
      </c>
      <c r="Y851" s="57"/>
      <c r="Z851" s="14"/>
      <c r="AA851" s="56"/>
      <c r="AB851" s="50">
        <f>(B851*122.58+C851*297.941+D851*89.177+E851*40.302+F851*40+G851*160+H851*0+I851*100+J851*300)/(122.58+297.941+89.177+40.302+0+40+160+100+300)</f>
        <v>71.885323897391316</v>
      </c>
      <c r="AC851" s="45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70.465066187050368</v>
      </c>
    </row>
    <row r="852" spans="1:29" ht="15.75" x14ac:dyDescent="0.25">
      <c r="A852" s="32">
        <v>66841</v>
      </c>
      <c r="B852" s="14">
        <f>CHOOSE(CONTROL!$C$42, 76.7443, 76.7443) * CHOOSE(CONTROL!$C$21, $C$9, 100%, $E$9)</f>
        <v>76.744299999999996</v>
      </c>
      <c r="C852" s="14">
        <f>CHOOSE(CONTROL!$C$42, 76.7494, 76.7494) * CHOOSE(CONTROL!$C$21, $C$9, 100%, $E$9)</f>
        <v>76.749399999999994</v>
      </c>
      <c r="D852" s="14">
        <f>CHOOSE(CONTROL!$C$42, 76.8236, 76.8236) * CHOOSE(CONTROL!$C$21, $C$9, 100%, $E$9)</f>
        <v>76.823599999999999</v>
      </c>
      <c r="E852" s="14">
        <f>CHOOSE(CONTROL!$C$42, 76.8577, 76.8577) * CHOOSE(CONTROL!$C$21, $C$9, 100%, $E$9)</f>
        <v>76.857699999999994</v>
      </c>
      <c r="F852" s="14">
        <f>CHOOSE(CONTROL!$C$42, 76.7585, 76.7585)*CHOOSE(CONTROL!$C$21, $C$9, 100%, $E$9)</f>
        <v>76.758499999999998</v>
      </c>
      <c r="G852" s="14">
        <f>CHOOSE(CONTROL!$C$42, 76.7757, 76.7757)*CHOOSE(CONTROL!$C$21, $C$9, 100%, $E$9)</f>
        <v>76.775700000000001</v>
      </c>
      <c r="H852" s="14">
        <f>CHOOSE(CONTROL!$C$42, 76.8469, 76.8469) * CHOOSE(CONTROL!$C$21, $C$9, 100%, $E$9)</f>
        <v>76.846900000000005</v>
      </c>
      <c r="I852" s="14">
        <f>CHOOSE(CONTROL!$C$42, 77.009, 77.009)* CHOOSE(CONTROL!$C$21, $C$9, 100%, $E$9)</f>
        <v>77.009</v>
      </c>
      <c r="J852" s="14">
        <f>CHOOSE(CONTROL!$C$42, 76.7515, 76.7515)* CHOOSE(CONTROL!$C$21, $C$9, 100%, $E$9)</f>
        <v>76.751499999999993</v>
      </c>
      <c r="K852" s="53">
        <f>CHOOSE(CONTROL!$C$42, 77.0051, 77.0051) * CHOOSE(CONTROL!$C$21, $C$9, 100%, $E$9)</f>
        <v>77.005099999999999</v>
      </c>
      <c r="L852" s="14">
        <f>CHOOSE(CONTROL!$C$42, 77.4339, 77.4339) * CHOOSE(CONTROL!$C$21, $C$9, 100%, $E$9)</f>
        <v>77.433899999999994</v>
      </c>
      <c r="M852" s="14">
        <f>CHOOSE(CONTROL!$C$42, 75.1866, 75.1866) * CHOOSE(CONTROL!$C$21, $C$9, 100%, $E$9)</f>
        <v>75.186599999999999</v>
      </c>
      <c r="N852" s="14">
        <f>CHOOSE(CONTROL!$C$42, 75.2034, 75.2034) * CHOOSE(CONTROL!$C$21, $C$9, 100%, $E$9)</f>
        <v>75.203400000000002</v>
      </c>
      <c r="O852" s="14">
        <f>CHOOSE(CONTROL!$C$42, 75.28, 75.28) * CHOOSE(CONTROL!$C$21, $C$9, 100%, $E$9)</f>
        <v>75.28</v>
      </c>
      <c r="P852" s="14">
        <f>CHOOSE(CONTROL!$C$42, 75.434, 75.434) * CHOOSE(CONTROL!$C$21, $C$9, 100%, $E$9)</f>
        <v>75.433999999999997</v>
      </c>
      <c r="Q852" s="14">
        <f>CHOOSE(CONTROL!$C$42, 75.8747, 75.8747) * CHOOSE(CONTROL!$C$21, $C$9, 100%, $E$9)</f>
        <v>75.874700000000004</v>
      </c>
      <c r="R852" s="14">
        <f>CHOOSE(CONTROL!$C$42, 76.6514, 76.6514) * CHOOSE(CONTROL!$C$21, $C$9, 100%, $E$9)</f>
        <v>76.651399999999995</v>
      </c>
      <c r="S852" s="14">
        <f>CHOOSE(CONTROL!$C$42, 73.735, 73.735) * CHOOSE(CONTROL!$C$21, $C$9, 100%, $E$9)</f>
        <v>73.734999999999999</v>
      </c>
      <c r="T8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7">
        <f>(1000*CHOOSE(CONTROL!$C$42, 695, 695)*CHOOSE(CONTROL!$C$42, 0.5599, 0.5599)*CHOOSE(CONTROL!$C$42, 31, 31))/1000000</f>
        <v>12.063045499999998</v>
      </c>
      <c r="V852" s="57">
        <f>(1000*CHOOSE(CONTROL!$C$42, 500, 500)*CHOOSE(CONTROL!$C$42, 0.275, 0.275)*CHOOSE(CONTROL!$C$42, 31, 31))/1000000</f>
        <v>4.2625000000000002</v>
      </c>
      <c r="W852" s="57">
        <f>(1000*CHOOSE(CONTROL!$C$42, 0.1146, 0.1146)*CHOOSE(CONTROL!$C$42, 121.5, 121.5)*CHOOSE(CONTROL!$C$42, 31, 31))/1000000</f>
        <v>0.43164089999999994</v>
      </c>
      <c r="X852" s="57">
        <f>(31*0.1790888*100000/1000000)+(31*0.2374*100000/1000000)</f>
        <v>1.2911152800000001</v>
      </c>
      <c r="Y852" s="57"/>
      <c r="Z852" s="14"/>
      <c r="AA852" s="56"/>
      <c r="AB852" s="50">
        <f>(B852*122.58+C852*297.941+D852*89.177+E852*40.302+F852*40+G852*160+H852*0+I852*100+J852*300)/(122.58+297.941+89.177+40.302+0+40+160+100+300)</f>
        <v>76.785503027826081</v>
      </c>
      <c r="AC852" s="45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75.265496402877687</v>
      </c>
    </row>
    <row r="853" spans="1:29" ht="15.75" x14ac:dyDescent="0.25">
      <c r="A853" s="32">
        <v>66872</v>
      </c>
      <c r="B853" s="14">
        <f>CHOOSE(CONTROL!$C$42, 83.1056, 83.1056) * CHOOSE(CONTROL!$C$21, $C$9, 100%, $E$9)</f>
        <v>83.105599999999995</v>
      </c>
      <c r="C853" s="14">
        <f>CHOOSE(CONTROL!$C$42, 83.1107, 83.1107) * CHOOSE(CONTROL!$C$21, $C$9, 100%, $E$9)</f>
        <v>83.110699999999994</v>
      </c>
      <c r="D853" s="14">
        <f>CHOOSE(CONTROL!$C$42, 83.1875, 83.1875) * CHOOSE(CONTROL!$C$21, $C$9, 100%, $E$9)</f>
        <v>83.1875</v>
      </c>
      <c r="E853" s="14">
        <f>CHOOSE(CONTROL!$C$42, 83.2216, 83.2216) * CHOOSE(CONTROL!$C$21, $C$9, 100%, $E$9)</f>
        <v>83.221599999999995</v>
      </c>
      <c r="F853" s="14">
        <f>CHOOSE(CONTROL!$C$42, 83.1059, 83.1059)*CHOOSE(CONTROL!$C$21, $C$9, 100%, $E$9)</f>
        <v>83.105900000000005</v>
      </c>
      <c r="G853" s="14">
        <f>CHOOSE(CONTROL!$C$42, 83.1221, 83.1221)*CHOOSE(CONTROL!$C$21, $C$9, 100%, $E$9)</f>
        <v>83.122100000000003</v>
      </c>
      <c r="H853" s="14">
        <f>CHOOSE(CONTROL!$C$42, 83.2108, 83.2108) * CHOOSE(CONTROL!$C$21, $C$9, 100%, $E$9)</f>
        <v>83.210800000000006</v>
      </c>
      <c r="I853" s="14">
        <f>CHOOSE(CONTROL!$C$42, 83.384, 83.384)* CHOOSE(CONTROL!$C$21, $C$9, 100%, $E$9)</f>
        <v>83.384</v>
      </c>
      <c r="J853" s="14">
        <f>CHOOSE(CONTROL!$C$42, 83.0989, 83.0989)* CHOOSE(CONTROL!$C$21, $C$9, 100%, $E$9)</f>
        <v>83.0989</v>
      </c>
      <c r="K853" s="53">
        <f>CHOOSE(CONTROL!$C$42, 83.3801, 83.3801) * CHOOSE(CONTROL!$C$21, $C$9, 100%, $E$9)</f>
        <v>83.380099999999999</v>
      </c>
      <c r="L853" s="14">
        <f>CHOOSE(CONTROL!$C$42, 83.7978, 83.7978) * CHOOSE(CONTROL!$C$21, $C$9, 100%, $E$9)</f>
        <v>83.797799999999995</v>
      </c>
      <c r="M853" s="14">
        <f>CHOOSE(CONTROL!$C$42, 81.4039, 81.4039) * CHOOSE(CONTROL!$C$21, $C$9, 100%, $E$9)</f>
        <v>81.403899999999993</v>
      </c>
      <c r="N853" s="14">
        <f>CHOOSE(CONTROL!$C$42, 81.4198, 81.4198) * CHOOSE(CONTROL!$C$21, $C$9, 100%, $E$9)</f>
        <v>81.419799999999995</v>
      </c>
      <c r="O853" s="14">
        <f>CHOOSE(CONTROL!$C$42, 81.5136, 81.5136) * CHOOSE(CONTROL!$C$21, $C$9, 100%, $E$9)</f>
        <v>81.513599999999997</v>
      </c>
      <c r="P853" s="14">
        <f>CHOOSE(CONTROL!$C$42, 81.678, 81.678) * CHOOSE(CONTROL!$C$21, $C$9, 100%, $E$9)</f>
        <v>81.677999999999997</v>
      </c>
      <c r="Q853" s="14">
        <f>CHOOSE(CONTROL!$C$42, 82.1083, 82.1083) * CHOOSE(CONTROL!$C$21, $C$9, 100%, $E$9)</f>
        <v>82.1083</v>
      </c>
      <c r="R853" s="14">
        <f>CHOOSE(CONTROL!$C$42, 82.9006, 82.9006) * CHOOSE(CONTROL!$C$21, $C$9, 100%, $E$9)</f>
        <v>82.900599999999997</v>
      </c>
      <c r="S853" s="14">
        <f>CHOOSE(CONTROL!$C$42, 79.8477, 79.8477) * CHOOSE(CONTROL!$C$21, $C$9, 100%, $E$9)</f>
        <v>79.847700000000003</v>
      </c>
      <c r="T8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7">
        <f>(1000*CHOOSE(CONTROL!$C$42, 695, 695)*CHOOSE(CONTROL!$C$42, 0.5599, 0.5599)*CHOOSE(CONTROL!$C$42, 31, 31))/1000000</f>
        <v>12.063045499999998</v>
      </c>
      <c r="V853" s="57">
        <f>(1000*CHOOSE(CONTROL!$C$42, 500, 500)*CHOOSE(CONTROL!$C$42, 0.275, 0.275)*CHOOSE(CONTROL!$C$42, 31, 31))/1000000</f>
        <v>4.2625000000000002</v>
      </c>
      <c r="W853" s="57">
        <f>(1000*CHOOSE(CONTROL!$C$42, 0.1146, 0.1146)*CHOOSE(CONTROL!$C$42, 121.5, 121.5)*CHOOSE(CONTROL!$C$42, 31, 31))/1000000</f>
        <v>0.43164089999999994</v>
      </c>
      <c r="X853" s="57">
        <f>(31*0.1790888*100000/1000000)+(31*0.2374*100000/1000000)</f>
        <v>1.2911152800000001</v>
      </c>
      <c r="Y853" s="57"/>
      <c r="Z853" s="14"/>
      <c r="AA853" s="56"/>
      <c r="AB853" s="50">
        <f>(B853*122.58+C853*297.941+D853*89.177+E853*40.302+F853*40+G853*160+H853*0+I853*100+J853*300)/(122.58+297.941+89.177+40.302+0+40+160+100+300)</f>
        <v>83.142104458608685</v>
      </c>
      <c r="AC853" s="45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81.493974100719427</v>
      </c>
    </row>
    <row r="854" spans="1:29" ht="15.75" x14ac:dyDescent="0.25">
      <c r="A854" s="32">
        <v>66900</v>
      </c>
      <c r="B854" s="14">
        <f>CHOOSE(CONTROL!$C$42, 84.5849, 84.5849) * CHOOSE(CONTROL!$C$21, $C$9, 100%, $E$9)</f>
        <v>84.584900000000005</v>
      </c>
      <c r="C854" s="14">
        <f>CHOOSE(CONTROL!$C$42, 84.5899, 84.5899) * CHOOSE(CONTROL!$C$21, $C$9, 100%, $E$9)</f>
        <v>84.5899</v>
      </c>
      <c r="D854" s="14">
        <f>CHOOSE(CONTROL!$C$42, 84.6668, 84.6668) * CHOOSE(CONTROL!$C$21, $C$9, 100%, $E$9)</f>
        <v>84.666799999999995</v>
      </c>
      <c r="E854" s="14">
        <f>CHOOSE(CONTROL!$C$42, 84.7009, 84.7009) * CHOOSE(CONTROL!$C$21, $C$9, 100%, $E$9)</f>
        <v>84.700900000000004</v>
      </c>
      <c r="F854" s="14">
        <f>CHOOSE(CONTROL!$C$42, 84.5851, 84.5851)*CHOOSE(CONTROL!$C$21, $C$9, 100%, $E$9)</f>
        <v>84.585099999999997</v>
      </c>
      <c r="G854" s="14">
        <f>CHOOSE(CONTROL!$C$42, 84.6014, 84.6014)*CHOOSE(CONTROL!$C$21, $C$9, 100%, $E$9)</f>
        <v>84.601399999999998</v>
      </c>
      <c r="H854" s="14">
        <f>CHOOSE(CONTROL!$C$42, 84.6901, 84.6901) * CHOOSE(CONTROL!$C$21, $C$9, 100%, $E$9)</f>
        <v>84.690100000000001</v>
      </c>
      <c r="I854" s="14">
        <f>CHOOSE(CONTROL!$C$42, 84.8678, 84.8678)* CHOOSE(CONTROL!$C$21, $C$9, 100%, $E$9)</f>
        <v>84.867800000000003</v>
      </c>
      <c r="J854" s="14">
        <f>CHOOSE(CONTROL!$C$42, 84.5781, 84.5781)* CHOOSE(CONTROL!$C$21, $C$9, 100%, $E$9)</f>
        <v>84.578100000000006</v>
      </c>
      <c r="K854" s="53">
        <f>CHOOSE(CONTROL!$C$42, 84.8639, 84.8639) * CHOOSE(CONTROL!$C$21, $C$9, 100%, $E$9)</f>
        <v>84.863900000000001</v>
      </c>
      <c r="L854" s="14">
        <f>CHOOSE(CONTROL!$C$42, 85.2771, 85.2771) * CHOOSE(CONTROL!$C$21, $C$9, 100%, $E$9)</f>
        <v>85.277100000000004</v>
      </c>
      <c r="M854" s="14">
        <f>CHOOSE(CONTROL!$C$42, 82.8529, 82.8529) * CHOOSE(CONTROL!$C$21, $C$9, 100%, $E$9)</f>
        <v>82.852900000000005</v>
      </c>
      <c r="N854" s="14">
        <f>CHOOSE(CONTROL!$C$42, 82.8688, 82.8688) * CHOOSE(CONTROL!$C$21, $C$9, 100%, $E$9)</f>
        <v>82.868799999999993</v>
      </c>
      <c r="O854" s="14">
        <f>CHOOSE(CONTROL!$C$42, 82.9625, 82.9625) * CHOOSE(CONTROL!$C$21, $C$9, 100%, $E$9)</f>
        <v>82.962500000000006</v>
      </c>
      <c r="P854" s="14">
        <f>CHOOSE(CONTROL!$C$42, 83.1314, 83.1314) * CHOOSE(CONTROL!$C$21, $C$9, 100%, $E$9)</f>
        <v>83.131399999999999</v>
      </c>
      <c r="Q854" s="14">
        <f>CHOOSE(CONTROL!$C$42, 83.5572, 83.5572) * CHOOSE(CONTROL!$C$21, $C$9, 100%, $E$9)</f>
        <v>83.557199999999995</v>
      </c>
      <c r="R854" s="14">
        <f>CHOOSE(CONTROL!$C$42, 84.3531, 84.3531) * CHOOSE(CONTROL!$C$21, $C$9, 100%, $E$9)</f>
        <v>84.353099999999998</v>
      </c>
      <c r="S854" s="14">
        <f>CHOOSE(CONTROL!$C$42, 81.2691, 81.2691) * CHOOSE(CONTROL!$C$21, $C$9, 100%, $E$9)</f>
        <v>81.269099999999995</v>
      </c>
      <c r="T8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7">
        <f>(1000*CHOOSE(CONTROL!$C$42, 695, 695)*CHOOSE(CONTROL!$C$42, 0.5599, 0.5599)*CHOOSE(CONTROL!$C$42, 28, 28))/1000000</f>
        <v>10.895653999999999</v>
      </c>
      <c r="V854" s="57">
        <f>(1000*CHOOSE(CONTROL!$C$42, 500, 500)*CHOOSE(CONTROL!$C$42, 0.275, 0.275)*CHOOSE(CONTROL!$C$42, 28, 28))/1000000</f>
        <v>3.85</v>
      </c>
      <c r="W854" s="57">
        <f>(1000*CHOOSE(CONTROL!$C$42, 0.1146, 0.1146)*CHOOSE(CONTROL!$C$42, 121.5, 121.5)*CHOOSE(CONTROL!$C$42, 28, 28))/1000000</f>
        <v>0.38986920000000003</v>
      </c>
      <c r="X854" s="57">
        <f>(28*0.1790888*100000/1000000)+(28*0.2374*100000/1000000)</f>
        <v>1.16616864</v>
      </c>
      <c r="Y854" s="57"/>
      <c r="Z854" s="14"/>
      <c r="AA854" s="56"/>
      <c r="AB854" s="50">
        <f>(B854*122.58+C854*297.941+D854*89.177+E854*40.302+F854*40+G854*160+H854*0+I854*100+J854*300)/(122.58+297.941+89.177+40.302+0+40+160+100+300)</f>
        <v>84.621740289826079</v>
      </c>
      <c r="AC854" s="45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82.943561870503601</v>
      </c>
    </row>
    <row r="855" spans="1:29" ht="15.75" x14ac:dyDescent="0.25">
      <c r="A855" s="32">
        <v>66931</v>
      </c>
      <c r="B855" s="14">
        <f>CHOOSE(CONTROL!$C$42, 82.1837, 82.1837) * CHOOSE(CONTROL!$C$21, $C$9, 100%, $E$9)</f>
        <v>82.183700000000002</v>
      </c>
      <c r="C855" s="14">
        <f>CHOOSE(CONTROL!$C$42, 82.1888, 82.1888) * CHOOSE(CONTROL!$C$21, $C$9, 100%, $E$9)</f>
        <v>82.188800000000001</v>
      </c>
      <c r="D855" s="14">
        <f>CHOOSE(CONTROL!$C$42, 82.2656, 82.2656) * CHOOSE(CONTROL!$C$21, $C$9, 100%, $E$9)</f>
        <v>82.265600000000006</v>
      </c>
      <c r="E855" s="14">
        <f>CHOOSE(CONTROL!$C$42, 82.2997, 82.2997) * CHOOSE(CONTROL!$C$21, $C$9, 100%, $E$9)</f>
        <v>82.299700000000001</v>
      </c>
      <c r="F855" s="14">
        <f>CHOOSE(CONTROL!$C$42, 82.1835, 82.1835)*CHOOSE(CONTROL!$C$21, $C$9, 100%, $E$9)</f>
        <v>82.183499999999995</v>
      </c>
      <c r="G855" s="14">
        <f>CHOOSE(CONTROL!$C$42, 82.1996, 82.1996)*CHOOSE(CONTROL!$C$21, $C$9, 100%, $E$9)</f>
        <v>82.199600000000004</v>
      </c>
      <c r="H855" s="14">
        <f>CHOOSE(CONTROL!$C$42, 82.2889, 82.2889) * CHOOSE(CONTROL!$C$21, $C$9, 100%, $E$9)</f>
        <v>82.288899999999998</v>
      </c>
      <c r="I855" s="14">
        <f>CHOOSE(CONTROL!$C$42, 82.4592, 82.4592)* CHOOSE(CONTROL!$C$21, $C$9, 100%, $E$9)</f>
        <v>82.459199999999996</v>
      </c>
      <c r="J855" s="14">
        <f>CHOOSE(CONTROL!$C$42, 82.1765, 82.1765)* CHOOSE(CONTROL!$C$21, $C$9, 100%, $E$9)</f>
        <v>82.176500000000004</v>
      </c>
      <c r="K855" s="53">
        <f>CHOOSE(CONTROL!$C$42, 82.4553, 82.4553) * CHOOSE(CONTROL!$C$21, $C$9, 100%, $E$9)</f>
        <v>82.455299999999994</v>
      </c>
      <c r="L855" s="14">
        <f>CHOOSE(CONTROL!$C$42, 82.8759, 82.8759) * CHOOSE(CONTROL!$C$21, $C$9, 100%, $E$9)</f>
        <v>82.875900000000001</v>
      </c>
      <c r="M855" s="14">
        <f>CHOOSE(CONTROL!$C$42, 80.5005, 80.5005) * CHOOSE(CONTROL!$C$21, $C$9, 100%, $E$9)</f>
        <v>80.500500000000002</v>
      </c>
      <c r="N855" s="14">
        <f>CHOOSE(CONTROL!$C$42, 80.5162, 80.5162) * CHOOSE(CONTROL!$C$21, $C$9, 100%, $E$9)</f>
        <v>80.516199999999998</v>
      </c>
      <c r="O855" s="14">
        <f>CHOOSE(CONTROL!$C$42, 80.6106, 80.6106) * CHOOSE(CONTROL!$C$21, $C$9, 100%, $E$9)</f>
        <v>80.610600000000005</v>
      </c>
      <c r="P855" s="14">
        <f>CHOOSE(CONTROL!$C$42, 80.7722, 80.7722) * CHOOSE(CONTROL!$C$21, $C$9, 100%, $E$9)</f>
        <v>80.772199999999998</v>
      </c>
      <c r="Q855" s="14">
        <f>CHOOSE(CONTROL!$C$42, 81.2053, 81.2053) * CHOOSE(CONTROL!$C$21, $C$9, 100%, $E$9)</f>
        <v>81.205299999999994</v>
      </c>
      <c r="R855" s="14">
        <f>CHOOSE(CONTROL!$C$42, 81.9953, 81.9953) * CHOOSE(CONTROL!$C$21, $C$9, 100%, $E$9)</f>
        <v>81.9953</v>
      </c>
      <c r="S855" s="14">
        <f>CHOOSE(CONTROL!$C$42, 78.9618, 78.9618) * CHOOSE(CONTROL!$C$21, $C$9, 100%, $E$9)</f>
        <v>78.961799999999997</v>
      </c>
      <c r="T8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7">
        <f>(1000*CHOOSE(CONTROL!$C$42, 695, 695)*CHOOSE(CONTROL!$C$42, 0.5599, 0.5599)*CHOOSE(CONTROL!$C$42, 31, 31))/1000000</f>
        <v>12.063045499999998</v>
      </c>
      <c r="V855" s="57">
        <f>(1000*CHOOSE(CONTROL!$C$42, 500, 500)*CHOOSE(CONTROL!$C$42, 0.275, 0.275)*CHOOSE(CONTROL!$C$42, 31, 31))/1000000</f>
        <v>4.2625000000000002</v>
      </c>
      <c r="W855" s="57">
        <f>(1000*CHOOSE(CONTROL!$C$42, 0.1146, 0.1146)*CHOOSE(CONTROL!$C$42, 121.5, 121.5)*CHOOSE(CONTROL!$C$42, 31, 31))/1000000</f>
        <v>0.43164089999999994</v>
      </c>
      <c r="X855" s="57">
        <f>(31*0.1790888*100000/1000000)+(31*0.2374*100000/1000000)</f>
        <v>1.2911152800000001</v>
      </c>
      <c r="Y855" s="57"/>
      <c r="Z855" s="14"/>
      <c r="AA855" s="56"/>
      <c r="AB855" s="50">
        <f>(B855*122.58+C855*297.941+D855*89.177+E855*40.302+F855*40+G855*160+H855*0+I855*100+J855*300)/(122.58+297.941+89.177+40.302+0+40+160+100+300)</f>
        <v>82.21972098034783</v>
      </c>
      <c r="AC855" s="45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80.59039856115109</v>
      </c>
    </row>
    <row r="856" spans="1:29" ht="15.75" x14ac:dyDescent="0.25">
      <c r="A856" s="32">
        <v>66961</v>
      </c>
      <c r="B856" s="14">
        <f>CHOOSE(CONTROL!$C$42, 81.9389, 81.9389) * CHOOSE(CONTROL!$C$21, $C$9, 100%, $E$9)</f>
        <v>81.938900000000004</v>
      </c>
      <c r="C856" s="14">
        <f>CHOOSE(CONTROL!$C$42, 81.9434, 81.9434) * CHOOSE(CONTROL!$C$21, $C$9, 100%, $E$9)</f>
        <v>81.943399999999997</v>
      </c>
      <c r="D856" s="14">
        <f>CHOOSE(CONTROL!$C$42, 82.1801, 82.1801) * CHOOSE(CONTROL!$C$21, $C$9, 100%, $E$9)</f>
        <v>82.180099999999996</v>
      </c>
      <c r="E856" s="14">
        <f>CHOOSE(CONTROL!$C$42, 82.2122, 82.2122) * CHOOSE(CONTROL!$C$21, $C$9, 100%, $E$9)</f>
        <v>82.212199999999996</v>
      </c>
      <c r="F856" s="14">
        <f>CHOOSE(CONTROL!$C$42, 81.9369, 81.9369)*CHOOSE(CONTROL!$C$21, $C$9, 100%, $E$9)</f>
        <v>81.936899999999994</v>
      </c>
      <c r="G856" s="14">
        <f>CHOOSE(CONTROL!$C$42, 81.9527, 81.9527)*CHOOSE(CONTROL!$C$21, $C$9, 100%, $E$9)</f>
        <v>81.952699999999993</v>
      </c>
      <c r="H856" s="14">
        <f>CHOOSE(CONTROL!$C$42, 82.202, 82.202) * CHOOSE(CONTROL!$C$21, $C$9, 100%, $E$9)</f>
        <v>82.201999999999998</v>
      </c>
      <c r="I856" s="14">
        <f>CHOOSE(CONTROL!$C$42, 82.2128, 82.2128)* CHOOSE(CONTROL!$C$21, $C$9, 100%, $E$9)</f>
        <v>82.212800000000001</v>
      </c>
      <c r="J856" s="14">
        <f>CHOOSE(CONTROL!$C$42, 81.9299, 81.9299)* CHOOSE(CONTROL!$C$21, $C$9, 100%, $E$9)</f>
        <v>81.929900000000004</v>
      </c>
      <c r="K856" s="53">
        <f>CHOOSE(CONTROL!$C$42, 82.2089, 82.2089) * CHOOSE(CONTROL!$C$21, $C$9, 100%, $E$9)</f>
        <v>82.2089</v>
      </c>
      <c r="L856" s="14">
        <f>CHOOSE(CONTROL!$C$42, 82.789, 82.789) * CHOOSE(CONTROL!$C$21, $C$9, 100%, $E$9)</f>
        <v>82.789000000000001</v>
      </c>
      <c r="M856" s="14">
        <f>CHOOSE(CONTROL!$C$42, 80.2589, 80.2589) * CHOOSE(CONTROL!$C$21, $C$9, 100%, $E$9)</f>
        <v>80.258899999999997</v>
      </c>
      <c r="N856" s="14">
        <f>CHOOSE(CONTROL!$C$42, 80.2744, 80.2744) * CHOOSE(CONTROL!$C$21, $C$9, 100%, $E$9)</f>
        <v>80.2744</v>
      </c>
      <c r="O856" s="14">
        <f>CHOOSE(CONTROL!$C$42, 80.5255, 80.5255) * CHOOSE(CONTROL!$C$21, $C$9, 100%, $E$9)</f>
        <v>80.525499999999994</v>
      </c>
      <c r="P856" s="14">
        <f>CHOOSE(CONTROL!$C$42, 80.5309, 80.5309) * CHOOSE(CONTROL!$C$21, $C$9, 100%, $E$9)</f>
        <v>80.530900000000003</v>
      </c>
      <c r="Q856" s="14">
        <f>CHOOSE(CONTROL!$C$42, 81.1202, 81.1202) * CHOOSE(CONTROL!$C$21, $C$9, 100%, $E$9)</f>
        <v>81.120199999999997</v>
      </c>
      <c r="R856" s="14">
        <f>CHOOSE(CONTROL!$C$42, 81.91, 81.91) * CHOOSE(CONTROL!$C$21, $C$9, 100%, $E$9)</f>
        <v>81.91</v>
      </c>
      <c r="S856" s="14">
        <f>CHOOSE(CONTROL!$C$42, 78.7258, 78.7258) * CHOOSE(CONTROL!$C$21, $C$9, 100%, $E$9)</f>
        <v>78.725800000000007</v>
      </c>
      <c r="T8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7">
        <f>(1000*CHOOSE(CONTROL!$C$42, 695, 695)*CHOOSE(CONTROL!$C$42, 0.5599, 0.5599)*CHOOSE(CONTROL!$C$42, 30, 30))/1000000</f>
        <v>11.673914999999997</v>
      </c>
      <c r="V856" s="57">
        <f>(1000*CHOOSE(CONTROL!$C$42, 500, 500)*CHOOSE(CONTROL!$C$42, 0.275, 0.275)*CHOOSE(CONTROL!$C$42, 30, 30))/1000000</f>
        <v>4.125</v>
      </c>
      <c r="W856" s="57">
        <f>(1000*CHOOSE(CONTROL!$C$42, 0.1146, 0.1146)*CHOOSE(CONTROL!$C$42, 121.5, 121.5)*CHOOSE(CONTROL!$C$42, 30, 30))/1000000</f>
        <v>0.417717</v>
      </c>
      <c r="X856" s="57">
        <f>(30*0.1790888*245000/1000000)+(30*0.2374*100000/1000000)</f>
        <v>2.0285026799999999</v>
      </c>
      <c r="Y856" s="57"/>
      <c r="Z856" s="14"/>
      <c r="AA856" s="56"/>
      <c r="AB856" s="50">
        <f>(B856*141.293+C856*267.993+D856*115.016+E856*89.698+F856*40+G856*185+H856*0+I856*100+J856*300)/(141.293+267.993+115.016+89.698+0+40+185+100+300)</f>
        <v>82.003972874172717</v>
      </c>
      <c r="AC856" s="45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80.419761870503578</v>
      </c>
    </row>
    <row r="857" spans="1:29" ht="15.75" x14ac:dyDescent="0.25">
      <c r="A857" s="32">
        <v>66992</v>
      </c>
      <c r="B857" s="14">
        <f>CHOOSE(CONTROL!$C$42, 82.6634, 82.6634) * CHOOSE(CONTROL!$C$21, $C$9, 100%, $E$9)</f>
        <v>82.663399999999996</v>
      </c>
      <c r="C857" s="14">
        <f>CHOOSE(CONTROL!$C$42, 82.6714, 82.6714) * CHOOSE(CONTROL!$C$21, $C$9, 100%, $E$9)</f>
        <v>82.671400000000006</v>
      </c>
      <c r="D857" s="14">
        <f>CHOOSE(CONTROL!$C$42, 82.905, 82.905) * CHOOSE(CONTROL!$C$21, $C$9, 100%, $E$9)</f>
        <v>82.905000000000001</v>
      </c>
      <c r="E857" s="14">
        <f>CHOOSE(CONTROL!$C$42, 82.9365, 82.9365) * CHOOSE(CONTROL!$C$21, $C$9, 100%, $E$9)</f>
        <v>82.936499999999995</v>
      </c>
      <c r="F857" s="14">
        <f>CHOOSE(CONTROL!$C$42, 82.6602, 82.6602)*CHOOSE(CONTROL!$C$21, $C$9, 100%, $E$9)</f>
        <v>82.660200000000003</v>
      </c>
      <c r="G857" s="14">
        <f>CHOOSE(CONTROL!$C$42, 82.6765, 82.6765)*CHOOSE(CONTROL!$C$21, $C$9, 100%, $E$9)</f>
        <v>82.676500000000004</v>
      </c>
      <c r="H857" s="14">
        <f>CHOOSE(CONTROL!$C$42, 82.9251, 82.9251) * CHOOSE(CONTROL!$C$21, $C$9, 100%, $E$9)</f>
        <v>82.9251</v>
      </c>
      <c r="I857" s="14">
        <f>CHOOSE(CONTROL!$C$42, 82.9382, 82.9382)* CHOOSE(CONTROL!$C$21, $C$9, 100%, $E$9)</f>
        <v>82.938199999999995</v>
      </c>
      <c r="J857" s="14">
        <f>CHOOSE(CONTROL!$C$42, 82.6532, 82.6532)* CHOOSE(CONTROL!$C$21, $C$9, 100%, $E$9)</f>
        <v>82.653199999999998</v>
      </c>
      <c r="K857" s="53">
        <f>CHOOSE(CONTROL!$C$42, 82.9343, 82.9343) * CHOOSE(CONTROL!$C$21, $C$9, 100%, $E$9)</f>
        <v>82.934299999999993</v>
      </c>
      <c r="L857" s="14">
        <f>CHOOSE(CONTROL!$C$42, 83.5121, 83.5121) * CHOOSE(CONTROL!$C$21, $C$9, 100%, $E$9)</f>
        <v>83.512100000000004</v>
      </c>
      <c r="M857" s="14">
        <f>CHOOSE(CONTROL!$C$42, 80.9674, 80.9674) * CHOOSE(CONTROL!$C$21, $C$9, 100%, $E$9)</f>
        <v>80.967399999999998</v>
      </c>
      <c r="N857" s="14">
        <f>CHOOSE(CONTROL!$C$42, 80.9834, 80.9834) * CHOOSE(CONTROL!$C$21, $C$9, 100%, $E$9)</f>
        <v>80.983400000000003</v>
      </c>
      <c r="O857" s="14">
        <f>CHOOSE(CONTROL!$C$42, 81.2337, 81.2337) * CHOOSE(CONTROL!$C$21, $C$9, 100%, $E$9)</f>
        <v>81.233699999999999</v>
      </c>
      <c r="P857" s="14">
        <f>CHOOSE(CONTROL!$C$42, 81.2414, 81.2414) * CHOOSE(CONTROL!$C$21, $C$9, 100%, $E$9)</f>
        <v>81.241399999999999</v>
      </c>
      <c r="Q857" s="14">
        <f>CHOOSE(CONTROL!$C$42, 81.8284, 81.8284) * CHOOSE(CONTROL!$C$21, $C$9, 100%, $E$9)</f>
        <v>81.828400000000002</v>
      </c>
      <c r="R857" s="14">
        <f>CHOOSE(CONTROL!$C$42, 82.62, 82.62) * CHOOSE(CONTROL!$C$21, $C$9, 100%, $E$9)</f>
        <v>82.62</v>
      </c>
      <c r="S857" s="14">
        <f>CHOOSE(CONTROL!$C$42, 79.4206, 79.4206) * CHOOSE(CONTROL!$C$21, $C$9, 100%, $E$9)</f>
        <v>79.420599999999993</v>
      </c>
      <c r="T8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7">
        <f>(1000*CHOOSE(CONTROL!$C$42, 695, 695)*CHOOSE(CONTROL!$C$42, 0.5599, 0.5599)*CHOOSE(CONTROL!$C$42, 31, 31))/1000000</f>
        <v>12.063045499999998</v>
      </c>
      <c r="V857" s="57">
        <f>(1000*CHOOSE(CONTROL!$C$42, 500, 500)*CHOOSE(CONTROL!$C$42, 0.275, 0.275)*CHOOSE(CONTROL!$C$42, 31, 31))/1000000</f>
        <v>4.2625000000000002</v>
      </c>
      <c r="W857" s="57">
        <f>(1000*CHOOSE(CONTROL!$C$42, 0.1146, 0.1146)*CHOOSE(CONTROL!$C$42, 121.5, 121.5)*CHOOSE(CONTROL!$C$42, 31, 31))/1000000</f>
        <v>0.43164089999999994</v>
      </c>
      <c r="X857" s="57">
        <f>(31*0.1790888*245000/1000000)+(31*0.2374*100000/1000000)</f>
        <v>2.0961194359999999</v>
      </c>
      <c r="Y857" s="57"/>
      <c r="Z857" s="14"/>
      <c r="AA857" s="56"/>
      <c r="AB857" s="50">
        <f>(B857*194.205+C857*267.466+D857*133.845+E857*53.484+F857*40+G857*185+H857*0+I857*100+J857*300)/(194.205+267.466+133.845+53.484+0+40+185+100+300)</f>
        <v>82.722896593720563</v>
      </c>
      <c r="AC857" s="45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81.128442446043167</v>
      </c>
    </row>
    <row r="858" spans="1:29" ht="15.75" x14ac:dyDescent="0.25">
      <c r="A858" s="32">
        <v>67022</v>
      </c>
      <c r="B858" s="14">
        <f>CHOOSE(CONTROL!$C$42, 85.0079, 85.0079) * CHOOSE(CONTROL!$C$21, $C$9, 100%, $E$9)</f>
        <v>85.007900000000006</v>
      </c>
      <c r="C858" s="14">
        <f>CHOOSE(CONTROL!$C$42, 85.016, 85.016) * CHOOSE(CONTROL!$C$21, $C$9, 100%, $E$9)</f>
        <v>85.016000000000005</v>
      </c>
      <c r="D858" s="14">
        <f>CHOOSE(CONTROL!$C$42, 85.2496, 85.2496) * CHOOSE(CONTROL!$C$21, $C$9, 100%, $E$9)</f>
        <v>85.249600000000001</v>
      </c>
      <c r="E858" s="14">
        <f>CHOOSE(CONTROL!$C$42, 85.281, 85.281) * CHOOSE(CONTROL!$C$21, $C$9, 100%, $E$9)</f>
        <v>85.281000000000006</v>
      </c>
      <c r="F858" s="14">
        <f>CHOOSE(CONTROL!$C$42, 85.0052, 85.0052)*CHOOSE(CONTROL!$C$21, $C$9, 100%, $E$9)</f>
        <v>85.005200000000002</v>
      </c>
      <c r="G858" s="14">
        <f>CHOOSE(CONTROL!$C$42, 85.0217, 85.0217)*CHOOSE(CONTROL!$C$21, $C$9, 100%, $E$9)</f>
        <v>85.021699999999996</v>
      </c>
      <c r="H858" s="14">
        <f>CHOOSE(CONTROL!$C$42, 85.2697, 85.2697) * CHOOSE(CONTROL!$C$21, $C$9, 100%, $E$9)</f>
        <v>85.2697</v>
      </c>
      <c r="I858" s="14">
        <f>CHOOSE(CONTROL!$C$42, 85.29, 85.29)* CHOOSE(CONTROL!$C$21, $C$9, 100%, $E$9)</f>
        <v>85.29</v>
      </c>
      <c r="J858" s="14">
        <f>CHOOSE(CONTROL!$C$42, 84.9982, 84.9982)* CHOOSE(CONTROL!$C$21, $C$9, 100%, $E$9)</f>
        <v>84.998199999999997</v>
      </c>
      <c r="K858" s="53">
        <f>CHOOSE(CONTROL!$C$42, 85.2862, 85.2862) * CHOOSE(CONTROL!$C$21, $C$9, 100%, $E$9)</f>
        <v>85.286199999999994</v>
      </c>
      <c r="L858" s="14">
        <f>CHOOSE(CONTROL!$C$42, 85.8567, 85.8567) * CHOOSE(CONTROL!$C$21, $C$9, 100%, $E$9)</f>
        <v>85.856700000000004</v>
      </c>
      <c r="M858" s="14">
        <f>CHOOSE(CONTROL!$C$42, 83.2643, 83.2643) * CHOOSE(CONTROL!$C$21, $C$9, 100%, $E$9)</f>
        <v>83.264300000000006</v>
      </c>
      <c r="N858" s="14">
        <f>CHOOSE(CONTROL!$C$42, 83.2805, 83.2805) * CHOOSE(CONTROL!$C$21, $C$9, 100%, $E$9)</f>
        <v>83.280500000000004</v>
      </c>
      <c r="O858" s="14">
        <f>CHOOSE(CONTROL!$C$42, 83.5302, 83.5302) * CHOOSE(CONTROL!$C$21, $C$9, 100%, $E$9)</f>
        <v>83.530199999999994</v>
      </c>
      <c r="P858" s="14">
        <f>CHOOSE(CONTROL!$C$42, 83.5449, 83.5449) * CHOOSE(CONTROL!$C$21, $C$9, 100%, $E$9)</f>
        <v>83.544899999999998</v>
      </c>
      <c r="Q858" s="14">
        <f>CHOOSE(CONTROL!$C$42, 84.1249, 84.1249) * CHOOSE(CONTROL!$C$21, $C$9, 100%, $E$9)</f>
        <v>84.124899999999997</v>
      </c>
      <c r="R858" s="14">
        <f>CHOOSE(CONTROL!$C$42, 84.9222, 84.9222) * CHOOSE(CONTROL!$C$21, $C$9, 100%, $E$9)</f>
        <v>84.922200000000004</v>
      </c>
      <c r="S858" s="14">
        <f>CHOOSE(CONTROL!$C$42, 81.6735, 81.6735) * CHOOSE(CONTROL!$C$21, $C$9, 100%, $E$9)</f>
        <v>81.673500000000004</v>
      </c>
      <c r="T8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7">
        <f>(1000*CHOOSE(CONTROL!$C$42, 695, 695)*CHOOSE(CONTROL!$C$42, 0.5599, 0.5599)*CHOOSE(CONTROL!$C$42, 30, 30))/1000000</f>
        <v>11.673914999999997</v>
      </c>
      <c r="V858" s="57">
        <f>(1000*CHOOSE(CONTROL!$C$42, 500, 500)*CHOOSE(CONTROL!$C$42, 0.275, 0.275)*CHOOSE(CONTROL!$C$42, 30, 30))/1000000</f>
        <v>4.125</v>
      </c>
      <c r="W858" s="57">
        <f>(1000*CHOOSE(CONTROL!$C$42, 0.1146, 0.1146)*CHOOSE(CONTROL!$C$42, 121.5, 121.5)*CHOOSE(CONTROL!$C$42, 30, 30))/1000000</f>
        <v>0.417717</v>
      </c>
      <c r="X858" s="57">
        <f>(30*0.1790888*245000/1000000)+(30*0.2374*100000/1000000)</f>
        <v>2.0285026799999999</v>
      </c>
      <c r="Y858" s="57"/>
      <c r="Z858" s="14"/>
      <c r="AA858" s="56"/>
      <c r="AB858" s="50">
        <f>(B858*194.205+C858*267.466+D858*133.845+E858*53.484+F858*40+G858*185+H858*0+I858*100+J858*300)/(194.205+267.466+133.845+53.484+0+40+185+100+300)</f>
        <v>85.068236178571439</v>
      </c>
      <c r="AC858" s="45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83.426122302158277</v>
      </c>
    </row>
    <row r="859" spans="1:29" ht="15.75" x14ac:dyDescent="0.25">
      <c r="A859" s="32">
        <v>67053</v>
      </c>
      <c r="B859" s="14">
        <f>CHOOSE(CONTROL!$C$42, 83.3773, 83.3773) * CHOOSE(CONTROL!$C$21, $C$9, 100%, $E$9)</f>
        <v>83.377300000000005</v>
      </c>
      <c r="C859" s="14">
        <f>CHOOSE(CONTROL!$C$42, 83.3853, 83.3853) * CHOOSE(CONTROL!$C$21, $C$9, 100%, $E$9)</f>
        <v>83.385300000000001</v>
      </c>
      <c r="D859" s="14">
        <f>CHOOSE(CONTROL!$C$42, 83.6189, 83.6189) * CHOOSE(CONTROL!$C$21, $C$9, 100%, $E$9)</f>
        <v>83.618899999999996</v>
      </c>
      <c r="E859" s="14">
        <f>CHOOSE(CONTROL!$C$42, 83.6504, 83.6504) * CHOOSE(CONTROL!$C$21, $C$9, 100%, $E$9)</f>
        <v>83.650400000000005</v>
      </c>
      <c r="F859" s="14">
        <f>CHOOSE(CONTROL!$C$42, 83.3751, 83.3751)*CHOOSE(CONTROL!$C$21, $C$9, 100%, $E$9)</f>
        <v>83.375100000000003</v>
      </c>
      <c r="G859" s="14">
        <f>CHOOSE(CONTROL!$C$42, 83.3917, 83.3917)*CHOOSE(CONTROL!$C$21, $C$9, 100%, $E$9)</f>
        <v>83.3917</v>
      </c>
      <c r="H859" s="14">
        <f>CHOOSE(CONTROL!$C$42, 83.639, 83.639) * CHOOSE(CONTROL!$C$21, $C$9, 100%, $E$9)</f>
        <v>83.638999999999996</v>
      </c>
      <c r="I859" s="14">
        <f>CHOOSE(CONTROL!$C$42, 83.6543, 83.6543)* CHOOSE(CONTROL!$C$21, $C$9, 100%, $E$9)</f>
        <v>83.654300000000006</v>
      </c>
      <c r="J859" s="14">
        <f>CHOOSE(CONTROL!$C$42, 83.3681, 83.3681)* CHOOSE(CONTROL!$C$21, $C$9, 100%, $E$9)</f>
        <v>83.368099999999998</v>
      </c>
      <c r="K859" s="53">
        <f>CHOOSE(CONTROL!$C$42, 83.6504, 83.6504) * CHOOSE(CONTROL!$C$21, $C$9, 100%, $E$9)</f>
        <v>83.650400000000005</v>
      </c>
      <c r="L859" s="14">
        <f>CHOOSE(CONTROL!$C$42, 84.226, 84.226) * CHOOSE(CONTROL!$C$21, $C$9, 100%, $E$9)</f>
        <v>84.225999999999999</v>
      </c>
      <c r="M859" s="14">
        <f>CHOOSE(CONTROL!$C$42, 81.6676, 81.6676) * CHOOSE(CONTROL!$C$21, $C$9, 100%, $E$9)</f>
        <v>81.667599999999993</v>
      </c>
      <c r="N859" s="14">
        <f>CHOOSE(CONTROL!$C$42, 81.6839, 81.6839) * CHOOSE(CONTROL!$C$21, $C$9, 100%, $E$9)</f>
        <v>81.683899999999994</v>
      </c>
      <c r="O859" s="14">
        <f>CHOOSE(CONTROL!$C$42, 81.933, 81.933) * CHOOSE(CONTROL!$C$21, $C$9, 100%, $E$9)</f>
        <v>81.933000000000007</v>
      </c>
      <c r="P859" s="14">
        <f>CHOOSE(CONTROL!$C$42, 81.9428, 81.9428) * CHOOSE(CONTROL!$C$21, $C$9, 100%, $E$9)</f>
        <v>81.942800000000005</v>
      </c>
      <c r="Q859" s="14">
        <f>CHOOSE(CONTROL!$C$42, 82.5277, 82.5277) * CHOOSE(CONTROL!$C$21, $C$9, 100%, $E$9)</f>
        <v>82.527699999999996</v>
      </c>
      <c r="R859" s="14">
        <f>CHOOSE(CONTROL!$C$42, 83.321, 83.321) * CHOOSE(CONTROL!$C$21, $C$9, 100%, $E$9)</f>
        <v>83.320999999999998</v>
      </c>
      <c r="S859" s="14">
        <f>CHOOSE(CONTROL!$C$42, 80.1066, 80.1066) * CHOOSE(CONTROL!$C$21, $C$9, 100%, $E$9)</f>
        <v>80.1066</v>
      </c>
      <c r="T8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7">
        <f>(1000*CHOOSE(CONTROL!$C$42, 695, 695)*CHOOSE(CONTROL!$C$42, 0.5599, 0.5599)*CHOOSE(CONTROL!$C$42, 31, 31))/1000000</f>
        <v>12.063045499999998</v>
      </c>
      <c r="V859" s="57">
        <f>(1000*CHOOSE(CONTROL!$C$42, 500, 500)*CHOOSE(CONTROL!$C$42, 0.275, 0.275)*CHOOSE(CONTROL!$C$42, 31, 31))/1000000</f>
        <v>4.2625000000000002</v>
      </c>
      <c r="W859" s="57">
        <f>(1000*CHOOSE(CONTROL!$C$42, 0.1146, 0.1146)*CHOOSE(CONTROL!$C$42, 121.5, 121.5)*CHOOSE(CONTROL!$C$42, 31, 31))/1000000</f>
        <v>0.43164089999999994</v>
      </c>
      <c r="X859" s="57">
        <f>(31*0.1790888*245000/1000000)+(31*0.2374*100000/1000000)</f>
        <v>2.0961194359999999</v>
      </c>
      <c r="Y859" s="57"/>
      <c r="Z859" s="14"/>
      <c r="AA859" s="56"/>
      <c r="AB859" s="50">
        <f>(B859*194.205+C859*267.466+D859*133.845+E859*53.484+F859*40+G859*185+H859*0+I859*100+J859*300)/(194.205+267.466+133.845+53.484+0+40+185+100+300)</f>
        <v>83.437424929670314</v>
      </c>
      <c r="AC859" s="45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81.828424460431648</v>
      </c>
    </row>
    <row r="860" spans="1:29" ht="15.75" x14ac:dyDescent="0.25">
      <c r="A860" s="32">
        <v>67084</v>
      </c>
      <c r="B860" s="14">
        <f>CHOOSE(CONTROL!$C$42, 79.2595, 79.2595) * CHOOSE(CONTROL!$C$21, $C$9, 100%, $E$9)</f>
        <v>79.259500000000003</v>
      </c>
      <c r="C860" s="14">
        <f>CHOOSE(CONTROL!$C$42, 79.2675, 79.2675) * CHOOSE(CONTROL!$C$21, $C$9, 100%, $E$9)</f>
        <v>79.267499999999998</v>
      </c>
      <c r="D860" s="14">
        <f>CHOOSE(CONTROL!$C$42, 79.5011, 79.5011) * CHOOSE(CONTROL!$C$21, $C$9, 100%, $E$9)</f>
        <v>79.501099999999994</v>
      </c>
      <c r="E860" s="14">
        <f>CHOOSE(CONTROL!$C$42, 79.5326, 79.5326) * CHOOSE(CONTROL!$C$21, $C$9, 100%, $E$9)</f>
        <v>79.532600000000002</v>
      </c>
      <c r="F860" s="14">
        <f>CHOOSE(CONTROL!$C$42, 79.2575, 79.2575)*CHOOSE(CONTROL!$C$21, $C$9, 100%, $E$9)</f>
        <v>79.257499999999993</v>
      </c>
      <c r="G860" s="14">
        <f>CHOOSE(CONTROL!$C$42, 79.2741, 79.2741)*CHOOSE(CONTROL!$C$21, $C$9, 100%, $E$9)</f>
        <v>79.274100000000004</v>
      </c>
      <c r="H860" s="14">
        <f>CHOOSE(CONTROL!$C$42, 79.5212, 79.5212) * CHOOSE(CONTROL!$C$21, $C$9, 100%, $E$9)</f>
        <v>79.521199999999993</v>
      </c>
      <c r="I860" s="14">
        <f>CHOOSE(CONTROL!$C$42, 79.5236, 79.5236)* CHOOSE(CONTROL!$C$21, $C$9, 100%, $E$9)</f>
        <v>79.523600000000002</v>
      </c>
      <c r="J860" s="14">
        <f>CHOOSE(CONTROL!$C$42, 79.2505, 79.2505)* CHOOSE(CONTROL!$C$21, $C$9, 100%, $E$9)</f>
        <v>79.250500000000002</v>
      </c>
      <c r="K860" s="53">
        <f>CHOOSE(CONTROL!$C$42, 79.5197, 79.5197) * CHOOSE(CONTROL!$C$21, $C$9, 100%, $E$9)</f>
        <v>79.5197</v>
      </c>
      <c r="L860" s="14">
        <f>CHOOSE(CONTROL!$C$42, 80.1082, 80.1082) * CHOOSE(CONTROL!$C$21, $C$9, 100%, $E$9)</f>
        <v>80.108199999999997</v>
      </c>
      <c r="M860" s="14">
        <f>CHOOSE(CONTROL!$C$42, 77.6344, 77.6344) * CHOOSE(CONTROL!$C$21, $C$9, 100%, $E$9)</f>
        <v>77.634399999999999</v>
      </c>
      <c r="N860" s="14">
        <f>CHOOSE(CONTROL!$C$42, 77.6507, 77.6507) * CHOOSE(CONTROL!$C$21, $C$9, 100%, $E$9)</f>
        <v>77.650700000000001</v>
      </c>
      <c r="O860" s="14">
        <f>CHOOSE(CONTROL!$C$42, 77.8995, 77.8995) * CHOOSE(CONTROL!$C$21, $C$9, 100%, $E$9)</f>
        <v>77.899500000000003</v>
      </c>
      <c r="P860" s="14">
        <f>CHOOSE(CONTROL!$C$42, 77.897, 77.897) * CHOOSE(CONTROL!$C$21, $C$9, 100%, $E$9)</f>
        <v>77.897000000000006</v>
      </c>
      <c r="Q860" s="14">
        <f>CHOOSE(CONTROL!$C$42, 78.4942, 78.4942) * CHOOSE(CONTROL!$C$21, $C$9, 100%, $E$9)</f>
        <v>78.494200000000006</v>
      </c>
      <c r="R860" s="14">
        <f>CHOOSE(CONTROL!$C$42, 79.2775, 79.2775) * CHOOSE(CONTROL!$C$21, $C$9, 100%, $E$9)</f>
        <v>79.277500000000003</v>
      </c>
      <c r="S860" s="14">
        <f>CHOOSE(CONTROL!$C$42, 76.1498, 76.1498) * CHOOSE(CONTROL!$C$21, $C$9, 100%, $E$9)</f>
        <v>76.149799999999999</v>
      </c>
      <c r="T8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7">
        <f>(1000*CHOOSE(CONTROL!$C$42, 695, 695)*CHOOSE(CONTROL!$C$42, 0.5599, 0.5599)*CHOOSE(CONTROL!$C$42, 31, 31))/1000000</f>
        <v>12.063045499999998</v>
      </c>
      <c r="V860" s="57">
        <f>(1000*CHOOSE(CONTROL!$C$42, 500, 500)*CHOOSE(CONTROL!$C$42, 0.275, 0.275)*CHOOSE(CONTROL!$C$42, 31, 31))/1000000</f>
        <v>4.2625000000000002</v>
      </c>
      <c r="W860" s="57">
        <f>(1000*CHOOSE(CONTROL!$C$42, 0.1146, 0.1146)*CHOOSE(CONTROL!$C$42, 121.5, 121.5)*CHOOSE(CONTROL!$C$42, 31, 31))/1000000</f>
        <v>0.43164089999999994</v>
      </c>
      <c r="X860" s="57">
        <f>(31*0.1790888*245000/1000000)+(31*0.2374*100000/1000000)</f>
        <v>2.0961194359999999</v>
      </c>
      <c r="Y860" s="57"/>
      <c r="Z860" s="14"/>
      <c r="AA860" s="56"/>
      <c r="AB860" s="50">
        <f>(B860*194.205+C860*267.466+D860*133.845+E860*53.484+F860*40+G860*185+H860*0+I860*100+J860*300)/(194.205+267.466+133.845+53.484+0+40+185+100+300)</f>
        <v>79.318694788383041</v>
      </c>
      <c r="AC860" s="45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77.793275539568342</v>
      </c>
    </row>
    <row r="861" spans="1:29" ht="15.75" x14ac:dyDescent="0.25">
      <c r="A861" s="32">
        <v>67114</v>
      </c>
      <c r="B861" s="14">
        <f>CHOOSE(CONTROL!$C$42, 74.2278, 74.2278) * CHOOSE(CONTROL!$C$21, $C$9, 100%, $E$9)</f>
        <v>74.227800000000002</v>
      </c>
      <c r="C861" s="14">
        <f>CHOOSE(CONTROL!$C$42, 74.2358, 74.2358) * CHOOSE(CONTROL!$C$21, $C$9, 100%, $E$9)</f>
        <v>74.235799999999998</v>
      </c>
      <c r="D861" s="14">
        <f>CHOOSE(CONTROL!$C$42, 74.4694, 74.4694) * CHOOSE(CONTROL!$C$21, $C$9, 100%, $E$9)</f>
        <v>74.469399999999993</v>
      </c>
      <c r="E861" s="14">
        <f>CHOOSE(CONTROL!$C$42, 74.5009, 74.5009) * CHOOSE(CONTROL!$C$21, $C$9, 100%, $E$9)</f>
        <v>74.500900000000001</v>
      </c>
      <c r="F861" s="14">
        <f>CHOOSE(CONTROL!$C$42, 74.2258, 74.2258)*CHOOSE(CONTROL!$C$21, $C$9, 100%, $E$9)</f>
        <v>74.225800000000007</v>
      </c>
      <c r="G861" s="14">
        <f>CHOOSE(CONTROL!$C$42, 74.2425, 74.2425)*CHOOSE(CONTROL!$C$21, $C$9, 100%, $E$9)</f>
        <v>74.242500000000007</v>
      </c>
      <c r="H861" s="14">
        <f>CHOOSE(CONTROL!$C$42, 74.4895, 74.4895) * CHOOSE(CONTROL!$C$21, $C$9, 100%, $E$9)</f>
        <v>74.489500000000007</v>
      </c>
      <c r="I861" s="14">
        <f>CHOOSE(CONTROL!$C$42, 74.4761, 74.4761)* CHOOSE(CONTROL!$C$21, $C$9, 100%, $E$9)</f>
        <v>74.476100000000002</v>
      </c>
      <c r="J861" s="14">
        <f>CHOOSE(CONTROL!$C$42, 74.2188, 74.2188)* CHOOSE(CONTROL!$C$21, $C$9, 100%, $E$9)</f>
        <v>74.218800000000002</v>
      </c>
      <c r="K861" s="53">
        <f>CHOOSE(CONTROL!$C$42, 74.4722, 74.4722) * CHOOSE(CONTROL!$C$21, $C$9, 100%, $E$9)</f>
        <v>74.472200000000001</v>
      </c>
      <c r="L861" s="14">
        <f>CHOOSE(CONTROL!$C$42, 75.0765, 75.0765) * CHOOSE(CONTROL!$C$21, $C$9, 100%, $E$9)</f>
        <v>75.076499999999996</v>
      </c>
      <c r="M861" s="14">
        <f>CHOOSE(CONTROL!$C$42, 72.7058, 72.7058) * CHOOSE(CONTROL!$C$21, $C$9, 100%, $E$9)</f>
        <v>72.705799999999996</v>
      </c>
      <c r="N861" s="14">
        <f>CHOOSE(CONTROL!$C$42, 72.7221, 72.7221) * CHOOSE(CONTROL!$C$21, $C$9, 100%, $E$9)</f>
        <v>72.722099999999998</v>
      </c>
      <c r="O861" s="14">
        <f>CHOOSE(CONTROL!$C$42, 72.9709, 72.9709) * CHOOSE(CONTROL!$C$21, $C$9, 100%, $E$9)</f>
        <v>72.9709</v>
      </c>
      <c r="P861" s="14">
        <f>CHOOSE(CONTROL!$C$42, 72.9533, 72.9533) * CHOOSE(CONTROL!$C$21, $C$9, 100%, $E$9)</f>
        <v>72.953299999999999</v>
      </c>
      <c r="Q861" s="14">
        <f>CHOOSE(CONTROL!$C$42, 73.5656, 73.5656) * CHOOSE(CONTROL!$C$21, $C$9, 100%, $E$9)</f>
        <v>73.565600000000003</v>
      </c>
      <c r="R861" s="14">
        <f>CHOOSE(CONTROL!$C$42, 74.3366, 74.3366) * CHOOSE(CONTROL!$C$21, $C$9, 100%, $E$9)</f>
        <v>74.336600000000004</v>
      </c>
      <c r="S861" s="14">
        <f>CHOOSE(CONTROL!$C$42, 71.3148, 71.3148) * CHOOSE(CONTROL!$C$21, $C$9, 100%, $E$9)</f>
        <v>71.314800000000005</v>
      </c>
      <c r="T8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7">
        <f>(1000*CHOOSE(CONTROL!$C$42, 695, 695)*CHOOSE(CONTROL!$C$42, 0.5599, 0.5599)*CHOOSE(CONTROL!$C$42, 30, 30))/1000000</f>
        <v>11.673914999999997</v>
      </c>
      <c r="V861" s="57">
        <f>(1000*CHOOSE(CONTROL!$C$42, 500, 500)*CHOOSE(CONTROL!$C$42, 0.275, 0.275)*CHOOSE(CONTROL!$C$42, 30, 30))/1000000</f>
        <v>4.125</v>
      </c>
      <c r="W861" s="57">
        <f>(1000*CHOOSE(CONTROL!$C$42, 0.1146, 0.1146)*CHOOSE(CONTROL!$C$42, 121.5, 121.5)*CHOOSE(CONTROL!$C$42, 30, 30))/1000000</f>
        <v>0.417717</v>
      </c>
      <c r="X861" s="57">
        <f>(30*0.1790888*245000/1000000)+(30*0.2374*100000/1000000)</f>
        <v>2.0285026799999999</v>
      </c>
      <c r="Y861" s="57"/>
      <c r="Z861" s="14"/>
      <c r="AA861" s="56"/>
      <c r="AB861" s="50">
        <f>(B861*194.205+C861*267.466+D861*133.845+E861*53.484+F861*40+G861*185+H861*0+I861*100+J861*300)/(194.205+267.466+133.845+53.484+0+40+185+100+300)</f>
        <v>74.285769121193098</v>
      </c>
      <c r="AC861" s="45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72.862502877697835</v>
      </c>
    </row>
    <row r="862" spans="1:29" ht="15.75" x14ac:dyDescent="0.25">
      <c r="A862" s="32">
        <v>67145</v>
      </c>
      <c r="B862" s="14">
        <f>CHOOSE(CONTROL!$C$42, 72.7191, 72.7191) * CHOOSE(CONTROL!$C$21, $C$9, 100%, $E$9)</f>
        <v>72.719099999999997</v>
      </c>
      <c r="C862" s="14">
        <f>CHOOSE(CONTROL!$C$42, 72.7245, 72.7245) * CHOOSE(CONTROL!$C$21, $C$9, 100%, $E$9)</f>
        <v>72.724500000000006</v>
      </c>
      <c r="D862" s="14">
        <f>CHOOSE(CONTROL!$C$42, 72.963, 72.963) * CHOOSE(CONTROL!$C$21, $C$9, 100%, $E$9)</f>
        <v>72.962999999999994</v>
      </c>
      <c r="E862" s="14">
        <f>CHOOSE(CONTROL!$C$42, 72.9921, 72.9921) * CHOOSE(CONTROL!$C$21, $C$9, 100%, $E$9)</f>
        <v>72.992099999999994</v>
      </c>
      <c r="F862" s="14">
        <f>CHOOSE(CONTROL!$C$42, 72.7192, 72.7192)*CHOOSE(CONTROL!$C$21, $C$9, 100%, $E$9)</f>
        <v>72.719200000000001</v>
      </c>
      <c r="G862" s="14">
        <f>CHOOSE(CONTROL!$C$42, 72.7354, 72.7354)*CHOOSE(CONTROL!$C$21, $C$9, 100%, $E$9)</f>
        <v>72.735399999999998</v>
      </c>
      <c r="H862" s="14">
        <f>CHOOSE(CONTROL!$C$42, 72.9826, 72.9826) * CHOOSE(CONTROL!$C$21, $C$9, 100%, $E$9)</f>
        <v>72.982600000000005</v>
      </c>
      <c r="I862" s="14">
        <f>CHOOSE(CONTROL!$C$42, 72.9645, 72.9645)* CHOOSE(CONTROL!$C$21, $C$9, 100%, $E$9)</f>
        <v>72.964500000000001</v>
      </c>
      <c r="J862" s="14">
        <f>CHOOSE(CONTROL!$C$42, 72.7122, 72.7122)* CHOOSE(CONTROL!$C$21, $C$9, 100%, $E$9)</f>
        <v>72.712199999999996</v>
      </c>
      <c r="K862" s="53">
        <f>CHOOSE(CONTROL!$C$42, 72.9606, 72.9606) * CHOOSE(CONTROL!$C$21, $C$9, 100%, $E$9)</f>
        <v>72.960599999999999</v>
      </c>
      <c r="L862" s="14">
        <f>CHOOSE(CONTROL!$C$42, 73.5696, 73.5696) * CHOOSE(CONTROL!$C$21, $C$9, 100%, $E$9)</f>
        <v>73.569599999999994</v>
      </c>
      <c r="M862" s="14">
        <f>CHOOSE(CONTROL!$C$42, 71.23, 71.23) * CHOOSE(CONTROL!$C$21, $C$9, 100%, $E$9)</f>
        <v>71.23</v>
      </c>
      <c r="N862" s="14">
        <f>CHOOSE(CONTROL!$C$42, 71.246, 71.246) * CHOOSE(CONTROL!$C$21, $C$9, 100%, $E$9)</f>
        <v>71.245999999999995</v>
      </c>
      <c r="O862" s="14">
        <f>CHOOSE(CONTROL!$C$42, 71.4949, 71.4949) * CHOOSE(CONTROL!$C$21, $C$9, 100%, $E$9)</f>
        <v>71.494900000000001</v>
      </c>
      <c r="P862" s="14">
        <f>CHOOSE(CONTROL!$C$42, 71.4727, 71.4727) * CHOOSE(CONTROL!$C$21, $C$9, 100%, $E$9)</f>
        <v>71.472700000000003</v>
      </c>
      <c r="Q862" s="14">
        <f>CHOOSE(CONTROL!$C$42, 72.0896, 72.0896) * CHOOSE(CONTROL!$C$21, $C$9, 100%, $E$9)</f>
        <v>72.089600000000004</v>
      </c>
      <c r="R862" s="14">
        <f>CHOOSE(CONTROL!$C$42, 72.8569, 72.8569) * CHOOSE(CONTROL!$C$21, $C$9, 100%, $E$9)</f>
        <v>72.856899999999996</v>
      </c>
      <c r="S862" s="14">
        <f>CHOOSE(CONTROL!$C$42, 69.8669, 69.8669) * CHOOSE(CONTROL!$C$21, $C$9, 100%, $E$9)</f>
        <v>69.866900000000001</v>
      </c>
      <c r="T8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7">
        <f>(1000*CHOOSE(CONTROL!$C$42, 695, 695)*CHOOSE(CONTROL!$C$42, 0.5599, 0.5599)*CHOOSE(CONTROL!$C$42, 31, 31))/1000000</f>
        <v>12.063045499999998</v>
      </c>
      <c r="V862" s="57">
        <f>(1000*CHOOSE(CONTROL!$C$42, 500, 500)*CHOOSE(CONTROL!$C$42, 0.275, 0.275)*CHOOSE(CONTROL!$C$42, 31, 31))/1000000</f>
        <v>4.2625000000000002</v>
      </c>
      <c r="W862" s="57">
        <f>(1000*CHOOSE(CONTROL!$C$42, 0.1146, 0.1146)*CHOOSE(CONTROL!$C$42, 121.5, 121.5)*CHOOSE(CONTROL!$C$42, 31, 31))/1000000</f>
        <v>0.43164089999999994</v>
      </c>
      <c r="X862" s="57">
        <f>(31*0.1790888*245000/1000000)+(31*0.2374*100000/1000000)</f>
        <v>2.0961194359999999</v>
      </c>
      <c r="Y862" s="57"/>
      <c r="Z862" s="14"/>
      <c r="AA862" s="56"/>
      <c r="AB862" s="50">
        <f>(B862*131.881+C862*277.167+D862*79.08+E862*125.872+F862*40+G862*185+H862*0+I862*100+J862*300)/(131.881+277.167+79.08+125.872+0+40+185+100+300)</f>
        <v>72.784182219370464</v>
      </c>
      <c r="AC862" s="45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71.385904316546771</v>
      </c>
    </row>
    <row r="863" spans="1:29" ht="15.75" x14ac:dyDescent="0.25">
      <c r="A863" s="32">
        <v>67175</v>
      </c>
      <c r="B863" s="14">
        <f>CHOOSE(CONTROL!$C$42, 74.6342, 74.6342) * CHOOSE(CONTROL!$C$21, $C$9, 100%, $E$9)</f>
        <v>74.634200000000007</v>
      </c>
      <c r="C863" s="14">
        <f>CHOOSE(CONTROL!$C$42, 74.6393, 74.6393) * CHOOSE(CONTROL!$C$21, $C$9, 100%, $E$9)</f>
        <v>74.639300000000006</v>
      </c>
      <c r="D863" s="14">
        <f>CHOOSE(CONTROL!$C$42, 74.7135, 74.7135) * CHOOSE(CONTROL!$C$21, $C$9, 100%, $E$9)</f>
        <v>74.713499999999996</v>
      </c>
      <c r="E863" s="14">
        <f>CHOOSE(CONTROL!$C$42, 74.7476, 74.7476) * CHOOSE(CONTROL!$C$21, $C$9, 100%, $E$9)</f>
        <v>74.747600000000006</v>
      </c>
      <c r="F863" s="14">
        <f>CHOOSE(CONTROL!$C$42, 74.6463, 74.6463)*CHOOSE(CONTROL!$C$21, $C$9, 100%, $E$9)</f>
        <v>74.646299999999997</v>
      </c>
      <c r="G863" s="14">
        <f>CHOOSE(CONTROL!$C$42, 74.6629, 74.6629)*CHOOSE(CONTROL!$C$21, $C$9, 100%, $E$9)</f>
        <v>74.662899999999993</v>
      </c>
      <c r="H863" s="14">
        <f>CHOOSE(CONTROL!$C$42, 74.7368, 74.7368) * CHOOSE(CONTROL!$C$21, $C$9, 100%, $E$9)</f>
        <v>74.736800000000002</v>
      </c>
      <c r="I863" s="14">
        <f>CHOOSE(CONTROL!$C$42, 74.8923, 74.8923)* CHOOSE(CONTROL!$C$21, $C$9, 100%, $E$9)</f>
        <v>74.892300000000006</v>
      </c>
      <c r="J863" s="14">
        <f>CHOOSE(CONTROL!$C$42, 74.6393, 74.6393)* CHOOSE(CONTROL!$C$21, $C$9, 100%, $E$9)</f>
        <v>74.639300000000006</v>
      </c>
      <c r="K863" s="53">
        <f>CHOOSE(CONTROL!$C$42, 74.8884, 74.8884) * CHOOSE(CONTROL!$C$21, $C$9, 100%, $E$9)</f>
        <v>74.888400000000004</v>
      </c>
      <c r="L863" s="14">
        <f>CHOOSE(CONTROL!$C$42, 75.3238, 75.3238) * CHOOSE(CONTROL!$C$21, $C$9, 100%, $E$9)</f>
        <v>75.323800000000006</v>
      </c>
      <c r="M863" s="14">
        <f>CHOOSE(CONTROL!$C$42, 73.1177, 73.1177) * CHOOSE(CONTROL!$C$21, $C$9, 100%, $E$9)</f>
        <v>73.117699999999999</v>
      </c>
      <c r="N863" s="14">
        <f>CHOOSE(CONTROL!$C$42, 73.1339, 73.1339) * CHOOSE(CONTROL!$C$21, $C$9, 100%, $E$9)</f>
        <v>73.133899999999997</v>
      </c>
      <c r="O863" s="14">
        <f>CHOOSE(CONTROL!$C$42, 73.2132, 73.2132) * CHOOSE(CONTROL!$C$21, $C$9, 100%, $E$9)</f>
        <v>73.213200000000001</v>
      </c>
      <c r="P863" s="14">
        <f>CHOOSE(CONTROL!$C$42, 73.3609, 73.3609) * CHOOSE(CONTROL!$C$21, $C$9, 100%, $E$9)</f>
        <v>73.360900000000001</v>
      </c>
      <c r="Q863" s="14">
        <f>CHOOSE(CONTROL!$C$42, 73.8079, 73.8079) * CHOOSE(CONTROL!$C$21, $C$9, 100%, $E$9)</f>
        <v>73.807900000000004</v>
      </c>
      <c r="R863" s="14">
        <f>CHOOSE(CONTROL!$C$42, 74.5794, 74.5794) * CHOOSE(CONTROL!$C$21, $C$9, 100%, $E$9)</f>
        <v>74.579400000000007</v>
      </c>
      <c r="S863" s="14">
        <f>CHOOSE(CONTROL!$C$42, 71.7075, 71.7075) * CHOOSE(CONTROL!$C$21, $C$9, 100%, $E$9)</f>
        <v>71.707499999999996</v>
      </c>
      <c r="T8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7">
        <f>(1000*CHOOSE(CONTROL!$C$42, 695, 695)*CHOOSE(CONTROL!$C$42, 0.5599, 0.5599)*CHOOSE(CONTROL!$C$42, 30, 30))/1000000</f>
        <v>11.673914999999997</v>
      </c>
      <c r="V863" s="57">
        <f>(1000*CHOOSE(CONTROL!$C$42, 500, 500)*CHOOSE(CONTROL!$C$42, 0.275, 0.275)*CHOOSE(CONTROL!$C$42, 30, 30))/1000000</f>
        <v>4.125</v>
      </c>
      <c r="W863" s="57">
        <f>(1000*CHOOSE(CONTROL!$C$42, 0.1146, 0.1146)*CHOOSE(CONTROL!$C$42, 121.5, 121.5)*CHOOSE(CONTROL!$C$42, 30, 30))/1000000</f>
        <v>0.417717</v>
      </c>
      <c r="X863" s="57">
        <f>(30*0.1790888*100000/1000000)+(30*0.2374*100000/1000000)</f>
        <v>1.2494664</v>
      </c>
      <c r="Y863" s="57"/>
      <c r="Z863" s="14"/>
      <c r="AA863" s="56"/>
      <c r="AB863" s="50">
        <f>(B863*122.58+C863*297.941+D863*89.177+E863*40.302+F863*40+G863*160+H863*0+I863*100+J863*300)/(122.58+297.941+89.177+40.302+0+40+160+100+300)</f>
        <v>74.673832593043485</v>
      </c>
      <c r="AC863" s="45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73.196909352517977</v>
      </c>
    </row>
    <row r="864" spans="1:29" ht="15.75" x14ac:dyDescent="0.25">
      <c r="A864" s="32">
        <v>67206</v>
      </c>
      <c r="B864" s="14">
        <f>CHOOSE(CONTROL!$C$42, 79.7221, 79.7221) * CHOOSE(CONTROL!$C$21, $C$9, 100%, $E$9)</f>
        <v>79.722099999999998</v>
      </c>
      <c r="C864" s="14">
        <f>CHOOSE(CONTROL!$C$42, 79.7271, 79.7271) * CHOOSE(CONTROL!$C$21, $C$9, 100%, $E$9)</f>
        <v>79.727099999999993</v>
      </c>
      <c r="D864" s="14">
        <f>CHOOSE(CONTROL!$C$42, 79.8014, 79.8014) * CHOOSE(CONTROL!$C$21, $C$9, 100%, $E$9)</f>
        <v>79.801400000000001</v>
      </c>
      <c r="E864" s="14">
        <f>CHOOSE(CONTROL!$C$42, 79.8355, 79.8355) * CHOOSE(CONTROL!$C$21, $C$9, 100%, $E$9)</f>
        <v>79.835499999999996</v>
      </c>
      <c r="F864" s="14">
        <f>CHOOSE(CONTROL!$C$42, 79.7363, 79.7363)*CHOOSE(CONTROL!$C$21, $C$9, 100%, $E$9)</f>
        <v>79.7363</v>
      </c>
      <c r="G864" s="14">
        <f>CHOOSE(CONTROL!$C$42, 79.7535, 79.7535)*CHOOSE(CONTROL!$C$21, $C$9, 100%, $E$9)</f>
        <v>79.753500000000003</v>
      </c>
      <c r="H864" s="14">
        <f>CHOOSE(CONTROL!$C$42, 79.8247, 79.8247) * CHOOSE(CONTROL!$C$21, $C$9, 100%, $E$9)</f>
        <v>79.824700000000007</v>
      </c>
      <c r="I864" s="14">
        <f>CHOOSE(CONTROL!$C$42, 79.9961, 79.9961)* CHOOSE(CONTROL!$C$21, $C$9, 100%, $E$9)</f>
        <v>79.996099999999998</v>
      </c>
      <c r="J864" s="14">
        <f>CHOOSE(CONTROL!$C$42, 79.7293, 79.7293)* CHOOSE(CONTROL!$C$21, $C$9, 100%, $E$9)</f>
        <v>79.729299999999995</v>
      </c>
      <c r="K864" s="53">
        <f>CHOOSE(CONTROL!$C$42, 79.9922, 79.9922) * CHOOSE(CONTROL!$C$21, $C$9, 100%, $E$9)</f>
        <v>79.992199999999997</v>
      </c>
      <c r="L864" s="14">
        <f>CHOOSE(CONTROL!$C$42, 80.4117, 80.4117) * CHOOSE(CONTROL!$C$21, $C$9, 100%, $E$9)</f>
        <v>80.411699999999996</v>
      </c>
      <c r="M864" s="14">
        <f>CHOOSE(CONTROL!$C$42, 78.1034, 78.1034) * CHOOSE(CONTROL!$C$21, $C$9, 100%, $E$9)</f>
        <v>78.103399999999993</v>
      </c>
      <c r="N864" s="14">
        <f>CHOOSE(CONTROL!$C$42, 78.1202, 78.1202) * CHOOSE(CONTROL!$C$21, $C$9, 100%, $E$9)</f>
        <v>78.120199999999997</v>
      </c>
      <c r="O864" s="14">
        <f>CHOOSE(CONTROL!$C$42, 78.1968, 78.1968) * CHOOSE(CONTROL!$C$21, $C$9, 100%, $E$9)</f>
        <v>78.196799999999996</v>
      </c>
      <c r="P864" s="14">
        <f>CHOOSE(CONTROL!$C$42, 78.3598, 78.3598) * CHOOSE(CONTROL!$C$21, $C$9, 100%, $E$9)</f>
        <v>78.359800000000007</v>
      </c>
      <c r="Q864" s="14">
        <f>CHOOSE(CONTROL!$C$42, 78.7915, 78.7915) * CHOOSE(CONTROL!$C$21, $C$9, 100%, $E$9)</f>
        <v>78.791499999999999</v>
      </c>
      <c r="R864" s="14">
        <f>CHOOSE(CONTROL!$C$42, 79.5755, 79.5755) * CHOOSE(CONTROL!$C$21, $C$9, 100%, $E$9)</f>
        <v>79.575500000000005</v>
      </c>
      <c r="S864" s="14">
        <f>CHOOSE(CONTROL!$C$42, 76.5964, 76.5964) * CHOOSE(CONTROL!$C$21, $C$9, 100%, $E$9)</f>
        <v>76.596400000000003</v>
      </c>
      <c r="T8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7">
        <f>(1000*CHOOSE(CONTROL!$C$42, 695, 695)*CHOOSE(CONTROL!$C$42, 0.5599, 0.5599)*CHOOSE(CONTROL!$C$42, 31, 31))/1000000</f>
        <v>12.063045499999998</v>
      </c>
      <c r="V864" s="57">
        <f>(1000*CHOOSE(CONTROL!$C$42, 500, 500)*CHOOSE(CONTROL!$C$42, 0.275, 0.275)*CHOOSE(CONTROL!$C$42, 31, 31))/1000000</f>
        <v>4.2625000000000002</v>
      </c>
      <c r="W864" s="57">
        <f>(1000*CHOOSE(CONTROL!$C$42, 0.1146, 0.1146)*CHOOSE(CONTROL!$C$42, 121.5, 121.5)*CHOOSE(CONTROL!$C$42, 31, 31))/1000000</f>
        <v>0.43164089999999994</v>
      </c>
      <c r="X864" s="57">
        <f>(31*0.1790888*100000/1000000)+(31*0.2374*100000/1000000)</f>
        <v>1.2911152800000001</v>
      </c>
      <c r="Y864" s="57"/>
      <c r="Z864" s="14"/>
      <c r="AA864" s="56"/>
      <c r="AB864" s="50">
        <f>(B864*122.58+C864*297.941+D864*89.177+E864*40.302+F864*40+G864*160+H864*0+I864*100+J864*300)/(122.58+297.941+89.177+40.302+0+40+160+100+300)</f>
        <v>79.76408581556521</v>
      </c>
      <c r="AC864" s="45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78.183591366906469</v>
      </c>
    </row>
    <row r="865" spans="1:29" ht="15.75" x14ac:dyDescent="0.25">
      <c r="A865" s="32">
        <v>67237</v>
      </c>
      <c r="B865" s="14">
        <f>CHOOSE(CONTROL!$C$42, 86.3303, 86.3303) * CHOOSE(CONTROL!$C$21, $C$9, 100%, $E$9)</f>
        <v>86.330299999999994</v>
      </c>
      <c r="C865" s="14">
        <f>CHOOSE(CONTROL!$C$42, 86.3354, 86.3354) * CHOOSE(CONTROL!$C$21, $C$9, 100%, $E$9)</f>
        <v>86.335400000000007</v>
      </c>
      <c r="D865" s="14">
        <f>CHOOSE(CONTROL!$C$42, 86.4122, 86.4122) * CHOOSE(CONTROL!$C$21, $C$9, 100%, $E$9)</f>
        <v>86.412199999999999</v>
      </c>
      <c r="E865" s="14">
        <f>CHOOSE(CONTROL!$C$42, 86.4463, 86.4463) * CHOOSE(CONTROL!$C$21, $C$9, 100%, $E$9)</f>
        <v>86.446299999999994</v>
      </c>
      <c r="F865" s="14">
        <f>CHOOSE(CONTROL!$C$42, 86.3305, 86.3305)*CHOOSE(CONTROL!$C$21, $C$9, 100%, $E$9)</f>
        <v>86.330500000000001</v>
      </c>
      <c r="G865" s="14">
        <f>CHOOSE(CONTROL!$C$42, 86.3467, 86.3467)*CHOOSE(CONTROL!$C$21, $C$9, 100%, $E$9)</f>
        <v>86.346699999999998</v>
      </c>
      <c r="H865" s="14">
        <f>CHOOSE(CONTROL!$C$42, 86.4355, 86.4355) * CHOOSE(CONTROL!$C$21, $C$9, 100%, $E$9)</f>
        <v>86.435500000000005</v>
      </c>
      <c r="I865" s="14">
        <f>CHOOSE(CONTROL!$C$42, 86.6187, 86.6187)* CHOOSE(CONTROL!$C$21, $C$9, 100%, $E$9)</f>
        <v>86.618700000000004</v>
      </c>
      <c r="J865" s="14">
        <f>CHOOSE(CONTROL!$C$42, 86.3235, 86.3235)* CHOOSE(CONTROL!$C$21, $C$9, 100%, $E$9)</f>
        <v>86.323499999999996</v>
      </c>
      <c r="K865" s="53">
        <f>CHOOSE(CONTROL!$C$42, 86.6148, 86.6148) * CHOOSE(CONTROL!$C$21, $C$9, 100%, $E$9)</f>
        <v>86.614800000000002</v>
      </c>
      <c r="L865" s="14">
        <f>CHOOSE(CONTROL!$C$42, 87.0225, 87.0225) * CHOOSE(CONTROL!$C$21, $C$9, 100%, $E$9)</f>
        <v>87.022499999999994</v>
      </c>
      <c r="M865" s="14">
        <f>CHOOSE(CONTROL!$C$42, 84.5625, 84.5625) * CHOOSE(CONTROL!$C$21, $C$9, 100%, $E$9)</f>
        <v>84.5625</v>
      </c>
      <c r="N865" s="14">
        <f>CHOOSE(CONTROL!$C$42, 84.5784, 84.5784) * CHOOSE(CONTROL!$C$21, $C$9, 100%, $E$9)</f>
        <v>84.578400000000002</v>
      </c>
      <c r="O865" s="14">
        <f>CHOOSE(CONTROL!$C$42, 84.6722, 84.6722) * CHOOSE(CONTROL!$C$21, $C$9, 100%, $E$9)</f>
        <v>84.672200000000004</v>
      </c>
      <c r="P865" s="14">
        <f>CHOOSE(CONTROL!$C$42, 84.8463, 84.8463) * CHOOSE(CONTROL!$C$21, $C$9, 100%, $E$9)</f>
        <v>84.846299999999999</v>
      </c>
      <c r="Q865" s="14">
        <f>CHOOSE(CONTROL!$C$42, 85.2669, 85.2669) * CHOOSE(CONTROL!$C$21, $C$9, 100%, $E$9)</f>
        <v>85.266900000000007</v>
      </c>
      <c r="R865" s="14">
        <f>CHOOSE(CONTROL!$C$42, 86.067, 86.067) * CHOOSE(CONTROL!$C$21, $C$9, 100%, $E$9)</f>
        <v>86.066999999999993</v>
      </c>
      <c r="S865" s="14">
        <f>CHOOSE(CONTROL!$C$42, 82.9462, 82.9462) * CHOOSE(CONTROL!$C$21, $C$9, 100%, $E$9)</f>
        <v>82.946200000000005</v>
      </c>
      <c r="T8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7">
        <f>(1000*CHOOSE(CONTROL!$C$42, 695, 695)*CHOOSE(CONTROL!$C$42, 0.5599, 0.5599)*CHOOSE(CONTROL!$C$42, 31, 31))/1000000</f>
        <v>12.063045499999998</v>
      </c>
      <c r="V865" s="57">
        <f>(1000*CHOOSE(CONTROL!$C$42, 500, 500)*CHOOSE(CONTROL!$C$42, 0.275, 0.275)*CHOOSE(CONTROL!$C$42, 31, 31))/1000000</f>
        <v>4.2625000000000002</v>
      </c>
      <c r="W865" s="57">
        <f>(1000*CHOOSE(CONTROL!$C$42, 0.1146, 0.1146)*CHOOSE(CONTROL!$C$42, 121.5, 121.5)*CHOOSE(CONTROL!$C$42, 31, 31))/1000000</f>
        <v>0.43164089999999994</v>
      </c>
      <c r="X865" s="57">
        <f>(31*0.1790888*100000/1000000)+(31*0.2374*100000/1000000)</f>
        <v>1.2911152800000001</v>
      </c>
      <c r="Y865" s="57"/>
      <c r="Z865" s="14"/>
      <c r="AA865" s="56"/>
      <c r="AB865" s="50">
        <f>(B865*122.58+C865*297.941+D865*89.177+E865*40.302+F865*40+G865*160+H865*0+I865*100+J865*300)/(122.58+297.941+89.177+40.302+0+40+160+100+300)</f>
        <v>86.36763054556522</v>
      </c>
      <c r="AC865" s="45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84.653969784172659</v>
      </c>
    </row>
    <row r="866" spans="1:29" ht="15.75" x14ac:dyDescent="0.25">
      <c r="A866" s="32">
        <v>67266</v>
      </c>
      <c r="B866" s="14">
        <f>CHOOSE(CONTROL!$C$42, 87.8669, 87.8669) * CHOOSE(CONTROL!$C$21, $C$9, 100%, $E$9)</f>
        <v>87.866900000000001</v>
      </c>
      <c r="C866" s="14">
        <f>CHOOSE(CONTROL!$C$42, 87.872, 87.872) * CHOOSE(CONTROL!$C$21, $C$9, 100%, $E$9)</f>
        <v>87.872</v>
      </c>
      <c r="D866" s="14">
        <f>CHOOSE(CONTROL!$C$42, 87.9488, 87.9488) * CHOOSE(CONTROL!$C$21, $C$9, 100%, $E$9)</f>
        <v>87.948800000000006</v>
      </c>
      <c r="E866" s="14">
        <f>CHOOSE(CONTROL!$C$42, 87.9829, 87.9829) * CHOOSE(CONTROL!$C$21, $C$9, 100%, $E$9)</f>
        <v>87.982900000000001</v>
      </c>
      <c r="F866" s="14">
        <f>CHOOSE(CONTROL!$C$42, 87.8672, 87.8672)*CHOOSE(CONTROL!$C$21, $C$9, 100%, $E$9)</f>
        <v>87.867199999999997</v>
      </c>
      <c r="G866" s="14">
        <f>CHOOSE(CONTROL!$C$42, 87.8834, 87.8834)*CHOOSE(CONTROL!$C$21, $C$9, 100%, $E$9)</f>
        <v>87.883399999999995</v>
      </c>
      <c r="H866" s="14">
        <f>CHOOSE(CONTROL!$C$42, 87.9721, 87.9721) * CHOOSE(CONTROL!$C$21, $C$9, 100%, $E$9)</f>
        <v>87.972099999999998</v>
      </c>
      <c r="I866" s="14">
        <f>CHOOSE(CONTROL!$C$42, 88.1602, 88.1602)* CHOOSE(CONTROL!$C$21, $C$9, 100%, $E$9)</f>
        <v>88.160200000000003</v>
      </c>
      <c r="J866" s="14">
        <f>CHOOSE(CONTROL!$C$42, 87.8602, 87.8602)* CHOOSE(CONTROL!$C$21, $C$9, 100%, $E$9)</f>
        <v>87.860200000000006</v>
      </c>
      <c r="K866" s="53">
        <f>CHOOSE(CONTROL!$C$42, 88.1563, 88.1563) * CHOOSE(CONTROL!$C$21, $C$9, 100%, $E$9)</f>
        <v>88.156300000000002</v>
      </c>
      <c r="L866" s="14">
        <f>CHOOSE(CONTROL!$C$42, 88.5591, 88.5591) * CHOOSE(CONTROL!$C$21, $C$9, 100%, $E$9)</f>
        <v>88.559100000000001</v>
      </c>
      <c r="M866" s="14">
        <f>CHOOSE(CONTROL!$C$42, 86.0677, 86.0677) * CHOOSE(CONTROL!$C$21, $C$9, 100%, $E$9)</f>
        <v>86.067700000000002</v>
      </c>
      <c r="N866" s="14">
        <f>CHOOSE(CONTROL!$C$42, 86.0836, 86.0836) * CHOOSE(CONTROL!$C$21, $C$9, 100%, $E$9)</f>
        <v>86.083600000000004</v>
      </c>
      <c r="O866" s="14">
        <f>CHOOSE(CONTROL!$C$42, 86.1773, 86.1773) * CHOOSE(CONTROL!$C$21, $C$9, 100%, $E$9)</f>
        <v>86.177300000000002</v>
      </c>
      <c r="P866" s="14">
        <f>CHOOSE(CONTROL!$C$42, 86.3561, 86.3561) * CHOOSE(CONTROL!$C$21, $C$9, 100%, $E$9)</f>
        <v>86.356099999999998</v>
      </c>
      <c r="Q866" s="14">
        <f>CHOOSE(CONTROL!$C$42, 86.772, 86.772) * CHOOSE(CONTROL!$C$21, $C$9, 100%, $E$9)</f>
        <v>86.772000000000006</v>
      </c>
      <c r="R866" s="14">
        <f>CHOOSE(CONTROL!$C$42, 87.576, 87.576) * CHOOSE(CONTROL!$C$21, $C$9, 100%, $E$9)</f>
        <v>87.575999999999993</v>
      </c>
      <c r="S866" s="14">
        <f>CHOOSE(CONTROL!$C$42, 84.4228, 84.4228) * CHOOSE(CONTROL!$C$21, $C$9, 100%, $E$9)</f>
        <v>84.422799999999995</v>
      </c>
      <c r="T86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7">
        <f>(1000*CHOOSE(CONTROL!$C$42, 695, 695)*CHOOSE(CONTROL!$C$42, 0.5599, 0.5599)*CHOOSE(CONTROL!$C$42, 29, 29))/1000000</f>
        <v>11.284784499999999</v>
      </c>
      <c r="V866" s="57">
        <f>(1000*CHOOSE(CONTROL!$C$42, 500, 500)*CHOOSE(CONTROL!$C$42, 0.275, 0.275)*CHOOSE(CONTROL!$C$42, 29, 29))/1000000</f>
        <v>3.9874999999999998</v>
      </c>
      <c r="W866" s="57">
        <f>(1000*CHOOSE(CONTROL!$C$42, 0.1146, 0.1146)*CHOOSE(CONTROL!$C$42, 121.5, 121.5)*CHOOSE(CONTROL!$C$42, 29, 29))/1000000</f>
        <v>0.40379309999999996</v>
      </c>
      <c r="X866" s="57">
        <f>(29*0.1790888*100000/1000000)+(29*0.2374*100000/1000000)</f>
        <v>1.2078175199999999</v>
      </c>
      <c r="Y866" s="57"/>
      <c r="Z866" s="14"/>
      <c r="AA866" s="56"/>
      <c r="AB866" s="50">
        <f>(B866*122.58+C866*297.941+D866*89.177+E866*40.302+F866*40+G866*160+H866*0+I866*100+J866*300)/(122.58+297.941+89.177+40.302+0+40+160+100+300)</f>
        <v>87.904700110782613</v>
      </c>
      <c r="AC866" s="45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86.159786330935248</v>
      </c>
    </row>
    <row r="867" spans="1:29" ht="15.75" x14ac:dyDescent="0.25">
      <c r="A867" s="32">
        <v>67297</v>
      </c>
      <c r="B867" s="14">
        <f>CHOOSE(CONTROL!$C$42, 85.3726, 85.3726) * CHOOSE(CONTROL!$C$21, $C$9, 100%, $E$9)</f>
        <v>85.372600000000006</v>
      </c>
      <c r="C867" s="14">
        <f>CHOOSE(CONTROL!$C$42, 85.3777, 85.3777) * CHOOSE(CONTROL!$C$21, $C$9, 100%, $E$9)</f>
        <v>85.377700000000004</v>
      </c>
      <c r="D867" s="14">
        <f>CHOOSE(CONTROL!$C$42, 85.4545, 85.4545) * CHOOSE(CONTROL!$C$21, $C$9, 100%, $E$9)</f>
        <v>85.454499999999996</v>
      </c>
      <c r="E867" s="14">
        <f>CHOOSE(CONTROL!$C$42, 85.4886, 85.4886) * CHOOSE(CONTROL!$C$21, $C$9, 100%, $E$9)</f>
        <v>85.488600000000005</v>
      </c>
      <c r="F867" s="14">
        <f>CHOOSE(CONTROL!$C$42, 85.3724, 85.3724)*CHOOSE(CONTROL!$C$21, $C$9, 100%, $E$9)</f>
        <v>85.372399999999999</v>
      </c>
      <c r="G867" s="14">
        <f>CHOOSE(CONTROL!$C$42, 85.3885, 85.3885)*CHOOSE(CONTROL!$C$21, $C$9, 100%, $E$9)</f>
        <v>85.388499999999993</v>
      </c>
      <c r="H867" s="14">
        <f>CHOOSE(CONTROL!$C$42, 85.4778, 85.4778) * CHOOSE(CONTROL!$C$21, $C$9, 100%, $E$9)</f>
        <v>85.477800000000002</v>
      </c>
      <c r="I867" s="14">
        <f>CHOOSE(CONTROL!$C$42, 85.658, 85.658)* CHOOSE(CONTROL!$C$21, $C$9, 100%, $E$9)</f>
        <v>85.658000000000001</v>
      </c>
      <c r="J867" s="14">
        <f>CHOOSE(CONTROL!$C$42, 85.3654, 85.3654)* CHOOSE(CONTROL!$C$21, $C$9, 100%, $E$9)</f>
        <v>85.365399999999994</v>
      </c>
      <c r="K867" s="53">
        <f>CHOOSE(CONTROL!$C$42, 85.6542, 85.6542) * CHOOSE(CONTROL!$C$21, $C$9, 100%, $E$9)</f>
        <v>85.654200000000003</v>
      </c>
      <c r="L867" s="14">
        <f>CHOOSE(CONTROL!$C$42, 86.0648, 86.0648) * CHOOSE(CONTROL!$C$21, $C$9, 100%, $E$9)</f>
        <v>86.064800000000005</v>
      </c>
      <c r="M867" s="14">
        <f>CHOOSE(CONTROL!$C$42, 83.624, 83.624) * CHOOSE(CONTROL!$C$21, $C$9, 100%, $E$9)</f>
        <v>83.623999999999995</v>
      </c>
      <c r="N867" s="14">
        <f>CHOOSE(CONTROL!$C$42, 83.6398, 83.6398) * CHOOSE(CONTROL!$C$21, $C$9, 100%, $E$9)</f>
        <v>83.639799999999994</v>
      </c>
      <c r="O867" s="14">
        <f>CHOOSE(CONTROL!$C$42, 83.7341, 83.7341) * CHOOSE(CONTROL!$C$21, $C$9, 100%, $E$9)</f>
        <v>83.734099999999998</v>
      </c>
      <c r="P867" s="14">
        <f>CHOOSE(CONTROL!$C$42, 83.9054, 83.9054) * CHOOSE(CONTROL!$C$21, $C$9, 100%, $E$9)</f>
        <v>83.9054</v>
      </c>
      <c r="Q867" s="14">
        <f>CHOOSE(CONTROL!$C$42, 84.3288, 84.3288) * CHOOSE(CONTROL!$C$21, $C$9, 100%, $E$9)</f>
        <v>84.328800000000001</v>
      </c>
      <c r="R867" s="14">
        <f>CHOOSE(CONTROL!$C$42, 85.1266, 85.1266) * CHOOSE(CONTROL!$C$21, $C$9, 100%, $E$9)</f>
        <v>85.126599999999996</v>
      </c>
      <c r="S867" s="14">
        <f>CHOOSE(CONTROL!$C$42, 82.026, 82.026) * CHOOSE(CONTROL!$C$21, $C$9, 100%, $E$9)</f>
        <v>82.025999999999996</v>
      </c>
      <c r="T8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7">
        <f>(1000*CHOOSE(CONTROL!$C$42, 695, 695)*CHOOSE(CONTROL!$C$42, 0.5599, 0.5599)*CHOOSE(CONTROL!$C$42, 31, 31))/1000000</f>
        <v>12.063045499999998</v>
      </c>
      <c r="V867" s="57">
        <f>(1000*CHOOSE(CONTROL!$C$42, 500, 500)*CHOOSE(CONTROL!$C$42, 0.275, 0.275)*CHOOSE(CONTROL!$C$42, 31, 31))/1000000</f>
        <v>4.2625000000000002</v>
      </c>
      <c r="W867" s="57">
        <f>(1000*CHOOSE(CONTROL!$C$42, 0.1146, 0.1146)*CHOOSE(CONTROL!$C$42, 121.5, 121.5)*CHOOSE(CONTROL!$C$42, 31, 31))/1000000</f>
        <v>0.43164089999999994</v>
      </c>
      <c r="X867" s="57">
        <f>(31*0.1790888*100000/1000000)+(31*0.2374*100000/1000000)</f>
        <v>1.2911152800000001</v>
      </c>
      <c r="Y867" s="57"/>
      <c r="Z867" s="14"/>
      <c r="AA867" s="56"/>
      <c r="AB867" s="50">
        <f>(B867*122.58+C867*297.941+D867*89.177+E867*40.302+F867*40+G867*160+H867*0+I867*100+J867*300)/(122.58+297.941+89.177+40.302+0+40+160+100+300)</f>
        <v>85.409481849913035</v>
      </c>
      <c r="AC867" s="45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83.715299999999999</v>
      </c>
    </row>
    <row r="868" spans="1:29" ht="15.75" x14ac:dyDescent="0.25">
      <c r="A868" s="32">
        <v>67327</v>
      </c>
      <c r="B868" s="14">
        <f>CHOOSE(CONTROL!$C$42, 85.1182, 85.1182) * CHOOSE(CONTROL!$C$21, $C$9, 100%, $E$9)</f>
        <v>85.118200000000002</v>
      </c>
      <c r="C868" s="14">
        <f>CHOOSE(CONTROL!$C$42, 85.1227, 85.1227) * CHOOSE(CONTROL!$C$21, $C$9, 100%, $E$9)</f>
        <v>85.122699999999995</v>
      </c>
      <c r="D868" s="14">
        <f>CHOOSE(CONTROL!$C$42, 85.3595, 85.3595) * CHOOSE(CONTROL!$C$21, $C$9, 100%, $E$9)</f>
        <v>85.359499999999997</v>
      </c>
      <c r="E868" s="14">
        <f>CHOOSE(CONTROL!$C$42, 85.3916, 85.3916) * CHOOSE(CONTROL!$C$21, $C$9, 100%, $E$9)</f>
        <v>85.391599999999997</v>
      </c>
      <c r="F868" s="14">
        <f>CHOOSE(CONTROL!$C$42, 85.1162, 85.1162)*CHOOSE(CONTROL!$C$21, $C$9, 100%, $E$9)</f>
        <v>85.116200000000006</v>
      </c>
      <c r="G868" s="14">
        <f>CHOOSE(CONTROL!$C$42, 85.132, 85.132)*CHOOSE(CONTROL!$C$21, $C$9, 100%, $E$9)</f>
        <v>85.132000000000005</v>
      </c>
      <c r="H868" s="14">
        <f>CHOOSE(CONTROL!$C$42, 85.3814, 85.3814) * CHOOSE(CONTROL!$C$21, $C$9, 100%, $E$9)</f>
        <v>85.381399999999999</v>
      </c>
      <c r="I868" s="14">
        <f>CHOOSE(CONTROL!$C$42, 85.4021, 85.4021)* CHOOSE(CONTROL!$C$21, $C$9, 100%, $E$9)</f>
        <v>85.402100000000004</v>
      </c>
      <c r="J868" s="14">
        <f>CHOOSE(CONTROL!$C$42, 85.1092, 85.1092)* CHOOSE(CONTROL!$C$21, $C$9, 100%, $E$9)</f>
        <v>85.109200000000001</v>
      </c>
      <c r="K868" s="53">
        <f>CHOOSE(CONTROL!$C$42, 85.3982, 85.3982) * CHOOSE(CONTROL!$C$21, $C$9, 100%, $E$9)</f>
        <v>85.398200000000003</v>
      </c>
      <c r="L868" s="14">
        <f>CHOOSE(CONTROL!$C$42, 85.9684, 85.9684) * CHOOSE(CONTROL!$C$21, $C$9, 100%, $E$9)</f>
        <v>85.968400000000003</v>
      </c>
      <c r="M868" s="14">
        <f>CHOOSE(CONTROL!$C$42, 83.3731, 83.3731) * CHOOSE(CONTROL!$C$21, $C$9, 100%, $E$9)</f>
        <v>83.373099999999994</v>
      </c>
      <c r="N868" s="14">
        <f>CHOOSE(CONTROL!$C$42, 83.3886, 83.3886) * CHOOSE(CONTROL!$C$21, $C$9, 100%, $E$9)</f>
        <v>83.388599999999997</v>
      </c>
      <c r="O868" s="14">
        <f>CHOOSE(CONTROL!$C$42, 83.6396, 83.6396) * CHOOSE(CONTROL!$C$21, $C$9, 100%, $E$9)</f>
        <v>83.639600000000002</v>
      </c>
      <c r="P868" s="14">
        <f>CHOOSE(CONTROL!$C$42, 83.6547, 83.6547) * CHOOSE(CONTROL!$C$21, $C$9, 100%, $E$9)</f>
        <v>83.654700000000005</v>
      </c>
      <c r="Q868" s="14">
        <f>CHOOSE(CONTROL!$C$42, 84.2343, 84.2343) * CHOOSE(CONTROL!$C$21, $C$9, 100%, $E$9)</f>
        <v>84.234300000000005</v>
      </c>
      <c r="R868" s="14">
        <f>CHOOSE(CONTROL!$C$42, 85.0319, 85.0319) * CHOOSE(CONTROL!$C$21, $C$9, 100%, $E$9)</f>
        <v>85.031899999999993</v>
      </c>
      <c r="S868" s="14">
        <f>CHOOSE(CONTROL!$C$42, 81.7808, 81.7808) * CHOOSE(CONTROL!$C$21, $C$9, 100%, $E$9)</f>
        <v>81.780799999999999</v>
      </c>
      <c r="T8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7">
        <f>(1000*CHOOSE(CONTROL!$C$42, 695, 695)*CHOOSE(CONTROL!$C$42, 0.5599, 0.5599)*CHOOSE(CONTROL!$C$42, 30, 30))/1000000</f>
        <v>11.673914999999997</v>
      </c>
      <c r="V868" s="57">
        <f>(1000*CHOOSE(CONTROL!$C$42, 500, 500)*CHOOSE(CONTROL!$C$42, 0.275, 0.275)*CHOOSE(CONTROL!$C$42, 30, 30))/1000000</f>
        <v>4.125</v>
      </c>
      <c r="W868" s="57">
        <f>(1000*CHOOSE(CONTROL!$C$42, 0.1146, 0.1146)*CHOOSE(CONTROL!$C$42, 121.5, 121.5)*CHOOSE(CONTROL!$C$42, 30, 30))/1000000</f>
        <v>0.417717</v>
      </c>
      <c r="X868" s="57">
        <f>(30*0.1790888*245000/1000000)+(30*0.2374*100000/1000000)</f>
        <v>2.0285026799999999</v>
      </c>
      <c r="Y868" s="57"/>
      <c r="Z868" s="14"/>
      <c r="AA868" s="56"/>
      <c r="AB868" s="50">
        <f>(B868*141.293+C868*267.993+D868*115.016+E868*89.698+F868*40+G868*185+H868*0+I868*100+J868*300)/(141.293+267.993+115.016+89.698+0+40+185+100+300)</f>
        <v>85.184096499192904</v>
      </c>
      <c r="AC868" s="45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83.535297841726617</v>
      </c>
    </row>
    <row r="869" spans="1:29" ht="15.75" x14ac:dyDescent="0.25">
      <c r="A869" s="32">
        <v>67358</v>
      </c>
      <c r="B869" s="14">
        <f>CHOOSE(CONTROL!$C$42, 85.8708, 85.8708) * CHOOSE(CONTROL!$C$21, $C$9, 100%, $E$9)</f>
        <v>85.870800000000003</v>
      </c>
      <c r="C869" s="14">
        <f>CHOOSE(CONTROL!$C$42, 85.8788, 85.8788) * CHOOSE(CONTROL!$C$21, $C$9, 100%, $E$9)</f>
        <v>85.878799999999998</v>
      </c>
      <c r="D869" s="14">
        <f>CHOOSE(CONTROL!$C$42, 86.1124, 86.1124) * CHOOSE(CONTROL!$C$21, $C$9, 100%, $E$9)</f>
        <v>86.112399999999994</v>
      </c>
      <c r="E869" s="14">
        <f>CHOOSE(CONTROL!$C$42, 86.1439, 86.1439) * CHOOSE(CONTROL!$C$21, $C$9, 100%, $E$9)</f>
        <v>86.143900000000002</v>
      </c>
      <c r="F869" s="14">
        <f>CHOOSE(CONTROL!$C$42, 85.8676, 85.8676)*CHOOSE(CONTROL!$C$21, $C$9, 100%, $E$9)</f>
        <v>85.867599999999996</v>
      </c>
      <c r="G869" s="14">
        <f>CHOOSE(CONTROL!$C$42, 85.8839, 85.8839)*CHOOSE(CONTROL!$C$21, $C$9, 100%, $E$9)</f>
        <v>85.883899999999997</v>
      </c>
      <c r="H869" s="14">
        <f>CHOOSE(CONTROL!$C$42, 86.1325, 86.1325) * CHOOSE(CONTROL!$C$21, $C$9, 100%, $E$9)</f>
        <v>86.132499999999993</v>
      </c>
      <c r="I869" s="14">
        <f>CHOOSE(CONTROL!$C$42, 86.1556, 86.1556)* CHOOSE(CONTROL!$C$21, $C$9, 100%, $E$9)</f>
        <v>86.155600000000007</v>
      </c>
      <c r="J869" s="14">
        <f>CHOOSE(CONTROL!$C$42, 85.8606, 85.8606)* CHOOSE(CONTROL!$C$21, $C$9, 100%, $E$9)</f>
        <v>85.860600000000005</v>
      </c>
      <c r="K869" s="53">
        <f>CHOOSE(CONTROL!$C$42, 86.1517, 86.1517) * CHOOSE(CONTROL!$C$21, $C$9, 100%, $E$9)</f>
        <v>86.151700000000005</v>
      </c>
      <c r="L869" s="14">
        <f>CHOOSE(CONTROL!$C$42, 86.7195, 86.7195) * CHOOSE(CONTROL!$C$21, $C$9, 100%, $E$9)</f>
        <v>86.719499999999996</v>
      </c>
      <c r="M869" s="14">
        <f>CHOOSE(CONTROL!$C$42, 84.1091, 84.1091) * CHOOSE(CONTROL!$C$21, $C$9, 100%, $E$9)</f>
        <v>84.109099999999998</v>
      </c>
      <c r="N869" s="14">
        <f>CHOOSE(CONTROL!$C$42, 84.1251, 84.1251) * CHOOSE(CONTROL!$C$21, $C$9, 100%, $E$9)</f>
        <v>84.125100000000003</v>
      </c>
      <c r="O869" s="14">
        <f>CHOOSE(CONTROL!$C$42, 84.3754, 84.3754) * CHOOSE(CONTROL!$C$21, $C$9, 100%, $E$9)</f>
        <v>84.375399999999999</v>
      </c>
      <c r="P869" s="14">
        <f>CHOOSE(CONTROL!$C$42, 84.3927, 84.3927) * CHOOSE(CONTROL!$C$21, $C$9, 100%, $E$9)</f>
        <v>84.392700000000005</v>
      </c>
      <c r="Q869" s="14">
        <f>CHOOSE(CONTROL!$C$42, 84.9701, 84.9701) * CHOOSE(CONTROL!$C$21, $C$9, 100%, $E$9)</f>
        <v>84.970100000000002</v>
      </c>
      <c r="R869" s="14">
        <f>CHOOSE(CONTROL!$C$42, 85.7696, 85.7696) * CHOOSE(CONTROL!$C$21, $C$9, 100%, $E$9)</f>
        <v>85.769599999999997</v>
      </c>
      <c r="S869" s="14">
        <f>CHOOSE(CONTROL!$C$42, 82.5026, 82.5026) * CHOOSE(CONTROL!$C$21, $C$9, 100%, $E$9)</f>
        <v>82.502600000000001</v>
      </c>
      <c r="T8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7">
        <f>(1000*CHOOSE(CONTROL!$C$42, 695, 695)*CHOOSE(CONTROL!$C$42, 0.5599, 0.5599)*CHOOSE(CONTROL!$C$42, 31, 31))/1000000</f>
        <v>12.063045499999998</v>
      </c>
      <c r="V869" s="57">
        <f>(1000*CHOOSE(CONTROL!$C$42, 500, 500)*CHOOSE(CONTROL!$C$42, 0.275, 0.275)*CHOOSE(CONTROL!$C$42, 31, 31))/1000000</f>
        <v>4.2625000000000002</v>
      </c>
      <c r="W869" s="57">
        <f>(1000*CHOOSE(CONTROL!$C$42, 0.1146, 0.1146)*CHOOSE(CONTROL!$C$42, 121.5, 121.5)*CHOOSE(CONTROL!$C$42, 31, 31))/1000000</f>
        <v>0.43164089999999994</v>
      </c>
      <c r="X869" s="57">
        <f>(31*0.1790888*245000/1000000)+(31*0.2374*100000/1000000)</f>
        <v>2.0961194359999999</v>
      </c>
      <c r="Y869" s="57"/>
      <c r="Z869" s="14"/>
      <c r="AA869" s="56"/>
      <c r="AB869" s="50">
        <f>(B869*194.205+C869*267.466+D869*133.845+E869*53.484+F869*40+G869*185+H869*0+I869*100+J869*300)/(194.205+267.466+133.845+53.484+0+40+185+100+300)</f>
        <v>85.931081523076912</v>
      </c>
      <c r="AC869" s="45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84.271523741007201</v>
      </c>
    </row>
    <row r="870" spans="1:29" ht="15.75" x14ac:dyDescent="0.25">
      <c r="A870" s="32">
        <v>67388</v>
      </c>
      <c r="B870" s="14">
        <f>CHOOSE(CONTROL!$C$42, 88.3063, 88.3063) * CHOOSE(CONTROL!$C$21, $C$9, 100%, $E$9)</f>
        <v>88.306299999999993</v>
      </c>
      <c r="C870" s="14">
        <f>CHOOSE(CONTROL!$C$42, 88.3143, 88.3143) * CHOOSE(CONTROL!$C$21, $C$9, 100%, $E$9)</f>
        <v>88.314300000000003</v>
      </c>
      <c r="D870" s="14">
        <f>CHOOSE(CONTROL!$C$42, 88.5479, 88.5479) * CHOOSE(CONTROL!$C$21, $C$9, 100%, $E$9)</f>
        <v>88.547899999999998</v>
      </c>
      <c r="E870" s="14">
        <f>CHOOSE(CONTROL!$C$42, 88.5794, 88.5794) * CHOOSE(CONTROL!$C$21, $C$9, 100%, $E$9)</f>
        <v>88.579400000000007</v>
      </c>
      <c r="F870" s="14">
        <f>CHOOSE(CONTROL!$C$42, 88.3036, 88.3036)*CHOOSE(CONTROL!$C$21, $C$9, 100%, $E$9)</f>
        <v>88.303600000000003</v>
      </c>
      <c r="G870" s="14">
        <f>CHOOSE(CONTROL!$C$42, 88.32, 88.32)*CHOOSE(CONTROL!$C$21, $C$9, 100%, $E$9)</f>
        <v>88.32</v>
      </c>
      <c r="H870" s="14">
        <f>CHOOSE(CONTROL!$C$42, 88.568, 88.568) * CHOOSE(CONTROL!$C$21, $C$9, 100%, $E$9)</f>
        <v>88.567999999999998</v>
      </c>
      <c r="I870" s="14">
        <f>CHOOSE(CONTROL!$C$42, 88.5988, 88.5988)* CHOOSE(CONTROL!$C$21, $C$9, 100%, $E$9)</f>
        <v>88.598799999999997</v>
      </c>
      <c r="J870" s="14">
        <f>CHOOSE(CONTROL!$C$42, 88.2966, 88.2966)* CHOOSE(CONTROL!$C$21, $C$9, 100%, $E$9)</f>
        <v>88.296599999999998</v>
      </c>
      <c r="K870" s="53">
        <f>CHOOSE(CONTROL!$C$42, 88.5949, 88.5949) * CHOOSE(CONTROL!$C$21, $C$9, 100%, $E$9)</f>
        <v>88.594899999999996</v>
      </c>
      <c r="L870" s="14">
        <f>CHOOSE(CONTROL!$C$42, 89.155, 89.155) * CHOOSE(CONTROL!$C$21, $C$9, 100%, $E$9)</f>
        <v>89.155000000000001</v>
      </c>
      <c r="M870" s="14">
        <f>CHOOSE(CONTROL!$C$42, 86.4951, 86.4951) * CHOOSE(CONTROL!$C$21, $C$9, 100%, $E$9)</f>
        <v>86.495099999999994</v>
      </c>
      <c r="N870" s="14">
        <f>CHOOSE(CONTROL!$C$42, 86.5113, 86.5113) * CHOOSE(CONTROL!$C$21, $C$9, 100%, $E$9)</f>
        <v>86.511300000000006</v>
      </c>
      <c r="O870" s="14">
        <f>CHOOSE(CONTROL!$C$42, 86.761, 86.761) * CHOOSE(CONTROL!$C$21, $C$9, 100%, $E$9)</f>
        <v>86.760999999999996</v>
      </c>
      <c r="P870" s="14">
        <f>CHOOSE(CONTROL!$C$42, 86.7856, 86.7856) * CHOOSE(CONTROL!$C$21, $C$9, 100%, $E$9)</f>
        <v>86.785600000000002</v>
      </c>
      <c r="Q870" s="14">
        <f>CHOOSE(CONTROL!$C$42, 87.3557, 87.3557) * CHOOSE(CONTROL!$C$21, $C$9, 100%, $E$9)</f>
        <v>87.355699999999999</v>
      </c>
      <c r="R870" s="14">
        <f>CHOOSE(CONTROL!$C$42, 88.1611, 88.1611) * CHOOSE(CONTROL!$C$21, $C$9, 100%, $E$9)</f>
        <v>88.161100000000005</v>
      </c>
      <c r="S870" s="14">
        <f>CHOOSE(CONTROL!$C$42, 84.8429, 84.8429) * CHOOSE(CONTROL!$C$21, $C$9, 100%, $E$9)</f>
        <v>84.8429</v>
      </c>
      <c r="T8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7">
        <f>(1000*CHOOSE(CONTROL!$C$42, 695, 695)*CHOOSE(CONTROL!$C$42, 0.5599, 0.5599)*CHOOSE(CONTROL!$C$42, 30, 30))/1000000</f>
        <v>11.673914999999997</v>
      </c>
      <c r="V870" s="57">
        <f>(1000*CHOOSE(CONTROL!$C$42, 500, 500)*CHOOSE(CONTROL!$C$42, 0.275, 0.275)*CHOOSE(CONTROL!$C$42, 30, 30))/1000000</f>
        <v>4.125</v>
      </c>
      <c r="W870" s="57">
        <f>(1000*CHOOSE(CONTROL!$C$42, 0.1146, 0.1146)*CHOOSE(CONTROL!$C$42, 121.5, 121.5)*CHOOSE(CONTROL!$C$42, 30, 30))/1000000</f>
        <v>0.417717</v>
      </c>
      <c r="X870" s="57">
        <f>(30*0.1790888*245000/1000000)+(30*0.2374*100000/1000000)</f>
        <v>2.0285026799999999</v>
      </c>
      <c r="Y870" s="57"/>
      <c r="Z870" s="14"/>
      <c r="AA870" s="56"/>
      <c r="AB870" s="50">
        <f>(B870*194.205+C870*267.466+D870*133.845+E870*53.484+F870*40+G870*185+H870*0+I870*100+J870*300)/(194.205+267.466+133.845+53.484+0+40+185+100+300)</f>
        <v>88.36740648383045</v>
      </c>
      <c r="AC870" s="45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86.658346762589915</v>
      </c>
    </row>
    <row r="871" spans="1:29" ht="15.75" x14ac:dyDescent="0.25">
      <c r="A871" s="32">
        <v>67419</v>
      </c>
      <c r="B871" s="14">
        <f>CHOOSE(CONTROL!$C$42, 86.6124, 86.6124) * CHOOSE(CONTROL!$C$21, $C$9, 100%, $E$9)</f>
        <v>86.612399999999994</v>
      </c>
      <c r="C871" s="14">
        <f>CHOOSE(CONTROL!$C$42, 86.6204, 86.6204) * CHOOSE(CONTROL!$C$21, $C$9, 100%, $E$9)</f>
        <v>86.620400000000004</v>
      </c>
      <c r="D871" s="14">
        <f>CHOOSE(CONTROL!$C$42, 86.854, 86.854) * CHOOSE(CONTROL!$C$21, $C$9, 100%, $E$9)</f>
        <v>86.853999999999999</v>
      </c>
      <c r="E871" s="14">
        <f>CHOOSE(CONTROL!$C$42, 86.8855, 86.8855) * CHOOSE(CONTROL!$C$21, $C$9, 100%, $E$9)</f>
        <v>86.885499999999993</v>
      </c>
      <c r="F871" s="14">
        <f>CHOOSE(CONTROL!$C$42, 86.6102, 86.6102)*CHOOSE(CONTROL!$C$21, $C$9, 100%, $E$9)</f>
        <v>86.610200000000006</v>
      </c>
      <c r="G871" s="14">
        <f>CHOOSE(CONTROL!$C$42, 86.6268, 86.6268)*CHOOSE(CONTROL!$C$21, $C$9, 100%, $E$9)</f>
        <v>86.626800000000003</v>
      </c>
      <c r="H871" s="14">
        <f>CHOOSE(CONTROL!$C$42, 86.8741, 86.8741) * CHOOSE(CONTROL!$C$21, $C$9, 100%, $E$9)</f>
        <v>86.874099999999999</v>
      </c>
      <c r="I871" s="14">
        <f>CHOOSE(CONTROL!$C$42, 86.8995, 86.8995)* CHOOSE(CONTROL!$C$21, $C$9, 100%, $E$9)</f>
        <v>86.899500000000003</v>
      </c>
      <c r="J871" s="14">
        <f>CHOOSE(CONTROL!$C$42, 86.6032, 86.6032)* CHOOSE(CONTROL!$C$21, $C$9, 100%, $E$9)</f>
        <v>86.603200000000001</v>
      </c>
      <c r="K871" s="53">
        <f>CHOOSE(CONTROL!$C$42, 86.8957, 86.8957) * CHOOSE(CONTROL!$C$21, $C$9, 100%, $E$9)</f>
        <v>86.895700000000005</v>
      </c>
      <c r="L871" s="14">
        <f>CHOOSE(CONTROL!$C$42, 87.4611, 87.4611) * CHOOSE(CONTROL!$C$21, $C$9, 100%, $E$9)</f>
        <v>87.461100000000002</v>
      </c>
      <c r="M871" s="14">
        <f>CHOOSE(CONTROL!$C$42, 84.8364, 84.8364) * CHOOSE(CONTROL!$C$21, $C$9, 100%, $E$9)</f>
        <v>84.836399999999998</v>
      </c>
      <c r="N871" s="14">
        <f>CHOOSE(CONTROL!$C$42, 84.8527, 84.8527) * CHOOSE(CONTROL!$C$21, $C$9, 100%, $E$9)</f>
        <v>84.852699999999999</v>
      </c>
      <c r="O871" s="14">
        <f>CHOOSE(CONTROL!$C$42, 85.1018, 85.1018) * CHOOSE(CONTROL!$C$21, $C$9, 100%, $E$9)</f>
        <v>85.101799999999997</v>
      </c>
      <c r="P871" s="14">
        <f>CHOOSE(CONTROL!$C$42, 85.1213, 85.1213) * CHOOSE(CONTROL!$C$21, $C$9, 100%, $E$9)</f>
        <v>85.121300000000005</v>
      </c>
      <c r="Q871" s="14">
        <f>CHOOSE(CONTROL!$C$42, 85.6965, 85.6965) * CHOOSE(CONTROL!$C$21, $C$9, 100%, $E$9)</f>
        <v>85.6965</v>
      </c>
      <c r="R871" s="14">
        <f>CHOOSE(CONTROL!$C$42, 86.4978, 86.4978) * CHOOSE(CONTROL!$C$21, $C$9, 100%, $E$9)</f>
        <v>86.497799999999998</v>
      </c>
      <c r="S871" s="14">
        <f>CHOOSE(CONTROL!$C$42, 83.2152, 83.2152) * CHOOSE(CONTROL!$C$21, $C$9, 100%, $E$9)</f>
        <v>83.215199999999996</v>
      </c>
      <c r="T8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7">
        <f>(1000*CHOOSE(CONTROL!$C$42, 695, 695)*CHOOSE(CONTROL!$C$42, 0.5599, 0.5599)*CHOOSE(CONTROL!$C$42, 31, 31))/1000000</f>
        <v>12.063045499999998</v>
      </c>
      <c r="V871" s="57">
        <f>(1000*CHOOSE(CONTROL!$C$42, 500, 500)*CHOOSE(CONTROL!$C$42, 0.275, 0.275)*CHOOSE(CONTROL!$C$42, 31, 31))/1000000</f>
        <v>4.2625000000000002</v>
      </c>
      <c r="W871" s="57">
        <f>(1000*CHOOSE(CONTROL!$C$42, 0.1146, 0.1146)*CHOOSE(CONTROL!$C$42, 121.5, 121.5)*CHOOSE(CONTROL!$C$42, 31, 31))/1000000</f>
        <v>0.43164089999999994</v>
      </c>
      <c r="X871" s="57">
        <f>(31*0.1790888*245000/1000000)+(31*0.2374*100000/1000000)</f>
        <v>2.0961194359999999</v>
      </c>
      <c r="Y871" s="57"/>
      <c r="Z871" s="14"/>
      <c r="AA871" s="56"/>
      <c r="AB871" s="50">
        <f>(B871*194.205+C871*267.466+D871*133.845+E871*53.484+F871*40+G871*185+H871*0+I871*100+J871*300)/(194.205+267.466+133.845+53.484+0+40+185+100+300)</f>
        <v>86.673317708320255</v>
      </c>
      <c r="AC871" s="45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84.998620143884892</v>
      </c>
    </row>
    <row r="872" spans="1:29" ht="15.75" x14ac:dyDescent="0.25">
      <c r="A872" s="32">
        <v>67450</v>
      </c>
      <c r="B872" s="14">
        <f>CHOOSE(CONTROL!$C$42, 82.3348, 82.3348) * CHOOSE(CONTROL!$C$21, $C$9, 100%, $E$9)</f>
        <v>82.334800000000001</v>
      </c>
      <c r="C872" s="14">
        <f>CHOOSE(CONTROL!$C$42, 82.3428, 82.3428) * CHOOSE(CONTROL!$C$21, $C$9, 100%, $E$9)</f>
        <v>82.342799999999997</v>
      </c>
      <c r="D872" s="14">
        <f>CHOOSE(CONTROL!$C$42, 82.5764, 82.5764) * CHOOSE(CONTROL!$C$21, $C$9, 100%, $E$9)</f>
        <v>82.576400000000007</v>
      </c>
      <c r="E872" s="14">
        <f>CHOOSE(CONTROL!$C$42, 82.6079, 82.6079) * CHOOSE(CONTROL!$C$21, $C$9, 100%, $E$9)</f>
        <v>82.607900000000001</v>
      </c>
      <c r="F872" s="14">
        <f>CHOOSE(CONTROL!$C$42, 82.3327, 82.3327)*CHOOSE(CONTROL!$C$21, $C$9, 100%, $E$9)</f>
        <v>82.332700000000003</v>
      </c>
      <c r="G872" s="14">
        <f>CHOOSE(CONTROL!$C$42, 82.3494, 82.3494)*CHOOSE(CONTROL!$C$21, $C$9, 100%, $E$9)</f>
        <v>82.349400000000003</v>
      </c>
      <c r="H872" s="14">
        <f>CHOOSE(CONTROL!$C$42, 82.5965, 82.5965) * CHOOSE(CONTROL!$C$21, $C$9, 100%, $E$9)</f>
        <v>82.596500000000006</v>
      </c>
      <c r="I872" s="14">
        <f>CHOOSE(CONTROL!$C$42, 82.6085, 82.6085)* CHOOSE(CONTROL!$C$21, $C$9, 100%, $E$9)</f>
        <v>82.608500000000006</v>
      </c>
      <c r="J872" s="14">
        <f>CHOOSE(CONTROL!$C$42, 82.3257, 82.3257)* CHOOSE(CONTROL!$C$21, $C$9, 100%, $E$9)</f>
        <v>82.325699999999998</v>
      </c>
      <c r="K872" s="53">
        <f>CHOOSE(CONTROL!$C$42, 82.6046, 82.6046) * CHOOSE(CONTROL!$C$21, $C$9, 100%, $E$9)</f>
        <v>82.604600000000005</v>
      </c>
      <c r="L872" s="14">
        <f>CHOOSE(CONTROL!$C$42, 83.1835, 83.1835) * CHOOSE(CONTROL!$C$21, $C$9, 100%, $E$9)</f>
        <v>83.183499999999995</v>
      </c>
      <c r="M872" s="14">
        <f>CHOOSE(CONTROL!$C$42, 80.6466, 80.6466) * CHOOSE(CONTROL!$C$21, $C$9, 100%, $E$9)</f>
        <v>80.646600000000007</v>
      </c>
      <c r="N872" s="14">
        <f>CHOOSE(CONTROL!$C$42, 80.663, 80.663) * CHOOSE(CONTROL!$C$21, $C$9, 100%, $E$9)</f>
        <v>80.662999999999997</v>
      </c>
      <c r="O872" s="14">
        <f>CHOOSE(CONTROL!$C$42, 80.9118, 80.9118) * CHOOSE(CONTROL!$C$21, $C$9, 100%, $E$9)</f>
        <v>80.911799999999999</v>
      </c>
      <c r="P872" s="14">
        <f>CHOOSE(CONTROL!$C$42, 80.9185, 80.9185) * CHOOSE(CONTROL!$C$21, $C$9, 100%, $E$9)</f>
        <v>80.918499999999995</v>
      </c>
      <c r="Q872" s="14">
        <f>CHOOSE(CONTROL!$C$42, 81.5065, 81.5065) * CHOOSE(CONTROL!$C$21, $C$9, 100%, $E$9)</f>
        <v>81.506500000000003</v>
      </c>
      <c r="R872" s="14">
        <f>CHOOSE(CONTROL!$C$42, 82.2973, 82.2973) * CHOOSE(CONTROL!$C$21, $C$9, 100%, $E$9)</f>
        <v>82.297300000000007</v>
      </c>
      <c r="S872" s="14">
        <f>CHOOSE(CONTROL!$C$42, 79.1048, 79.1048) * CHOOSE(CONTROL!$C$21, $C$9, 100%, $E$9)</f>
        <v>79.104799999999997</v>
      </c>
      <c r="T8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7">
        <f>(1000*CHOOSE(CONTROL!$C$42, 695, 695)*CHOOSE(CONTROL!$C$42, 0.5599, 0.5599)*CHOOSE(CONTROL!$C$42, 31, 31))/1000000</f>
        <v>12.063045499999998</v>
      </c>
      <c r="V872" s="57">
        <f>(1000*CHOOSE(CONTROL!$C$42, 500, 500)*CHOOSE(CONTROL!$C$42, 0.275, 0.275)*CHOOSE(CONTROL!$C$42, 31, 31))/1000000</f>
        <v>4.2625000000000002</v>
      </c>
      <c r="W872" s="57">
        <f>(1000*CHOOSE(CONTROL!$C$42, 0.1146, 0.1146)*CHOOSE(CONTROL!$C$42, 121.5, 121.5)*CHOOSE(CONTROL!$C$42, 31, 31))/1000000</f>
        <v>0.43164089999999994</v>
      </c>
      <c r="X872" s="57">
        <f>(31*0.1790888*245000/1000000)+(31*0.2374*100000/1000000)</f>
        <v>2.0961194359999999</v>
      </c>
      <c r="Y872" s="57"/>
      <c r="Z872" s="14"/>
      <c r="AA872" s="56"/>
      <c r="AB872" s="50">
        <f>(B872*194.205+C872*267.466+D872*133.845+E872*53.484+F872*40+G872*185+H872*0+I872*100+J872*300)/(194.205+267.466+133.845+53.484+0+40+185+100+300)</f>
        <v>82.394721632967034</v>
      </c>
      <c r="AC872" s="45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80.806864748201434</v>
      </c>
    </row>
    <row r="873" spans="1:29" ht="15.75" x14ac:dyDescent="0.25">
      <c r="A873" s="32">
        <v>67480</v>
      </c>
      <c r="B873" s="14">
        <f>CHOOSE(CONTROL!$C$42, 77.1078, 77.1078) * CHOOSE(CONTROL!$C$21, $C$9, 100%, $E$9)</f>
        <v>77.107799999999997</v>
      </c>
      <c r="C873" s="14">
        <f>CHOOSE(CONTROL!$C$42, 77.1159, 77.1159) * CHOOSE(CONTROL!$C$21, $C$9, 100%, $E$9)</f>
        <v>77.115899999999996</v>
      </c>
      <c r="D873" s="14">
        <f>CHOOSE(CONTROL!$C$42, 77.3495, 77.3495) * CHOOSE(CONTROL!$C$21, $C$9, 100%, $E$9)</f>
        <v>77.349500000000006</v>
      </c>
      <c r="E873" s="14">
        <f>CHOOSE(CONTROL!$C$42, 77.3809, 77.3809) * CHOOSE(CONTROL!$C$21, $C$9, 100%, $E$9)</f>
        <v>77.380899999999997</v>
      </c>
      <c r="F873" s="14">
        <f>CHOOSE(CONTROL!$C$42, 77.1058, 77.1058)*CHOOSE(CONTROL!$C$21, $C$9, 100%, $E$9)</f>
        <v>77.105800000000002</v>
      </c>
      <c r="G873" s="14">
        <f>CHOOSE(CONTROL!$C$42, 77.1225, 77.1225)*CHOOSE(CONTROL!$C$21, $C$9, 100%, $E$9)</f>
        <v>77.122500000000002</v>
      </c>
      <c r="H873" s="14">
        <f>CHOOSE(CONTROL!$C$42, 77.3695, 77.3695) * CHOOSE(CONTROL!$C$21, $C$9, 100%, $E$9)</f>
        <v>77.369500000000002</v>
      </c>
      <c r="I873" s="14">
        <f>CHOOSE(CONTROL!$C$42, 77.3652, 77.3652)* CHOOSE(CONTROL!$C$21, $C$9, 100%, $E$9)</f>
        <v>77.365200000000002</v>
      </c>
      <c r="J873" s="14">
        <f>CHOOSE(CONTROL!$C$42, 77.0988, 77.0988)* CHOOSE(CONTROL!$C$21, $C$9, 100%, $E$9)</f>
        <v>77.098799999999997</v>
      </c>
      <c r="K873" s="53">
        <f>CHOOSE(CONTROL!$C$42, 77.3613, 77.3613) * CHOOSE(CONTROL!$C$21, $C$9, 100%, $E$9)</f>
        <v>77.3613</v>
      </c>
      <c r="L873" s="14">
        <f>CHOOSE(CONTROL!$C$42, 77.9565, 77.9565) * CHOOSE(CONTROL!$C$21, $C$9, 100%, $E$9)</f>
        <v>77.956500000000005</v>
      </c>
      <c r="M873" s="14">
        <f>CHOOSE(CONTROL!$C$42, 75.5268, 75.5268) * CHOOSE(CONTROL!$C$21, $C$9, 100%, $E$9)</f>
        <v>75.526799999999994</v>
      </c>
      <c r="N873" s="14">
        <f>CHOOSE(CONTROL!$C$42, 75.5432, 75.5432) * CHOOSE(CONTROL!$C$21, $C$9, 100%, $E$9)</f>
        <v>75.543199999999999</v>
      </c>
      <c r="O873" s="14">
        <f>CHOOSE(CONTROL!$C$42, 75.792, 75.792) * CHOOSE(CONTROL!$C$21, $C$9, 100%, $E$9)</f>
        <v>75.792000000000002</v>
      </c>
      <c r="P873" s="14">
        <f>CHOOSE(CONTROL!$C$42, 75.783, 75.783) * CHOOSE(CONTROL!$C$21, $C$9, 100%, $E$9)</f>
        <v>75.783000000000001</v>
      </c>
      <c r="Q873" s="14">
        <f>CHOOSE(CONTROL!$C$42, 76.3867, 76.3867) * CHOOSE(CONTROL!$C$21, $C$9, 100%, $E$9)</f>
        <v>76.386700000000005</v>
      </c>
      <c r="R873" s="14">
        <f>CHOOSE(CONTROL!$C$42, 77.1647, 77.1647) * CHOOSE(CONTROL!$C$21, $C$9, 100%, $E$9)</f>
        <v>77.164699999999996</v>
      </c>
      <c r="S873" s="14">
        <f>CHOOSE(CONTROL!$C$42, 74.0823, 74.0823) * CHOOSE(CONTROL!$C$21, $C$9, 100%, $E$9)</f>
        <v>74.082300000000004</v>
      </c>
      <c r="T8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7">
        <f>(1000*CHOOSE(CONTROL!$C$42, 695, 695)*CHOOSE(CONTROL!$C$42, 0.5599, 0.5599)*CHOOSE(CONTROL!$C$42, 30, 30))/1000000</f>
        <v>11.673914999999997</v>
      </c>
      <c r="V873" s="57">
        <f>(1000*CHOOSE(CONTROL!$C$42, 500, 500)*CHOOSE(CONTROL!$C$42, 0.275, 0.275)*CHOOSE(CONTROL!$C$42, 30, 30))/1000000</f>
        <v>4.125</v>
      </c>
      <c r="W873" s="57">
        <f>(1000*CHOOSE(CONTROL!$C$42, 0.1146, 0.1146)*CHOOSE(CONTROL!$C$42, 121.5, 121.5)*CHOOSE(CONTROL!$C$42, 30, 30))/1000000</f>
        <v>0.417717</v>
      </c>
      <c r="X873" s="57">
        <f>(30*0.1790888*245000/1000000)+(30*0.2374*100000/1000000)</f>
        <v>2.0285026799999999</v>
      </c>
      <c r="Y873" s="57"/>
      <c r="Z873" s="14"/>
      <c r="AA873" s="56"/>
      <c r="AB873" s="50">
        <f>(B873*194.205+C873*267.466+D873*133.845+E873*53.484+F873*40+G873*185+H873*0+I873*100+J873*300)/(194.205+267.466+133.845+53.484+0+40+185+100+300)</f>
        <v>77.166514906985881</v>
      </c>
      <c r="AC873" s="45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75.684805755395686</v>
      </c>
    </row>
    <row r="874" spans="1:29" ht="15.75" x14ac:dyDescent="0.25">
      <c r="A874" s="32">
        <v>67511</v>
      </c>
      <c r="B874" s="14">
        <f>CHOOSE(CONTROL!$C$42, 75.5407, 75.5407) * CHOOSE(CONTROL!$C$21, $C$9, 100%, $E$9)</f>
        <v>75.540700000000001</v>
      </c>
      <c r="C874" s="14">
        <f>CHOOSE(CONTROL!$C$42, 75.546, 75.546) * CHOOSE(CONTROL!$C$21, $C$9, 100%, $E$9)</f>
        <v>75.546000000000006</v>
      </c>
      <c r="D874" s="14">
        <f>CHOOSE(CONTROL!$C$42, 75.7846, 75.7846) * CHOOSE(CONTROL!$C$21, $C$9, 100%, $E$9)</f>
        <v>75.784599999999998</v>
      </c>
      <c r="E874" s="14">
        <f>CHOOSE(CONTROL!$C$42, 75.8137, 75.8137) * CHOOSE(CONTROL!$C$21, $C$9, 100%, $E$9)</f>
        <v>75.813699999999997</v>
      </c>
      <c r="F874" s="14">
        <f>CHOOSE(CONTROL!$C$42, 75.5407, 75.5407)*CHOOSE(CONTROL!$C$21, $C$9, 100%, $E$9)</f>
        <v>75.540700000000001</v>
      </c>
      <c r="G874" s="14">
        <f>CHOOSE(CONTROL!$C$42, 75.557, 75.557)*CHOOSE(CONTROL!$C$21, $C$9, 100%, $E$9)</f>
        <v>75.557000000000002</v>
      </c>
      <c r="H874" s="14">
        <f>CHOOSE(CONTROL!$C$42, 75.8042, 75.8042) * CHOOSE(CONTROL!$C$21, $C$9, 100%, $E$9)</f>
        <v>75.804199999999994</v>
      </c>
      <c r="I874" s="14">
        <f>CHOOSE(CONTROL!$C$42, 75.7949, 75.7949)* CHOOSE(CONTROL!$C$21, $C$9, 100%, $E$9)</f>
        <v>75.794899999999998</v>
      </c>
      <c r="J874" s="14">
        <f>CHOOSE(CONTROL!$C$42, 75.5337, 75.5337)* CHOOSE(CONTROL!$C$21, $C$9, 100%, $E$9)</f>
        <v>75.533699999999996</v>
      </c>
      <c r="K874" s="53">
        <f>CHOOSE(CONTROL!$C$42, 75.7911, 75.7911) * CHOOSE(CONTROL!$C$21, $C$9, 100%, $E$9)</f>
        <v>75.7911</v>
      </c>
      <c r="L874" s="14">
        <f>CHOOSE(CONTROL!$C$42, 76.3912, 76.3912) * CHOOSE(CONTROL!$C$21, $C$9, 100%, $E$9)</f>
        <v>76.391199999999998</v>
      </c>
      <c r="M874" s="14">
        <f>CHOOSE(CONTROL!$C$42, 73.9938, 73.9938) * CHOOSE(CONTROL!$C$21, $C$9, 100%, $E$9)</f>
        <v>73.993799999999993</v>
      </c>
      <c r="N874" s="14">
        <f>CHOOSE(CONTROL!$C$42, 74.0097, 74.0097) * CHOOSE(CONTROL!$C$21, $C$9, 100%, $E$9)</f>
        <v>74.009699999999995</v>
      </c>
      <c r="O874" s="14">
        <f>CHOOSE(CONTROL!$C$42, 74.2587, 74.2587) * CHOOSE(CONTROL!$C$21, $C$9, 100%, $E$9)</f>
        <v>74.258700000000005</v>
      </c>
      <c r="P874" s="14">
        <f>CHOOSE(CONTROL!$C$42, 74.245, 74.245) * CHOOSE(CONTROL!$C$21, $C$9, 100%, $E$9)</f>
        <v>74.245000000000005</v>
      </c>
      <c r="Q874" s="14">
        <f>CHOOSE(CONTROL!$C$42, 74.8534, 74.8534) * CHOOSE(CONTROL!$C$21, $C$9, 100%, $E$9)</f>
        <v>74.853399999999993</v>
      </c>
      <c r="R874" s="14">
        <f>CHOOSE(CONTROL!$C$42, 75.6275, 75.6275) * CHOOSE(CONTROL!$C$21, $C$9, 100%, $E$9)</f>
        <v>75.627499999999998</v>
      </c>
      <c r="S874" s="14">
        <f>CHOOSE(CONTROL!$C$42, 72.5781, 72.5781) * CHOOSE(CONTROL!$C$21, $C$9, 100%, $E$9)</f>
        <v>72.578100000000006</v>
      </c>
      <c r="T8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7">
        <f>(1000*CHOOSE(CONTROL!$C$42, 695, 695)*CHOOSE(CONTROL!$C$42, 0.5599, 0.5599)*CHOOSE(CONTROL!$C$42, 31, 31))/1000000</f>
        <v>12.063045499999998</v>
      </c>
      <c r="V874" s="57">
        <f>(1000*CHOOSE(CONTROL!$C$42, 500, 500)*CHOOSE(CONTROL!$C$42, 0.275, 0.275)*CHOOSE(CONTROL!$C$42, 31, 31))/1000000</f>
        <v>4.2625000000000002</v>
      </c>
      <c r="W874" s="57">
        <f>(1000*CHOOSE(CONTROL!$C$42, 0.1146, 0.1146)*CHOOSE(CONTROL!$C$42, 121.5, 121.5)*CHOOSE(CONTROL!$C$42, 31, 31))/1000000</f>
        <v>0.43164089999999994</v>
      </c>
      <c r="X874" s="57">
        <f>(31*0.1790888*245000/1000000)+(31*0.2374*100000/1000000)</f>
        <v>2.0961194359999999</v>
      </c>
      <c r="Y874" s="57"/>
      <c r="Z874" s="14"/>
      <c r="AA874" s="56"/>
      <c r="AB874" s="50">
        <f>(B874*131.881+C874*277.167+D874*79.08+E874*125.872+F874*40+G874*185+H874*0+I874*100+J874*300)/(131.881+277.167+79.08+125.872+0+40+185+100+300)</f>
        <v>75.606442657869252</v>
      </c>
      <c r="AC874" s="45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74.150921582733801</v>
      </c>
    </row>
    <row r="875" spans="1:29" ht="15.75" x14ac:dyDescent="0.25">
      <c r="A875" s="32">
        <v>67541</v>
      </c>
      <c r="B875" s="14">
        <f>CHOOSE(CONTROL!$C$42, 77.5301, 77.5301) * CHOOSE(CONTROL!$C$21, $C$9, 100%, $E$9)</f>
        <v>77.530100000000004</v>
      </c>
      <c r="C875" s="14">
        <f>CHOOSE(CONTROL!$C$42, 77.5352, 77.5352) * CHOOSE(CONTROL!$C$21, $C$9, 100%, $E$9)</f>
        <v>77.535200000000003</v>
      </c>
      <c r="D875" s="14">
        <f>CHOOSE(CONTROL!$C$42, 77.6094, 77.6094) * CHOOSE(CONTROL!$C$21, $C$9, 100%, $E$9)</f>
        <v>77.609399999999994</v>
      </c>
      <c r="E875" s="14">
        <f>CHOOSE(CONTROL!$C$42, 77.6435, 77.6435) * CHOOSE(CONTROL!$C$21, $C$9, 100%, $E$9)</f>
        <v>77.643500000000003</v>
      </c>
      <c r="F875" s="14">
        <f>CHOOSE(CONTROL!$C$42, 77.5422, 77.5422)*CHOOSE(CONTROL!$C$21, $C$9, 100%, $E$9)</f>
        <v>77.542199999999994</v>
      </c>
      <c r="G875" s="14">
        <f>CHOOSE(CONTROL!$C$42, 77.5588, 77.5588)*CHOOSE(CONTROL!$C$21, $C$9, 100%, $E$9)</f>
        <v>77.558800000000005</v>
      </c>
      <c r="H875" s="14">
        <f>CHOOSE(CONTROL!$C$42, 77.6327, 77.6327) * CHOOSE(CONTROL!$C$21, $C$9, 100%, $E$9)</f>
        <v>77.6327</v>
      </c>
      <c r="I875" s="14">
        <f>CHOOSE(CONTROL!$C$42, 77.7973, 77.7973)* CHOOSE(CONTROL!$C$21, $C$9, 100%, $E$9)</f>
        <v>77.797300000000007</v>
      </c>
      <c r="J875" s="14">
        <f>CHOOSE(CONTROL!$C$42, 77.5352, 77.5352)* CHOOSE(CONTROL!$C$21, $C$9, 100%, $E$9)</f>
        <v>77.535200000000003</v>
      </c>
      <c r="K875" s="53">
        <f>CHOOSE(CONTROL!$C$42, 77.7934, 77.7934) * CHOOSE(CONTROL!$C$21, $C$9, 100%, $E$9)</f>
        <v>77.793400000000005</v>
      </c>
      <c r="L875" s="14">
        <f>CHOOSE(CONTROL!$C$42, 78.2197, 78.2197) * CHOOSE(CONTROL!$C$21, $C$9, 100%, $E$9)</f>
        <v>78.219700000000003</v>
      </c>
      <c r="M875" s="14">
        <f>CHOOSE(CONTROL!$C$42, 75.9542, 75.9542) * CHOOSE(CONTROL!$C$21, $C$9, 100%, $E$9)</f>
        <v>75.9542</v>
      </c>
      <c r="N875" s="14">
        <f>CHOOSE(CONTROL!$C$42, 75.9705, 75.9705) * CHOOSE(CONTROL!$C$21, $C$9, 100%, $E$9)</f>
        <v>75.970500000000001</v>
      </c>
      <c r="O875" s="14">
        <f>CHOOSE(CONTROL!$C$42, 76.0498, 76.0498) * CHOOSE(CONTROL!$C$21, $C$9, 100%, $E$9)</f>
        <v>76.049800000000005</v>
      </c>
      <c r="P875" s="14">
        <f>CHOOSE(CONTROL!$C$42, 76.2061, 76.2061) * CHOOSE(CONTROL!$C$21, $C$9, 100%, $E$9)</f>
        <v>76.206100000000006</v>
      </c>
      <c r="Q875" s="14">
        <f>CHOOSE(CONTROL!$C$42, 76.6445, 76.6445) * CHOOSE(CONTROL!$C$21, $C$9, 100%, $E$9)</f>
        <v>76.644499999999994</v>
      </c>
      <c r="R875" s="14">
        <f>CHOOSE(CONTROL!$C$42, 77.4231, 77.4231) * CHOOSE(CONTROL!$C$21, $C$9, 100%, $E$9)</f>
        <v>77.423100000000005</v>
      </c>
      <c r="S875" s="14">
        <f>CHOOSE(CONTROL!$C$42, 74.4902, 74.4902) * CHOOSE(CONTROL!$C$21, $C$9, 100%, $E$9)</f>
        <v>74.490200000000002</v>
      </c>
      <c r="T8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7">
        <f>(1000*CHOOSE(CONTROL!$C$42, 695, 695)*CHOOSE(CONTROL!$C$42, 0.5599, 0.5599)*CHOOSE(CONTROL!$C$42, 30, 30))/1000000</f>
        <v>11.673914999999997</v>
      </c>
      <c r="V875" s="57">
        <f>(1000*CHOOSE(CONTROL!$C$42, 500, 500)*CHOOSE(CONTROL!$C$42, 0.275, 0.275)*CHOOSE(CONTROL!$C$42, 30, 30))/1000000</f>
        <v>4.125</v>
      </c>
      <c r="W875" s="57">
        <f>(1000*CHOOSE(CONTROL!$C$42, 0.1146, 0.1146)*CHOOSE(CONTROL!$C$42, 121.5, 121.5)*CHOOSE(CONTROL!$C$42, 30, 30))/1000000</f>
        <v>0.417717</v>
      </c>
      <c r="X875" s="57">
        <f>(30*0.1790888*100000/1000000)+(30*0.2374*100000/1000000)</f>
        <v>1.2494664</v>
      </c>
      <c r="Y875" s="57"/>
      <c r="Z875" s="14"/>
      <c r="AA875" s="56"/>
      <c r="AB875" s="50">
        <f>(B875*122.58+C875*297.941+D875*89.177+E875*40.302+F875*40+G875*160+H875*0+I875*100+J875*300)/(122.58+297.941+89.177+40.302+0+40+160+100+300)</f>
        <v>77.570523897391311</v>
      </c>
      <c r="AC875" s="45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76.034712230215831</v>
      </c>
    </row>
    <row r="876" spans="1:29" ht="15.75" x14ac:dyDescent="0.25">
      <c r="A876" s="32">
        <v>67572</v>
      </c>
      <c r="B876" s="14">
        <f>CHOOSE(CONTROL!$C$42, 82.8154, 82.8154) * CHOOSE(CONTROL!$C$21, $C$9, 100%, $E$9)</f>
        <v>82.815399999999997</v>
      </c>
      <c r="C876" s="14">
        <f>CHOOSE(CONTROL!$C$42, 82.8205, 82.8205) * CHOOSE(CONTROL!$C$21, $C$9, 100%, $E$9)</f>
        <v>82.820499999999996</v>
      </c>
      <c r="D876" s="14">
        <f>CHOOSE(CONTROL!$C$42, 82.8947, 82.8947) * CHOOSE(CONTROL!$C$21, $C$9, 100%, $E$9)</f>
        <v>82.8947</v>
      </c>
      <c r="E876" s="14">
        <f>CHOOSE(CONTROL!$C$42, 82.9288, 82.9288) * CHOOSE(CONTROL!$C$21, $C$9, 100%, $E$9)</f>
        <v>82.928799999999995</v>
      </c>
      <c r="F876" s="14">
        <f>CHOOSE(CONTROL!$C$42, 82.8297, 82.8297)*CHOOSE(CONTROL!$C$21, $C$9, 100%, $E$9)</f>
        <v>82.829700000000003</v>
      </c>
      <c r="G876" s="14">
        <f>CHOOSE(CONTROL!$C$42, 82.8468, 82.8468)*CHOOSE(CONTROL!$C$21, $C$9, 100%, $E$9)</f>
        <v>82.846800000000002</v>
      </c>
      <c r="H876" s="14">
        <f>CHOOSE(CONTROL!$C$42, 82.918, 82.918) * CHOOSE(CONTROL!$C$21, $C$9, 100%, $E$9)</f>
        <v>82.918000000000006</v>
      </c>
      <c r="I876" s="14">
        <f>CHOOSE(CONTROL!$C$42, 83.0991, 83.0991)* CHOOSE(CONTROL!$C$21, $C$9, 100%, $E$9)</f>
        <v>83.099100000000007</v>
      </c>
      <c r="J876" s="14">
        <f>CHOOSE(CONTROL!$C$42, 82.8227, 82.8227)* CHOOSE(CONTROL!$C$21, $C$9, 100%, $E$9)</f>
        <v>82.822699999999998</v>
      </c>
      <c r="K876" s="53">
        <f>CHOOSE(CONTROL!$C$42, 83.0952, 83.0952) * CHOOSE(CONTROL!$C$21, $C$9, 100%, $E$9)</f>
        <v>83.095200000000006</v>
      </c>
      <c r="L876" s="14">
        <f>CHOOSE(CONTROL!$C$42, 83.505, 83.505) * CHOOSE(CONTROL!$C$21, $C$9, 100%, $E$9)</f>
        <v>83.504999999999995</v>
      </c>
      <c r="M876" s="14">
        <f>CHOOSE(CONTROL!$C$42, 81.1334, 81.1334) * CHOOSE(CONTROL!$C$21, $C$9, 100%, $E$9)</f>
        <v>81.133399999999995</v>
      </c>
      <c r="N876" s="14">
        <f>CHOOSE(CONTROL!$C$42, 81.1502, 81.1502) * CHOOSE(CONTROL!$C$21, $C$9, 100%, $E$9)</f>
        <v>81.150199999999998</v>
      </c>
      <c r="O876" s="14">
        <f>CHOOSE(CONTROL!$C$42, 81.2268, 81.2268) * CHOOSE(CONTROL!$C$21, $C$9, 100%, $E$9)</f>
        <v>81.226799999999997</v>
      </c>
      <c r="P876" s="14">
        <f>CHOOSE(CONTROL!$C$42, 81.399, 81.399) * CHOOSE(CONTROL!$C$21, $C$9, 100%, $E$9)</f>
        <v>81.399000000000001</v>
      </c>
      <c r="Q876" s="14">
        <f>CHOOSE(CONTROL!$C$42, 81.8215, 81.8215) * CHOOSE(CONTROL!$C$21, $C$9, 100%, $E$9)</f>
        <v>81.8215</v>
      </c>
      <c r="R876" s="14">
        <f>CHOOSE(CONTROL!$C$42, 82.613, 82.613) * CHOOSE(CONTROL!$C$21, $C$9, 100%, $E$9)</f>
        <v>82.613</v>
      </c>
      <c r="S876" s="14">
        <f>CHOOSE(CONTROL!$C$42, 79.5688, 79.5688) * CHOOSE(CONTROL!$C$21, $C$9, 100%, $E$9)</f>
        <v>79.568799999999996</v>
      </c>
      <c r="T8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7">
        <f>(1000*CHOOSE(CONTROL!$C$42, 695, 695)*CHOOSE(CONTROL!$C$42, 0.5599, 0.5599)*CHOOSE(CONTROL!$C$42, 31, 31))/1000000</f>
        <v>12.063045499999998</v>
      </c>
      <c r="V876" s="57">
        <f>(1000*CHOOSE(CONTROL!$C$42, 500, 500)*CHOOSE(CONTROL!$C$42, 0.275, 0.275)*CHOOSE(CONTROL!$C$42, 31, 31))/1000000</f>
        <v>4.2625000000000002</v>
      </c>
      <c r="W876" s="57">
        <f>(1000*CHOOSE(CONTROL!$C$42, 0.1146, 0.1146)*CHOOSE(CONTROL!$C$42, 121.5, 121.5)*CHOOSE(CONTROL!$C$42, 31, 31))/1000000</f>
        <v>0.43164089999999994</v>
      </c>
      <c r="X876" s="57">
        <f>(31*0.1790888*100000/1000000)+(31*0.2374*100000/1000000)</f>
        <v>1.2911152800000001</v>
      </c>
      <c r="Y876" s="57"/>
      <c r="Z876" s="14"/>
      <c r="AA876" s="56"/>
      <c r="AB876" s="50">
        <f>(B876*122.58+C876*297.941+D876*89.177+E876*40.302+F876*40+G876*160+H876*0+I876*100+J876*300)/(122.58+297.941+89.177+40.302+0+40+160+100+300)</f>
        <v>82.85828476695653</v>
      </c>
      <c r="AC876" s="45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81.214915107913669</v>
      </c>
    </row>
    <row r="877" spans="1:29" ht="15.75" x14ac:dyDescent="0.25">
      <c r="A877" s="32">
        <v>67603</v>
      </c>
      <c r="B877" s="14">
        <f>CHOOSE(CONTROL!$C$42, 89.6801, 89.6801) * CHOOSE(CONTROL!$C$21, $C$9, 100%, $E$9)</f>
        <v>89.680099999999996</v>
      </c>
      <c r="C877" s="14">
        <f>CHOOSE(CONTROL!$C$42, 89.6852, 89.6852) * CHOOSE(CONTROL!$C$21, $C$9, 100%, $E$9)</f>
        <v>89.685199999999995</v>
      </c>
      <c r="D877" s="14">
        <f>CHOOSE(CONTROL!$C$42, 89.762, 89.762) * CHOOSE(CONTROL!$C$21, $C$9, 100%, $E$9)</f>
        <v>89.762</v>
      </c>
      <c r="E877" s="14">
        <f>CHOOSE(CONTROL!$C$42, 89.7961, 89.7961) * CHOOSE(CONTROL!$C$21, $C$9, 100%, $E$9)</f>
        <v>89.796099999999996</v>
      </c>
      <c r="F877" s="14">
        <f>CHOOSE(CONTROL!$C$42, 89.6803, 89.6803)*CHOOSE(CONTROL!$C$21, $C$9, 100%, $E$9)</f>
        <v>89.680300000000003</v>
      </c>
      <c r="G877" s="14">
        <f>CHOOSE(CONTROL!$C$42, 89.6965, 89.6965)*CHOOSE(CONTROL!$C$21, $C$9, 100%, $E$9)</f>
        <v>89.6965</v>
      </c>
      <c r="H877" s="14">
        <f>CHOOSE(CONTROL!$C$42, 89.7853, 89.7853) * CHOOSE(CONTROL!$C$21, $C$9, 100%, $E$9)</f>
        <v>89.785300000000007</v>
      </c>
      <c r="I877" s="14">
        <f>CHOOSE(CONTROL!$C$42, 89.979, 89.979)* CHOOSE(CONTROL!$C$21, $C$9, 100%, $E$9)</f>
        <v>89.978999999999999</v>
      </c>
      <c r="J877" s="14">
        <f>CHOOSE(CONTROL!$C$42, 89.6733, 89.6733)* CHOOSE(CONTROL!$C$21, $C$9, 100%, $E$9)</f>
        <v>89.673299999999998</v>
      </c>
      <c r="K877" s="53">
        <f>CHOOSE(CONTROL!$C$42, 89.9751, 89.9751) * CHOOSE(CONTROL!$C$21, $C$9, 100%, $E$9)</f>
        <v>89.975099999999998</v>
      </c>
      <c r="L877" s="14">
        <f>CHOOSE(CONTROL!$C$42, 90.3723, 90.3723) * CHOOSE(CONTROL!$C$21, $C$9, 100%, $E$9)</f>
        <v>90.372299999999996</v>
      </c>
      <c r="M877" s="14">
        <f>CHOOSE(CONTROL!$C$42, 87.8437, 87.8437) * CHOOSE(CONTROL!$C$21, $C$9, 100%, $E$9)</f>
        <v>87.843699999999998</v>
      </c>
      <c r="N877" s="14">
        <f>CHOOSE(CONTROL!$C$42, 87.8595, 87.8595) * CHOOSE(CONTROL!$C$21, $C$9, 100%, $E$9)</f>
        <v>87.859499999999997</v>
      </c>
      <c r="O877" s="14">
        <f>CHOOSE(CONTROL!$C$42, 87.9533, 87.9533) * CHOOSE(CONTROL!$C$21, $C$9, 100%, $E$9)</f>
        <v>87.953299999999999</v>
      </c>
      <c r="P877" s="14">
        <f>CHOOSE(CONTROL!$C$42, 88.1375, 88.1375) * CHOOSE(CONTROL!$C$21, $C$9, 100%, $E$9)</f>
        <v>88.137500000000003</v>
      </c>
      <c r="Q877" s="14">
        <f>CHOOSE(CONTROL!$C$42, 88.548, 88.548) * CHOOSE(CONTROL!$C$21, $C$9, 100%, $E$9)</f>
        <v>88.548000000000002</v>
      </c>
      <c r="R877" s="14">
        <f>CHOOSE(CONTROL!$C$42, 89.3564, 89.3564) * CHOOSE(CONTROL!$C$21, $C$9, 100%, $E$9)</f>
        <v>89.356399999999994</v>
      </c>
      <c r="S877" s="14">
        <f>CHOOSE(CONTROL!$C$42, 86.1651, 86.1651) * CHOOSE(CONTROL!$C$21, $C$9, 100%, $E$9)</f>
        <v>86.165099999999995</v>
      </c>
      <c r="T8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7">
        <f>(1000*CHOOSE(CONTROL!$C$42, 695, 695)*CHOOSE(CONTROL!$C$42, 0.5599, 0.5599)*CHOOSE(CONTROL!$C$42, 31, 31))/1000000</f>
        <v>12.063045499999998</v>
      </c>
      <c r="V877" s="57">
        <f>(1000*CHOOSE(CONTROL!$C$42, 500, 500)*CHOOSE(CONTROL!$C$42, 0.275, 0.275)*CHOOSE(CONTROL!$C$42, 31, 31))/1000000</f>
        <v>4.2625000000000002</v>
      </c>
      <c r="W877" s="57">
        <f>(1000*CHOOSE(CONTROL!$C$42, 0.1146, 0.1146)*CHOOSE(CONTROL!$C$42, 121.5, 121.5)*CHOOSE(CONTROL!$C$42, 31, 31))/1000000</f>
        <v>0.43164089999999994</v>
      </c>
      <c r="X877" s="57">
        <f>(31*0.1790888*100000/1000000)+(31*0.2374*100000/1000000)</f>
        <v>1.2911152800000001</v>
      </c>
      <c r="Y877" s="57"/>
      <c r="Z877" s="14"/>
      <c r="AA877" s="56"/>
      <c r="AB877" s="50">
        <f>(B877*122.58+C877*297.941+D877*89.177+E877*40.302+F877*40+G877*160+H877*0+I877*100+J877*300)/(122.58+297.941+89.177+40.302+0+40+160+100+300)</f>
        <v>89.718343589043457</v>
      </c>
      <c r="AC877" s="45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87.936557553956831</v>
      </c>
    </row>
    <row r="878" spans="1:29" ht="15.75" x14ac:dyDescent="0.25">
      <c r="A878" s="32">
        <v>67631</v>
      </c>
      <c r="B878" s="14">
        <f>CHOOSE(CONTROL!$C$42, 91.2764, 91.2764) * CHOOSE(CONTROL!$C$21, $C$9, 100%, $E$9)</f>
        <v>91.276399999999995</v>
      </c>
      <c r="C878" s="14">
        <f>CHOOSE(CONTROL!$C$42, 91.2814, 91.2814) * CHOOSE(CONTROL!$C$21, $C$9, 100%, $E$9)</f>
        <v>91.281400000000005</v>
      </c>
      <c r="D878" s="14">
        <f>CHOOSE(CONTROL!$C$42, 91.3582, 91.3582) * CHOOSE(CONTROL!$C$21, $C$9, 100%, $E$9)</f>
        <v>91.358199999999997</v>
      </c>
      <c r="E878" s="14">
        <f>CHOOSE(CONTROL!$C$42, 91.3923, 91.3923) * CHOOSE(CONTROL!$C$21, $C$9, 100%, $E$9)</f>
        <v>91.392300000000006</v>
      </c>
      <c r="F878" s="14">
        <f>CHOOSE(CONTROL!$C$42, 91.2766, 91.2766)*CHOOSE(CONTROL!$C$21, $C$9, 100%, $E$9)</f>
        <v>91.276600000000002</v>
      </c>
      <c r="G878" s="14">
        <f>CHOOSE(CONTROL!$C$42, 91.2929, 91.2929)*CHOOSE(CONTROL!$C$21, $C$9, 100%, $E$9)</f>
        <v>91.292900000000003</v>
      </c>
      <c r="H878" s="14">
        <f>CHOOSE(CONTROL!$C$42, 91.3815, 91.3815) * CHOOSE(CONTROL!$C$21, $C$9, 100%, $E$9)</f>
        <v>91.381500000000003</v>
      </c>
      <c r="I878" s="14">
        <f>CHOOSE(CONTROL!$C$42, 91.5803, 91.5803)* CHOOSE(CONTROL!$C$21, $C$9, 100%, $E$9)</f>
        <v>91.580299999999994</v>
      </c>
      <c r="J878" s="14">
        <f>CHOOSE(CONTROL!$C$42, 91.2696, 91.2696)* CHOOSE(CONTROL!$C$21, $C$9, 100%, $E$9)</f>
        <v>91.269599999999997</v>
      </c>
      <c r="K878" s="53">
        <f>CHOOSE(CONTROL!$C$42, 91.5764, 91.5764) * CHOOSE(CONTROL!$C$21, $C$9, 100%, $E$9)</f>
        <v>91.576400000000007</v>
      </c>
      <c r="L878" s="14">
        <f>CHOOSE(CONTROL!$C$42, 91.9685, 91.9685) * CHOOSE(CONTROL!$C$21, $C$9, 100%, $E$9)</f>
        <v>91.968500000000006</v>
      </c>
      <c r="M878" s="14">
        <f>CHOOSE(CONTROL!$C$42, 89.4073, 89.4073) * CHOOSE(CONTROL!$C$21, $C$9, 100%, $E$9)</f>
        <v>89.407300000000006</v>
      </c>
      <c r="N878" s="14">
        <f>CHOOSE(CONTROL!$C$42, 89.4232, 89.4232) * CHOOSE(CONTROL!$C$21, $C$9, 100%, $E$9)</f>
        <v>89.423199999999994</v>
      </c>
      <c r="O878" s="14">
        <f>CHOOSE(CONTROL!$C$42, 89.5169, 89.5169) * CHOOSE(CONTROL!$C$21, $C$9, 100%, $E$9)</f>
        <v>89.516900000000007</v>
      </c>
      <c r="P878" s="14">
        <f>CHOOSE(CONTROL!$C$42, 89.7059, 89.7059) * CHOOSE(CONTROL!$C$21, $C$9, 100%, $E$9)</f>
        <v>89.7059</v>
      </c>
      <c r="Q878" s="14">
        <f>CHOOSE(CONTROL!$C$42, 90.1116, 90.1116) * CHOOSE(CONTROL!$C$21, $C$9, 100%, $E$9)</f>
        <v>90.111599999999996</v>
      </c>
      <c r="R878" s="14">
        <f>CHOOSE(CONTROL!$C$42, 90.9239, 90.9239) * CHOOSE(CONTROL!$C$21, $C$9, 100%, $E$9)</f>
        <v>90.923900000000003</v>
      </c>
      <c r="S878" s="14">
        <f>CHOOSE(CONTROL!$C$42, 87.6989, 87.6989) * CHOOSE(CONTROL!$C$21, $C$9, 100%, $E$9)</f>
        <v>87.698899999999995</v>
      </c>
      <c r="T8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7">
        <f>(1000*CHOOSE(CONTROL!$C$42, 695, 695)*CHOOSE(CONTROL!$C$42, 0.5599, 0.5599)*CHOOSE(CONTROL!$C$42, 28, 28))/1000000</f>
        <v>10.895653999999999</v>
      </c>
      <c r="V878" s="57">
        <f>(1000*CHOOSE(CONTROL!$C$42, 500, 500)*CHOOSE(CONTROL!$C$42, 0.275, 0.275)*CHOOSE(CONTROL!$C$42, 28, 28))/1000000</f>
        <v>3.85</v>
      </c>
      <c r="W878" s="57">
        <f>(1000*CHOOSE(CONTROL!$C$42, 0.1146, 0.1146)*CHOOSE(CONTROL!$C$42, 121.5, 121.5)*CHOOSE(CONTROL!$C$42, 28, 28))/1000000</f>
        <v>0.38986920000000003</v>
      </c>
      <c r="X878" s="57">
        <f>(28*0.1790888*100000/1000000)+(28*0.2374*100000/1000000)</f>
        <v>1.16616864</v>
      </c>
      <c r="Y878" s="57"/>
      <c r="Z878" s="14"/>
      <c r="AA878" s="56"/>
      <c r="AB878" s="50">
        <f>(B878*122.58+C878*297.941+D878*89.177+E878*40.302+F878*40+G878*160+H878*0+I878*100+J878*300)/(122.58+297.941+89.177+40.302+0+40+160+100+300)</f>
        <v>91.315055117739121</v>
      </c>
      <c r="AC878" s="45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89.500853956834533</v>
      </c>
    </row>
    <row r="879" spans="1:29" ht="15.75" x14ac:dyDescent="0.25">
      <c r="A879" s="32">
        <v>67662</v>
      </c>
      <c r="B879" s="14">
        <f>CHOOSE(CONTROL!$C$42, 88.6852, 88.6852) * CHOOSE(CONTROL!$C$21, $C$9, 100%, $E$9)</f>
        <v>88.685199999999995</v>
      </c>
      <c r="C879" s="14">
        <f>CHOOSE(CONTROL!$C$42, 88.6903, 88.6903) * CHOOSE(CONTROL!$C$21, $C$9, 100%, $E$9)</f>
        <v>88.690299999999993</v>
      </c>
      <c r="D879" s="14">
        <f>CHOOSE(CONTROL!$C$42, 88.7671, 88.7671) * CHOOSE(CONTROL!$C$21, $C$9, 100%, $E$9)</f>
        <v>88.767099999999999</v>
      </c>
      <c r="E879" s="14">
        <f>CHOOSE(CONTROL!$C$42, 88.8012, 88.8012) * CHOOSE(CONTROL!$C$21, $C$9, 100%, $E$9)</f>
        <v>88.801199999999994</v>
      </c>
      <c r="F879" s="14">
        <f>CHOOSE(CONTROL!$C$42, 88.685, 88.685)*CHOOSE(CONTROL!$C$21, $C$9, 100%, $E$9)</f>
        <v>88.685000000000002</v>
      </c>
      <c r="G879" s="14">
        <f>CHOOSE(CONTROL!$C$42, 88.7011, 88.7011)*CHOOSE(CONTROL!$C$21, $C$9, 100%, $E$9)</f>
        <v>88.701099999999997</v>
      </c>
      <c r="H879" s="14">
        <f>CHOOSE(CONTROL!$C$42, 88.7904, 88.7904) * CHOOSE(CONTROL!$C$21, $C$9, 100%, $E$9)</f>
        <v>88.790400000000005</v>
      </c>
      <c r="I879" s="14">
        <f>CHOOSE(CONTROL!$C$42, 88.981, 88.981)* CHOOSE(CONTROL!$C$21, $C$9, 100%, $E$9)</f>
        <v>88.980999999999995</v>
      </c>
      <c r="J879" s="14">
        <f>CHOOSE(CONTROL!$C$42, 88.678, 88.678)* CHOOSE(CONTROL!$C$21, $C$9, 100%, $E$9)</f>
        <v>88.677999999999997</v>
      </c>
      <c r="K879" s="53">
        <f>CHOOSE(CONTROL!$C$42, 88.9772, 88.9772) * CHOOSE(CONTROL!$C$21, $C$9, 100%, $E$9)</f>
        <v>88.977199999999996</v>
      </c>
      <c r="L879" s="14">
        <f>CHOOSE(CONTROL!$C$42, 89.3774, 89.3774) * CHOOSE(CONTROL!$C$21, $C$9, 100%, $E$9)</f>
        <v>89.377399999999994</v>
      </c>
      <c r="M879" s="14">
        <f>CHOOSE(CONTROL!$C$42, 86.8688, 86.8688) * CHOOSE(CONTROL!$C$21, $C$9, 100%, $E$9)</f>
        <v>86.868799999999993</v>
      </c>
      <c r="N879" s="14">
        <f>CHOOSE(CONTROL!$C$42, 86.8845, 86.8845) * CHOOSE(CONTROL!$C$21, $C$9, 100%, $E$9)</f>
        <v>86.884500000000003</v>
      </c>
      <c r="O879" s="14">
        <f>CHOOSE(CONTROL!$C$42, 86.9789, 86.9789) * CHOOSE(CONTROL!$C$21, $C$9, 100%, $E$9)</f>
        <v>86.978899999999996</v>
      </c>
      <c r="P879" s="14">
        <f>CHOOSE(CONTROL!$C$42, 87.1601, 87.1601) * CHOOSE(CONTROL!$C$21, $C$9, 100%, $E$9)</f>
        <v>87.1601</v>
      </c>
      <c r="Q879" s="14">
        <f>CHOOSE(CONTROL!$C$42, 87.5736, 87.5736) * CHOOSE(CONTROL!$C$21, $C$9, 100%, $E$9)</f>
        <v>87.573599999999999</v>
      </c>
      <c r="R879" s="14">
        <f>CHOOSE(CONTROL!$C$42, 88.3795, 88.3795) * CHOOSE(CONTROL!$C$21, $C$9, 100%, $E$9)</f>
        <v>88.379499999999993</v>
      </c>
      <c r="S879" s="14">
        <f>CHOOSE(CONTROL!$C$42, 85.2091, 85.2091) * CHOOSE(CONTROL!$C$21, $C$9, 100%, $E$9)</f>
        <v>85.209100000000007</v>
      </c>
      <c r="T8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7">
        <f>(1000*CHOOSE(CONTROL!$C$42, 695, 695)*CHOOSE(CONTROL!$C$42, 0.5599, 0.5599)*CHOOSE(CONTROL!$C$42, 31, 31))/1000000</f>
        <v>12.063045499999998</v>
      </c>
      <c r="V879" s="57">
        <f>(1000*CHOOSE(CONTROL!$C$42, 500, 500)*CHOOSE(CONTROL!$C$42, 0.275, 0.275)*CHOOSE(CONTROL!$C$42, 31, 31))/1000000</f>
        <v>4.2625000000000002</v>
      </c>
      <c r="W879" s="57">
        <f>(1000*CHOOSE(CONTROL!$C$42, 0.1146, 0.1146)*CHOOSE(CONTROL!$C$42, 121.5, 121.5)*CHOOSE(CONTROL!$C$42, 31, 31))/1000000</f>
        <v>0.43164089999999994</v>
      </c>
      <c r="X879" s="57">
        <f>(31*0.1790888*100000/1000000)+(31*0.2374*100000/1000000)</f>
        <v>1.2911152800000001</v>
      </c>
      <c r="Y879" s="57"/>
      <c r="Z879" s="14"/>
      <c r="AA879" s="56"/>
      <c r="AB879" s="50">
        <f>(B879*122.58+C879*297.941+D879*89.177+E879*40.302+F879*40+G879*160+H879*0+I879*100+J879*300)/(122.58+297.941+89.177+40.302+0+40+160+100+300)</f>
        <v>88.722986197739118</v>
      </c>
      <c r="AC879" s="45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86.961518705035971</v>
      </c>
    </row>
    <row r="880" spans="1:29" ht="15.75" x14ac:dyDescent="0.25">
      <c r="A880" s="32">
        <v>67692</v>
      </c>
      <c r="B880" s="14">
        <f>CHOOSE(CONTROL!$C$42, 88.421, 88.421) * CHOOSE(CONTROL!$C$21, $C$9, 100%, $E$9)</f>
        <v>88.421000000000006</v>
      </c>
      <c r="C880" s="14">
        <f>CHOOSE(CONTROL!$C$42, 88.4254, 88.4254) * CHOOSE(CONTROL!$C$21, $C$9, 100%, $E$9)</f>
        <v>88.425399999999996</v>
      </c>
      <c r="D880" s="14">
        <f>CHOOSE(CONTROL!$C$42, 88.6622, 88.6622) * CHOOSE(CONTROL!$C$21, $C$9, 100%, $E$9)</f>
        <v>88.662199999999999</v>
      </c>
      <c r="E880" s="14">
        <f>CHOOSE(CONTROL!$C$42, 88.6943, 88.6943) * CHOOSE(CONTROL!$C$21, $C$9, 100%, $E$9)</f>
        <v>88.694299999999998</v>
      </c>
      <c r="F880" s="14">
        <f>CHOOSE(CONTROL!$C$42, 88.4189, 88.4189)*CHOOSE(CONTROL!$C$21, $C$9, 100%, $E$9)</f>
        <v>88.418899999999994</v>
      </c>
      <c r="G880" s="14">
        <f>CHOOSE(CONTROL!$C$42, 88.4347, 88.4347)*CHOOSE(CONTROL!$C$21, $C$9, 100%, $E$9)</f>
        <v>88.434700000000007</v>
      </c>
      <c r="H880" s="14">
        <f>CHOOSE(CONTROL!$C$42, 88.6841, 88.6841) * CHOOSE(CONTROL!$C$21, $C$9, 100%, $E$9)</f>
        <v>88.684100000000001</v>
      </c>
      <c r="I880" s="14">
        <f>CHOOSE(CONTROL!$C$42, 88.7152, 88.7152)* CHOOSE(CONTROL!$C$21, $C$9, 100%, $E$9)</f>
        <v>88.715199999999996</v>
      </c>
      <c r="J880" s="14">
        <f>CHOOSE(CONTROL!$C$42, 88.4119, 88.4119)* CHOOSE(CONTROL!$C$21, $C$9, 100%, $E$9)</f>
        <v>88.411900000000003</v>
      </c>
      <c r="K880" s="53">
        <f>CHOOSE(CONTROL!$C$42, 88.7113, 88.7113) * CHOOSE(CONTROL!$C$21, $C$9, 100%, $E$9)</f>
        <v>88.711299999999994</v>
      </c>
      <c r="L880" s="14">
        <f>CHOOSE(CONTROL!$C$42, 89.2711, 89.2711) * CHOOSE(CONTROL!$C$21, $C$9, 100%, $E$9)</f>
        <v>89.271100000000004</v>
      </c>
      <c r="M880" s="14">
        <f>CHOOSE(CONTROL!$C$42, 86.6081, 86.6081) * CHOOSE(CONTROL!$C$21, $C$9, 100%, $E$9)</f>
        <v>86.608099999999993</v>
      </c>
      <c r="N880" s="14">
        <f>CHOOSE(CONTROL!$C$42, 86.6236, 86.6236) * CHOOSE(CONTROL!$C$21, $C$9, 100%, $E$9)</f>
        <v>86.623599999999996</v>
      </c>
      <c r="O880" s="14">
        <f>CHOOSE(CONTROL!$C$42, 86.8747, 86.8747) * CHOOSE(CONTROL!$C$21, $C$9, 100%, $E$9)</f>
        <v>86.874700000000004</v>
      </c>
      <c r="P880" s="14">
        <f>CHOOSE(CONTROL!$C$42, 86.8996, 86.8996) * CHOOSE(CONTROL!$C$21, $C$9, 100%, $E$9)</f>
        <v>86.899600000000007</v>
      </c>
      <c r="Q880" s="14">
        <f>CHOOSE(CONTROL!$C$42, 87.4694, 87.4694) * CHOOSE(CONTROL!$C$21, $C$9, 100%, $E$9)</f>
        <v>87.469399999999993</v>
      </c>
      <c r="R880" s="14">
        <f>CHOOSE(CONTROL!$C$42, 88.2751, 88.2751) * CHOOSE(CONTROL!$C$21, $C$9, 100%, $E$9)</f>
        <v>88.275099999999995</v>
      </c>
      <c r="S880" s="14">
        <f>CHOOSE(CONTROL!$C$42, 84.9544, 84.9544) * CHOOSE(CONTROL!$C$21, $C$9, 100%, $E$9)</f>
        <v>84.954400000000007</v>
      </c>
      <c r="T8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7">
        <f>(1000*CHOOSE(CONTROL!$C$42, 695, 695)*CHOOSE(CONTROL!$C$42, 0.5599, 0.5599)*CHOOSE(CONTROL!$C$42, 30, 30))/1000000</f>
        <v>11.673914999999997</v>
      </c>
      <c r="V880" s="57">
        <f>(1000*CHOOSE(CONTROL!$C$42, 500, 500)*CHOOSE(CONTROL!$C$42, 0.275, 0.275)*CHOOSE(CONTROL!$C$42, 30, 30))/1000000</f>
        <v>4.125</v>
      </c>
      <c r="W880" s="57">
        <f>(1000*CHOOSE(CONTROL!$C$42, 0.1146, 0.1146)*CHOOSE(CONTROL!$C$42, 121.5, 121.5)*CHOOSE(CONTROL!$C$42, 30, 30))/1000000</f>
        <v>0.417717</v>
      </c>
      <c r="X880" s="57">
        <f>(30*0.1790888*245000/1000000)+(30*0.2374*100000/1000000)</f>
        <v>2.0285026799999999</v>
      </c>
      <c r="Y880" s="57"/>
      <c r="Z880" s="14"/>
      <c r="AA880" s="56"/>
      <c r="AB880" s="50">
        <f>(B880*141.293+C880*267.993+D880*115.016+E880*89.698+F880*40+G880*185+H880*0+I880*100+J880*300)/(141.293+267.993+115.016+89.698+0+40+185+100+300)</f>
        <v>88.487647289588381</v>
      </c>
      <c r="AC880" s="45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86.771767625899273</v>
      </c>
    </row>
    <row r="881" spans="1:29" ht="15.75" x14ac:dyDescent="0.25">
      <c r="A881" s="32">
        <v>67723</v>
      </c>
      <c r="B881" s="14">
        <f>CHOOSE(CONTROL!$C$42, 89.2027, 89.2027) * CHOOSE(CONTROL!$C$21, $C$9, 100%, $E$9)</f>
        <v>89.202699999999993</v>
      </c>
      <c r="C881" s="14">
        <f>CHOOSE(CONTROL!$C$42, 89.2107, 89.2107) * CHOOSE(CONTROL!$C$21, $C$9, 100%, $E$9)</f>
        <v>89.210700000000003</v>
      </c>
      <c r="D881" s="14">
        <f>CHOOSE(CONTROL!$C$42, 89.4443, 89.4443) * CHOOSE(CONTROL!$C$21, $C$9, 100%, $E$9)</f>
        <v>89.444299999999998</v>
      </c>
      <c r="E881" s="14">
        <f>CHOOSE(CONTROL!$C$42, 89.4758, 89.4758) * CHOOSE(CONTROL!$C$21, $C$9, 100%, $E$9)</f>
        <v>89.475800000000007</v>
      </c>
      <c r="F881" s="14">
        <f>CHOOSE(CONTROL!$C$42, 89.1995, 89.1995)*CHOOSE(CONTROL!$C$21, $C$9, 100%, $E$9)</f>
        <v>89.1995</v>
      </c>
      <c r="G881" s="14">
        <f>CHOOSE(CONTROL!$C$42, 89.2158, 89.2158)*CHOOSE(CONTROL!$C$21, $C$9, 100%, $E$9)</f>
        <v>89.215800000000002</v>
      </c>
      <c r="H881" s="14">
        <f>CHOOSE(CONTROL!$C$42, 89.4644, 89.4644) * CHOOSE(CONTROL!$C$21, $C$9, 100%, $E$9)</f>
        <v>89.464399999999998</v>
      </c>
      <c r="I881" s="14">
        <f>CHOOSE(CONTROL!$C$42, 89.4979, 89.4979)* CHOOSE(CONTROL!$C$21, $C$9, 100%, $E$9)</f>
        <v>89.497900000000001</v>
      </c>
      <c r="J881" s="14">
        <f>CHOOSE(CONTROL!$C$42, 89.1925, 89.1925)* CHOOSE(CONTROL!$C$21, $C$9, 100%, $E$9)</f>
        <v>89.192499999999995</v>
      </c>
      <c r="K881" s="53">
        <f>CHOOSE(CONTROL!$C$42, 89.494, 89.494) * CHOOSE(CONTROL!$C$21, $C$9, 100%, $E$9)</f>
        <v>89.494</v>
      </c>
      <c r="L881" s="14">
        <f>CHOOSE(CONTROL!$C$42, 90.0514, 90.0514) * CHOOSE(CONTROL!$C$21, $C$9, 100%, $E$9)</f>
        <v>90.051400000000001</v>
      </c>
      <c r="M881" s="14">
        <f>CHOOSE(CONTROL!$C$42, 87.3727, 87.3727) * CHOOSE(CONTROL!$C$21, $C$9, 100%, $E$9)</f>
        <v>87.372699999999995</v>
      </c>
      <c r="N881" s="14">
        <f>CHOOSE(CONTROL!$C$42, 87.3887, 87.3887) * CHOOSE(CONTROL!$C$21, $C$9, 100%, $E$9)</f>
        <v>87.3887</v>
      </c>
      <c r="O881" s="14">
        <f>CHOOSE(CONTROL!$C$42, 87.639, 87.639) * CHOOSE(CONTROL!$C$21, $C$9, 100%, $E$9)</f>
        <v>87.638999999999996</v>
      </c>
      <c r="P881" s="14">
        <f>CHOOSE(CONTROL!$C$42, 87.6663, 87.6663) * CHOOSE(CONTROL!$C$21, $C$9, 100%, $E$9)</f>
        <v>87.666300000000007</v>
      </c>
      <c r="Q881" s="14">
        <f>CHOOSE(CONTROL!$C$42, 88.2337, 88.2337) * CHOOSE(CONTROL!$C$21, $C$9, 100%, $E$9)</f>
        <v>88.233699999999999</v>
      </c>
      <c r="R881" s="14">
        <f>CHOOSE(CONTROL!$C$42, 89.0413, 89.0413) * CHOOSE(CONTROL!$C$21, $C$9, 100%, $E$9)</f>
        <v>89.041300000000007</v>
      </c>
      <c r="S881" s="14">
        <f>CHOOSE(CONTROL!$C$42, 85.7042, 85.7042) * CHOOSE(CONTROL!$C$21, $C$9, 100%, $E$9)</f>
        <v>85.7042</v>
      </c>
      <c r="T8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7">
        <f>(1000*CHOOSE(CONTROL!$C$42, 695, 695)*CHOOSE(CONTROL!$C$42, 0.5599, 0.5599)*CHOOSE(CONTROL!$C$42, 31, 31))/1000000</f>
        <v>12.063045499999998</v>
      </c>
      <c r="V881" s="57">
        <f>(1000*CHOOSE(CONTROL!$C$42, 500, 500)*CHOOSE(CONTROL!$C$42, 0.275, 0.275)*CHOOSE(CONTROL!$C$42, 31, 31))/1000000</f>
        <v>4.2625000000000002</v>
      </c>
      <c r="W881" s="57">
        <f>(1000*CHOOSE(CONTROL!$C$42, 0.1146, 0.1146)*CHOOSE(CONTROL!$C$42, 121.5, 121.5)*CHOOSE(CONTROL!$C$42, 31, 31))/1000000</f>
        <v>0.43164089999999994</v>
      </c>
      <c r="X881" s="57">
        <f>(31*0.1790888*245000/1000000)+(31*0.2374*100000/1000000)</f>
        <v>2.0961194359999999</v>
      </c>
      <c r="Y881" s="57"/>
      <c r="Z881" s="14"/>
      <c r="AA881" s="56"/>
      <c r="AB881" s="50">
        <f>(B881*194.205+C881*267.466+D881*133.845+E881*53.484+F881*40+G881*185+H881*0+I881*100+J881*300)/(194.205+267.466+133.845+53.484+0+40+185+100+300)</f>
        <v>89.263797849607528</v>
      </c>
      <c r="AC881" s="45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87.536562589928067</v>
      </c>
    </row>
    <row r="882" spans="1:29" ht="15.75" x14ac:dyDescent="0.25">
      <c r="A882" s="32">
        <v>67753</v>
      </c>
      <c r="B882" s="14">
        <f>CHOOSE(CONTROL!$C$42, 91.7327, 91.7327) * CHOOSE(CONTROL!$C$21, $C$9, 100%, $E$9)</f>
        <v>91.732699999999994</v>
      </c>
      <c r="C882" s="14">
        <f>CHOOSE(CONTROL!$C$42, 91.7407, 91.7407) * CHOOSE(CONTROL!$C$21, $C$9, 100%, $E$9)</f>
        <v>91.740700000000004</v>
      </c>
      <c r="D882" s="14">
        <f>CHOOSE(CONTROL!$C$42, 91.9743, 91.9743) * CHOOSE(CONTROL!$C$21, $C$9, 100%, $E$9)</f>
        <v>91.974299999999999</v>
      </c>
      <c r="E882" s="14">
        <f>CHOOSE(CONTROL!$C$42, 92.0058, 92.0058) * CHOOSE(CONTROL!$C$21, $C$9, 100%, $E$9)</f>
        <v>92.005799999999994</v>
      </c>
      <c r="F882" s="14">
        <f>CHOOSE(CONTROL!$C$42, 91.7299, 91.7299)*CHOOSE(CONTROL!$C$21, $C$9, 100%, $E$9)</f>
        <v>91.729900000000001</v>
      </c>
      <c r="G882" s="14">
        <f>CHOOSE(CONTROL!$C$42, 91.7464, 91.7464)*CHOOSE(CONTROL!$C$21, $C$9, 100%, $E$9)</f>
        <v>91.746399999999994</v>
      </c>
      <c r="H882" s="14">
        <f>CHOOSE(CONTROL!$C$42, 91.9944, 91.9944) * CHOOSE(CONTROL!$C$21, $C$9, 100%, $E$9)</f>
        <v>91.994399999999999</v>
      </c>
      <c r="I882" s="14">
        <f>CHOOSE(CONTROL!$C$42, 92.0359, 92.0359)* CHOOSE(CONTROL!$C$21, $C$9, 100%, $E$9)</f>
        <v>92.035899999999998</v>
      </c>
      <c r="J882" s="14">
        <f>CHOOSE(CONTROL!$C$42, 91.7229, 91.7229)* CHOOSE(CONTROL!$C$21, $C$9, 100%, $E$9)</f>
        <v>91.722899999999996</v>
      </c>
      <c r="K882" s="53">
        <f>CHOOSE(CONTROL!$C$42, 92.032, 92.032) * CHOOSE(CONTROL!$C$21, $C$9, 100%, $E$9)</f>
        <v>92.031999999999996</v>
      </c>
      <c r="L882" s="14">
        <f>CHOOSE(CONTROL!$C$42, 92.5814, 92.5814) * CHOOSE(CONTROL!$C$21, $C$9, 100%, $E$9)</f>
        <v>92.581400000000002</v>
      </c>
      <c r="M882" s="14">
        <f>CHOOSE(CONTROL!$C$42, 89.8513, 89.8513) * CHOOSE(CONTROL!$C$21, $C$9, 100%, $E$9)</f>
        <v>89.851299999999995</v>
      </c>
      <c r="N882" s="14">
        <f>CHOOSE(CONTROL!$C$42, 89.8674, 89.8674) * CHOOSE(CONTROL!$C$21, $C$9, 100%, $E$9)</f>
        <v>89.867400000000004</v>
      </c>
      <c r="O882" s="14">
        <f>CHOOSE(CONTROL!$C$42, 90.1172, 90.1172) * CHOOSE(CONTROL!$C$21, $C$9, 100%, $E$9)</f>
        <v>90.117199999999997</v>
      </c>
      <c r="P882" s="14">
        <f>CHOOSE(CONTROL!$C$42, 90.1521, 90.1521) * CHOOSE(CONTROL!$C$21, $C$9, 100%, $E$9)</f>
        <v>90.152100000000004</v>
      </c>
      <c r="Q882" s="14">
        <f>CHOOSE(CONTROL!$C$42, 90.7119, 90.7119) * CHOOSE(CONTROL!$C$21, $C$9, 100%, $E$9)</f>
        <v>90.7119</v>
      </c>
      <c r="R882" s="14">
        <f>CHOOSE(CONTROL!$C$42, 91.5257, 91.5257) * CHOOSE(CONTROL!$C$21, $C$9, 100%, $E$9)</f>
        <v>91.525700000000001</v>
      </c>
      <c r="S882" s="14">
        <f>CHOOSE(CONTROL!$C$42, 88.1353, 88.1353) * CHOOSE(CONTROL!$C$21, $C$9, 100%, $E$9)</f>
        <v>88.135300000000001</v>
      </c>
      <c r="T8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7">
        <f>(1000*CHOOSE(CONTROL!$C$42, 695, 695)*CHOOSE(CONTROL!$C$42, 0.5599, 0.5599)*CHOOSE(CONTROL!$C$42, 30, 30))/1000000</f>
        <v>11.673914999999997</v>
      </c>
      <c r="V882" s="57">
        <f>(1000*CHOOSE(CONTROL!$C$42, 500, 500)*CHOOSE(CONTROL!$C$42, 0.275, 0.275)*CHOOSE(CONTROL!$C$42, 30, 30))/1000000</f>
        <v>4.125</v>
      </c>
      <c r="W882" s="57">
        <f>(1000*CHOOSE(CONTROL!$C$42, 0.1146, 0.1146)*CHOOSE(CONTROL!$C$42, 121.5, 121.5)*CHOOSE(CONTROL!$C$42, 30, 30))/1000000</f>
        <v>0.417717</v>
      </c>
      <c r="X882" s="57">
        <f>(30*0.1790888*245000/1000000)+(30*0.2374*100000/1000000)</f>
        <v>2.0285026799999999</v>
      </c>
      <c r="Y882" s="57"/>
      <c r="Z882" s="14"/>
      <c r="AA882" s="56"/>
      <c r="AB882" s="50">
        <f>(B882*194.205+C882*267.466+D882*133.845+E882*53.484+F882*40+G882*185+H882*0+I882*100+J882*300)/(194.205+267.466+133.845+53.484+0+40+185+100+300)</f>
        <v>91.794619670643641</v>
      </c>
      <c r="AC882" s="45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90.016023021582726</v>
      </c>
    </row>
    <row r="883" spans="1:29" ht="15.75" x14ac:dyDescent="0.25">
      <c r="A883" s="32">
        <v>67784</v>
      </c>
      <c r="B883" s="14">
        <f>CHOOSE(CONTROL!$C$42, 89.9731, 89.9731) * CHOOSE(CONTROL!$C$21, $C$9, 100%, $E$9)</f>
        <v>89.973100000000002</v>
      </c>
      <c r="C883" s="14">
        <f>CHOOSE(CONTROL!$C$42, 89.9811, 89.9811) * CHOOSE(CONTROL!$C$21, $C$9, 100%, $E$9)</f>
        <v>89.981099999999998</v>
      </c>
      <c r="D883" s="14">
        <f>CHOOSE(CONTROL!$C$42, 90.2147, 90.2147) * CHOOSE(CONTROL!$C$21, $C$9, 100%, $E$9)</f>
        <v>90.214699999999993</v>
      </c>
      <c r="E883" s="14">
        <f>CHOOSE(CONTROL!$C$42, 90.2461, 90.2461) * CHOOSE(CONTROL!$C$21, $C$9, 100%, $E$9)</f>
        <v>90.246099999999998</v>
      </c>
      <c r="F883" s="14">
        <f>CHOOSE(CONTROL!$C$42, 89.9708, 89.9708)*CHOOSE(CONTROL!$C$21, $C$9, 100%, $E$9)</f>
        <v>89.970799999999997</v>
      </c>
      <c r="G883" s="14">
        <f>CHOOSE(CONTROL!$C$42, 89.9874, 89.9874)*CHOOSE(CONTROL!$C$21, $C$9, 100%, $E$9)</f>
        <v>89.987399999999994</v>
      </c>
      <c r="H883" s="14">
        <f>CHOOSE(CONTROL!$C$42, 90.2348, 90.2348) * CHOOSE(CONTROL!$C$21, $C$9, 100%, $E$9)</f>
        <v>90.234800000000007</v>
      </c>
      <c r="I883" s="14">
        <f>CHOOSE(CONTROL!$C$42, 90.2707, 90.2707)* CHOOSE(CONTROL!$C$21, $C$9, 100%, $E$9)</f>
        <v>90.270700000000005</v>
      </c>
      <c r="J883" s="14">
        <f>CHOOSE(CONTROL!$C$42, 89.9638, 89.9638)* CHOOSE(CONTROL!$C$21, $C$9, 100%, $E$9)</f>
        <v>89.963800000000006</v>
      </c>
      <c r="K883" s="53">
        <f>CHOOSE(CONTROL!$C$42, 90.2668, 90.2668) * CHOOSE(CONTROL!$C$21, $C$9, 100%, $E$9)</f>
        <v>90.266800000000003</v>
      </c>
      <c r="L883" s="14">
        <f>CHOOSE(CONTROL!$C$42, 90.8218, 90.8218) * CHOOSE(CONTROL!$C$21, $C$9, 100%, $E$9)</f>
        <v>90.821799999999996</v>
      </c>
      <c r="M883" s="14">
        <f>CHOOSE(CONTROL!$C$42, 88.1282, 88.1282) * CHOOSE(CONTROL!$C$21, $C$9, 100%, $E$9)</f>
        <v>88.128200000000007</v>
      </c>
      <c r="N883" s="14">
        <f>CHOOSE(CONTROL!$C$42, 88.1445, 88.1445) * CHOOSE(CONTROL!$C$21, $C$9, 100%, $E$9)</f>
        <v>88.144499999999994</v>
      </c>
      <c r="O883" s="14">
        <f>CHOOSE(CONTROL!$C$42, 88.3936, 88.3936) * CHOOSE(CONTROL!$C$21, $C$9, 100%, $E$9)</f>
        <v>88.393600000000006</v>
      </c>
      <c r="P883" s="14">
        <f>CHOOSE(CONTROL!$C$42, 88.4232, 88.4232) * CHOOSE(CONTROL!$C$21, $C$9, 100%, $E$9)</f>
        <v>88.423199999999994</v>
      </c>
      <c r="Q883" s="14">
        <f>CHOOSE(CONTROL!$C$42, 88.9883, 88.9883) * CHOOSE(CONTROL!$C$21, $C$9, 100%, $E$9)</f>
        <v>88.988299999999995</v>
      </c>
      <c r="R883" s="14">
        <f>CHOOSE(CONTROL!$C$42, 89.7978, 89.7978) * CHOOSE(CONTROL!$C$21, $C$9, 100%, $E$9)</f>
        <v>89.797799999999995</v>
      </c>
      <c r="S883" s="14">
        <f>CHOOSE(CONTROL!$C$42, 86.4445, 86.4445) * CHOOSE(CONTROL!$C$21, $C$9, 100%, $E$9)</f>
        <v>86.444500000000005</v>
      </c>
      <c r="T8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7">
        <f>(1000*CHOOSE(CONTROL!$C$42, 695, 695)*CHOOSE(CONTROL!$C$42, 0.5599, 0.5599)*CHOOSE(CONTROL!$C$42, 31, 31))/1000000</f>
        <v>12.063045499999998</v>
      </c>
      <c r="V883" s="57">
        <f>(1000*CHOOSE(CONTROL!$C$42, 500, 500)*CHOOSE(CONTROL!$C$42, 0.275, 0.275)*CHOOSE(CONTROL!$C$42, 31, 31))/1000000</f>
        <v>4.2625000000000002</v>
      </c>
      <c r="W883" s="57">
        <f>(1000*CHOOSE(CONTROL!$C$42, 0.1146, 0.1146)*CHOOSE(CONTROL!$C$42, 121.5, 121.5)*CHOOSE(CONTROL!$C$42, 31, 31))/1000000</f>
        <v>0.43164089999999994</v>
      </c>
      <c r="X883" s="57">
        <f>(31*0.1790888*245000/1000000)+(31*0.2374*100000/1000000)</f>
        <v>2.0961194359999999</v>
      </c>
      <c r="Y883" s="57"/>
      <c r="Z883" s="14"/>
      <c r="AA883" s="56"/>
      <c r="AB883" s="50">
        <f>(B883*194.205+C883*267.466+D883*133.845+E883*53.484+F883*40+G883*185+H883*0+I883*100+J883*300)/(194.205+267.466+133.845+53.484+0+40+185+100+300)</f>
        <v>90.034796477237052</v>
      </c>
      <c r="AC883" s="45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88.291873381294963</v>
      </c>
    </row>
    <row r="884" spans="1:29" ht="15.75" x14ac:dyDescent="0.25">
      <c r="A884" s="32">
        <v>67815</v>
      </c>
      <c r="B884" s="14">
        <f>CHOOSE(CONTROL!$C$42, 85.5294, 85.5294) * CHOOSE(CONTROL!$C$21, $C$9, 100%, $E$9)</f>
        <v>85.529399999999995</v>
      </c>
      <c r="C884" s="14">
        <f>CHOOSE(CONTROL!$C$42, 85.5374, 85.5374) * CHOOSE(CONTROL!$C$21, $C$9, 100%, $E$9)</f>
        <v>85.537400000000005</v>
      </c>
      <c r="D884" s="14">
        <f>CHOOSE(CONTROL!$C$42, 85.771, 85.771) * CHOOSE(CONTROL!$C$21, $C$9, 100%, $E$9)</f>
        <v>85.771000000000001</v>
      </c>
      <c r="E884" s="14">
        <f>CHOOSE(CONTROL!$C$42, 85.8025, 85.8025) * CHOOSE(CONTROL!$C$21, $C$9, 100%, $E$9)</f>
        <v>85.802499999999995</v>
      </c>
      <c r="F884" s="14">
        <f>CHOOSE(CONTROL!$C$42, 85.5274, 85.5274)*CHOOSE(CONTROL!$C$21, $C$9, 100%, $E$9)</f>
        <v>85.5274</v>
      </c>
      <c r="G884" s="14">
        <f>CHOOSE(CONTROL!$C$42, 85.5441, 85.5441)*CHOOSE(CONTROL!$C$21, $C$9, 100%, $E$9)</f>
        <v>85.5441</v>
      </c>
      <c r="H884" s="14">
        <f>CHOOSE(CONTROL!$C$42, 85.7911, 85.7911) * CHOOSE(CONTROL!$C$21, $C$9, 100%, $E$9)</f>
        <v>85.7911</v>
      </c>
      <c r="I884" s="14">
        <f>CHOOSE(CONTROL!$C$42, 85.8132, 85.8132)* CHOOSE(CONTROL!$C$21, $C$9, 100%, $E$9)</f>
        <v>85.813199999999995</v>
      </c>
      <c r="J884" s="14">
        <f>CHOOSE(CONTROL!$C$42, 85.5204, 85.5204)* CHOOSE(CONTROL!$C$21, $C$9, 100%, $E$9)</f>
        <v>85.520399999999995</v>
      </c>
      <c r="K884" s="53">
        <f>CHOOSE(CONTROL!$C$42, 85.8093, 85.8093) * CHOOSE(CONTROL!$C$21, $C$9, 100%, $E$9)</f>
        <v>85.809299999999993</v>
      </c>
      <c r="L884" s="14">
        <f>CHOOSE(CONTROL!$C$42, 86.3781, 86.3781) * CHOOSE(CONTROL!$C$21, $C$9, 100%, $E$9)</f>
        <v>86.378100000000003</v>
      </c>
      <c r="M884" s="14">
        <f>CHOOSE(CONTROL!$C$42, 83.7758, 83.7758) * CHOOSE(CONTROL!$C$21, $C$9, 100%, $E$9)</f>
        <v>83.775800000000004</v>
      </c>
      <c r="N884" s="14">
        <f>CHOOSE(CONTROL!$C$42, 83.7922, 83.7922) * CHOOSE(CONTROL!$C$21, $C$9, 100%, $E$9)</f>
        <v>83.792199999999994</v>
      </c>
      <c r="O884" s="14">
        <f>CHOOSE(CONTROL!$C$42, 84.041, 84.041) * CHOOSE(CONTROL!$C$21, $C$9, 100%, $E$9)</f>
        <v>84.040999999999997</v>
      </c>
      <c r="P884" s="14">
        <f>CHOOSE(CONTROL!$C$42, 84.0573, 84.0573) * CHOOSE(CONTROL!$C$21, $C$9, 100%, $E$9)</f>
        <v>84.057299999999998</v>
      </c>
      <c r="Q884" s="14">
        <f>CHOOSE(CONTROL!$C$42, 84.6357, 84.6357) * CHOOSE(CONTROL!$C$21, $C$9, 100%, $E$9)</f>
        <v>84.6357</v>
      </c>
      <c r="R884" s="14">
        <f>CHOOSE(CONTROL!$C$42, 85.4343, 85.4343) * CHOOSE(CONTROL!$C$21, $C$9, 100%, $E$9)</f>
        <v>85.434299999999993</v>
      </c>
      <c r="S884" s="14">
        <f>CHOOSE(CONTROL!$C$42, 82.1746, 82.1746) * CHOOSE(CONTROL!$C$21, $C$9, 100%, $E$9)</f>
        <v>82.174599999999998</v>
      </c>
      <c r="T8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7">
        <f>(1000*CHOOSE(CONTROL!$C$42, 695, 695)*CHOOSE(CONTROL!$C$42, 0.5599, 0.5599)*CHOOSE(CONTROL!$C$42, 31, 31))/1000000</f>
        <v>12.063045499999998</v>
      </c>
      <c r="V884" s="57">
        <f>(1000*CHOOSE(CONTROL!$C$42, 500, 500)*CHOOSE(CONTROL!$C$42, 0.275, 0.275)*CHOOSE(CONTROL!$C$42, 31, 31))/1000000</f>
        <v>4.2625000000000002</v>
      </c>
      <c r="W884" s="57">
        <f>(1000*CHOOSE(CONTROL!$C$42, 0.1146, 0.1146)*CHOOSE(CONTROL!$C$42, 121.5, 121.5)*CHOOSE(CONTROL!$C$42, 31, 31))/1000000</f>
        <v>0.43164089999999994</v>
      </c>
      <c r="X884" s="57">
        <f>(31*0.1790888*245000/1000000)+(31*0.2374*100000/1000000)</f>
        <v>2.0961194359999999</v>
      </c>
      <c r="Y884" s="57"/>
      <c r="Z884" s="14"/>
      <c r="AA884" s="56"/>
      <c r="AB884" s="50">
        <f>(B884*194.205+C884*267.466+D884*133.845+E884*53.484+F884*40+G884*185+H884*0+I884*100+J884*300)/(194.205+267.466+133.845+53.484+0+40+185+100+300)</f>
        <v>85.590155620408154</v>
      </c>
      <c r="AC884" s="45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83.937446043165465</v>
      </c>
    </row>
    <row r="885" spans="1:29" ht="15.75" x14ac:dyDescent="0.25">
      <c r="A885" s="32">
        <v>67845</v>
      </c>
      <c r="B885" s="14">
        <f>CHOOSE(CONTROL!$C$42, 80.0997, 80.0997) * CHOOSE(CONTROL!$C$21, $C$9, 100%, $E$9)</f>
        <v>80.099699999999999</v>
      </c>
      <c r="C885" s="14">
        <f>CHOOSE(CONTROL!$C$42, 80.1077, 80.1077) * CHOOSE(CONTROL!$C$21, $C$9, 100%, $E$9)</f>
        <v>80.107699999999994</v>
      </c>
      <c r="D885" s="14">
        <f>CHOOSE(CONTROL!$C$42, 80.3413, 80.3413) * CHOOSE(CONTROL!$C$21, $C$9, 100%, $E$9)</f>
        <v>80.341300000000004</v>
      </c>
      <c r="E885" s="14">
        <f>CHOOSE(CONTROL!$C$42, 80.3727, 80.3727) * CHOOSE(CONTROL!$C$21, $C$9, 100%, $E$9)</f>
        <v>80.372699999999995</v>
      </c>
      <c r="F885" s="14">
        <f>CHOOSE(CONTROL!$C$42, 80.0977, 80.0977)*CHOOSE(CONTROL!$C$21, $C$9, 100%, $E$9)</f>
        <v>80.097700000000003</v>
      </c>
      <c r="G885" s="14">
        <f>CHOOSE(CONTROL!$C$42, 80.1143, 80.1143)*CHOOSE(CONTROL!$C$21, $C$9, 100%, $E$9)</f>
        <v>80.1143</v>
      </c>
      <c r="H885" s="14">
        <f>CHOOSE(CONTROL!$C$42, 80.3614, 80.3614) * CHOOSE(CONTROL!$C$21, $C$9, 100%, $E$9)</f>
        <v>80.361400000000003</v>
      </c>
      <c r="I885" s="14">
        <f>CHOOSE(CONTROL!$C$42, 80.3664, 80.3664)* CHOOSE(CONTROL!$C$21, $C$9, 100%, $E$9)</f>
        <v>80.366399999999999</v>
      </c>
      <c r="J885" s="14">
        <f>CHOOSE(CONTROL!$C$42, 80.0907, 80.0907)* CHOOSE(CONTROL!$C$21, $C$9, 100%, $E$9)</f>
        <v>80.090699999999998</v>
      </c>
      <c r="K885" s="53">
        <f>CHOOSE(CONTROL!$C$42, 80.3625, 80.3625) * CHOOSE(CONTROL!$C$21, $C$9, 100%, $E$9)</f>
        <v>80.362499999999997</v>
      </c>
      <c r="L885" s="14">
        <f>CHOOSE(CONTROL!$C$42, 80.9484, 80.9484) * CHOOSE(CONTROL!$C$21, $C$9, 100%, $E$9)</f>
        <v>80.948400000000007</v>
      </c>
      <c r="M885" s="14">
        <f>CHOOSE(CONTROL!$C$42, 78.4573, 78.4573) * CHOOSE(CONTROL!$C$21, $C$9, 100%, $E$9)</f>
        <v>78.457300000000004</v>
      </c>
      <c r="N885" s="14">
        <f>CHOOSE(CONTROL!$C$42, 78.4737, 78.4737) * CHOOSE(CONTROL!$C$21, $C$9, 100%, $E$9)</f>
        <v>78.473699999999994</v>
      </c>
      <c r="O885" s="14">
        <f>CHOOSE(CONTROL!$C$42, 78.7225, 78.7225) * CHOOSE(CONTROL!$C$21, $C$9, 100%, $E$9)</f>
        <v>78.722499999999997</v>
      </c>
      <c r="P885" s="14">
        <f>CHOOSE(CONTROL!$C$42, 78.7225, 78.7225) * CHOOSE(CONTROL!$C$21, $C$9, 100%, $E$9)</f>
        <v>78.722499999999997</v>
      </c>
      <c r="Q885" s="14">
        <f>CHOOSE(CONTROL!$C$42, 79.3172, 79.3172) * CHOOSE(CONTROL!$C$21, $C$9, 100%, $E$9)</f>
        <v>79.3172</v>
      </c>
      <c r="R885" s="14">
        <f>CHOOSE(CONTROL!$C$42, 80.1025, 80.1025) * CHOOSE(CONTROL!$C$21, $C$9, 100%, $E$9)</f>
        <v>80.102500000000006</v>
      </c>
      <c r="S885" s="14">
        <f>CHOOSE(CONTROL!$C$42, 76.9571, 76.9571) * CHOOSE(CONTROL!$C$21, $C$9, 100%, $E$9)</f>
        <v>76.957099999999997</v>
      </c>
      <c r="T8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7">
        <f>(1000*CHOOSE(CONTROL!$C$42, 695, 695)*CHOOSE(CONTROL!$C$42, 0.5599, 0.5599)*CHOOSE(CONTROL!$C$42, 30, 30))/1000000</f>
        <v>11.673914999999997</v>
      </c>
      <c r="V885" s="57">
        <f>(1000*CHOOSE(CONTROL!$C$42, 500, 500)*CHOOSE(CONTROL!$C$42, 0.275, 0.275)*CHOOSE(CONTROL!$C$42, 30, 30))/1000000</f>
        <v>4.125</v>
      </c>
      <c r="W885" s="57">
        <f>(1000*CHOOSE(CONTROL!$C$42, 0.1146, 0.1146)*CHOOSE(CONTROL!$C$42, 121.5, 121.5)*CHOOSE(CONTROL!$C$42, 30, 30))/1000000</f>
        <v>0.417717</v>
      </c>
      <c r="X885" s="57">
        <f>(30*0.1790888*245000/1000000)+(30*0.2374*100000/1000000)</f>
        <v>2.0285026799999999</v>
      </c>
      <c r="Y885" s="57"/>
      <c r="Z885" s="14"/>
      <c r="AA885" s="56"/>
      <c r="AB885" s="50">
        <f>(B885*194.205+C885*267.466+D885*133.845+E885*53.484+F885*40+G885*185+H885*0+I885*100+J885*300)/(194.205+267.466+133.845+53.484+0+40+185+100+300)</f>
        <v>80.159094671899524</v>
      </c>
      <c r="AC885" s="45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78.616600719424454</v>
      </c>
    </row>
    <row r="886" spans="1:29" ht="15.75" x14ac:dyDescent="0.25">
      <c r="A886" s="32">
        <v>67876</v>
      </c>
      <c r="B886" s="14">
        <f>CHOOSE(CONTROL!$C$42, 78.4718, 78.4718) * CHOOSE(CONTROL!$C$21, $C$9, 100%, $E$9)</f>
        <v>78.471800000000002</v>
      </c>
      <c r="C886" s="14">
        <f>CHOOSE(CONTROL!$C$42, 78.4771, 78.4771) * CHOOSE(CONTROL!$C$21, $C$9, 100%, $E$9)</f>
        <v>78.477099999999993</v>
      </c>
      <c r="D886" s="14">
        <f>CHOOSE(CONTROL!$C$42, 78.7157, 78.7157) * CHOOSE(CONTROL!$C$21, $C$9, 100%, $E$9)</f>
        <v>78.715699999999998</v>
      </c>
      <c r="E886" s="14">
        <f>CHOOSE(CONTROL!$C$42, 78.7448, 78.7448) * CHOOSE(CONTROL!$C$21, $C$9, 100%, $E$9)</f>
        <v>78.744799999999998</v>
      </c>
      <c r="F886" s="14">
        <f>CHOOSE(CONTROL!$C$42, 78.4718, 78.4718)*CHOOSE(CONTROL!$C$21, $C$9, 100%, $E$9)</f>
        <v>78.471800000000002</v>
      </c>
      <c r="G886" s="14">
        <f>CHOOSE(CONTROL!$C$42, 78.4881, 78.4881)*CHOOSE(CONTROL!$C$21, $C$9, 100%, $E$9)</f>
        <v>78.488100000000003</v>
      </c>
      <c r="H886" s="14">
        <f>CHOOSE(CONTROL!$C$42, 78.7353, 78.7353) * CHOOSE(CONTROL!$C$21, $C$9, 100%, $E$9)</f>
        <v>78.735299999999995</v>
      </c>
      <c r="I886" s="14">
        <f>CHOOSE(CONTROL!$C$42, 78.7352, 78.7352)* CHOOSE(CONTROL!$C$21, $C$9, 100%, $E$9)</f>
        <v>78.735200000000006</v>
      </c>
      <c r="J886" s="14">
        <f>CHOOSE(CONTROL!$C$42, 78.4648, 78.4648)* CHOOSE(CONTROL!$C$21, $C$9, 100%, $E$9)</f>
        <v>78.464799999999997</v>
      </c>
      <c r="K886" s="53">
        <f>CHOOSE(CONTROL!$C$42, 78.7313, 78.7313) * CHOOSE(CONTROL!$C$21, $C$9, 100%, $E$9)</f>
        <v>78.731300000000005</v>
      </c>
      <c r="L886" s="14">
        <f>CHOOSE(CONTROL!$C$42, 79.3223, 79.3223) * CHOOSE(CONTROL!$C$21, $C$9, 100%, $E$9)</f>
        <v>79.322299999999998</v>
      </c>
      <c r="M886" s="14">
        <f>CHOOSE(CONTROL!$C$42, 76.8648, 76.8648) * CHOOSE(CONTROL!$C$21, $C$9, 100%, $E$9)</f>
        <v>76.864800000000002</v>
      </c>
      <c r="N886" s="14">
        <f>CHOOSE(CONTROL!$C$42, 76.8808, 76.8808) * CHOOSE(CONTROL!$C$21, $C$9, 100%, $E$9)</f>
        <v>76.880799999999994</v>
      </c>
      <c r="O886" s="14">
        <f>CHOOSE(CONTROL!$C$42, 77.1297, 77.1297) * CHOOSE(CONTROL!$C$21, $C$9, 100%, $E$9)</f>
        <v>77.1297</v>
      </c>
      <c r="P886" s="14">
        <f>CHOOSE(CONTROL!$C$42, 77.1248, 77.1248) * CHOOSE(CONTROL!$C$21, $C$9, 100%, $E$9)</f>
        <v>77.124799999999993</v>
      </c>
      <c r="Q886" s="14">
        <f>CHOOSE(CONTROL!$C$42, 77.7244, 77.7244) * CHOOSE(CONTROL!$C$21, $C$9, 100%, $E$9)</f>
        <v>77.724400000000003</v>
      </c>
      <c r="R886" s="14">
        <f>CHOOSE(CONTROL!$C$42, 78.5057, 78.5057) * CHOOSE(CONTROL!$C$21, $C$9, 100%, $E$9)</f>
        <v>78.505700000000004</v>
      </c>
      <c r="S886" s="14">
        <f>CHOOSE(CONTROL!$C$42, 75.3946, 75.3946) * CHOOSE(CONTROL!$C$21, $C$9, 100%, $E$9)</f>
        <v>75.394599999999997</v>
      </c>
      <c r="T8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7">
        <f>(1000*CHOOSE(CONTROL!$C$42, 695, 695)*CHOOSE(CONTROL!$C$42, 0.5599, 0.5599)*CHOOSE(CONTROL!$C$42, 31, 31))/1000000</f>
        <v>12.063045499999998</v>
      </c>
      <c r="V886" s="57">
        <f>(1000*CHOOSE(CONTROL!$C$42, 500, 500)*CHOOSE(CONTROL!$C$42, 0.275, 0.275)*CHOOSE(CONTROL!$C$42, 31, 31))/1000000</f>
        <v>4.2625000000000002</v>
      </c>
      <c r="W886" s="57">
        <f>(1000*CHOOSE(CONTROL!$C$42, 0.1146, 0.1146)*CHOOSE(CONTROL!$C$42, 121.5, 121.5)*CHOOSE(CONTROL!$C$42, 31, 31))/1000000</f>
        <v>0.43164089999999994</v>
      </c>
      <c r="X886" s="57">
        <f>(31*0.1790888*245000/1000000)+(31*0.2374*100000/1000000)</f>
        <v>2.0961194359999999</v>
      </c>
      <c r="Y886" s="57"/>
      <c r="Z886" s="14"/>
      <c r="AA886" s="56"/>
      <c r="AB886" s="50">
        <f>(B886*131.881+C886*277.167+D886*79.08+E886*125.872+F886*40+G886*185+H886*0+I886*100+J886*300)/(131.881+277.167+79.08+125.872+0+40+185+100+300)</f>
        <v>78.538285192171116</v>
      </c>
      <c r="AC886" s="45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77.023193525179863</v>
      </c>
    </row>
    <row r="887" spans="1:29" ht="15.75" x14ac:dyDescent="0.25">
      <c r="A887" s="32">
        <v>67906</v>
      </c>
      <c r="B887" s="14">
        <f>CHOOSE(CONTROL!$C$42, 80.5384, 80.5384) * CHOOSE(CONTROL!$C$21, $C$9, 100%, $E$9)</f>
        <v>80.538399999999996</v>
      </c>
      <c r="C887" s="14">
        <f>CHOOSE(CONTROL!$C$42, 80.5435, 80.5435) * CHOOSE(CONTROL!$C$21, $C$9, 100%, $E$9)</f>
        <v>80.543499999999995</v>
      </c>
      <c r="D887" s="14">
        <f>CHOOSE(CONTROL!$C$42, 80.6177, 80.6177) * CHOOSE(CONTROL!$C$21, $C$9, 100%, $E$9)</f>
        <v>80.617699999999999</v>
      </c>
      <c r="E887" s="14">
        <f>CHOOSE(CONTROL!$C$42, 80.6518, 80.6518) * CHOOSE(CONTROL!$C$21, $C$9, 100%, $E$9)</f>
        <v>80.651799999999994</v>
      </c>
      <c r="F887" s="14">
        <f>CHOOSE(CONTROL!$C$42, 80.5505, 80.5505)*CHOOSE(CONTROL!$C$21, $C$9, 100%, $E$9)</f>
        <v>80.5505</v>
      </c>
      <c r="G887" s="14">
        <f>CHOOSE(CONTROL!$C$42, 80.5671, 80.5671)*CHOOSE(CONTROL!$C$21, $C$9, 100%, $E$9)</f>
        <v>80.567099999999996</v>
      </c>
      <c r="H887" s="14">
        <f>CHOOSE(CONTROL!$C$42, 80.641, 80.641) * CHOOSE(CONTROL!$C$21, $C$9, 100%, $E$9)</f>
        <v>80.641000000000005</v>
      </c>
      <c r="I887" s="14">
        <f>CHOOSE(CONTROL!$C$42, 80.815, 80.815)* CHOOSE(CONTROL!$C$21, $C$9, 100%, $E$9)</f>
        <v>80.814999999999998</v>
      </c>
      <c r="J887" s="14">
        <f>CHOOSE(CONTROL!$C$42, 80.5435, 80.5435)* CHOOSE(CONTROL!$C$21, $C$9, 100%, $E$9)</f>
        <v>80.543499999999995</v>
      </c>
      <c r="K887" s="53">
        <f>CHOOSE(CONTROL!$C$42, 80.8111, 80.8111) * CHOOSE(CONTROL!$C$21, $C$9, 100%, $E$9)</f>
        <v>80.811099999999996</v>
      </c>
      <c r="L887" s="14">
        <f>CHOOSE(CONTROL!$C$42, 81.228, 81.228) * CHOOSE(CONTROL!$C$21, $C$9, 100%, $E$9)</f>
        <v>81.227999999999994</v>
      </c>
      <c r="M887" s="14">
        <f>CHOOSE(CONTROL!$C$42, 78.9009, 78.9009) * CHOOSE(CONTROL!$C$21, $C$9, 100%, $E$9)</f>
        <v>78.900899999999993</v>
      </c>
      <c r="N887" s="14">
        <f>CHOOSE(CONTROL!$C$42, 78.9171, 78.9171) * CHOOSE(CONTROL!$C$21, $C$9, 100%, $E$9)</f>
        <v>78.917100000000005</v>
      </c>
      <c r="O887" s="14">
        <f>CHOOSE(CONTROL!$C$42, 78.9964, 78.9964) * CHOOSE(CONTROL!$C$21, $C$9, 100%, $E$9)</f>
        <v>78.996399999999994</v>
      </c>
      <c r="P887" s="14">
        <f>CHOOSE(CONTROL!$C$42, 79.1618, 79.1618) * CHOOSE(CONTROL!$C$21, $C$9, 100%, $E$9)</f>
        <v>79.161799999999999</v>
      </c>
      <c r="Q887" s="14">
        <f>CHOOSE(CONTROL!$C$42, 79.5911, 79.5911) * CHOOSE(CONTROL!$C$21, $C$9, 100%, $E$9)</f>
        <v>79.591099999999997</v>
      </c>
      <c r="R887" s="14">
        <f>CHOOSE(CONTROL!$C$42, 80.3771, 80.3771) * CHOOSE(CONTROL!$C$21, $C$9, 100%, $E$9)</f>
        <v>80.377099999999999</v>
      </c>
      <c r="S887" s="14">
        <f>CHOOSE(CONTROL!$C$42, 77.3808, 77.3808) * CHOOSE(CONTROL!$C$21, $C$9, 100%, $E$9)</f>
        <v>77.380799999999994</v>
      </c>
      <c r="T8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7">
        <f>(1000*CHOOSE(CONTROL!$C$42, 695, 695)*CHOOSE(CONTROL!$C$42, 0.5599, 0.5599)*CHOOSE(CONTROL!$C$42, 30, 30))/1000000</f>
        <v>11.673914999999997</v>
      </c>
      <c r="V887" s="57">
        <f>(1000*CHOOSE(CONTROL!$C$42, 500, 500)*CHOOSE(CONTROL!$C$42, 0.275, 0.275)*CHOOSE(CONTROL!$C$42, 30, 30))/1000000</f>
        <v>4.125</v>
      </c>
      <c r="W887" s="57">
        <f>(1000*CHOOSE(CONTROL!$C$42, 0.1146, 0.1146)*CHOOSE(CONTROL!$C$42, 121.5, 121.5)*CHOOSE(CONTROL!$C$42, 30, 30))/1000000</f>
        <v>0.417717</v>
      </c>
      <c r="X887" s="57">
        <f>(30*0.1790888*100000/1000000)+(30*0.2374*100000/1000000)</f>
        <v>1.2494664</v>
      </c>
      <c r="Y887" s="57"/>
      <c r="Z887" s="14"/>
      <c r="AA887" s="56"/>
      <c r="AB887" s="50">
        <f>(B887*122.58+C887*297.941+D887*89.177+E887*40.302+F887*40+G887*160+H887*0+I887*100+J887*300)/(122.58+297.941+89.177+40.302+0+40+160+100+300)</f>
        <v>80.57964128869564</v>
      </c>
      <c r="AC887" s="45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78.982656115107915</v>
      </c>
    </row>
    <row r="888" spans="1:29" ht="15.75" x14ac:dyDescent="0.25">
      <c r="A888" s="32">
        <v>67937</v>
      </c>
      <c r="B888" s="14">
        <f>CHOOSE(CONTROL!$C$42, 86.0288, 86.0288) * CHOOSE(CONTROL!$C$21, $C$9, 100%, $E$9)</f>
        <v>86.028800000000004</v>
      </c>
      <c r="C888" s="14">
        <f>CHOOSE(CONTROL!$C$42, 86.0339, 86.0339) * CHOOSE(CONTROL!$C$21, $C$9, 100%, $E$9)</f>
        <v>86.033900000000003</v>
      </c>
      <c r="D888" s="14">
        <f>CHOOSE(CONTROL!$C$42, 86.1081, 86.1081) * CHOOSE(CONTROL!$C$21, $C$9, 100%, $E$9)</f>
        <v>86.108099999999993</v>
      </c>
      <c r="E888" s="14">
        <f>CHOOSE(CONTROL!$C$42, 86.1422, 86.1422) * CHOOSE(CONTROL!$C$21, $C$9, 100%, $E$9)</f>
        <v>86.142200000000003</v>
      </c>
      <c r="F888" s="14">
        <f>CHOOSE(CONTROL!$C$42, 86.0431, 86.0431)*CHOOSE(CONTROL!$C$21, $C$9, 100%, $E$9)</f>
        <v>86.043099999999995</v>
      </c>
      <c r="G888" s="14">
        <f>CHOOSE(CONTROL!$C$42, 86.0602, 86.0602)*CHOOSE(CONTROL!$C$21, $C$9, 100%, $E$9)</f>
        <v>86.060199999999995</v>
      </c>
      <c r="H888" s="14">
        <f>CHOOSE(CONTROL!$C$42, 86.1314, 86.1314) * CHOOSE(CONTROL!$C$21, $C$9, 100%, $E$9)</f>
        <v>86.131399999999999</v>
      </c>
      <c r="I888" s="14">
        <f>CHOOSE(CONTROL!$C$42, 86.3226, 86.3226)* CHOOSE(CONTROL!$C$21, $C$9, 100%, $E$9)</f>
        <v>86.322599999999994</v>
      </c>
      <c r="J888" s="14">
        <f>CHOOSE(CONTROL!$C$42, 86.0361, 86.0361)* CHOOSE(CONTROL!$C$21, $C$9, 100%, $E$9)</f>
        <v>86.036100000000005</v>
      </c>
      <c r="K888" s="53">
        <f>CHOOSE(CONTROL!$C$42, 86.3187, 86.3187) * CHOOSE(CONTROL!$C$21, $C$9, 100%, $E$9)</f>
        <v>86.318700000000007</v>
      </c>
      <c r="L888" s="14">
        <f>CHOOSE(CONTROL!$C$42, 86.7184, 86.7184) * CHOOSE(CONTROL!$C$21, $C$9, 100%, $E$9)</f>
        <v>86.718400000000003</v>
      </c>
      <c r="M888" s="14">
        <f>CHOOSE(CONTROL!$C$42, 84.2809, 84.2809) * CHOOSE(CONTROL!$C$21, $C$9, 100%, $E$9)</f>
        <v>84.280900000000003</v>
      </c>
      <c r="N888" s="14">
        <f>CHOOSE(CONTROL!$C$42, 84.2978, 84.2978) * CHOOSE(CONTROL!$C$21, $C$9, 100%, $E$9)</f>
        <v>84.297799999999995</v>
      </c>
      <c r="O888" s="14">
        <f>CHOOSE(CONTROL!$C$42, 84.3743, 84.3743) * CHOOSE(CONTROL!$C$21, $C$9, 100%, $E$9)</f>
        <v>84.374300000000005</v>
      </c>
      <c r="P888" s="14">
        <f>CHOOSE(CONTROL!$C$42, 84.5562, 84.5562) * CHOOSE(CONTROL!$C$21, $C$9, 100%, $E$9)</f>
        <v>84.556200000000004</v>
      </c>
      <c r="Q888" s="14">
        <f>CHOOSE(CONTROL!$C$42, 84.969, 84.969) * CHOOSE(CONTROL!$C$21, $C$9, 100%, $E$9)</f>
        <v>84.968999999999994</v>
      </c>
      <c r="R888" s="14">
        <f>CHOOSE(CONTROL!$C$42, 85.7685, 85.7685) * CHOOSE(CONTROL!$C$21, $C$9, 100%, $E$9)</f>
        <v>85.768500000000003</v>
      </c>
      <c r="S888" s="14">
        <f>CHOOSE(CONTROL!$C$42, 82.6566, 82.6566) * CHOOSE(CONTROL!$C$21, $C$9, 100%, $E$9)</f>
        <v>82.656599999999997</v>
      </c>
      <c r="T8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7">
        <f>(1000*CHOOSE(CONTROL!$C$42, 695, 695)*CHOOSE(CONTROL!$C$42, 0.5599, 0.5599)*CHOOSE(CONTROL!$C$42, 31, 31))/1000000</f>
        <v>12.063045499999998</v>
      </c>
      <c r="V888" s="57">
        <f>(1000*CHOOSE(CONTROL!$C$42, 500, 500)*CHOOSE(CONTROL!$C$42, 0.275, 0.275)*CHOOSE(CONTROL!$C$42, 31, 31))/1000000</f>
        <v>4.2625000000000002</v>
      </c>
      <c r="W888" s="57">
        <f>(1000*CHOOSE(CONTROL!$C$42, 0.1146, 0.1146)*CHOOSE(CONTROL!$C$42, 121.5, 121.5)*CHOOSE(CONTROL!$C$42, 31, 31))/1000000</f>
        <v>0.43164089999999994</v>
      </c>
      <c r="X888" s="57">
        <f>(31*0.1790888*100000/1000000)+(31*0.2374*100000/1000000)</f>
        <v>1.2911152800000001</v>
      </c>
      <c r="Y888" s="57"/>
      <c r="Z888" s="14"/>
      <c r="AA888" s="56"/>
      <c r="AB888" s="50">
        <f>(B888*122.58+C888*297.941+D888*89.177+E888*40.302+F888*40+G888*160+H888*0+I888*100+J888*300)/(122.58+297.941+89.177+40.302+0+40+160+100+300)</f>
        <v>86.072563027826092</v>
      </c>
      <c r="AC888" s="45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84.363816546762592</v>
      </c>
    </row>
    <row r="889" spans="1:29" ht="15.75" x14ac:dyDescent="0.25">
      <c r="A889" s="32">
        <v>67968</v>
      </c>
      <c r="B889" s="14">
        <f>CHOOSE(CONTROL!$C$42, 93.1599, 93.1599) * CHOOSE(CONTROL!$C$21, $C$9, 100%, $E$9)</f>
        <v>93.159899999999993</v>
      </c>
      <c r="C889" s="14">
        <f>CHOOSE(CONTROL!$C$42, 93.1649, 93.1649) * CHOOSE(CONTROL!$C$21, $C$9, 100%, $E$9)</f>
        <v>93.164900000000003</v>
      </c>
      <c r="D889" s="14">
        <f>CHOOSE(CONTROL!$C$42, 93.2418, 93.2418) * CHOOSE(CONTROL!$C$21, $C$9, 100%, $E$9)</f>
        <v>93.241799999999998</v>
      </c>
      <c r="E889" s="14">
        <f>CHOOSE(CONTROL!$C$42, 93.2759, 93.2759) * CHOOSE(CONTROL!$C$21, $C$9, 100%, $E$9)</f>
        <v>93.275899999999993</v>
      </c>
      <c r="F889" s="14">
        <f>CHOOSE(CONTROL!$C$42, 93.1601, 93.1601)*CHOOSE(CONTROL!$C$21, $C$9, 100%, $E$9)</f>
        <v>93.1601</v>
      </c>
      <c r="G889" s="14">
        <f>CHOOSE(CONTROL!$C$42, 93.1763, 93.1763)*CHOOSE(CONTROL!$C$21, $C$9, 100%, $E$9)</f>
        <v>93.176299999999998</v>
      </c>
      <c r="H889" s="14">
        <f>CHOOSE(CONTROL!$C$42, 93.2651, 93.2651) * CHOOSE(CONTROL!$C$21, $C$9, 100%, $E$9)</f>
        <v>93.265100000000004</v>
      </c>
      <c r="I889" s="14">
        <f>CHOOSE(CONTROL!$C$42, 93.4697, 93.4697)* CHOOSE(CONTROL!$C$21, $C$9, 100%, $E$9)</f>
        <v>93.469700000000003</v>
      </c>
      <c r="J889" s="14">
        <f>CHOOSE(CONTROL!$C$42, 93.1531, 93.1531)* CHOOSE(CONTROL!$C$21, $C$9, 100%, $E$9)</f>
        <v>93.153099999999995</v>
      </c>
      <c r="K889" s="53">
        <f>CHOOSE(CONTROL!$C$42, 93.4658, 93.4658) * CHOOSE(CONTROL!$C$21, $C$9, 100%, $E$9)</f>
        <v>93.465800000000002</v>
      </c>
      <c r="L889" s="14">
        <f>CHOOSE(CONTROL!$C$42, 93.8521, 93.8521) * CHOOSE(CONTROL!$C$21, $C$9, 100%, $E$9)</f>
        <v>93.852099999999993</v>
      </c>
      <c r="M889" s="14">
        <f>CHOOSE(CONTROL!$C$42, 91.2521, 91.2521) * CHOOSE(CONTROL!$C$21, $C$9, 100%, $E$9)</f>
        <v>91.252099999999999</v>
      </c>
      <c r="N889" s="14">
        <f>CHOOSE(CONTROL!$C$42, 91.268, 91.268) * CHOOSE(CONTROL!$C$21, $C$9, 100%, $E$9)</f>
        <v>91.268000000000001</v>
      </c>
      <c r="O889" s="14">
        <f>CHOOSE(CONTROL!$C$42, 91.3618, 91.3618) * CHOOSE(CONTROL!$C$21, $C$9, 100%, $E$9)</f>
        <v>91.361800000000002</v>
      </c>
      <c r="P889" s="14">
        <f>CHOOSE(CONTROL!$C$42, 91.5565, 91.5565) * CHOOSE(CONTROL!$C$21, $C$9, 100%, $E$9)</f>
        <v>91.5565</v>
      </c>
      <c r="Q889" s="14">
        <f>CHOOSE(CONTROL!$C$42, 91.9565, 91.9565) * CHOOSE(CONTROL!$C$21, $C$9, 100%, $E$9)</f>
        <v>91.956500000000005</v>
      </c>
      <c r="R889" s="14">
        <f>CHOOSE(CONTROL!$C$42, 92.7734, 92.7734) * CHOOSE(CONTROL!$C$21, $C$9, 100%, $E$9)</f>
        <v>92.773399999999995</v>
      </c>
      <c r="S889" s="14">
        <f>CHOOSE(CONTROL!$C$42, 89.5088, 89.5088) * CHOOSE(CONTROL!$C$21, $C$9, 100%, $E$9)</f>
        <v>89.508799999999994</v>
      </c>
      <c r="T8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7">
        <f>(1000*CHOOSE(CONTROL!$C$42, 695, 695)*CHOOSE(CONTROL!$C$42, 0.5599, 0.5599)*CHOOSE(CONTROL!$C$42, 31, 31))/1000000</f>
        <v>12.063045499999998</v>
      </c>
      <c r="V889" s="57">
        <f>(1000*CHOOSE(CONTROL!$C$42, 500, 500)*CHOOSE(CONTROL!$C$42, 0.275, 0.275)*CHOOSE(CONTROL!$C$42, 31, 31))/1000000</f>
        <v>4.2625000000000002</v>
      </c>
      <c r="W889" s="57">
        <f>(1000*CHOOSE(CONTROL!$C$42, 0.1146, 0.1146)*CHOOSE(CONTROL!$C$42, 121.5, 121.5)*CHOOSE(CONTROL!$C$42, 31, 31))/1000000</f>
        <v>0.43164089999999994</v>
      </c>
      <c r="X889" s="57">
        <f>(31*0.1790888*100000/1000000)+(31*0.2374*100000/1000000)</f>
        <v>1.2911152800000001</v>
      </c>
      <c r="Y889" s="57"/>
      <c r="Z889" s="14"/>
      <c r="AA889" s="56"/>
      <c r="AB889" s="50">
        <f>(B889*122.58+C889*297.941+D889*89.177+E889*40.302+F889*40+G889*160+H889*0+I889*100+J889*300)/(122.58+297.941+89.177+40.302+0+40+160+100+300)</f>
        <v>93.199065507217384</v>
      </c>
      <c r="AC889" s="45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91.346533812949644</v>
      </c>
    </row>
    <row r="890" spans="1:29" ht="15.75" x14ac:dyDescent="0.25">
      <c r="A890" s="32">
        <v>67996</v>
      </c>
      <c r="B890" s="14">
        <f>CHOOSE(CONTROL!$C$42, 94.8181, 94.8181) * CHOOSE(CONTROL!$C$21, $C$9, 100%, $E$9)</f>
        <v>94.818100000000001</v>
      </c>
      <c r="C890" s="14">
        <f>CHOOSE(CONTROL!$C$42, 94.8232, 94.8232) * CHOOSE(CONTROL!$C$21, $C$9, 100%, $E$9)</f>
        <v>94.8232</v>
      </c>
      <c r="D890" s="14">
        <f>CHOOSE(CONTROL!$C$42, 94.9, 94.9) * CHOOSE(CONTROL!$C$21, $C$9, 100%, $E$9)</f>
        <v>94.9</v>
      </c>
      <c r="E890" s="14">
        <f>CHOOSE(CONTROL!$C$42, 94.9341, 94.9341) * CHOOSE(CONTROL!$C$21, $C$9, 100%, $E$9)</f>
        <v>94.934100000000001</v>
      </c>
      <c r="F890" s="14">
        <f>CHOOSE(CONTROL!$C$42, 94.8184, 94.8184)*CHOOSE(CONTROL!$C$21, $C$9, 100%, $E$9)</f>
        <v>94.818399999999997</v>
      </c>
      <c r="G890" s="14">
        <f>CHOOSE(CONTROL!$C$42, 94.8346, 94.8346)*CHOOSE(CONTROL!$C$21, $C$9, 100%, $E$9)</f>
        <v>94.834599999999995</v>
      </c>
      <c r="H890" s="14">
        <f>CHOOSE(CONTROL!$C$42, 94.9233, 94.9233) * CHOOSE(CONTROL!$C$21, $C$9, 100%, $E$9)</f>
        <v>94.923299999999998</v>
      </c>
      <c r="I890" s="14">
        <f>CHOOSE(CONTROL!$C$42, 95.1331, 95.1331)* CHOOSE(CONTROL!$C$21, $C$9, 100%, $E$9)</f>
        <v>95.133099999999999</v>
      </c>
      <c r="J890" s="14">
        <f>CHOOSE(CONTROL!$C$42, 94.8114, 94.8114)* CHOOSE(CONTROL!$C$21, $C$9, 100%, $E$9)</f>
        <v>94.811400000000006</v>
      </c>
      <c r="K890" s="53">
        <f>CHOOSE(CONTROL!$C$42, 95.1292, 95.1292) * CHOOSE(CONTROL!$C$21, $C$9, 100%, $E$9)</f>
        <v>95.129199999999997</v>
      </c>
      <c r="L890" s="14">
        <f>CHOOSE(CONTROL!$C$42, 95.5103, 95.5103) * CHOOSE(CONTROL!$C$21, $C$9, 100%, $E$9)</f>
        <v>95.510300000000001</v>
      </c>
      <c r="M890" s="14">
        <f>CHOOSE(CONTROL!$C$42, 92.8764, 92.8764) * CHOOSE(CONTROL!$C$21, $C$9, 100%, $E$9)</f>
        <v>92.876400000000004</v>
      </c>
      <c r="N890" s="14">
        <f>CHOOSE(CONTROL!$C$42, 92.8923, 92.8923) * CHOOSE(CONTROL!$C$21, $C$9, 100%, $E$9)</f>
        <v>92.892300000000006</v>
      </c>
      <c r="O890" s="14">
        <f>CHOOSE(CONTROL!$C$42, 92.9861, 92.9861) * CHOOSE(CONTROL!$C$21, $C$9, 100%, $E$9)</f>
        <v>92.986099999999993</v>
      </c>
      <c r="P890" s="14">
        <f>CHOOSE(CONTROL!$C$42, 93.1857, 93.1857) * CHOOSE(CONTROL!$C$21, $C$9, 100%, $E$9)</f>
        <v>93.185699999999997</v>
      </c>
      <c r="Q890" s="14">
        <f>CHOOSE(CONTROL!$C$42, 93.5808, 93.5808) * CHOOSE(CONTROL!$C$21, $C$9, 100%, $E$9)</f>
        <v>93.580799999999996</v>
      </c>
      <c r="R890" s="14">
        <f>CHOOSE(CONTROL!$C$42, 94.4017, 94.4017) * CHOOSE(CONTROL!$C$21, $C$9, 100%, $E$9)</f>
        <v>94.401700000000005</v>
      </c>
      <c r="S890" s="14">
        <f>CHOOSE(CONTROL!$C$42, 91.1022, 91.1022) * CHOOSE(CONTROL!$C$21, $C$9, 100%, $E$9)</f>
        <v>91.102199999999996</v>
      </c>
      <c r="T8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7">
        <f>(1000*CHOOSE(CONTROL!$C$42, 695, 695)*CHOOSE(CONTROL!$C$42, 0.5599, 0.5599)*CHOOSE(CONTROL!$C$42, 28, 28))/1000000</f>
        <v>10.895653999999999</v>
      </c>
      <c r="V890" s="57">
        <f>(1000*CHOOSE(CONTROL!$C$42, 500, 500)*CHOOSE(CONTROL!$C$42, 0.275, 0.275)*CHOOSE(CONTROL!$C$42, 28, 28))/1000000</f>
        <v>3.85</v>
      </c>
      <c r="W890" s="57">
        <f>(1000*CHOOSE(CONTROL!$C$42, 0.1146, 0.1146)*CHOOSE(CONTROL!$C$42, 121.5, 121.5)*CHOOSE(CONTROL!$C$42, 28, 28))/1000000</f>
        <v>0.38986920000000003</v>
      </c>
      <c r="X890" s="57">
        <f>(28*0.1790888*100000/1000000)+(28*0.2374*100000/1000000)</f>
        <v>1.16616864</v>
      </c>
      <c r="Y890" s="57"/>
      <c r="Z890" s="14"/>
      <c r="AA890" s="56"/>
      <c r="AB890" s="50">
        <f>(B890*122.58+C890*297.941+D890*89.177+E890*40.302+F890*40+G890*160+H890*0+I890*100+J890*300)/(122.58+297.941+89.177+40.302+0+40+160+100+300)</f>
        <v>94.857787067304329</v>
      </c>
      <c r="AC890" s="45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92.971538848920858</v>
      </c>
    </row>
    <row r="891" spans="1:29" ht="15.75" x14ac:dyDescent="0.25">
      <c r="A891" s="32">
        <v>68027</v>
      </c>
      <c r="B891" s="14">
        <f>CHOOSE(CONTROL!$C$42, 92.1264, 92.1264) * CHOOSE(CONTROL!$C$21, $C$9, 100%, $E$9)</f>
        <v>92.126400000000004</v>
      </c>
      <c r="C891" s="14">
        <f>CHOOSE(CONTROL!$C$42, 92.1315, 92.1315) * CHOOSE(CONTROL!$C$21, $C$9, 100%, $E$9)</f>
        <v>92.131500000000003</v>
      </c>
      <c r="D891" s="14">
        <f>CHOOSE(CONTROL!$C$42, 92.2083, 92.2083) * CHOOSE(CONTROL!$C$21, $C$9, 100%, $E$9)</f>
        <v>92.208299999999994</v>
      </c>
      <c r="E891" s="14">
        <f>CHOOSE(CONTROL!$C$42, 92.2424, 92.2424) * CHOOSE(CONTROL!$C$21, $C$9, 100%, $E$9)</f>
        <v>92.242400000000004</v>
      </c>
      <c r="F891" s="14">
        <f>CHOOSE(CONTROL!$C$42, 92.1262, 92.1262)*CHOOSE(CONTROL!$C$21, $C$9, 100%, $E$9)</f>
        <v>92.126199999999997</v>
      </c>
      <c r="G891" s="14">
        <f>CHOOSE(CONTROL!$C$42, 92.1423, 92.1423)*CHOOSE(CONTROL!$C$21, $C$9, 100%, $E$9)</f>
        <v>92.142300000000006</v>
      </c>
      <c r="H891" s="14">
        <f>CHOOSE(CONTROL!$C$42, 92.2316, 92.2316) * CHOOSE(CONTROL!$C$21, $C$9, 100%, $E$9)</f>
        <v>92.2316</v>
      </c>
      <c r="I891" s="14">
        <f>CHOOSE(CONTROL!$C$42, 92.433, 92.433)* CHOOSE(CONTROL!$C$21, $C$9, 100%, $E$9)</f>
        <v>92.433000000000007</v>
      </c>
      <c r="J891" s="14">
        <f>CHOOSE(CONTROL!$C$42, 92.1192, 92.1192)* CHOOSE(CONTROL!$C$21, $C$9, 100%, $E$9)</f>
        <v>92.119200000000006</v>
      </c>
      <c r="K891" s="53">
        <f>CHOOSE(CONTROL!$C$42, 92.4291, 92.4291) * CHOOSE(CONTROL!$C$21, $C$9, 100%, $E$9)</f>
        <v>92.429100000000005</v>
      </c>
      <c r="L891" s="14">
        <f>CHOOSE(CONTROL!$C$42, 92.8186, 92.8186) * CHOOSE(CONTROL!$C$21, $C$9, 100%, $E$9)</f>
        <v>92.818600000000004</v>
      </c>
      <c r="M891" s="14">
        <f>CHOOSE(CONTROL!$C$42, 90.2394, 90.2394) * CHOOSE(CONTROL!$C$21, $C$9, 100%, $E$9)</f>
        <v>90.239400000000003</v>
      </c>
      <c r="N891" s="14">
        <f>CHOOSE(CONTROL!$C$42, 90.2552, 90.2552) * CHOOSE(CONTROL!$C$21, $C$9, 100%, $E$9)</f>
        <v>90.255200000000002</v>
      </c>
      <c r="O891" s="14">
        <f>CHOOSE(CONTROL!$C$42, 90.3495, 90.3495) * CHOOSE(CONTROL!$C$21, $C$9, 100%, $E$9)</f>
        <v>90.349500000000006</v>
      </c>
      <c r="P891" s="14">
        <f>CHOOSE(CONTROL!$C$42, 90.5411, 90.5411) * CHOOSE(CONTROL!$C$21, $C$9, 100%, $E$9)</f>
        <v>90.5411</v>
      </c>
      <c r="Q891" s="14">
        <f>CHOOSE(CONTROL!$C$42, 90.9442, 90.9442) * CHOOSE(CONTROL!$C$21, $C$9, 100%, $E$9)</f>
        <v>90.944199999999995</v>
      </c>
      <c r="R891" s="14">
        <f>CHOOSE(CONTROL!$C$42, 91.7586, 91.7586) * CHOOSE(CONTROL!$C$21, $C$9, 100%, $E$9)</f>
        <v>91.758600000000001</v>
      </c>
      <c r="S891" s="14">
        <f>CHOOSE(CONTROL!$C$42, 88.5157, 88.5157) * CHOOSE(CONTROL!$C$21, $C$9, 100%, $E$9)</f>
        <v>88.515699999999995</v>
      </c>
      <c r="T8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7">
        <f>(1000*CHOOSE(CONTROL!$C$42, 695, 695)*CHOOSE(CONTROL!$C$42, 0.5599, 0.5599)*CHOOSE(CONTROL!$C$42, 31, 31))/1000000</f>
        <v>12.063045499999998</v>
      </c>
      <c r="V891" s="57">
        <f>(1000*CHOOSE(CONTROL!$C$42, 500, 500)*CHOOSE(CONTROL!$C$42, 0.275, 0.275)*CHOOSE(CONTROL!$C$42, 31, 31))/1000000</f>
        <v>4.2625000000000002</v>
      </c>
      <c r="W891" s="57">
        <f>(1000*CHOOSE(CONTROL!$C$42, 0.1146, 0.1146)*CHOOSE(CONTROL!$C$42, 121.5, 121.5)*CHOOSE(CONTROL!$C$42, 31, 31))/1000000</f>
        <v>0.43164089999999994</v>
      </c>
      <c r="X891" s="57">
        <f>(31*0.1790888*100000/1000000)+(31*0.2374*100000/1000000)</f>
        <v>1.2911152800000001</v>
      </c>
      <c r="Y891" s="57"/>
      <c r="Z891" s="14"/>
      <c r="AA891" s="56"/>
      <c r="AB891" s="50">
        <f>(B891*122.58+C891*297.941+D891*89.177+E891*40.302+F891*40+G891*160+H891*0+I891*100+J891*300)/(122.58+297.941+89.177+40.302+0+40+160+100+300)</f>
        <v>92.165125328173929</v>
      </c>
      <c r="AC891" s="45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90.333620863309363</v>
      </c>
    </row>
    <row r="892" spans="1:29" ht="15.75" x14ac:dyDescent="0.25">
      <c r="A892" s="32">
        <v>68057</v>
      </c>
      <c r="B892" s="14">
        <f>CHOOSE(CONTROL!$C$42, 91.8518, 91.8518) * CHOOSE(CONTROL!$C$21, $C$9, 100%, $E$9)</f>
        <v>91.851799999999997</v>
      </c>
      <c r="C892" s="14">
        <f>CHOOSE(CONTROL!$C$42, 91.8563, 91.8563) * CHOOSE(CONTROL!$C$21, $C$9, 100%, $E$9)</f>
        <v>91.856300000000005</v>
      </c>
      <c r="D892" s="14">
        <f>CHOOSE(CONTROL!$C$42, 92.0931, 92.0931) * CHOOSE(CONTROL!$C$21, $C$9, 100%, $E$9)</f>
        <v>92.093100000000007</v>
      </c>
      <c r="E892" s="14">
        <f>CHOOSE(CONTROL!$C$42, 92.1252, 92.1252) * CHOOSE(CONTROL!$C$21, $C$9, 100%, $E$9)</f>
        <v>92.125200000000007</v>
      </c>
      <c r="F892" s="14">
        <f>CHOOSE(CONTROL!$C$42, 91.8498, 91.8498)*CHOOSE(CONTROL!$C$21, $C$9, 100%, $E$9)</f>
        <v>91.849800000000002</v>
      </c>
      <c r="G892" s="14">
        <f>CHOOSE(CONTROL!$C$42, 91.8656, 91.8656)*CHOOSE(CONTROL!$C$21, $C$9, 100%, $E$9)</f>
        <v>91.865600000000001</v>
      </c>
      <c r="H892" s="14">
        <f>CHOOSE(CONTROL!$C$42, 92.115, 92.115) * CHOOSE(CONTROL!$C$21, $C$9, 100%, $E$9)</f>
        <v>92.114999999999995</v>
      </c>
      <c r="I892" s="14">
        <f>CHOOSE(CONTROL!$C$42, 92.1568, 92.1568)* CHOOSE(CONTROL!$C$21, $C$9, 100%, $E$9)</f>
        <v>92.156800000000004</v>
      </c>
      <c r="J892" s="14">
        <f>CHOOSE(CONTROL!$C$42, 91.8428, 91.8428)* CHOOSE(CONTROL!$C$21, $C$9, 100%, $E$9)</f>
        <v>91.842799999999997</v>
      </c>
      <c r="K892" s="53">
        <f>CHOOSE(CONTROL!$C$42, 92.1529, 92.1529) * CHOOSE(CONTROL!$C$21, $C$9, 100%, $E$9)</f>
        <v>92.152900000000002</v>
      </c>
      <c r="L892" s="14">
        <f>CHOOSE(CONTROL!$C$42, 92.702, 92.702) * CHOOSE(CONTROL!$C$21, $C$9, 100%, $E$9)</f>
        <v>92.701999999999998</v>
      </c>
      <c r="M892" s="14">
        <f>CHOOSE(CONTROL!$C$42, 89.9687, 89.9687) * CHOOSE(CONTROL!$C$21, $C$9, 100%, $E$9)</f>
        <v>89.968699999999998</v>
      </c>
      <c r="N892" s="14">
        <f>CHOOSE(CONTROL!$C$42, 89.9842, 89.9842) * CHOOSE(CONTROL!$C$21, $C$9, 100%, $E$9)</f>
        <v>89.984200000000001</v>
      </c>
      <c r="O892" s="14">
        <f>CHOOSE(CONTROL!$C$42, 90.2353, 90.2353) * CHOOSE(CONTROL!$C$21, $C$9, 100%, $E$9)</f>
        <v>90.235299999999995</v>
      </c>
      <c r="P892" s="14">
        <f>CHOOSE(CONTROL!$C$42, 90.2705, 90.2705) * CHOOSE(CONTROL!$C$21, $C$9, 100%, $E$9)</f>
        <v>90.270499999999998</v>
      </c>
      <c r="Q892" s="14">
        <f>CHOOSE(CONTROL!$C$42, 90.83, 90.83) * CHOOSE(CONTROL!$C$21, $C$9, 100%, $E$9)</f>
        <v>90.83</v>
      </c>
      <c r="R892" s="14">
        <f>CHOOSE(CONTROL!$C$42, 91.644, 91.644) * CHOOSE(CONTROL!$C$21, $C$9, 100%, $E$9)</f>
        <v>91.644000000000005</v>
      </c>
      <c r="S892" s="14">
        <f>CHOOSE(CONTROL!$C$42, 88.2511, 88.2511) * CHOOSE(CONTROL!$C$21, $C$9, 100%, $E$9)</f>
        <v>88.251099999999994</v>
      </c>
      <c r="T8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7">
        <f>(1000*CHOOSE(CONTROL!$C$42, 695, 695)*CHOOSE(CONTROL!$C$42, 0.5599, 0.5599)*CHOOSE(CONTROL!$C$42, 30, 30))/1000000</f>
        <v>11.673914999999997</v>
      </c>
      <c r="V892" s="57">
        <f>(1000*CHOOSE(CONTROL!$C$42, 500, 500)*CHOOSE(CONTROL!$C$42, 0.275, 0.275)*CHOOSE(CONTROL!$C$42, 30, 30))/1000000</f>
        <v>4.125</v>
      </c>
      <c r="W892" s="57">
        <f>(1000*CHOOSE(CONTROL!$C$42, 0.1146, 0.1146)*CHOOSE(CONTROL!$C$42, 121.5, 121.5)*CHOOSE(CONTROL!$C$42, 30, 30))/1000000</f>
        <v>0.417717</v>
      </c>
      <c r="X892" s="57">
        <f>(30*0.1790888*245000/1000000)+(30*0.2374*100000/1000000)</f>
        <v>2.0285026799999999</v>
      </c>
      <c r="Y892" s="57"/>
      <c r="Z892" s="14"/>
      <c r="AA892" s="56"/>
      <c r="AB892" s="50">
        <f>(B892*141.293+C892*267.993+D892*115.016+E892*89.698+F892*40+G892*185+H892*0+I892*100+J892*300)/(141.293+267.993+115.016+89.698+0+40+185+100+300)</f>
        <v>91.919399485472155</v>
      </c>
      <c r="AC892" s="45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90.133849640287778</v>
      </c>
    </row>
    <row r="893" spans="1:29" ht="15.75" x14ac:dyDescent="0.25">
      <c r="A893" s="32">
        <v>68088</v>
      </c>
      <c r="B893" s="14">
        <f>CHOOSE(CONTROL!$C$42, 92.6638, 92.6638) * CHOOSE(CONTROL!$C$21, $C$9, 100%, $E$9)</f>
        <v>92.663799999999995</v>
      </c>
      <c r="C893" s="14">
        <f>CHOOSE(CONTROL!$C$42, 92.6719, 92.6719) * CHOOSE(CONTROL!$C$21, $C$9, 100%, $E$9)</f>
        <v>92.671899999999994</v>
      </c>
      <c r="D893" s="14">
        <f>CHOOSE(CONTROL!$C$42, 92.9055, 92.9055) * CHOOSE(CONTROL!$C$21, $C$9, 100%, $E$9)</f>
        <v>92.905500000000004</v>
      </c>
      <c r="E893" s="14">
        <f>CHOOSE(CONTROL!$C$42, 92.9369, 92.9369) * CHOOSE(CONTROL!$C$21, $C$9, 100%, $E$9)</f>
        <v>92.936899999999994</v>
      </c>
      <c r="F893" s="14">
        <f>CHOOSE(CONTROL!$C$42, 92.6606, 92.6606)*CHOOSE(CONTROL!$C$21, $C$9, 100%, $E$9)</f>
        <v>92.660600000000002</v>
      </c>
      <c r="G893" s="14">
        <f>CHOOSE(CONTROL!$C$42, 92.677, 92.677)*CHOOSE(CONTROL!$C$21, $C$9, 100%, $E$9)</f>
        <v>92.677000000000007</v>
      </c>
      <c r="H893" s="14">
        <f>CHOOSE(CONTROL!$C$42, 92.9256, 92.9256) * CHOOSE(CONTROL!$C$21, $C$9, 100%, $E$9)</f>
        <v>92.925600000000003</v>
      </c>
      <c r="I893" s="14">
        <f>CHOOSE(CONTROL!$C$42, 92.9699, 92.9699)* CHOOSE(CONTROL!$C$21, $C$9, 100%, $E$9)</f>
        <v>92.969899999999996</v>
      </c>
      <c r="J893" s="14">
        <f>CHOOSE(CONTROL!$C$42, 92.6536, 92.6536)* CHOOSE(CONTROL!$C$21, $C$9, 100%, $E$9)</f>
        <v>92.653599999999997</v>
      </c>
      <c r="K893" s="53">
        <f>CHOOSE(CONTROL!$C$42, 92.966, 92.966) * CHOOSE(CONTROL!$C$21, $C$9, 100%, $E$9)</f>
        <v>92.965999999999994</v>
      </c>
      <c r="L893" s="14">
        <f>CHOOSE(CONTROL!$C$42, 93.5126, 93.5126) * CHOOSE(CONTROL!$C$21, $C$9, 100%, $E$9)</f>
        <v>93.512600000000006</v>
      </c>
      <c r="M893" s="14">
        <f>CHOOSE(CONTROL!$C$42, 90.7629, 90.7629) * CHOOSE(CONTROL!$C$21, $C$9, 100%, $E$9)</f>
        <v>90.762900000000002</v>
      </c>
      <c r="N893" s="14">
        <f>CHOOSE(CONTROL!$C$42, 90.7789, 90.7789) * CHOOSE(CONTROL!$C$21, $C$9, 100%, $E$9)</f>
        <v>90.778899999999993</v>
      </c>
      <c r="O893" s="14">
        <f>CHOOSE(CONTROL!$C$42, 91.0293, 91.0293) * CHOOSE(CONTROL!$C$21, $C$9, 100%, $E$9)</f>
        <v>91.029300000000006</v>
      </c>
      <c r="P893" s="14">
        <f>CHOOSE(CONTROL!$C$42, 91.067, 91.067) * CHOOSE(CONTROL!$C$21, $C$9, 100%, $E$9)</f>
        <v>91.066999999999993</v>
      </c>
      <c r="Q893" s="14">
        <f>CHOOSE(CONTROL!$C$42, 91.624, 91.624) * CHOOSE(CONTROL!$C$21, $C$9, 100%, $E$9)</f>
        <v>91.623999999999995</v>
      </c>
      <c r="R893" s="14">
        <f>CHOOSE(CONTROL!$C$42, 92.44, 92.44) * CHOOSE(CONTROL!$C$21, $C$9, 100%, $E$9)</f>
        <v>92.44</v>
      </c>
      <c r="S893" s="14">
        <f>CHOOSE(CONTROL!$C$42, 89.03, 89.03) * CHOOSE(CONTROL!$C$21, $C$9, 100%, $E$9)</f>
        <v>89.03</v>
      </c>
      <c r="T8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7">
        <f>(1000*CHOOSE(CONTROL!$C$42, 695, 695)*CHOOSE(CONTROL!$C$42, 0.5599, 0.5599)*CHOOSE(CONTROL!$C$42, 31, 31))/1000000</f>
        <v>12.063045499999998</v>
      </c>
      <c r="V893" s="57">
        <f>(1000*CHOOSE(CONTROL!$C$42, 500, 500)*CHOOSE(CONTROL!$C$42, 0.275, 0.275)*CHOOSE(CONTROL!$C$42, 31, 31))/1000000</f>
        <v>4.2625000000000002</v>
      </c>
      <c r="W893" s="57">
        <f>(1000*CHOOSE(CONTROL!$C$42, 0.1146, 0.1146)*CHOOSE(CONTROL!$C$42, 121.5, 121.5)*CHOOSE(CONTROL!$C$42, 31, 31))/1000000</f>
        <v>0.43164089999999994</v>
      </c>
      <c r="X893" s="57">
        <f>(31*0.1790888*245000/1000000)+(31*0.2374*100000/1000000)</f>
        <v>2.0961194359999999</v>
      </c>
      <c r="Y893" s="57"/>
      <c r="Z893" s="14"/>
      <c r="AA893" s="56"/>
      <c r="AB893" s="50">
        <f>(B893*194.205+C893*267.466+D893*133.845+E893*53.484+F893*40+G893*185+H893*0+I893*100+J893*300)/(194.205+267.466+133.845+53.484+0+40+185+100+300)</f>
        <v>92.725799443877563</v>
      </c>
      <c r="AC893" s="45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90.928318705035963</v>
      </c>
    </row>
    <row r="894" spans="1:29" ht="15.75" x14ac:dyDescent="0.25">
      <c r="A894" s="32">
        <v>68118</v>
      </c>
      <c r="B894" s="14">
        <f>CHOOSE(CONTROL!$C$42, 95.292, 95.292) * CHOOSE(CONTROL!$C$21, $C$9, 100%, $E$9)</f>
        <v>95.292000000000002</v>
      </c>
      <c r="C894" s="14">
        <f>CHOOSE(CONTROL!$C$42, 95.3001, 95.3001) * CHOOSE(CONTROL!$C$21, $C$9, 100%, $E$9)</f>
        <v>95.3001</v>
      </c>
      <c r="D894" s="14">
        <f>CHOOSE(CONTROL!$C$42, 95.5337, 95.5337) * CHOOSE(CONTROL!$C$21, $C$9, 100%, $E$9)</f>
        <v>95.533699999999996</v>
      </c>
      <c r="E894" s="14">
        <f>CHOOSE(CONTROL!$C$42, 95.5651, 95.5651) * CHOOSE(CONTROL!$C$21, $C$9, 100%, $E$9)</f>
        <v>95.565100000000001</v>
      </c>
      <c r="F894" s="14">
        <f>CHOOSE(CONTROL!$C$42, 95.2893, 95.2893)*CHOOSE(CONTROL!$C$21, $C$9, 100%, $E$9)</f>
        <v>95.289299999999997</v>
      </c>
      <c r="G894" s="14">
        <f>CHOOSE(CONTROL!$C$42, 95.3058, 95.3058)*CHOOSE(CONTROL!$C$21, $C$9, 100%, $E$9)</f>
        <v>95.305800000000005</v>
      </c>
      <c r="H894" s="14">
        <f>CHOOSE(CONTROL!$C$42, 95.5537, 95.5537) * CHOOSE(CONTROL!$C$21, $C$9, 100%, $E$9)</f>
        <v>95.553700000000006</v>
      </c>
      <c r="I894" s="14">
        <f>CHOOSE(CONTROL!$C$42, 95.6064, 95.6064)* CHOOSE(CONTROL!$C$21, $C$9, 100%, $E$9)</f>
        <v>95.606399999999994</v>
      </c>
      <c r="J894" s="14">
        <f>CHOOSE(CONTROL!$C$42, 95.2823, 95.2823)* CHOOSE(CONTROL!$C$21, $C$9, 100%, $E$9)</f>
        <v>95.282300000000006</v>
      </c>
      <c r="K894" s="53">
        <f>CHOOSE(CONTROL!$C$42, 95.6025, 95.6025) * CHOOSE(CONTROL!$C$21, $C$9, 100%, $E$9)</f>
        <v>95.602500000000006</v>
      </c>
      <c r="L894" s="14">
        <f>CHOOSE(CONTROL!$C$42, 96.1407, 96.1407) * CHOOSE(CONTROL!$C$21, $C$9, 100%, $E$9)</f>
        <v>96.140699999999995</v>
      </c>
      <c r="M894" s="14">
        <f>CHOOSE(CONTROL!$C$42, 93.3377, 93.3377) * CHOOSE(CONTROL!$C$21, $C$9, 100%, $E$9)</f>
        <v>93.337699999999998</v>
      </c>
      <c r="N894" s="14">
        <f>CHOOSE(CONTROL!$C$42, 93.3538, 93.3538) * CHOOSE(CONTROL!$C$21, $C$9, 100%, $E$9)</f>
        <v>93.353800000000007</v>
      </c>
      <c r="O894" s="14">
        <f>CHOOSE(CONTROL!$C$42, 93.6036, 93.6036) * CHOOSE(CONTROL!$C$21, $C$9, 100%, $E$9)</f>
        <v>93.6036</v>
      </c>
      <c r="P894" s="14">
        <f>CHOOSE(CONTROL!$C$42, 93.6492, 93.6492) * CHOOSE(CONTROL!$C$21, $C$9, 100%, $E$9)</f>
        <v>93.649199999999993</v>
      </c>
      <c r="Q894" s="14">
        <f>CHOOSE(CONTROL!$C$42, 94.1983, 94.1983) * CHOOSE(CONTROL!$C$21, $C$9, 100%, $E$9)</f>
        <v>94.198300000000003</v>
      </c>
      <c r="R894" s="14">
        <f>CHOOSE(CONTROL!$C$42, 95.0208, 95.0208) * CHOOSE(CONTROL!$C$21, $C$9, 100%, $E$9)</f>
        <v>95.020799999999994</v>
      </c>
      <c r="S894" s="14">
        <f>CHOOSE(CONTROL!$C$42, 91.5555, 91.5555) * CHOOSE(CONTROL!$C$21, $C$9, 100%, $E$9)</f>
        <v>91.555499999999995</v>
      </c>
      <c r="T8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7">
        <f>(1000*CHOOSE(CONTROL!$C$42, 695, 695)*CHOOSE(CONTROL!$C$42, 0.5599, 0.5599)*CHOOSE(CONTROL!$C$42, 30, 30))/1000000</f>
        <v>11.673914999999997</v>
      </c>
      <c r="V894" s="57">
        <f>(1000*CHOOSE(CONTROL!$C$42, 500, 500)*CHOOSE(CONTROL!$C$42, 0.275, 0.275)*CHOOSE(CONTROL!$C$42, 30, 30))/1000000</f>
        <v>4.125</v>
      </c>
      <c r="W894" s="57">
        <f>(1000*CHOOSE(CONTROL!$C$42, 0.1146, 0.1146)*CHOOSE(CONTROL!$C$42, 121.5, 121.5)*CHOOSE(CONTROL!$C$42, 30, 30))/1000000</f>
        <v>0.417717</v>
      </c>
      <c r="X894" s="57">
        <f>(30*0.1790888*245000/1000000)+(30*0.2374*100000/1000000)</f>
        <v>2.0285026799999999</v>
      </c>
      <c r="Y894" s="57"/>
      <c r="Z894" s="14"/>
      <c r="AA894" s="56"/>
      <c r="AB894" s="50">
        <f>(B894*194.205+C894*267.466+D894*133.845+E894*53.484+F894*40+G894*185+H894*0+I894*100+J894*300)/(194.205+267.466+133.845+53.484+0+40+185+100+300)</f>
        <v>95.354871500392477</v>
      </c>
      <c r="AC894" s="45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93.503962589928065</v>
      </c>
    </row>
    <row r="895" spans="1:29" ht="15.75" x14ac:dyDescent="0.25">
      <c r="A895" s="32">
        <v>68149</v>
      </c>
      <c r="B895" s="14">
        <f>CHOOSE(CONTROL!$C$42, 93.4641, 93.4641) * CHOOSE(CONTROL!$C$21, $C$9, 100%, $E$9)</f>
        <v>93.464100000000002</v>
      </c>
      <c r="C895" s="14">
        <f>CHOOSE(CONTROL!$C$42, 93.4721, 93.4721) * CHOOSE(CONTROL!$C$21, $C$9, 100%, $E$9)</f>
        <v>93.472099999999998</v>
      </c>
      <c r="D895" s="14">
        <f>CHOOSE(CONTROL!$C$42, 93.7057, 93.7057) * CHOOSE(CONTROL!$C$21, $C$9, 100%, $E$9)</f>
        <v>93.705699999999993</v>
      </c>
      <c r="E895" s="14">
        <f>CHOOSE(CONTROL!$C$42, 93.7372, 93.7372) * CHOOSE(CONTROL!$C$21, $C$9, 100%, $E$9)</f>
        <v>93.737200000000001</v>
      </c>
      <c r="F895" s="14">
        <f>CHOOSE(CONTROL!$C$42, 93.4619, 93.4619)*CHOOSE(CONTROL!$C$21, $C$9, 100%, $E$9)</f>
        <v>93.4619</v>
      </c>
      <c r="G895" s="14">
        <f>CHOOSE(CONTROL!$C$42, 93.4785, 93.4785)*CHOOSE(CONTROL!$C$21, $C$9, 100%, $E$9)</f>
        <v>93.478499999999997</v>
      </c>
      <c r="H895" s="14">
        <f>CHOOSE(CONTROL!$C$42, 93.7258, 93.7258) * CHOOSE(CONTROL!$C$21, $C$9, 100%, $E$9)</f>
        <v>93.725800000000007</v>
      </c>
      <c r="I895" s="14">
        <f>CHOOSE(CONTROL!$C$42, 93.7727, 93.7727)* CHOOSE(CONTROL!$C$21, $C$9, 100%, $E$9)</f>
        <v>93.7727</v>
      </c>
      <c r="J895" s="14">
        <f>CHOOSE(CONTROL!$C$42, 93.4549, 93.4549)* CHOOSE(CONTROL!$C$21, $C$9, 100%, $E$9)</f>
        <v>93.454899999999995</v>
      </c>
      <c r="K895" s="53">
        <f>CHOOSE(CONTROL!$C$42, 93.7688, 93.7688) * CHOOSE(CONTROL!$C$21, $C$9, 100%, $E$9)</f>
        <v>93.768799999999999</v>
      </c>
      <c r="L895" s="14">
        <f>CHOOSE(CONTROL!$C$42, 94.3128, 94.3128) * CHOOSE(CONTROL!$C$21, $C$9, 100%, $E$9)</f>
        <v>94.312799999999996</v>
      </c>
      <c r="M895" s="14">
        <f>CHOOSE(CONTROL!$C$42, 91.5478, 91.5478) * CHOOSE(CONTROL!$C$21, $C$9, 100%, $E$9)</f>
        <v>91.547799999999995</v>
      </c>
      <c r="N895" s="14">
        <f>CHOOSE(CONTROL!$C$42, 91.564, 91.564) * CHOOSE(CONTROL!$C$21, $C$9, 100%, $E$9)</f>
        <v>91.563999999999993</v>
      </c>
      <c r="O895" s="14">
        <f>CHOOSE(CONTROL!$C$42, 91.8131, 91.8131) * CHOOSE(CONTROL!$C$21, $C$9, 100%, $E$9)</f>
        <v>91.813100000000006</v>
      </c>
      <c r="P895" s="14">
        <f>CHOOSE(CONTROL!$C$42, 91.8532, 91.8532) * CHOOSE(CONTROL!$C$21, $C$9, 100%, $E$9)</f>
        <v>91.853200000000001</v>
      </c>
      <c r="Q895" s="14">
        <f>CHOOSE(CONTROL!$C$42, 92.4078, 92.4078) * CHOOSE(CONTROL!$C$21, $C$9, 100%, $E$9)</f>
        <v>92.407799999999995</v>
      </c>
      <c r="R895" s="14">
        <f>CHOOSE(CONTROL!$C$42, 93.2259, 93.2259) * CHOOSE(CONTROL!$C$21, $C$9, 100%, $E$9)</f>
        <v>93.225899999999996</v>
      </c>
      <c r="S895" s="14">
        <f>CHOOSE(CONTROL!$C$42, 89.799, 89.799) * CHOOSE(CONTROL!$C$21, $C$9, 100%, $E$9)</f>
        <v>89.799000000000007</v>
      </c>
      <c r="T8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7">
        <f>(1000*CHOOSE(CONTROL!$C$42, 695, 695)*CHOOSE(CONTROL!$C$42, 0.5599, 0.5599)*CHOOSE(CONTROL!$C$42, 31, 31))/1000000</f>
        <v>12.063045499999998</v>
      </c>
      <c r="V895" s="57">
        <f>(1000*CHOOSE(CONTROL!$C$42, 500, 500)*CHOOSE(CONTROL!$C$42, 0.275, 0.275)*CHOOSE(CONTROL!$C$42, 31, 31))/1000000</f>
        <v>4.2625000000000002</v>
      </c>
      <c r="W895" s="57">
        <f>(1000*CHOOSE(CONTROL!$C$42, 0.1146, 0.1146)*CHOOSE(CONTROL!$C$42, 121.5, 121.5)*CHOOSE(CONTROL!$C$42, 31, 31))/1000000</f>
        <v>0.43164089999999994</v>
      </c>
      <c r="X895" s="57">
        <f>(31*0.1790888*245000/1000000)+(31*0.2374*100000/1000000)</f>
        <v>2.0961194359999999</v>
      </c>
      <c r="Y895" s="57"/>
      <c r="Z895" s="14"/>
      <c r="AA895" s="56"/>
      <c r="AB895" s="50">
        <f>(B895*194.205+C895*267.466+D895*133.845+E895*53.484+F895*40+G895*185+H895*0+I895*100+J895*300)/(194.205+267.466+133.845+53.484+0+40+185+100+300)</f>
        <v>93.526705306436426</v>
      </c>
      <c r="AC895" s="45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91.712918705035975</v>
      </c>
    </row>
    <row r="896" spans="1:29" ht="15.75" x14ac:dyDescent="0.25">
      <c r="A896" s="32">
        <v>68180</v>
      </c>
      <c r="B896" s="14">
        <f>CHOOSE(CONTROL!$C$42, 88.848, 88.848) * CHOOSE(CONTROL!$C$21, $C$9, 100%, $E$9)</f>
        <v>88.847999999999999</v>
      </c>
      <c r="C896" s="14">
        <f>CHOOSE(CONTROL!$C$42, 88.8561, 88.8561) * CHOOSE(CONTROL!$C$21, $C$9, 100%, $E$9)</f>
        <v>88.856099999999998</v>
      </c>
      <c r="D896" s="14">
        <f>CHOOSE(CONTROL!$C$42, 89.0896, 89.0896) * CHOOSE(CONTROL!$C$21, $C$9, 100%, $E$9)</f>
        <v>89.089600000000004</v>
      </c>
      <c r="E896" s="14">
        <f>CHOOSE(CONTROL!$C$42, 89.1211, 89.1211) * CHOOSE(CONTROL!$C$21, $C$9, 100%, $E$9)</f>
        <v>89.121099999999998</v>
      </c>
      <c r="F896" s="14">
        <f>CHOOSE(CONTROL!$C$42, 88.846, 88.846)*CHOOSE(CONTROL!$C$21, $C$9, 100%, $E$9)</f>
        <v>88.846000000000004</v>
      </c>
      <c r="G896" s="14">
        <f>CHOOSE(CONTROL!$C$42, 88.8627, 88.8627)*CHOOSE(CONTROL!$C$21, $C$9, 100%, $E$9)</f>
        <v>88.862700000000004</v>
      </c>
      <c r="H896" s="14">
        <f>CHOOSE(CONTROL!$C$42, 89.1097, 89.1097) * CHOOSE(CONTROL!$C$21, $C$9, 100%, $E$9)</f>
        <v>89.109700000000004</v>
      </c>
      <c r="I896" s="14">
        <f>CHOOSE(CONTROL!$C$42, 89.1422, 89.1422)* CHOOSE(CONTROL!$C$21, $C$9, 100%, $E$9)</f>
        <v>89.142200000000003</v>
      </c>
      <c r="J896" s="14">
        <f>CHOOSE(CONTROL!$C$42, 88.839, 88.839)* CHOOSE(CONTROL!$C$21, $C$9, 100%, $E$9)</f>
        <v>88.838999999999999</v>
      </c>
      <c r="K896" s="53">
        <f>CHOOSE(CONTROL!$C$42, 89.1383, 89.1383) * CHOOSE(CONTROL!$C$21, $C$9, 100%, $E$9)</f>
        <v>89.138300000000001</v>
      </c>
      <c r="L896" s="14">
        <f>CHOOSE(CONTROL!$C$42, 89.6967, 89.6967) * CHOOSE(CONTROL!$C$21, $C$9, 100%, $E$9)</f>
        <v>89.696700000000007</v>
      </c>
      <c r="M896" s="14">
        <f>CHOOSE(CONTROL!$C$42, 87.0264, 87.0264) * CHOOSE(CONTROL!$C$21, $C$9, 100%, $E$9)</f>
        <v>87.026399999999995</v>
      </c>
      <c r="N896" s="14">
        <f>CHOOSE(CONTROL!$C$42, 87.0428, 87.0428) * CHOOSE(CONTROL!$C$21, $C$9, 100%, $E$9)</f>
        <v>87.0428</v>
      </c>
      <c r="O896" s="14">
        <f>CHOOSE(CONTROL!$C$42, 87.2916, 87.2916) * CHOOSE(CONTROL!$C$21, $C$9, 100%, $E$9)</f>
        <v>87.291600000000003</v>
      </c>
      <c r="P896" s="14">
        <f>CHOOSE(CONTROL!$C$42, 87.3179, 87.3179) * CHOOSE(CONTROL!$C$21, $C$9, 100%, $E$9)</f>
        <v>87.317899999999995</v>
      </c>
      <c r="Q896" s="14">
        <f>CHOOSE(CONTROL!$C$42, 87.8863, 87.8863) * CHOOSE(CONTROL!$C$21, $C$9, 100%, $E$9)</f>
        <v>87.886300000000006</v>
      </c>
      <c r="R896" s="14">
        <f>CHOOSE(CONTROL!$C$42, 88.6931, 88.6931) * CHOOSE(CONTROL!$C$21, $C$9, 100%, $E$9)</f>
        <v>88.693100000000001</v>
      </c>
      <c r="S896" s="14">
        <f>CHOOSE(CONTROL!$C$42, 85.3634, 85.3634) * CHOOSE(CONTROL!$C$21, $C$9, 100%, $E$9)</f>
        <v>85.363399999999999</v>
      </c>
      <c r="T8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7">
        <f>(1000*CHOOSE(CONTROL!$C$42, 695, 695)*CHOOSE(CONTROL!$C$42, 0.5599, 0.5599)*CHOOSE(CONTROL!$C$42, 31, 31))/1000000</f>
        <v>12.063045499999998</v>
      </c>
      <c r="V896" s="57">
        <f>(1000*CHOOSE(CONTROL!$C$42, 500, 500)*CHOOSE(CONTROL!$C$42, 0.275, 0.275)*CHOOSE(CONTROL!$C$42, 31, 31))/1000000</f>
        <v>4.2625000000000002</v>
      </c>
      <c r="W896" s="57">
        <f>(1000*CHOOSE(CONTROL!$C$42, 0.1146, 0.1146)*CHOOSE(CONTROL!$C$42, 121.5, 121.5)*CHOOSE(CONTROL!$C$42, 31, 31))/1000000</f>
        <v>0.43164089999999994</v>
      </c>
      <c r="X896" s="57">
        <f>(31*0.1790888*245000/1000000)+(31*0.2374*100000/1000000)</f>
        <v>2.0961194359999999</v>
      </c>
      <c r="Y896" s="57"/>
      <c r="Z896" s="14"/>
      <c r="AA896" s="56"/>
      <c r="AB896" s="50">
        <f>(B896*194.205+C896*267.466+D896*133.845+E896*53.484+F896*40+G896*185+H896*0+I896*100+J896*300)/(194.205+267.466+133.845+53.484+0+40+185+100+300)</f>
        <v>88.909592941130299</v>
      </c>
      <c r="AC896" s="45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87.189484892086341</v>
      </c>
    </row>
    <row r="897" spans="1:29" ht="15.75" x14ac:dyDescent="0.25">
      <c r="A897" s="32">
        <v>68210</v>
      </c>
      <c r="B897" s="14">
        <f>CHOOSE(CONTROL!$C$42, 83.2076, 83.2076) * CHOOSE(CONTROL!$C$21, $C$9, 100%, $E$9)</f>
        <v>83.207599999999999</v>
      </c>
      <c r="C897" s="14">
        <f>CHOOSE(CONTROL!$C$42, 83.2156, 83.2156) * CHOOSE(CONTROL!$C$21, $C$9, 100%, $E$9)</f>
        <v>83.215599999999995</v>
      </c>
      <c r="D897" s="14">
        <f>CHOOSE(CONTROL!$C$42, 83.4492, 83.4492) * CHOOSE(CONTROL!$C$21, $C$9, 100%, $E$9)</f>
        <v>83.449200000000005</v>
      </c>
      <c r="E897" s="14">
        <f>CHOOSE(CONTROL!$C$42, 83.4807, 83.4807) * CHOOSE(CONTROL!$C$21, $C$9, 100%, $E$9)</f>
        <v>83.480699999999999</v>
      </c>
      <c r="F897" s="14">
        <f>CHOOSE(CONTROL!$C$42, 83.2056, 83.2056)*CHOOSE(CONTROL!$C$21, $C$9, 100%, $E$9)</f>
        <v>83.205600000000004</v>
      </c>
      <c r="G897" s="14">
        <f>CHOOSE(CONTROL!$C$42, 83.2222, 83.2222)*CHOOSE(CONTROL!$C$21, $C$9, 100%, $E$9)</f>
        <v>83.222200000000001</v>
      </c>
      <c r="H897" s="14">
        <f>CHOOSE(CONTROL!$C$42, 83.4693, 83.4693) * CHOOSE(CONTROL!$C$21, $C$9, 100%, $E$9)</f>
        <v>83.469300000000004</v>
      </c>
      <c r="I897" s="14">
        <f>CHOOSE(CONTROL!$C$42, 83.484, 83.484)* CHOOSE(CONTROL!$C$21, $C$9, 100%, $E$9)</f>
        <v>83.483999999999995</v>
      </c>
      <c r="J897" s="14">
        <f>CHOOSE(CONTROL!$C$42, 83.1986, 83.1986)* CHOOSE(CONTROL!$C$21, $C$9, 100%, $E$9)</f>
        <v>83.198599999999999</v>
      </c>
      <c r="K897" s="53">
        <f>CHOOSE(CONTROL!$C$42, 83.4802, 83.4802) * CHOOSE(CONTROL!$C$21, $C$9, 100%, $E$9)</f>
        <v>83.480199999999996</v>
      </c>
      <c r="L897" s="14">
        <f>CHOOSE(CONTROL!$C$42, 84.0563, 84.0563) * CHOOSE(CONTROL!$C$21, $C$9, 100%, $E$9)</f>
        <v>84.056299999999993</v>
      </c>
      <c r="M897" s="14">
        <f>CHOOSE(CONTROL!$C$42, 81.5016, 81.5016) * CHOOSE(CONTROL!$C$21, $C$9, 100%, $E$9)</f>
        <v>81.501599999999996</v>
      </c>
      <c r="N897" s="14">
        <f>CHOOSE(CONTROL!$C$42, 81.5179, 81.5179) * CHOOSE(CONTROL!$C$21, $C$9, 100%, $E$9)</f>
        <v>81.517899999999997</v>
      </c>
      <c r="O897" s="14">
        <f>CHOOSE(CONTROL!$C$42, 81.7668, 81.7668) * CHOOSE(CONTROL!$C$21, $C$9, 100%, $E$9)</f>
        <v>81.766800000000003</v>
      </c>
      <c r="P897" s="14">
        <f>CHOOSE(CONTROL!$C$42, 81.776, 81.776) * CHOOSE(CONTROL!$C$21, $C$9, 100%, $E$9)</f>
        <v>81.775999999999996</v>
      </c>
      <c r="Q897" s="14">
        <f>CHOOSE(CONTROL!$C$42, 82.3615, 82.3615) * CHOOSE(CONTROL!$C$21, $C$9, 100%, $E$9)</f>
        <v>82.361500000000007</v>
      </c>
      <c r="R897" s="14">
        <f>CHOOSE(CONTROL!$C$42, 83.1544, 83.1544) * CHOOSE(CONTROL!$C$21, $C$9, 100%, $E$9)</f>
        <v>83.154399999999995</v>
      </c>
      <c r="S897" s="14">
        <f>CHOOSE(CONTROL!$C$42, 79.9435, 79.9435) * CHOOSE(CONTROL!$C$21, $C$9, 100%, $E$9)</f>
        <v>79.9435</v>
      </c>
      <c r="T8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7">
        <f>(1000*CHOOSE(CONTROL!$C$42, 695, 695)*CHOOSE(CONTROL!$C$42, 0.5599, 0.5599)*CHOOSE(CONTROL!$C$42, 30, 30))/1000000</f>
        <v>11.673914999999997</v>
      </c>
      <c r="V897" s="57">
        <f>(1000*CHOOSE(CONTROL!$C$42, 500, 500)*CHOOSE(CONTROL!$C$42, 0.275, 0.275)*CHOOSE(CONTROL!$C$42, 30, 30))/1000000</f>
        <v>4.125</v>
      </c>
      <c r="W897" s="57">
        <f>(1000*CHOOSE(CONTROL!$C$42, 0.1146, 0.1146)*CHOOSE(CONTROL!$C$42, 121.5, 121.5)*CHOOSE(CONTROL!$C$42, 30, 30))/1000000</f>
        <v>0.417717</v>
      </c>
      <c r="X897" s="57">
        <f>(30*0.1790888*245000/1000000)+(30*0.2374*100000/1000000)</f>
        <v>2.0285026799999999</v>
      </c>
      <c r="Y897" s="57"/>
      <c r="Z897" s="14"/>
      <c r="AA897" s="56"/>
      <c r="AB897" s="50">
        <f>(B897*194.205+C897*267.466+D897*133.845+E897*53.484+F897*40+G897*185+H897*0+I897*100+J897*300)/(194.205+267.466+133.845+53.484+0+40+185+100+300)</f>
        <v>83.267760251491367</v>
      </c>
      <c r="AC897" s="45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81.662218705035968</v>
      </c>
    </row>
    <row r="898" spans="1:29" ht="15.75" x14ac:dyDescent="0.25">
      <c r="A898" s="32">
        <v>68241</v>
      </c>
      <c r="B898" s="14">
        <f>CHOOSE(CONTROL!$C$42, 81.5166, 81.5166) * CHOOSE(CONTROL!$C$21, $C$9, 100%, $E$9)</f>
        <v>81.516599999999997</v>
      </c>
      <c r="C898" s="14">
        <f>CHOOSE(CONTROL!$C$42, 81.5219, 81.5219) * CHOOSE(CONTROL!$C$21, $C$9, 100%, $E$9)</f>
        <v>81.521900000000002</v>
      </c>
      <c r="D898" s="14">
        <f>CHOOSE(CONTROL!$C$42, 81.7605, 81.7605) * CHOOSE(CONTROL!$C$21, $C$9, 100%, $E$9)</f>
        <v>81.760499999999993</v>
      </c>
      <c r="E898" s="14">
        <f>CHOOSE(CONTROL!$C$42, 81.7896, 81.7896) * CHOOSE(CONTROL!$C$21, $C$9, 100%, $E$9)</f>
        <v>81.789599999999993</v>
      </c>
      <c r="F898" s="14">
        <f>CHOOSE(CONTROL!$C$42, 81.5166, 81.5166)*CHOOSE(CONTROL!$C$21, $C$9, 100%, $E$9)</f>
        <v>81.516599999999997</v>
      </c>
      <c r="G898" s="14">
        <f>CHOOSE(CONTROL!$C$42, 81.5329, 81.5329)*CHOOSE(CONTROL!$C$21, $C$9, 100%, $E$9)</f>
        <v>81.532899999999998</v>
      </c>
      <c r="H898" s="14">
        <f>CHOOSE(CONTROL!$C$42, 81.7801, 81.7801) * CHOOSE(CONTROL!$C$21, $C$9, 100%, $E$9)</f>
        <v>81.780100000000004</v>
      </c>
      <c r="I898" s="14">
        <f>CHOOSE(CONTROL!$C$42, 81.7895, 81.7895)* CHOOSE(CONTROL!$C$21, $C$9, 100%, $E$9)</f>
        <v>81.789500000000004</v>
      </c>
      <c r="J898" s="14">
        <f>CHOOSE(CONTROL!$C$42, 81.5096, 81.5096)* CHOOSE(CONTROL!$C$21, $C$9, 100%, $E$9)</f>
        <v>81.509600000000006</v>
      </c>
      <c r="K898" s="53">
        <f>CHOOSE(CONTROL!$C$42, 81.7857, 81.7857) * CHOOSE(CONTROL!$C$21, $C$9, 100%, $E$9)</f>
        <v>81.785700000000006</v>
      </c>
      <c r="L898" s="14">
        <f>CHOOSE(CONTROL!$C$42, 82.3671, 82.3671) * CHOOSE(CONTROL!$C$21, $C$9, 100%, $E$9)</f>
        <v>82.367099999999994</v>
      </c>
      <c r="M898" s="14">
        <f>CHOOSE(CONTROL!$C$42, 79.8472, 79.8472) * CHOOSE(CONTROL!$C$21, $C$9, 100%, $E$9)</f>
        <v>79.847200000000001</v>
      </c>
      <c r="N898" s="14">
        <f>CHOOSE(CONTROL!$C$42, 79.8632, 79.8632) * CHOOSE(CONTROL!$C$21, $C$9, 100%, $E$9)</f>
        <v>79.863200000000006</v>
      </c>
      <c r="O898" s="14">
        <f>CHOOSE(CONTROL!$C$42, 80.1122, 80.1122) * CHOOSE(CONTROL!$C$21, $C$9, 100%, $E$9)</f>
        <v>80.112200000000001</v>
      </c>
      <c r="P898" s="14">
        <f>CHOOSE(CONTROL!$C$42, 80.1164, 80.1164) * CHOOSE(CONTROL!$C$21, $C$9, 100%, $E$9)</f>
        <v>80.116399999999999</v>
      </c>
      <c r="Q898" s="14">
        <f>CHOOSE(CONTROL!$C$42, 80.7069, 80.7069) * CHOOSE(CONTROL!$C$21, $C$9, 100%, $E$9)</f>
        <v>80.706900000000005</v>
      </c>
      <c r="R898" s="14">
        <f>CHOOSE(CONTROL!$C$42, 81.4956, 81.4956) * CHOOSE(CONTROL!$C$21, $C$9, 100%, $E$9)</f>
        <v>81.495599999999996</v>
      </c>
      <c r="S898" s="14">
        <f>CHOOSE(CONTROL!$C$42, 78.3204, 78.3204) * CHOOSE(CONTROL!$C$21, $C$9, 100%, $E$9)</f>
        <v>78.320400000000006</v>
      </c>
      <c r="T8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7">
        <f>(1000*CHOOSE(CONTROL!$C$42, 695, 695)*CHOOSE(CONTROL!$C$42, 0.5599, 0.5599)*CHOOSE(CONTROL!$C$42, 31, 31))/1000000</f>
        <v>12.063045499999998</v>
      </c>
      <c r="V898" s="57">
        <f>(1000*CHOOSE(CONTROL!$C$42, 500, 500)*CHOOSE(CONTROL!$C$42, 0.275, 0.275)*CHOOSE(CONTROL!$C$42, 31, 31))/1000000</f>
        <v>4.2625000000000002</v>
      </c>
      <c r="W898" s="57">
        <f>(1000*CHOOSE(CONTROL!$C$42, 0.1146, 0.1146)*CHOOSE(CONTROL!$C$42, 121.5, 121.5)*CHOOSE(CONTROL!$C$42, 31, 31))/1000000</f>
        <v>0.43164089999999994</v>
      </c>
      <c r="X898" s="57">
        <f>(31*0.1790888*245000/1000000)+(31*0.2374*100000/1000000)</f>
        <v>2.0961194359999999</v>
      </c>
      <c r="Y898" s="57"/>
      <c r="Z898" s="14"/>
      <c r="AA898" s="56"/>
      <c r="AB898" s="50">
        <f>(B898*131.881+C898*277.167+D898*79.08+E898*125.872+F898*40+G898*185+H898*0+I898*100+J898*300)/(131.881+277.167+79.08+125.872+0+40+185+100+300)</f>
        <v>81.583851939548026</v>
      </c>
      <c r="AC898" s="45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80.006962589928051</v>
      </c>
    </row>
    <row r="899" spans="1:29" ht="15.75" x14ac:dyDescent="0.25">
      <c r="A899" s="32">
        <v>68271</v>
      </c>
      <c r="B899" s="14">
        <f>CHOOSE(CONTROL!$C$42, 83.6635, 83.6635) * CHOOSE(CONTROL!$C$21, $C$9, 100%, $E$9)</f>
        <v>83.663499999999999</v>
      </c>
      <c r="C899" s="14">
        <f>CHOOSE(CONTROL!$C$42, 83.6685, 83.6685) * CHOOSE(CONTROL!$C$21, $C$9, 100%, $E$9)</f>
        <v>83.668499999999995</v>
      </c>
      <c r="D899" s="14">
        <f>CHOOSE(CONTROL!$C$42, 83.7427, 83.7427) * CHOOSE(CONTROL!$C$21, $C$9, 100%, $E$9)</f>
        <v>83.742699999999999</v>
      </c>
      <c r="E899" s="14">
        <f>CHOOSE(CONTROL!$C$42, 83.7768, 83.7768) * CHOOSE(CONTROL!$C$21, $C$9, 100%, $E$9)</f>
        <v>83.776799999999994</v>
      </c>
      <c r="F899" s="14">
        <f>CHOOSE(CONTROL!$C$42, 83.6755, 83.6755)*CHOOSE(CONTROL!$C$21, $C$9, 100%, $E$9)</f>
        <v>83.6755</v>
      </c>
      <c r="G899" s="14">
        <f>CHOOSE(CONTROL!$C$42, 83.6921, 83.6921)*CHOOSE(CONTROL!$C$21, $C$9, 100%, $E$9)</f>
        <v>83.692099999999996</v>
      </c>
      <c r="H899" s="14">
        <f>CHOOSE(CONTROL!$C$42, 83.766, 83.766) * CHOOSE(CONTROL!$C$21, $C$9, 100%, $E$9)</f>
        <v>83.766000000000005</v>
      </c>
      <c r="I899" s="14">
        <f>CHOOSE(CONTROL!$C$42, 83.9498, 83.9498)* CHOOSE(CONTROL!$C$21, $C$9, 100%, $E$9)</f>
        <v>83.949799999999996</v>
      </c>
      <c r="J899" s="14">
        <f>CHOOSE(CONTROL!$C$42, 83.6685, 83.6685)* CHOOSE(CONTROL!$C$21, $C$9, 100%, $E$9)</f>
        <v>83.668499999999995</v>
      </c>
      <c r="K899" s="53">
        <f>CHOOSE(CONTROL!$C$42, 83.9459, 83.9459) * CHOOSE(CONTROL!$C$21, $C$9, 100%, $E$9)</f>
        <v>83.945899999999995</v>
      </c>
      <c r="L899" s="14">
        <f>CHOOSE(CONTROL!$C$42, 84.353, 84.353) * CHOOSE(CONTROL!$C$21, $C$9, 100%, $E$9)</f>
        <v>84.352999999999994</v>
      </c>
      <c r="M899" s="14">
        <f>CHOOSE(CONTROL!$C$42, 81.9619, 81.9619) * CHOOSE(CONTROL!$C$21, $C$9, 100%, $E$9)</f>
        <v>81.9619</v>
      </c>
      <c r="N899" s="14">
        <f>CHOOSE(CONTROL!$C$42, 81.9781, 81.9781) * CHOOSE(CONTROL!$C$21, $C$9, 100%, $E$9)</f>
        <v>81.978099999999998</v>
      </c>
      <c r="O899" s="14">
        <f>CHOOSE(CONTROL!$C$42, 82.0574, 82.0574) * CHOOSE(CONTROL!$C$21, $C$9, 100%, $E$9)</f>
        <v>82.057400000000001</v>
      </c>
      <c r="P899" s="14">
        <f>CHOOSE(CONTROL!$C$42, 82.2322, 82.2322) * CHOOSE(CONTROL!$C$21, $C$9, 100%, $E$9)</f>
        <v>82.232200000000006</v>
      </c>
      <c r="Q899" s="14">
        <f>CHOOSE(CONTROL!$C$42, 82.6521, 82.6521) * CHOOSE(CONTROL!$C$21, $C$9, 100%, $E$9)</f>
        <v>82.652100000000004</v>
      </c>
      <c r="R899" s="14">
        <f>CHOOSE(CONTROL!$C$42, 83.4458, 83.4458) * CHOOSE(CONTROL!$C$21, $C$9, 100%, $E$9)</f>
        <v>83.445800000000006</v>
      </c>
      <c r="S899" s="14">
        <f>CHOOSE(CONTROL!$C$42, 80.3837, 80.3837) * CHOOSE(CONTROL!$C$21, $C$9, 100%, $E$9)</f>
        <v>80.383700000000005</v>
      </c>
      <c r="T8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7">
        <f>(1000*CHOOSE(CONTROL!$C$42, 695, 695)*CHOOSE(CONTROL!$C$42, 0.5599, 0.5599)*CHOOSE(CONTROL!$C$42, 30, 30))/1000000</f>
        <v>11.673914999999997</v>
      </c>
      <c r="V899" s="57">
        <f>(1000*CHOOSE(CONTROL!$C$42, 500, 500)*CHOOSE(CONTROL!$C$42, 0.275, 0.275)*CHOOSE(CONTROL!$C$42, 30, 30))/1000000</f>
        <v>4.125</v>
      </c>
      <c r="W899" s="57">
        <f>(1000*CHOOSE(CONTROL!$C$42, 0.1146, 0.1146)*CHOOSE(CONTROL!$C$42, 121.5, 121.5)*CHOOSE(CONTROL!$C$42, 30, 30))/1000000</f>
        <v>0.417717</v>
      </c>
      <c r="X899" s="57">
        <f>(30*0.1790888*100000/1000000)+(30*0.2374*100000/1000000)</f>
        <v>1.2494664</v>
      </c>
      <c r="Y899" s="57"/>
      <c r="Z899" s="14"/>
      <c r="AA899" s="56"/>
      <c r="AB899" s="50">
        <f>(B899*122.58+C899*297.941+D899*89.177+E899*40.302+F899*40+G899*160+H899*0+I899*100+J899*300)/(122.58+297.941+89.177+40.302+0+40+160+100+300)</f>
        <v>83.705504121739125</v>
      </c>
      <c r="AC899" s="45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82.045008633093531</v>
      </c>
    </row>
    <row r="900" spans="1:29" ht="15.75" x14ac:dyDescent="0.25">
      <c r="A900" s="32">
        <v>68302</v>
      </c>
      <c r="B900" s="14">
        <f>CHOOSE(CONTROL!$C$42, 89.3669, 89.3669) * CHOOSE(CONTROL!$C$21, $C$9, 100%, $E$9)</f>
        <v>89.366900000000001</v>
      </c>
      <c r="C900" s="14">
        <f>CHOOSE(CONTROL!$C$42, 89.372, 89.372) * CHOOSE(CONTROL!$C$21, $C$9, 100%, $E$9)</f>
        <v>89.372</v>
      </c>
      <c r="D900" s="14">
        <f>CHOOSE(CONTROL!$C$42, 89.4462, 89.4462) * CHOOSE(CONTROL!$C$21, $C$9, 100%, $E$9)</f>
        <v>89.446200000000005</v>
      </c>
      <c r="E900" s="14">
        <f>CHOOSE(CONTROL!$C$42, 89.4803, 89.4803) * CHOOSE(CONTROL!$C$21, $C$9, 100%, $E$9)</f>
        <v>89.4803</v>
      </c>
      <c r="F900" s="14">
        <f>CHOOSE(CONTROL!$C$42, 89.3812, 89.3812)*CHOOSE(CONTROL!$C$21, $C$9, 100%, $E$9)</f>
        <v>89.381200000000007</v>
      </c>
      <c r="G900" s="14">
        <f>CHOOSE(CONTROL!$C$42, 89.3983, 89.3983)*CHOOSE(CONTROL!$C$21, $C$9, 100%, $E$9)</f>
        <v>89.398300000000006</v>
      </c>
      <c r="H900" s="14">
        <f>CHOOSE(CONTROL!$C$42, 89.4695, 89.4695) * CHOOSE(CONTROL!$C$21, $C$9, 100%, $E$9)</f>
        <v>89.469499999999996</v>
      </c>
      <c r="I900" s="14">
        <f>CHOOSE(CONTROL!$C$42, 89.6711, 89.6711)* CHOOSE(CONTROL!$C$21, $C$9, 100%, $E$9)</f>
        <v>89.671099999999996</v>
      </c>
      <c r="J900" s="14">
        <f>CHOOSE(CONTROL!$C$42, 89.3742, 89.3742)* CHOOSE(CONTROL!$C$21, $C$9, 100%, $E$9)</f>
        <v>89.374200000000002</v>
      </c>
      <c r="K900" s="53">
        <f>CHOOSE(CONTROL!$C$42, 89.6673, 89.6673) * CHOOSE(CONTROL!$C$21, $C$9, 100%, $E$9)</f>
        <v>89.667299999999997</v>
      </c>
      <c r="L900" s="14">
        <f>CHOOSE(CONTROL!$C$42, 90.0565, 90.0565) * CHOOSE(CONTROL!$C$21, $C$9, 100%, $E$9)</f>
        <v>90.0565</v>
      </c>
      <c r="M900" s="14">
        <f>CHOOSE(CONTROL!$C$42, 87.5506, 87.5506) * CHOOSE(CONTROL!$C$21, $C$9, 100%, $E$9)</f>
        <v>87.550600000000003</v>
      </c>
      <c r="N900" s="14">
        <f>CHOOSE(CONTROL!$C$42, 87.5675, 87.5675) * CHOOSE(CONTROL!$C$21, $C$9, 100%, $E$9)</f>
        <v>87.567499999999995</v>
      </c>
      <c r="O900" s="14">
        <f>CHOOSE(CONTROL!$C$42, 87.644, 87.644) * CHOOSE(CONTROL!$C$21, $C$9, 100%, $E$9)</f>
        <v>87.644000000000005</v>
      </c>
      <c r="P900" s="14">
        <f>CHOOSE(CONTROL!$C$42, 87.836, 87.836) * CHOOSE(CONTROL!$C$21, $C$9, 100%, $E$9)</f>
        <v>87.835999999999999</v>
      </c>
      <c r="Q900" s="14">
        <f>CHOOSE(CONTROL!$C$42, 88.2387, 88.2387) * CHOOSE(CONTROL!$C$21, $C$9, 100%, $E$9)</f>
        <v>88.238699999999994</v>
      </c>
      <c r="R900" s="14">
        <f>CHOOSE(CONTROL!$C$42, 89.0463, 89.0463) * CHOOSE(CONTROL!$C$21, $C$9, 100%, $E$9)</f>
        <v>89.046300000000002</v>
      </c>
      <c r="S900" s="14">
        <f>CHOOSE(CONTROL!$C$42, 85.8641, 85.8641) * CHOOSE(CONTROL!$C$21, $C$9, 100%, $E$9)</f>
        <v>85.864099999999993</v>
      </c>
      <c r="T9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7">
        <f>(1000*CHOOSE(CONTROL!$C$42, 695, 695)*CHOOSE(CONTROL!$C$42, 0.5599, 0.5599)*CHOOSE(CONTROL!$C$42, 31, 31))/1000000</f>
        <v>12.063045499999998</v>
      </c>
      <c r="V900" s="57">
        <f>(1000*CHOOSE(CONTROL!$C$42, 500, 500)*CHOOSE(CONTROL!$C$42, 0.275, 0.275)*CHOOSE(CONTROL!$C$42, 31, 31))/1000000</f>
        <v>4.2625000000000002</v>
      </c>
      <c r="W900" s="57">
        <f>(1000*CHOOSE(CONTROL!$C$42, 0.1146, 0.1146)*CHOOSE(CONTROL!$C$42, 121.5, 121.5)*CHOOSE(CONTROL!$C$42, 31, 31))/1000000</f>
        <v>0.43164089999999994</v>
      </c>
      <c r="X900" s="57">
        <f>(31*0.1790888*100000/1000000)+(31*0.2374*100000/1000000)</f>
        <v>1.2911152800000001</v>
      </c>
      <c r="Y900" s="57"/>
      <c r="Z900" s="14"/>
      <c r="AA900" s="56"/>
      <c r="AB900" s="50">
        <f>(B900*122.58+C900*297.941+D900*89.177+E900*40.302+F900*40+G900*160+H900*0+I900*100+J900*300)/(122.58+297.941+89.177+40.302+0+40+160+100+300)</f>
        <v>89.411567375652169</v>
      </c>
      <c r="AC900" s="45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87.634969784172654</v>
      </c>
    </row>
    <row r="901" spans="1:29" ht="15.75" x14ac:dyDescent="0.25">
      <c r="A901" s="32">
        <v>68333</v>
      </c>
      <c r="B901" s="14">
        <f>CHOOSE(CONTROL!$C$42, 96.7747, 96.7747) * CHOOSE(CONTROL!$C$21, $C$9, 100%, $E$9)</f>
        <v>96.774699999999996</v>
      </c>
      <c r="C901" s="14">
        <f>CHOOSE(CONTROL!$C$42, 96.7798, 96.7798) * CHOOSE(CONTROL!$C$21, $C$9, 100%, $E$9)</f>
        <v>96.779799999999994</v>
      </c>
      <c r="D901" s="14">
        <f>CHOOSE(CONTROL!$C$42, 96.8566, 96.8566) * CHOOSE(CONTROL!$C$21, $C$9, 100%, $E$9)</f>
        <v>96.8566</v>
      </c>
      <c r="E901" s="14">
        <f>CHOOSE(CONTROL!$C$42, 96.8907, 96.8907) * CHOOSE(CONTROL!$C$21, $C$9, 100%, $E$9)</f>
        <v>96.890699999999995</v>
      </c>
      <c r="F901" s="14">
        <f>CHOOSE(CONTROL!$C$42, 96.7749, 96.7749)*CHOOSE(CONTROL!$C$21, $C$9, 100%, $E$9)</f>
        <v>96.774900000000002</v>
      </c>
      <c r="G901" s="14">
        <f>CHOOSE(CONTROL!$C$42, 96.7911, 96.7911)*CHOOSE(CONTROL!$C$21, $C$9, 100%, $E$9)</f>
        <v>96.7911</v>
      </c>
      <c r="H901" s="14">
        <f>CHOOSE(CONTROL!$C$42, 96.8799, 96.8799) * CHOOSE(CONTROL!$C$21, $C$9, 100%, $E$9)</f>
        <v>96.879900000000006</v>
      </c>
      <c r="I901" s="14">
        <f>CHOOSE(CONTROL!$C$42, 97.0959, 97.0959)* CHOOSE(CONTROL!$C$21, $C$9, 100%, $E$9)</f>
        <v>97.0959</v>
      </c>
      <c r="J901" s="14">
        <f>CHOOSE(CONTROL!$C$42, 96.7679, 96.7679)* CHOOSE(CONTROL!$C$21, $C$9, 100%, $E$9)</f>
        <v>96.767899999999997</v>
      </c>
      <c r="K901" s="53">
        <f>CHOOSE(CONTROL!$C$42, 97.092, 97.092) * CHOOSE(CONTROL!$C$21, $C$9, 100%, $E$9)</f>
        <v>97.091999999999999</v>
      </c>
      <c r="L901" s="14">
        <f>CHOOSE(CONTROL!$C$42, 97.4669, 97.4669) * CHOOSE(CONTROL!$C$21, $C$9, 100%, $E$9)</f>
        <v>97.466899999999995</v>
      </c>
      <c r="M901" s="14">
        <f>CHOOSE(CONTROL!$C$42, 94.7929, 94.7929) * CHOOSE(CONTROL!$C$21, $C$9, 100%, $E$9)</f>
        <v>94.792900000000003</v>
      </c>
      <c r="N901" s="14">
        <f>CHOOSE(CONTROL!$C$42, 94.8088, 94.8088) * CHOOSE(CONTROL!$C$21, $C$9, 100%, $E$9)</f>
        <v>94.808800000000005</v>
      </c>
      <c r="O901" s="14">
        <f>CHOOSE(CONTROL!$C$42, 94.9026, 94.9026) * CHOOSE(CONTROL!$C$21, $C$9, 100%, $E$9)</f>
        <v>94.902600000000007</v>
      </c>
      <c r="P901" s="14">
        <f>CHOOSE(CONTROL!$C$42, 95.1081, 95.1081) * CHOOSE(CONTROL!$C$21, $C$9, 100%, $E$9)</f>
        <v>95.108099999999993</v>
      </c>
      <c r="Q901" s="14">
        <f>CHOOSE(CONTROL!$C$42, 95.4973, 95.4973) * CHOOSE(CONTROL!$C$21, $C$9, 100%, $E$9)</f>
        <v>95.497299999999996</v>
      </c>
      <c r="R901" s="14">
        <f>CHOOSE(CONTROL!$C$42, 96.323, 96.323) * CHOOSE(CONTROL!$C$21, $C$9, 100%, $E$9)</f>
        <v>96.322999999999993</v>
      </c>
      <c r="S901" s="14">
        <f>CHOOSE(CONTROL!$C$42, 92.9823, 92.9823) * CHOOSE(CONTROL!$C$21, $C$9, 100%, $E$9)</f>
        <v>92.982299999999995</v>
      </c>
      <c r="T9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7">
        <f>(1000*CHOOSE(CONTROL!$C$42, 695, 695)*CHOOSE(CONTROL!$C$42, 0.5599, 0.5599)*CHOOSE(CONTROL!$C$42, 31, 31))/1000000</f>
        <v>12.063045499999998</v>
      </c>
      <c r="V901" s="57">
        <f>(1000*CHOOSE(CONTROL!$C$42, 500, 500)*CHOOSE(CONTROL!$C$42, 0.275, 0.275)*CHOOSE(CONTROL!$C$42, 31, 31))/1000000</f>
        <v>4.2625000000000002</v>
      </c>
      <c r="W901" s="57">
        <f>(1000*CHOOSE(CONTROL!$C$42, 0.1146, 0.1146)*CHOOSE(CONTROL!$C$42, 121.5, 121.5)*CHOOSE(CONTROL!$C$42, 31, 31))/1000000</f>
        <v>0.43164089999999994</v>
      </c>
      <c r="X901" s="57">
        <f>(31*0.1790888*100000/1000000)+(31*0.2374*100000/1000000)</f>
        <v>1.2911152800000001</v>
      </c>
      <c r="Y901" s="57"/>
      <c r="Z901" s="14"/>
      <c r="AA901" s="56"/>
      <c r="AB901" s="50">
        <f>(B901*122.58+C901*297.941+D901*89.177+E901*40.302+F901*40+G901*160+H901*0+I901*100+J901*300)/(122.58+297.941+89.177+40.302+0+40+160+100+300)</f>
        <v>96.814882719478263</v>
      </c>
      <c r="AC901" s="45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94.888887769784176</v>
      </c>
    </row>
    <row r="902" spans="1:29" ht="15.75" x14ac:dyDescent="0.25">
      <c r="A902" s="32">
        <v>68361</v>
      </c>
      <c r="B902" s="14">
        <f>CHOOSE(CONTROL!$C$42, 98.4973, 98.4973) * CHOOSE(CONTROL!$C$21, $C$9, 100%, $E$9)</f>
        <v>98.497299999999996</v>
      </c>
      <c r="C902" s="14">
        <f>CHOOSE(CONTROL!$C$42, 98.5023, 98.5023) * CHOOSE(CONTROL!$C$21, $C$9, 100%, $E$9)</f>
        <v>98.502300000000005</v>
      </c>
      <c r="D902" s="14">
        <f>CHOOSE(CONTROL!$C$42, 98.5792, 98.5792) * CHOOSE(CONTROL!$C$21, $C$9, 100%, $E$9)</f>
        <v>98.5792</v>
      </c>
      <c r="E902" s="14">
        <f>CHOOSE(CONTROL!$C$42, 98.6133, 98.6133) * CHOOSE(CONTROL!$C$21, $C$9, 100%, $E$9)</f>
        <v>98.613299999999995</v>
      </c>
      <c r="F902" s="14">
        <f>CHOOSE(CONTROL!$C$42, 98.4975, 98.4975)*CHOOSE(CONTROL!$C$21, $C$9, 100%, $E$9)</f>
        <v>98.497500000000002</v>
      </c>
      <c r="G902" s="14">
        <f>CHOOSE(CONTROL!$C$42, 98.5138, 98.5138)*CHOOSE(CONTROL!$C$21, $C$9, 100%, $E$9)</f>
        <v>98.513800000000003</v>
      </c>
      <c r="H902" s="14">
        <f>CHOOSE(CONTROL!$C$42, 98.6025, 98.6025) * CHOOSE(CONTROL!$C$21, $C$9, 100%, $E$9)</f>
        <v>98.602500000000006</v>
      </c>
      <c r="I902" s="14">
        <f>CHOOSE(CONTROL!$C$42, 98.8238, 98.8238)* CHOOSE(CONTROL!$C$21, $C$9, 100%, $E$9)</f>
        <v>98.823800000000006</v>
      </c>
      <c r="J902" s="14">
        <f>CHOOSE(CONTROL!$C$42, 98.4905, 98.4905)* CHOOSE(CONTROL!$C$21, $C$9, 100%, $E$9)</f>
        <v>98.490499999999997</v>
      </c>
      <c r="K902" s="53">
        <f>CHOOSE(CONTROL!$C$42, 98.8199, 98.8199) * CHOOSE(CONTROL!$C$21, $C$9, 100%, $E$9)</f>
        <v>98.819900000000004</v>
      </c>
      <c r="L902" s="14">
        <f>CHOOSE(CONTROL!$C$42, 99.1895, 99.1895) * CHOOSE(CONTROL!$C$21, $C$9, 100%, $E$9)</f>
        <v>99.189499999999995</v>
      </c>
      <c r="M902" s="14">
        <f>CHOOSE(CONTROL!$C$42, 96.4802, 96.4802) * CHOOSE(CONTROL!$C$21, $C$9, 100%, $E$9)</f>
        <v>96.480199999999996</v>
      </c>
      <c r="N902" s="14">
        <f>CHOOSE(CONTROL!$C$42, 96.4961, 96.4961) * CHOOSE(CONTROL!$C$21, $C$9, 100%, $E$9)</f>
        <v>96.496099999999998</v>
      </c>
      <c r="O902" s="14">
        <f>CHOOSE(CONTROL!$C$42, 96.5899, 96.5899) * CHOOSE(CONTROL!$C$21, $C$9, 100%, $E$9)</f>
        <v>96.5899</v>
      </c>
      <c r="P902" s="14">
        <f>CHOOSE(CONTROL!$C$42, 96.8005, 96.8005) * CHOOSE(CONTROL!$C$21, $C$9, 100%, $E$9)</f>
        <v>96.8005</v>
      </c>
      <c r="Q902" s="14">
        <f>CHOOSE(CONTROL!$C$42, 97.1846, 97.1846) * CHOOSE(CONTROL!$C$21, $C$9, 100%, $E$9)</f>
        <v>97.184600000000003</v>
      </c>
      <c r="R902" s="14">
        <f>CHOOSE(CONTROL!$C$42, 98.0145, 98.0145) * CHOOSE(CONTROL!$C$21, $C$9, 100%, $E$9)</f>
        <v>98.014499999999998</v>
      </c>
      <c r="S902" s="14">
        <f>CHOOSE(CONTROL!$C$42, 94.6375, 94.6375) * CHOOSE(CONTROL!$C$21, $C$9, 100%, $E$9)</f>
        <v>94.637500000000003</v>
      </c>
      <c r="T9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7">
        <f>(1000*CHOOSE(CONTROL!$C$42, 695, 695)*CHOOSE(CONTROL!$C$42, 0.5599, 0.5599)*CHOOSE(CONTROL!$C$42, 28, 28))/1000000</f>
        <v>10.895653999999999</v>
      </c>
      <c r="V902" s="57">
        <f>(1000*CHOOSE(CONTROL!$C$42, 500, 500)*CHOOSE(CONTROL!$C$42, 0.275, 0.275)*CHOOSE(CONTROL!$C$42, 28, 28))/1000000</f>
        <v>3.85</v>
      </c>
      <c r="W902" s="57">
        <f>(1000*CHOOSE(CONTROL!$C$42, 0.1146, 0.1146)*CHOOSE(CONTROL!$C$42, 121.5, 121.5)*CHOOSE(CONTROL!$C$42, 28, 28))/1000000</f>
        <v>0.38986920000000003</v>
      </c>
      <c r="X902" s="57">
        <f>(28*0.1790888*100000/1000000)+(28*0.2374*100000/1000000)</f>
        <v>1.16616864</v>
      </c>
      <c r="Y902" s="57"/>
      <c r="Z902" s="14"/>
      <c r="AA902" s="56"/>
      <c r="AB902" s="50">
        <f>(B902*122.58+C902*297.941+D902*89.177+E902*40.302+F902*40+G902*160+H902*0+I902*100+J902*300)/(122.58+297.941+89.177+40.302+0+40+160+100+300)</f>
        <v>98.537931594173912</v>
      </c>
      <c r="AC902" s="45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96.576921582733817</v>
      </c>
    </row>
    <row r="903" spans="1:29" ht="15.75" x14ac:dyDescent="0.25">
      <c r="A903" s="32">
        <v>68392</v>
      </c>
      <c r="B903" s="14">
        <f>CHOOSE(CONTROL!$C$42, 95.7011, 95.7011) * CHOOSE(CONTROL!$C$21, $C$9, 100%, $E$9)</f>
        <v>95.701099999999997</v>
      </c>
      <c r="C903" s="14">
        <f>CHOOSE(CONTROL!$C$42, 95.7062, 95.7062) * CHOOSE(CONTROL!$C$21, $C$9, 100%, $E$9)</f>
        <v>95.706199999999995</v>
      </c>
      <c r="D903" s="14">
        <f>CHOOSE(CONTROL!$C$42, 95.783, 95.783) * CHOOSE(CONTROL!$C$21, $C$9, 100%, $E$9)</f>
        <v>95.783000000000001</v>
      </c>
      <c r="E903" s="14">
        <f>CHOOSE(CONTROL!$C$42, 95.8171, 95.8171) * CHOOSE(CONTROL!$C$21, $C$9, 100%, $E$9)</f>
        <v>95.817099999999996</v>
      </c>
      <c r="F903" s="14">
        <f>CHOOSE(CONTROL!$C$42, 95.7009, 95.7009)*CHOOSE(CONTROL!$C$21, $C$9, 100%, $E$9)</f>
        <v>95.700900000000004</v>
      </c>
      <c r="G903" s="14">
        <f>CHOOSE(CONTROL!$C$42, 95.717, 95.717)*CHOOSE(CONTROL!$C$21, $C$9, 100%, $E$9)</f>
        <v>95.716999999999999</v>
      </c>
      <c r="H903" s="14">
        <f>CHOOSE(CONTROL!$C$42, 95.8063, 95.8063) * CHOOSE(CONTROL!$C$21, $C$9, 100%, $E$9)</f>
        <v>95.806299999999993</v>
      </c>
      <c r="I903" s="14">
        <f>CHOOSE(CONTROL!$C$42, 96.0189, 96.0189)* CHOOSE(CONTROL!$C$21, $C$9, 100%, $E$9)</f>
        <v>96.018900000000002</v>
      </c>
      <c r="J903" s="14">
        <f>CHOOSE(CONTROL!$C$42, 95.6939, 95.6939)* CHOOSE(CONTROL!$C$21, $C$9, 100%, $E$9)</f>
        <v>95.693899999999999</v>
      </c>
      <c r="K903" s="53">
        <f>CHOOSE(CONTROL!$C$42, 96.015, 96.015) * CHOOSE(CONTROL!$C$21, $C$9, 100%, $E$9)</f>
        <v>96.015000000000001</v>
      </c>
      <c r="L903" s="14">
        <f>CHOOSE(CONTROL!$C$42, 96.3933, 96.3933) * CHOOSE(CONTROL!$C$21, $C$9, 100%, $E$9)</f>
        <v>96.393299999999996</v>
      </c>
      <c r="M903" s="14">
        <f>CHOOSE(CONTROL!$C$42, 93.7409, 93.7409) * CHOOSE(CONTROL!$C$21, $C$9, 100%, $E$9)</f>
        <v>93.740899999999996</v>
      </c>
      <c r="N903" s="14">
        <f>CHOOSE(CONTROL!$C$42, 93.7567, 93.7567) * CHOOSE(CONTROL!$C$21, $C$9, 100%, $E$9)</f>
        <v>93.756699999999995</v>
      </c>
      <c r="O903" s="14">
        <f>CHOOSE(CONTROL!$C$42, 93.851, 93.851) * CHOOSE(CONTROL!$C$21, $C$9, 100%, $E$9)</f>
        <v>93.850999999999999</v>
      </c>
      <c r="P903" s="14">
        <f>CHOOSE(CONTROL!$C$42, 94.0533, 94.0533) * CHOOSE(CONTROL!$C$21, $C$9, 100%, $E$9)</f>
        <v>94.053299999999993</v>
      </c>
      <c r="Q903" s="14">
        <f>CHOOSE(CONTROL!$C$42, 94.4457, 94.4457) * CHOOSE(CONTROL!$C$21, $C$9, 100%, $E$9)</f>
        <v>94.445700000000002</v>
      </c>
      <c r="R903" s="14">
        <f>CHOOSE(CONTROL!$C$42, 95.2688, 95.2688) * CHOOSE(CONTROL!$C$21, $C$9, 100%, $E$9)</f>
        <v>95.268799999999999</v>
      </c>
      <c r="S903" s="14">
        <f>CHOOSE(CONTROL!$C$42, 91.9507, 91.9507) * CHOOSE(CONTROL!$C$21, $C$9, 100%, $E$9)</f>
        <v>91.950699999999998</v>
      </c>
      <c r="T9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7">
        <f>(1000*CHOOSE(CONTROL!$C$42, 695, 695)*CHOOSE(CONTROL!$C$42, 0.5599, 0.5599)*CHOOSE(CONTROL!$C$42, 31, 31))/1000000</f>
        <v>12.063045499999998</v>
      </c>
      <c r="V903" s="57">
        <f>(1000*CHOOSE(CONTROL!$C$42, 500, 500)*CHOOSE(CONTROL!$C$42, 0.275, 0.275)*CHOOSE(CONTROL!$C$42, 31, 31))/1000000</f>
        <v>4.2625000000000002</v>
      </c>
      <c r="W903" s="57">
        <f>(1000*CHOOSE(CONTROL!$C$42, 0.1146, 0.1146)*CHOOSE(CONTROL!$C$42, 121.5, 121.5)*CHOOSE(CONTROL!$C$42, 31, 31))/1000000</f>
        <v>0.43164089999999994</v>
      </c>
      <c r="X903" s="57">
        <f>(31*0.1790888*100000/1000000)+(31*0.2374*100000/1000000)</f>
        <v>1.2911152800000001</v>
      </c>
      <c r="Y903" s="57"/>
      <c r="Z903" s="14"/>
      <c r="AA903" s="56"/>
      <c r="AB903" s="50">
        <f>(B903*122.58+C903*297.941+D903*89.177+E903*40.302+F903*40+G903*160+H903*0+I903*100+J903*300)/(122.58+297.941+89.177+40.302+0+40+160+100+300)</f>
        <v>95.740799241217388</v>
      </c>
      <c r="AC903" s="45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93.836660431654678</v>
      </c>
    </row>
    <row r="904" spans="1:29" ht="15.75" x14ac:dyDescent="0.25">
      <c r="A904" s="32">
        <v>68422</v>
      </c>
      <c r="B904" s="14">
        <f>CHOOSE(CONTROL!$C$42, 95.4159, 95.4159) * CHOOSE(CONTROL!$C$21, $C$9, 100%, $E$9)</f>
        <v>95.415899999999993</v>
      </c>
      <c r="C904" s="14">
        <f>CHOOSE(CONTROL!$C$42, 95.4203, 95.4203) * CHOOSE(CONTROL!$C$21, $C$9, 100%, $E$9)</f>
        <v>95.420299999999997</v>
      </c>
      <c r="D904" s="14">
        <f>CHOOSE(CONTROL!$C$42, 95.6571, 95.6571) * CHOOSE(CONTROL!$C$21, $C$9, 100%, $E$9)</f>
        <v>95.6571</v>
      </c>
      <c r="E904" s="14">
        <f>CHOOSE(CONTROL!$C$42, 95.6892, 95.6892) * CHOOSE(CONTROL!$C$21, $C$9, 100%, $E$9)</f>
        <v>95.6892</v>
      </c>
      <c r="F904" s="14">
        <f>CHOOSE(CONTROL!$C$42, 95.4138, 95.4138)*CHOOSE(CONTROL!$C$21, $C$9, 100%, $E$9)</f>
        <v>95.413799999999995</v>
      </c>
      <c r="G904" s="14">
        <f>CHOOSE(CONTROL!$C$42, 95.4296, 95.4296)*CHOOSE(CONTROL!$C$21, $C$9, 100%, $E$9)</f>
        <v>95.429599999999994</v>
      </c>
      <c r="H904" s="14">
        <f>CHOOSE(CONTROL!$C$42, 95.679, 95.679) * CHOOSE(CONTROL!$C$21, $C$9, 100%, $E$9)</f>
        <v>95.679000000000002</v>
      </c>
      <c r="I904" s="14">
        <f>CHOOSE(CONTROL!$C$42, 95.732, 95.732)* CHOOSE(CONTROL!$C$21, $C$9, 100%, $E$9)</f>
        <v>95.731999999999999</v>
      </c>
      <c r="J904" s="14">
        <f>CHOOSE(CONTROL!$C$42, 95.4068, 95.4068)* CHOOSE(CONTROL!$C$21, $C$9, 100%, $E$9)</f>
        <v>95.406800000000004</v>
      </c>
      <c r="K904" s="53">
        <f>CHOOSE(CONTROL!$C$42, 95.7281, 95.7281) * CHOOSE(CONTROL!$C$21, $C$9, 100%, $E$9)</f>
        <v>95.728099999999998</v>
      </c>
      <c r="L904" s="14">
        <f>CHOOSE(CONTROL!$C$42, 96.266, 96.266) * CHOOSE(CONTROL!$C$21, $C$9, 100%, $E$9)</f>
        <v>96.266000000000005</v>
      </c>
      <c r="M904" s="14">
        <f>CHOOSE(CONTROL!$C$42, 93.4597, 93.4597) * CHOOSE(CONTROL!$C$21, $C$9, 100%, $E$9)</f>
        <v>93.459699999999998</v>
      </c>
      <c r="N904" s="14">
        <f>CHOOSE(CONTROL!$C$42, 93.4752, 93.4752) * CHOOSE(CONTROL!$C$21, $C$9, 100%, $E$9)</f>
        <v>93.475200000000001</v>
      </c>
      <c r="O904" s="14">
        <f>CHOOSE(CONTROL!$C$42, 93.7263, 93.7263) * CHOOSE(CONTROL!$C$21, $C$9, 100%, $E$9)</f>
        <v>93.726299999999995</v>
      </c>
      <c r="P904" s="14">
        <f>CHOOSE(CONTROL!$C$42, 93.7722, 93.7722) * CHOOSE(CONTROL!$C$21, $C$9, 100%, $E$9)</f>
        <v>93.772199999999998</v>
      </c>
      <c r="Q904" s="14">
        <f>CHOOSE(CONTROL!$C$42, 94.321, 94.321) * CHOOSE(CONTROL!$C$21, $C$9, 100%, $E$9)</f>
        <v>94.320999999999998</v>
      </c>
      <c r="R904" s="14">
        <f>CHOOSE(CONTROL!$C$42, 95.1438, 95.1438) * CHOOSE(CONTROL!$C$21, $C$9, 100%, $E$9)</f>
        <v>95.143799999999999</v>
      </c>
      <c r="S904" s="14">
        <f>CHOOSE(CONTROL!$C$42, 91.6758, 91.6758) * CHOOSE(CONTROL!$C$21, $C$9, 100%, $E$9)</f>
        <v>91.675799999999995</v>
      </c>
      <c r="T9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7">
        <f>(1000*CHOOSE(CONTROL!$C$42, 695, 695)*CHOOSE(CONTROL!$C$42, 0.5599, 0.5599)*CHOOSE(CONTROL!$C$42, 30, 30))/1000000</f>
        <v>11.673914999999997</v>
      </c>
      <c r="V904" s="57">
        <f>(1000*CHOOSE(CONTROL!$C$42, 500, 500)*CHOOSE(CONTROL!$C$42, 0.275, 0.275)*CHOOSE(CONTROL!$C$42, 30, 30))/1000000</f>
        <v>4.125</v>
      </c>
      <c r="W904" s="57">
        <f>(1000*CHOOSE(CONTROL!$C$42, 0.1146, 0.1146)*CHOOSE(CONTROL!$C$42, 121.5, 121.5)*CHOOSE(CONTROL!$C$42, 30, 30))/1000000</f>
        <v>0.417717</v>
      </c>
      <c r="X904" s="57">
        <f>(30*0.1790888*245000/1000000)+(30*0.2374*100000/1000000)</f>
        <v>2.0285026799999999</v>
      </c>
      <c r="Y904" s="57"/>
      <c r="Z904" s="14"/>
      <c r="AA904" s="56"/>
      <c r="AB904" s="50">
        <f>(B904*141.293+C904*267.993+D904*115.016+E904*89.698+F904*40+G904*185+H904*0+I904*100+J904*300)/(141.293+267.993+115.016+89.698+0+40+185+100+300)</f>
        <v>95.484314844067796</v>
      </c>
      <c r="AC904" s="45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93.6263892086331</v>
      </c>
    </row>
    <row r="905" spans="1:29" ht="15.75" x14ac:dyDescent="0.25">
      <c r="A905" s="32">
        <v>68453</v>
      </c>
      <c r="B905" s="14">
        <f>CHOOSE(CONTROL!$C$42, 96.2593, 96.2593) * CHOOSE(CONTROL!$C$21, $C$9, 100%, $E$9)</f>
        <v>96.259299999999996</v>
      </c>
      <c r="C905" s="14">
        <f>CHOOSE(CONTROL!$C$42, 96.2673, 96.2673) * CHOOSE(CONTROL!$C$21, $C$9, 100%, $E$9)</f>
        <v>96.267300000000006</v>
      </c>
      <c r="D905" s="14">
        <f>CHOOSE(CONTROL!$C$42, 96.5009, 96.5009) * CHOOSE(CONTROL!$C$21, $C$9, 100%, $E$9)</f>
        <v>96.500900000000001</v>
      </c>
      <c r="E905" s="14">
        <f>CHOOSE(CONTROL!$C$42, 96.5324, 96.5324) * CHOOSE(CONTROL!$C$21, $C$9, 100%, $E$9)</f>
        <v>96.532399999999996</v>
      </c>
      <c r="F905" s="14">
        <f>CHOOSE(CONTROL!$C$42, 96.2561, 96.2561)*CHOOSE(CONTROL!$C$21, $C$9, 100%, $E$9)</f>
        <v>96.256100000000004</v>
      </c>
      <c r="G905" s="14">
        <f>CHOOSE(CONTROL!$C$42, 96.2724, 96.2724)*CHOOSE(CONTROL!$C$21, $C$9, 100%, $E$9)</f>
        <v>96.272400000000005</v>
      </c>
      <c r="H905" s="14">
        <f>CHOOSE(CONTROL!$C$42, 96.521, 96.521) * CHOOSE(CONTROL!$C$21, $C$9, 100%, $E$9)</f>
        <v>96.521000000000001</v>
      </c>
      <c r="I905" s="14">
        <f>CHOOSE(CONTROL!$C$42, 96.5767, 96.5767)* CHOOSE(CONTROL!$C$21, $C$9, 100%, $E$9)</f>
        <v>96.576700000000002</v>
      </c>
      <c r="J905" s="14">
        <f>CHOOSE(CONTROL!$C$42, 96.2491, 96.2491)* CHOOSE(CONTROL!$C$21, $C$9, 100%, $E$9)</f>
        <v>96.249099999999999</v>
      </c>
      <c r="K905" s="53">
        <f>CHOOSE(CONTROL!$C$42, 96.5728, 96.5728) * CHOOSE(CONTROL!$C$21, $C$9, 100%, $E$9)</f>
        <v>96.572800000000001</v>
      </c>
      <c r="L905" s="14">
        <f>CHOOSE(CONTROL!$C$42, 97.108, 97.108) * CHOOSE(CONTROL!$C$21, $C$9, 100%, $E$9)</f>
        <v>97.108000000000004</v>
      </c>
      <c r="M905" s="14">
        <f>CHOOSE(CONTROL!$C$42, 94.2847, 94.2847) * CHOOSE(CONTROL!$C$21, $C$9, 100%, $E$9)</f>
        <v>94.284700000000001</v>
      </c>
      <c r="N905" s="14">
        <f>CHOOSE(CONTROL!$C$42, 94.3007, 94.3007) * CHOOSE(CONTROL!$C$21, $C$9, 100%, $E$9)</f>
        <v>94.300700000000006</v>
      </c>
      <c r="O905" s="14">
        <f>CHOOSE(CONTROL!$C$42, 94.5511, 94.5511) * CHOOSE(CONTROL!$C$21, $C$9, 100%, $E$9)</f>
        <v>94.551100000000005</v>
      </c>
      <c r="P905" s="14">
        <f>CHOOSE(CONTROL!$C$42, 94.5996, 94.5996) * CHOOSE(CONTROL!$C$21, $C$9, 100%, $E$9)</f>
        <v>94.599599999999995</v>
      </c>
      <c r="Q905" s="14">
        <f>CHOOSE(CONTROL!$C$42, 95.1458, 95.1458) * CHOOSE(CONTROL!$C$21, $C$9, 100%, $E$9)</f>
        <v>95.145799999999994</v>
      </c>
      <c r="R905" s="14">
        <f>CHOOSE(CONTROL!$C$42, 95.9706, 95.9706) * CHOOSE(CONTROL!$C$21, $C$9, 100%, $E$9)</f>
        <v>95.970600000000005</v>
      </c>
      <c r="S905" s="14">
        <f>CHOOSE(CONTROL!$C$42, 92.4849, 92.4849) * CHOOSE(CONTROL!$C$21, $C$9, 100%, $E$9)</f>
        <v>92.484899999999996</v>
      </c>
      <c r="T9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7">
        <f>(1000*CHOOSE(CONTROL!$C$42, 695, 695)*CHOOSE(CONTROL!$C$42, 0.5599, 0.5599)*CHOOSE(CONTROL!$C$42, 31, 31))/1000000</f>
        <v>12.063045499999998</v>
      </c>
      <c r="V905" s="57">
        <f>(1000*CHOOSE(CONTROL!$C$42, 500, 500)*CHOOSE(CONTROL!$C$42, 0.275, 0.275)*CHOOSE(CONTROL!$C$42, 31, 31))/1000000</f>
        <v>4.2625000000000002</v>
      </c>
      <c r="W905" s="57">
        <f>(1000*CHOOSE(CONTROL!$C$42, 0.1146, 0.1146)*CHOOSE(CONTROL!$C$42, 121.5, 121.5)*CHOOSE(CONTROL!$C$42, 31, 31))/1000000</f>
        <v>0.43164089999999994</v>
      </c>
      <c r="X905" s="57">
        <f>(31*0.1790888*245000/1000000)+(31*0.2374*100000/1000000)</f>
        <v>2.0961194359999999</v>
      </c>
      <c r="Y905" s="57"/>
      <c r="Z905" s="14"/>
      <c r="AA905" s="56"/>
      <c r="AB905" s="50">
        <f>(B905*194.205+C905*267.466+D905*133.845+E905*53.484+F905*40+G905*185+H905*0+I905*100+J905*300)/(194.205+267.466+133.845+53.484+0+40+185+100+300)</f>
        <v>96.32214039277865</v>
      </c>
      <c r="AC905" s="45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94.451672661870518</v>
      </c>
    </row>
    <row r="906" spans="1:29" ht="15.75" x14ac:dyDescent="0.25">
      <c r="A906" s="32">
        <v>68483</v>
      </c>
      <c r="B906" s="14">
        <f>CHOOSE(CONTROL!$C$42, 98.9895, 98.9895) * CHOOSE(CONTROL!$C$21, $C$9, 100%, $E$9)</f>
        <v>98.989500000000007</v>
      </c>
      <c r="C906" s="14">
        <f>CHOOSE(CONTROL!$C$42, 98.9975, 98.9975) * CHOOSE(CONTROL!$C$21, $C$9, 100%, $E$9)</f>
        <v>98.997500000000002</v>
      </c>
      <c r="D906" s="14">
        <f>CHOOSE(CONTROL!$C$42, 99.2311, 99.2311) * CHOOSE(CONTROL!$C$21, $C$9, 100%, $E$9)</f>
        <v>99.231099999999998</v>
      </c>
      <c r="E906" s="14">
        <f>CHOOSE(CONTROL!$C$42, 99.2626, 99.2626) * CHOOSE(CONTROL!$C$21, $C$9, 100%, $E$9)</f>
        <v>99.262600000000006</v>
      </c>
      <c r="F906" s="14">
        <f>CHOOSE(CONTROL!$C$42, 98.9868, 98.9868)*CHOOSE(CONTROL!$C$21, $C$9, 100%, $E$9)</f>
        <v>98.986800000000002</v>
      </c>
      <c r="G906" s="14">
        <f>CHOOSE(CONTROL!$C$42, 99.0032, 99.0032)*CHOOSE(CONTROL!$C$21, $C$9, 100%, $E$9)</f>
        <v>99.003200000000007</v>
      </c>
      <c r="H906" s="14">
        <f>CHOOSE(CONTROL!$C$42, 99.2512, 99.2512) * CHOOSE(CONTROL!$C$21, $C$9, 100%, $E$9)</f>
        <v>99.251199999999997</v>
      </c>
      <c r="I906" s="14">
        <f>CHOOSE(CONTROL!$C$42, 99.3154, 99.3154)* CHOOSE(CONTROL!$C$21, $C$9, 100%, $E$9)</f>
        <v>99.315399999999997</v>
      </c>
      <c r="J906" s="14">
        <f>CHOOSE(CONTROL!$C$42, 98.9798, 98.9798)* CHOOSE(CONTROL!$C$21, $C$9, 100%, $E$9)</f>
        <v>98.979799999999997</v>
      </c>
      <c r="K906" s="53">
        <f>CHOOSE(CONTROL!$C$42, 99.3115, 99.3115) * CHOOSE(CONTROL!$C$21, $C$9, 100%, $E$9)</f>
        <v>99.311499999999995</v>
      </c>
      <c r="L906" s="14">
        <f>CHOOSE(CONTROL!$C$42, 99.8382, 99.8382) * CHOOSE(CONTROL!$C$21, $C$9, 100%, $E$9)</f>
        <v>99.838200000000001</v>
      </c>
      <c r="M906" s="14">
        <f>CHOOSE(CONTROL!$C$42, 96.9594, 96.9594) * CHOOSE(CONTROL!$C$21, $C$9, 100%, $E$9)</f>
        <v>96.959400000000002</v>
      </c>
      <c r="N906" s="14">
        <f>CHOOSE(CONTROL!$C$42, 96.9756, 96.9756) * CHOOSE(CONTROL!$C$21, $C$9, 100%, $E$9)</f>
        <v>96.9756</v>
      </c>
      <c r="O906" s="14">
        <f>CHOOSE(CONTROL!$C$42, 97.2253, 97.2253) * CHOOSE(CONTROL!$C$21, $C$9, 100%, $E$9)</f>
        <v>97.225300000000004</v>
      </c>
      <c r="P906" s="14">
        <f>CHOOSE(CONTROL!$C$42, 97.282, 97.282) * CHOOSE(CONTROL!$C$21, $C$9, 100%, $E$9)</f>
        <v>97.281999999999996</v>
      </c>
      <c r="Q906" s="14">
        <f>CHOOSE(CONTROL!$C$42, 97.82, 97.82) * CHOOSE(CONTROL!$C$21, $C$9, 100%, $E$9)</f>
        <v>97.82</v>
      </c>
      <c r="R906" s="14">
        <f>CHOOSE(CONTROL!$C$42, 98.6516, 98.6516) * CHOOSE(CONTROL!$C$21, $C$9, 100%, $E$9)</f>
        <v>98.651600000000002</v>
      </c>
      <c r="S906" s="14">
        <f>CHOOSE(CONTROL!$C$42, 95.1084, 95.1084) * CHOOSE(CONTROL!$C$21, $C$9, 100%, $E$9)</f>
        <v>95.108400000000003</v>
      </c>
      <c r="T9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7">
        <f>(1000*CHOOSE(CONTROL!$C$42, 695, 695)*CHOOSE(CONTROL!$C$42, 0.5599, 0.5599)*CHOOSE(CONTROL!$C$42, 30, 30))/1000000</f>
        <v>11.673914999999997</v>
      </c>
      <c r="V906" s="57">
        <f>(1000*CHOOSE(CONTROL!$C$42, 500, 500)*CHOOSE(CONTROL!$C$42, 0.275, 0.275)*CHOOSE(CONTROL!$C$42, 30, 30))/1000000</f>
        <v>4.125</v>
      </c>
      <c r="W906" s="57">
        <f>(1000*CHOOSE(CONTROL!$C$42, 0.1146, 0.1146)*CHOOSE(CONTROL!$C$42, 121.5, 121.5)*CHOOSE(CONTROL!$C$42, 30, 30))/1000000</f>
        <v>0.417717</v>
      </c>
      <c r="X906" s="57">
        <f>(30*0.1790888*245000/1000000)+(30*0.2374*100000/1000000)</f>
        <v>2.0285026799999999</v>
      </c>
      <c r="Y906" s="57"/>
      <c r="Z906" s="14"/>
      <c r="AA906" s="56"/>
      <c r="AB906" s="50">
        <f>(B906*194.205+C906*267.466+D906*133.845+E906*53.484+F906*40+G906*185+H906*0+I906*100+J906*300)/(194.205+267.466+133.845+53.484+0+40+185+100+300)</f>
        <v>99.053228147880688</v>
      </c>
      <c r="AC906" s="45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97.127265467625904</v>
      </c>
    </row>
    <row r="907" spans="1:29" ht="15.75" x14ac:dyDescent="0.25">
      <c r="A907" s="32">
        <v>68514</v>
      </c>
      <c r="B907" s="14">
        <f>CHOOSE(CONTROL!$C$42, 97.0906, 97.0906) * CHOOSE(CONTROL!$C$21, $C$9, 100%, $E$9)</f>
        <v>97.090599999999995</v>
      </c>
      <c r="C907" s="14">
        <f>CHOOSE(CONTROL!$C$42, 97.0987, 97.0987) * CHOOSE(CONTROL!$C$21, $C$9, 100%, $E$9)</f>
        <v>97.098699999999994</v>
      </c>
      <c r="D907" s="14">
        <f>CHOOSE(CONTROL!$C$42, 97.3323, 97.3323) * CHOOSE(CONTROL!$C$21, $C$9, 100%, $E$9)</f>
        <v>97.332300000000004</v>
      </c>
      <c r="E907" s="14">
        <f>CHOOSE(CONTROL!$C$42, 97.3637, 97.3637) * CHOOSE(CONTROL!$C$21, $C$9, 100%, $E$9)</f>
        <v>97.363699999999994</v>
      </c>
      <c r="F907" s="14">
        <f>CHOOSE(CONTROL!$C$42, 97.0884, 97.0884)*CHOOSE(CONTROL!$C$21, $C$9, 100%, $E$9)</f>
        <v>97.088399999999993</v>
      </c>
      <c r="G907" s="14">
        <f>CHOOSE(CONTROL!$C$42, 97.105, 97.105)*CHOOSE(CONTROL!$C$21, $C$9, 100%, $E$9)</f>
        <v>97.105000000000004</v>
      </c>
      <c r="H907" s="14">
        <f>CHOOSE(CONTROL!$C$42, 97.3524, 97.3524) * CHOOSE(CONTROL!$C$21, $C$9, 100%, $E$9)</f>
        <v>97.352400000000003</v>
      </c>
      <c r="I907" s="14">
        <f>CHOOSE(CONTROL!$C$42, 97.4106, 97.4106)* CHOOSE(CONTROL!$C$21, $C$9, 100%, $E$9)</f>
        <v>97.410600000000002</v>
      </c>
      <c r="J907" s="14">
        <f>CHOOSE(CONTROL!$C$42, 97.0814, 97.0814)* CHOOSE(CONTROL!$C$21, $C$9, 100%, $E$9)</f>
        <v>97.081400000000002</v>
      </c>
      <c r="K907" s="53">
        <f>CHOOSE(CONTROL!$C$42, 97.4067, 97.4067) * CHOOSE(CONTROL!$C$21, $C$9, 100%, $E$9)</f>
        <v>97.406700000000001</v>
      </c>
      <c r="L907" s="14">
        <f>CHOOSE(CONTROL!$C$42, 97.9394, 97.9394) * CHOOSE(CONTROL!$C$21, $C$9, 100%, $E$9)</f>
        <v>97.939400000000006</v>
      </c>
      <c r="M907" s="14">
        <f>CHOOSE(CONTROL!$C$42, 95.1, 95.1) * CHOOSE(CONTROL!$C$21, $C$9, 100%, $E$9)</f>
        <v>95.1</v>
      </c>
      <c r="N907" s="14">
        <f>CHOOSE(CONTROL!$C$42, 95.1162, 95.1162) * CHOOSE(CONTROL!$C$21, $C$9, 100%, $E$9)</f>
        <v>95.116200000000006</v>
      </c>
      <c r="O907" s="14">
        <f>CHOOSE(CONTROL!$C$42, 95.3654, 95.3654) * CHOOSE(CONTROL!$C$21, $C$9, 100%, $E$9)</f>
        <v>95.365399999999994</v>
      </c>
      <c r="P907" s="14">
        <f>CHOOSE(CONTROL!$C$42, 95.4164, 95.4164) * CHOOSE(CONTROL!$C$21, $C$9, 100%, $E$9)</f>
        <v>95.416399999999996</v>
      </c>
      <c r="Q907" s="14">
        <f>CHOOSE(CONTROL!$C$42, 95.9601, 95.9601) * CHOOSE(CONTROL!$C$21, $C$9, 100%, $E$9)</f>
        <v>95.960099999999997</v>
      </c>
      <c r="R907" s="14">
        <f>CHOOSE(CONTROL!$C$42, 96.787, 96.787) * CHOOSE(CONTROL!$C$21, $C$9, 100%, $E$9)</f>
        <v>96.787000000000006</v>
      </c>
      <c r="S907" s="14">
        <f>CHOOSE(CONTROL!$C$42, 93.2838, 93.2838) * CHOOSE(CONTROL!$C$21, $C$9, 100%, $E$9)</f>
        <v>93.283799999999999</v>
      </c>
      <c r="T9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7">
        <f>(1000*CHOOSE(CONTROL!$C$42, 695, 695)*CHOOSE(CONTROL!$C$42, 0.5599, 0.5599)*CHOOSE(CONTROL!$C$42, 31, 31))/1000000</f>
        <v>12.063045499999998</v>
      </c>
      <c r="V907" s="57">
        <f>(1000*CHOOSE(CONTROL!$C$42, 500, 500)*CHOOSE(CONTROL!$C$42, 0.275, 0.275)*CHOOSE(CONTROL!$C$42, 31, 31))/1000000</f>
        <v>4.2625000000000002</v>
      </c>
      <c r="W907" s="57">
        <f>(1000*CHOOSE(CONTROL!$C$42, 0.1146, 0.1146)*CHOOSE(CONTROL!$C$42, 121.5, 121.5)*CHOOSE(CONTROL!$C$42, 31, 31))/1000000</f>
        <v>0.43164089999999994</v>
      </c>
      <c r="X907" s="57">
        <f>(31*0.1790888*245000/1000000)+(31*0.2374*100000/1000000)</f>
        <v>2.0961194359999999</v>
      </c>
      <c r="Y907" s="57"/>
      <c r="Z907" s="14"/>
      <c r="AA907" s="56"/>
      <c r="AB907" s="50">
        <f>(B907*194.205+C907*267.466+D907*133.845+E907*53.484+F907*40+G907*185+H907*0+I907*100+J907*300)/(194.205+267.466+133.845+53.484+0+40+185+100+300)</f>
        <v>97.154131625981151</v>
      </c>
      <c r="AC907" s="45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95.266746762589918</v>
      </c>
    </row>
    <row r="908" spans="1:29" ht="15.75" x14ac:dyDescent="0.25">
      <c r="A908" s="32">
        <v>68545</v>
      </c>
      <c r="B908" s="14">
        <f>CHOOSE(CONTROL!$C$42, 92.2954, 92.2954) * CHOOSE(CONTROL!$C$21, $C$9, 100%, $E$9)</f>
        <v>92.295400000000001</v>
      </c>
      <c r="C908" s="14">
        <f>CHOOSE(CONTROL!$C$42, 92.3035, 92.3035) * CHOOSE(CONTROL!$C$21, $C$9, 100%, $E$9)</f>
        <v>92.3035</v>
      </c>
      <c r="D908" s="14">
        <f>CHOOSE(CONTROL!$C$42, 92.537, 92.537) * CHOOSE(CONTROL!$C$21, $C$9, 100%, $E$9)</f>
        <v>92.537000000000006</v>
      </c>
      <c r="E908" s="14">
        <f>CHOOSE(CONTROL!$C$42, 92.5685, 92.5685) * CHOOSE(CONTROL!$C$21, $C$9, 100%, $E$9)</f>
        <v>92.5685</v>
      </c>
      <c r="F908" s="14">
        <f>CHOOSE(CONTROL!$C$42, 92.2934, 92.2934)*CHOOSE(CONTROL!$C$21, $C$9, 100%, $E$9)</f>
        <v>92.293400000000005</v>
      </c>
      <c r="G908" s="14">
        <f>CHOOSE(CONTROL!$C$42, 92.3101, 92.3101)*CHOOSE(CONTROL!$C$21, $C$9, 100%, $E$9)</f>
        <v>92.310100000000006</v>
      </c>
      <c r="H908" s="14">
        <f>CHOOSE(CONTROL!$C$42, 92.5571, 92.5571) * CHOOSE(CONTROL!$C$21, $C$9, 100%, $E$9)</f>
        <v>92.557100000000005</v>
      </c>
      <c r="I908" s="14">
        <f>CHOOSE(CONTROL!$C$42, 92.6004, 92.6004)* CHOOSE(CONTROL!$C$21, $C$9, 100%, $E$9)</f>
        <v>92.600399999999993</v>
      </c>
      <c r="J908" s="14">
        <f>CHOOSE(CONTROL!$C$42, 92.2864, 92.2864)* CHOOSE(CONTROL!$C$21, $C$9, 100%, $E$9)</f>
        <v>92.2864</v>
      </c>
      <c r="K908" s="53">
        <f>CHOOSE(CONTROL!$C$42, 92.5965, 92.5965) * CHOOSE(CONTROL!$C$21, $C$9, 100%, $E$9)</f>
        <v>92.596500000000006</v>
      </c>
      <c r="L908" s="14">
        <f>CHOOSE(CONTROL!$C$42, 93.1441, 93.1441) * CHOOSE(CONTROL!$C$21, $C$9, 100%, $E$9)</f>
        <v>93.144099999999995</v>
      </c>
      <c r="M908" s="14">
        <f>CHOOSE(CONTROL!$C$42, 90.4032, 90.4032) * CHOOSE(CONTROL!$C$21, $C$9, 100%, $E$9)</f>
        <v>90.403199999999998</v>
      </c>
      <c r="N908" s="14">
        <f>CHOOSE(CONTROL!$C$42, 90.4195, 90.4195) * CHOOSE(CONTROL!$C$21, $C$9, 100%, $E$9)</f>
        <v>90.419499999999999</v>
      </c>
      <c r="O908" s="14">
        <f>CHOOSE(CONTROL!$C$42, 90.6684, 90.6684) * CHOOSE(CONTROL!$C$21, $C$9, 100%, $E$9)</f>
        <v>90.668400000000005</v>
      </c>
      <c r="P908" s="14">
        <f>CHOOSE(CONTROL!$C$42, 90.705, 90.705) * CHOOSE(CONTROL!$C$21, $C$9, 100%, $E$9)</f>
        <v>90.704999999999998</v>
      </c>
      <c r="Q908" s="14">
        <f>CHOOSE(CONTROL!$C$42, 91.2631, 91.2631) * CHOOSE(CONTROL!$C$21, $C$9, 100%, $E$9)</f>
        <v>91.263099999999994</v>
      </c>
      <c r="R908" s="14">
        <f>CHOOSE(CONTROL!$C$42, 92.0783, 92.0783) * CHOOSE(CONTROL!$C$21, $C$9, 100%, $E$9)</f>
        <v>92.078299999999999</v>
      </c>
      <c r="S908" s="14">
        <f>CHOOSE(CONTROL!$C$42, 88.676, 88.676) * CHOOSE(CONTROL!$C$21, $C$9, 100%, $E$9)</f>
        <v>88.676000000000002</v>
      </c>
      <c r="T9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7">
        <f>(1000*CHOOSE(CONTROL!$C$42, 695, 695)*CHOOSE(CONTROL!$C$42, 0.5599, 0.5599)*CHOOSE(CONTROL!$C$42, 31, 31))/1000000</f>
        <v>12.063045499999998</v>
      </c>
      <c r="V908" s="57">
        <f>(1000*CHOOSE(CONTROL!$C$42, 500, 500)*CHOOSE(CONTROL!$C$42, 0.275, 0.275)*CHOOSE(CONTROL!$C$42, 31, 31))/1000000</f>
        <v>4.2625000000000002</v>
      </c>
      <c r="W908" s="57">
        <f>(1000*CHOOSE(CONTROL!$C$42, 0.1146, 0.1146)*CHOOSE(CONTROL!$C$42, 121.5, 121.5)*CHOOSE(CONTROL!$C$42, 31, 31))/1000000</f>
        <v>0.43164089999999994</v>
      </c>
      <c r="X908" s="57">
        <f>(31*0.1790888*245000/1000000)+(31*0.2374*100000/1000000)</f>
        <v>2.0961194359999999</v>
      </c>
      <c r="Y908" s="57"/>
      <c r="Z908" s="14"/>
      <c r="AA908" s="56"/>
      <c r="AB908" s="50">
        <f>(B908*194.205+C908*267.466+D908*133.845+E908*53.484+F908*40+G908*185+H908*0+I908*100+J908*300)/(194.205+267.466+133.845+53.484+0+40+185+100+300)</f>
        <v>92.357840664835152</v>
      </c>
      <c r="AC908" s="45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90.567761151079139</v>
      </c>
    </row>
    <row r="909" spans="1:29" ht="15.75" x14ac:dyDescent="0.25">
      <c r="A909" s="32">
        <v>68575</v>
      </c>
      <c r="B909" s="14">
        <f>CHOOSE(CONTROL!$C$42, 86.4361, 86.4361) * CHOOSE(CONTROL!$C$21, $C$9, 100%, $E$9)</f>
        <v>86.436099999999996</v>
      </c>
      <c r="C909" s="14">
        <f>CHOOSE(CONTROL!$C$42, 86.4441, 86.4441) * CHOOSE(CONTROL!$C$21, $C$9, 100%, $E$9)</f>
        <v>86.444100000000006</v>
      </c>
      <c r="D909" s="14">
        <f>CHOOSE(CONTROL!$C$42, 86.6777, 86.6777) * CHOOSE(CONTROL!$C$21, $C$9, 100%, $E$9)</f>
        <v>86.677700000000002</v>
      </c>
      <c r="E909" s="14">
        <f>CHOOSE(CONTROL!$C$42, 86.7092, 86.7092) * CHOOSE(CONTROL!$C$21, $C$9, 100%, $E$9)</f>
        <v>86.709199999999996</v>
      </c>
      <c r="F909" s="14">
        <f>CHOOSE(CONTROL!$C$42, 86.4341, 86.4341)*CHOOSE(CONTROL!$C$21, $C$9, 100%, $E$9)</f>
        <v>86.434100000000001</v>
      </c>
      <c r="G909" s="14">
        <f>CHOOSE(CONTROL!$C$42, 86.4508, 86.4508)*CHOOSE(CONTROL!$C$21, $C$9, 100%, $E$9)</f>
        <v>86.450800000000001</v>
      </c>
      <c r="H909" s="14">
        <f>CHOOSE(CONTROL!$C$42, 86.6978, 86.6978) * CHOOSE(CONTROL!$C$21, $C$9, 100%, $E$9)</f>
        <v>86.697800000000001</v>
      </c>
      <c r="I909" s="14">
        <f>CHOOSE(CONTROL!$C$42, 86.7227, 86.7227)* CHOOSE(CONTROL!$C$21, $C$9, 100%, $E$9)</f>
        <v>86.722700000000003</v>
      </c>
      <c r="J909" s="14">
        <f>CHOOSE(CONTROL!$C$42, 86.4271, 86.4271)* CHOOSE(CONTROL!$C$21, $C$9, 100%, $E$9)</f>
        <v>86.427099999999996</v>
      </c>
      <c r="K909" s="53">
        <f>CHOOSE(CONTROL!$C$42, 86.7188, 86.7188) * CHOOSE(CONTROL!$C$21, $C$9, 100%, $E$9)</f>
        <v>86.718800000000002</v>
      </c>
      <c r="L909" s="14">
        <f>CHOOSE(CONTROL!$C$42, 87.2848, 87.2848) * CHOOSE(CONTROL!$C$21, $C$9, 100%, $E$9)</f>
        <v>87.284800000000004</v>
      </c>
      <c r="M909" s="14">
        <f>CHOOSE(CONTROL!$C$42, 84.664, 84.664) * CHOOSE(CONTROL!$C$21, $C$9, 100%, $E$9)</f>
        <v>84.664000000000001</v>
      </c>
      <c r="N909" s="14">
        <f>CHOOSE(CONTROL!$C$42, 84.6803, 84.6803) * CHOOSE(CONTROL!$C$21, $C$9, 100%, $E$9)</f>
        <v>84.680300000000003</v>
      </c>
      <c r="O909" s="14">
        <f>CHOOSE(CONTROL!$C$42, 84.9291, 84.9291) * CHOOSE(CONTROL!$C$21, $C$9, 100%, $E$9)</f>
        <v>84.929100000000005</v>
      </c>
      <c r="P909" s="14">
        <f>CHOOSE(CONTROL!$C$42, 84.9481, 84.9481) * CHOOSE(CONTROL!$C$21, $C$9, 100%, $E$9)</f>
        <v>84.948099999999997</v>
      </c>
      <c r="Q909" s="14">
        <f>CHOOSE(CONTROL!$C$42, 85.5238, 85.5238) * CHOOSE(CONTROL!$C$21, $C$9, 100%, $E$9)</f>
        <v>85.523799999999994</v>
      </c>
      <c r="R909" s="14">
        <f>CHOOSE(CONTROL!$C$42, 86.3246, 86.3246) * CHOOSE(CONTROL!$C$21, $C$9, 100%, $E$9)</f>
        <v>86.324600000000004</v>
      </c>
      <c r="S909" s="14">
        <f>CHOOSE(CONTROL!$C$42, 83.0458, 83.0458) * CHOOSE(CONTROL!$C$21, $C$9, 100%, $E$9)</f>
        <v>83.0458</v>
      </c>
      <c r="T9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7">
        <f>(1000*CHOOSE(CONTROL!$C$42, 695, 695)*CHOOSE(CONTROL!$C$42, 0.5599, 0.5599)*CHOOSE(CONTROL!$C$42, 30, 30))/1000000</f>
        <v>11.673914999999997</v>
      </c>
      <c r="V909" s="57">
        <f>(1000*CHOOSE(CONTROL!$C$42, 500, 500)*CHOOSE(CONTROL!$C$42, 0.275, 0.275)*CHOOSE(CONTROL!$C$42, 30, 30))/1000000</f>
        <v>4.125</v>
      </c>
      <c r="W909" s="57">
        <f>(1000*CHOOSE(CONTROL!$C$42, 0.1146, 0.1146)*CHOOSE(CONTROL!$C$42, 121.5, 121.5)*CHOOSE(CONTROL!$C$42, 30, 30))/1000000</f>
        <v>0.417717</v>
      </c>
      <c r="X909" s="57">
        <f>(30*0.1790888*245000/1000000)+(30*0.2374*100000/1000000)</f>
        <v>2.0285026799999999</v>
      </c>
      <c r="Y909" s="57"/>
      <c r="Z909" s="14"/>
      <c r="AA909" s="56"/>
      <c r="AB909" s="50">
        <f>(B909*194.205+C909*267.466+D909*133.845+E909*53.484+F909*40+G909*185+H909*0+I909*100+J909*300)/(194.205+267.466+133.845+53.484+0+40+185+100+300)</f>
        <v>86.497075400627949</v>
      </c>
      <c r="AC909" s="45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84.825969064748207</v>
      </c>
    </row>
    <row r="910" spans="1:29" ht="15.75" x14ac:dyDescent="0.25">
      <c r="A910" s="32">
        <v>68606</v>
      </c>
      <c r="B910" s="14">
        <f>CHOOSE(CONTROL!$C$42, 84.6796, 84.6796) * CHOOSE(CONTROL!$C$21, $C$9, 100%, $E$9)</f>
        <v>84.679599999999994</v>
      </c>
      <c r="C910" s="14">
        <f>CHOOSE(CONTROL!$C$42, 84.6849, 84.6849) * CHOOSE(CONTROL!$C$21, $C$9, 100%, $E$9)</f>
        <v>84.684899999999999</v>
      </c>
      <c r="D910" s="14">
        <f>CHOOSE(CONTROL!$C$42, 84.9235, 84.9235) * CHOOSE(CONTROL!$C$21, $C$9, 100%, $E$9)</f>
        <v>84.923500000000004</v>
      </c>
      <c r="E910" s="14">
        <f>CHOOSE(CONTROL!$C$42, 84.9526, 84.9526) * CHOOSE(CONTROL!$C$21, $C$9, 100%, $E$9)</f>
        <v>84.952600000000004</v>
      </c>
      <c r="F910" s="14">
        <f>CHOOSE(CONTROL!$C$42, 84.6796, 84.6796)*CHOOSE(CONTROL!$C$21, $C$9, 100%, $E$9)</f>
        <v>84.679599999999994</v>
      </c>
      <c r="G910" s="14">
        <f>CHOOSE(CONTROL!$C$42, 84.6959, 84.6959)*CHOOSE(CONTROL!$C$21, $C$9, 100%, $E$9)</f>
        <v>84.695899999999995</v>
      </c>
      <c r="H910" s="14">
        <f>CHOOSE(CONTROL!$C$42, 84.9431, 84.9431) * CHOOSE(CONTROL!$C$21, $C$9, 100%, $E$9)</f>
        <v>84.943100000000001</v>
      </c>
      <c r="I910" s="14">
        <f>CHOOSE(CONTROL!$C$42, 84.9624, 84.9624)* CHOOSE(CONTROL!$C$21, $C$9, 100%, $E$9)</f>
        <v>84.962400000000002</v>
      </c>
      <c r="J910" s="14">
        <f>CHOOSE(CONTROL!$C$42, 84.6726, 84.6726)* CHOOSE(CONTROL!$C$21, $C$9, 100%, $E$9)</f>
        <v>84.672600000000003</v>
      </c>
      <c r="K910" s="53">
        <f>CHOOSE(CONTROL!$C$42, 84.9585, 84.9585) * CHOOSE(CONTROL!$C$21, $C$9, 100%, $E$9)</f>
        <v>84.958500000000001</v>
      </c>
      <c r="L910" s="14">
        <f>CHOOSE(CONTROL!$C$42, 85.5301, 85.5301) * CHOOSE(CONTROL!$C$21, $C$9, 100%, $E$9)</f>
        <v>85.530100000000004</v>
      </c>
      <c r="M910" s="14">
        <f>CHOOSE(CONTROL!$C$42, 82.9454, 82.9454) * CHOOSE(CONTROL!$C$21, $C$9, 100%, $E$9)</f>
        <v>82.945400000000006</v>
      </c>
      <c r="N910" s="14">
        <f>CHOOSE(CONTROL!$C$42, 82.9614, 82.9614) * CHOOSE(CONTROL!$C$21, $C$9, 100%, $E$9)</f>
        <v>82.961399999999998</v>
      </c>
      <c r="O910" s="14">
        <f>CHOOSE(CONTROL!$C$42, 83.2103, 83.2103) * CHOOSE(CONTROL!$C$21, $C$9, 100%, $E$9)</f>
        <v>83.210300000000004</v>
      </c>
      <c r="P910" s="14">
        <f>CHOOSE(CONTROL!$C$42, 83.224, 83.224) * CHOOSE(CONTROL!$C$21, $C$9, 100%, $E$9)</f>
        <v>83.224000000000004</v>
      </c>
      <c r="Q910" s="14">
        <f>CHOOSE(CONTROL!$C$42, 83.805, 83.805) * CHOOSE(CONTROL!$C$21, $C$9, 100%, $E$9)</f>
        <v>83.805000000000007</v>
      </c>
      <c r="R910" s="14">
        <f>CHOOSE(CONTROL!$C$42, 84.6015, 84.6015) * CHOOSE(CONTROL!$C$21, $C$9, 100%, $E$9)</f>
        <v>84.601500000000001</v>
      </c>
      <c r="S910" s="14">
        <f>CHOOSE(CONTROL!$C$42, 81.3597, 81.3597) * CHOOSE(CONTROL!$C$21, $C$9, 100%, $E$9)</f>
        <v>81.359700000000004</v>
      </c>
      <c r="T9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7">
        <f>(1000*CHOOSE(CONTROL!$C$42, 695, 695)*CHOOSE(CONTROL!$C$42, 0.5599, 0.5599)*CHOOSE(CONTROL!$C$42, 31, 31))/1000000</f>
        <v>12.063045499999998</v>
      </c>
      <c r="V910" s="57">
        <f>(1000*CHOOSE(CONTROL!$C$42, 500, 500)*CHOOSE(CONTROL!$C$42, 0.275, 0.275)*CHOOSE(CONTROL!$C$42, 31, 31))/1000000</f>
        <v>4.2625000000000002</v>
      </c>
      <c r="W910" s="57">
        <f>(1000*CHOOSE(CONTROL!$C$42, 0.1146, 0.1146)*CHOOSE(CONTROL!$C$42, 121.5, 121.5)*CHOOSE(CONTROL!$C$42, 31, 31))/1000000</f>
        <v>0.43164089999999994</v>
      </c>
      <c r="X910" s="57">
        <f>(31*0.1790888*245000/1000000)+(31*0.2374*100000/1000000)</f>
        <v>2.0961194359999999</v>
      </c>
      <c r="Y910" s="57"/>
      <c r="Z910" s="14"/>
      <c r="AA910" s="56"/>
      <c r="AB910" s="50">
        <f>(B910*131.881+C910*277.167+D910*79.08+E910*125.872+F910*40+G910*185+H910*0+I910*100+J910*300)/(131.881+277.167+79.08+125.872+0+40+185+100+300)</f>
        <v>84.747650971025024</v>
      </c>
      <c r="AC910" s="45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83.10646978417266</v>
      </c>
    </row>
    <row r="911" spans="1:29" ht="15.75" x14ac:dyDescent="0.25">
      <c r="A911" s="32">
        <v>68636</v>
      </c>
      <c r="B911" s="14">
        <f>CHOOSE(CONTROL!$C$42, 86.9098, 86.9098) * CHOOSE(CONTROL!$C$21, $C$9, 100%, $E$9)</f>
        <v>86.909800000000004</v>
      </c>
      <c r="C911" s="14">
        <f>CHOOSE(CONTROL!$C$42, 86.9148, 86.9148) * CHOOSE(CONTROL!$C$21, $C$9, 100%, $E$9)</f>
        <v>86.9148</v>
      </c>
      <c r="D911" s="14">
        <f>CHOOSE(CONTROL!$C$42, 86.989, 86.989) * CHOOSE(CONTROL!$C$21, $C$9, 100%, $E$9)</f>
        <v>86.989000000000004</v>
      </c>
      <c r="E911" s="14">
        <f>CHOOSE(CONTROL!$C$42, 87.0232, 87.0232) * CHOOSE(CONTROL!$C$21, $C$9, 100%, $E$9)</f>
        <v>87.023200000000003</v>
      </c>
      <c r="F911" s="14">
        <f>CHOOSE(CONTROL!$C$42, 86.9218, 86.9218)*CHOOSE(CONTROL!$C$21, $C$9, 100%, $E$9)</f>
        <v>86.921800000000005</v>
      </c>
      <c r="G911" s="14">
        <f>CHOOSE(CONTROL!$C$42, 86.9384, 86.9384)*CHOOSE(CONTROL!$C$21, $C$9, 100%, $E$9)</f>
        <v>86.938400000000001</v>
      </c>
      <c r="H911" s="14">
        <f>CHOOSE(CONTROL!$C$42, 87.0124, 87.0124) * CHOOSE(CONTROL!$C$21, $C$9, 100%, $E$9)</f>
        <v>87.0124</v>
      </c>
      <c r="I911" s="14">
        <f>CHOOSE(CONTROL!$C$42, 87.2063, 87.2063)* CHOOSE(CONTROL!$C$21, $C$9, 100%, $E$9)</f>
        <v>87.206299999999999</v>
      </c>
      <c r="J911" s="14">
        <f>CHOOSE(CONTROL!$C$42, 86.9148, 86.9148)* CHOOSE(CONTROL!$C$21, $C$9, 100%, $E$9)</f>
        <v>86.9148</v>
      </c>
      <c r="K911" s="53">
        <f>CHOOSE(CONTROL!$C$42, 87.2024, 87.2024) * CHOOSE(CONTROL!$C$21, $C$9, 100%, $E$9)</f>
        <v>87.202399999999997</v>
      </c>
      <c r="L911" s="14">
        <f>CHOOSE(CONTROL!$C$42, 87.5994, 87.5994) * CHOOSE(CONTROL!$C$21, $C$9, 100%, $E$9)</f>
        <v>87.599400000000003</v>
      </c>
      <c r="M911" s="14">
        <f>CHOOSE(CONTROL!$C$42, 85.1417, 85.1417) * CHOOSE(CONTROL!$C$21, $C$9, 100%, $E$9)</f>
        <v>85.1417</v>
      </c>
      <c r="N911" s="14">
        <f>CHOOSE(CONTROL!$C$42, 85.1579, 85.1579) * CHOOSE(CONTROL!$C$21, $C$9, 100%, $E$9)</f>
        <v>85.157899999999998</v>
      </c>
      <c r="O911" s="14">
        <f>CHOOSE(CONTROL!$C$42, 85.2372, 85.2372) * CHOOSE(CONTROL!$C$21, $C$9, 100%, $E$9)</f>
        <v>85.237200000000001</v>
      </c>
      <c r="P911" s="14">
        <f>CHOOSE(CONTROL!$C$42, 85.4218, 85.4218) * CHOOSE(CONTROL!$C$21, $C$9, 100%, $E$9)</f>
        <v>85.421800000000005</v>
      </c>
      <c r="Q911" s="14">
        <f>CHOOSE(CONTROL!$C$42, 85.8319, 85.8319) * CHOOSE(CONTROL!$C$21, $C$9, 100%, $E$9)</f>
        <v>85.831900000000005</v>
      </c>
      <c r="R911" s="14">
        <f>CHOOSE(CONTROL!$C$42, 86.6335, 86.6335) * CHOOSE(CONTROL!$C$21, $C$9, 100%, $E$9)</f>
        <v>86.633499999999998</v>
      </c>
      <c r="S911" s="14">
        <f>CHOOSE(CONTROL!$C$42, 83.5031, 83.5031) * CHOOSE(CONTROL!$C$21, $C$9, 100%, $E$9)</f>
        <v>83.503100000000003</v>
      </c>
      <c r="T9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7">
        <f>(1000*CHOOSE(CONTROL!$C$42, 695, 695)*CHOOSE(CONTROL!$C$42, 0.5599, 0.5599)*CHOOSE(CONTROL!$C$42, 30, 30))/1000000</f>
        <v>11.673914999999997</v>
      </c>
      <c r="V911" s="57">
        <f>(1000*CHOOSE(CONTROL!$C$42, 500, 500)*CHOOSE(CONTROL!$C$42, 0.275, 0.275)*CHOOSE(CONTROL!$C$42, 30, 30))/1000000</f>
        <v>4.125</v>
      </c>
      <c r="W911" s="57">
        <f>(1000*CHOOSE(CONTROL!$C$42, 0.1146, 0.1146)*CHOOSE(CONTROL!$C$42, 121.5, 121.5)*CHOOSE(CONTROL!$C$42, 30, 30))/1000000</f>
        <v>0.417717</v>
      </c>
      <c r="X911" s="57">
        <f>(30*0.1790888*100000/1000000)+(30*0.2374*100000/1000000)</f>
        <v>1.2494664</v>
      </c>
      <c r="Y911" s="57"/>
      <c r="Z911" s="14"/>
      <c r="AA911" s="56"/>
      <c r="AB911" s="50">
        <f>(B911*122.58+C911*297.941+D911*89.177+E911*40.302+F911*40+G911*160+H911*0+I911*100+J911*300)/(122.58+297.941+89.177+40.302+0+40+160+100+300)</f>
        <v>86.952694582782613</v>
      </c>
      <c r="AC911" s="45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85.226218705035976</v>
      </c>
    </row>
    <row r="912" spans="1:29" ht="15.75" x14ac:dyDescent="0.25">
      <c r="A912" s="32">
        <v>68667</v>
      </c>
      <c r="B912" s="14">
        <f>CHOOSE(CONTROL!$C$42, 92.8346, 92.8346) * CHOOSE(CONTROL!$C$21, $C$9, 100%, $E$9)</f>
        <v>92.834599999999995</v>
      </c>
      <c r="C912" s="14">
        <f>CHOOSE(CONTROL!$C$42, 92.8396, 92.8396) * CHOOSE(CONTROL!$C$21, $C$9, 100%, $E$9)</f>
        <v>92.839600000000004</v>
      </c>
      <c r="D912" s="14">
        <f>CHOOSE(CONTROL!$C$42, 92.9139, 92.9139) * CHOOSE(CONTROL!$C$21, $C$9, 100%, $E$9)</f>
        <v>92.913899999999998</v>
      </c>
      <c r="E912" s="14">
        <f>CHOOSE(CONTROL!$C$42, 92.948, 92.948) * CHOOSE(CONTROL!$C$21, $C$9, 100%, $E$9)</f>
        <v>92.947999999999993</v>
      </c>
      <c r="F912" s="14">
        <f>CHOOSE(CONTROL!$C$42, 92.8488, 92.8488)*CHOOSE(CONTROL!$C$21, $C$9, 100%, $E$9)</f>
        <v>92.848799999999997</v>
      </c>
      <c r="G912" s="14">
        <f>CHOOSE(CONTROL!$C$42, 92.866, 92.866)*CHOOSE(CONTROL!$C$21, $C$9, 100%, $E$9)</f>
        <v>92.866</v>
      </c>
      <c r="H912" s="14">
        <f>CHOOSE(CONTROL!$C$42, 92.9372, 92.9372) * CHOOSE(CONTROL!$C$21, $C$9, 100%, $E$9)</f>
        <v>92.937200000000004</v>
      </c>
      <c r="I912" s="14">
        <f>CHOOSE(CONTROL!$C$42, 93.1496, 93.1496)* CHOOSE(CONTROL!$C$21, $C$9, 100%, $E$9)</f>
        <v>93.149600000000007</v>
      </c>
      <c r="J912" s="14">
        <f>CHOOSE(CONTROL!$C$42, 92.8418, 92.8418)* CHOOSE(CONTROL!$C$21, $C$9, 100%, $E$9)</f>
        <v>92.841800000000006</v>
      </c>
      <c r="K912" s="53">
        <f>CHOOSE(CONTROL!$C$42, 93.1458, 93.1458) * CHOOSE(CONTROL!$C$21, $C$9, 100%, $E$9)</f>
        <v>93.145799999999994</v>
      </c>
      <c r="L912" s="14">
        <f>CHOOSE(CONTROL!$C$42, 93.5242, 93.5242) * CHOOSE(CONTROL!$C$21, $C$9, 100%, $E$9)</f>
        <v>93.524199999999993</v>
      </c>
      <c r="M912" s="14">
        <f>CHOOSE(CONTROL!$C$42, 90.9472, 90.9472) * CHOOSE(CONTROL!$C$21, $C$9, 100%, $E$9)</f>
        <v>90.947199999999995</v>
      </c>
      <c r="N912" s="14">
        <f>CHOOSE(CONTROL!$C$42, 90.964, 90.964) * CHOOSE(CONTROL!$C$21, $C$9, 100%, $E$9)</f>
        <v>90.963999999999999</v>
      </c>
      <c r="O912" s="14">
        <f>CHOOSE(CONTROL!$C$42, 91.0406, 91.0406) * CHOOSE(CONTROL!$C$21, $C$9, 100%, $E$9)</f>
        <v>91.040599999999998</v>
      </c>
      <c r="P912" s="14">
        <f>CHOOSE(CONTROL!$C$42, 91.243, 91.243) * CHOOSE(CONTROL!$C$21, $C$9, 100%, $E$9)</f>
        <v>91.242999999999995</v>
      </c>
      <c r="Q912" s="14">
        <f>CHOOSE(CONTROL!$C$42, 91.6353, 91.6353) * CHOOSE(CONTROL!$C$21, $C$9, 100%, $E$9)</f>
        <v>91.635300000000001</v>
      </c>
      <c r="R912" s="14">
        <f>CHOOSE(CONTROL!$C$42, 92.4514, 92.4514) * CHOOSE(CONTROL!$C$21, $C$9, 100%, $E$9)</f>
        <v>92.451400000000007</v>
      </c>
      <c r="S912" s="14">
        <f>CHOOSE(CONTROL!$C$42, 89.1962, 89.1962) * CHOOSE(CONTROL!$C$21, $C$9, 100%, $E$9)</f>
        <v>89.196200000000005</v>
      </c>
      <c r="T9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7">
        <f>(1000*CHOOSE(CONTROL!$C$42, 695, 695)*CHOOSE(CONTROL!$C$42, 0.5599, 0.5599)*CHOOSE(CONTROL!$C$42, 31, 31))/1000000</f>
        <v>12.063045499999998</v>
      </c>
      <c r="V912" s="57">
        <f>(1000*CHOOSE(CONTROL!$C$42, 500, 500)*CHOOSE(CONTROL!$C$42, 0.275, 0.275)*CHOOSE(CONTROL!$C$42, 31, 31))/1000000</f>
        <v>4.2625000000000002</v>
      </c>
      <c r="W912" s="57">
        <f>(1000*CHOOSE(CONTROL!$C$42, 0.1146, 0.1146)*CHOOSE(CONTROL!$C$42, 121.5, 121.5)*CHOOSE(CONTROL!$C$42, 31, 31))/1000000</f>
        <v>0.43164089999999994</v>
      </c>
      <c r="X912" s="57">
        <f>(31*0.1790888*100000/1000000)+(31*0.2374*100000/1000000)</f>
        <v>1.2911152800000001</v>
      </c>
      <c r="Y912" s="57"/>
      <c r="Z912" s="14"/>
      <c r="AA912" s="56"/>
      <c r="AB912" s="50">
        <f>(B912*122.58+C912*297.941+D912*89.177+E912*40.302+F912*40+G912*160+H912*0+I912*100+J912*300)/(122.58+297.941+89.177+40.302+0+40+160+100+300)</f>
        <v>92.880151032956533</v>
      </c>
      <c r="AC912" s="45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91.033060431654675</v>
      </c>
    </row>
    <row r="913" spans="1:29" ht="15.75" x14ac:dyDescent="0.25">
      <c r="A913" s="32">
        <v>68698</v>
      </c>
      <c r="B913" s="14">
        <f>CHOOSE(CONTROL!$C$42, 100.5298, 100.5298) * CHOOSE(CONTROL!$C$21, $C$9, 100%, $E$9)</f>
        <v>100.52979999999999</v>
      </c>
      <c r="C913" s="14">
        <f>CHOOSE(CONTROL!$C$42, 100.5349, 100.5349) * CHOOSE(CONTROL!$C$21, $C$9, 100%, $E$9)</f>
        <v>100.53489999999999</v>
      </c>
      <c r="D913" s="14">
        <f>CHOOSE(CONTROL!$C$42, 100.6117, 100.6117) * CHOOSE(CONTROL!$C$21, $C$9, 100%, $E$9)</f>
        <v>100.6117</v>
      </c>
      <c r="E913" s="14">
        <f>CHOOSE(CONTROL!$C$42, 100.6458, 100.6458) * CHOOSE(CONTROL!$C$21, $C$9, 100%, $E$9)</f>
        <v>100.64579999999999</v>
      </c>
      <c r="F913" s="14">
        <f>CHOOSE(CONTROL!$C$42, 100.53, 100.53)*CHOOSE(CONTROL!$C$21, $C$9, 100%, $E$9)</f>
        <v>100.53</v>
      </c>
      <c r="G913" s="14">
        <f>CHOOSE(CONTROL!$C$42, 100.5462, 100.5462)*CHOOSE(CONTROL!$C$21, $C$9, 100%, $E$9)</f>
        <v>100.5462</v>
      </c>
      <c r="H913" s="14">
        <f>CHOOSE(CONTROL!$C$42, 100.635, 100.635) * CHOOSE(CONTROL!$C$21, $C$9, 100%, $E$9)</f>
        <v>100.63500000000001</v>
      </c>
      <c r="I913" s="14">
        <f>CHOOSE(CONTROL!$C$42, 100.8627, 100.8627)* CHOOSE(CONTROL!$C$21, $C$9, 100%, $E$9)</f>
        <v>100.8627</v>
      </c>
      <c r="J913" s="14">
        <f>CHOOSE(CONTROL!$C$42, 100.523, 100.523)* CHOOSE(CONTROL!$C$21, $C$9, 100%, $E$9)</f>
        <v>100.523</v>
      </c>
      <c r="K913" s="53">
        <f>CHOOSE(CONTROL!$C$42, 100.8588, 100.8588) * CHOOSE(CONTROL!$C$21, $C$9, 100%, $E$9)</f>
        <v>100.8588</v>
      </c>
      <c r="L913" s="14">
        <f>CHOOSE(CONTROL!$C$42, 101.222, 101.222) * CHOOSE(CONTROL!$C$21, $C$9, 100%, $E$9)</f>
        <v>101.22199999999999</v>
      </c>
      <c r="M913" s="14">
        <f>CHOOSE(CONTROL!$C$42, 98.4711, 98.4711) * CHOOSE(CONTROL!$C$21, $C$9, 100%, $E$9)</f>
        <v>98.471100000000007</v>
      </c>
      <c r="N913" s="14">
        <f>CHOOSE(CONTROL!$C$42, 98.487, 98.487) * CHOOSE(CONTROL!$C$21, $C$9, 100%, $E$9)</f>
        <v>98.486999999999995</v>
      </c>
      <c r="O913" s="14">
        <f>CHOOSE(CONTROL!$C$42, 98.5808, 98.5808) * CHOOSE(CONTROL!$C$21, $C$9, 100%, $E$9)</f>
        <v>98.580799999999996</v>
      </c>
      <c r="P913" s="14">
        <f>CHOOSE(CONTROL!$C$42, 98.7976, 98.7976) * CHOOSE(CONTROL!$C$21, $C$9, 100%, $E$9)</f>
        <v>98.797600000000003</v>
      </c>
      <c r="Q913" s="14">
        <f>CHOOSE(CONTROL!$C$42, 99.1755, 99.1755) * CHOOSE(CONTROL!$C$21, $C$9, 100%, $E$9)</f>
        <v>99.1755</v>
      </c>
      <c r="R913" s="14">
        <f>CHOOSE(CONTROL!$C$42, 100.0104, 100.0104) * CHOOSE(CONTROL!$C$21, $C$9, 100%, $E$9)</f>
        <v>100.0104</v>
      </c>
      <c r="S913" s="14">
        <f>CHOOSE(CONTROL!$C$42, 96.5906, 96.5906) * CHOOSE(CONTROL!$C$21, $C$9, 100%, $E$9)</f>
        <v>96.590599999999995</v>
      </c>
      <c r="T9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7">
        <f>(1000*CHOOSE(CONTROL!$C$42, 695, 695)*CHOOSE(CONTROL!$C$42, 0.5599, 0.5599)*CHOOSE(CONTROL!$C$42, 31, 31))/1000000</f>
        <v>12.063045499999998</v>
      </c>
      <c r="V913" s="57">
        <f>(1000*CHOOSE(CONTROL!$C$42, 500, 500)*CHOOSE(CONTROL!$C$42, 0.275, 0.275)*CHOOSE(CONTROL!$C$42, 31, 31))/1000000</f>
        <v>4.2625000000000002</v>
      </c>
      <c r="W913" s="57">
        <f>(1000*CHOOSE(CONTROL!$C$42, 0.1146, 0.1146)*CHOOSE(CONTROL!$C$42, 121.5, 121.5)*CHOOSE(CONTROL!$C$42, 31, 31))/1000000</f>
        <v>0.43164089999999994</v>
      </c>
      <c r="X913" s="57">
        <f>(31*0.1790888*100000/1000000)+(31*0.2374*100000/1000000)</f>
        <v>1.2911152800000001</v>
      </c>
      <c r="Y913" s="57"/>
      <c r="Z913" s="14"/>
      <c r="AA913" s="56"/>
      <c r="AB913" s="50">
        <f>(B913*122.58+C913*297.941+D913*89.177+E913*40.302+F913*40+G913*160+H913*0+I913*100+J913*300)/(122.58+297.941+89.177+40.302+0+40+160+100+300)</f>
        <v>100.57100011078261</v>
      </c>
      <c r="AC913" s="45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98.568713669064735</v>
      </c>
    </row>
    <row r="914" spans="1:29" ht="15.75" x14ac:dyDescent="0.25">
      <c r="A914" s="32">
        <v>68727</v>
      </c>
      <c r="B914" s="14">
        <f>CHOOSE(CONTROL!$C$42, 102.3192, 102.3192) * CHOOSE(CONTROL!$C$21, $C$9, 100%, $E$9)</f>
        <v>102.3192</v>
      </c>
      <c r="C914" s="14">
        <f>CHOOSE(CONTROL!$C$42, 102.3243, 102.3243) * CHOOSE(CONTROL!$C$21, $C$9, 100%, $E$9)</f>
        <v>102.32429999999999</v>
      </c>
      <c r="D914" s="14">
        <f>CHOOSE(CONTROL!$C$42, 102.4011, 102.4011) * CHOOSE(CONTROL!$C$21, $C$9, 100%, $E$9)</f>
        <v>102.4011</v>
      </c>
      <c r="E914" s="14">
        <f>CHOOSE(CONTROL!$C$42, 102.4352, 102.4352) * CHOOSE(CONTROL!$C$21, $C$9, 100%, $E$9)</f>
        <v>102.43519999999999</v>
      </c>
      <c r="F914" s="14">
        <f>CHOOSE(CONTROL!$C$42, 102.3195, 102.3195)*CHOOSE(CONTROL!$C$21, $C$9, 100%, $E$9)</f>
        <v>102.31950000000001</v>
      </c>
      <c r="G914" s="14">
        <f>CHOOSE(CONTROL!$C$42, 102.3357, 102.3357)*CHOOSE(CONTROL!$C$21, $C$9, 100%, $E$9)</f>
        <v>102.3357</v>
      </c>
      <c r="H914" s="14">
        <f>CHOOSE(CONTROL!$C$42, 102.4244, 102.4244) * CHOOSE(CONTROL!$C$21, $C$9, 100%, $E$9)</f>
        <v>102.42440000000001</v>
      </c>
      <c r="I914" s="14">
        <f>CHOOSE(CONTROL!$C$42, 102.6577, 102.6577)* CHOOSE(CONTROL!$C$21, $C$9, 100%, $E$9)</f>
        <v>102.65770000000001</v>
      </c>
      <c r="J914" s="14">
        <f>CHOOSE(CONTROL!$C$42, 102.3125, 102.3125)* CHOOSE(CONTROL!$C$21, $C$9, 100%, $E$9)</f>
        <v>102.3125</v>
      </c>
      <c r="K914" s="53">
        <f>CHOOSE(CONTROL!$C$42, 102.6538, 102.6538) * CHOOSE(CONTROL!$C$21, $C$9, 100%, $E$9)</f>
        <v>102.6538</v>
      </c>
      <c r="L914" s="14">
        <f>CHOOSE(CONTROL!$C$42, 103.0114, 103.0114) * CHOOSE(CONTROL!$C$21, $C$9, 100%, $E$9)</f>
        <v>103.01139999999999</v>
      </c>
      <c r="M914" s="14">
        <f>CHOOSE(CONTROL!$C$42, 100.2239, 100.2239) * CHOOSE(CONTROL!$C$21, $C$9, 100%, $E$9)</f>
        <v>100.2239</v>
      </c>
      <c r="N914" s="14">
        <f>CHOOSE(CONTROL!$C$42, 100.2398, 100.2398) * CHOOSE(CONTROL!$C$21, $C$9, 100%, $E$9)</f>
        <v>100.2398</v>
      </c>
      <c r="O914" s="14">
        <f>CHOOSE(CONTROL!$C$42, 100.3335, 100.3335) * CHOOSE(CONTROL!$C$21, $C$9, 100%, $E$9)</f>
        <v>100.3335</v>
      </c>
      <c r="P914" s="14">
        <f>CHOOSE(CONTROL!$C$42, 100.5557, 100.5557) * CHOOSE(CONTROL!$C$21, $C$9, 100%, $E$9)</f>
        <v>100.5557</v>
      </c>
      <c r="Q914" s="14">
        <f>CHOOSE(CONTROL!$C$42, 100.9282, 100.9282) * CHOOSE(CONTROL!$C$21, $C$9, 100%, $E$9)</f>
        <v>100.9282</v>
      </c>
      <c r="R914" s="14">
        <f>CHOOSE(CONTROL!$C$42, 101.7675, 101.7675) * CHOOSE(CONTROL!$C$21, $C$9, 100%, $E$9)</f>
        <v>101.7675</v>
      </c>
      <c r="S914" s="14">
        <f>CHOOSE(CONTROL!$C$42, 98.31, 98.31) * CHOOSE(CONTROL!$C$21, $C$9, 100%, $E$9)</f>
        <v>98.31</v>
      </c>
      <c r="T91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7">
        <f>(1000*CHOOSE(CONTROL!$C$42, 695, 695)*CHOOSE(CONTROL!$C$42, 0.5599, 0.5599)*CHOOSE(CONTROL!$C$42, 29, 29))/1000000</f>
        <v>11.284784499999999</v>
      </c>
      <c r="V914" s="57">
        <f>(1000*CHOOSE(CONTROL!$C$42, 500, 500)*CHOOSE(CONTROL!$C$42, 0.275, 0.275)*CHOOSE(CONTROL!$C$42, 29, 29))/1000000</f>
        <v>3.9874999999999998</v>
      </c>
      <c r="W914" s="57">
        <f>(1000*CHOOSE(CONTROL!$C$42, 0.1146, 0.1146)*CHOOSE(CONTROL!$C$42, 121.5, 121.5)*CHOOSE(CONTROL!$C$42, 29, 29))/1000000</f>
        <v>0.40379309999999996</v>
      </c>
      <c r="X914" s="57">
        <f>(29*0.1790888*100000/1000000)+(29*0.2374*100000/1000000)</f>
        <v>1.2078175199999999</v>
      </c>
      <c r="Y914" s="57"/>
      <c r="Z914" s="14"/>
      <c r="AA914" s="56"/>
      <c r="AB914" s="50">
        <f>(B914*122.58+C914*297.941+D914*89.177+E914*40.302+F914*40+G914*160+H914*0+I914*100+J914*300)/(122.58+297.941+89.177+40.302+0+40+160+100+300)</f>
        <v>102.36093054556522</v>
      </c>
      <c r="AC914" s="45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100.32223093525181</v>
      </c>
    </row>
    <row r="915" spans="1:29" ht="15.75" x14ac:dyDescent="0.25">
      <c r="A915" s="32">
        <v>68758</v>
      </c>
      <c r="B915" s="14">
        <f>CHOOSE(CONTROL!$C$42, 99.4146, 99.4146) * CHOOSE(CONTROL!$C$21, $C$9, 100%, $E$9)</f>
        <v>99.414599999999993</v>
      </c>
      <c r="C915" s="14">
        <f>CHOOSE(CONTROL!$C$42, 99.4197, 99.4197) * CHOOSE(CONTROL!$C$21, $C$9, 100%, $E$9)</f>
        <v>99.419700000000006</v>
      </c>
      <c r="D915" s="14">
        <f>CHOOSE(CONTROL!$C$42, 99.4965, 99.4965) * CHOOSE(CONTROL!$C$21, $C$9, 100%, $E$9)</f>
        <v>99.496499999999997</v>
      </c>
      <c r="E915" s="14">
        <f>CHOOSE(CONTROL!$C$42, 99.5306, 99.5306) * CHOOSE(CONTROL!$C$21, $C$9, 100%, $E$9)</f>
        <v>99.530600000000007</v>
      </c>
      <c r="F915" s="14">
        <f>CHOOSE(CONTROL!$C$42, 99.4144, 99.4144)*CHOOSE(CONTROL!$C$21, $C$9, 100%, $E$9)</f>
        <v>99.414400000000001</v>
      </c>
      <c r="G915" s="14">
        <f>CHOOSE(CONTROL!$C$42, 99.4305, 99.4305)*CHOOSE(CONTROL!$C$21, $C$9, 100%, $E$9)</f>
        <v>99.430499999999995</v>
      </c>
      <c r="H915" s="14">
        <f>CHOOSE(CONTROL!$C$42, 99.5198, 99.5198) * CHOOSE(CONTROL!$C$21, $C$9, 100%, $E$9)</f>
        <v>99.519800000000004</v>
      </c>
      <c r="I915" s="14">
        <f>CHOOSE(CONTROL!$C$42, 99.744, 99.744)* CHOOSE(CONTROL!$C$21, $C$9, 100%, $E$9)</f>
        <v>99.744</v>
      </c>
      <c r="J915" s="14">
        <f>CHOOSE(CONTROL!$C$42, 99.4074, 99.4074)* CHOOSE(CONTROL!$C$21, $C$9, 100%, $E$9)</f>
        <v>99.407399999999996</v>
      </c>
      <c r="K915" s="53">
        <f>CHOOSE(CONTROL!$C$42, 99.7401, 99.7401) * CHOOSE(CONTROL!$C$21, $C$9, 100%, $E$9)</f>
        <v>99.740099999999998</v>
      </c>
      <c r="L915" s="14">
        <f>CHOOSE(CONTROL!$C$42, 100.1068, 100.1068) * CHOOSE(CONTROL!$C$21, $C$9, 100%, $E$9)</f>
        <v>100.10680000000001</v>
      </c>
      <c r="M915" s="14">
        <f>CHOOSE(CONTROL!$C$42, 97.3783, 97.3783) * CHOOSE(CONTROL!$C$21, $C$9, 100%, $E$9)</f>
        <v>97.378299999999996</v>
      </c>
      <c r="N915" s="14">
        <f>CHOOSE(CONTROL!$C$42, 97.3941, 97.3941) * CHOOSE(CONTROL!$C$21, $C$9, 100%, $E$9)</f>
        <v>97.394099999999995</v>
      </c>
      <c r="O915" s="14">
        <f>CHOOSE(CONTROL!$C$42, 97.4884, 97.4884) * CHOOSE(CONTROL!$C$21, $C$9, 100%, $E$9)</f>
        <v>97.488399999999999</v>
      </c>
      <c r="P915" s="14">
        <f>CHOOSE(CONTROL!$C$42, 97.7018, 97.7018) * CHOOSE(CONTROL!$C$21, $C$9, 100%, $E$9)</f>
        <v>97.701800000000006</v>
      </c>
      <c r="Q915" s="14">
        <f>CHOOSE(CONTROL!$C$42, 98.0831, 98.0831) * CHOOSE(CONTROL!$C$21, $C$9, 100%, $E$9)</f>
        <v>98.083100000000002</v>
      </c>
      <c r="R915" s="14">
        <f>CHOOSE(CONTROL!$C$42, 98.9153, 98.9153) * CHOOSE(CONTROL!$C$21, $C$9, 100%, $E$9)</f>
        <v>98.915300000000002</v>
      </c>
      <c r="S915" s="14">
        <f>CHOOSE(CONTROL!$C$42, 95.5189, 95.5189) * CHOOSE(CONTROL!$C$21, $C$9, 100%, $E$9)</f>
        <v>95.518900000000002</v>
      </c>
      <c r="T9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7">
        <f>(1000*CHOOSE(CONTROL!$C$42, 695, 695)*CHOOSE(CONTROL!$C$42, 0.5599, 0.5599)*CHOOSE(CONTROL!$C$42, 31, 31))/1000000</f>
        <v>12.063045499999998</v>
      </c>
      <c r="V915" s="57">
        <f>(1000*CHOOSE(CONTROL!$C$42, 500, 500)*CHOOSE(CONTROL!$C$42, 0.275, 0.275)*CHOOSE(CONTROL!$C$42, 31, 31))/1000000</f>
        <v>4.2625000000000002</v>
      </c>
      <c r="W915" s="57">
        <f>(1000*CHOOSE(CONTROL!$C$42, 0.1146, 0.1146)*CHOOSE(CONTROL!$C$42, 121.5, 121.5)*CHOOSE(CONTROL!$C$42, 31, 31))/1000000</f>
        <v>0.43164089999999994</v>
      </c>
      <c r="X915" s="57">
        <f>(31*0.1790888*100000/1000000)+(31*0.2374*100000/1000000)</f>
        <v>1.2911152800000001</v>
      </c>
      <c r="Y915" s="57"/>
      <c r="Z915" s="14"/>
      <c r="AA915" s="56"/>
      <c r="AB915" s="50">
        <f>(B915*122.58+C915*297.941+D915*89.177+E915*40.302+F915*40+G915*160+H915*0+I915*100+J915*300)/(122.58+297.941+89.177+40.302+0+40+160+100+300)</f>
        <v>99.455307936869573</v>
      </c>
      <c r="AC915" s="45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97.475657553956822</v>
      </c>
    </row>
    <row r="916" spans="1:29" ht="15.75" x14ac:dyDescent="0.25">
      <c r="A916" s="32">
        <v>68788</v>
      </c>
      <c r="B916" s="14">
        <f>CHOOSE(CONTROL!$C$42, 99.1182, 99.1182) * CHOOSE(CONTROL!$C$21, $C$9, 100%, $E$9)</f>
        <v>99.118200000000002</v>
      </c>
      <c r="C916" s="14">
        <f>CHOOSE(CONTROL!$C$42, 99.1227, 99.1227) * CHOOSE(CONTROL!$C$21, $C$9, 100%, $E$9)</f>
        <v>99.122699999999995</v>
      </c>
      <c r="D916" s="14">
        <f>CHOOSE(CONTROL!$C$42, 99.3594, 99.3594) * CHOOSE(CONTROL!$C$21, $C$9, 100%, $E$9)</f>
        <v>99.359399999999994</v>
      </c>
      <c r="E916" s="14">
        <f>CHOOSE(CONTROL!$C$42, 99.3915, 99.3915) * CHOOSE(CONTROL!$C$21, $C$9, 100%, $E$9)</f>
        <v>99.391499999999994</v>
      </c>
      <c r="F916" s="14">
        <f>CHOOSE(CONTROL!$C$42, 99.1161, 99.1161)*CHOOSE(CONTROL!$C$21, $C$9, 100%, $E$9)</f>
        <v>99.116100000000003</v>
      </c>
      <c r="G916" s="14">
        <f>CHOOSE(CONTROL!$C$42, 99.132, 99.132)*CHOOSE(CONTROL!$C$21, $C$9, 100%, $E$9)</f>
        <v>99.132000000000005</v>
      </c>
      <c r="H916" s="14">
        <f>CHOOSE(CONTROL!$C$42, 99.3813, 99.3813) * CHOOSE(CONTROL!$C$21, $C$9, 100%, $E$9)</f>
        <v>99.381299999999996</v>
      </c>
      <c r="I916" s="14">
        <f>CHOOSE(CONTROL!$C$42, 99.4459, 99.4459)* CHOOSE(CONTROL!$C$21, $C$9, 100%, $E$9)</f>
        <v>99.445899999999995</v>
      </c>
      <c r="J916" s="14">
        <f>CHOOSE(CONTROL!$C$42, 99.1091, 99.1091)* CHOOSE(CONTROL!$C$21, $C$9, 100%, $E$9)</f>
        <v>99.109099999999998</v>
      </c>
      <c r="K916" s="53">
        <f>CHOOSE(CONTROL!$C$42, 99.442, 99.442) * CHOOSE(CONTROL!$C$21, $C$9, 100%, $E$9)</f>
        <v>99.441999999999993</v>
      </c>
      <c r="L916" s="14">
        <f>CHOOSE(CONTROL!$C$42, 99.9683, 99.9683) * CHOOSE(CONTROL!$C$21, $C$9, 100%, $E$9)</f>
        <v>99.968299999999999</v>
      </c>
      <c r="M916" s="14">
        <f>CHOOSE(CONTROL!$C$42, 97.0861, 97.0861) * CHOOSE(CONTROL!$C$21, $C$9, 100%, $E$9)</f>
        <v>97.086100000000002</v>
      </c>
      <c r="N916" s="14">
        <f>CHOOSE(CONTROL!$C$42, 97.1016, 97.1016) * CHOOSE(CONTROL!$C$21, $C$9, 100%, $E$9)</f>
        <v>97.101600000000005</v>
      </c>
      <c r="O916" s="14">
        <f>CHOOSE(CONTROL!$C$42, 97.3527, 97.3527) * CHOOSE(CONTROL!$C$21, $C$9, 100%, $E$9)</f>
        <v>97.352699999999999</v>
      </c>
      <c r="P916" s="14">
        <f>CHOOSE(CONTROL!$C$42, 97.4098, 97.4098) * CHOOSE(CONTROL!$C$21, $C$9, 100%, $E$9)</f>
        <v>97.409800000000004</v>
      </c>
      <c r="Q916" s="14">
        <f>CHOOSE(CONTROL!$C$42, 97.9474, 97.9474) * CHOOSE(CONTROL!$C$21, $C$9, 100%, $E$9)</f>
        <v>97.947400000000002</v>
      </c>
      <c r="R916" s="14">
        <f>CHOOSE(CONTROL!$C$42, 98.7793, 98.7793) * CHOOSE(CONTROL!$C$21, $C$9, 100%, $E$9)</f>
        <v>98.779300000000006</v>
      </c>
      <c r="S916" s="14">
        <f>CHOOSE(CONTROL!$C$42, 95.2334, 95.2334) * CHOOSE(CONTROL!$C$21, $C$9, 100%, $E$9)</f>
        <v>95.233400000000003</v>
      </c>
      <c r="T9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7">
        <f>(1000*CHOOSE(CONTROL!$C$42, 695, 695)*CHOOSE(CONTROL!$C$42, 0.5599, 0.5599)*CHOOSE(CONTROL!$C$42, 30, 30))/1000000</f>
        <v>11.673914999999997</v>
      </c>
      <c r="V916" s="57">
        <f>(1000*CHOOSE(CONTROL!$C$42, 500, 500)*CHOOSE(CONTROL!$C$42, 0.275, 0.275)*CHOOSE(CONTROL!$C$42, 30, 30))/1000000</f>
        <v>4.125</v>
      </c>
      <c r="W916" s="57">
        <f>(1000*CHOOSE(CONTROL!$C$42, 0.1146, 0.1146)*CHOOSE(CONTROL!$C$42, 121.5, 121.5)*CHOOSE(CONTROL!$C$42, 30, 30))/1000000</f>
        <v>0.417717</v>
      </c>
      <c r="X916" s="57">
        <f>(30*0.1790888*245000/1000000)+(30*0.2374*100000/1000000)</f>
        <v>2.0285026799999999</v>
      </c>
      <c r="Y916" s="57"/>
      <c r="Z916" s="14"/>
      <c r="AA916" s="56"/>
      <c r="AB916" s="50">
        <f>(B916*141.293+C916*267.993+D916*115.016+E916*89.698+F916*40+G916*185+H916*0+I916*100+J916*300)/(141.293+267.993+115.016+89.698+0+40+185+100+300)</f>
        <v>99.187587644148508</v>
      </c>
      <c r="AC916" s="45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97.254400719424453</v>
      </c>
    </row>
    <row r="917" spans="1:29" ht="15.75" x14ac:dyDescent="0.25">
      <c r="A917" s="32">
        <v>68819</v>
      </c>
      <c r="B917" s="14">
        <f>CHOOSE(CONTROL!$C$42, 99.9943, 99.9943) * CHOOSE(CONTROL!$C$21, $C$9, 100%, $E$9)</f>
        <v>99.994299999999996</v>
      </c>
      <c r="C917" s="14">
        <f>CHOOSE(CONTROL!$C$42, 100.0023, 100.0023) * CHOOSE(CONTROL!$C$21, $C$9, 100%, $E$9)</f>
        <v>100.00230000000001</v>
      </c>
      <c r="D917" s="14">
        <f>CHOOSE(CONTROL!$C$42, 100.2359, 100.2359) * CHOOSE(CONTROL!$C$21, $C$9, 100%, $E$9)</f>
        <v>100.2359</v>
      </c>
      <c r="E917" s="14">
        <f>CHOOSE(CONTROL!$C$42, 100.2674, 100.2674) * CHOOSE(CONTROL!$C$21, $C$9, 100%, $E$9)</f>
        <v>100.26739999999999</v>
      </c>
      <c r="F917" s="14">
        <f>CHOOSE(CONTROL!$C$42, 99.9911, 99.9911)*CHOOSE(CONTROL!$C$21, $C$9, 100%, $E$9)</f>
        <v>99.991100000000003</v>
      </c>
      <c r="G917" s="14">
        <f>CHOOSE(CONTROL!$C$42, 100.0074, 100.0074)*CHOOSE(CONTROL!$C$21, $C$9, 100%, $E$9)</f>
        <v>100.0074</v>
      </c>
      <c r="H917" s="14">
        <f>CHOOSE(CONTROL!$C$42, 100.256, 100.256) * CHOOSE(CONTROL!$C$21, $C$9, 100%, $E$9)</f>
        <v>100.256</v>
      </c>
      <c r="I917" s="14">
        <f>CHOOSE(CONTROL!$C$42, 100.3234, 100.3234)* CHOOSE(CONTROL!$C$21, $C$9, 100%, $E$9)</f>
        <v>100.32340000000001</v>
      </c>
      <c r="J917" s="14">
        <f>CHOOSE(CONTROL!$C$42, 99.9841, 99.9841)* CHOOSE(CONTROL!$C$21, $C$9, 100%, $E$9)</f>
        <v>99.984099999999998</v>
      </c>
      <c r="K917" s="53">
        <f>CHOOSE(CONTROL!$C$42, 100.3195, 100.3195) * CHOOSE(CONTROL!$C$21, $C$9, 100%, $E$9)</f>
        <v>100.31950000000001</v>
      </c>
      <c r="L917" s="14">
        <f>CHOOSE(CONTROL!$C$42, 100.843, 100.843) * CHOOSE(CONTROL!$C$21, $C$9, 100%, $E$9)</f>
        <v>100.843</v>
      </c>
      <c r="M917" s="14">
        <f>CHOOSE(CONTROL!$C$42, 97.9432, 97.9432) * CHOOSE(CONTROL!$C$21, $C$9, 100%, $E$9)</f>
        <v>97.943200000000004</v>
      </c>
      <c r="N917" s="14">
        <f>CHOOSE(CONTROL!$C$42, 97.9592, 97.9592) * CHOOSE(CONTROL!$C$21, $C$9, 100%, $E$9)</f>
        <v>97.959199999999996</v>
      </c>
      <c r="O917" s="14">
        <f>CHOOSE(CONTROL!$C$42, 98.2096, 98.2096) * CHOOSE(CONTROL!$C$21, $C$9, 100%, $E$9)</f>
        <v>98.209599999999995</v>
      </c>
      <c r="P917" s="14">
        <f>CHOOSE(CONTROL!$C$42, 98.2693, 98.2693) * CHOOSE(CONTROL!$C$21, $C$9, 100%, $E$9)</f>
        <v>98.269300000000001</v>
      </c>
      <c r="Q917" s="14">
        <f>CHOOSE(CONTROL!$C$42, 98.8043, 98.8043) * CHOOSE(CONTROL!$C$21, $C$9, 100%, $E$9)</f>
        <v>98.804299999999998</v>
      </c>
      <c r="R917" s="14">
        <f>CHOOSE(CONTROL!$C$42, 99.6383, 99.6383) * CHOOSE(CONTROL!$C$21, $C$9, 100%, $E$9)</f>
        <v>99.638300000000001</v>
      </c>
      <c r="S917" s="14">
        <f>CHOOSE(CONTROL!$C$42, 96.0739, 96.0739) * CHOOSE(CONTROL!$C$21, $C$9, 100%, $E$9)</f>
        <v>96.073899999999995</v>
      </c>
      <c r="T9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7">
        <f>(1000*CHOOSE(CONTROL!$C$42, 695, 695)*CHOOSE(CONTROL!$C$42, 0.5599, 0.5599)*CHOOSE(CONTROL!$C$42, 31, 31))/1000000</f>
        <v>12.063045499999998</v>
      </c>
      <c r="V917" s="57">
        <f>(1000*CHOOSE(CONTROL!$C$42, 500, 500)*CHOOSE(CONTROL!$C$42, 0.275, 0.275)*CHOOSE(CONTROL!$C$42, 31, 31))/1000000</f>
        <v>4.2625000000000002</v>
      </c>
      <c r="W917" s="57">
        <f>(1000*CHOOSE(CONTROL!$C$42, 0.1146, 0.1146)*CHOOSE(CONTROL!$C$42, 121.5, 121.5)*CHOOSE(CONTROL!$C$42, 31, 31))/1000000</f>
        <v>0.43164089999999994</v>
      </c>
      <c r="X917" s="57">
        <f>(31*0.1790888*245000/1000000)+(31*0.2374*100000/1000000)</f>
        <v>2.0961194359999999</v>
      </c>
      <c r="Y917" s="57"/>
      <c r="Z917" s="14"/>
      <c r="AA917" s="56"/>
      <c r="AB917" s="50">
        <f>(B917*194.205+C917*267.466+D917*133.845+E917*53.484+F917*40+G917*185+H917*0+I917*100+J917*300)/(194.205+267.466+133.845+53.484+0+40+185+100+300)</f>
        <v>100.05805876012559</v>
      </c>
      <c r="AC917" s="45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98.111784172661871</v>
      </c>
    </row>
    <row r="918" spans="1:29" ht="15.75" x14ac:dyDescent="0.25">
      <c r="A918" s="32">
        <v>68849</v>
      </c>
      <c r="B918" s="14">
        <f>CHOOSE(CONTROL!$C$42, 102.8305, 102.8305) * CHOOSE(CONTROL!$C$21, $C$9, 100%, $E$9)</f>
        <v>102.8305</v>
      </c>
      <c r="C918" s="14">
        <f>CHOOSE(CONTROL!$C$42, 102.8385, 102.8385) * CHOOSE(CONTROL!$C$21, $C$9, 100%, $E$9)</f>
        <v>102.8385</v>
      </c>
      <c r="D918" s="14">
        <f>CHOOSE(CONTROL!$C$42, 103.0721, 103.0721) * CHOOSE(CONTROL!$C$21, $C$9, 100%, $E$9)</f>
        <v>103.07210000000001</v>
      </c>
      <c r="E918" s="14">
        <f>CHOOSE(CONTROL!$C$42, 103.1035, 103.1035) * CHOOSE(CONTROL!$C$21, $C$9, 100%, $E$9)</f>
        <v>103.1035</v>
      </c>
      <c r="F918" s="14">
        <f>CHOOSE(CONTROL!$C$42, 102.8277, 102.8277)*CHOOSE(CONTROL!$C$21, $C$9, 100%, $E$9)</f>
        <v>102.82769999999999</v>
      </c>
      <c r="G918" s="14">
        <f>CHOOSE(CONTROL!$C$42, 102.8442, 102.8442)*CHOOSE(CONTROL!$C$21, $C$9, 100%, $E$9)</f>
        <v>102.8442</v>
      </c>
      <c r="H918" s="14">
        <f>CHOOSE(CONTROL!$C$42, 103.0922, 103.0922) * CHOOSE(CONTROL!$C$21, $C$9, 100%, $E$9)</f>
        <v>103.09220000000001</v>
      </c>
      <c r="I918" s="14">
        <f>CHOOSE(CONTROL!$C$42, 103.1684, 103.1684)* CHOOSE(CONTROL!$C$21, $C$9, 100%, $E$9)</f>
        <v>103.16840000000001</v>
      </c>
      <c r="J918" s="14">
        <f>CHOOSE(CONTROL!$C$42, 102.8207, 102.8207)* CHOOSE(CONTROL!$C$21, $C$9, 100%, $E$9)</f>
        <v>102.8207</v>
      </c>
      <c r="K918" s="53">
        <f>CHOOSE(CONTROL!$C$42, 103.1645, 103.1645) * CHOOSE(CONTROL!$C$21, $C$9, 100%, $E$9)</f>
        <v>103.1645</v>
      </c>
      <c r="L918" s="14">
        <f>CHOOSE(CONTROL!$C$42, 103.6792, 103.6792) * CHOOSE(CONTROL!$C$21, $C$9, 100%, $E$9)</f>
        <v>103.67919999999999</v>
      </c>
      <c r="M918" s="14">
        <f>CHOOSE(CONTROL!$C$42, 100.7217, 100.7217) * CHOOSE(CONTROL!$C$21, $C$9, 100%, $E$9)</f>
        <v>100.7217</v>
      </c>
      <c r="N918" s="14">
        <f>CHOOSE(CONTROL!$C$42, 100.7378, 100.7378) * CHOOSE(CONTROL!$C$21, $C$9, 100%, $E$9)</f>
        <v>100.73779999999999</v>
      </c>
      <c r="O918" s="14">
        <f>CHOOSE(CONTROL!$C$42, 100.9876, 100.9876) * CHOOSE(CONTROL!$C$21, $C$9, 100%, $E$9)</f>
        <v>100.9876</v>
      </c>
      <c r="P918" s="14">
        <f>CHOOSE(CONTROL!$C$42, 101.0558, 101.0558) * CHOOSE(CONTROL!$C$21, $C$9, 100%, $E$9)</f>
        <v>101.0558</v>
      </c>
      <c r="Q918" s="14">
        <f>CHOOSE(CONTROL!$C$42, 101.5823, 101.5823) * CHOOSE(CONTROL!$C$21, $C$9, 100%, $E$9)</f>
        <v>101.5823</v>
      </c>
      <c r="R918" s="14">
        <f>CHOOSE(CONTROL!$C$42, 102.4232, 102.4232) * CHOOSE(CONTROL!$C$21, $C$9, 100%, $E$9)</f>
        <v>102.42319999999999</v>
      </c>
      <c r="S918" s="14">
        <f>CHOOSE(CONTROL!$C$42, 98.7991, 98.7991) * CHOOSE(CONTROL!$C$21, $C$9, 100%, $E$9)</f>
        <v>98.799099999999996</v>
      </c>
      <c r="T9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7">
        <f>(1000*CHOOSE(CONTROL!$C$42, 695, 695)*CHOOSE(CONTROL!$C$42, 0.5599, 0.5599)*CHOOSE(CONTROL!$C$42, 30, 30))/1000000</f>
        <v>11.673914999999997</v>
      </c>
      <c r="V918" s="57">
        <f>(1000*CHOOSE(CONTROL!$C$42, 500, 500)*CHOOSE(CONTROL!$C$42, 0.275, 0.275)*CHOOSE(CONTROL!$C$42, 30, 30))/1000000</f>
        <v>4.125</v>
      </c>
      <c r="W918" s="57">
        <f>(1000*CHOOSE(CONTROL!$C$42, 0.1146, 0.1146)*CHOOSE(CONTROL!$C$42, 121.5, 121.5)*CHOOSE(CONTROL!$C$42, 30, 30))/1000000</f>
        <v>0.417717</v>
      </c>
      <c r="X918" s="57">
        <f>(30*0.1790888*245000/1000000)+(30*0.2374*100000/1000000)</f>
        <v>2.0285026799999999</v>
      </c>
      <c r="Y918" s="57"/>
      <c r="Z918" s="14"/>
      <c r="AA918" s="56"/>
      <c r="AB918" s="50">
        <f>(B918*194.205+C918*267.466+D918*133.845+E918*53.484+F918*40+G918*185+H918*0+I918*100+J918*300)/(194.205+267.466+133.845+53.484+0+40+185+100+300)</f>
        <v>102.89513917739403</v>
      </c>
      <c r="AC918" s="45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100.8912143884892</v>
      </c>
    </row>
    <row r="919" spans="1:29" ht="15.75" x14ac:dyDescent="0.25">
      <c r="A919" s="32">
        <v>68880</v>
      </c>
      <c r="B919" s="14">
        <f>CHOOSE(CONTROL!$C$42, 100.8579, 100.8579) * CHOOSE(CONTROL!$C$21, $C$9, 100%, $E$9)</f>
        <v>100.8579</v>
      </c>
      <c r="C919" s="14">
        <f>CHOOSE(CONTROL!$C$42, 100.8659, 100.8659) * CHOOSE(CONTROL!$C$21, $C$9, 100%, $E$9)</f>
        <v>100.8659</v>
      </c>
      <c r="D919" s="14">
        <f>CHOOSE(CONTROL!$C$42, 101.0995, 101.0995) * CHOOSE(CONTROL!$C$21, $C$9, 100%, $E$9)</f>
        <v>101.09950000000001</v>
      </c>
      <c r="E919" s="14">
        <f>CHOOSE(CONTROL!$C$42, 101.131, 101.131) * CHOOSE(CONTROL!$C$21, $C$9, 100%, $E$9)</f>
        <v>101.131</v>
      </c>
      <c r="F919" s="14">
        <f>CHOOSE(CONTROL!$C$42, 100.8557, 100.8557)*CHOOSE(CONTROL!$C$21, $C$9, 100%, $E$9)</f>
        <v>100.8557</v>
      </c>
      <c r="G919" s="14">
        <f>CHOOSE(CONTROL!$C$42, 100.8723, 100.8723)*CHOOSE(CONTROL!$C$21, $C$9, 100%, $E$9)</f>
        <v>100.8723</v>
      </c>
      <c r="H919" s="14">
        <f>CHOOSE(CONTROL!$C$42, 101.1196, 101.1196) * CHOOSE(CONTROL!$C$21, $C$9, 100%, $E$9)</f>
        <v>101.11960000000001</v>
      </c>
      <c r="I919" s="14">
        <f>CHOOSE(CONTROL!$C$42, 101.1897, 101.1897)* CHOOSE(CONTROL!$C$21, $C$9, 100%, $E$9)</f>
        <v>101.1897</v>
      </c>
      <c r="J919" s="14">
        <f>CHOOSE(CONTROL!$C$42, 100.8487, 100.8487)* CHOOSE(CONTROL!$C$21, $C$9, 100%, $E$9)</f>
        <v>100.84869999999999</v>
      </c>
      <c r="K919" s="53">
        <f>CHOOSE(CONTROL!$C$42, 101.1858, 101.1858) * CHOOSE(CONTROL!$C$21, $C$9, 100%, $E$9)</f>
        <v>101.1858</v>
      </c>
      <c r="L919" s="14">
        <f>CHOOSE(CONTROL!$C$42, 101.7066, 101.7066) * CHOOSE(CONTROL!$C$21, $C$9, 100%, $E$9)</f>
        <v>101.70659999999999</v>
      </c>
      <c r="M919" s="14">
        <f>CHOOSE(CONTROL!$C$42, 98.7901, 98.7901) * CHOOSE(CONTROL!$C$21, $C$9, 100%, $E$9)</f>
        <v>98.790099999999995</v>
      </c>
      <c r="N919" s="14">
        <f>CHOOSE(CONTROL!$C$42, 98.8063, 98.8063) * CHOOSE(CONTROL!$C$21, $C$9, 100%, $E$9)</f>
        <v>98.806299999999993</v>
      </c>
      <c r="O919" s="14">
        <f>CHOOSE(CONTROL!$C$42, 99.0554, 99.0554) * CHOOSE(CONTROL!$C$21, $C$9, 100%, $E$9)</f>
        <v>99.055400000000006</v>
      </c>
      <c r="P919" s="14">
        <f>CHOOSE(CONTROL!$C$42, 99.1178, 99.1178) * CHOOSE(CONTROL!$C$21, $C$9, 100%, $E$9)</f>
        <v>99.117800000000003</v>
      </c>
      <c r="Q919" s="14">
        <f>CHOOSE(CONTROL!$C$42, 99.6501, 99.6501) * CHOOSE(CONTROL!$C$21, $C$9, 100%, $E$9)</f>
        <v>99.650099999999995</v>
      </c>
      <c r="R919" s="14">
        <f>CHOOSE(CONTROL!$C$42, 100.4863, 100.4863) * CHOOSE(CONTROL!$C$21, $C$9, 100%, $E$9)</f>
        <v>100.4863</v>
      </c>
      <c r="S919" s="14">
        <f>CHOOSE(CONTROL!$C$42, 96.9037, 96.9037) * CHOOSE(CONTROL!$C$21, $C$9, 100%, $E$9)</f>
        <v>96.903700000000001</v>
      </c>
      <c r="T9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7">
        <f>(1000*CHOOSE(CONTROL!$C$42, 695, 695)*CHOOSE(CONTROL!$C$42, 0.5599, 0.5599)*CHOOSE(CONTROL!$C$42, 31, 31))/1000000</f>
        <v>12.063045499999998</v>
      </c>
      <c r="V919" s="57">
        <f>(1000*CHOOSE(CONTROL!$C$42, 500, 500)*CHOOSE(CONTROL!$C$42, 0.275, 0.275)*CHOOSE(CONTROL!$C$42, 31, 31))/1000000</f>
        <v>4.2625000000000002</v>
      </c>
      <c r="W919" s="57">
        <f>(1000*CHOOSE(CONTROL!$C$42, 0.1146, 0.1146)*CHOOSE(CONTROL!$C$42, 121.5, 121.5)*CHOOSE(CONTROL!$C$42, 31, 31))/1000000</f>
        <v>0.43164089999999994</v>
      </c>
      <c r="X919" s="57">
        <f>(31*0.1790888*245000/1000000)+(31*0.2374*100000/1000000)</f>
        <v>2.0961194359999999</v>
      </c>
      <c r="Y919" s="57"/>
      <c r="Z919" s="14"/>
      <c r="AA919" s="56"/>
      <c r="AB919" s="50">
        <f>(B919*194.205+C919*267.466+D919*133.845+E919*53.484+F919*40+G919*185+H919*0+I919*100+J919*300)/(194.205+267.466+133.845+53.484+0+40+185+100+300)</f>
        <v>100.92232634254316</v>
      </c>
      <c r="AC919" s="45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98.958427338129496</v>
      </c>
    </row>
    <row r="920" spans="1:29" ht="15.75" x14ac:dyDescent="0.25">
      <c r="A920" s="32">
        <v>68911</v>
      </c>
      <c r="B920" s="14">
        <f>CHOOSE(CONTROL!$C$42, 95.8766, 95.8766) * CHOOSE(CONTROL!$C$21, $C$9, 100%, $E$9)</f>
        <v>95.876599999999996</v>
      </c>
      <c r="C920" s="14">
        <f>CHOOSE(CONTROL!$C$42, 95.8846, 95.8846) * CHOOSE(CONTROL!$C$21, $C$9, 100%, $E$9)</f>
        <v>95.884600000000006</v>
      </c>
      <c r="D920" s="14">
        <f>CHOOSE(CONTROL!$C$42, 96.1182, 96.1182) * CHOOSE(CONTROL!$C$21, $C$9, 100%, $E$9)</f>
        <v>96.118200000000002</v>
      </c>
      <c r="E920" s="14">
        <f>CHOOSE(CONTROL!$C$42, 96.1497, 96.1497) * CHOOSE(CONTROL!$C$21, $C$9, 100%, $E$9)</f>
        <v>96.149699999999996</v>
      </c>
      <c r="F920" s="14">
        <f>CHOOSE(CONTROL!$C$42, 95.8746, 95.8746)*CHOOSE(CONTROL!$C$21, $C$9, 100%, $E$9)</f>
        <v>95.874600000000001</v>
      </c>
      <c r="G920" s="14">
        <f>CHOOSE(CONTROL!$C$42, 95.8912, 95.8912)*CHOOSE(CONTROL!$C$21, $C$9, 100%, $E$9)</f>
        <v>95.891199999999998</v>
      </c>
      <c r="H920" s="14">
        <f>CHOOSE(CONTROL!$C$42, 96.1383, 96.1383) * CHOOSE(CONTROL!$C$21, $C$9, 100%, $E$9)</f>
        <v>96.138300000000001</v>
      </c>
      <c r="I920" s="14">
        <f>CHOOSE(CONTROL!$C$42, 96.1928, 96.1928)* CHOOSE(CONTROL!$C$21, $C$9, 100%, $E$9)</f>
        <v>96.192800000000005</v>
      </c>
      <c r="J920" s="14">
        <f>CHOOSE(CONTROL!$C$42, 95.8676, 95.8676)* CHOOSE(CONTROL!$C$21, $C$9, 100%, $E$9)</f>
        <v>95.867599999999996</v>
      </c>
      <c r="K920" s="53">
        <f>CHOOSE(CONTROL!$C$42, 96.1889, 96.1889) * CHOOSE(CONTROL!$C$21, $C$9, 100%, $E$9)</f>
        <v>96.188900000000004</v>
      </c>
      <c r="L920" s="14">
        <f>CHOOSE(CONTROL!$C$42, 96.7253, 96.7253) * CHOOSE(CONTROL!$C$21, $C$9, 100%, $E$9)</f>
        <v>96.725300000000004</v>
      </c>
      <c r="M920" s="14">
        <f>CHOOSE(CONTROL!$C$42, 93.911, 93.911) * CHOOSE(CONTROL!$C$21, $C$9, 100%, $E$9)</f>
        <v>93.911000000000001</v>
      </c>
      <c r="N920" s="14">
        <f>CHOOSE(CONTROL!$C$42, 93.9273, 93.9273) * CHOOSE(CONTROL!$C$21, $C$9, 100%, $E$9)</f>
        <v>93.927300000000002</v>
      </c>
      <c r="O920" s="14">
        <f>CHOOSE(CONTROL!$C$42, 94.1762, 94.1762) * CHOOSE(CONTROL!$C$21, $C$9, 100%, $E$9)</f>
        <v>94.176199999999994</v>
      </c>
      <c r="P920" s="14">
        <f>CHOOSE(CONTROL!$C$42, 94.2236, 94.2236) * CHOOSE(CONTROL!$C$21, $C$9, 100%, $E$9)</f>
        <v>94.223600000000005</v>
      </c>
      <c r="Q920" s="14">
        <f>CHOOSE(CONTROL!$C$42, 94.7709, 94.7709) * CHOOSE(CONTROL!$C$21, $C$9, 100%, $E$9)</f>
        <v>94.770899999999997</v>
      </c>
      <c r="R920" s="14">
        <f>CHOOSE(CONTROL!$C$42, 95.5948, 95.5948) * CHOOSE(CONTROL!$C$21, $C$9, 100%, $E$9)</f>
        <v>95.594800000000006</v>
      </c>
      <c r="S920" s="14">
        <f>CHOOSE(CONTROL!$C$42, 92.1172, 92.1172) * CHOOSE(CONTROL!$C$21, $C$9, 100%, $E$9)</f>
        <v>92.117199999999997</v>
      </c>
      <c r="T9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7">
        <f>(1000*CHOOSE(CONTROL!$C$42, 695, 695)*CHOOSE(CONTROL!$C$42, 0.5599, 0.5599)*CHOOSE(CONTROL!$C$42, 31, 31))/1000000</f>
        <v>12.063045499999998</v>
      </c>
      <c r="V920" s="57">
        <f>(1000*CHOOSE(CONTROL!$C$42, 500, 500)*CHOOSE(CONTROL!$C$42, 0.275, 0.275)*CHOOSE(CONTROL!$C$42, 31, 31))/1000000</f>
        <v>4.2625000000000002</v>
      </c>
      <c r="W920" s="57">
        <f>(1000*CHOOSE(CONTROL!$C$42, 0.1146, 0.1146)*CHOOSE(CONTROL!$C$42, 121.5, 121.5)*CHOOSE(CONTROL!$C$42, 31, 31))/1000000</f>
        <v>0.43164089999999994</v>
      </c>
      <c r="X920" s="57">
        <f>(31*0.1790888*245000/1000000)+(31*0.2374*100000/1000000)</f>
        <v>2.0961194359999999</v>
      </c>
      <c r="Y920" s="57"/>
      <c r="Z920" s="14"/>
      <c r="AA920" s="56"/>
      <c r="AB920" s="50">
        <f>(B920*194.205+C920*267.466+D920*133.845+E920*53.484+F920*40+G920*185+H920*0+I920*100+J920*300)/(194.205+267.466+133.845+53.484+0+40+185+100+300)</f>
        <v>95.939884270329671</v>
      </c>
      <c r="AC920" s="45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94.07711510791367</v>
      </c>
    </row>
    <row r="921" spans="1:29" ht="15.75" x14ac:dyDescent="0.25">
      <c r="A921" s="32">
        <v>68941</v>
      </c>
      <c r="B921" s="14">
        <f>CHOOSE(CONTROL!$C$42, 89.7899, 89.7899) * CHOOSE(CONTROL!$C$21, $C$9, 100%, $E$9)</f>
        <v>89.789900000000003</v>
      </c>
      <c r="C921" s="14">
        <f>CHOOSE(CONTROL!$C$42, 89.7979, 89.7979) * CHOOSE(CONTROL!$C$21, $C$9, 100%, $E$9)</f>
        <v>89.797899999999998</v>
      </c>
      <c r="D921" s="14">
        <f>CHOOSE(CONTROL!$C$42, 90.0315, 90.0315) * CHOOSE(CONTROL!$C$21, $C$9, 100%, $E$9)</f>
        <v>90.031499999999994</v>
      </c>
      <c r="E921" s="14">
        <f>CHOOSE(CONTROL!$C$42, 90.063, 90.063) * CHOOSE(CONTROL!$C$21, $C$9, 100%, $E$9)</f>
        <v>90.063000000000002</v>
      </c>
      <c r="F921" s="14">
        <f>CHOOSE(CONTROL!$C$42, 89.7879, 89.7879)*CHOOSE(CONTROL!$C$21, $C$9, 100%, $E$9)</f>
        <v>89.787899999999993</v>
      </c>
      <c r="G921" s="14">
        <f>CHOOSE(CONTROL!$C$42, 89.8046, 89.8046)*CHOOSE(CONTROL!$C$21, $C$9, 100%, $E$9)</f>
        <v>89.804599999999994</v>
      </c>
      <c r="H921" s="14">
        <f>CHOOSE(CONTROL!$C$42, 90.0516, 90.0516) * CHOOSE(CONTROL!$C$21, $C$9, 100%, $E$9)</f>
        <v>90.051599999999993</v>
      </c>
      <c r="I921" s="14">
        <f>CHOOSE(CONTROL!$C$42, 90.087, 90.087)* CHOOSE(CONTROL!$C$21, $C$9, 100%, $E$9)</f>
        <v>90.087000000000003</v>
      </c>
      <c r="J921" s="14">
        <f>CHOOSE(CONTROL!$C$42, 89.7809, 89.7809)* CHOOSE(CONTROL!$C$21, $C$9, 100%, $E$9)</f>
        <v>89.780900000000003</v>
      </c>
      <c r="K921" s="53">
        <f>CHOOSE(CONTROL!$C$42, 90.0831, 90.0831) * CHOOSE(CONTROL!$C$21, $C$9, 100%, $E$9)</f>
        <v>90.083100000000002</v>
      </c>
      <c r="L921" s="14">
        <f>CHOOSE(CONTROL!$C$42, 90.6386, 90.6386) * CHOOSE(CONTROL!$C$21, $C$9, 100%, $E$9)</f>
        <v>90.638599999999997</v>
      </c>
      <c r="M921" s="14">
        <f>CHOOSE(CONTROL!$C$42, 87.9491, 87.9491) * CHOOSE(CONTROL!$C$21, $C$9, 100%, $E$9)</f>
        <v>87.949100000000001</v>
      </c>
      <c r="N921" s="14">
        <f>CHOOSE(CONTROL!$C$42, 87.9654, 87.9654) * CHOOSE(CONTROL!$C$21, $C$9, 100%, $E$9)</f>
        <v>87.965400000000002</v>
      </c>
      <c r="O921" s="14">
        <f>CHOOSE(CONTROL!$C$42, 88.2142, 88.2142) * CHOOSE(CONTROL!$C$21, $C$9, 100%, $E$9)</f>
        <v>88.214200000000005</v>
      </c>
      <c r="P921" s="14">
        <f>CHOOSE(CONTROL!$C$42, 88.2433, 88.2433) * CHOOSE(CONTROL!$C$21, $C$9, 100%, $E$9)</f>
        <v>88.243300000000005</v>
      </c>
      <c r="Q921" s="14">
        <f>CHOOSE(CONTROL!$C$42, 88.8089, 88.8089) * CHOOSE(CONTROL!$C$21, $C$9, 100%, $E$9)</f>
        <v>88.808899999999994</v>
      </c>
      <c r="R921" s="14">
        <f>CHOOSE(CONTROL!$C$42, 89.618, 89.618) * CHOOSE(CONTROL!$C$21, $C$9, 100%, $E$9)</f>
        <v>89.617999999999995</v>
      </c>
      <c r="S921" s="14">
        <f>CHOOSE(CONTROL!$C$42, 86.2685, 86.2685) * CHOOSE(CONTROL!$C$21, $C$9, 100%, $E$9)</f>
        <v>86.268500000000003</v>
      </c>
      <c r="T9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7">
        <f>(1000*CHOOSE(CONTROL!$C$42, 695, 695)*CHOOSE(CONTROL!$C$42, 0.5599, 0.5599)*CHOOSE(CONTROL!$C$42, 30, 30))/1000000</f>
        <v>11.673914999999997</v>
      </c>
      <c r="V921" s="57">
        <f>(1000*CHOOSE(CONTROL!$C$42, 500, 500)*CHOOSE(CONTROL!$C$42, 0.275, 0.275)*CHOOSE(CONTROL!$C$42, 30, 30))/1000000</f>
        <v>4.125</v>
      </c>
      <c r="W921" s="57">
        <f>(1000*CHOOSE(CONTROL!$C$42, 0.1146, 0.1146)*CHOOSE(CONTROL!$C$42, 121.5, 121.5)*CHOOSE(CONTROL!$C$42, 30, 30))/1000000</f>
        <v>0.417717</v>
      </c>
      <c r="X921" s="57">
        <f>(30*0.1790888*245000/1000000)+(30*0.2374*100000/1000000)</f>
        <v>2.0285026799999999</v>
      </c>
      <c r="Y921" s="57"/>
      <c r="Z921" s="14"/>
      <c r="AA921" s="56"/>
      <c r="AB921" s="50">
        <f>(B921*194.205+C921*267.466+D921*133.845+E921*53.484+F921*40+G921*185+H921*0+I921*100+J921*300)/(194.205+267.466+133.845+53.484+0+40+185+100+300)</f>
        <v>89.851699576452106</v>
      </c>
      <c r="AC921" s="45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88.112522302158283</v>
      </c>
    </row>
    <row r="922" spans="1:29" ht="15.75" x14ac:dyDescent="0.25">
      <c r="A922" s="32">
        <v>68972</v>
      </c>
      <c r="B922" s="14">
        <f>CHOOSE(CONTROL!$C$42, 87.9653, 87.9653) * CHOOSE(CONTROL!$C$21, $C$9, 100%, $E$9)</f>
        <v>87.965299999999999</v>
      </c>
      <c r="C922" s="14">
        <f>CHOOSE(CONTROL!$C$42, 87.9706, 87.9706) * CHOOSE(CONTROL!$C$21, $C$9, 100%, $E$9)</f>
        <v>87.970600000000005</v>
      </c>
      <c r="D922" s="14">
        <f>CHOOSE(CONTROL!$C$42, 88.2092, 88.2092) * CHOOSE(CONTROL!$C$21, $C$9, 100%, $E$9)</f>
        <v>88.209199999999996</v>
      </c>
      <c r="E922" s="14">
        <f>CHOOSE(CONTROL!$C$42, 88.2383, 88.2383) * CHOOSE(CONTROL!$C$21, $C$9, 100%, $E$9)</f>
        <v>88.238299999999995</v>
      </c>
      <c r="F922" s="14">
        <f>CHOOSE(CONTROL!$C$42, 87.9653, 87.9653)*CHOOSE(CONTROL!$C$21, $C$9, 100%, $E$9)</f>
        <v>87.965299999999999</v>
      </c>
      <c r="G922" s="14">
        <f>CHOOSE(CONTROL!$C$42, 87.9816, 87.9816)*CHOOSE(CONTROL!$C$21, $C$9, 100%, $E$9)</f>
        <v>87.9816</v>
      </c>
      <c r="H922" s="14">
        <f>CHOOSE(CONTROL!$C$42, 88.2288, 88.2288) * CHOOSE(CONTROL!$C$21, $C$9, 100%, $E$9)</f>
        <v>88.228800000000007</v>
      </c>
      <c r="I922" s="14">
        <f>CHOOSE(CONTROL!$C$42, 88.2584, 88.2584)* CHOOSE(CONTROL!$C$21, $C$9, 100%, $E$9)</f>
        <v>88.258399999999995</v>
      </c>
      <c r="J922" s="14">
        <f>CHOOSE(CONTROL!$C$42, 87.9583, 87.9583)* CHOOSE(CONTROL!$C$21, $C$9, 100%, $E$9)</f>
        <v>87.958299999999994</v>
      </c>
      <c r="K922" s="53">
        <f>CHOOSE(CONTROL!$C$42, 88.2546, 88.2546) * CHOOSE(CONTROL!$C$21, $C$9, 100%, $E$9)</f>
        <v>88.254599999999996</v>
      </c>
      <c r="L922" s="14">
        <f>CHOOSE(CONTROL!$C$42, 88.8158, 88.8158) * CHOOSE(CONTROL!$C$21, $C$9, 100%, $E$9)</f>
        <v>88.815799999999996</v>
      </c>
      <c r="M922" s="14">
        <f>CHOOSE(CONTROL!$C$42, 86.1638, 86.1638) * CHOOSE(CONTROL!$C$21, $C$9, 100%, $E$9)</f>
        <v>86.163799999999995</v>
      </c>
      <c r="N922" s="14">
        <f>CHOOSE(CONTROL!$C$42, 86.1798, 86.1798) * CHOOSE(CONTROL!$C$21, $C$9, 100%, $E$9)</f>
        <v>86.1798</v>
      </c>
      <c r="O922" s="14">
        <f>CHOOSE(CONTROL!$C$42, 86.4287, 86.4287) * CHOOSE(CONTROL!$C$21, $C$9, 100%, $E$9)</f>
        <v>86.428700000000006</v>
      </c>
      <c r="P922" s="14">
        <f>CHOOSE(CONTROL!$C$42, 86.4523, 86.4523) * CHOOSE(CONTROL!$C$21, $C$9, 100%, $E$9)</f>
        <v>86.452299999999994</v>
      </c>
      <c r="Q922" s="14">
        <f>CHOOSE(CONTROL!$C$42, 87.0234, 87.0234) * CHOOSE(CONTROL!$C$21, $C$9, 100%, $E$9)</f>
        <v>87.023399999999995</v>
      </c>
      <c r="R922" s="14">
        <f>CHOOSE(CONTROL!$C$42, 87.828, 87.828) * CHOOSE(CONTROL!$C$21, $C$9, 100%, $E$9)</f>
        <v>87.828000000000003</v>
      </c>
      <c r="S922" s="14">
        <f>CHOOSE(CONTROL!$C$42, 84.5169, 84.5169) * CHOOSE(CONTROL!$C$21, $C$9, 100%, $E$9)</f>
        <v>84.516900000000007</v>
      </c>
      <c r="T9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7">
        <f>(1000*CHOOSE(CONTROL!$C$42, 695, 695)*CHOOSE(CONTROL!$C$42, 0.5599, 0.5599)*CHOOSE(CONTROL!$C$42, 31, 31))/1000000</f>
        <v>12.063045499999998</v>
      </c>
      <c r="V922" s="57">
        <f>(1000*CHOOSE(CONTROL!$C$42, 500, 500)*CHOOSE(CONTROL!$C$42, 0.275, 0.275)*CHOOSE(CONTROL!$C$42, 31, 31))/1000000</f>
        <v>4.2625000000000002</v>
      </c>
      <c r="W922" s="57">
        <f>(1000*CHOOSE(CONTROL!$C$42, 0.1146, 0.1146)*CHOOSE(CONTROL!$C$42, 121.5, 121.5)*CHOOSE(CONTROL!$C$42, 31, 31))/1000000</f>
        <v>0.43164089999999994</v>
      </c>
      <c r="X922" s="57">
        <f>(31*0.1790888*245000/1000000)+(31*0.2374*100000/1000000)</f>
        <v>2.0961194359999999</v>
      </c>
      <c r="Y922" s="57"/>
      <c r="Z922" s="14"/>
      <c r="AA922" s="56"/>
      <c r="AB922" s="50">
        <f>(B922*131.881+C922*277.167+D922*79.08+E922*125.872+F922*40+G922*185+H922*0+I922*100+J922*300)/(131.881+277.167+79.08+125.872+0+40+185+100+300)</f>
        <v>88.034182286602103</v>
      </c>
      <c r="AC922" s="45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86.326294244604313</v>
      </c>
    </row>
    <row r="923" spans="1:29" ht="15.75" x14ac:dyDescent="0.25">
      <c r="A923" s="32">
        <v>69002</v>
      </c>
      <c r="B923" s="14">
        <f>CHOOSE(CONTROL!$C$42, 90.282, 90.282) * CHOOSE(CONTROL!$C$21, $C$9, 100%, $E$9)</f>
        <v>90.281999999999996</v>
      </c>
      <c r="C923" s="14">
        <f>CHOOSE(CONTROL!$C$42, 90.2871, 90.2871) * CHOOSE(CONTROL!$C$21, $C$9, 100%, $E$9)</f>
        <v>90.287099999999995</v>
      </c>
      <c r="D923" s="14">
        <f>CHOOSE(CONTROL!$C$42, 90.3613, 90.3613) * CHOOSE(CONTROL!$C$21, $C$9, 100%, $E$9)</f>
        <v>90.3613</v>
      </c>
      <c r="E923" s="14">
        <f>CHOOSE(CONTROL!$C$42, 90.3954, 90.3954) * CHOOSE(CONTROL!$C$21, $C$9, 100%, $E$9)</f>
        <v>90.395399999999995</v>
      </c>
      <c r="F923" s="14">
        <f>CHOOSE(CONTROL!$C$42, 90.2941, 90.2941)*CHOOSE(CONTROL!$C$21, $C$9, 100%, $E$9)</f>
        <v>90.2941</v>
      </c>
      <c r="G923" s="14">
        <f>CHOOSE(CONTROL!$C$42, 90.3107, 90.3107)*CHOOSE(CONTROL!$C$21, $C$9, 100%, $E$9)</f>
        <v>90.310699999999997</v>
      </c>
      <c r="H923" s="14">
        <f>CHOOSE(CONTROL!$C$42, 90.3846, 90.3846) * CHOOSE(CONTROL!$C$21, $C$9, 100%, $E$9)</f>
        <v>90.384600000000006</v>
      </c>
      <c r="I923" s="14">
        <f>CHOOSE(CONTROL!$C$42, 90.5891, 90.5891)* CHOOSE(CONTROL!$C$21, $C$9, 100%, $E$9)</f>
        <v>90.589100000000002</v>
      </c>
      <c r="J923" s="14">
        <f>CHOOSE(CONTROL!$C$42, 90.2871, 90.2871)* CHOOSE(CONTROL!$C$21, $C$9, 100%, $E$9)</f>
        <v>90.287099999999995</v>
      </c>
      <c r="K923" s="53">
        <f>CHOOSE(CONTROL!$C$42, 90.5852, 90.5852) * CHOOSE(CONTROL!$C$21, $C$9, 100%, $E$9)</f>
        <v>90.5852</v>
      </c>
      <c r="L923" s="14">
        <f>CHOOSE(CONTROL!$C$42, 90.9716, 90.9716) * CHOOSE(CONTROL!$C$21, $C$9, 100%, $E$9)</f>
        <v>90.971599999999995</v>
      </c>
      <c r="M923" s="14">
        <f>CHOOSE(CONTROL!$C$42, 88.4449, 88.4449) * CHOOSE(CONTROL!$C$21, $C$9, 100%, $E$9)</f>
        <v>88.444900000000004</v>
      </c>
      <c r="N923" s="14">
        <f>CHOOSE(CONTROL!$C$42, 88.4611, 88.4611) * CHOOSE(CONTROL!$C$21, $C$9, 100%, $E$9)</f>
        <v>88.461100000000002</v>
      </c>
      <c r="O923" s="14">
        <f>CHOOSE(CONTROL!$C$42, 88.5404, 88.5404) * CHOOSE(CONTROL!$C$21, $C$9, 100%, $E$9)</f>
        <v>88.540400000000005</v>
      </c>
      <c r="P923" s="14">
        <f>CHOOSE(CONTROL!$C$42, 88.7351, 88.7351) * CHOOSE(CONTROL!$C$21, $C$9, 100%, $E$9)</f>
        <v>88.735100000000003</v>
      </c>
      <c r="Q923" s="14">
        <f>CHOOSE(CONTROL!$C$42, 89.1351, 89.1351) * CHOOSE(CONTROL!$C$21, $C$9, 100%, $E$9)</f>
        <v>89.135099999999994</v>
      </c>
      <c r="R923" s="14">
        <f>CHOOSE(CONTROL!$C$42, 89.9449, 89.9449) * CHOOSE(CONTROL!$C$21, $C$9, 100%, $E$9)</f>
        <v>89.944900000000004</v>
      </c>
      <c r="S923" s="14">
        <f>CHOOSE(CONTROL!$C$42, 86.7435, 86.7435) * CHOOSE(CONTROL!$C$21, $C$9, 100%, $E$9)</f>
        <v>86.743499999999997</v>
      </c>
      <c r="T9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7">
        <f>(1000*CHOOSE(CONTROL!$C$42, 695, 695)*CHOOSE(CONTROL!$C$42, 0.5599, 0.5599)*CHOOSE(CONTROL!$C$42, 30, 30))/1000000</f>
        <v>11.673914999999997</v>
      </c>
      <c r="V923" s="57">
        <f>(1000*CHOOSE(CONTROL!$C$42, 500, 500)*CHOOSE(CONTROL!$C$42, 0.275, 0.275)*CHOOSE(CONTROL!$C$42, 30, 30))/1000000</f>
        <v>4.125</v>
      </c>
      <c r="W923" s="57">
        <f>(1000*CHOOSE(CONTROL!$C$42, 0.1146, 0.1146)*CHOOSE(CONTROL!$C$42, 121.5, 121.5)*CHOOSE(CONTROL!$C$42, 30, 30))/1000000</f>
        <v>0.417717</v>
      </c>
      <c r="X923" s="57">
        <f>(30*0.1790888*100000/1000000)+(30*0.2374*100000/1000000)</f>
        <v>1.2494664</v>
      </c>
      <c r="Y923" s="57"/>
      <c r="Z923" s="14"/>
      <c r="AA923" s="56"/>
      <c r="AB923" s="50">
        <f>(B923*122.58+C923*297.941+D923*89.177+E923*40.302+F923*40+G923*160+H923*0+I923*100+J923*300)/(122.58+297.941+89.177+40.302+0+40+160+100+300)</f>
        <v>90.325893462608704</v>
      </c>
      <c r="AC923" s="45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88.530871942446055</v>
      </c>
    </row>
    <row r="924" spans="1:29" ht="15.75" x14ac:dyDescent="0.25">
      <c r="A924" s="32">
        <v>69033</v>
      </c>
      <c r="B924" s="14">
        <f>CHOOSE(CONTROL!$C$42, 96.4368, 96.4368) * CHOOSE(CONTROL!$C$21, $C$9, 100%, $E$9)</f>
        <v>96.436800000000005</v>
      </c>
      <c r="C924" s="14">
        <f>CHOOSE(CONTROL!$C$42, 96.4418, 96.4418) * CHOOSE(CONTROL!$C$21, $C$9, 100%, $E$9)</f>
        <v>96.441800000000001</v>
      </c>
      <c r="D924" s="14">
        <f>CHOOSE(CONTROL!$C$42, 96.5161, 96.5161) * CHOOSE(CONTROL!$C$21, $C$9, 100%, $E$9)</f>
        <v>96.516099999999994</v>
      </c>
      <c r="E924" s="14">
        <f>CHOOSE(CONTROL!$C$42, 96.5502, 96.5502) * CHOOSE(CONTROL!$C$21, $C$9, 100%, $E$9)</f>
        <v>96.550200000000004</v>
      </c>
      <c r="F924" s="14">
        <f>CHOOSE(CONTROL!$C$42, 96.451, 96.451)*CHOOSE(CONTROL!$C$21, $C$9, 100%, $E$9)</f>
        <v>96.450999999999993</v>
      </c>
      <c r="G924" s="14">
        <f>CHOOSE(CONTROL!$C$42, 96.4682, 96.4682)*CHOOSE(CONTROL!$C$21, $C$9, 100%, $E$9)</f>
        <v>96.468199999999996</v>
      </c>
      <c r="H924" s="14">
        <f>CHOOSE(CONTROL!$C$42, 96.5394, 96.5394) * CHOOSE(CONTROL!$C$21, $C$9, 100%, $E$9)</f>
        <v>96.539400000000001</v>
      </c>
      <c r="I924" s="14">
        <f>CHOOSE(CONTROL!$C$42, 96.7631, 96.7631)* CHOOSE(CONTROL!$C$21, $C$9, 100%, $E$9)</f>
        <v>96.763099999999994</v>
      </c>
      <c r="J924" s="14">
        <f>CHOOSE(CONTROL!$C$42, 96.444, 96.444)* CHOOSE(CONTROL!$C$21, $C$9, 100%, $E$9)</f>
        <v>96.444000000000003</v>
      </c>
      <c r="K924" s="53">
        <f>CHOOSE(CONTROL!$C$42, 96.7592, 96.7592) * CHOOSE(CONTROL!$C$21, $C$9, 100%, $E$9)</f>
        <v>96.759200000000007</v>
      </c>
      <c r="L924" s="14">
        <f>CHOOSE(CONTROL!$C$42, 97.1264, 97.1264) * CHOOSE(CONTROL!$C$21, $C$9, 100%, $E$9)</f>
        <v>97.126400000000004</v>
      </c>
      <c r="M924" s="14">
        <f>CHOOSE(CONTROL!$C$42, 94.4756, 94.4756) * CHOOSE(CONTROL!$C$21, $C$9, 100%, $E$9)</f>
        <v>94.4756</v>
      </c>
      <c r="N924" s="14">
        <f>CHOOSE(CONTROL!$C$42, 94.4924, 94.4924) * CHOOSE(CONTROL!$C$21, $C$9, 100%, $E$9)</f>
        <v>94.492400000000004</v>
      </c>
      <c r="O924" s="14">
        <f>CHOOSE(CONTROL!$C$42, 94.569, 94.569) * CHOOSE(CONTROL!$C$21, $C$9, 100%, $E$9)</f>
        <v>94.569000000000003</v>
      </c>
      <c r="P924" s="14">
        <f>CHOOSE(CONTROL!$C$42, 94.7822, 94.7822) * CHOOSE(CONTROL!$C$21, $C$9, 100%, $E$9)</f>
        <v>94.782200000000003</v>
      </c>
      <c r="Q924" s="14">
        <f>CHOOSE(CONTROL!$C$42, 95.1637, 95.1637) * CHOOSE(CONTROL!$C$21, $C$9, 100%, $E$9)</f>
        <v>95.163700000000006</v>
      </c>
      <c r="R924" s="14">
        <f>CHOOSE(CONTROL!$C$42, 95.9886, 95.9886) * CHOOSE(CONTROL!$C$21, $C$9, 100%, $E$9)</f>
        <v>95.988600000000005</v>
      </c>
      <c r="S924" s="14">
        <f>CHOOSE(CONTROL!$C$42, 92.6576, 92.6576) * CHOOSE(CONTROL!$C$21, $C$9, 100%, $E$9)</f>
        <v>92.657600000000002</v>
      </c>
      <c r="T9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7">
        <f>(1000*CHOOSE(CONTROL!$C$42, 695, 695)*CHOOSE(CONTROL!$C$42, 0.5599, 0.5599)*CHOOSE(CONTROL!$C$42, 31, 31))/1000000</f>
        <v>12.063045499999998</v>
      </c>
      <c r="V924" s="57">
        <f>(1000*CHOOSE(CONTROL!$C$42, 500, 500)*CHOOSE(CONTROL!$C$42, 0.275, 0.275)*CHOOSE(CONTROL!$C$42, 31, 31))/1000000</f>
        <v>4.2625000000000002</v>
      </c>
      <c r="W924" s="57">
        <f>(1000*CHOOSE(CONTROL!$C$42, 0.1146, 0.1146)*CHOOSE(CONTROL!$C$42, 121.5, 121.5)*CHOOSE(CONTROL!$C$42, 31, 31))/1000000</f>
        <v>0.43164089999999994</v>
      </c>
      <c r="X924" s="57">
        <f>(31*0.1790888*100000/1000000)+(31*0.2374*100000/1000000)</f>
        <v>1.2911152800000001</v>
      </c>
      <c r="Y924" s="57"/>
      <c r="Z924" s="14"/>
      <c r="AA924" s="56"/>
      <c r="AB924" s="50">
        <f>(B924*122.58+C924*297.941+D924*89.177+E924*40.302+F924*40+G924*160+H924*0+I924*100+J924*300)/(122.58+297.941+89.177+40.302+0+40+160+100+300)</f>
        <v>96.483333641652166</v>
      </c>
      <c r="AC924" s="45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94.563014388489208</v>
      </c>
    </row>
    <row r="925" spans="1:29" ht="15.75" x14ac:dyDescent="0.25">
      <c r="A925" s="32">
        <v>69064</v>
      </c>
      <c r="B925" s="14">
        <f>CHOOSE(CONTROL!$C$42, 104.4307, 104.4307) * CHOOSE(CONTROL!$C$21, $C$9, 100%, $E$9)</f>
        <v>104.4307</v>
      </c>
      <c r="C925" s="14">
        <f>CHOOSE(CONTROL!$C$42, 104.4357, 104.4357) * CHOOSE(CONTROL!$C$21, $C$9, 100%, $E$9)</f>
        <v>104.4357</v>
      </c>
      <c r="D925" s="14">
        <f>CHOOSE(CONTROL!$C$42, 104.5125, 104.5125) * CHOOSE(CONTROL!$C$21, $C$9, 100%, $E$9)</f>
        <v>104.5125</v>
      </c>
      <c r="E925" s="14">
        <f>CHOOSE(CONTROL!$C$42, 104.5466, 104.5466) * CHOOSE(CONTROL!$C$21, $C$9, 100%, $E$9)</f>
        <v>104.5466</v>
      </c>
      <c r="F925" s="14">
        <f>CHOOSE(CONTROL!$C$42, 104.4309, 104.4309)*CHOOSE(CONTROL!$C$21, $C$9, 100%, $E$9)</f>
        <v>104.43089999999999</v>
      </c>
      <c r="G925" s="14">
        <f>CHOOSE(CONTROL!$C$42, 104.4471, 104.4471)*CHOOSE(CONTROL!$C$21, $C$9, 100%, $E$9)</f>
        <v>104.44710000000001</v>
      </c>
      <c r="H925" s="14">
        <f>CHOOSE(CONTROL!$C$42, 104.5358, 104.5358) * CHOOSE(CONTROL!$C$21, $C$9, 100%, $E$9)</f>
        <v>104.53579999999999</v>
      </c>
      <c r="I925" s="14">
        <f>CHOOSE(CONTROL!$C$42, 104.7758, 104.7758)* CHOOSE(CONTROL!$C$21, $C$9, 100%, $E$9)</f>
        <v>104.7758</v>
      </c>
      <c r="J925" s="14">
        <f>CHOOSE(CONTROL!$C$42, 104.4239, 104.4239)* CHOOSE(CONTROL!$C$21, $C$9, 100%, $E$9)</f>
        <v>104.4239</v>
      </c>
      <c r="K925" s="53">
        <f>CHOOSE(CONTROL!$C$42, 104.7719, 104.7719) * CHOOSE(CONTROL!$C$21, $C$9, 100%, $E$9)</f>
        <v>104.7719</v>
      </c>
      <c r="L925" s="14">
        <f>CHOOSE(CONTROL!$C$42, 105.1228, 105.1228) * CHOOSE(CONTROL!$C$21, $C$9, 100%, $E$9)</f>
        <v>105.1228</v>
      </c>
      <c r="M925" s="14">
        <f>CHOOSE(CONTROL!$C$42, 102.292, 102.292) * CHOOSE(CONTROL!$C$21, $C$9, 100%, $E$9)</f>
        <v>102.292</v>
      </c>
      <c r="N925" s="14">
        <f>CHOOSE(CONTROL!$C$42, 102.3079, 102.3079) * CHOOSE(CONTROL!$C$21, $C$9, 100%, $E$9)</f>
        <v>102.3079</v>
      </c>
      <c r="O925" s="14">
        <f>CHOOSE(CONTROL!$C$42, 102.4017, 102.4017) * CHOOSE(CONTROL!$C$21, $C$9, 100%, $E$9)</f>
        <v>102.40170000000001</v>
      </c>
      <c r="P925" s="14">
        <f>CHOOSE(CONTROL!$C$42, 102.6302, 102.6302) * CHOOSE(CONTROL!$C$21, $C$9, 100%, $E$9)</f>
        <v>102.6302</v>
      </c>
      <c r="Q925" s="14">
        <f>CHOOSE(CONTROL!$C$42, 102.9964, 102.9964) * CHOOSE(CONTROL!$C$21, $C$9, 100%, $E$9)</f>
        <v>102.99639999999999</v>
      </c>
      <c r="R925" s="14">
        <f>CHOOSE(CONTROL!$C$42, 103.8409, 103.8409) * CHOOSE(CONTROL!$C$21, $C$9, 100%, $E$9)</f>
        <v>103.8409</v>
      </c>
      <c r="S925" s="14">
        <f>CHOOSE(CONTROL!$C$42, 100.3389, 100.3389) * CHOOSE(CONTROL!$C$21, $C$9, 100%, $E$9)</f>
        <v>100.3389</v>
      </c>
      <c r="T9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7">
        <f>(1000*CHOOSE(CONTROL!$C$42, 695, 695)*CHOOSE(CONTROL!$C$42, 0.5599, 0.5599)*CHOOSE(CONTROL!$C$42, 31, 31))/1000000</f>
        <v>12.063045499999998</v>
      </c>
      <c r="V925" s="57">
        <f>(1000*CHOOSE(CONTROL!$C$42, 500, 500)*CHOOSE(CONTROL!$C$42, 0.275, 0.275)*CHOOSE(CONTROL!$C$42, 31, 31))/1000000</f>
        <v>4.2625000000000002</v>
      </c>
      <c r="W925" s="57">
        <f>(1000*CHOOSE(CONTROL!$C$42, 0.1146, 0.1146)*CHOOSE(CONTROL!$C$42, 121.5, 121.5)*CHOOSE(CONTROL!$C$42, 31, 31))/1000000</f>
        <v>0.43164089999999994</v>
      </c>
      <c r="X925" s="57">
        <f>(31*0.1790888*100000/1000000)+(31*0.2374*100000/1000000)</f>
        <v>1.2911152800000001</v>
      </c>
      <c r="Y925" s="57"/>
      <c r="Z925" s="14"/>
      <c r="AA925" s="56"/>
      <c r="AB925" s="50">
        <f>(B925*122.58+C925*297.941+D925*89.177+E925*40.302+F925*40+G925*160+H925*0+I925*100+J925*300)/(122.58+297.941+89.177+40.302+0+40+160+100+300)</f>
        <v>104.47292381339129</v>
      </c>
      <c r="AC925" s="45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102.39129712230218</v>
      </c>
    </row>
    <row r="926" spans="1:29" ht="15.75" x14ac:dyDescent="0.25">
      <c r="A926" s="32">
        <v>69092</v>
      </c>
      <c r="B926" s="14">
        <f>CHOOSE(CONTROL!$C$42, 106.2895, 106.2895) * CHOOSE(CONTROL!$C$21, $C$9, 100%, $E$9)</f>
        <v>106.2895</v>
      </c>
      <c r="C926" s="14">
        <f>CHOOSE(CONTROL!$C$42, 106.2946, 106.2946) * CHOOSE(CONTROL!$C$21, $C$9, 100%, $E$9)</f>
        <v>106.2946</v>
      </c>
      <c r="D926" s="14">
        <f>CHOOSE(CONTROL!$C$42, 106.3714, 106.3714) * CHOOSE(CONTROL!$C$21, $C$9, 100%, $E$9)</f>
        <v>106.37139999999999</v>
      </c>
      <c r="E926" s="14">
        <f>CHOOSE(CONTROL!$C$42, 106.4055, 106.4055) * CHOOSE(CONTROL!$C$21, $C$9, 100%, $E$9)</f>
        <v>106.4055</v>
      </c>
      <c r="F926" s="14">
        <f>CHOOSE(CONTROL!$C$42, 106.2898, 106.2898)*CHOOSE(CONTROL!$C$21, $C$9, 100%, $E$9)</f>
        <v>106.2898</v>
      </c>
      <c r="G926" s="14">
        <f>CHOOSE(CONTROL!$C$42, 106.306, 106.306)*CHOOSE(CONTROL!$C$21, $C$9, 100%, $E$9)</f>
        <v>106.306</v>
      </c>
      <c r="H926" s="14">
        <f>CHOOSE(CONTROL!$C$42, 106.3947, 106.3947) * CHOOSE(CONTROL!$C$21, $C$9, 100%, $E$9)</f>
        <v>106.3947</v>
      </c>
      <c r="I926" s="14">
        <f>CHOOSE(CONTROL!$C$42, 106.6404, 106.6404)* CHOOSE(CONTROL!$C$21, $C$9, 100%, $E$9)</f>
        <v>106.6404</v>
      </c>
      <c r="J926" s="14">
        <f>CHOOSE(CONTROL!$C$42, 106.2828, 106.2828)* CHOOSE(CONTROL!$C$21, $C$9, 100%, $E$9)</f>
        <v>106.28279999999999</v>
      </c>
      <c r="K926" s="53">
        <f>CHOOSE(CONTROL!$C$42, 106.6366, 106.6366) * CHOOSE(CONTROL!$C$21, $C$9, 100%, $E$9)</f>
        <v>106.6366</v>
      </c>
      <c r="L926" s="14">
        <f>CHOOSE(CONTROL!$C$42, 106.9817, 106.9817) * CHOOSE(CONTROL!$C$21, $C$9, 100%, $E$9)</f>
        <v>106.9817</v>
      </c>
      <c r="M926" s="14">
        <f>CHOOSE(CONTROL!$C$42, 104.1128, 104.1128) * CHOOSE(CONTROL!$C$21, $C$9, 100%, $E$9)</f>
        <v>104.11279999999999</v>
      </c>
      <c r="N926" s="14">
        <f>CHOOSE(CONTROL!$C$42, 104.1287, 104.1287) * CHOOSE(CONTROL!$C$21, $C$9, 100%, $E$9)</f>
        <v>104.12869999999999</v>
      </c>
      <c r="O926" s="14">
        <f>CHOOSE(CONTROL!$C$42, 104.2224, 104.2224) * CHOOSE(CONTROL!$C$21, $C$9, 100%, $E$9)</f>
        <v>104.22239999999999</v>
      </c>
      <c r="P926" s="14">
        <f>CHOOSE(CONTROL!$C$42, 104.4565, 104.4565) * CHOOSE(CONTROL!$C$21, $C$9, 100%, $E$9)</f>
        <v>104.45650000000001</v>
      </c>
      <c r="Q926" s="14">
        <f>CHOOSE(CONTROL!$C$42, 104.8171, 104.8171) * CHOOSE(CONTROL!$C$21, $C$9, 100%, $E$9)</f>
        <v>104.8171</v>
      </c>
      <c r="R926" s="14">
        <f>CHOOSE(CONTROL!$C$42, 105.6662, 105.6662) * CHOOSE(CONTROL!$C$21, $C$9, 100%, $E$9)</f>
        <v>105.6662</v>
      </c>
      <c r="S926" s="14">
        <f>CHOOSE(CONTROL!$C$42, 102.125, 102.125) * CHOOSE(CONTROL!$C$21, $C$9, 100%, $E$9)</f>
        <v>102.125</v>
      </c>
      <c r="T9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7">
        <f>(1000*CHOOSE(CONTROL!$C$42, 695, 695)*CHOOSE(CONTROL!$C$42, 0.5599, 0.5599)*CHOOSE(CONTROL!$C$42, 28, 28))/1000000</f>
        <v>10.895653999999999</v>
      </c>
      <c r="V926" s="57">
        <f>(1000*CHOOSE(CONTROL!$C$42, 500, 500)*CHOOSE(CONTROL!$C$42, 0.275, 0.275)*CHOOSE(CONTROL!$C$42, 28, 28))/1000000</f>
        <v>3.85</v>
      </c>
      <c r="W926" s="57">
        <f>(1000*CHOOSE(CONTROL!$C$42, 0.1146, 0.1146)*CHOOSE(CONTROL!$C$42, 121.5, 121.5)*CHOOSE(CONTROL!$C$42, 28, 28))/1000000</f>
        <v>0.38986920000000003</v>
      </c>
      <c r="X926" s="57">
        <f>(28*0.1790888*100000/1000000)+(28*0.2374*100000/1000000)</f>
        <v>1.16616864</v>
      </c>
      <c r="Y926" s="57"/>
      <c r="Z926" s="14"/>
      <c r="AA926" s="56"/>
      <c r="AB926" s="50">
        <f>(B926*122.58+C926*297.941+D926*89.177+E926*40.302+F926*40+G926*160+H926*0+I926*100+J926*300)/(122.58+297.941+89.177+40.302+0+40+160+100+300)</f>
        <v>106.3323088064348</v>
      </c>
      <c r="AC926" s="45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104.21284316546763</v>
      </c>
    </row>
    <row r="927" spans="1:29" ht="15.75" x14ac:dyDescent="0.25">
      <c r="A927" s="32">
        <v>69123</v>
      </c>
      <c r="B927" s="14">
        <f>CHOOSE(CONTROL!$C$42, 103.2721, 103.2721) * CHOOSE(CONTROL!$C$21, $C$9, 100%, $E$9)</f>
        <v>103.27209999999999</v>
      </c>
      <c r="C927" s="14">
        <f>CHOOSE(CONTROL!$C$42, 103.2772, 103.2772) * CHOOSE(CONTROL!$C$21, $C$9, 100%, $E$9)</f>
        <v>103.27719999999999</v>
      </c>
      <c r="D927" s="14">
        <f>CHOOSE(CONTROL!$C$42, 103.354, 103.354) * CHOOSE(CONTROL!$C$21, $C$9, 100%, $E$9)</f>
        <v>103.354</v>
      </c>
      <c r="E927" s="14">
        <f>CHOOSE(CONTROL!$C$42, 103.3881, 103.3881) * CHOOSE(CONTROL!$C$21, $C$9, 100%, $E$9)</f>
        <v>103.38809999999999</v>
      </c>
      <c r="F927" s="14">
        <f>CHOOSE(CONTROL!$C$42, 103.2719, 103.2719)*CHOOSE(CONTROL!$C$21, $C$9, 100%, $E$9)</f>
        <v>103.2719</v>
      </c>
      <c r="G927" s="14">
        <f>CHOOSE(CONTROL!$C$42, 103.288, 103.288)*CHOOSE(CONTROL!$C$21, $C$9, 100%, $E$9)</f>
        <v>103.288</v>
      </c>
      <c r="H927" s="14">
        <f>CHOOSE(CONTROL!$C$42, 103.3773, 103.3773) * CHOOSE(CONTROL!$C$21, $C$9, 100%, $E$9)</f>
        <v>103.37730000000001</v>
      </c>
      <c r="I927" s="14">
        <f>CHOOSE(CONTROL!$C$42, 103.6136, 103.6136)* CHOOSE(CONTROL!$C$21, $C$9, 100%, $E$9)</f>
        <v>103.61360000000001</v>
      </c>
      <c r="J927" s="14">
        <f>CHOOSE(CONTROL!$C$42, 103.2649, 103.2649)* CHOOSE(CONTROL!$C$21, $C$9, 100%, $E$9)</f>
        <v>103.2649</v>
      </c>
      <c r="K927" s="53">
        <f>CHOOSE(CONTROL!$C$42, 103.6097, 103.6097) * CHOOSE(CONTROL!$C$21, $C$9, 100%, $E$9)</f>
        <v>103.6097</v>
      </c>
      <c r="L927" s="14">
        <f>CHOOSE(CONTROL!$C$42, 103.9643, 103.9643) * CHOOSE(CONTROL!$C$21, $C$9, 100%, $E$9)</f>
        <v>103.96429999999999</v>
      </c>
      <c r="M927" s="14">
        <f>CHOOSE(CONTROL!$C$42, 101.1568, 101.1568) * CHOOSE(CONTROL!$C$21, $C$9, 100%, $E$9)</f>
        <v>101.1568</v>
      </c>
      <c r="N927" s="14">
        <f>CHOOSE(CONTROL!$C$42, 101.1726, 101.1726) * CHOOSE(CONTROL!$C$21, $C$9, 100%, $E$9)</f>
        <v>101.1726</v>
      </c>
      <c r="O927" s="14">
        <f>CHOOSE(CONTROL!$C$42, 101.2669, 101.2669) * CHOOSE(CONTROL!$C$21, $C$9, 100%, $E$9)</f>
        <v>101.26690000000001</v>
      </c>
      <c r="P927" s="14">
        <f>CHOOSE(CONTROL!$C$42, 101.4919, 101.4919) * CHOOSE(CONTROL!$C$21, $C$9, 100%, $E$9)</f>
        <v>101.4919</v>
      </c>
      <c r="Q927" s="14">
        <f>CHOOSE(CONTROL!$C$42, 101.8616, 101.8616) * CHOOSE(CONTROL!$C$21, $C$9, 100%, $E$9)</f>
        <v>101.8616</v>
      </c>
      <c r="R927" s="14">
        <f>CHOOSE(CONTROL!$C$42, 102.7032, 102.7032) * CHOOSE(CONTROL!$C$21, $C$9, 100%, $E$9)</f>
        <v>102.7032</v>
      </c>
      <c r="S927" s="14">
        <f>CHOOSE(CONTROL!$C$42, 99.2257, 99.2257) * CHOOSE(CONTROL!$C$21, $C$9, 100%, $E$9)</f>
        <v>99.225700000000003</v>
      </c>
      <c r="T9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7">
        <f>(1000*CHOOSE(CONTROL!$C$42, 695, 695)*CHOOSE(CONTROL!$C$42, 0.5599, 0.5599)*CHOOSE(CONTROL!$C$42, 31, 31))/1000000</f>
        <v>12.063045499999998</v>
      </c>
      <c r="V927" s="57">
        <f>(1000*CHOOSE(CONTROL!$C$42, 500, 500)*CHOOSE(CONTROL!$C$42, 0.275, 0.275)*CHOOSE(CONTROL!$C$42, 31, 31))/1000000</f>
        <v>4.2625000000000002</v>
      </c>
      <c r="W927" s="57">
        <f>(1000*CHOOSE(CONTROL!$C$42, 0.1146, 0.1146)*CHOOSE(CONTROL!$C$42, 121.5, 121.5)*CHOOSE(CONTROL!$C$42, 31, 31))/1000000</f>
        <v>0.43164089999999994</v>
      </c>
      <c r="X927" s="57">
        <f>(31*0.1790888*100000/1000000)+(31*0.2374*100000/1000000)</f>
        <v>1.2911152800000001</v>
      </c>
      <c r="Y927" s="57"/>
      <c r="Z927" s="14"/>
      <c r="AA927" s="56"/>
      <c r="AB927" s="50">
        <f>(B927*122.58+C927*297.941+D927*89.177+E927*40.302+F927*40+G927*160+H927*0+I927*100+J927*300)/(122.58+297.941+89.177+40.302+0+40+160+100+300)</f>
        <v>103.31386011078261</v>
      </c>
      <c r="AC927" s="45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101.25582661870504</v>
      </c>
    </row>
    <row r="928" spans="1:29" ht="15.75" x14ac:dyDescent="0.25">
      <c r="A928" s="32">
        <v>69153</v>
      </c>
      <c r="B928" s="14">
        <f>CHOOSE(CONTROL!$C$42, 102.9642, 102.9642) * CHOOSE(CONTROL!$C$21, $C$9, 100%, $E$9)</f>
        <v>102.96420000000001</v>
      </c>
      <c r="C928" s="14">
        <f>CHOOSE(CONTROL!$C$42, 102.9687, 102.9687) * CHOOSE(CONTROL!$C$21, $C$9, 100%, $E$9)</f>
        <v>102.9687</v>
      </c>
      <c r="D928" s="14">
        <f>CHOOSE(CONTROL!$C$42, 103.2054, 103.2054) * CHOOSE(CONTROL!$C$21, $C$9, 100%, $E$9)</f>
        <v>103.2054</v>
      </c>
      <c r="E928" s="14">
        <f>CHOOSE(CONTROL!$C$42, 103.2375, 103.2375) * CHOOSE(CONTROL!$C$21, $C$9, 100%, $E$9)</f>
        <v>103.2375</v>
      </c>
      <c r="F928" s="14">
        <f>CHOOSE(CONTROL!$C$42, 102.9621, 102.9621)*CHOOSE(CONTROL!$C$21, $C$9, 100%, $E$9)</f>
        <v>102.96210000000001</v>
      </c>
      <c r="G928" s="14">
        <f>CHOOSE(CONTROL!$C$42, 102.978, 102.978)*CHOOSE(CONTROL!$C$21, $C$9, 100%, $E$9)</f>
        <v>102.97799999999999</v>
      </c>
      <c r="H928" s="14">
        <f>CHOOSE(CONTROL!$C$42, 103.2273, 103.2273) * CHOOSE(CONTROL!$C$21, $C$9, 100%, $E$9)</f>
        <v>103.2273</v>
      </c>
      <c r="I928" s="14">
        <f>CHOOSE(CONTROL!$C$42, 103.3039, 103.3039)* CHOOSE(CONTROL!$C$21, $C$9, 100%, $E$9)</f>
        <v>103.3039</v>
      </c>
      <c r="J928" s="14">
        <f>CHOOSE(CONTROL!$C$42, 102.9551, 102.9551)* CHOOSE(CONTROL!$C$21, $C$9, 100%, $E$9)</f>
        <v>102.9551</v>
      </c>
      <c r="K928" s="53">
        <f>CHOOSE(CONTROL!$C$42, 103.3, 103.3) * CHOOSE(CONTROL!$C$21, $C$9, 100%, $E$9)</f>
        <v>103.3</v>
      </c>
      <c r="L928" s="14">
        <f>CHOOSE(CONTROL!$C$42, 103.8143, 103.8143) * CHOOSE(CONTROL!$C$21, $C$9, 100%, $E$9)</f>
        <v>103.8143</v>
      </c>
      <c r="M928" s="14">
        <f>CHOOSE(CONTROL!$C$42, 100.8533, 100.8533) * CHOOSE(CONTROL!$C$21, $C$9, 100%, $E$9)</f>
        <v>100.8533</v>
      </c>
      <c r="N928" s="14">
        <f>CHOOSE(CONTROL!$C$42, 100.8688, 100.8688) * CHOOSE(CONTROL!$C$21, $C$9, 100%, $E$9)</f>
        <v>100.86879999999999</v>
      </c>
      <c r="O928" s="14">
        <f>CHOOSE(CONTROL!$C$42, 101.1199, 101.1199) * CHOOSE(CONTROL!$C$21, $C$9, 100%, $E$9)</f>
        <v>101.1199</v>
      </c>
      <c r="P928" s="14">
        <f>CHOOSE(CONTROL!$C$42, 101.1886, 101.1886) * CHOOSE(CONTROL!$C$21, $C$9, 100%, $E$9)</f>
        <v>101.18859999999999</v>
      </c>
      <c r="Q928" s="14">
        <f>CHOOSE(CONTROL!$C$42, 101.7146, 101.7146) * CHOOSE(CONTROL!$C$21, $C$9, 100%, $E$9)</f>
        <v>101.7146</v>
      </c>
      <c r="R928" s="14">
        <f>CHOOSE(CONTROL!$C$42, 102.5559, 102.5559) * CHOOSE(CONTROL!$C$21, $C$9, 100%, $E$9)</f>
        <v>102.55589999999999</v>
      </c>
      <c r="S928" s="14">
        <f>CHOOSE(CONTROL!$C$42, 98.929, 98.929) * CHOOSE(CONTROL!$C$21, $C$9, 100%, $E$9)</f>
        <v>98.929000000000002</v>
      </c>
      <c r="T9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7">
        <f>(1000*CHOOSE(CONTROL!$C$42, 695, 695)*CHOOSE(CONTROL!$C$42, 0.5599, 0.5599)*CHOOSE(CONTROL!$C$42, 30, 30))/1000000</f>
        <v>11.673914999999997</v>
      </c>
      <c r="V928" s="57">
        <f>(1000*CHOOSE(CONTROL!$C$42, 500, 500)*CHOOSE(CONTROL!$C$42, 0.275, 0.275)*CHOOSE(CONTROL!$C$42, 30, 30))/1000000</f>
        <v>4.125</v>
      </c>
      <c r="W928" s="57">
        <f>(1000*CHOOSE(CONTROL!$C$42, 0.1146, 0.1146)*CHOOSE(CONTROL!$C$42, 121.5, 121.5)*CHOOSE(CONTROL!$C$42, 30, 30))/1000000</f>
        <v>0.417717</v>
      </c>
      <c r="X928" s="57">
        <f>(30*0.1790888*245000/1000000)+(30*0.2374*100000/1000000)</f>
        <v>2.0285026799999999</v>
      </c>
      <c r="Y928" s="57"/>
      <c r="Z928" s="14"/>
      <c r="AA928" s="56"/>
      <c r="AB928" s="50">
        <f>(B928*141.293+C928*267.993+D928*115.016+E928*89.698+F928*40+G928*185+H928*0+I928*100+J928*300)/(141.293+267.993+115.016+89.698+0+40+185+100+300)</f>
        <v>103.03455616715094</v>
      </c>
      <c r="AC928" s="45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101.02326978417267</v>
      </c>
    </row>
    <row r="929" spans="1:29" ht="15.75" x14ac:dyDescent="0.25">
      <c r="A929" s="32">
        <v>69184</v>
      </c>
      <c r="B929" s="14">
        <f>CHOOSE(CONTROL!$C$42, 103.8743, 103.8743) * CHOOSE(CONTROL!$C$21, $C$9, 100%, $E$9)</f>
        <v>103.87430000000001</v>
      </c>
      <c r="C929" s="14">
        <f>CHOOSE(CONTROL!$C$42, 103.8823, 103.8823) * CHOOSE(CONTROL!$C$21, $C$9, 100%, $E$9)</f>
        <v>103.8823</v>
      </c>
      <c r="D929" s="14">
        <f>CHOOSE(CONTROL!$C$42, 104.1159, 104.1159) * CHOOSE(CONTROL!$C$21, $C$9, 100%, $E$9)</f>
        <v>104.1159</v>
      </c>
      <c r="E929" s="14">
        <f>CHOOSE(CONTROL!$C$42, 104.1473, 104.1473) * CHOOSE(CONTROL!$C$21, $C$9, 100%, $E$9)</f>
        <v>104.1473</v>
      </c>
      <c r="F929" s="14">
        <f>CHOOSE(CONTROL!$C$42, 103.871, 103.871)*CHOOSE(CONTROL!$C$21, $C$9, 100%, $E$9)</f>
        <v>103.871</v>
      </c>
      <c r="G929" s="14">
        <f>CHOOSE(CONTROL!$C$42, 103.8874, 103.8874)*CHOOSE(CONTROL!$C$21, $C$9, 100%, $E$9)</f>
        <v>103.8874</v>
      </c>
      <c r="H929" s="14">
        <f>CHOOSE(CONTROL!$C$42, 104.136, 104.136) * CHOOSE(CONTROL!$C$21, $C$9, 100%, $E$9)</f>
        <v>104.136</v>
      </c>
      <c r="I929" s="14">
        <f>CHOOSE(CONTROL!$C$42, 104.2155, 104.2155)* CHOOSE(CONTROL!$C$21, $C$9, 100%, $E$9)</f>
        <v>104.21550000000001</v>
      </c>
      <c r="J929" s="14">
        <f>CHOOSE(CONTROL!$C$42, 103.864, 103.864)* CHOOSE(CONTROL!$C$21, $C$9, 100%, $E$9)</f>
        <v>103.864</v>
      </c>
      <c r="K929" s="53">
        <f>CHOOSE(CONTROL!$C$42, 104.2116, 104.2116) * CHOOSE(CONTROL!$C$21, $C$9, 100%, $E$9)</f>
        <v>104.2116</v>
      </c>
      <c r="L929" s="14">
        <f>CHOOSE(CONTROL!$C$42, 104.723, 104.723) * CHOOSE(CONTROL!$C$21, $C$9, 100%, $E$9)</f>
        <v>104.723</v>
      </c>
      <c r="M929" s="14">
        <f>CHOOSE(CONTROL!$C$42, 101.7436, 101.7436) * CHOOSE(CONTROL!$C$21, $C$9, 100%, $E$9)</f>
        <v>101.7436</v>
      </c>
      <c r="N929" s="14">
        <f>CHOOSE(CONTROL!$C$42, 101.7596, 101.7596) * CHOOSE(CONTROL!$C$21, $C$9, 100%, $E$9)</f>
        <v>101.75960000000001</v>
      </c>
      <c r="O929" s="14">
        <f>CHOOSE(CONTROL!$C$42, 102.01, 102.01) * CHOOSE(CONTROL!$C$21, $C$9, 100%, $E$9)</f>
        <v>102.01</v>
      </c>
      <c r="P929" s="14">
        <f>CHOOSE(CONTROL!$C$42, 102.0814, 102.0814) * CHOOSE(CONTROL!$C$21, $C$9, 100%, $E$9)</f>
        <v>102.0814</v>
      </c>
      <c r="Q929" s="14">
        <f>CHOOSE(CONTROL!$C$42, 102.6047, 102.6047) * CHOOSE(CONTROL!$C$21, $C$9, 100%, $E$9)</f>
        <v>102.60469999999999</v>
      </c>
      <c r="R929" s="14">
        <f>CHOOSE(CONTROL!$C$42, 103.4482, 103.4482) * CHOOSE(CONTROL!$C$21, $C$9, 100%, $E$9)</f>
        <v>103.4482</v>
      </c>
      <c r="S929" s="14">
        <f>CHOOSE(CONTROL!$C$42, 99.8021, 99.8021) * CHOOSE(CONTROL!$C$21, $C$9, 100%, $E$9)</f>
        <v>99.802099999999996</v>
      </c>
      <c r="T9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7">
        <f>(1000*CHOOSE(CONTROL!$C$42, 695, 695)*CHOOSE(CONTROL!$C$42, 0.5599, 0.5599)*CHOOSE(CONTROL!$C$42, 31, 31))/1000000</f>
        <v>12.063045499999998</v>
      </c>
      <c r="V929" s="57">
        <f>(1000*CHOOSE(CONTROL!$C$42, 500, 500)*CHOOSE(CONTROL!$C$42, 0.275, 0.275)*CHOOSE(CONTROL!$C$42, 31, 31))/1000000</f>
        <v>4.2625000000000002</v>
      </c>
      <c r="W929" s="57">
        <f>(1000*CHOOSE(CONTROL!$C$42, 0.1146, 0.1146)*CHOOSE(CONTROL!$C$42, 121.5, 121.5)*CHOOSE(CONTROL!$C$42, 31, 31))/1000000</f>
        <v>0.43164089999999994</v>
      </c>
      <c r="X929" s="57">
        <f>(31*0.1790888*245000/1000000)+(31*0.2374*100000/1000000)</f>
        <v>2.0961194359999999</v>
      </c>
      <c r="Y929" s="57"/>
      <c r="Z929" s="14"/>
      <c r="AA929" s="56"/>
      <c r="AB929" s="50">
        <f>(B929*194.205+C929*267.466+D929*133.845+E929*53.484+F929*40+G929*185+H929*0+I929*100+J929*300)/(194.205+267.466+133.845+53.484+0+40+185+100+300)</f>
        <v>103.9389776389325</v>
      </c>
      <c r="AC929" s="45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101.91386762589929</v>
      </c>
    </row>
    <row r="930" spans="1:29" ht="15.75" x14ac:dyDescent="0.25">
      <c r="A930" s="32">
        <v>69214</v>
      </c>
      <c r="B930" s="14">
        <f>CHOOSE(CONTROL!$C$42, 106.8205, 106.8205) * CHOOSE(CONTROL!$C$21, $C$9, 100%, $E$9)</f>
        <v>106.8205</v>
      </c>
      <c r="C930" s="14">
        <f>CHOOSE(CONTROL!$C$42, 106.8285, 106.8285) * CHOOSE(CONTROL!$C$21, $C$9, 100%, $E$9)</f>
        <v>106.82850000000001</v>
      </c>
      <c r="D930" s="14">
        <f>CHOOSE(CONTROL!$C$42, 107.0621, 107.0621) * CHOOSE(CONTROL!$C$21, $C$9, 100%, $E$9)</f>
        <v>107.0621</v>
      </c>
      <c r="E930" s="14">
        <f>CHOOSE(CONTROL!$C$42, 107.0935, 107.0935) * CHOOSE(CONTROL!$C$21, $C$9, 100%, $E$9)</f>
        <v>107.09350000000001</v>
      </c>
      <c r="F930" s="14">
        <f>CHOOSE(CONTROL!$C$42, 106.8177, 106.8177)*CHOOSE(CONTROL!$C$21, $C$9, 100%, $E$9)</f>
        <v>106.8177</v>
      </c>
      <c r="G930" s="14">
        <f>CHOOSE(CONTROL!$C$42, 106.8342, 106.8342)*CHOOSE(CONTROL!$C$21, $C$9, 100%, $E$9)</f>
        <v>106.8342</v>
      </c>
      <c r="H930" s="14">
        <f>CHOOSE(CONTROL!$C$42, 107.0822, 107.0822) * CHOOSE(CONTROL!$C$21, $C$9, 100%, $E$9)</f>
        <v>107.0822</v>
      </c>
      <c r="I930" s="14">
        <f>CHOOSE(CONTROL!$C$42, 107.1709, 107.1709)* CHOOSE(CONTROL!$C$21, $C$9, 100%, $E$9)</f>
        <v>107.1709</v>
      </c>
      <c r="J930" s="14">
        <f>CHOOSE(CONTROL!$C$42, 106.8107, 106.8107)* CHOOSE(CONTROL!$C$21, $C$9, 100%, $E$9)</f>
        <v>106.8107</v>
      </c>
      <c r="K930" s="53">
        <f>CHOOSE(CONTROL!$C$42, 107.167, 107.167) * CHOOSE(CONTROL!$C$21, $C$9, 100%, $E$9)</f>
        <v>107.167</v>
      </c>
      <c r="L930" s="14">
        <f>CHOOSE(CONTROL!$C$42, 107.6692, 107.6692) * CHOOSE(CONTROL!$C$21, $C$9, 100%, $E$9)</f>
        <v>107.6692</v>
      </c>
      <c r="M930" s="14">
        <f>CHOOSE(CONTROL!$C$42, 104.6299, 104.6299) * CHOOSE(CONTROL!$C$21, $C$9, 100%, $E$9)</f>
        <v>104.62990000000001</v>
      </c>
      <c r="N930" s="14">
        <f>CHOOSE(CONTROL!$C$42, 104.6461, 104.6461) * CHOOSE(CONTROL!$C$21, $C$9, 100%, $E$9)</f>
        <v>104.6461</v>
      </c>
      <c r="O930" s="14">
        <f>CHOOSE(CONTROL!$C$42, 104.8958, 104.8958) * CHOOSE(CONTROL!$C$21, $C$9, 100%, $E$9)</f>
        <v>104.89579999999999</v>
      </c>
      <c r="P930" s="14">
        <f>CHOOSE(CONTROL!$C$42, 104.9761, 104.9761) * CHOOSE(CONTROL!$C$21, $C$9, 100%, $E$9)</f>
        <v>104.9761</v>
      </c>
      <c r="Q930" s="14">
        <f>CHOOSE(CONTROL!$C$42, 105.4905, 105.4905) * CHOOSE(CONTROL!$C$21, $C$9, 100%, $E$9)</f>
        <v>105.4905</v>
      </c>
      <c r="R930" s="14">
        <f>CHOOSE(CONTROL!$C$42, 106.3413, 106.3413) * CHOOSE(CONTROL!$C$21, $C$9, 100%, $E$9)</f>
        <v>106.3413</v>
      </c>
      <c r="S930" s="14">
        <f>CHOOSE(CONTROL!$C$42, 102.6331, 102.6331) * CHOOSE(CONTROL!$C$21, $C$9, 100%, $E$9)</f>
        <v>102.6331</v>
      </c>
      <c r="T9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7">
        <f>(1000*CHOOSE(CONTROL!$C$42, 695, 695)*CHOOSE(CONTROL!$C$42, 0.5599, 0.5599)*CHOOSE(CONTROL!$C$42, 30, 30))/1000000</f>
        <v>11.673914999999997</v>
      </c>
      <c r="V930" s="57">
        <f>(1000*CHOOSE(CONTROL!$C$42, 500, 500)*CHOOSE(CONTROL!$C$42, 0.275, 0.275)*CHOOSE(CONTROL!$C$42, 30, 30))/1000000</f>
        <v>4.125</v>
      </c>
      <c r="W930" s="57">
        <f>(1000*CHOOSE(CONTROL!$C$42, 0.1146, 0.1146)*CHOOSE(CONTROL!$C$42, 121.5, 121.5)*CHOOSE(CONTROL!$C$42, 30, 30))/1000000</f>
        <v>0.417717</v>
      </c>
      <c r="X930" s="57">
        <f>(30*0.1790888*245000/1000000)+(30*0.2374*100000/1000000)</f>
        <v>2.0285026799999999</v>
      </c>
      <c r="Y930" s="57"/>
      <c r="Z930" s="14"/>
      <c r="AA930" s="56"/>
      <c r="AB930" s="50">
        <f>(B930*194.205+C930*267.466+D930*133.845+E930*53.484+F930*40+G930*185+H930*0+I930*100+J930*300)/(194.205+267.466+133.845+53.484+0+40+185+100+300)</f>
        <v>106.88612033908946</v>
      </c>
      <c r="AC930" s="45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104.80116115107914</v>
      </c>
    </row>
    <row r="931" spans="1:29" ht="15.75" x14ac:dyDescent="0.25">
      <c r="A931" s="32">
        <v>69245</v>
      </c>
      <c r="B931" s="14">
        <f>CHOOSE(CONTROL!$C$42, 104.7714, 104.7714) * CHOOSE(CONTROL!$C$21, $C$9, 100%, $E$9)</f>
        <v>104.7714</v>
      </c>
      <c r="C931" s="14">
        <f>CHOOSE(CONTROL!$C$42, 104.7794, 104.7794) * CHOOSE(CONTROL!$C$21, $C$9, 100%, $E$9)</f>
        <v>104.7794</v>
      </c>
      <c r="D931" s="14">
        <f>CHOOSE(CONTROL!$C$42, 105.013, 105.013) * CHOOSE(CONTROL!$C$21, $C$9, 100%, $E$9)</f>
        <v>105.01300000000001</v>
      </c>
      <c r="E931" s="14">
        <f>CHOOSE(CONTROL!$C$42, 105.0444, 105.0444) * CHOOSE(CONTROL!$C$21, $C$9, 100%, $E$9)</f>
        <v>105.0444</v>
      </c>
      <c r="F931" s="14">
        <f>CHOOSE(CONTROL!$C$42, 104.7691, 104.7691)*CHOOSE(CONTROL!$C$21, $C$9, 100%, $E$9)</f>
        <v>104.76909999999999</v>
      </c>
      <c r="G931" s="14">
        <f>CHOOSE(CONTROL!$C$42, 104.7858, 104.7858)*CHOOSE(CONTROL!$C$21, $C$9, 100%, $E$9)</f>
        <v>104.78579999999999</v>
      </c>
      <c r="H931" s="14">
        <f>CHOOSE(CONTROL!$C$42, 105.0331, 105.0331) * CHOOSE(CONTROL!$C$21, $C$9, 100%, $E$9)</f>
        <v>105.0331</v>
      </c>
      <c r="I931" s="14">
        <f>CHOOSE(CONTROL!$C$42, 105.1154, 105.1154)* CHOOSE(CONTROL!$C$21, $C$9, 100%, $E$9)</f>
        <v>105.11539999999999</v>
      </c>
      <c r="J931" s="14">
        <f>CHOOSE(CONTROL!$C$42, 104.7621, 104.7621)* CHOOSE(CONTROL!$C$21, $C$9, 100%, $E$9)</f>
        <v>104.7621</v>
      </c>
      <c r="K931" s="53">
        <f>CHOOSE(CONTROL!$C$42, 105.1115, 105.1115) * CHOOSE(CONTROL!$C$21, $C$9, 100%, $E$9)</f>
        <v>105.11150000000001</v>
      </c>
      <c r="L931" s="14">
        <f>CHOOSE(CONTROL!$C$42, 105.6201, 105.6201) * CHOOSE(CONTROL!$C$21, $C$9, 100%, $E$9)</f>
        <v>105.62009999999999</v>
      </c>
      <c r="M931" s="14">
        <f>CHOOSE(CONTROL!$C$42, 102.6233, 102.6233) * CHOOSE(CONTROL!$C$21, $C$9, 100%, $E$9)</f>
        <v>102.6233</v>
      </c>
      <c r="N931" s="14">
        <f>CHOOSE(CONTROL!$C$42, 102.6396, 102.6396) * CHOOSE(CONTROL!$C$21, $C$9, 100%, $E$9)</f>
        <v>102.6396</v>
      </c>
      <c r="O931" s="14">
        <f>CHOOSE(CONTROL!$C$42, 102.8887, 102.8887) * CHOOSE(CONTROL!$C$21, $C$9, 100%, $E$9)</f>
        <v>102.8887</v>
      </c>
      <c r="P931" s="14">
        <f>CHOOSE(CONTROL!$C$42, 102.9628, 102.9628) * CHOOSE(CONTROL!$C$21, $C$9, 100%, $E$9)</f>
        <v>102.9628</v>
      </c>
      <c r="Q931" s="14">
        <f>CHOOSE(CONTROL!$C$42, 103.4834, 103.4834) * CHOOSE(CONTROL!$C$21, $C$9, 100%, $E$9)</f>
        <v>103.4834</v>
      </c>
      <c r="R931" s="14">
        <f>CHOOSE(CONTROL!$C$42, 104.3291, 104.3291) * CHOOSE(CONTROL!$C$21, $C$9, 100%, $E$9)</f>
        <v>104.3291</v>
      </c>
      <c r="S931" s="14">
        <f>CHOOSE(CONTROL!$C$42, 100.6642, 100.6642) * CHOOSE(CONTROL!$C$21, $C$9, 100%, $E$9)</f>
        <v>100.66419999999999</v>
      </c>
      <c r="T9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7">
        <f>(1000*CHOOSE(CONTROL!$C$42, 695, 695)*CHOOSE(CONTROL!$C$42, 0.5599, 0.5599)*CHOOSE(CONTROL!$C$42, 31, 31))/1000000</f>
        <v>12.063045499999998</v>
      </c>
      <c r="V931" s="57">
        <f>(1000*CHOOSE(CONTROL!$C$42, 500, 500)*CHOOSE(CONTROL!$C$42, 0.275, 0.275)*CHOOSE(CONTROL!$C$42, 31, 31))/1000000</f>
        <v>4.2625000000000002</v>
      </c>
      <c r="W931" s="57">
        <f>(1000*CHOOSE(CONTROL!$C$42, 0.1146, 0.1146)*CHOOSE(CONTROL!$C$42, 121.5, 121.5)*CHOOSE(CONTROL!$C$42, 31, 31))/1000000</f>
        <v>0.43164089999999994</v>
      </c>
      <c r="X931" s="57">
        <f>(31*0.1790888*245000/1000000)+(31*0.2374*100000/1000000)</f>
        <v>2.0961194359999999</v>
      </c>
      <c r="Y931" s="57"/>
      <c r="Z931" s="14"/>
      <c r="AA931" s="56"/>
      <c r="AB931" s="50">
        <f>(B931*194.205+C931*267.466+D931*133.845+E931*53.484+F931*40+G931*185+H931*0+I931*100+J931*300)/(194.205+267.466+133.845+53.484+0+40+185+100+300)</f>
        <v>104.83675307064362</v>
      </c>
      <c r="AC931" s="45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102.79337625899281</v>
      </c>
    </row>
    <row r="932" spans="1:29" ht="15.75" x14ac:dyDescent="0.25">
      <c r="A932" s="32">
        <v>69276</v>
      </c>
      <c r="B932" s="14">
        <f>CHOOSE(CONTROL!$C$42, 99.5968, 99.5968) * CHOOSE(CONTROL!$C$21, $C$9, 100%, $E$9)</f>
        <v>99.596800000000002</v>
      </c>
      <c r="C932" s="14">
        <f>CHOOSE(CONTROL!$C$42, 99.6048, 99.6048) * CHOOSE(CONTROL!$C$21, $C$9, 100%, $E$9)</f>
        <v>99.604799999999997</v>
      </c>
      <c r="D932" s="14">
        <f>CHOOSE(CONTROL!$C$42, 99.8384, 99.8384) * CHOOSE(CONTROL!$C$21, $C$9, 100%, $E$9)</f>
        <v>99.838399999999993</v>
      </c>
      <c r="E932" s="14">
        <f>CHOOSE(CONTROL!$C$42, 99.8698, 99.8698) * CHOOSE(CONTROL!$C$21, $C$9, 100%, $E$9)</f>
        <v>99.869799999999998</v>
      </c>
      <c r="F932" s="14">
        <f>CHOOSE(CONTROL!$C$42, 99.5947, 99.5947)*CHOOSE(CONTROL!$C$21, $C$9, 100%, $E$9)</f>
        <v>99.594700000000003</v>
      </c>
      <c r="G932" s="14">
        <f>CHOOSE(CONTROL!$C$42, 99.6114, 99.6114)*CHOOSE(CONTROL!$C$21, $C$9, 100%, $E$9)</f>
        <v>99.611400000000003</v>
      </c>
      <c r="H932" s="14">
        <f>CHOOSE(CONTROL!$C$42, 99.8585, 99.8585) * CHOOSE(CONTROL!$C$21, $C$9, 100%, $E$9)</f>
        <v>99.858500000000006</v>
      </c>
      <c r="I932" s="14">
        <f>CHOOSE(CONTROL!$C$42, 99.9246, 99.9246)* CHOOSE(CONTROL!$C$21, $C$9, 100%, $E$9)</f>
        <v>99.924599999999998</v>
      </c>
      <c r="J932" s="14">
        <f>CHOOSE(CONTROL!$C$42, 99.5877, 99.5877)* CHOOSE(CONTROL!$C$21, $C$9, 100%, $E$9)</f>
        <v>99.587699999999998</v>
      </c>
      <c r="K932" s="53">
        <f>CHOOSE(CONTROL!$C$42, 99.9207, 99.9207) * CHOOSE(CONTROL!$C$21, $C$9, 100%, $E$9)</f>
        <v>99.920699999999997</v>
      </c>
      <c r="L932" s="14">
        <f>CHOOSE(CONTROL!$C$42, 100.4455, 100.4455) * CHOOSE(CONTROL!$C$21, $C$9, 100%, $E$9)</f>
        <v>100.4455</v>
      </c>
      <c r="M932" s="14">
        <f>CHOOSE(CONTROL!$C$42, 97.5549, 97.5549) * CHOOSE(CONTROL!$C$21, $C$9, 100%, $E$9)</f>
        <v>97.554900000000004</v>
      </c>
      <c r="N932" s="14">
        <f>CHOOSE(CONTROL!$C$42, 97.5713, 97.5713) * CHOOSE(CONTROL!$C$21, $C$9, 100%, $E$9)</f>
        <v>97.571299999999994</v>
      </c>
      <c r="O932" s="14">
        <f>CHOOSE(CONTROL!$C$42, 97.8201, 97.8201) * CHOOSE(CONTROL!$C$21, $C$9, 100%, $E$9)</f>
        <v>97.820099999999996</v>
      </c>
      <c r="P932" s="14">
        <f>CHOOSE(CONTROL!$C$42, 97.8787, 97.8787) * CHOOSE(CONTROL!$C$21, $C$9, 100%, $E$9)</f>
        <v>97.878699999999995</v>
      </c>
      <c r="Q932" s="14">
        <f>CHOOSE(CONTROL!$C$42, 98.4148, 98.4148) * CHOOSE(CONTROL!$C$21, $C$9, 100%, $E$9)</f>
        <v>98.4148</v>
      </c>
      <c r="R932" s="14">
        <f>CHOOSE(CONTROL!$C$42, 99.2479, 99.2479) * CHOOSE(CONTROL!$C$21, $C$9, 100%, $E$9)</f>
        <v>99.247900000000001</v>
      </c>
      <c r="S932" s="14">
        <f>CHOOSE(CONTROL!$C$42, 95.6919, 95.6919) * CHOOSE(CONTROL!$C$21, $C$9, 100%, $E$9)</f>
        <v>95.691900000000004</v>
      </c>
      <c r="T9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7">
        <f>(1000*CHOOSE(CONTROL!$C$42, 695, 695)*CHOOSE(CONTROL!$C$42, 0.5599, 0.5599)*CHOOSE(CONTROL!$C$42, 31, 31))/1000000</f>
        <v>12.063045499999998</v>
      </c>
      <c r="V932" s="57">
        <f>(1000*CHOOSE(CONTROL!$C$42, 500, 500)*CHOOSE(CONTROL!$C$42, 0.275, 0.275)*CHOOSE(CONTROL!$C$42, 31, 31))/1000000</f>
        <v>4.2625000000000002</v>
      </c>
      <c r="W932" s="57">
        <f>(1000*CHOOSE(CONTROL!$C$42, 0.1146, 0.1146)*CHOOSE(CONTROL!$C$42, 121.5, 121.5)*CHOOSE(CONTROL!$C$42, 31, 31))/1000000</f>
        <v>0.43164089999999994</v>
      </c>
      <c r="X932" s="57">
        <f>(31*0.1790888*245000/1000000)+(31*0.2374*100000/1000000)</f>
        <v>2.0961194359999999</v>
      </c>
      <c r="Y932" s="57"/>
      <c r="Z932" s="14"/>
      <c r="AA932" s="56"/>
      <c r="AB932" s="50">
        <f>(B932*194.205+C932*267.466+D932*133.845+E932*53.484+F932*40+G932*185+H932*0+I932*100+J932*300)/(194.205+267.466+133.845+53.484+0+40+185+100+300)</f>
        <v>99.660963902668769</v>
      </c>
      <c r="AC932" s="45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97.722632374100726</v>
      </c>
    </row>
    <row r="933" spans="1:29" ht="15.75" x14ac:dyDescent="0.25">
      <c r="A933" s="32">
        <v>69306</v>
      </c>
      <c r="B933" s="14">
        <f>CHOOSE(CONTROL!$C$42, 93.2739, 93.2739) * CHOOSE(CONTROL!$C$21, $C$9, 100%, $E$9)</f>
        <v>93.273899999999998</v>
      </c>
      <c r="C933" s="14">
        <f>CHOOSE(CONTROL!$C$42, 93.2819, 93.2819) * CHOOSE(CONTROL!$C$21, $C$9, 100%, $E$9)</f>
        <v>93.281899999999993</v>
      </c>
      <c r="D933" s="14">
        <f>CHOOSE(CONTROL!$C$42, 93.5155, 93.5155) * CHOOSE(CONTROL!$C$21, $C$9, 100%, $E$9)</f>
        <v>93.515500000000003</v>
      </c>
      <c r="E933" s="14">
        <f>CHOOSE(CONTROL!$C$42, 93.547, 93.547) * CHOOSE(CONTROL!$C$21, $C$9, 100%, $E$9)</f>
        <v>93.546999999999997</v>
      </c>
      <c r="F933" s="14">
        <f>CHOOSE(CONTROL!$C$42, 93.2719, 93.2719)*CHOOSE(CONTROL!$C$21, $C$9, 100%, $E$9)</f>
        <v>93.271900000000002</v>
      </c>
      <c r="G933" s="14">
        <f>CHOOSE(CONTROL!$C$42, 93.2886, 93.2886)*CHOOSE(CONTROL!$C$21, $C$9, 100%, $E$9)</f>
        <v>93.288600000000002</v>
      </c>
      <c r="H933" s="14">
        <f>CHOOSE(CONTROL!$C$42, 93.5356, 93.5356) * CHOOSE(CONTROL!$C$21, $C$9, 100%, $E$9)</f>
        <v>93.535600000000002</v>
      </c>
      <c r="I933" s="14">
        <f>CHOOSE(CONTROL!$C$42, 93.5819, 93.5819)* CHOOSE(CONTROL!$C$21, $C$9, 100%, $E$9)</f>
        <v>93.581900000000005</v>
      </c>
      <c r="J933" s="14">
        <f>CHOOSE(CONTROL!$C$42, 93.2649, 93.2649)* CHOOSE(CONTROL!$C$21, $C$9, 100%, $E$9)</f>
        <v>93.264899999999997</v>
      </c>
      <c r="K933" s="53">
        <f>CHOOSE(CONTROL!$C$42, 93.578, 93.578) * CHOOSE(CONTROL!$C$21, $C$9, 100%, $E$9)</f>
        <v>93.578000000000003</v>
      </c>
      <c r="L933" s="14">
        <f>CHOOSE(CONTROL!$C$42, 94.1226, 94.1226) * CHOOSE(CONTROL!$C$21, $C$9, 100%, $E$9)</f>
        <v>94.122600000000006</v>
      </c>
      <c r="M933" s="14">
        <f>CHOOSE(CONTROL!$C$42, 91.3617, 91.3617) * CHOOSE(CONTROL!$C$21, $C$9, 100%, $E$9)</f>
        <v>91.361699999999999</v>
      </c>
      <c r="N933" s="14">
        <f>CHOOSE(CONTROL!$C$42, 91.378, 91.378) * CHOOSE(CONTROL!$C$21, $C$9, 100%, $E$9)</f>
        <v>91.378</v>
      </c>
      <c r="O933" s="14">
        <f>CHOOSE(CONTROL!$C$42, 91.6268, 91.6268) * CHOOSE(CONTROL!$C$21, $C$9, 100%, $E$9)</f>
        <v>91.626800000000003</v>
      </c>
      <c r="P933" s="14">
        <f>CHOOSE(CONTROL!$C$42, 91.6664, 91.6664) * CHOOSE(CONTROL!$C$21, $C$9, 100%, $E$9)</f>
        <v>91.666399999999996</v>
      </c>
      <c r="Q933" s="14">
        <f>CHOOSE(CONTROL!$C$42, 92.2215, 92.2215) * CHOOSE(CONTROL!$C$21, $C$9, 100%, $E$9)</f>
        <v>92.221500000000006</v>
      </c>
      <c r="R933" s="14">
        <f>CHOOSE(CONTROL!$C$42, 93.0391, 93.0391) * CHOOSE(CONTROL!$C$21, $C$9, 100%, $E$9)</f>
        <v>93.039100000000005</v>
      </c>
      <c r="S933" s="14">
        <f>CHOOSE(CONTROL!$C$42, 89.6162, 89.6162) * CHOOSE(CONTROL!$C$21, $C$9, 100%, $E$9)</f>
        <v>89.616200000000006</v>
      </c>
      <c r="T9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7">
        <f>(1000*CHOOSE(CONTROL!$C$42, 695, 695)*CHOOSE(CONTROL!$C$42, 0.5599, 0.5599)*CHOOSE(CONTROL!$C$42, 30, 30))/1000000</f>
        <v>11.673914999999997</v>
      </c>
      <c r="V933" s="57">
        <f>(1000*CHOOSE(CONTROL!$C$42, 500, 500)*CHOOSE(CONTROL!$C$42, 0.275, 0.275)*CHOOSE(CONTROL!$C$42, 30, 30))/1000000</f>
        <v>4.125</v>
      </c>
      <c r="W933" s="57">
        <f>(1000*CHOOSE(CONTROL!$C$42, 0.1146, 0.1146)*CHOOSE(CONTROL!$C$42, 121.5, 121.5)*CHOOSE(CONTROL!$C$42, 30, 30))/1000000</f>
        <v>0.417717</v>
      </c>
      <c r="X933" s="57">
        <f>(30*0.1790888*245000/1000000)+(30*0.2374*100000/1000000)</f>
        <v>2.0285026799999999</v>
      </c>
      <c r="Y933" s="57"/>
      <c r="Z933" s="14"/>
      <c r="AA933" s="56"/>
      <c r="AB933" s="50">
        <f>(B933*194.205+C933*267.466+D933*133.845+E933*53.484+F933*40+G933*185+H933*0+I933*100+J933*300)/(194.205+267.466+133.845+53.484+0+40+185+100+300)</f>
        <v>93.336555149450561</v>
      </c>
      <c r="AC933" s="45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91.526633093525177</v>
      </c>
    </row>
    <row r="934" spans="1:29" ht="15.75" x14ac:dyDescent="0.25">
      <c r="A934" s="32">
        <v>69337</v>
      </c>
      <c r="B934" s="14">
        <f>CHOOSE(CONTROL!$C$42, 91.3785, 91.3785) * CHOOSE(CONTROL!$C$21, $C$9, 100%, $E$9)</f>
        <v>91.378500000000003</v>
      </c>
      <c r="C934" s="14">
        <f>CHOOSE(CONTROL!$C$42, 91.3839, 91.3839) * CHOOSE(CONTROL!$C$21, $C$9, 100%, $E$9)</f>
        <v>91.383899999999997</v>
      </c>
      <c r="D934" s="14">
        <f>CHOOSE(CONTROL!$C$42, 91.6224, 91.6224) * CHOOSE(CONTROL!$C$21, $C$9, 100%, $E$9)</f>
        <v>91.622399999999999</v>
      </c>
      <c r="E934" s="14">
        <f>CHOOSE(CONTROL!$C$42, 91.6515, 91.6515) * CHOOSE(CONTROL!$C$21, $C$9, 100%, $E$9)</f>
        <v>91.651499999999999</v>
      </c>
      <c r="F934" s="14">
        <f>CHOOSE(CONTROL!$C$42, 91.3786, 91.3786)*CHOOSE(CONTROL!$C$21, $C$9, 100%, $E$9)</f>
        <v>91.378600000000006</v>
      </c>
      <c r="G934" s="14">
        <f>CHOOSE(CONTROL!$C$42, 91.3948, 91.3948)*CHOOSE(CONTROL!$C$21, $C$9, 100%, $E$9)</f>
        <v>91.394800000000004</v>
      </c>
      <c r="H934" s="14">
        <f>CHOOSE(CONTROL!$C$42, 91.642, 91.642) * CHOOSE(CONTROL!$C$21, $C$9, 100%, $E$9)</f>
        <v>91.641999999999996</v>
      </c>
      <c r="I934" s="14">
        <f>CHOOSE(CONTROL!$C$42, 91.6824, 91.6824)* CHOOSE(CONTROL!$C$21, $C$9, 100%, $E$9)</f>
        <v>91.682400000000001</v>
      </c>
      <c r="J934" s="14">
        <f>CHOOSE(CONTROL!$C$42, 91.3716, 91.3716)* CHOOSE(CONTROL!$C$21, $C$9, 100%, $E$9)</f>
        <v>91.371600000000001</v>
      </c>
      <c r="K934" s="53">
        <f>CHOOSE(CONTROL!$C$42, 91.6785, 91.6785) * CHOOSE(CONTROL!$C$21, $C$9, 100%, $E$9)</f>
        <v>91.6785</v>
      </c>
      <c r="L934" s="14">
        <f>CHOOSE(CONTROL!$C$42, 92.229, 92.229) * CHOOSE(CONTROL!$C$21, $C$9, 100%, $E$9)</f>
        <v>92.228999999999999</v>
      </c>
      <c r="M934" s="14">
        <f>CHOOSE(CONTROL!$C$42, 89.5071, 89.5071) * CHOOSE(CONTROL!$C$21, $C$9, 100%, $E$9)</f>
        <v>89.507099999999994</v>
      </c>
      <c r="N934" s="14">
        <f>CHOOSE(CONTROL!$C$42, 89.5231, 89.5231) * CHOOSE(CONTROL!$C$21, $C$9, 100%, $E$9)</f>
        <v>89.523099999999999</v>
      </c>
      <c r="O934" s="14">
        <f>CHOOSE(CONTROL!$C$42, 89.772, 89.772) * CHOOSE(CONTROL!$C$21, $C$9, 100%, $E$9)</f>
        <v>89.772000000000006</v>
      </c>
      <c r="P934" s="14">
        <f>CHOOSE(CONTROL!$C$42, 89.8059, 89.8059) * CHOOSE(CONTROL!$C$21, $C$9, 100%, $E$9)</f>
        <v>89.805899999999994</v>
      </c>
      <c r="Q934" s="14">
        <f>CHOOSE(CONTROL!$C$42, 90.3667, 90.3667) * CHOOSE(CONTROL!$C$21, $C$9, 100%, $E$9)</f>
        <v>90.366699999999994</v>
      </c>
      <c r="R934" s="14">
        <f>CHOOSE(CONTROL!$C$42, 91.1796, 91.1796) * CHOOSE(CONTROL!$C$21, $C$9, 100%, $E$9)</f>
        <v>91.179599999999994</v>
      </c>
      <c r="S934" s="14">
        <f>CHOOSE(CONTROL!$C$42, 87.7967, 87.7967) * CHOOSE(CONTROL!$C$21, $C$9, 100%, $E$9)</f>
        <v>87.796700000000001</v>
      </c>
      <c r="T9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7">
        <f>(1000*CHOOSE(CONTROL!$C$42, 695, 695)*CHOOSE(CONTROL!$C$42, 0.5599, 0.5599)*CHOOSE(CONTROL!$C$42, 31, 31))/1000000</f>
        <v>12.063045499999998</v>
      </c>
      <c r="V934" s="57">
        <f>(1000*CHOOSE(CONTROL!$C$42, 500, 500)*CHOOSE(CONTROL!$C$42, 0.275, 0.275)*CHOOSE(CONTROL!$C$42, 31, 31))/1000000</f>
        <v>4.2625000000000002</v>
      </c>
      <c r="W934" s="57">
        <f>(1000*CHOOSE(CONTROL!$C$42, 0.1146, 0.1146)*CHOOSE(CONTROL!$C$42, 121.5, 121.5)*CHOOSE(CONTROL!$C$42, 31, 31))/1000000</f>
        <v>0.43164089999999994</v>
      </c>
      <c r="X934" s="57">
        <f>(31*0.1790888*245000/1000000)+(31*0.2374*100000/1000000)</f>
        <v>2.0961194359999999</v>
      </c>
      <c r="Y934" s="57"/>
      <c r="Z934" s="14"/>
      <c r="AA934" s="56"/>
      <c r="AB934" s="50">
        <f>(B934*131.881+C934*277.167+D934*79.08+E934*125.872+F934*40+G934*185+H934*0+I934*100+J934*300)/(131.881+277.167+79.08+125.872+0+40+185+100+300)</f>
        <v>91.448303769007268</v>
      </c>
      <c r="AC934" s="45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89.671076258992812</v>
      </c>
    </row>
    <row r="935" spans="1:29" ht="15.75" x14ac:dyDescent="0.25">
      <c r="A935" s="32">
        <v>69367</v>
      </c>
      <c r="B935" s="14">
        <f>CHOOSE(CONTROL!$C$42, 93.7852, 93.7852) * CHOOSE(CONTROL!$C$21, $C$9, 100%, $E$9)</f>
        <v>93.785200000000003</v>
      </c>
      <c r="C935" s="14">
        <f>CHOOSE(CONTROL!$C$42, 93.7903, 93.7903) * CHOOSE(CONTROL!$C$21, $C$9, 100%, $E$9)</f>
        <v>93.790300000000002</v>
      </c>
      <c r="D935" s="14">
        <f>CHOOSE(CONTROL!$C$42, 93.8645, 93.8645) * CHOOSE(CONTROL!$C$21, $C$9, 100%, $E$9)</f>
        <v>93.864500000000007</v>
      </c>
      <c r="E935" s="14">
        <f>CHOOSE(CONTROL!$C$42, 93.8986, 93.8986) * CHOOSE(CONTROL!$C$21, $C$9, 100%, $E$9)</f>
        <v>93.898600000000002</v>
      </c>
      <c r="F935" s="14">
        <f>CHOOSE(CONTROL!$C$42, 93.7972, 93.7972)*CHOOSE(CONTROL!$C$21, $C$9, 100%, $E$9)</f>
        <v>93.797200000000004</v>
      </c>
      <c r="G935" s="14">
        <f>CHOOSE(CONTROL!$C$42, 93.8138, 93.8138)*CHOOSE(CONTROL!$C$21, $C$9, 100%, $E$9)</f>
        <v>93.813800000000001</v>
      </c>
      <c r="H935" s="14">
        <f>CHOOSE(CONTROL!$C$42, 93.8878, 93.8878) * CHOOSE(CONTROL!$C$21, $C$9, 100%, $E$9)</f>
        <v>93.887799999999999</v>
      </c>
      <c r="I935" s="14">
        <f>CHOOSE(CONTROL!$C$42, 94.1032, 94.1032)* CHOOSE(CONTROL!$C$21, $C$9, 100%, $E$9)</f>
        <v>94.103200000000001</v>
      </c>
      <c r="J935" s="14">
        <f>CHOOSE(CONTROL!$C$42, 93.7902, 93.7902)* CHOOSE(CONTROL!$C$21, $C$9, 100%, $E$9)</f>
        <v>93.790199999999999</v>
      </c>
      <c r="K935" s="53">
        <f>CHOOSE(CONTROL!$C$42, 94.0994, 94.0994) * CHOOSE(CONTROL!$C$21, $C$9, 100%, $E$9)</f>
        <v>94.099400000000003</v>
      </c>
      <c r="L935" s="14">
        <f>CHOOSE(CONTROL!$C$42, 94.4748, 94.4748) * CHOOSE(CONTROL!$C$21, $C$9, 100%, $E$9)</f>
        <v>94.474800000000002</v>
      </c>
      <c r="M935" s="14">
        <f>CHOOSE(CONTROL!$C$42, 91.8762, 91.8762) * CHOOSE(CONTROL!$C$21, $C$9, 100%, $E$9)</f>
        <v>91.876199999999997</v>
      </c>
      <c r="N935" s="14">
        <f>CHOOSE(CONTROL!$C$42, 91.8925, 91.8925) * CHOOSE(CONTROL!$C$21, $C$9, 100%, $E$9)</f>
        <v>91.892499999999998</v>
      </c>
      <c r="O935" s="14">
        <f>CHOOSE(CONTROL!$C$42, 91.9718, 91.9718) * CHOOSE(CONTROL!$C$21, $C$9, 100%, $E$9)</f>
        <v>91.971800000000002</v>
      </c>
      <c r="P935" s="14">
        <f>CHOOSE(CONTROL!$C$42, 92.177, 92.177) * CHOOSE(CONTROL!$C$21, $C$9, 100%, $E$9)</f>
        <v>92.177000000000007</v>
      </c>
      <c r="Q935" s="14">
        <f>CHOOSE(CONTROL!$C$42, 92.5665, 92.5665) * CHOOSE(CONTROL!$C$21, $C$9, 100%, $E$9)</f>
        <v>92.566500000000005</v>
      </c>
      <c r="R935" s="14">
        <f>CHOOSE(CONTROL!$C$42, 93.3849, 93.3849) * CHOOSE(CONTROL!$C$21, $C$9, 100%, $E$9)</f>
        <v>93.384900000000002</v>
      </c>
      <c r="S935" s="14">
        <f>CHOOSE(CONTROL!$C$42, 90.1097, 90.1097) * CHOOSE(CONTROL!$C$21, $C$9, 100%, $E$9)</f>
        <v>90.109700000000004</v>
      </c>
      <c r="T9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7">
        <f>(1000*CHOOSE(CONTROL!$C$42, 695, 695)*CHOOSE(CONTROL!$C$42, 0.5599, 0.5599)*CHOOSE(CONTROL!$C$42, 30, 30))/1000000</f>
        <v>11.673914999999997</v>
      </c>
      <c r="V935" s="57">
        <f>(1000*CHOOSE(CONTROL!$C$42, 500, 500)*CHOOSE(CONTROL!$C$42, 0.275, 0.275)*CHOOSE(CONTROL!$C$42, 30, 30))/1000000</f>
        <v>4.125</v>
      </c>
      <c r="W935" s="57">
        <f>(1000*CHOOSE(CONTROL!$C$42, 0.1146, 0.1146)*CHOOSE(CONTROL!$C$42, 121.5, 121.5)*CHOOSE(CONTROL!$C$42, 30, 30))/1000000</f>
        <v>0.417717</v>
      </c>
      <c r="X935" s="57">
        <f>(30*0.1790888*100000/1000000)+(30*0.2374*100000/1000000)</f>
        <v>1.2494664</v>
      </c>
      <c r="Y935" s="57"/>
      <c r="Z935" s="14"/>
      <c r="AA935" s="56"/>
      <c r="AB935" s="50">
        <f>(B935*122.58+C935*297.941+D935*89.177+E935*40.302+F935*40+G935*160+H935*0+I935*100+J935*300)/(122.58+297.941+89.177+40.302+0+40+160+100+300)</f>
        <v>93.82999781043479</v>
      </c>
      <c r="AC935" s="45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91.963748201438861</v>
      </c>
    </row>
    <row r="936" spans="1:29" ht="15.75" x14ac:dyDescent="0.25">
      <c r="A936" s="32">
        <v>69398</v>
      </c>
      <c r="B936" s="14">
        <f>CHOOSE(CONTROL!$C$42, 100.1788, 100.1788) * CHOOSE(CONTROL!$C$21, $C$9, 100%, $E$9)</f>
        <v>100.1788</v>
      </c>
      <c r="C936" s="14">
        <f>CHOOSE(CONTROL!$C$42, 100.1838, 100.1838) * CHOOSE(CONTROL!$C$21, $C$9, 100%, $E$9)</f>
        <v>100.18380000000001</v>
      </c>
      <c r="D936" s="14">
        <f>CHOOSE(CONTROL!$C$42, 100.2581, 100.2581) * CHOOSE(CONTROL!$C$21, $C$9, 100%, $E$9)</f>
        <v>100.2581</v>
      </c>
      <c r="E936" s="14">
        <f>CHOOSE(CONTROL!$C$42, 100.2922, 100.2922) * CHOOSE(CONTROL!$C$21, $C$9, 100%, $E$9)</f>
        <v>100.29219999999999</v>
      </c>
      <c r="F936" s="14">
        <f>CHOOSE(CONTROL!$C$42, 100.193, 100.193)*CHOOSE(CONTROL!$C$21, $C$9, 100%, $E$9)</f>
        <v>100.193</v>
      </c>
      <c r="G936" s="14">
        <f>CHOOSE(CONTROL!$C$42, 100.2102, 100.2102)*CHOOSE(CONTROL!$C$21, $C$9, 100%, $E$9)</f>
        <v>100.2102</v>
      </c>
      <c r="H936" s="14">
        <f>CHOOSE(CONTROL!$C$42, 100.2814, 100.2814) * CHOOSE(CONTROL!$C$21, $C$9, 100%, $E$9)</f>
        <v>100.2814</v>
      </c>
      <c r="I936" s="14">
        <f>CHOOSE(CONTROL!$C$42, 100.5168, 100.5168)* CHOOSE(CONTROL!$C$21, $C$9, 100%, $E$9)</f>
        <v>100.5168</v>
      </c>
      <c r="J936" s="14">
        <f>CHOOSE(CONTROL!$C$42, 100.186, 100.186)* CHOOSE(CONTROL!$C$21, $C$9, 100%, $E$9)</f>
        <v>100.18600000000001</v>
      </c>
      <c r="K936" s="53">
        <f>CHOOSE(CONTROL!$C$42, 100.5129, 100.5129) * CHOOSE(CONTROL!$C$21, $C$9, 100%, $E$9)</f>
        <v>100.5129</v>
      </c>
      <c r="L936" s="14">
        <f>CHOOSE(CONTROL!$C$42, 100.8684, 100.8684) * CHOOSE(CONTROL!$C$21, $C$9, 100%, $E$9)</f>
        <v>100.86839999999999</v>
      </c>
      <c r="M936" s="14">
        <f>CHOOSE(CONTROL!$C$42, 98.141, 98.141) * CHOOSE(CONTROL!$C$21, $C$9, 100%, $E$9)</f>
        <v>98.141000000000005</v>
      </c>
      <c r="N936" s="14">
        <f>CHOOSE(CONTROL!$C$42, 98.1578, 98.1578) * CHOOSE(CONTROL!$C$21, $C$9, 100%, $E$9)</f>
        <v>98.157799999999995</v>
      </c>
      <c r="O936" s="14">
        <f>CHOOSE(CONTROL!$C$42, 98.2344, 98.2344) * CHOOSE(CONTROL!$C$21, $C$9, 100%, $E$9)</f>
        <v>98.234399999999994</v>
      </c>
      <c r="P936" s="14">
        <f>CHOOSE(CONTROL!$C$42, 98.4588, 98.4588) * CHOOSE(CONTROL!$C$21, $C$9, 100%, $E$9)</f>
        <v>98.458799999999997</v>
      </c>
      <c r="Q936" s="14">
        <f>CHOOSE(CONTROL!$C$42, 98.8291, 98.8291) * CHOOSE(CONTROL!$C$21, $C$9, 100%, $E$9)</f>
        <v>98.829099999999997</v>
      </c>
      <c r="R936" s="14">
        <f>CHOOSE(CONTROL!$C$42, 99.6631, 99.6631) * CHOOSE(CONTROL!$C$21, $C$9, 100%, $E$9)</f>
        <v>99.6631</v>
      </c>
      <c r="S936" s="14">
        <f>CHOOSE(CONTROL!$C$42, 96.2532, 96.2532) * CHOOSE(CONTROL!$C$21, $C$9, 100%, $E$9)</f>
        <v>96.253200000000007</v>
      </c>
      <c r="T9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7">
        <f>(1000*CHOOSE(CONTROL!$C$42, 695, 695)*CHOOSE(CONTROL!$C$42, 0.5599, 0.5599)*CHOOSE(CONTROL!$C$42, 31, 31))/1000000</f>
        <v>12.063045499999998</v>
      </c>
      <c r="V936" s="57">
        <f>(1000*CHOOSE(CONTROL!$C$42, 500, 500)*CHOOSE(CONTROL!$C$42, 0.275, 0.275)*CHOOSE(CONTROL!$C$42, 31, 31))/1000000</f>
        <v>4.2625000000000002</v>
      </c>
      <c r="W936" s="57">
        <f>(1000*CHOOSE(CONTROL!$C$42, 0.1146, 0.1146)*CHOOSE(CONTROL!$C$42, 121.5, 121.5)*CHOOSE(CONTROL!$C$42, 31, 31))/1000000</f>
        <v>0.43164089999999994</v>
      </c>
      <c r="X936" s="57">
        <f>(31*0.1790888*100000/1000000)+(31*0.2374*100000/1000000)</f>
        <v>1.2911152800000001</v>
      </c>
      <c r="Y936" s="57"/>
      <c r="Z936" s="14"/>
      <c r="AA936" s="56"/>
      <c r="AB936" s="50">
        <f>(B936*122.58+C936*297.941+D936*89.177+E936*40.302+F936*40+G936*160+H936*0+I936*100+J936*300)/(122.58+297.941+89.177+40.302+0+40+160+100+300)</f>
        <v>100.22635103295652</v>
      </c>
      <c r="AC936" s="45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98.230025899280577</v>
      </c>
    </row>
    <row r="937" spans="1:29" ht="15.75" x14ac:dyDescent="0.25">
      <c r="A937" s="32">
        <v>69429</v>
      </c>
      <c r="B937" s="14">
        <f>CHOOSE(CONTROL!$C$42, 108.4829, 108.4829) * CHOOSE(CONTROL!$C$21, $C$9, 100%, $E$9)</f>
        <v>108.4829</v>
      </c>
      <c r="C937" s="14">
        <f>CHOOSE(CONTROL!$C$42, 108.4879, 108.4879) * CHOOSE(CONTROL!$C$21, $C$9, 100%, $E$9)</f>
        <v>108.4879</v>
      </c>
      <c r="D937" s="14">
        <f>CHOOSE(CONTROL!$C$42, 108.5647, 108.5647) * CHOOSE(CONTROL!$C$21, $C$9, 100%, $E$9)</f>
        <v>108.5647</v>
      </c>
      <c r="E937" s="14">
        <f>CHOOSE(CONTROL!$C$42, 108.5988, 108.5988) * CHOOSE(CONTROL!$C$21, $C$9, 100%, $E$9)</f>
        <v>108.5988</v>
      </c>
      <c r="F937" s="14">
        <f>CHOOSE(CONTROL!$C$42, 108.4831, 108.4831)*CHOOSE(CONTROL!$C$21, $C$9, 100%, $E$9)</f>
        <v>108.48309999999999</v>
      </c>
      <c r="G937" s="14">
        <f>CHOOSE(CONTROL!$C$42, 108.4993, 108.4993)*CHOOSE(CONTROL!$C$21, $C$9, 100%, $E$9)</f>
        <v>108.49930000000001</v>
      </c>
      <c r="H937" s="14">
        <f>CHOOSE(CONTROL!$C$42, 108.588, 108.588) * CHOOSE(CONTROL!$C$21, $C$9, 100%, $E$9)</f>
        <v>108.58799999999999</v>
      </c>
      <c r="I937" s="14">
        <f>CHOOSE(CONTROL!$C$42, 108.8407, 108.8407)* CHOOSE(CONTROL!$C$21, $C$9, 100%, $E$9)</f>
        <v>108.8407</v>
      </c>
      <c r="J937" s="14">
        <f>CHOOSE(CONTROL!$C$42, 108.4761, 108.4761)* CHOOSE(CONTROL!$C$21, $C$9, 100%, $E$9)</f>
        <v>108.4761</v>
      </c>
      <c r="K937" s="53">
        <f>CHOOSE(CONTROL!$C$42, 108.8368, 108.8368) * CHOOSE(CONTROL!$C$21, $C$9, 100%, $E$9)</f>
        <v>108.8368</v>
      </c>
      <c r="L937" s="14">
        <f>CHOOSE(CONTROL!$C$42, 109.175, 109.175) * CHOOSE(CONTROL!$C$21, $C$9, 100%, $E$9)</f>
        <v>109.175</v>
      </c>
      <c r="M937" s="14">
        <f>CHOOSE(CONTROL!$C$42, 106.2612, 106.2612) * CHOOSE(CONTROL!$C$21, $C$9, 100%, $E$9)</f>
        <v>106.2612</v>
      </c>
      <c r="N937" s="14">
        <f>CHOOSE(CONTROL!$C$42, 106.277, 106.277) * CHOOSE(CONTROL!$C$21, $C$9, 100%, $E$9)</f>
        <v>106.277</v>
      </c>
      <c r="O937" s="14">
        <f>CHOOSE(CONTROL!$C$42, 106.3708, 106.3708) * CHOOSE(CONTROL!$C$21, $C$9, 100%, $E$9)</f>
        <v>106.3708</v>
      </c>
      <c r="P937" s="14">
        <f>CHOOSE(CONTROL!$C$42, 106.6115, 106.6115) * CHOOSE(CONTROL!$C$21, $C$9, 100%, $E$9)</f>
        <v>106.61150000000001</v>
      </c>
      <c r="Q937" s="14">
        <f>CHOOSE(CONTROL!$C$42, 106.9655, 106.9655) * CHOOSE(CONTROL!$C$21, $C$9, 100%, $E$9)</f>
        <v>106.96550000000001</v>
      </c>
      <c r="R937" s="14">
        <f>CHOOSE(CONTROL!$C$42, 107.82, 107.82) * CHOOSE(CONTROL!$C$21, $C$9, 100%, $E$9)</f>
        <v>107.82</v>
      </c>
      <c r="S937" s="14">
        <f>CHOOSE(CONTROL!$C$42, 104.2326, 104.2326) * CHOOSE(CONTROL!$C$21, $C$9, 100%, $E$9)</f>
        <v>104.23260000000001</v>
      </c>
      <c r="T9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7">
        <f>(1000*CHOOSE(CONTROL!$C$42, 695, 695)*CHOOSE(CONTROL!$C$42, 0.5599, 0.5599)*CHOOSE(CONTROL!$C$42, 31, 31))/1000000</f>
        <v>12.063045499999998</v>
      </c>
      <c r="V937" s="57">
        <f>(1000*CHOOSE(CONTROL!$C$42, 500, 500)*CHOOSE(CONTROL!$C$42, 0.275, 0.275)*CHOOSE(CONTROL!$C$42, 31, 31))/1000000</f>
        <v>4.2625000000000002</v>
      </c>
      <c r="W937" s="57">
        <f>(1000*CHOOSE(CONTROL!$C$42, 0.1146, 0.1146)*CHOOSE(CONTROL!$C$42, 121.5, 121.5)*CHOOSE(CONTROL!$C$42, 31, 31))/1000000</f>
        <v>0.43164089999999994</v>
      </c>
      <c r="X937" s="57">
        <f>(31*0.1790888*100000/1000000)+(31*0.2374*100000/1000000)</f>
        <v>1.2911152800000001</v>
      </c>
      <c r="Y937" s="57"/>
      <c r="Z937" s="14"/>
      <c r="AA937" s="56"/>
      <c r="AB937" s="50">
        <f>(B937*122.58+C937*297.941+D937*89.177+E937*40.302+F937*40+G937*160+H937*0+I937*100+J937*300)/(122.58+297.941+89.177+40.302+0+40+160+100+300)</f>
        <v>108.52622816121739</v>
      </c>
      <c r="AC937" s="45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106.36218705035971</v>
      </c>
    </row>
    <row r="938" spans="1:29" ht="15.75" x14ac:dyDescent="0.25">
      <c r="A938" s="32">
        <v>69457</v>
      </c>
      <c r="B938" s="14">
        <f>CHOOSE(CONTROL!$C$42, 110.4138, 110.4138) * CHOOSE(CONTROL!$C$21, $C$9, 100%, $E$9)</f>
        <v>110.41379999999999</v>
      </c>
      <c r="C938" s="14">
        <f>CHOOSE(CONTROL!$C$42, 110.4189, 110.4189) * CHOOSE(CONTROL!$C$21, $C$9, 100%, $E$9)</f>
        <v>110.41889999999999</v>
      </c>
      <c r="D938" s="14">
        <f>CHOOSE(CONTROL!$C$42, 110.4957, 110.4957) * CHOOSE(CONTROL!$C$21, $C$9, 100%, $E$9)</f>
        <v>110.4957</v>
      </c>
      <c r="E938" s="14">
        <f>CHOOSE(CONTROL!$C$42, 110.5298, 110.5298) * CHOOSE(CONTROL!$C$21, $C$9, 100%, $E$9)</f>
        <v>110.52979999999999</v>
      </c>
      <c r="F938" s="14">
        <f>CHOOSE(CONTROL!$C$42, 110.4141, 110.4141)*CHOOSE(CONTROL!$C$21, $C$9, 100%, $E$9)</f>
        <v>110.4141</v>
      </c>
      <c r="G938" s="14">
        <f>CHOOSE(CONTROL!$C$42, 110.4303, 110.4303)*CHOOSE(CONTROL!$C$21, $C$9, 100%, $E$9)</f>
        <v>110.4303</v>
      </c>
      <c r="H938" s="14">
        <f>CHOOSE(CONTROL!$C$42, 110.519, 110.519) * CHOOSE(CONTROL!$C$21, $C$9, 100%, $E$9)</f>
        <v>110.51900000000001</v>
      </c>
      <c r="I938" s="14">
        <f>CHOOSE(CONTROL!$C$42, 110.7777, 110.7777)* CHOOSE(CONTROL!$C$21, $C$9, 100%, $E$9)</f>
        <v>110.7777</v>
      </c>
      <c r="J938" s="14">
        <f>CHOOSE(CONTROL!$C$42, 110.4071, 110.4071)* CHOOSE(CONTROL!$C$21, $C$9, 100%, $E$9)</f>
        <v>110.4071</v>
      </c>
      <c r="K938" s="53">
        <f>CHOOSE(CONTROL!$C$42, 110.7738, 110.7738) * CHOOSE(CONTROL!$C$21, $C$9, 100%, $E$9)</f>
        <v>110.77379999999999</v>
      </c>
      <c r="L938" s="14">
        <f>CHOOSE(CONTROL!$C$42, 111.106, 111.106) * CHOOSE(CONTROL!$C$21, $C$9, 100%, $E$9)</f>
        <v>111.10599999999999</v>
      </c>
      <c r="M938" s="14">
        <f>CHOOSE(CONTROL!$C$42, 108.1526, 108.1526) * CHOOSE(CONTROL!$C$21, $C$9, 100%, $E$9)</f>
        <v>108.15260000000001</v>
      </c>
      <c r="N938" s="14">
        <f>CHOOSE(CONTROL!$C$42, 108.1685, 108.1685) * CHOOSE(CONTROL!$C$21, $C$9, 100%, $E$9)</f>
        <v>108.16849999999999</v>
      </c>
      <c r="O938" s="14">
        <f>CHOOSE(CONTROL!$C$42, 108.2623, 108.2623) * CHOOSE(CONTROL!$C$21, $C$9, 100%, $E$9)</f>
        <v>108.2623</v>
      </c>
      <c r="P938" s="14">
        <f>CHOOSE(CONTROL!$C$42, 108.5088, 108.5088) * CHOOSE(CONTROL!$C$21, $C$9, 100%, $E$9)</f>
        <v>108.50879999999999</v>
      </c>
      <c r="Q938" s="14">
        <f>CHOOSE(CONTROL!$C$42, 108.857, 108.857) * CHOOSE(CONTROL!$C$21, $C$9, 100%, $E$9)</f>
        <v>108.857</v>
      </c>
      <c r="R938" s="14">
        <f>CHOOSE(CONTROL!$C$42, 109.7161, 109.7161) * CHOOSE(CONTROL!$C$21, $C$9, 100%, $E$9)</f>
        <v>109.7161</v>
      </c>
      <c r="S938" s="14">
        <f>CHOOSE(CONTROL!$C$42, 106.0881, 106.0881) * CHOOSE(CONTROL!$C$21, $C$9, 100%, $E$9)</f>
        <v>106.0881</v>
      </c>
      <c r="T9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7">
        <f>(1000*CHOOSE(CONTROL!$C$42, 695, 695)*CHOOSE(CONTROL!$C$42, 0.5599, 0.5599)*CHOOSE(CONTROL!$C$42, 28, 28))/1000000</f>
        <v>10.895653999999999</v>
      </c>
      <c r="V938" s="57">
        <f>(1000*CHOOSE(CONTROL!$C$42, 500, 500)*CHOOSE(CONTROL!$C$42, 0.275, 0.275)*CHOOSE(CONTROL!$C$42, 28, 28))/1000000</f>
        <v>3.85</v>
      </c>
      <c r="W938" s="57">
        <f>(1000*CHOOSE(CONTROL!$C$42, 0.1146, 0.1146)*CHOOSE(CONTROL!$C$42, 121.5, 121.5)*CHOOSE(CONTROL!$C$42, 28, 28))/1000000</f>
        <v>0.38986920000000003</v>
      </c>
      <c r="X938" s="57">
        <f>(28*0.1790888*100000/1000000)+(28*0.2374*100000/1000000)</f>
        <v>1.16616864</v>
      </c>
      <c r="Y938" s="57"/>
      <c r="Z938" s="14"/>
      <c r="AA938" s="56"/>
      <c r="AB938" s="50">
        <f>(B938*122.58+C938*297.941+D938*89.177+E938*40.302+F938*40+G938*160+H938*0+I938*100+J938*300)/(122.58+297.941+89.177+40.302+0+40+160+100+300)</f>
        <v>110.4577392412174</v>
      </c>
      <c r="AC938" s="45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108.25448705035971</v>
      </c>
    </row>
    <row r="939" spans="1:29" ht="15.75" x14ac:dyDescent="0.25">
      <c r="A939" s="32">
        <v>69488</v>
      </c>
      <c r="B939" s="14">
        <f>CHOOSE(CONTROL!$C$42, 107.2794, 107.2794) * CHOOSE(CONTROL!$C$21, $C$9, 100%, $E$9)</f>
        <v>107.2794</v>
      </c>
      <c r="C939" s="14">
        <f>CHOOSE(CONTROL!$C$42, 107.2845, 107.2845) * CHOOSE(CONTROL!$C$21, $C$9, 100%, $E$9)</f>
        <v>107.28449999999999</v>
      </c>
      <c r="D939" s="14">
        <f>CHOOSE(CONTROL!$C$42, 107.3613, 107.3613) * CHOOSE(CONTROL!$C$21, $C$9, 100%, $E$9)</f>
        <v>107.3613</v>
      </c>
      <c r="E939" s="14">
        <f>CHOOSE(CONTROL!$C$42, 107.3954, 107.3954) * CHOOSE(CONTROL!$C$21, $C$9, 100%, $E$9)</f>
        <v>107.3954</v>
      </c>
      <c r="F939" s="14">
        <f>CHOOSE(CONTROL!$C$42, 107.2792, 107.2792)*CHOOSE(CONTROL!$C$21, $C$9, 100%, $E$9)</f>
        <v>107.2792</v>
      </c>
      <c r="G939" s="14">
        <f>CHOOSE(CONTROL!$C$42, 107.2953, 107.2953)*CHOOSE(CONTROL!$C$21, $C$9, 100%, $E$9)</f>
        <v>107.2953</v>
      </c>
      <c r="H939" s="14">
        <f>CHOOSE(CONTROL!$C$42, 107.3846, 107.3846) * CHOOSE(CONTROL!$C$21, $C$9, 100%, $E$9)</f>
        <v>107.38460000000001</v>
      </c>
      <c r="I939" s="14">
        <f>CHOOSE(CONTROL!$C$42, 107.6334, 107.6334)* CHOOSE(CONTROL!$C$21, $C$9, 100%, $E$9)</f>
        <v>107.63339999999999</v>
      </c>
      <c r="J939" s="14">
        <f>CHOOSE(CONTROL!$C$42, 107.2722, 107.2722)* CHOOSE(CONTROL!$C$21, $C$9, 100%, $E$9)</f>
        <v>107.2722</v>
      </c>
      <c r="K939" s="53">
        <f>CHOOSE(CONTROL!$C$42, 107.6295, 107.6295) * CHOOSE(CONTROL!$C$21, $C$9, 100%, $E$9)</f>
        <v>107.62949999999999</v>
      </c>
      <c r="L939" s="14">
        <f>CHOOSE(CONTROL!$C$42, 107.9716, 107.9716) * CHOOSE(CONTROL!$C$21, $C$9, 100%, $E$9)</f>
        <v>107.9716</v>
      </c>
      <c r="M939" s="14">
        <f>CHOOSE(CONTROL!$C$42, 105.0819, 105.0819) * CHOOSE(CONTROL!$C$21, $C$9, 100%, $E$9)</f>
        <v>105.0819</v>
      </c>
      <c r="N939" s="14">
        <f>CHOOSE(CONTROL!$C$42, 105.0977, 105.0977) * CHOOSE(CONTROL!$C$21, $C$9, 100%, $E$9)</f>
        <v>105.0977</v>
      </c>
      <c r="O939" s="14">
        <f>CHOOSE(CONTROL!$C$42, 105.192, 105.192) * CHOOSE(CONTROL!$C$21, $C$9, 100%, $E$9)</f>
        <v>105.19199999999999</v>
      </c>
      <c r="P939" s="14">
        <f>CHOOSE(CONTROL!$C$42, 105.4291, 105.4291) * CHOOSE(CONTROL!$C$21, $C$9, 100%, $E$9)</f>
        <v>105.42910000000001</v>
      </c>
      <c r="Q939" s="14">
        <f>CHOOSE(CONTROL!$C$42, 105.7867, 105.7867) * CHOOSE(CONTROL!$C$21, $C$9, 100%, $E$9)</f>
        <v>105.7867</v>
      </c>
      <c r="R939" s="14">
        <f>CHOOSE(CONTROL!$C$42, 106.6382, 106.6382) * CHOOSE(CONTROL!$C$21, $C$9, 100%, $E$9)</f>
        <v>106.6382</v>
      </c>
      <c r="S939" s="14">
        <f>CHOOSE(CONTROL!$C$42, 103.0762, 103.0762) * CHOOSE(CONTROL!$C$21, $C$9, 100%, $E$9)</f>
        <v>103.0762</v>
      </c>
      <c r="T9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7">
        <f>(1000*CHOOSE(CONTROL!$C$42, 695, 695)*CHOOSE(CONTROL!$C$42, 0.5599, 0.5599)*CHOOSE(CONTROL!$C$42, 31, 31))/1000000</f>
        <v>12.063045499999998</v>
      </c>
      <c r="V939" s="57">
        <f>(1000*CHOOSE(CONTROL!$C$42, 500, 500)*CHOOSE(CONTROL!$C$42, 0.275, 0.275)*CHOOSE(CONTROL!$C$42, 31, 31))/1000000</f>
        <v>4.2625000000000002</v>
      </c>
      <c r="W939" s="57">
        <f>(1000*CHOOSE(CONTROL!$C$42, 0.1146, 0.1146)*CHOOSE(CONTROL!$C$42, 121.5, 121.5)*CHOOSE(CONTROL!$C$42, 31, 31))/1000000</f>
        <v>0.43164089999999994</v>
      </c>
      <c r="X939" s="57">
        <f>(31*0.1790888*100000/1000000)+(31*0.2374*100000/1000000)</f>
        <v>1.2911152800000001</v>
      </c>
      <c r="Y939" s="57"/>
      <c r="Z939" s="14"/>
      <c r="AA939" s="56"/>
      <c r="AB939" s="50">
        <f>(B939*122.58+C939*297.941+D939*89.177+E939*40.302+F939*40+G939*160+H939*0+I939*100+J939*300)/(122.58+297.941+89.177+40.302+0+40+160+100+300)</f>
        <v>107.32224706730435</v>
      </c>
      <c r="AC939" s="45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105.18266762589927</v>
      </c>
    </row>
    <row r="940" spans="1:29" ht="15.75" x14ac:dyDescent="0.25">
      <c r="A940" s="32">
        <v>69518</v>
      </c>
      <c r="B940" s="14">
        <f>CHOOSE(CONTROL!$C$42, 106.9594, 106.9594) * CHOOSE(CONTROL!$C$21, $C$9, 100%, $E$9)</f>
        <v>106.9594</v>
      </c>
      <c r="C940" s="14">
        <f>CHOOSE(CONTROL!$C$42, 106.9639, 106.9639) * CHOOSE(CONTROL!$C$21, $C$9, 100%, $E$9)</f>
        <v>106.9639</v>
      </c>
      <c r="D940" s="14">
        <f>CHOOSE(CONTROL!$C$42, 107.2007, 107.2007) * CHOOSE(CONTROL!$C$21, $C$9, 100%, $E$9)</f>
        <v>107.2007</v>
      </c>
      <c r="E940" s="14">
        <f>CHOOSE(CONTROL!$C$42, 107.2328, 107.2328) * CHOOSE(CONTROL!$C$21, $C$9, 100%, $E$9)</f>
        <v>107.2328</v>
      </c>
      <c r="F940" s="14">
        <f>CHOOSE(CONTROL!$C$42, 106.9574, 106.9574)*CHOOSE(CONTROL!$C$21, $C$9, 100%, $E$9)</f>
        <v>106.95740000000001</v>
      </c>
      <c r="G940" s="14">
        <f>CHOOSE(CONTROL!$C$42, 106.9732, 106.9732)*CHOOSE(CONTROL!$C$21, $C$9, 100%, $E$9)</f>
        <v>106.97320000000001</v>
      </c>
      <c r="H940" s="14">
        <f>CHOOSE(CONTROL!$C$42, 107.2225, 107.2225) * CHOOSE(CONTROL!$C$21, $C$9, 100%, $E$9)</f>
        <v>107.2225</v>
      </c>
      <c r="I940" s="14">
        <f>CHOOSE(CONTROL!$C$42, 107.3117, 107.3117)* CHOOSE(CONTROL!$C$21, $C$9, 100%, $E$9)</f>
        <v>107.3117</v>
      </c>
      <c r="J940" s="14">
        <f>CHOOSE(CONTROL!$C$42, 106.9504, 106.9504)* CHOOSE(CONTROL!$C$21, $C$9, 100%, $E$9)</f>
        <v>106.9504</v>
      </c>
      <c r="K940" s="53">
        <f>CHOOSE(CONTROL!$C$42, 107.3078, 107.3078) * CHOOSE(CONTROL!$C$21, $C$9, 100%, $E$9)</f>
        <v>107.3078</v>
      </c>
      <c r="L940" s="14">
        <f>CHOOSE(CONTROL!$C$42, 107.8095, 107.8095) * CHOOSE(CONTROL!$C$21, $C$9, 100%, $E$9)</f>
        <v>107.8095</v>
      </c>
      <c r="M940" s="14">
        <f>CHOOSE(CONTROL!$C$42, 104.7667, 104.7667) * CHOOSE(CONTROL!$C$21, $C$9, 100%, $E$9)</f>
        <v>104.7667</v>
      </c>
      <c r="N940" s="14">
        <f>CHOOSE(CONTROL!$C$42, 104.7822, 104.7822) * CHOOSE(CONTROL!$C$21, $C$9, 100%, $E$9)</f>
        <v>104.7822</v>
      </c>
      <c r="O940" s="14">
        <f>CHOOSE(CONTROL!$C$42, 105.0333, 105.0333) * CHOOSE(CONTROL!$C$21, $C$9, 100%, $E$9)</f>
        <v>105.0333</v>
      </c>
      <c r="P940" s="14">
        <f>CHOOSE(CONTROL!$C$42, 105.114, 105.114) * CHOOSE(CONTROL!$C$21, $C$9, 100%, $E$9)</f>
        <v>105.114</v>
      </c>
      <c r="Q940" s="14">
        <f>CHOOSE(CONTROL!$C$42, 105.628, 105.628) * CHOOSE(CONTROL!$C$21, $C$9, 100%, $E$9)</f>
        <v>105.628</v>
      </c>
      <c r="R940" s="14">
        <f>CHOOSE(CONTROL!$C$42, 106.4791, 106.4791) * CHOOSE(CONTROL!$C$21, $C$9, 100%, $E$9)</f>
        <v>106.4791</v>
      </c>
      <c r="S940" s="14">
        <f>CHOOSE(CONTROL!$C$42, 102.768, 102.768) * CHOOSE(CONTROL!$C$21, $C$9, 100%, $E$9)</f>
        <v>102.768</v>
      </c>
      <c r="T9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7">
        <f>(1000*CHOOSE(CONTROL!$C$42, 695, 695)*CHOOSE(CONTROL!$C$42, 0.5599, 0.5599)*CHOOSE(CONTROL!$C$42, 30, 30))/1000000</f>
        <v>11.673914999999997</v>
      </c>
      <c r="V940" s="57">
        <f>(1000*CHOOSE(CONTROL!$C$42, 500, 500)*CHOOSE(CONTROL!$C$42, 0.275, 0.275)*CHOOSE(CONTROL!$C$42, 30, 30))/1000000</f>
        <v>4.125</v>
      </c>
      <c r="W940" s="57">
        <f>(1000*CHOOSE(CONTROL!$C$42, 0.1146, 0.1146)*CHOOSE(CONTROL!$C$42, 121.5, 121.5)*CHOOSE(CONTROL!$C$42, 30, 30))/1000000</f>
        <v>0.417717</v>
      </c>
      <c r="X940" s="57">
        <f>(30*0.1790888*245000/1000000)+(30*0.2374*100000/1000000)</f>
        <v>2.0285026799999999</v>
      </c>
      <c r="Y940" s="57"/>
      <c r="Z940" s="14"/>
      <c r="AA940" s="56"/>
      <c r="AB940" s="50">
        <f>(B940*141.293+C940*267.993+D940*115.016+E940*89.698+F940*40+G940*185+H940*0+I940*100+J940*300)/(141.293+267.993+115.016+89.698+0+40+185+100+300)</f>
        <v>107.03081708030669</v>
      </c>
      <c r="AC940" s="45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104.93839640287769</v>
      </c>
    </row>
    <row r="941" spans="1:29" ht="15.75" x14ac:dyDescent="0.25">
      <c r="A941" s="32">
        <v>69549</v>
      </c>
      <c r="B941" s="14">
        <f>CHOOSE(CONTROL!$C$42, 107.9048, 107.9048) * CHOOSE(CONTROL!$C$21, $C$9, 100%, $E$9)</f>
        <v>107.90479999999999</v>
      </c>
      <c r="C941" s="14">
        <f>CHOOSE(CONTROL!$C$42, 107.9128, 107.9128) * CHOOSE(CONTROL!$C$21, $C$9, 100%, $E$9)</f>
        <v>107.9128</v>
      </c>
      <c r="D941" s="14">
        <f>CHOOSE(CONTROL!$C$42, 108.1464, 108.1464) * CHOOSE(CONTROL!$C$21, $C$9, 100%, $E$9)</f>
        <v>108.1464</v>
      </c>
      <c r="E941" s="14">
        <f>CHOOSE(CONTROL!$C$42, 108.1779, 108.1779) * CHOOSE(CONTROL!$C$21, $C$9, 100%, $E$9)</f>
        <v>108.17789999999999</v>
      </c>
      <c r="F941" s="14">
        <f>CHOOSE(CONTROL!$C$42, 107.9016, 107.9016)*CHOOSE(CONTROL!$C$21, $C$9, 100%, $E$9)</f>
        <v>107.9016</v>
      </c>
      <c r="G941" s="14">
        <f>CHOOSE(CONTROL!$C$42, 107.9179, 107.9179)*CHOOSE(CONTROL!$C$21, $C$9, 100%, $E$9)</f>
        <v>107.9179</v>
      </c>
      <c r="H941" s="14">
        <f>CHOOSE(CONTROL!$C$42, 108.1665, 108.1665) * CHOOSE(CONTROL!$C$21, $C$9, 100%, $E$9)</f>
        <v>108.1665</v>
      </c>
      <c r="I941" s="14">
        <f>CHOOSE(CONTROL!$C$42, 108.2586, 108.2586)* CHOOSE(CONTROL!$C$21, $C$9, 100%, $E$9)</f>
        <v>108.2586</v>
      </c>
      <c r="J941" s="14">
        <f>CHOOSE(CONTROL!$C$42, 107.8946, 107.8946)* CHOOSE(CONTROL!$C$21, $C$9, 100%, $E$9)</f>
        <v>107.8946</v>
      </c>
      <c r="K941" s="53">
        <f>CHOOSE(CONTROL!$C$42, 108.2547, 108.2547) * CHOOSE(CONTROL!$C$21, $C$9, 100%, $E$9)</f>
        <v>108.2547</v>
      </c>
      <c r="L941" s="14">
        <f>CHOOSE(CONTROL!$C$42, 108.7535, 108.7535) * CHOOSE(CONTROL!$C$21, $C$9, 100%, $E$9)</f>
        <v>108.7535</v>
      </c>
      <c r="M941" s="14">
        <f>CHOOSE(CONTROL!$C$42, 105.6916, 105.6916) * CHOOSE(CONTROL!$C$21, $C$9, 100%, $E$9)</f>
        <v>105.69159999999999</v>
      </c>
      <c r="N941" s="14">
        <f>CHOOSE(CONTROL!$C$42, 105.7076, 105.7076) * CHOOSE(CONTROL!$C$21, $C$9, 100%, $E$9)</f>
        <v>105.7076</v>
      </c>
      <c r="O941" s="14">
        <f>CHOOSE(CONTROL!$C$42, 105.9579, 105.9579) * CHOOSE(CONTROL!$C$21, $C$9, 100%, $E$9)</f>
        <v>105.9579</v>
      </c>
      <c r="P941" s="14">
        <f>CHOOSE(CONTROL!$C$42, 106.0414, 106.0414) * CHOOSE(CONTROL!$C$21, $C$9, 100%, $E$9)</f>
        <v>106.0414</v>
      </c>
      <c r="Q941" s="14">
        <f>CHOOSE(CONTROL!$C$42, 106.5526, 106.5526) * CHOOSE(CONTROL!$C$21, $C$9, 100%, $E$9)</f>
        <v>106.5526</v>
      </c>
      <c r="R941" s="14">
        <f>CHOOSE(CONTROL!$C$42, 107.406, 107.406) * CHOOSE(CONTROL!$C$21, $C$9, 100%, $E$9)</f>
        <v>107.40600000000001</v>
      </c>
      <c r="S941" s="14">
        <f>CHOOSE(CONTROL!$C$42, 103.6751, 103.6751) * CHOOSE(CONTROL!$C$21, $C$9, 100%, $E$9)</f>
        <v>103.6751</v>
      </c>
      <c r="T9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7">
        <f>(1000*CHOOSE(CONTROL!$C$42, 695, 695)*CHOOSE(CONTROL!$C$42, 0.5599, 0.5599)*CHOOSE(CONTROL!$C$42, 31, 31))/1000000</f>
        <v>12.063045499999998</v>
      </c>
      <c r="V941" s="57">
        <f>(1000*CHOOSE(CONTROL!$C$42, 500, 500)*CHOOSE(CONTROL!$C$42, 0.275, 0.275)*CHOOSE(CONTROL!$C$42, 31, 31))/1000000</f>
        <v>4.2625000000000002</v>
      </c>
      <c r="W941" s="57">
        <f>(1000*CHOOSE(CONTROL!$C$42, 0.1146, 0.1146)*CHOOSE(CONTROL!$C$42, 121.5, 121.5)*CHOOSE(CONTROL!$C$42, 31, 31))/1000000</f>
        <v>0.43164089999999994</v>
      </c>
      <c r="X941" s="57">
        <f>(31*0.1790888*245000/1000000)+(31*0.2374*100000/1000000)</f>
        <v>2.0961194359999999</v>
      </c>
      <c r="Y941" s="57"/>
      <c r="Z941" s="14"/>
      <c r="AA941" s="56"/>
      <c r="AB941" s="50">
        <f>(B941*194.205+C941*267.466+D941*133.845+E941*53.484+F941*40+G941*185+H941*0+I941*100+J941*300)/(194.205+267.466+133.845+53.484+0+40+185+100+300)</f>
        <v>107.9704975356358</v>
      </c>
      <c r="AC941" s="45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105.86354892086329</v>
      </c>
    </row>
    <row r="942" spans="1:29" ht="15.75" x14ac:dyDescent="0.25">
      <c r="A942" s="32">
        <v>69579</v>
      </c>
      <c r="B942" s="14">
        <f>CHOOSE(CONTROL!$C$42, 110.9653, 110.9653) * CHOOSE(CONTROL!$C$21, $C$9, 100%, $E$9)</f>
        <v>110.9653</v>
      </c>
      <c r="C942" s="14">
        <f>CHOOSE(CONTROL!$C$42, 110.9733, 110.9733) * CHOOSE(CONTROL!$C$21, $C$9, 100%, $E$9)</f>
        <v>110.97329999999999</v>
      </c>
      <c r="D942" s="14">
        <f>CHOOSE(CONTROL!$C$42, 111.2069, 111.2069) * CHOOSE(CONTROL!$C$21, $C$9, 100%, $E$9)</f>
        <v>111.2069</v>
      </c>
      <c r="E942" s="14">
        <f>CHOOSE(CONTROL!$C$42, 111.2384, 111.2384) * CHOOSE(CONTROL!$C$21, $C$9, 100%, $E$9)</f>
        <v>111.2384</v>
      </c>
      <c r="F942" s="14">
        <f>CHOOSE(CONTROL!$C$42, 110.9626, 110.9626)*CHOOSE(CONTROL!$C$21, $C$9, 100%, $E$9)</f>
        <v>110.96259999999999</v>
      </c>
      <c r="G942" s="14">
        <f>CHOOSE(CONTROL!$C$42, 110.979, 110.979)*CHOOSE(CONTROL!$C$21, $C$9, 100%, $E$9)</f>
        <v>110.979</v>
      </c>
      <c r="H942" s="14">
        <f>CHOOSE(CONTROL!$C$42, 111.227, 111.227) * CHOOSE(CONTROL!$C$21, $C$9, 100%, $E$9)</f>
        <v>111.227</v>
      </c>
      <c r="I942" s="14">
        <f>CHOOSE(CONTROL!$C$42, 111.3287, 111.3287)* CHOOSE(CONTROL!$C$21, $C$9, 100%, $E$9)</f>
        <v>111.3287</v>
      </c>
      <c r="J942" s="14">
        <f>CHOOSE(CONTROL!$C$42, 110.9556, 110.9556)* CHOOSE(CONTROL!$C$21, $C$9, 100%, $E$9)</f>
        <v>110.9556</v>
      </c>
      <c r="K942" s="53">
        <f>CHOOSE(CONTROL!$C$42, 111.3248, 111.3248) * CHOOSE(CONTROL!$C$21, $C$9, 100%, $E$9)</f>
        <v>111.3248</v>
      </c>
      <c r="L942" s="14">
        <f>CHOOSE(CONTROL!$C$42, 111.814, 111.814) * CHOOSE(CONTROL!$C$21, $C$9, 100%, $E$9)</f>
        <v>111.81399999999999</v>
      </c>
      <c r="M942" s="14">
        <f>CHOOSE(CONTROL!$C$42, 108.6899, 108.6899) * CHOOSE(CONTROL!$C$21, $C$9, 100%, $E$9)</f>
        <v>108.68989999999999</v>
      </c>
      <c r="N942" s="14">
        <f>CHOOSE(CONTROL!$C$42, 108.706, 108.706) * CHOOSE(CONTROL!$C$21, $C$9, 100%, $E$9)</f>
        <v>108.706</v>
      </c>
      <c r="O942" s="14">
        <f>CHOOSE(CONTROL!$C$42, 108.9557, 108.9557) * CHOOSE(CONTROL!$C$21, $C$9, 100%, $E$9)</f>
        <v>108.95569999999999</v>
      </c>
      <c r="P942" s="14">
        <f>CHOOSE(CONTROL!$C$42, 109.0484, 109.0484) * CHOOSE(CONTROL!$C$21, $C$9, 100%, $E$9)</f>
        <v>109.0484</v>
      </c>
      <c r="Q942" s="14">
        <f>CHOOSE(CONTROL!$C$42, 109.5504, 109.5504) * CHOOSE(CONTROL!$C$21, $C$9, 100%, $E$9)</f>
        <v>109.5504</v>
      </c>
      <c r="R942" s="14">
        <f>CHOOSE(CONTROL!$C$42, 110.4113, 110.4113) * CHOOSE(CONTROL!$C$21, $C$9, 100%, $E$9)</f>
        <v>110.4113</v>
      </c>
      <c r="S942" s="14">
        <f>CHOOSE(CONTROL!$C$42, 106.6159, 106.6159) * CHOOSE(CONTROL!$C$21, $C$9, 100%, $E$9)</f>
        <v>106.6159</v>
      </c>
      <c r="T9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7">
        <f>(1000*CHOOSE(CONTROL!$C$42, 695, 695)*CHOOSE(CONTROL!$C$42, 0.5599, 0.5599)*CHOOSE(CONTROL!$C$42, 30, 30))/1000000</f>
        <v>11.673914999999997</v>
      </c>
      <c r="V942" s="57">
        <f>(1000*CHOOSE(CONTROL!$C$42, 500, 500)*CHOOSE(CONTROL!$C$42, 0.275, 0.275)*CHOOSE(CONTROL!$C$42, 30, 30))/1000000</f>
        <v>4.125</v>
      </c>
      <c r="W942" s="57">
        <f>(1000*CHOOSE(CONTROL!$C$42, 0.1146, 0.1146)*CHOOSE(CONTROL!$C$42, 121.5, 121.5)*CHOOSE(CONTROL!$C$42, 30, 30))/1000000</f>
        <v>0.417717</v>
      </c>
      <c r="X942" s="57">
        <f>(30*0.1790888*245000/1000000)+(30*0.2374*100000/1000000)</f>
        <v>2.0285026799999999</v>
      </c>
      <c r="Y942" s="57"/>
      <c r="Z942" s="14"/>
      <c r="AA942" s="56"/>
      <c r="AB942" s="50">
        <f>(B942*194.205+C942*267.466+D942*133.845+E942*53.484+F942*40+G942*185+H942*0+I942*100+J942*300)/(194.205+267.466+133.845+53.484+0+40+185+100+300)</f>
        <v>111.03197163296703</v>
      </c>
      <c r="AC942" s="45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108.8628798561151</v>
      </c>
    </row>
    <row r="943" spans="1:29" ht="15.75" x14ac:dyDescent="0.25">
      <c r="A943" s="32">
        <v>69610</v>
      </c>
      <c r="B943" s="14">
        <f>CHOOSE(CONTROL!$C$42, 108.8367, 108.8367) * CHOOSE(CONTROL!$C$21, $C$9, 100%, $E$9)</f>
        <v>108.83669999999999</v>
      </c>
      <c r="C943" s="14">
        <f>CHOOSE(CONTROL!$C$42, 108.8447, 108.8447) * CHOOSE(CONTROL!$C$21, $C$9, 100%, $E$9)</f>
        <v>108.8447</v>
      </c>
      <c r="D943" s="14">
        <f>CHOOSE(CONTROL!$C$42, 109.0783, 109.0783) * CHOOSE(CONTROL!$C$21, $C$9, 100%, $E$9)</f>
        <v>109.0783</v>
      </c>
      <c r="E943" s="14">
        <f>CHOOSE(CONTROL!$C$42, 109.1098, 109.1098) * CHOOSE(CONTROL!$C$21, $C$9, 100%, $E$9)</f>
        <v>109.10980000000001</v>
      </c>
      <c r="F943" s="14">
        <f>CHOOSE(CONTROL!$C$42, 108.8345, 108.8345)*CHOOSE(CONTROL!$C$21, $C$9, 100%, $E$9)</f>
        <v>108.83450000000001</v>
      </c>
      <c r="G943" s="14">
        <f>CHOOSE(CONTROL!$C$42, 108.8511, 108.8511)*CHOOSE(CONTROL!$C$21, $C$9, 100%, $E$9)</f>
        <v>108.8511</v>
      </c>
      <c r="H943" s="14">
        <f>CHOOSE(CONTROL!$C$42, 109.0984, 109.0984) * CHOOSE(CONTROL!$C$21, $C$9, 100%, $E$9)</f>
        <v>109.0984</v>
      </c>
      <c r="I943" s="14">
        <f>CHOOSE(CONTROL!$C$42, 109.1934, 109.1934)* CHOOSE(CONTROL!$C$21, $C$9, 100%, $E$9)</f>
        <v>109.1934</v>
      </c>
      <c r="J943" s="14">
        <f>CHOOSE(CONTROL!$C$42, 108.8275, 108.8275)* CHOOSE(CONTROL!$C$21, $C$9, 100%, $E$9)</f>
        <v>108.8275</v>
      </c>
      <c r="K943" s="53">
        <f>CHOOSE(CONTROL!$C$42, 109.1895, 109.1895) * CHOOSE(CONTROL!$C$21, $C$9, 100%, $E$9)</f>
        <v>109.1895</v>
      </c>
      <c r="L943" s="14">
        <f>CHOOSE(CONTROL!$C$42, 109.6854, 109.6854) * CHOOSE(CONTROL!$C$21, $C$9, 100%, $E$9)</f>
        <v>109.6854</v>
      </c>
      <c r="M943" s="14">
        <f>CHOOSE(CONTROL!$C$42, 106.6054, 106.6054) * CHOOSE(CONTROL!$C$21, $C$9, 100%, $E$9)</f>
        <v>106.6054</v>
      </c>
      <c r="N943" s="14">
        <f>CHOOSE(CONTROL!$C$42, 106.6216, 106.6216) * CHOOSE(CONTROL!$C$21, $C$9, 100%, $E$9)</f>
        <v>106.6216</v>
      </c>
      <c r="O943" s="14">
        <f>CHOOSE(CONTROL!$C$42, 106.8707, 106.8707) * CHOOSE(CONTROL!$C$21, $C$9, 100%, $E$9)</f>
        <v>106.8707</v>
      </c>
      <c r="P943" s="14">
        <f>CHOOSE(CONTROL!$C$42, 106.957, 106.957) * CHOOSE(CONTROL!$C$21, $C$9, 100%, $E$9)</f>
        <v>106.95699999999999</v>
      </c>
      <c r="Q943" s="14">
        <f>CHOOSE(CONTROL!$C$42, 107.4654, 107.4654) * CHOOSE(CONTROL!$C$21, $C$9, 100%, $E$9)</f>
        <v>107.4654</v>
      </c>
      <c r="R943" s="14">
        <f>CHOOSE(CONTROL!$C$42, 108.3211, 108.3211) * CHOOSE(CONTROL!$C$21, $C$9, 100%, $E$9)</f>
        <v>108.3211</v>
      </c>
      <c r="S943" s="14">
        <f>CHOOSE(CONTROL!$C$42, 104.5705, 104.5705) * CHOOSE(CONTROL!$C$21, $C$9, 100%, $E$9)</f>
        <v>104.5705</v>
      </c>
      <c r="T9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7">
        <f>(1000*CHOOSE(CONTROL!$C$42, 695, 695)*CHOOSE(CONTROL!$C$42, 0.5599, 0.5599)*CHOOSE(CONTROL!$C$42, 31, 31))/1000000</f>
        <v>12.063045499999998</v>
      </c>
      <c r="V943" s="57">
        <f>(1000*CHOOSE(CONTROL!$C$42, 500, 500)*CHOOSE(CONTROL!$C$42, 0.275, 0.275)*CHOOSE(CONTROL!$C$42, 31, 31))/1000000</f>
        <v>4.2625000000000002</v>
      </c>
      <c r="W943" s="57">
        <f>(1000*CHOOSE(CONTROL!$C$42, 0.1146, 0.1146)*CHOOSE(CONTROL!$C$42, 121.5, 121.5)*CHOOSE(CONTROL!$C$42, 31, 31))/1000000</f>
        <v>0.43164089999999994</v>
      </c>
      <c r="X943" s="57">
        <f>(31*0.1790888*245000/1000000)+(31*0.2374*100000/1000000)</f>
        <v>2.0961194359999999</v>
      </c>
      <c r="Y943" s="57"/>
      <c r="Z943" s="14"/>
      <c r="AA943" s="56"/>
      <c r="AB943" s="50">
        <f>(B943*194.205+C943*267.466+D943*133.845+E943*53.484+F943*40+G943*185+H943*0+I943*100+J943*300)/(194.205+267.466+133.845+53.484+0+40+185+100+300)</f>
        <v>108.90308081664051</v>
      </c>
      <c r="AC943" s="45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106.77716618705036</v>
      </c>
    </row>
    <row r="944" spans="1:29" ht="15.75" x14ac:dyDescent="0.25">
      <c r="A944" s="32">
        <v>69641</v>
      </c>
      <c r="B944" s="14">
        <f>CHOOSE(CONTROL!$C$42, 103.4613, 103.4613) * CHOOSE(CONTROL!$C$21, $C$9, 100%, $E$9)</f>
        <v>103.46129999999999</v>
      </c>
      <c r="C944" s="14">
        <f>CHOOSE(CONTROL!$C$42, 103.4693, 103.4693) * CHOOSE(CONTROL!$C$21, $C$9, 100%, $E$9)</f>
        <v>103.4693</v>
      </c>
      <c r="D944" s="14">
        <f>CHOOSE(CONTROL!$C$42, 103.7029, 103.7029) * CHOOSE(CONTROL!$C$21, $C$9, 100%, $E$9)</f>
        <v>103.7029</v>
      </c>
      <c r="E944" s="14">
        <f>CHOOSE(CONTROL!$C$42, 103.7344, 103.7344) * CHOOSE(CONTROL!$C$21, $C$9, 100%, $E$9)</f>
        <v>103.73439999999999</v>
      </c>
      <c r="F944" s="14">
        <f>CHOOSE(CONTROL!$C$42, 103.4593, 103.4593)*CHOOSE(CONTROL!$C$21, $C$9, 100%, $E$9)</f>
        <v>103.4593</v>
      </c>
      <c r="G944" s="14">
        <f>CHOOSE(CONTROL!$C$42, 103.4759, 103.4759)*CHOOSE(CONTROL!$C$21, $C$9, 100%, $E$9)</f>
        <v>103.4759</v>
      </c>
      <c r="H944" s="14">
        <f>CHOOSE(CONTROL!$C$42, 103.723, 103.723) * CHOOSE(CONTROL!$C$21, $C$9, 100%, $E$9)</f>
        <v>103.723</v>
      </c>
      <c r="I944" s="14">
        <f>CHOOSE(CONTROL!$C$42, 103.8012, 103.8012)* CHOOSE(CONTROL!$C$21, $C$9, 100%, $E$9)</f>
        <v>103.80119999999999</v>
      </c>
      <c r="J944" s="14">
        <f>CHOOSE(CONTROL!$C$42, 103.4523, 103.4523)* CHOOSE(CONTROL!$C$21, $C$9, 100%, $E$9)</f>
        <v>103.45229999999999</v>
      </c>
      <c r="K944" s="53">
        <f>CHOOSE(CONTROL!$C$42, 103.7973, 103.7973) * CHOOSE(CONTROL!$C$21, $C$9, 100%, $E$9)</f>
        <v>103.79730000000001</v>
      </c>
      <c r="L944" s="14">
        <f>CHOOSE(CONTROL!$C$42, 104.31, 104.31) * CHOOSE(CONTROL!$C$21, $C$9, 100%, $E$9)</f>
        <v>104.31</v>
      </c>
      <c r="M944" s="14">
        <f>CHOOSE(CONTROL!$C$42, 101.3403, 101.3403) * CHOOSE(CONTROL!$C$21, $C$9, 100%, $E$9)</f>
        <v>101.3403</v>
      </c>
      <c r="N944" s="14">
        <f>CHOOSE(CONTROL!$C$42, 101.3566, 101.3566) * CHOOSE(CONTROL!$C$21, $C$9, 100%, $E$9)</f>
        <v>101.3566</v>
      </c>
      <c r="O944" s="14">
        <f>CHOOSE(CONTROL!$C$42, 101.6055, 101.6055) * CHOOSE(CONTROL!$C$21, $C$9, 100%, $E$9)</f>
        <v>101.60550000000001</v>
      </c>
      <c r="P944" s="14">
        <f>CHOOSE(CONTROL!$C$42, 101.6756, 101.6756) * CHOOSE(CONTROL!$C$21, $C$9, 100%, $E$9)</f>
        <v>101.6756</v>
      </c>
      <c r="Q944" s="14">
        <f>CHOOSE(CONTROL!$C$42, 102.2002, 102.2002) * CHOOSE(CONTROL!$C$21, $C$9, 100%, $E$9)</f>
        <v>102.2002</v>
      </c>
      <c r="R944" s="14">
        <f>CHOOSE(CONTROL!$C$42, 103.0427, 103.0427) * CHOOSE(CONTROL!$C$21, $C$9, 100%, $E$9)</f>
        <v>103.0427</v>
      </c>
      <c r="S944" s="14">
        <f>CHOOSE(CONTROL!$C$42, 99.4053, 99.4053) * CHOOSE(CONTROL!$C$21, $C$9, 100%, $E$9)</f>
        <v>99.405299999999997</v>
      </c>
      <c r="T9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7">
        <f>(1000*CHOOSE(CONTROL!$C$42, 695, 695)*CHOOSE(CONTROL!$C$42, 0.5599, 0.5599)*CHOOSE(CONTROL!$C$42, 31, 31))/1000000</f>
        <v>12.063045499999998</v>
      </c>
      <c r="V944" s="57">
        <f>(1000*CHOOSE(CONTROL!$C$42, 500, 500)*CHOOSE(CONTROL!$C$42, 0.275, 0.275)*CHOOSE(CONTROL!$C$42, 31, 31))/1000000</f>
        <v>4.2625000000000002</v>
      </c>
      <c r="W944" s="57">
        <f>(1000*CHOOSE(CONTROL!$C$42, 0.1146, 0.1146)*CHOOSE(CONTROL!$C$42, 121.5, 121.5)*CHOOSE(CONTROL!$C$42, 31, 31))/1000000</f>
        <v>0.43164089999999994</v>
      </c>
      <c r="X944" s="57">
        <f>(31*0.1790888*245000/1000000)+(31*0.2374*100000/1000000)</f>
        <v>2.0961194359999999</v>
      </c>
      <c r="Y944" s="57"/>
      <c r="Z944" s="14"/>
      <c r="AA944" s="56"/>
      <c r="AB944" s="50">
        <f>(B944*194.205+C944*267.466+D944*133.845+E944*53.484+F944*40+G944*185+H944*0+I944*100+J944*300)/(194.205+267.466+133.845+53.484+0+40+185+100+300)</f>
        <v>103.52644455290425</v>
      </c>
      <c r="AC944" s="45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101.50968129496403</v>
      </c>
    </row>
    <row r="945" spans="1:29" ht="15.75" x14ac:dyDescent="0.25">
      <c r="A945" s="32">
        <v>69671</v>
      </c>
      <c r="B945" s="14">
        <f>CHOOSE(CONTROL!$C$42, 96.8931, 96.8931) * CHOOSE(CONTROL!$C$21, $C$9, 100%, $E$9)</f>
        <v>96.893100000000004</v>
      </c>
      <c r="C945" s="14">
        <f>CHOOSE(CONTROL!$C$42, 96.9011, 96.9011) * CHOOSE(CONTROL!$C$21, $C$9, 100%, $E$9)</f>
        <v>96.9011</v>
      </c>
      <c r="D945" s="14">
        <f>CHOOSE(CONTROL!$C$42, 97.1347, 97.1347) * CHOOSE(CONTROL!$C$21, $C$9, 100%, $E$9)</f>
        <v>97.134699999999995</v>
      </c>
      <c r="E945" s="14">
        <f>CHOOSE(CONTROL!$C$42, 97.1661, 97.1661) * CHOOSE(CONTROL!$C$21, $C$9, 100%, $E$9)</f>
        <v>97.1661</v>
      </c>
      <c r="F945" s="14">
        <f>CHOOSE(CONTROL!$C$42, 96.8911, 96.8911)*CHOOSE(CONTROL!$C$21, $C$9, 100%, $E$9)</f>
        <v>96.891099999999994</v>
      </c>
      <c r="G945" s="14">
        <f>CHOOSE(CONTROL!$C$42, 96.9077, 96.9077)*CHOOSE(CONTROL!$C$21, $C$9, 100%, $E$9)</f>
        <v>96.907700000000006</v>
      </c>
      <c r="H945" s="14">
        <f>CHOOSE(CONTROL!$C$42, 97.1548, 97.1548) * CHOOSE(CONTROL!$C$21, $C$9, 100%, $E$9)</f>
        <v>97.154799999999994</v>
      </c>
      <c r="I945" s="14">
        <f>CHOOSE(CONTROL!$C$42, 97.2124, 97.2124)* CHOOSE(CONTROL!$C$21, $C$9, 100%, $E$9)</f>
        <v>97.212400000000002</v>
      </c>
      <c r="J945" s="14">
        <f>CHOOSE(CONTROL!$C$42, 96.8841, 96.8841)* CHOOSE(CONTROL!$C$21, $C$9, 100%, $E$9)</f>
        <v>96.884100000000004</v>
      </c>
      <c r="K945" s="53">
        <f>CHOOSE(CONTROL!$C$42, 97.2085, 97.2085) * CHOOSE(CONTROL!$C$21, $C$9, 100%, $E$9)</f>
        <v>97.208500000000001</v>
      </c>
      <c r="L945" s="14">
        <f>CHOOSE(CONTROL!$C$42, 97.7418, 97.7418) * CHOOSE(CONTROL!$C$21, $C$9, 100%, $E$9)</f>
        <v>97.741799999999998</v>
      </c>
      <c r="M945" s="14">
        <f>CHOOSE(CONTROL!$C$42, 94.9067, 94.9067) * CHOOSE(CONTROL!$C$21, $C$9, 100%, $E$9)</f>
        <v>94.906700000000001</v>
      </c>
      <c r="N945" s="14">
        <f>CHOOSE(CONTROL!$C$42, 94.923, 94.923) * CHOOSE(CONTROL!$C$21, $C$9, 100%, $E$9)</f>
        <v>94.923000000000002</v>
      </c>
      <c r="O945" s="14">
        <f>CHOOSE(CONTROL!$C$42, 95.1718, 95.1718) * CHOOSE(CONTROL!$C$21, $C$9, 100%, $E$9)</f>
        <v>95.171800000000005</v>
      </c>
      <c r="P945" s="14">
        <f>CHOOSE(CONTROL!$C$42, 95.2222, 95.2222) * CHOOSE(CONTROL!$C$21, $C$9, 100%, $E$9)</f>
        <v>95.222200000000001</v>
      </c>
      <c r="Q945" s="14">
        <f>CHOOSE(CONTROL!$C$42, 95.7665, 95.7665) * CHOOSE(CONTROL!$C$21, $C$9, 100%, $E$9)</f>
        <v>95.766499999999994</v>
      </c>
      <c r="R945" s="14">
        <f>CHOOSE(CONTROL!$C$42, 96.5929, 96.5929) * CHOOSE(CONTROL!$C$21, $C$9, 100%, $E$9)</f>
        <v>96.5929</v>
      </c>
      <c r="S945" s="14">
        <f>CHOOSE(CONTROL!$C$42, 93.0939, 93.0939) * CHOOSE(CONTROL!$C$21, $C$9, 100%, $E$9)</f>
        <v>93.093900000000005</v>
      </c>
      <c r="T9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7">
        <f>(1000*CHOOSE(CONTROL!$C$42, 695, 695)*CHOOSE(CONTROL!$C$42, 0.5599, 0.5599)*CHOOSE(CONTROL!$C$42, 30, 30))/1000000</f>
        <v>11.673914999999997</v>
      </c>
      <c r="V945" s="57">
        <f>(1000*CHOOSE(CONTROL!$C$42, 500, 500)*CHOOSE(CONTROL!$C$42, 0.275, 0.275)*CHOOSE(CONTROL!$C$42, 30, 30))/1000000</f>
        <v>4.125</v>
      </c>
      <c r="W945" s="57">
        <f>(1000*CHOOSE(CONTROL!$C$42, 0.1146, 0.1146)*CHOOSE(CONTROL!$C$42, 121.5, 121.5)*CHOOSE(CONTROL!$C$42, 30, 30))/1000000</f>
        <v>0.417717</v>
      </c>
      <c r="X945" s="57">
        <f>(30*0.1790888*245000/1000000)+(30*0.2374*100000/1000000)</f>
        <v>2.0285026799999999</v>
      </c>
      <c r="Y945" s="57"/>
      <c r="Z945" s="14"/>
      <c r="AA945" s="56"/>
      <c r="AB945" s="50">
        <f>(B945*194.205+C945*267.466+D945*133.845+E945*53.484+F945*40+G945*185+H945*0+I945*100+J945*300)/(194.205+267.466+133.845+53.484+0+40+185+100+300)</f>
        <v>96.956623400313973</v>
      </c>
      <c r="AC945" s="45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95.073187050359721</v>
      </c>
    </row>
    <row r="946" spans="1:29" ht="15.75" x14ac:dyDescent="0.25">
      <c r="A946" s="32">
        <v>69702</v>
      </c>
      <c r="B946" s="14">
        <f>CHOOSE(CONTROL!$C$42, 94.9242, 94.9242) * CHOOSE(CONTROL!$C$21, $C$9, 100%, $E$9)</f>
        <v>94.924199999999999</v>
      </c>
      <c r="C946" s="14">
        <f>CHOOSE(CONTROL!$C$42, 94.9295, 94.9295) * CHOOSE(CONTROL!$C$21, $C$9, 100%, $E$9)</f>
        <v>94.929500000000004</v>
      </c>
      <c r="D946" s="14">
        <f>CHOOSE(CONTROL!$C$42, 95.1681, 95.1681) * CHOOSE(CONTROL!$C$21, $C$9, 100%, $E$9)</f>
        <v>95.168099999999995</v>
      </c>
      <c r="E946" s="14">
        <f>CHOOSE(CONTROL!$C$42, 95.1972, 95.1972) * CHOOSE(CONTROL!$C$21, $C$9, 100%, $E$9)</f>
        <v>95.197199999999995</v>
      </c>
      <c r="F946" s="14">
        <f>CHOOSE(CONTROL!$C$42, 94.9242, 94.9242)*CHOOSE(CONTROL!$C$21, $C$9, 100%, $E$9)</f>
        <v>94.924199999999999</v>
      </c>
      <c r="G946" s="14">
        <f>CHOOSE(CONTROL!$C$42, 94.9405, 94.9405)*CHOOSE(CONTROL!$C$21, $C$9, 100%, $E$9)</f>
        <v>94.9405</v>
      </c>
      <c r="H946" s="14">
        <f>CHOOSE(CONTROL!$C$42, 95.1877, 95.1877) * CHOOSE(CONTROL!$C$21, $C$9, 100%, $E$9)</f>
        <v>95.187700000000007</v>
      </c>
      <c r="I946" s="14">
        <f>CHOOSE(CONTROL!$C$42, 95.2392, 95.2392)* CHOOSE(CONTROL!$C$21, $C$9, 100%, $E$9)</f>
        <v>95.239199999999997</v>
      </c>
      <c r="J946" s="14">
        <f>CHOOSE(CONTROL!$C$42, 94.9172, 94.9172)* CHOOSE(CONTROL!$C$21, $C$9, 100%, $E$9)</f>
        <v>94.917199999999994</v>
      </c>
      <c r="K946" s="53">
        <f>CHOOSE(CONTROL!$C$42, 95.2353, 95.2353) * CHOOSE(CONTROL!$C$21, $C$9, 100%, $E$9)</f>
        <v>95.235299999999995</v>
      </c>
      <c r="L946" s="14">
        <f>CHOOSE(CONTROL!$C$42, 95.7747, 95.7747) * CHOOSE(CONTROL!$C$21, $C$9, 100%, $E$9)</f>
        <v>95.774699999999996</v>
      </c>
      <c r="M946" s="14">
        <f>CHOOSE(CONTROL!$C$42, 92.9801, 92.9801) * CHOOSE(CONTROL!$C$21, $C$9, 100%, $E$9)</f>
        <v>92.980099999999993</v>
      </c>
      <c r="N946" s="14">
        <f>CHOOSE(CONTROL!$C$42, 92.9961, 92.9961) * CHOOSE(CONTROL!$C$21, $C$9, 100%, $E$9)</f>
        <v>92.996099999999998</v>
      </c>
      <c r="O946" s="14">
        <f>CHOOSE(CONTROL!$C$42, 93.2451, 93.2451) * CHOOSE(CONTROL!$C$21, $C$9, 100%, $E$9)</f>
        <v>93.245099999999994</v>
      </c>
      <c r="P946" s="14">
        <f>CHOOSE(CONTROL!$C$42, 93.2896, 93.2896) * CHOOSE(CONTROL!$C$21, $C$9, 100%, $E$9)</f>
        <v>93.289599999999993</v>
      </c>
      <c r="Q946" s="14">
        <f>CHOOSE(CONTROL!$C$42, 93.8398, 93.8398) * CHOOSE(CONTROL!$C$21, $C$9, 100%, $E$9)</f>
        <v>93.839799999999997</v>
      </c>
      <c r="R946" s="14">
        <f>CHOOSE(CONTROL!$C$42, 94.6614, 94.6614) * CHOOSE(CONTROL!$C$21, $C$9, 100%, $E$9)</f>
        <v>94.6614</v>
      </c>
      <c r="S946" s="14">
        <f>CHOOSE(CONTROL!$C$42, 91.2037, 91.2037) * CHOOSE(CONTROL!$C$21, $C$9, 100%, $E$9)</f>
        <v>91.203699999999998</v>
      </c>
      <c r="T9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7">
        <f>(1000*CHOOSE(CONTROL!$C$42, 695, 695)*CHOOSE(CONTROL!$C$42, 0.5599, 0.5599)*CHOOSE(CONTROL!$C$42, 31, 31))/1000000</f>
        <v>12.063045499999998</v>
      </c>
      <c r="V946" s="57">
        <f>(1000*CHOOSE(CONTROL!$C$42, 500, 500)*CHOOSE(CONTROL!$C$42, 0.275, 0.275)*CHOOSE(CONTROL!$C$42, 31, 31))/1000000</f>
        <v>4.2625000000000002</v>
      </c>
      <c r="W946" s="57">
        <f>(1000*CHOOSE(CONTROL!$C$42, 0.1146, 0.1146)*CHOOSE(CONTROL!$C$42, 121.5, 121.5)*CHOOSE(CONTROL!$C$42, 31, 31))/1000000</f>
        <v>0.43164089999999994</v>
      </c>
      <c r="X946" s="57">
        <f>(31*0.1790888*245000/1000000)+(31*0.2374*100000/1000000)</f>
        <v>2.0961194359999999</v>
      </c>
      <c r="Y946" s="57"/>
      <c r="Z946" s="14"/>
      <c r="AA946" s="56"/>
      <c r="AB946" s="50">
        <f>(B946*131.881+C946*277.167+D946*79.08+E946*125.872+F946*40+G946*185+H946*0+I946*100+J946*300)/(131.881+277.167+79.08+125.872+0+40+185+100+300)</f>
        <v>94.994849841081518</v>
      </c>
      <c r="AC946" s="45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93.145661151079139</v>
      </c>
    </row>
    <row r="947" spans="1:29" ht="15.75" x14ac:dyDescent="0.25">
      <c r="A947" s="32">
        <v>69732</v>
      </c>
      <c r="B947" s="14">
        <f>CHOOSE(CONTROL!$C$42, 97.4243, 97.4243) * CHOOSE(CONTROL!$C$21, $C$9, 100%, $E$9)</f>
        <v>97.424300000000002</v>
      </c>
      <c r="C947" s="14">
        <f>CHOOSE(CONTROL!$C$42, 97.4294, 97.4294) * CHOOSE(CONTROL!$C$21, $C$9, 100%, $E$9)</f>
        <v>97.429400000000001</v>
      </c>
      <c r="D947" s="14">
        <f>CHOOSE(CONTROL!$C$42, 97.5036, 97.5036) * CHOOSE(CONTROL!$C$21, $C$9, 100%, $E$9)</f>
        <v>97.503600000000006</v>
      </c>
      <c r="E947" s="14">
        <f>CHOOSE(CONTROL!$C$42, 97.5377, 97.5377) * CHOOSE(CONTROL!$C$21, $C$9, 100%, $E$9)</f>
        <v>97.537700000000001</v>
      </c>
      <c r="F947" s="14">
        <f>CHOOSE(CONTROL!$C$42, 97.4363, 97.4363)*CHOOSE(CONTROL!$C$21, $C$9, 100%, $E$9)</f>
        <v>97.436300000000003</v>
      </c>
      <c r="G947" s="14">
        <f>CHOOSE(CONTROL!$C$42, 97.4529, 97.4529)*CHOOSE(CONTROL!$C$21, $C$9, 100%, $E$9)</f>
        <v>97.4529</v>
      </c>
      <c r="H947" s="14">
        <f>CHOOSE(CONTROL!$C$42, 97.5269, 97.5269) * CHOOSE(CONTROL!$C$21, $C$9, 100%, $E$9)</f>
        <v>97.526899999999998</v>
      </c>
      <c r="I947" s="14">
        <f>CHOOSE(CONTROL!$C$42, 97.7537, 97.7537)* CHOOSE(CONTROL!$C$21, $C$9, 100%, $E$9)</f>
        <v>97.753699999999995</v>
      </c>
      <c r="J947" s="14">
        <f>CHOOSE(CONTROL!$C$42, 97.4293, 97.4293)* CHOOSE(CONTROL!$C$21, $C$9, 100%, $E$9)</f>
        <v>97.429299999999998</v>
      </c>
      <c r="K947" s="53">
        <f>CHOOSE(CONTROL!$C$42, 97.7498, 97.7498) * CHOOSE(CONTROL!$C$21, $C$9, 100%, $E$9)</f>
        <v>97.749799999999993</v>
      </c>
      <c r="L947" s="14">
        <f>CHOOSE(CONTROL!$C$42, 98.1139, 98.1139) * CHOOSE(CONTROL!$C$21, $C$9, 100%, $E$9)</f>
        <v>98.113900000000001</v>
      </c>
      <c r="M947" s="14">
        <f>CHOOSE(CONTROL!$C$42, 95.4408, 95.4408) * CHOOSE(CONTROL!$C$21, $C$9, 100%, $E$9)</f>
        <v>95.440799999999996</v>
      </c>
      <c r="N947" s="14">
        <f>CHOOSE(CONTROL!$C$42, 95.457, 95.457) * CHOOSE(CONTROL!$C$21, $C$9, 100%, $E$9)</f>
        <v>95.456999999999994</v>
      </c>
      <c r="O947" s="14">
        <f>CHOOSE(CONTROL!$C$42, 95.5363, 95.5363) * CHOOSE(CONTROL!$C$21, $C$9, 100%, $E$9)</f>
        <v>95.536299999999997</v>
      </c>
      <c r="P947" s="14">
        <f>CHOOSE(CONTROL!$C$42, 95.7525, 95.7525) * CHOOSE(CONTROL!$C$21, $C$9, 100%, $E$9)</f>
        <v>95.752499999999998</v>
      </c>
      <c r="Q947" s="14">
        <f>CHOOSE(CONTROL!$C$42, 96.131, 96.131) * CHOOSE(CONTROL!$C$21, $C$9, 100%, $E$9)</f>
        <v>96.131</v>
      </c>
      <c r="R947" s="14">
        <f>CHOOSE(CONTROL!$C$42, 96.9583, 96.9583) * CHOOSE(CONTROL!$C$21, $C$9, 100%, $E$9)</f>
        <v>96.958299999999994</v>
      </c>
      <c r="S947" s="14">
        <f>CHOOSE(CONTROL!$C$42, 93.6065, 93.6065) * CHOOSE(CONTROL!$C$21, $C$9, 100%, $E$9)</f>
        <v>93.606499999999997</v>
      </c>
      <c r="T9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7">
        <f>(1000*CHOOSE(CONTROL!$C$42, 695, 695)*CHOOSE(CONTROL!$C$42, 0.5599, 0.5599)*CHOOSE(CONTROL!$C$42, 30, 30))/1000000</f>
        <v>11.673914999999997</v>
      </c>
      <c r="V947" s="57">
        <f>(1000*CHOOSE(CONTROL!$C$42, 500, 500)*CHOOSE(CONTROL!$C$42, 0.275, 0.275)*CHOOSE(CONTROL!$C$42, 30, 30))/1000000</f>
        <v>4.125</v>
      </c>
      <c r="W947" s="57">
        <f>(1000*CHOOSE(CONTROL!$C$42, 0.1146, 0.1146)*CHOOSE(CONTROL!$C$42, 121.5, 121.5)*CHOOSE(CONTROL!$C$42, 30, 30))/1000000</f>
        <v>0.417717</v>
      </c>
      <c r="X947" s="57">
        <f>(30*0.1790888*100000/1000000)+(30*0.2374*100000/1000000)</f>
        <v>1.2494664</v>
      </c>
      <c r="Y947" s="57"/>
      <c r="Z947" s="14"/>
      <c r="AA947" s="56"/>
      <c r="AB947" s="50">
        <f>(B947*122.58+C947*297.941+D947*89.177+E947*40.302+F947*40+G947*160+H947*0+I947*100+J947*300)/(122.58+297.941+89.177+40.302+0+40+160+100+300)</f>
        <v>97.470089114782596</v>
      </c>
      <c r="AC947" s="45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95.529865467625882</v>
      </c>
    </row>
    <row r="948" spans="1:29" ht="15.75" x14ac:dyDescent="0.25">
      <c r="A948" s="32">
        <v>69763</v>
      </c>
      <c r="B948" s="14">
        <f>CHOOSE(CONTROL!$C$42, 104.066, 104.066) * CHOOSE(CONTROL!$C$21, $C$9, 100%, $E$9)</f>
        <v>104.066</v>
      </c>
      <c r="C948" s="14">
        <f>CHOOSE(CONTROL!$C$42, 104.071, 104.071) * CHOOSE(CONTROL!$C$21, $C$9, 100%, $E$9)</f>
        <v>104.071</v>
      </c>
      <c r="D948" s="14">
        <f>CHOOSE(CONTROL!$C$42, 104.1453, 104.1453) * CHOOSE(CONTROL!$C$21, $C$9, 100%, $E$9)</f>
        <v>104.14530000000001</v>
      </c>
      <c r="E948" s="14">
        <f>CHOOSE(CONTROL!$C$42, 104.1794, 104.1794) * CHOOSE(CONTROL!$C$21, $C$9, 100%, $E$9)</f>
        <v>104.1794</v>
      </c>
      <c r="F948" s="14">
        <f>CHOOSE(CONTROL!$C$42, 104.0802, 104.0802)*CHOOSE(CONTROL!$C$21, $C$9, 100%, $E$9)</f>
        <v>104.0802</v>
      </c>
      <c r="G948" s="14">
        <f>CHOOSE(CONTROL!$C$42, 104.0974, 104.0974)*CHOOSE(CONTROL!$C$21, $C$9, 100%, $E$9)</f>
        <v>104.09739999999999</v>
      </c>
      <c r="H948" s="14">
        <f>CHOOSE(CONTROL!$C$42, 104.1686, 104.1686) * CHOOSE(CONTROL!$C$21, $C$9, 100%, $E$9)</f>
        <v>104.1686</v>
      </c>
      <c r="I948" s="14">
        <f>CHOOSE(CONTROL!$C$42, 104.4162, 104.4162)* CHOOSE(CONTROL!$C$21, $C$9, 100%, $E$9)</f>
        <v>104.4162</v>
      </c>
      <c r="J948" s="14">
        <f>CHOOSE(CONTROL!$C$42, 104.0732, 104.0732)* CHOOSE(CONTROL!$C$21, $C$9, 100%, $E$9)</f>
        <v>104.0732</v>
      </c>
      <c r="K948" s="53">
        <f>CHOOSE(CONTROL!$C$42, 104.4123, 104.4123) * CHOOSE(CONTROL!$C$21, $C$9, 100%, $E$9)</f>
        <v>104.4123</v>
      </c>
      <c r="L948" s="14">
        <f>CHOOSE(CONTROL!$C$42, 104.7556, 104.7556) * CHOOSE(CONTROL!$C$21, $C$9, 100%, $E$9)</f>
        <v>104.7556</v>
      </c>
      <c r="M948" s="14">
        <f>CHOOSE(CONTROL!$C$42, 101.9485, 101.9485) * CHOOSE(CONTROL!$C$21, $C$9, 100%, $E$9)</f>
        <v>101.9485</v>
      </c>
      <c r="N948" s="14">
        <f>CHOOSE(CONTROL!$C$42, 101.9653, 101.9653) * CHOOSE(CONTROL!$C$21, $C$9, 100%, $E$9)</f>
        <v>101.9653</v>
      </c>
      <c r="O948" s="14">
        <f>CHOOSE(CONTROL!$C$42, 102.0419, 102.0419) * CHOOSE(CONTROL!$C$21, $C$9, 100%, $E$9)</f>
        <v>102.0419</v>
      </c>
      <c r="P948" s="14">
        <f>CHOOSE(CONTROL!$C$42, 102.278, 102.278) * CHOOSE(CONTROL!$C$21, $C$9, 100%, $E$9)</f>
        <v>102.27800000000001</v>
      </c>
      <c r="Q948" s="14">
        <f>CHOOSE(CONTROL!$C$42, 102.6366, 102.6366) * CHOOSE(CONTROL!$C$21, $C$9, 100%, $E$9)</f>
        <v>102.6366</v>
      </c>
      <c r="R948" s="14">
        <f>CHOOSE(CONTROL!$C$42, 103.4802, 103.4802) * CHOOSE(CONTROL!$C$21, $C$9, 100%, $E$9)</f>
        <v>103.4802</v>
      </c>
      <c r="S948" s="14">
        <f>CHOOSE(CONTROL!$C$42, 99.9885, 99.9885) * CHOOSE(CONTROL!$C$21, $C$9, 100%, $E$9)</f>
        <v>99.988500000000002</v>
      </c>
      <c r="T9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7">
        <f>(1000*CHOOSE(CONTROL!$C$42, 695, 695)*CHOOSE(CONTROL!$C$42, 0.5599, 0.5599)*CHOOSE(CONTROL!$C$42, 31, 31))/1000000</f>
        <v>12.063045499999998</v>
      </c>
      <c r="V948" s="57">
        <f>(1000*CHOOSE(CONTROL!$C$42, 500, 500)*CHOOSE(CONTROL!$C$42, 0.275, 0.275)*CHOOSE(CONTROL!$C$42, 31, 31))/1000000</f>
        <v>4.2625000000000002</v>
      </c>
      <c r="W948" s="57">
        <f>(1000*CHOOSE(CONTROL!$C$42, 0.1146, 0.1146)*CHOOSE(CONTROL!$C$42, 121.5, 121.5)*CHOOSE(CONTROL!$C$42, 31, 31))/1000000</f>
        <v>0.43164089999999994</v>
      </c>
      <c r="X948" s="57">
        <f>(31*0.1790888*100000/1000000)+(31*0.2374*100000/1000000)</f>
        <v>1.2911152800000001</v>
      </c>
      <c r="Y948" s="57"/>
      <c r="Z948" s="14"/>
      <c r="AA948" s="56"/>
      <c r="AB948" s="50">
        <f>(B948*122.58+C948*297.941+D948*89.177+E948*40.302+F948*40+G948*160+H948*0+I948*100+J948*300)/(122.58+297.941+89.177+40.302+0+40+160+100+300)</f>
        <v>104.11461190252173</v>
      </c>
      <c r="AC948" s="45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102.03920935251797</v>
      </c>
    </row>
    <row r="949" spans="1:29" ht="15.75" x14ac:dyDescent="0.25">
      <c r="A949" s="32">
        <v>69794</v>
      </c>
      <c r="B949" s="14">
        <f>CHOOSE(CONTROL!$C$42, 112.6923, 112.6923) * CHOOSE(CONTROL!$C$21, $C$9, 100%, $E$9)</f>
        <v>112.6923</v>
      </c>
      <c r="C949" s="14">
        <f>CHOOSE(CONTROL!$C$42, 112.6974, 112.6974) * CHOOSE(CONTROL!$C$21, $C$9, 100%, $E$9)</f>
        <v>112.6974</v>
      </c>
      <c r="D949" s="14">
        <f>CHOOSE(CONTROL!$C$42, 112.7742, 112.7742) * CHOOSE(CONTROL!$C$21, $C$9, 100%, $E$9)</f>
        <v>112.77419999999999</v>
      </c>
      <c r="E949" s="14">
        <f>CHOOSE(CONTROL!$C$42, 112.8083, 112.8083) * CHOOSE(CONTROL!$C$21, $C$9, 100%, $E$9)</f>
        <v>112.8083</v>
      </c>
      <c r="F949" s="14">
        <f>CHOOSE(CONTROL!$C$42, 112.6925, 112.6925)*CHOOSE(CONTROL!$C$21, $C$9, 100%, $E$9)</f>
        <v>112.6925</v>
      </c>
      <c r="G949" s="14">
        <f>CHOOSE(CONTROL!$C$42, 112.7087, 112.7087)*CHOOSE(CONTROL!$C$21, $C$9, 100%, $E$9)</f>
        <v>112.70869999999999</v>
      </c>
      <c r="H949" s="14">
        <f>CHOOSE(CONTROL!$C$42, 112.7975, 112.7975) * CHOOSE(CONTROL!$C$21, $C$9, 100%, $E$9)</f>
        <v>112.7975</v>
      </c>
      <c r="I949" s="14">
        <f>CHOOSE(CONTROL!$C$42, 113.0633, 113.0633)* CHOOSE(CONTROL!$C$21, $C$9, 100%, $E$9)</f>
        <v>113.0633</v>
      </c>
      <c r="J949" s="14">
        <f>CHOOSE(CONTROL!$C$42, 112.6855, 112.6855)* CHOOSE(CONTROL!$C$21, $C$9, 100%, $E$9)</f>
        <v>112.6855</v>
      </c>
      <c r="K949" s="53">
        <f>CHOOSE(CONTROL!$C$42, 113.0594, 113.0594) * CHOOSE(CONTROL!$C$21, $C$9, 100%, $E$9)</f>
        <v>113.0594</v>
      </c>
      <c r="L949" s="14">
        <f>CHOOSE(CONTROL!$C$42, 113.3845, 113.3845) * CHOOSE(CONTROL!$C$21, $C$9, 100%, $E$9)</f>
        <v>113.3845</v>
      </c>
      <c r="M949" s="14">
        <f>CHOOSE(CONTROL!$C$42, 110.3844, 110.3844) * CHOOSE(CONTROL!$C$21, $C$9, 100%, $E$9)</f>
        <v>110.3844</v>
      </c>
      <c r="N949" s="14">
        <f>CHOOSE(CONTROL!$C$42, 110.4003, 110.4003) * CHOOSE(CONTROL!$C$21, $C$9, 100%, $E$9)</f>
        <v>110.4003</v>
      </c>
      <c r="O949" s="14">
        <f>CHOOSE(CONTROL!$C$42, 110.4941, 110.4941) * CHOOSE(CONTROL!$C$21, $C$9, 100%, $E$9)</f>
        <v>110.4941</v>
      </c>
      <c r="P949" s="14">
        <f>CHOOSE(CONTROL!$C$42, 110.7474, 110.7474) * CHOOSE(CONTROL!$C$21, $C$9, 100%, $E$9)</f>
        <v>110.7474</v>
      </c>
      <c r="Q949" s="14">
        <f>CHOOSE(CONTROL!$C$42, 111.0888, 111.0888) * CHOOSE(CONTROL!$C$21, $C$9, 100%, $E$9)</f>
        <v>111.08880000000001</v>
      </c>
      <c r="R949" s="14">
        <f>CHOOSE(CONTROL!$C$42, 111.9535, 111.9535) * CHOOSE(CONTROL!$C$21, $C$9, 100%, $E$9)</f>
        <v>111.95350000000001</v>
      </c>
      <c r="S949" s="14">
        <f>CHOOSE(CONTROL!$C$42, 108.2775, 108.2775) * CHOOSE(CONTROL!$C$21, $C$9, 100%, $E$9)</f>
        <v>108.2775</v>
      </c>
      <c r="T9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7">
        <f>(1000*CHOOSE(CONTROL!$C$42, 695, 695)*CHOOSE(CONTROL!$C$42, 0.5599, 0.5599)*CHOOSE(CONTROL!$C$42, 31, 31))/1000000</f>
        <v>12.063045499999998</v>
      </c>
      <c r="V949" s="57">
        <f>(1000*CHOOSE(CONTROL!$C$42, 500, 500)*CHOOSE(CONTROL!$C$42, 0.275, 0.275)*CHOOSE(CONTROL!$C$42, 31, 31))/1000000</f>
        <v>4.2625000000000002</v>
      </c>
      <c r="W949" s="57">
        <f>(1000*CHOOSE(CONTROL!$C$42, 0.1146, 0.1146)*CHOOSE(CONTROL!$C$42, 121.5, 121.5)*CHOOSE(CONTROL!$C$42, 31, 31))/1000000</f>
        <v>0.43164089999999994</v>
      </c>
      <c r="X949" s="57">
        <f>(31*0.1790888*100000/1000000)+(31*0.2374*100000/1000000)</f>
        <v>1.2911152800000001</v>
      </c>
      <c r="Y949" s="57"/>
      <c r="Z949" s="14"/>
      <c r="AA949" s="56"/>
      <c r="AB949" s="50">
        <f>(B949*122.58+C949*297.941+D949*89.177+E949*40.302+F949*40+G949*160+H949*0+I949*100+J949*300)/(122.58+297.941+89.177+40.302+0+40+160+100+300)</f>
        <v>112.73681315426087</v>
      </c>
      <c r="AC949" s="45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110.4872654676259</v>
      </c>
    </row>
    <row r="950" spans="1:29" ht="15.75" x14ac:dyDescent="0.25">
      <c r="A950" s="32">
        <v>69822</v>
      </c>
      <c r="B950" s="14">
        <f>CHOOSE(CONTROL!$C$42, 114.6982, 114.6982) * CHOOSE(CONTROL!$C$21, $C$9, 100%, $E$9)</f>
        <v>114.6982</v>
      </c>
      <c r="C950" s="14">
        <f>CHOOSE(CONTROL!$C$42, 114.7033, 114.7033) * CHOOSE(CONTROL!$C$21, $C$9, 100%, $E$9)</f>
        <v>114.7033</v>
      </c>
      <c r="D950" s="14">
        <f>CHOOSE(CONTROL!$C$42, 114.7801, 114.7801) * CHOOSE(CONTROL!$C$21, $C$9, 100%, $E$9)</f>
        <v>114.7801</v>
      </c>
      <c r="E950" s="14">
        <f>CHOOSE(CONTROL!$C$42, 114.8142, 114.8142) * CHOOSE(CONTROL!$C$21, $C$9, 100%, $E$9)</f>
        <v>114.8142</v>
      </c>
      <c r="F950" s="14">
        <f>CHOOSE(CONTROL!$C$42, 114.6985, 114.6985)*CHOOSE(CONTROL!$C$21, $C$9, 100%, $E$9)</f>
        <v>114.6985</v>
      </c>
      <c r="G950" s="14">
        <f>CHOOSE(CONTROL!$C$42, 114.7147, 114.7147)*CHOOSE(CONTROL!$C$21, $C$9, 100%, $E$9)</f>
        <v>114.71469999999999</v>
      </c>
      <c r="H950" s="14">
        <f>CHOOSE(CONTROL!$C$42, 114.8034, 114.8034) * CHOOSE(CONTROL!$C$21, $C$9, 100%, $E$9)</f>
        <v>114.8034</v>
      </c>
      <c r="I950" s="14">
        <f>CHOOSE(CONTROL!$C$42, 115.0755, 115.0755)* CHOOSE(CONTROL!$C$21, $C$9, 100%, $E$9)</f>
        <v>115.07550000000001</v>
      </c>
      <c r="J950" s="14">
        <f>CHOOSE(CONTROL!$C$42, 114.6915, 114.6915)* CHOOSE(CONTROL!$C$21, $C$9, 100%, $E$9)</f>
        <v>114.6915</v>
      </c>
      <c r="K950" s="53">
        <f>CHOOSE(CONTROL!$C$42, 115.0716, 115.0716) * CHOOSE(CONTROL!$C$21, $C$9, 100%, $E$9)</f>
        <v>115.0716</v>
      </c>
      <c r="L950" s="14">
        <f>CHOOSE(CONTROL!$C$42, 115.3904, 115.3904) * CHOOSE(CONTROL!$C$21, $C$9, 100%, $E$9)</f>
        <v>115.3904</v>
      </c>
      <c r="M950" s="14">
        <f>CHOOSE(CONTROL!$C$42, 112.3492, 112.3492) * CHOOSE(CONTROL!$C$21, $C$9, 100%, $E$9)</f>
        <v>112.3492</v>
      </c>
      <c r="N950" s="14">
        <f>CHOOSE(CONTROL!$C$42, 112.3651, 112.3651) * CHOOSE(CONTROL!$C$21, $C$9, 100%, $E$9)</f>
        <v>112.3651</v>
      </c>
      <c r="O950" s="14">
        <f>CHOOSE(CONTROL!$C$42, 112.4589, 112.4589) * CHOOSE(CONTROL!$C$21, $C$9, 100%, $E$9)</f>
        <v>112.4589</v>
      </c>
      <c r="P950" s="14">
        <f>CHOOSE(CONTROL!$C$42, 112.7182, 112.7182) * CHOOSE(CONTROL!$C$21, $C$9, 100%, $E$9)</f>
        <v>112.7182</v>
      </c>
      <c r="Q950" s="14">
        <f>CHOOSE(CONTROL!$C$42, 113.0536, 113.0536) * CHOOSE(CONTROL!$C$21, $C$9, 100%, $E$9)</f>
        <v>113.0536</v>
      </c>
      <c r="R950" s="14">
        <f>CHOOSE(CONTROL!$C$42, 113.9232, 113.9232) * CHOOSE(CONTROL!$C$21, $C$9, 100%, $E$9)</f>
        <v>113.92319999999999</v>
      </c>
      <c r="S950" s="14">
        <f>CHOOSE(CONTROL!$C$42, 110.205, 110.205) * CHOOSE(CONTROL!$C$21, $C$9, 100%, $E$9)</f>
        <v>110.205</v>
      </c>
      <c r="T9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7">
        <f>(1000*CHOOSE(CONTROL!$C$42, 695, 695)*CHOOSE(CONTROL!$C$42, 0.5599, 0.5599)*CHOOSE(CONTROL!$C$42, 28, 28))/1000000</f>
        <v>10.895653999999999</v>
      </c>
      <c r="V950" s="57">
        <f>(1000*CHOOSE(CONTROL!$C$42, 500, 500)*CHOOSE(CONTROL!$C$42, 0.275, 0.275)*CHOOSE(CONTROL!$C$42, 28, 28))/1000000</f>
        <v>3.85</v>
      </c>
      <c r="W950" s="57">
        <f>(1000*CHOOSE(CONTROL!$C$42, 0.1146, 0.1146)*CHOOSE(CONTROL!$C$42, 121.5, 121.5)*CHOOSE(CONTROL!$C$42, 28, 28))/1000000</f>
        <v>0.38986920000000003</v>
      </c>
      <c r="X950" s="57">
        <f>(28*0.1790888*100000/1000000)+(28*0.2374*100000/1000000)</f>
        <v>1.16616864</v>
      </c>
      <c r="Y950" s="57"/>
      <c r="Z950" s="14"/>
      <c r="AA950" s="56"/>
      <c r="AB950" s="50">
        <f>(B950*122.58+C950*297.941+D950*89.177+E950*40.302+F950*40+G950*160+H950*0+I950*100+J950*300)/(122.58+297.941+89.177+40.302+0+40+160+100+300)</f>
        <v>114.74330445860869</v>
      </c>
      <c r="AC950" s="45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112.45292877697841</v>
      </c>
    </row>
    <row r="951" spans="1:29" ht="15.75" x14ac:dyDescent="0.25">
      <c r="A951" s="32">
        <v>69853</v>
      </c>
      <c r="B951" s="14">
        <f>CHOOSE(CONTROL!$C$42, 111.4421, 111.4421) * CHOOSE(CONTROL!$C$21, $C$9, 100%, $E$9)</f>
        <v>111.4421</v>
      </c>
      <c r="C951" s="14">
        <f>CHOOSE(CONTROL!$C$42, 111.4472, 111.4472) * CHOOSE(CONTROL!$C$21, $C$9, 100%, $E$9)</f>
        <v>111.4472</v>
      </c>
      <c r="D951" s="14">
        <f>CHOOSE(CONTROL!$C$42, 111.524, 111.524) * CHOOSE(CONTROL!$C$21, $C$9, 100%, $E$9)</f>
        <v>111.524</v>
      </c>
      <c r="E951" s="14">
        <f>CHOOSE(CONTROL!$C$42, 111.5581, 111.5581) * CHOOSE(CONTROL!$C$21, $C$9, 100%, $E$9)</f>
        <v>111.5581</v>
      </c>
      <c r="F951" s="14">
        <f>CHOOSE(CONTROL!$C$42, 111.4419, 111.4419)*CHOOSE(CONTROL!$C$21, $C$9, 100%, $E$9)</f>
        <v>111.4419</v>
      </c>
      <c r="G951" s="14">
        <f>CHOOSE(CONTROL!$C$42, 111.458, 111.458)*CHOOSE(CONTROL!$C$21, $C$9, 100%, $E$9)</f>
        <v>111.458</v>
      </c>
      <c r="H951" s="14">
        <f>CHOOSE(CONTROL!$C$42, 111.5473, 111.5473) * CHOOSE(CONTROL!$C$21, $C$9, 100%, $E$9)</f>
        <v>111.54730000000001</v>
      </c>
      <c r="I951" s="14">
        <f>CHOOSE(CONTROL!$C$42, 111.8092, 111.8092)* CHOOSE(CONTROL!$C$21, $C$9, 100%, $E$9)</f>
        <v>111.8092</v>
      </c>
      <c r="J951" s="14">
        <f>CHOOSE(CONTROL!$C$42, 111.4349, 111.4349)* CHOOSE(CONTROL!$C$21, $C$9, 100%, $E$9)</f>
        <v>111.4349</v>
      </c>
      <c r="K951" s="53">
        <f>CHOOSE(CONTROL!$C$42, 111.8053, 111.8053) * CHOOSE(CONTROL!$C$21, $C$9, 100%, $E$9)</f>
        <v>111.8053</v>
      </c>
      <c r="L951" s="14">
        <f>CHOOSE(CONTROL!$C$42, 112.1343, 112.1343) * CHOOSE(CONTROL!$C$21, $C$9, 100%, $E$9)</f>
        <v>112.1343</v>
      </c>
      <c r="M951" s="14">
        <f>CHOOSE(CONTROL!$C$42, 109.1594, 109.1594) * CHOOSE(CONTROL!$C$21, $C$9, 100%, $E$9)</f>
        <v>109.15940000000001</v>
      </c>
      <c r="N951" s="14">
        <f>CHOOSE(CONTROL!$C$42, 109.1752, 109.1752) * CHOOSE(CONTROL!$C$21, $C$9, 100%, $E$9)</f>
        <v>109.1752</v>
      </c>
      <c r="O951" s="14">
        <f>CHOOSE(CONTROL!$C$42, 109.2695, 109.2695) * CHOOSE(CONTROL!$C$21, $C$9, 100%, $E$9)</f>
        <v>109.26949999999999</v>
      </c>
      <c r="P951" s="14">
        <f>CHOOSE(CONTROL!$C$42, 109.5191, 109.5191) * CHOOSE(CONTROL!$C$21, $C$9, 100%, $E$9)</f>
        <v>109.51909999999999</v>
      </c>
      <c r="Q951" s="14">
        <f>CHOOSE(CONTROL!$C$42, 109.8642, 109.8642) * CHOOSE(CONTROL!$C$21, $C$9, 100%, $E$9)</f>
        <v>109.8642</v>
      </c>
      <c r="R951" s="14">
        <f>CHOOSE(CONTROL!$C$42, 110.7259, 110.7259) * CHOOSE(CONTROL!$C$21, $C$9, 100%, $E$9)</f>
        <v>110.7259</v>
      </c>
      <c r="S951" s="14">
        <f>CHOOSE(CONTROL!$C$42, 107.0762, 107.0762) * CHOOSE(CONTROL!$C$21, $C$9, 100%, $E$9)</f>
        <v>107.0762</v>
      </c>
      <c r="T9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7">
        <f>(1000*CHOOSE(CONTROL!$C$42, 695, 695)*CHOOSE(CONTROL!$C$42, 0.5599, 0.5599)*CHOOSE(CONTROL!$C$42, 31, 31))/1000000</f>
        <v>12.063045499999998</v>
      </c>
      <c r="V951" s="57">
        <f>(1000*CHOOSE(CONTROL!$C$42, 500, 500)*CHOOSE(CONTROL!$C$42, 0.275, 0.275)*CHOOSE(CONTROL!$C$42, 31, 31))/1000000</f>
        <v>4.2625000000000002</v>
      </c>
      <c r="W951" s="57">
        <f>(1000*CHOOSE(CONTROL!$C$42, 0.1146, 0.1146)*CHOOSE(CONTROL!$C$42, 121.5, 121.5)*CHOOSE(CONTROL!$C$42, 31, 31))/1000000</f>
        <v>0.43164089999999994</v>
      </c>
      <c r="X951" s="57">
        <f>(31*0.1790888*100000/1000000)+(31*0.2374*100000/1000000)</f>
        <v>1.2911152800000001</v>
      </c>
      <c r="Y951" s="57"/>
      <c r="Z951" s="14"/>
      <c r="AA951" s="56"/>
      <c r="AB951" s="50">
        <f>(B951*122.58+C951*297.941+D951*89.177+E951*40.302+F951*40+G951*160+H951*0+I951*100+J951*300)/(122.58+297.941+89.177+40.302+0+40+160+100+300)</f>
        <v>111.48608619773913</v>
      </c>
      <c r="AC951" s="45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109.26196618705036</v>
      </c>
    </row>
    <row r="952" spans="1:29" ht="15.75" x14ac:dyDescent="0.25">
      <c r="A952" s="32">
        <v>69883</v>
      </c>
      <c r="B952" s="14">
        <f>CHOOSE(CONTROL!$C$42, 111.1097, 111.1097) * CHOOSE(CONTROL!$C$21, $C$9, 100%, $E$9)</f>
        <v>111.1097</v>
      </c>
      <c r="C952" s="14">
        <f>CHOOSE(CONTROL!$C$42, 111.1142, 111.1142) * CHOOSE(CONTROL!$C$21, $C$9, 100%, $E$9)</f>
        <v>111.1142</v>
      </c>
      <c r="D952" s="14">
        <f>CHOOSE(CONTROL!$C$42, 111.351, 111.351) * CHOOSE(CONTROL!$C$21, $C$9, 100%, $E$9)</f>
        <v>111.351</v>
      </c>
      <c r="E952" s="14">
        <f>CHOOSE(CONTROL!$C$42, 111.3831, 111.3831) * CHOOSE(CONTROL!$C$21, $C$9, 100%, $E$9)</f>
        <v>111.3831</v>
      </c>
      <c r="F952" s="14">
        <f>CHOOSE(CONTROL!$C$42, 111.1077, 111.1077)*CHOOSE(CONTROL!$C$21, $C$9, 100%, $E$9)</f>
        <v>111.10769999999999</v>
      </c>
      <c r="G952" s="14">
        <f>CHOOSE(CONTROL!$C$42, 111.1235, 111.1235)*CHOOSE(CONTROL!$C$21, $C$9, 100%, $E$9)</f>
        <v>111.12350000000001</v>
      </c>
      <c r="H952" s="14">
        <f>CHOOSE(CONTROL!$C$42, 111.3728, 111.3728) * CHOOSE(CONTROL!$C$21, $C$9, 100%, $E$9)</f>
        <v>111.3728</v>
      </c>
      <c r="I952" s="14">
        <f>CHOOSE(CONTROL!$C$42, 111.475, 111.475)* CHOOSE(CONTROL!$C$21, $C$9, 100%, $E$9)</f>
        <v>111.47499999999999</v>
      </c>
      <c r="J952" s="14">
        <f>CHOOSE(CONTROL!$C$42, 111.1007, 111.1007)* CHOOSE(CONTROL!$C$21, $C$9, 100%, $E$9)</f>
        <v>111.1007</v>
      </c>
      <c r="K952" s="53">
        <f>CHOOSE(CONTROL!$C$42, 111.4711, 111.4711) * CHOOSE(CONTROL!$C$21, $C$9, 100%, $E$9)</f>
        <v>111.47110000000001</v>
      </c>
      <c r="L952" s="14">
        <f>CHOOSE(CONTROL!$C$42, 111.9598, 111.9598) * CHOOSE(CONTROL!$C$21, $C$9, 100%, $E$9)</f>
        <v>111.9598</v>
      </c>
      <c r="M952" s="14">
        <f>CHOOSE(CONTROL!$C$42, 108.832, 108.832) * CHOOSE(CONTROL!$C$21, $C$9, 100%, $E$9)</f>
        <v>108.83199999999999</v>
      </c>
      <c r="N952" s="14">
        <f>CHOOSE(CONTROL!$C$42, 108.8475, 108.8475) * CHOOSE(CONTROL!$C$21, $C$9, 100%, $E$9)</f>
        <v>108.8475</v>
      </c>
      <c r="O952" s="14">
        <f>CHOOSE(CONTROL!$C$42, 109.0986, 109.0986) * CHOOSE(CONTROL!$C$21, $C$9, 100%, $E$9)</f>
        <v>109.0986</v>
      </c>
      <c r="P952" s="14">
        <f>CHOOSE(CONTROL!$C$42, 109.1917, 109.1917) * CHOOSE(CONTROL!$C$21, $C$9, 100%, $E$9)</f>
        <v>109.1917</v>
      </c>
      <c r="Q952" s="14">
        <f>CHOOSE(CONTROL!$C$42, 109.6933, 109.6933) * CHOOSE(CONTROL!$C$21, $C$9, 100%, $E$9)</f>
        <v>109.69329999999999</v>
      </c>
      <c r="R952" s="14">
        <f>CHOOSE(CONTROL!$C$42, 110.5545, 110.5545) * CHOOSE(CONTROL!$C$21, $C$9, 100%, $E$9)</f>
        <v>110.5545</v>
      </c>
      <c r="S952" s="14">
        <f>CHOOSE(CONTROL!$C$42, 106.756, 106.756) * CHOOSE(CONTROL!$C$21, $C$9, 100%, $E$9)</f>
        <v>106.756</v>
      </c>
      <c r="T9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7">
        <f>(1000*CHOOSE(CONTROL!$C$42, 695, 695)*CHOOSE(CONTROL!$C$42, 0.5599, 0.5599)*CHOOSE(CONTROL!$C$42, 30, 30))/1000000</f>
        <v>11.673914999999997</v>
      </c>
      <c r="V952" s="57">
        <f>(1000*CHOOSE(CONTROL!$C$42, 500, 500)*CHOOSE(CONTROL!$C$42, 0.275, 0.275)*CHOOSE(CONTROL!$C$42, 30, 30))/1000000</f>
        <v>4.125</v>
      </c>
      <c r="W952" s="57">
        <f>(1000*CHOOSE(CONTROL!$C$42, 0.1146, 0.1146)*CHOOSE(CONTROL!$C$42, 121.5, 121.5)*CHOOSE(CONTROL!$C$42, 30, 30))/1000000</f>
        <v>0.417717</v>
      </c>
      <c r="X952" s="57">
        <f>(30*0.1790888*245000/1000000)+(30*0.2374*100000/1000000)</f>
        <v>2.0285026799999999</v>
      </c>
      <c r="Y952" s="57"/>
      <c r="Z952" s="14"/>
      <c r="AA952" s="56"/>
      <c r="AB952" s="50">
        <f>(B952*141.293+C952*267.993+D952*115.016+E952*89.698+F952*40+G952*185+H952*0+I952*100+J952*300)/(141.293+267.993+115.016+89.698+0+40+185+100+300)</f>
        <v>111.18216631355934</v>
      </c>
      <c r="AC952" s="45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109.00548057553958</v>
      </c>
    </row>
    <row r="953" spans="1:29" ht="15.75" x14ac:dyDescent="0.25">
      <c r="A953" s="32">
        <v>69914</v>
      </c>
      <c r="B953" s="14">
        <f>CHOOSE(CONTROL!$C$42, 112.0917, 112.0917) * CHOOSE(CONTROL!$C$21, $C$9, 100%, $E$9)</f>
        <v>112.0917</v>
      </c>
      <c r="C953" s="14">
        <f>CHOOSE(CONTROL!$C$42, 112.0997, 112.0997) * CHOOSE(CONTROL!$C$21, $C$9, 100%, $E$9)</f>
        <v>112.0997</v>
      </c>
      <c r="D953" s="14">
        <f>CHOOSE(CONTROL!$C$42, 112.3333, 112.3333) * CHOOSE(CONTROL!$C$21, $C$9, 100%, $E$9)</f>
        <v>112.33329999999999</v>
      </c>
      <c r="E953" s="14">
        <f>CHOOSE(CONTROL!$C$42, 112.3648, 112.3648) * CHOOSE(CONTROL!$C$21, $C$9, 100%, $E$9)</f>
        <v>112.3648</v>
      </c>
      <c r="F953" s="14">
        <f>CHOOSE(CONTROL!$C$42, 112.0885, 112.0885)*CHOOSE(CONTROL!$C$21, $C$9, 100%, $E$9)</f>
        <v>112.0885</v>
      </c>
      <c r="G953" s="14">
        <f>CHOOSE(CONTROL!$C$42, 112.1048, 112.1048)*CHOOSE(CONTROL!$C$21, $C$9, 100%, $E$9)</f>
        <v>112.1048</v>
      </c>
      <c r="H953" s="14">
        <f>CHOOSE(CONTROL!$C$42, 112.3534, 112.3534) * CHOOSE(CONTROL!$C$21, $C$9, 100%, $E$9)</f>
        <v>112.35339999999999</v>
      </c>
      <c r="I953" s="14">
        <f>CHOOSE(CONTROL!$C$42, 112.4586, 112.4586)* CHOOSE(CONTROL!$C$21, $C$9, 100%, $E$9)</f>
        <v>112.4586</v>
      </c>
      <c r="J953" s="14">
        <f>CHOOSE(CONTROL!$C$42, 112.0815, 112.0815)* CHOOSE(CONTROL!$C$21, $C$9, 100%, $E$9)</f>
        <v>112.08150000000001</v>
      </c>
      <c r="K953" s="53">
        <f>CHOOSE(CONTROL!$C$42, 112.4547, 112.4547) * CHOOSE(CONTROL!$C$21, $C$9, 100%, $E$9)</f>
        <v>112.4547</v>
      </c>
      <c r="L953" s="14">
        <f>CHOOSE(CONTROL!$C$42, 112.9404, 112.9404) * CHOOSE(CONTROL!$C$21, $C$9, 100%, $E$9)</f>
        <v>112.9404</v>
      </c>
      <c r="M953" s="14">
        <f>CHOOSE(CONTROL!$C$42, 109.7927, 109.7927) * CHOOSE(CONTROL!$C$21, $C$9, 100%, $E$9)</f>
        <v>109.7927</v>
      </c>
      <c r="N953" s="14">
        <f>CHOOSE(CONTROL!$C$42, 109.8087, 109.8087) * CHOOSE(CONTROL!$C$21, $C$9, 100%, $E$9)</f>
        <v>109.8087</v>
      </c>
      <c r="O953" s="14">
        <f>CHOOSE(CONTROL!$C$42, 110.0591, 110.0591) * CHOOSE(CONTROL!$C$21, $C$9, 100%, $E$9)</f>
        <v>110.0591</v>
      </c>
      <c r="P953" s="14">
        <f>CHOOSE(CONTROL!$C$42, 110.1551, 110.1551) * CHOOSE(CONTROL!$C$21, $C$9, 100%, $E$9)</f>
        <v>110.1551</v>
      </c>
      <c r="Q953" s="14">
        <f>CHOOSE(CONTROL!$C$42, 110.6538, 110.6538) * CHOOSE(CONTROL!$C$21, $C$9, 100%, $E$9)</f>
        <v>110.6538</v>
      </c>
      <c r="R953" s="14">
        <f>CHOOSE(CONTROL!$C$42, 111.5174, 111.5174) * CHOOSE(CONTROL!$C$21, $C$9, 100%, $E$9)</f>
        <v>111.51739999999999</v>
      </c>
      <c r="S953" s="14">
        <f>CHOOSE(CONTROL!$C$42, 107.6983, 107.6983) * CHOOSE(CONTROL!$C$21, $C$9, 100%, $E$9)</f>
        <v>107.6983</v>
      </c>
      <c r="T9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7">
        <f>(1000*CHOOSE(CONTROL!$C$42, 695, 695)*CHOOSE(CONTROL!$C$42, 0.5599, 0.5599)*CHOOSE(CONTROL!$C$42, 31, 31))/1000000</f>
        <v>12.063045499999998</v>
      </c>
      <c r="V953" s="57">
        <f>(1000*CHOOSE(CONTROL!$C$42, 500, 500)*CHOOSE(CONTROL!$C$42, 0.275, 0.275)*CHOOSE(CONTROL!$C$42, 31, 31))/1000000</f>
        <v>4.2625000000000002</v>
      </c>
      <c r="W953" s="57">
        <f>(1000*CHOOSE(CONTROL!$C$42, 0.1146, 0.1146)*CHOOSE(CONTROL!$C$42, 121.5, 121.5)*CHOOSE(CONTROL!$C$42, 31, 31))/1000000</f>
        <v>0.43164089999999994</v>
      </c>
      <c r="X953" s="57">
        <f>(31*0.1790888*245000/1000000)+(31*0.2374*100000/1000000)</f>
        <v>2.0961194359999999</v>
      </c>
      <c r="Y953" s="57"/>
      <c r="Z953" s="14"/>
      <c r="AA953" s="56"/>
      <c r="AB953" s="50">
        <f>(B953*194.205+C953*267.466+D953*133.845+E953*53.484+F953*40+G953*185+H953*0+I953*100+J953*300)/(194.205+267.466+133.845+53.484+0+40+185+100+300)</f>
        <v>112.1584257930926</v>
      </c>
      <c r="AC953" s="45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109.96650719424461</v>
      </c>
    </row>
    <row r="954" spans="1:29" ht="15.75" x14ac:dyDescent="0.25">
      <c r="A954" s="32">
        <v>69944</v>
      </c>
      <c r="B954" s="14">
        <f>CHOOSE(CONTROL!$C$42, 115.271, 115.271) * CHOOSE(CONTROL!$C$21, $C$9, 100%, $E$9)</f>
        <v>115.271</v>
      </c>
      <c r="C954" s="14">
        <f>CHOOSE(CONTROL!$C$42, 115.279, 115.279) * CHOOSE(CONTROL!$C$21, $C$9, 100%, $E$9)</f>
        <v>115.279</v>
      </c>
      <c r="D954" s="14">
        <f>CHOOSE(CONTROL!$C$42, 115.5126, 115.5126) * CHOOSE(CONTROL!$C$21, $C$9, 100%, $E$9)</f>
        <v>115.51260000000001</v>
      </c>
      <c r="E954" s="14">
        <f>CHOOSE(CONTROL!$C$42, 115.5441, 115.5441) * CHOOSE(CONTROL!$C$21, $C$9, 100%, $E$9)</f>
        <v>115.5441</v>
      </c>
      <c r="F954" s="14">
        <f>CHOOSE(CONTROL!$C$42, 115.2683, 115.2683)*CHOOSE(CONTROL!$C$21, $C$9, 100%, $E$9)</f>
        <v>115.2683</v>
      </c>
      <c r="G954" s="14">
        <f>CHOOSE(CONTROL!$C$42, 115.2847, 115.2847)*CHOOSE(CONTROL!$C$21, $C$9, 100%, $E$9)</f>
        <v>115.2847</v>
      </c>
      <c r="H954" s="14">
        <f>CHOOSE(CONTROL!$C$42, 115.5327, 115.5327) * CHOOSE(CONTROL!$C$21, $C$9, 100%, $E$9)</f>
        <v>115.53270000000001</v>
      </c>
      <c r="I954" s="14">
        <f>CHOOSE(CONTROL!$C$42, 115.6479, 115.6479)* CHOOSE(CONTROL!$C$21, $C$9, 100%, $E$9)</f>
        <v>115.64790000000001</v>
      </c>
      <c r="J954" s="14">
        <f>CHOOSE(CONTROL!$C$42, 115.2613, 115.2613)* CHOOSE(CONTROL!$C$21, $C$9, 100%, $E$9)</f>
        <v>115.26130000000001</v>
      </c>
      <c r="K954" s="53">
        <f>CHOOSE(CONTROL!$C$42, 115.644, 115.644) * CHOOSE(CONTROL!$C$21, $C$9, 100%, $E$9)</f>
        <v>115.64400000000001</v>
      </c>
      <c r="L954" s="14">
        <f>CHOOSE(CONTROL!$C$42, 116.1197, 116.1197) * CHOOSE(CONTROL!$C$21, $C$9, 100%, $E$9)</f>
        <v>116.11969999999999</v>
      </c>
      <c r="M954" s="14">
        <f>CHOOSE(CONTROL!$C$42, 112.9073, 112.9073) * CHOOSE(CONTROL!$C$21, $C$9, 100%, $E$9)</f>
        <v>112.90730000000001</v>
      </c>
      <c r="N954" s="14">
        <f>CHOOSE(CONTROL!$C$42, 112.9235, 112.9235) * CHOOSE(CONTROL!$C$21, $C$9, 100%, $E$9)</f>
        <v>112.9235</v>
      </c>
      <c r="O954" s="14">
        <f>CHOOSE(CONTROL!$C$42, 113.1732, 113.1732) * CHOOSE(CONTROL!$C$21, $C$9, 100%, $E$9)</f>
        <v>113.17319999999999</v>
      </c>
      <c r="P954" s="14">
        <f>CHOOSE(CONTROL!$C$42, 113.2788, 113.2788) * CHOOSE(CONTROL!$C$21, $C$9, 100%, $E$9)</f>
        <v>113.2788</v>
      </c>
      <c r="Q954" s="14">
        <f>CHOOSE(CONTROL!$C$42, 113.7679, 113.7679) * CHOOSE(CONTROL!$C$21, $C$9, 100%, $E$9)</f>
        <v>113.7679</v>
      </c>
      <c r="R954" s="14">
        <f>CHOOSE(CONTROL!$C$42, 114.6393, 114.6393) * CHOOSE(CONTROL!$C$21, $C$9, 100%, $E$9)</f>
        <v>114.63930000000001</v>
      </c>
      <c r="S954" s="14">
        <f>CHOOSE(CONTROL!$C$42, 110.7533, 110.7533) * CHOOSE(CONTROL!$C$21, $C$9, 100%, $E$9)</f>
        <v>110.7533</v>
      </c>
      <c r="T9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7">
        <f>(1000*CHOOSE(CONTROL!$C$42, 695, 695)*CHOOSE(CONTROL!$C$42, 0.5599, 0.5599)*CHOOSE(CONTROL!$C$42, 30, 30))/1000000</f>
        <v>11.673914999999997</v>
      </c>
      <c r="V954" s="57">
        <f>(1000*CHOOSE(CONTROL!$C$42, 500, 500)*CHOOSE(CONTROL!$C$42, 0.275, 0.275)*CHOOSE(CONTROL!$C$42, 30, 30))/1000000</f>
        <v>4.125</v>
      </c>
      <c r="W954" s="57">
        <f>(1000*CHOOSE(CONTROL!$C$42, 0.1146, 0.1146)*CHOOSE(CONTROL!$C$42, 121.5, 121.5)*CHOOSE(CONTROL!$C$42, 30, 30))/1000000</f>
        <v>0.417717</v>
      </c>
      <c r="X954" s="57">
        <f>(30*0.1790888*245000/1000000)+(30*0.2374*100000/1000000)</f>
        <v>2.0285026799999999</v>
      </c>
      <c r="Y954" s="57"/>
      <c r="Z954" s="14"/>
      <c r="AA954" s="56"/>
      <c r="AB954" s="50">
        <f>(B954*194.205+C954*267.466+D954*133.845+E954*53.484+F954*40+G954*185+H954*0+I954*100+J954*300)/(194.205+267.466+133.845+53.484+0+40+185+100+300)</f>
        <v>115.33873128759814</v>
      </c>
      <c r="AC954" s="45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113.08220143884893</v>
      </c>
    </row>
    <row r="955" spans="1:29" ht="15.75" x14ac:dyDescent="0.25">
      <c r="A955" s="32">
        <v>69975</v>
      </c>
      <c r="B955" s="14">
        <f>CHOOSE(CONTROL!$C$42, 113.0598, 113.0598) * CHOOSE(CONTROL!$C$21, $C$9, 100%, $E$9)</f>
        <v>113.0598</v>
      </c>
      <c r="C955" s="14">
        <f>CHOOSE(CONTROL!$C$42, 113.0678, 113.0678) * CHOOSE(CONTROL!$C$21, $C$9, 100%, $E$9)</f>
        <v>113.06780000000001</v>
      </c>
      <c r="D955" s="14">
        <f>CHOOSE(CONTROL!$C$42, 113.3014, 113.3014) * CHOOSE(CONTROL!$C$21, $C$9, 100%, $E$9)</f>
        <v>113.3014</v>
      </c>
      <c r="E955" s="14">
        <f>CHOOSE(CONTROL!$C$42, 113.3329, 113.3329) * CHOOSE(CONTROL!$C$21, $C$9, 100%, $E$9)</f>
        <v>113.3329</v>
      </c>
      <c r="F955" s="14">
        <f>CHOOSE(CONTROL!$C$42, 113.0576, 113.0576)*CHOOSE(CONTROL!$C$21, $C$9, 100%, $E$9)</f>
        <v>113.05759999999999</v>
      </c>
      <c r="G955" s="14">
        <f>CHOOSE(CONTROL!$C$42, 113.0742, 113.0742)*CHOOSE(CONTROL!$C$21, $C$9, 100%, $E$9)</f>
        <v>113.0742</v>
      </c>
      <c r="H955" s="14">
        <f>CHOOSE(CONTROL!$C$42, 113.3215, 113.3215) * CHOOSE(CONTROL!$C$21, $C$9, 100%, $E$9)</f>
        <v>113.3215</v>
      </c>
      <c r="I955" s="14">
        <f>CHOOSE(CONTROL!$C$42, 113.4297, 113.4297)* CHOOSE(CONTROL!$C$21, $C$9, 100%, $E$9)</f>
        <v>113.4297</v>
      </c>
      <c r="J955" s="14">
        <f>CHOOSE(CONTROL!$C$42, 113.0506, 113.0506)* CHOOSE(CONTROL!$C$21, $C$9, 100%, $E$9)</f>
        <v>113.0506</v>
      </c>
      <c r="K955" s="53">
        <f>CHOOSE(CONTROL!$C$42, 113.4259, 113.4259) * CHOOSE(CONTROL!$C$21, $C$9, 100%, $E$9)</f>
        <v>113.4259</v>
      </c>
      <c r="L955" s="14">
        <f>CHOOSE(CONTROL!$C$42, 113.9085, 113.9085) * CHOOSE(CONTROL!$C$21, $C$9, 100%, $E$9)</f>
        <v>113.9085</v>
      </c>
      <c r="M955" s="14">
        <f>CHOOSE(CONTROL!$C$42, 110.7419, 110.7419) * CHOOSE(CONTROL!$C$21, $C$9, 100%, $E$9)</f>
        <v>110.7419</v>
      </c>
      <c r="N955" s="14">
        <f>CHOOSE(CONTROL!$C$42, 110.7582, 110.7582) * CHOOSE(CONTROL!$C$21, $C$9, 100%, $E$9)</f>
        <v>110.7582</v>
      </c>
      <c r="O955" s="14">
        <f>CHOOSE(CONTROL!$C$42, 111.0073, 111.0073) * CHOOSE(CONTROL!$C$21, $C$9, 100%, $E$9)</f>
        <v>111.0073</v>
      </c>
      <c r="P955" s="14">
        <f>CHOOSE(CONTROL!$C$42, 111.1063, 111.1063) * CHOOSE(CONTROL!$C$21, $C$9, 100%, $E$9)</f>
        <v>111.1063</v>
      </c>
      <c r="Q955" s="14">
        <f>CHOOSE(CONTROL!$C$42, 111.602, 111.602) * CHOOSE(CONTROL!$C$21, $C$9, 100%, $E$9)</f>
        <v>111.602</v>
      </c>
      <c r="R955" s="14">
        <f>CHOOSE(CONTROL!$C$42, 112.468, 112.468) * CHOOSE(CONTROL!$C$21, $C$9, 100%, $E$9)</f>
        <v>112.468</v>
      </c>
      <c r="S955" s="14">
        <f>CHOOSE(CONTROL!$C$42, 108.6285, 108.6285) * CHOOSE(CONTROL!$C$21, $C$9, 100%, $E$9)</f>
        <v>108.6285</v>
      </c>
      <c r="T9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7">
        <f>(1000*CHOOSE(CONTROL!$C$42, 695, 695)*CHOOSE(CONTROL!$C$42, 0.5599, 0.5599)*CHOOSE(CONTROL!$C$42, 31, 31))/1000000</f>
        <v>12.063045499999998</v>
      </c>
      <c r="V955" s="57">
        <f>(1000*CHOOSE(CONTROL!$C$42, 500, 500)*CHOOSE(CONTROL!$C$42, 0.275, 0.275)*CHOOSE(CONTROL!$C$42, 31, 31))/1000000</f>
        <v>4.2625000000000002</v>
      </c>
      <c r="W955" s="57">
        <f>(1000*CHOOSE(CONTROL!$C$42, 0.1146, 0.1146)*CHOOSE(CONTROL!$C$42, 121.5, 121.5)*CHOOSE(CONTROL!$C$42, 31, 31))/1000000</f>
        <v>0.43164089999999994</v>
      </c>
      <c r="X955" s="57">
        <f>(31*0.1790888*245000/1000000)+(31*0.2374*100000/1000000)</f>
        <v>2.0961194359999999</v>
      </c>
      <c r="Y955" s="57"/>
      <c r="Z955" s="14"/>
      <c r="AA955" s="56"/>
      <c r="AB955" s="50">
        <f>(B955*194.205+C955*267.466+D955*133.845+E955*53.484+F955*40+G955*185+H955*0+I955*100+J955*300)/(194.205+267.466+133.845+53.484+0+40+185+100+300)</f>
        <v>113.12721692339089</v>
      </c>
      <c r="AC955" s="45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110.91555899280576</v>
      </c>
    </row>
    <row r="956" spans="1:29" ht="15.75" x14ac:dyDescent="0.25">
      <c r="A956" s="32">
        <v>70006</v>
      </c>
      <c r="B956" s="14">
        <f>CHOOSE(CONTROL!$C$42, 107.4758, 107.4758) * CHOOSE(CONTROL!$C$21, $C$9, 100%, $E$9)</f>
        <v>107.47580000000001</v>
      </c>
      <c r="C956" s="14">
        <f>CHOOSE(CONTROL!$C$42, 107.4838, 107.4838) * CHOOSE(CONTROL!$C$21, $C$9, 100%, $E$9)</f>
        <v>107.4838</v>
      </c>
      <c r="D956" s="14">
        <f>CHOOSE(CONTROL!$C$42, 107.7174, 107.7174) * CHOOSE(CONTROL!$C$21, $C$9, 100%, $E$9)</f>
        <v>107.7174</v>
      </c>
      <c r="E956" s="14">
        <f>CHOOSE(CONTROL!$C$42, 107.7488, 107.7488) * CHOOSE(CONTROL!$C$21, $C$9, 100%, $E$9)</f>
        <v>107.7488</v>
      </c>
      <c r="F956" s="14">
        <f>CHOOSE(CONTROL!$C$42, 107.4737, 107.4737)*CHOOSE(CONTROL!$C$21, $C$9, 100%, $E$9)</f>
        <v>107.47369999999999</v>
      </c>
      <c r="G956" s="14">
        <f>CHOOSE(CONTROL!$C$42, 107.4904, 107.4904)*CHOOSE(CONTROL!$C$21, $C$9, 100%, $E$9)</f>
        <v>107.49039999999999</v>
      </c>
      <c r="H956" s="14">
        <f>CHOOSE(CONTROL!$C$42, 107.7375, 107.7375) * CHOOSE(CONTROL!$C$21, $C$9, 100%, $E$9)</f>
        <v>107.7375</v>
      </c>
      <c r="I956" s="14">
        <f>CHOOSE(CONTROL!$C$42, 107.8282, 107.8282)* CHOOSE(CONTROL!$C$21, $C$9, 100%, $E$9)</f>
        <v>107.8282</v>
      </c>
      <c r="J956" s="14">
        <f>CHOOSE(CONTROL!$C$42, 107.4667, 107.4667)* CHOOSE(CONTROL!$C$21, $C$9, 100%, $E$9)</f>
        <v>107.4667</v>
      </c>
      <c r="K956" s="53">
        <f>CHOOSE(CONTROL!$C$42, 107.8243, 107.8243) * CHOOSE(CONTROL!$C$21, $C$9, 100%, $E$9)</f>
        <v>107.82429999999999</v>
      </c>
      <c r="L956" s="14">
        <f>CHOOSE(CONTROL!$C$42, 108.3245, 108.3245) * CHOOSE(CONTROL!$C$21, $C$9, 100%, $E$9)</f>
        <v>108.3245</v>
      </c>
      <c r="M956" s="14">
        <f>CHOOSE(CONTROL!$C$42, 105.2725, 105.2725) * CHOOSE(CONTROL!$C$21, $C$9, 100%, $E$9)</f>
        <v>105.27249999999999</v>
      </c>
      <c r="N956" s="14">
        <f>CHOOSE(CONTROL!$C$42, 105.2888, 105.2888) * CHOOSE(CONTROL!$C$21, $C$9, 100%, $E$9)</f>
        <v>105.28879999999999</v>
      </c>
      <c r="O956" s="14">
        <f>CHOOSE(CONTROL!$C$42, 105.5377, 105.5377) * CHOOSE(CONTROL!$C$21, $C$9, 100%, $E$9)</f>
        <v>105.5377</v>
      </c>
      <c r="P956" s="14">
        <f>CHOOSE(CONTROL!$C$42, 105.6199, 105.6199) * CHOOSE(CONTROL!$C$21, $C$9, 100%, $E$9)</f>
        <v>105.6199</v>
      </c>
      <c r="Q956" s="14">
        <f>CHOOSE(CONTROL!$C$42, 106.1324, 106.1324) * CHOOSE(CONTROL!$C$21, $C$9, 100%, $E$9)</f>
        <v>106.1324</v>
      </c>
      <c r="R956" s="14">
        <f>CHOOSE(CONTROL!$C$42, 106.9847, 106.9847) * CHOOSE(CONTROL!$C$21, $C$9, 100%, $E$9)</f>
        <v>106.9847</v>
      </c>
      <c r="S956" s="14">
        <f>CHOOSE(CONTROL!$C$42, 103.2628, 103.2628) * CHOOSE(CONTROL!$C$21, $C$9, 100%, $E$9)</f>
        <v>103.2628</v>
      </c>
      <c r="T9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7">
        <f>(1000*CHOOSE(CONTROL!$C$42, 695, 695)*CHOOSE(CONTROL!$C$42, 0.5599, 0.5599)*CHOOSE(CONTROL!$C$42, 31, 31))/1000000</f>
        <v>12.063045499999998</v>
      </c>
      <c r="V956" s="57">
        <f>(1000*CHOOSE(CONTROL!$C$42, 500, 500)*CHOOSE(CONTROL!$C$42, 0.275, 0.275)*CHOOSE(CONTROL!$C$42, 31, 31))/1000000</f>
        <v>4.2625000000000002</v>
      </c>
      <c r="W956" s="57">
        <f>(1000*CHOOSE(CONTROL!$C$42, 0.1146, 0.1146)*CHOOSE(CONTROL!$C$42, 121.5, 121.5)*CHOOSE(CONTROL!$C$42, 31, 31))/1000000</f>
        <v>0.43164089999999994</v>
      </c>
      <c r="X956" s="57">
        <f>(31*0.1790888*245000/1000000)+(31*0.2374*100000/1000000)</f>
        <v>2.0961194359999999</v>
      </c>
      <c r="Y956" s="57"/>
      <c r="Z956" s="14"/>
      <c r="AA956" s="56"/>
      <c r="AB956" s="50">
        <f>(B956*194.205+C956*267.466+D956*133.845+E956*53.484+F956*40+G956*185+H956*0+I956*100+J956*300)/(194.205+267.466+133.845+53.484+0+40+185+100+300)</f>
        <v>107.54189482888542</v>
      </c>
      <c r="AC956" s="45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105.44362230215827</v>
      </c>
    </row>
    <row r="957" spans="1:29" ht="15.75" x14ac:dyDescent="0.25">
      <c r="A957" s="32">
        <v>70036</v>
      </c>
      <c r="B957" s="14">
        <f>CHOOSE(CONTROL!$C$42, 100.6527, 100.6527) * CHOOSE(CONTROL!$C$21, $C$9, 100%, $E$9)</f>
        <v>100.6527</v>
      </c>
      <c r="C957" s="14">
        <f>CHOOSE(CONTROL!$C$42, 100.6607, 100.6607) * CHOOSE(CONTROL!$C$21, $C$9, 100%, $E$9)</f>
        <v>100.66070000000001</v>
      </c>
      <c r="D957" s="14">
        <f>CHOOSE(CONTROL!$C$42, 100.8943, 100.8943) * CHOOSE(CONTROL!$C$21, $C$9, 100%, $E$9)</f>
        <v>100.8943</v>
      </c>
      <c r="E957" s="14">
        <f>CHOOSE(CONTROL!$C$42, 100.9258, 100.9258) * CHOOSE(CONTROL!$C$21, $C$9, 100%, $E$9)</f>
        <v>100.9258</v>
      </c>
      <c r="F957" s="14">
        <f>CHOOSE(CONTROL!$C$42, 100.6507, 100.6507)*CHOOSE(CONTROL!$C$21, $C$9, 100%, $E$9)</f>
        <v>100.6507</v>
      </c>
      <c r="G957" s="14">
        <f>CHOOSE(CONTROL!$C$42, 100.6673, 100.6673)*CHOOSE(CONTROL!$C$21, $C$9, 100%, $E$9)</f>
        <v>100.6673</v>
      </c>
      <c r="H957" s="14">
        <f>CHOOSE(CONTROL!$C$42, 100.9144, 100.9144) * CHOOSE(CONTROL!$C$21, $C$9, 100%, $E$9)</f>
        <v>100.9144</v>
      </c>
      <c r="I957" s="14">
        <f>CHOOSE(CONTROL!$C$42, 100.9838, 100.9838)* CHOOSE(CONTROL!$C$21, $C$9, 100%, $E$9)</f>
        <v>100.9838</v>
      </c>
      <c r="J957" s="14">
        <f>CHOOSE(CONTROL!$C$42, 100.6437, 100.6437)* CHOOSE(CONTROL!$C$21, $C$9, 100%, $E$9)</f>
        <v>100.6437</v>
      </c>
      <c r="K957" s="53">
        <f>CHOOSE(CONTROL!$C$42, 100.9799, 100.9799) * CHOOSE(CONTROL!$C$21, $C$9, 100%, $E$9)</f>
        <v>100.9799</v>
      </c>
      <c r="L957" s="14">
        <f>CHOOSE(CONTROL!$C$42, 101.5014, 101.5014) * CHOOSE(CONTROL!$C$21, $C$9, 100%, $E$9)</f>
        <v>101.5014</v>
      </c>
      <c r="M957" s="14">
        <f>CHOOSE(CONTROL!$C$42, 98.5893, 98.5893) * CHOOSE(CONTROL!$C$21, $C$9, 100%, $E$9)</f>
        <v>98.589299999999994</v>
      </c>
      <c r="N957" s="14">
        <f>CHOOSE(CONTROL!$C$42, 98.6056, 98.6056) * CHOOSE(CONTROL!$C$21, $C$9, 100%, $E$9)</f>
        <v>98.605599999999995</v>
      </c>
      <c r="O957" s="14">
        <f>CHOOSE(CONTROL!$C$42, 98.8544, 98.8544) * CHOOSE(CONTROL!$C$21, $C$9, 100%, $E$9)</f>
        <v>98.854399999999998</v>
      </c>
      <c r="P957" s="14">
        <f>CHOOSE(CONTROL!$C$42, 98.9161, 98.9161) * CHOOSE(CONTROL!$C$21, $C$9, 100%, $E$9)</f>
        <v>98.9161</v>
      </c>
      <c r="Q957" s="14">
        <f>CHOOSE(CONTROL!$C$42, 99.4491, 99.4491) * CHOOSE(CONTROL!$C$21, $C$9, 100%, $E$9)</f>
        <v>99.449100000000001</v>
      </c>
      <c r="R957" s="14">
        <f>CHOOSE(CONTROL!$C$42, 100.2847, 100.2847) * CHOOSE(CONTROL!$C$21, $C$9, 100%, $E$9)</f>
        <v>100.2847</v>
      </c>
      <c r="S957" s="14">
        <f>CHOOSE(CONTROL!$C$42, 96.7065, 96.7065) * CHOOSE(CONTROL!$C$21, $C$9, 100%, $E$9)</f>
        <v>96.706500000000005</v>
      </c>
      <c r="T9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7">
        <f>(1000*CHOOSE(CONTROL!$C$42, 695, 695)*CHOOSE(CONTROL!$C$42, 0.5599, 0.5599)*CHOOSE(CONTROL!$C$42, 30, 30))/1000000</f>
        <v>11.673914999999997</v>
      </c>
      <c r="V957" s="57">
        <f>(1000*CHOOSE(CONTROL!$C$42, 500, 500)*CHOOSE(CONTROL!$C$42, 0.275, 0.275)*CHOOSE(CONTROL!$C$42, 30, 30))/1000000</f>
        <v>4.125</v>
      </c>
      <c r="W957" s="57">
        <f>(1000*CHOOSE(CONTROL!$C$42, 0.1146, 0.1146)*CHOOSE(CONTROL!$C$42, 121.5, 121.5)*CHOOSE(CONTROL!$C$42, 30, 30))/1000000</f>
        <v>0.417717</v>
      </c>
      <c r="X957" s="57">
        <f>(30*0.1790888*245000/1000000)+(30*0.2374*100000/1000000)</f>
        <v>2.0285026799999999</v>
      </c>
      <c r="Y957" s="57"/>
      <c r="Z957" s="14"/>
      <c r="AA957" s="56"/>
      <c r="AB957" s="50">
        <f>(B957*194.205+C957*267.466+D957*133.845+E957*53.484+F957*40+G957*185+H957*0+I957*100+J957*300)/(194.205+267.466+133.845+53.484+0+40+185+100+300)</f>
        <v>100.71715381507066</v>
      </c>
      <c r="AC957" s="45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98.757412949640297</v>
      </c>
    </row>
    <row r="958" spans="1:29" ht="15.75" x14ac:dyDescent="0.25">
      <c r="A958" s="32">
        <v>70067</v>
      </c>
      <c r="B958" s="14">
        <f>CHOOSE(CONTROL!$C$42, 98.6075, 98.6075) * CHOOSE(CONTROL!$C$21, $C$9, 100%, $E$9)</f>
        <v>98.607500000000002</v>
      </c>
      <c r="C958" s="14">
        <f>CHOOSE(CONTROL!$C$42, 98.6128, 98.6128) * CHOOSE(CONTROL!$C$21, $C$9, 100%, $E$9)</f>
        <v>98.612799999999993</v>
      </c>
      <c r="D958" s="14">
        <f>CHOOSE(CONTROL!$C$42, 98.8514, 98.8514) * CHOOSE(CONTROL!$C$21, $C$9, 100%, $E$9)</f>
        <v>98.851399999999998</v>
      </c>
      <c r="E958" s="14">
        <f>CHOOSE(CONTROL!$C$42, 98.8805, 98.8805) * CHOOSE(CONTROL!$C$21, $C$9, 100%, $E$9)</f>
        <v>98.880499999999998</v>
      </c>
      <c r="F958" s="14">
        <f>CHOOSE(CONTROL!$C$42, 98.6075, 98.6075)*CHOOSE(CONTROL!$C$21, $C$9, 100%, $E$9)</f>
        <v>98.607500000000002</v>
      </c>
      <c r="G958" s="14">
        <f>CHOOSE(CONTROL!$C$42, 98.6238, 98.6238)*CHOOSE(CONTROL!$C$21, $C$9, 100%, $E$9)</f>
        <v>98.623800000000003</v>
      </c>
      <c r="H958" s="14">
        <f>CHOOSE(CONTROL!$C$42, 98.871, 98.871) * CHOOSE(CONTROL!$C$21, $C$9, 100%, $E$9)</f>
        <v>98.870999999999995</v>
      </c>
      <c r="I958" s="14">
        <f>CHOOSE(CONTROL!$C$42, 98.934, 98.934)* CHOOSE(CONTROL!$C$21, $C$9, 100%, $E$9)</f>
        <v>98.933999999999997</v>
      </c>
      <c r="J958" s="14">
        <f>CHOOSE(CONTROL!$C$42, 98.6005, 98.6005)* CHOOSE(CONTROL!$C$21, $C$9, 100%, $E$9)</f>
        <v>98.600499999999997</v>
      </c>
      <c r="K958" s="53">
        <f>CHOOSE(CONTROL!$C$42, 98.9301, 98.9301) * CHOOSE(CONTROL!$C$21, $C$9, 100%, $E$9)</f>
        <v>98.930099999999996</v>
      </c>
      <c r="L958" s="14">
        <f>CHOOSE(CONTROL!$C$42, 99.458, 99.458) * CHOOSE(CONTROL!$C$21, $C$9, 100%, $E$9)</f>
        <v>99.457999999999998</v>
      </c>
      <c r="M958" s="14">
        <f>CHOOSE(CONTROL!$C$42, 96.588, 96.588) * CHOOSE(CONTROL!$C$21, $C$9, 100%, $E$9)</f>
        <v>96.587999999999994</v>
      </c>
      <c r="N958" s="14">
        <f>CHOOSE(CONTROL!$C$42, 96.6039, 96.6039) * CHOOSE(CONTROL!$C$21, $C$9, 100%, $E$9)</f>
        <v>96.603899999999996</v>
      </c>
      <c r="O958" s="14">
        <f>CHOOSE(CONTROL!$C$42, 96.8529, 96.8529) * CHOOSE(CONTROL!$C$21, $C$9, 100%, $E$9)</f>
        <v>96.852900000000005</v>
      </c>
      <c r="P958" s="14">
        <f>CHOOSE(CONTROL!$C$42, 96.9084, 96.9084) * CHOOSE(CONTROL!$C$21, $C$9, 100%, $E$9)</f>
        <v>96.9084</v>
      </c>
      <c r="Q958" s="14">
        <f>CHOOSE(CONTROL!$C$42, 97.4476, 97.4476) * CHOOSE(CONTROL!$C$21, $C$9, 100%, $E$9)</f>
        <v>97.447599999999994</v>
      </c>
      <c r="R958" s="14">
        <f>CHOOSE(CONTROL!$C$42, 98.2782, 98.2782) * CHOOSE(CONTROL!$C$21, $C$9, 100%, $E$9)</f>
        <v>98.278199999999998</v>
      </c>
      <c r="S958" s="14">
        <f>CHOOSE(CONTROL!$C$42, 94.743, 94.743) * CHOOSE(CONTROL!$C$21, $C$9, 100%, $E$9)</f>
        <v>94.742999999999995</v>
      </c>
      <c r="T9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7">
        <f>(1000*CHOOSE(CONTROL!$C$42, 695, 695)*CHOOSE(CONTROL!$C$42, 0.5599, 0.5599)*CHOOSE(CONTROL!$C$42, 31, 31))/1000000</f>
        <v>12.063045499999998</v>
      </c>
      <c r="V958" s="57">
        <f>(1000*CHOOSE(CONTROL!$C$42, 500, 500)*CHOOSE(CONTROL!$C$42, 0.275, 0.275)*CHOOSE(CONTROL!$C$42, 31, 31))/1000000</f>
        <v>4.2625000000000002</v>
      </c>
      <c r="W958" s="57">
        <f>(1000*CHOOSE(CONTROL!$C$42, 0.1146, 0.1146)*CHOOSE(CONTROL!$C$42, 121.5, 121.5)*CHOOSE(CONTROL!$C$42, 31, 31))/1000000</f>
        <v>0.43164089999999994</v>
      </c>
      <c r="X958" s="57">
        <f>(31*0.1790888*245000/1000000)+(31*0.2374*100000/1000000)</f>
        <v>2.0961194359999999</v>
      </c>
      <c r="Y958" s="57"/>
      <c r="Z958" s="14"/>
      <c r="AA958" s="56"/>
      <c r="AB958" s="50">
        <f>(B958*131.881+C958*277.167+D958*79.08+E958*125.872+F958*40+G958*185+H958*0+I958*100+J958*300)/(131.881+277.167+79.08+125.872+0+40+185+100+300)</f>
        <v>98.679078008958825</v>
      </c>
      <c r="AC958" s="45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96.755078417266191</v>
      </c>
    </row>
    <row r="959" spans="1:29" ht="15.75" x14ac:dyDescent="0.25">
      <c r="A959" s="32">
        <v>70097</v>
      </c>
      <c r="B959" s="14">
        <f>CHOOSE(CONTROL!$C$42, 101.2046, 101.2046) * CHOOSE(CONTROL!$C$21, $C$9, 100%, $E$9)</f>
        <v>101.2046</v>
      </c>
      <c r="C959" s="14">
        <f>CHOOSE(CONTROL!$C$42, 101.2097, 101.2097) * CHOOSE(CONTROL!$C$21, $C$9, 100%, $E$9)</f>
        <v>101.2097</v>
      </c>
      <c r="D959" s="14">
        <f>CHOOSE(CONTROL!$C$42, 101.2839, 101.2839) * CHOOSE(CONTROL!$C$21, $C$9, 100%, $E$9)</f>
        <v>101.2839</v>
      </c>
      <c r="E959" s="14">
        <f>CHOOSE(CONTROL!$C$42, 101.318, 101.318) * CHOOSE(CONTROL!$C$21, $C$9, 100%, $E$9)</f>
        <v>101.318</v>
      </c>
      <c r="F959" s="14">
        <f>CHOOSE(CONTROL!$C$42, 101.2167, 101.2167)*CHOOSE(CONTROL!$C$21, $C$9, 100%, $E$9)</f>
        <v>101.2167</v>
      </c>
      <c r="G959" s="14">
        <f>CHOOSE(CONTROL!$C$42, 101.2333, 101.2333)*CHOOSE(CONTROL!$C$21, $C$9, 100%, $E$9)</f>
        <v>101.2333</v>
      </c>
      <c r="H959" s="14">
        <f>CHOOSE(CONTROL!$C$42, 101.3072, 101.3072) * CHOOSE(CONTROL!$C$21, $C$9, 100%, $E$9)</f>
        <v>101.30719999999999</v>
      </c>
      <c r="I959" s="14">
        <f>CHOOSE(CONTROL!$C$42, 101.5459, 101.5459)* CHOOSE(CONTROL!$C$21, $C$9, 100%, $E$9)</f>
        <v>101.5459</v>
      </c>
      <c r="J959" s="14">
        <f>CHOOSE(CONTROL!$C$42, 101.2097, 101.2097)* CHOOSE(CONTROL!$C$21, $C$9, 100%, $E$9)</f>
        <v>101.2097</v>
      </c>
      <c r="K959" s="53">
        <f>CHOOSE(CONTROL!$C$42, 101.542, 101.542) * CHOOSE(CONTROL!$C$21, $C$9, 100%, $E$9)</f>
        <v>101.542</v>
      </c>
      <c r="L959" s="14">
        <f>CHOOSE(CONTROL!$C$42, 101.8942, 101.8942) * CHOOSE(CONTROL!$C$21, $C$9, 100%, $E$9)</f>
        <v>101.8942</v>
      </c>
      <c r="M959" s="14">
        <f>CHOOSE(CONTROL!$C$42, 99.1436, 99.1436) * CHOOSE(CONTROL!$C$21, $C$9, 100%, $E$9)</f>
        <v>99.143600000000006</v>
      </c>
      <c r="N959" s="14">
        <f>CHOOSE(CONTROL!$C$42, 99.1599, 99.1599) * CHOOSE(CONTROL!$C$21, $C$9, 100%, $E$9)</f>
        <v>99.159899999999993</v>
      </c>
      <c r="O959" s="14">
        <f>CHOOSE(CONTROL!$C$42, 99.2392, 99.2392) * CHOOSE(CONTROL!$C$21, $C$9, 100%, $E$9)</f>
        <v>99.239199999999997</v>
      </c>
      <c r="P959" s="14">
        <f>CHOOSE(CONTROL!$C$42, 99.4667, 99.4667) * CHOOSE(CONTROL!$C$21, $C$9, 100%, $E$9)</f>
        <v>99.466700000000003</v>
      </c>
      <c r="Q959" s="14">
        <f>CHOOSE(CONTROL!$C$42, 99.8339, 99.8339) * CHOOSE(CONTROL!$C$21, $C$9, 100%, $E$9)</f>
        <v>99.8339</v>
      </c>
      <c r="R959" s="14">
        <f>CHOOSE(CONTROL!$C$42, 100.6705, 100.6705) * CHOOSE(CONTROL!$C$21, $C$9, 100%, $E$9)</f>
        <v>100.6705</v>
      </c>
      <c r="S959" s="14">
        <f>CHOOSE(CONTROL!$C$42, 97.239, 97.239) * CHOOSE(CONTROL!$C$21, $C$9, 100%, $E$9)</f>
        <v>97.239000000000004</v>
      </c>
      <c r="T9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7">
        <f>(1000*CHOOSE(CONTROL!$C$42, 695, 695)*CHOOSE(CONTROL!$C$42, 0.5599, 0.5599)*CHOOSE(CONTROL!$C$42, 30, 30))/1000000</f>
        <v>11.673914999999997</v>
      </c>
      <c r="V959" s="57">
        <f>(1000*CHOOSE(CONTROL!$C$42, 500, 500)*CHOOSE(CONTROL!$C$42, 0.275, 0.275)*CHOOSE(CONTROL!$C$42, 30, 30))/1000000</f>
        <v>4.125</v>
      </c>
      <c r="W959" s="57">
        <f>(1000*CHOOSE(CONTROL!$C$42, 0.1146, 0.1146)*CHOOSE(CONTROL!$C$42, 121.5, 121.5)*CHOOSE(CONTROL!$C$42, 30, 30))/1000000</f>
        <v>0.417717</v>
      </c>
      <c r="X959" s="57">
        <f>(30*0.1790888*100000/1000000)+(30*0.2374*100000/1000000)</f>
        <v>1.2494664</v>
      </c>
      <c r="Y959" s="57"/>
      <c r="Z959" s="14"/>
      <c r="AA959" s="56"/>
      <c r="AB959" s="50">
        <f>(B959*122.58+C959*297.941+D959*89.177+E959*40.302+F959*40+G959*160+H959*0+I959*100+J959*300)/(122.58+297.941+89.177+40.302+0+40+160+100+300)</f>
        <v>101.25146737565215</v>
      </c>
      <c r="AC959" s="45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99.234356834532363</v>
      </c>
    </row>
    <row r="960" spans="1:29" ht="15.75" x14ac:dyDescent="0.25">
      <c r="A960" s="32">
        <v>70128</v>
      </c>
      <c r="B960" s="14">
        <f>CHOOSE(CONTROL!$C$42, 108.104, 108.104) * CHOOSE(CONTROL!$C$21, $C$9, 100%, $E$9)</f>
        <v>108.104</v>
      </c>
      <c r="C960" s="14">
        <f>CHOOSE(CONTROL!$C$42, 108.1091, 108.1091) * CHOOSE(CONTROL!$C$21, $C$9, 100%, $E$9)</f>
        <v>108.1091</v>
      </c>
      <c r="D960" s="14">
        <f>CHOOSE(CONTROL!$C$42, 108.1833, 108.1833) * CHOOSE(CONTROL!$C$21, $C$9, 100%, $E$9)</f>
        <v>108.1833</v>
      </c>
      <c r="E960" s="14">
        <f>CHOOSE(CONTROL!$C$42, 108.2174, 108.2174) * CHOOSE(CONTROL!$C$21, $C$9, 100%, $E$9)</f>
        <v>108.2174</v>
      </c>
      <c r="F960" s="14">
        <f>CHOOSE(CONTROL!$C$42, 108.1183, 108.1183)*CHOOSE(CONTROL!$C$21, $C$9, 100%, $E$9)</f>
        <v>108.1183</v>
      </c>
      <c r="G960" s="14">
        <f>CHOOSE(CONTROL!$C$42, 108.1354, 108.1354)*CHOOSE(CONTROL!$C$21, $C$9, 100%, $E$9)</f>
        <v>108.1354</v>
      </c>
      <c r="H960" s="14">
        <f>CHOOSE(CONTROL!$C$42, 108.2066, 108.2066) * CHOOSE(CONTROL!$C$21, $C$9, 100%, $E$9)</f>
        <v>108.20659999999999</v>
      </c>
      <c r="I960" s="14">
        <f>CHOOSE(CONTROL!$C$42, 108.4669, 108.4669)* CHOOSE(CONTROL!$C$21, $C$9, 100%, $E$9)</f>
        <v>108.4669</v>
      </c>
      <c r="J960" s="14">
        <f>CHOOSE(CONTROL!$C$42, 108.1113, 108.1113)* CHOOSE(CONTROL!$C$21, $C$9, 100%, $E$9)</f>
        <v>108.1113</v>
      </c>
      <c r="K960" s="53">
        <f>CHOOSE(CONTROL!$C$42, 108.463, 108.463) * CHOOSE(CONTROL!$C$21, $C$9, 100%, $E$9)</f>
        <v>108.46299999999999</v>
      </c>
      <c r="L960" s="14">
        <f>CHOOSE(CONTROL!$C$42, 108.7936, 108.7936) * CHOOSE(CONTROL!$C$21, $C$9, 100%, $E$9)</f>
        <v>108.7936</v>
      </c>
      <c r="M960" s="14">
        <f>CHOOSE(CONTROL!$C$42, 105.9038, 105.9038) * CHOOSE(CONTROL!$C$21, $C$9, 100%, $E$9)</f>
        <v>105.9038</v>
      </c>
      <c r="N960" s="14">
        <f>CHOOSE(CONTROL!$C$42, 105.9206, 105.9206) * CHOOSE(CONTROL!$C$21, $C$9, 100%, $E$9)</f>
        <v>105.92059999999999</v>
      </c>
      <c r="O960" s="14">
        <f>CHOOSE(CONTROL!$C$42, 105.9972, 105.9972) * CHOOSE(CONTROL!$C$21, $C$9, 100%, $E$9)</f>
        <v>105.99720000000001</v>
      </c>
      <c r="P960" s="14">
        <f>CHOOSE(CONTROL!$C$42, 106.2455, 106.2455) * CHOOSE(CONTROL!$C$21, $C$9, 100%, $E$9)</f>
        <v>106.24550000000001</v>
      </c>
      <c r="Q960" s="14">
        <f>CHOOSE(CONTROL!$C$42, 106.5919, 106.5919) * CHOOSE(CONTROL!$C$21, $C$9, 100%, $E$9)</f>
        <v>106.5919</v>
      </c>
      <c r="R960" s="14">
        <f>CHOOSE(CONTROL!$C$42, 107.4454, 107.4454) * CHOOSE(CONTROL!$C$21, $C$9, 100%, $E$9)</f>
        <v>107.44540000000001</v>
      </c>
      <c r="S960" s="14">
        <f>CHOOSE(CONTROL!$C$42, 103.8686, 103.8686) * CHOOSE(CONTROL!$C$21, $C$9, 100%, $E$9)</f>
        <v>103.8686</v>
      </c>
      <c r="T9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7">
        <f>(1000*CHOOSE(CONTROL!$C$42, 695, 695)*CHOOSE(CONTROL!$C$42, 0.5599, 0.5599)*CHOOSE(CONTROL!$C$42, 31, 31))/1000000</f>
        <v>12.063045499999998</v>
      </c>
      <c r="V960" s="57">
        <f>(1000*CHOOSE(CONTROL!$C$42, 500, 500)*CHOOSE(CONTROL!$C$42, 0.275, 0.275)*CHOOSE(CONTROL!$C$42, 31, 31))/1000000</f>
        <v>4.2625000000000002</v>
      </c>
      <c r="W960" s="57">
        <f>(1000*CHOOSE(CONTROL!$C$42, 0.1146, 0.1146)*CHOOSE(CONTROL!$C$42, 121.5, 121.5)*CHOOSE(CONTROL!$C$42, 31, 31))/1000000</f>
        <v>0.43164089999999994</v>
      </c>
      <c r="X960" s="57">
        <f>(31*0.1790888*100000/1000000)+(31*0.2374*100000/1000000)</f>
        <v>1.2911152800000001</v>
      </c>
      <c r="Y960" s="57"/>
      <c r="Z960" s="14"/>
      <c r="AA960" s="56"/>
      <c r="AB960" s="50">
        <f>(B960*122.58+C960*297.941+D960*89.177+E960*40.302+F960*40+G960*160+H960*0+I960*100+J960*300)/(122.58+297.941+89.177+40.302+0+40+160+100+300)</f>
        <v>108.15377172347827</v>
      </c>
      <c r="AC960" s="45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105.99626474820145</v>
      </c>
    </row>
    <row r="961" spans="1:29" ht="15.75" x14ac:dyDescent="0.25">
      <c r="A961" s="32">
        <v>70159</v>
      </c>
      <c r="B961" s="14">
        <f>CHOOSE(CONTROL!$C$42, 117.0651, 117.0651) * CHOOSE(CONTROL!$C$21, $C$9, 100%, $E$9)</f>
        <v>117.0651</v>
      </c>
      <c r="C961" s="14">
        <f>CHOOSE(CONTROL!$C$42, 117.0702, 117.0702) * CHOOSE(CONTROL!$C$21, $C$9, 100%, $E$9)</f>
        <v>117.0702</v>
      </c>
      <c r="D961" s="14">
        <f>CHOOSE(CONTROL!$C$42, 117.147, 117.147) * CHOOSE(CONTROL!$C$21, $C$9, 100%, $E$9)</f>
        <v>117.14700000000001</v>
      </c>
      <c r="E961" s="14">
        <f>CHOOSE(CONTROL!$C$42, 117.1811, 117.1811) * CHOOSE(CONTROL!$C$21, $C$9, 100%, $E$9)</f>
        <v>117.1811</v>
      </c>
      <c r="F961" s="14">
        <f>CHOOSE(CONTROL!$C$42, 117.0653, 117.0653)*CHOOSE(CONTROL!$C$21, $C$9, 100%, $E$9)</f>
        <v>117.06529999999999</v>
      </c>
      <c r="G961" s="14">
        <f>CHOOSE(CONTROL!$C$42, 117.0816, 117.0816)*CHOOSE(CONTROL!$C$21, $C$9, 100%, $E$9)</f>
        <v>117.08159999999999</v>
      </c>
      <c r="H961" s="14">
        <f>CHOOSE(CONTROL!$C$42, 117.1703, 117.1703) * CHOOSE(CONTROL!$C$21, $C$9, 100%, $E$9)</f>
        <v>117.1703</v>
      </c>
      <c r="I961" s="14">
        <f>CHOOSE(CONTROL!$C$42, 117.4498, 117.4498)* CHOOSE(CONTROL!$C$21, $C$9, 100%, $E$9)</f>
        <v>117.4498</v>
      </c>
      <c r="J961" s="14">
        <f>CHOOSE(CONTROL!$C$42, 117.0583, 117.0583)* CHOOSE(CONTROL!$C$21, $C$9, 100%, $E$9)</f>
        <v>117.0583</v>
      </c>
      <c r="K961" s="53">
        <f>CHOOSE(CONTROL!$C$42, 117.4459, 117.4459) * CHOOSE(CONTROL!$C$21, $C$9, 100%, $E$9)</f>
        <v>117.44589999999999</v>
      </c>
      <c r="L961" s="14">
        <f>CHOOSE(CONTROL!$C$42, 117.7573, 117.7573) * CHOOSE(CONTROL!$C$21, $C$9, 100%, $E$9)</f>
        <v>117.7573</v>
      </c>
      <c r="M961" s="14">
        <f>CHOOSE(CONTROL!$C$42, 114.6676, 114.6676) * CHOOSE(CONTROL!$C$21, $C$9, 100%, $E$9)</f>
        <v>114.66759999999999</v>
      </c>
      <c r="N961" s="14">
        <f>CHOOSE(CONTROL!$C$42, 114.6835, 114.6835) * CHOOSE(CONTROL!$C$21, $C$9, 100%, $E$9)</f>
        <v>114.6835</v>
      </c>
      <c r="O961" s="14">
        <f>CHOOSE(CONTROL!$C$42, 114.7773, 114.7773) * CHOOSE(CONTROL!$C$21, $C$9, 100%, $E$9)</f>
        <v>114.7773</v>
      </c>
      <c r="P961" s="14">
        <f>CHOOSE(CONTROL!$C$42, 115.0437, 115.0437) * CHOOSE(CONTROL!$C$21, $C$9, 100%, $E$9)</f>
        <v>115.0437</v>
      </c>
      <c r="Q961" s="14">
        <f>CHOOSE(CONTROL!$C$42, 115.372, 115.372) * CHOOSE(CONTROL!$C$21, $C$9, 100%, $E$9)</f>
        <v>115.372</v>
      </c>
      <c r="R961" s="14">
        <f>CHOOSE(CONTROL!$C$42, 116.2474, 116.2474) * CHOOSE(CONTROL!$C$21, $C$9, 100%, $E$9)</f>
        <v>116.2474</v>
      </c>
      <c r="S961" s="14">
        <f>CHOOSE(CONTROL!$C$42, 112.4793, 112.4793) * CHOOSE(CONTROL!$C$21, $C$9, 100%, $E$9)</f>
        <v>112.47929999999999</v>
      </c>
      <c r="T9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7">
        <f>(1000*CHOOSE(CONTROL!$C$42, 695, 695)*CHOOSE(CONTROL!$C$42, 0.5599, 0.5599)*CHOOSE(CONTROL!$C$42, 31, 31))/1000000</f>
        <v>12.063045499999998</v>
      </c>
      <c r="V961" s="57">
        <f>(1000*CHOOSE(CONTROL!$C$42, 500, 500)*CHOOSE(CONTROL!$C$42, 0.275, 0.275)*CHOOSE(CONTROL!$C$42, 31, 31))/1000000</f>
        <v>4.2625000000000002</v>
      </c>
      <c r="W961" s="57">
        <f>(1000*CHOOSE(CONTROL!$C$42, 0.1146, 0.1146)*CHOOSE(CONTROL!$C$42, 121.5, 121.5)*CHOOSE(CONTROL!$C$42, 31, 31))/1000000</f>
        <v>0.43164089999999994</v>
      </c>
      <c r="X961" s="57">
        <f>(31*0.1790888*100000/1000000)+(31*0.2374*100000/1000000)</f>
        <v>1.2911152800000001</v>
      </c>
      <c r="Y961" s="57"/>
      <c r="Z961" s="14"/>
      <c r="AA961" s="56"/>
      <c r="AB961" s="50">
        <f>(B961*122.58+C961*297.941+D961*89.177+E961*40.302+F961*40+G961*160+H961*0+I961*100+J961*300)/(122.58+297.941+89.177+40.302+0+40+160+100+300)</f>
        <v>117.11081837165214</v>
      </c>
      <c r="AC961" s="45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114.77235035971222</v>
      </c>
    </row>
    <row r="962" spans="1:29" ht="15.75" x14ac:dyDescent="0.25">
      <c r="A962" s="32">
        <v>70188</v>
      </c>
      <c r="B962" s="14">
        <f>CHOOSE(CONTROL!$C$42, 119.1489, 119.1489) * CHOOSE(CONTROL!$C$21, $C$9, 100%, $E$9)</f>
        <v>119.1489</v>
      </c>
      <c r="C962" s="14">
        <f>CHOOSE(CONTROL!$C$42, 119.154, 119.154) * CHOOSE(CONTROL!$C$21, $C$9, 100%, $E$9)</f>
        <v>119.154</v>
      </c>
      <c r="D962" s="14">
        <f>CHOOSE(CONTROL!$C$42, 119.2308, 119.2308) * CHOOSE(CONTROL!$C$21, $C$9, 100%, $E$9)</f>
        <v>119.2308</v>
      </c>
      <c r="E962" s="14">
        <f>CHOOSE(CONTROL!$C$42, 119.2649, 119.2649) * CHOOSE(CONTROL!$C$21, $C$9, 100%, $E$9)</f>
        <v>119.2649</v>
      </c>
      <c r="F962" s="14">
        <f>CHOOSE(CONTROL!$C$42, 119.1492, 119.1492)*CHOOSE(CONTROL!$C$21, $C$9, 100%, $E$9)</f>
        <v>119.14919999999999</v>
      </c>
      <c r="G962" s="14">
        <f>CHOOSE(CONTROL!$C$42, 119.1654, 119.1654)*CHOOSE(CONTROL!$C$21, $C$9, 100%, $E$9)</f>
        <v>119.16540000000001</v>
      </c>
      <c r="H962" s="14">
        <f>CHOOSE(CONTROL!$C$42, 119.2541, 119.2541) * CHOOSE(CONTROL!$C$21, $C$9, 100%, $E$9)</f>
        <v>119.25409999999999</v>
      </c>
      <c r="I962" s="14">
        <f>CHOOSE(CONTROL!$C$42, 119.5401, 119.5401)* CHOOSE(CONTROL!$C$21, $C$9, 100%, $E$9)</f>
        <v>119.5401</v>
      </c>
      <c r="J962" s="14">
        <f>CHOOSE(CONTROL!$C$42, 119.1422, 119.1422)* CHOOSE(CONTROL!$C$21, $C$9, 100%, $E$9)</f>
        <v>119.1422</v>
      </c>
      <c r="K962" s="53">
        <f>CHOOSE(CONTROL!$C$42, 119.5362, 119.5362) * CHOOSE(CONTROL!$C$21, $C$9, 100%, $E$9)</f>
        <v>119.53619999999999</v>
      </c>
      <c r="L962" s="14">
        <f>CHOOSE(CONTROL!$C$42, 119.8411, 119.8411) * CHOOSE(CONTROL!$C$21, $C$9, 100%, $E$9)</f>
        <v>119.8411</v>
      </c>
      <c r="M962" s="14">
        <f>CHOOSE(CONTROL!$C$42, 116.7087, 116.7087) * CHOOSE(CONTROL!$C$21, $C$9, 100%, $E$9)</f>
        <v>116.70869999999999</v>
      </c>
      <c r="N962" s="14">
        <f>CHOOSE(CONTROL!$C$42, 116.7246, 116.7246) * CHOOSE(CONTROL!$C$21, $C$9, 100%, $E$9)</f>
        <v>116.7246</v>
      </c>
      <c r="O962" s="14">
        <f>CHOOSE(CONTROL!$C$42, 116.8183, 116.8183) * CHOOSE(CONTROL!$C$21, $C$9, 100%, $E$9)</f>
        <v>116.81829999999999</v>
      </c>
      <c r="P962" s="14">
        <f>CHOOSE(CONTROL!$C$42, 117.0911, 117.0911) * CHOOSE(CONTROL!$C$21, $C$9, 100%, $E$9)</f>
        <v>117.0911</v>
      </c>
      <c r="Q962" s="14">
        <f>CHOOSE(CONTROL!$C$42, 117.413, 117.413) * CHOOSE(CONTROL!$C$21, $C$9, 100%, $E$9)</f>
        <v>117.413</v>
      </c>
      <c r="R962" s="14">
        <f>CHOOSE(CONTROL!$C$42, 118.2936, 118.2936) * CHOOSE(CONTROL!$C$21, $C$9, 100%, $E$9)</f>
        <v>118.2936</v>
      </c>
      <c r="S962" s="14">
        <f>CHOOSE(CONTROL!$C$42, 114.4816, 114.4816) * CHOOSE(CONTROL!$C$21, $C$9, 100%, $E$9)</f>
        <v>114.4816</v>
      </c>
      <c r="T96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7">
        <f>(1000*CHOOSE(CONTROL!$C$42, 695, 695)*CHOOSE(CONTROL!$C$42, 0.5599, 0.5599)*CHOOSE(CONTROL!$C$42, 29, 29))/1000000</f>
        <v>11.284784499999999</v>
      </c>
      <c r="V962" s="57">
        <f>(1000*CHOOSE(CONTROL!$C$42, 500, 500)*CHOOSE(CONTROL!$C$42, 0.275, 0.275)*CHOOSE(CONTROL!$C$42, 29, 29))/1000000</f>
        <v>3.9874999999999998</v>
      </c>
      <c r="W962" s="57">
        <f>(1000*CHOOSE(CONTROL!$C$42, 0.1146, 0.1146)*CHOOSE(CONTROL!$C$42, 121.5, 121.5)*CHOOSE(CONTROL!$C$42, 29, 29))/1000000</f>
        <v>0.40379309999999996</v>
      </c>
      <c r="X962" s="57">
        <f>(29*0.1790888*100000/1000000)+(29*0.2374*100000/1000000)</f>
        <v>1.2078175199999999</v>
      </c>
      <c r="Y962" s="57"/>
      <c r="Z962" s="14"/>
      <c r="AA962" s="56"/>
      <c r="AB962" s="50">
        <f>(B962*122.58+C962*297.941+D962*89.177+E962*40.302+F962*40+G962*160+H962*0+I962*100+J962*300)/(122.58+297.941+89.177+40.302+0+40+160+100+300)</f>
        <v>119.19521315426086</v>
      </c>
      <c r="AC962" s="45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116.81431151079137</v>
      </c>
    </row>
    <row r="963" spans="1:29" ht="15.75" x14ac:dyDescent="0.25">
      <c r="A963" s="32">
        <v>70219</v>
      </c>
      <c r="B963" s="14">
        <f>CHOOSE(CONTROL!$C$42, 115.7664, 115.7664) * CHOOSE(CONTROL!$C$21, $C$9, 100%, $E$9)</f>
        <v>115.7664</v>
      </c>
      <c r="C963" s="14">
        <f>CHOOSE(CONTROL!$C$42, 115.7715, 115.7715) * CHOOSE(CONTROL!$C$21, $C$9, 100%, $E$9)</f>
        <v>115.7715</v>
      </c>
      <c r="D963" s="14">
        <f>CHOOSE(CONTROL!$C$42, 115.8483, 115.8483) * CHOOSE(CONTROL!$C$21, $C$9, 100%, $E$9)</f>
        <v>115.84829999999999</v>
      </c>
      <c r="E963" s="14">
        <f>CHOOSE(CONTROL!$C$42, 115.8824, 115.8824) * CHOOSE(CONTROL!$C$21, $C$9, 100%, $E$9)</f>
        <v>115.8824</v>
      </c>
      <c r="F963" s="14">
        <f>CHOOSE(CONTROL!$C$42, 115.7662, 115.7662)*CHOOSE(CONTROL!$C$21, $C$9, 100%, $E$9)</f>
        <v>115.7662</v>
      </c>
      <c r="G963" s="14">
        <f>CHOOSE(CONTROL!$C$42, 115.7823, 115.7823)*CHOOSE(CONTROL!$C$21, $C$9, 100%, $E$9)</f>
        <v>115.78230000000001</v>
      </c>
      <c r="H963" s="14">
        <f>CHOOSE(CONTROL!$C$42, 115.8716, 115.8716) * CHOOSE(CONTROL!$C$21, $C$9, 100%, $E$9)</f>
        <v>115.8716</v>
      </c>
      <c r="I963" s="14">
        <f>CHOOSE(CONTROL!$C$42, 116.1471, 116.1471)* CHOOSE(CONTROL!$C$21, $C$9, 100%, $E$9)</f>
        <v>116.14709999999999</v>
      </c>
      <c r="J963" s="14">
        <f>CHOOSE(CONTROL!$C$42, 115.7592, 115.7592)* CHOOSE(CONTROL!$C$21, $C$9, 100%, $E$9)</f>
        <v>115.75920000000001</v>
      </c>
      <c r="K963" s="53">
        <f>CHOOSE(CONTROL!$C$42, 116.1432, 116.1432) * CHOOSE(CONTROL!$C$21, $C$9, 100%, $E$9)</f>
        <v>116.14319999999999</v>
      </c>
      <c r="L963" s="14">
        <f>CHOOSE(CONTROL!$C$42, 116.4586, 116.4586) * CHOOSE(CONTROL!$C$21, $C$9, 100%, $E$9)</f>
        <v>116.4586</v>
      </c>
      <c r="M963" s="14">
        <f>CHOOSE(CONTROL!$C$42, 113.3951, 113.3951) * CHOOSE(CONTROL!$C$21, $C$9, 100%, $E$9)</f>
        <v>113.3951</v>
      </c>
      <c r="N963" s="14">
        <f>CHOOSE(CONTROL!$C$42, 113.4109, 113.4109) * CHOOSE(CONTROL!$C$21, $C$9, 100%, $E$9)</f>
        <v>113.4109</v>
      </c>
      <c r="O963" s="14">
        <f>CHOOSE(CONTROL!$C$42, 113.5052, 113.5052) * CHOOSE(CONTROL!$C$21, $C$9, 100%, $E$9)</f>
        <v>113.5052</v>
      </c>
      <c r="P963" s="14">
        <f>CHOOSE(CONTROL!$C$42, 113.7678, 113.7678) * CHOOSE(CONTROL!$C$21, $C$9, 100%, $E$9)</f>
        <v>113.76779999999999</v>
      </c>
      <c r="Q963" s="14">
        <f>CHOOSE(CONTROL!$C$42, 114.0999, 114.0999) * CHOOSE(CONTROL!$C$21, $C$9, 100%, $E$9)</f>
        <v>114.09990000000001</v>
      </c>
      <c r="R963" s="14">
        <f>CHOOSE(CONTROL!$C$42, 114.9721, 114.9721) * CHOOSE(CONTROL!$C$21, $C$9, 100%, $E$9)</f>
        <v>114.9721</v>
      </c>
      <c r="S963" s="14">
        <f>CHOOSE(CONTROL!$C$42, 111.2314, 111.2314) * CHOOSE(CONTROL!$C$21, $C$9, 100%, $E$9)</f>
        <v>111.23139999999999</v>
      </c>
      <c r="T9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7">
        <f>(1000*CHOOSE(CONTROL!$C$42, 695, 695)*CHOOSE(CONTROL!$C$42, 0.5599, 0.5599)*CHOOSE(CONTROL!$C$42, 31, 31))/1000000</f>
        <v>12.063045499999998</v>
      </c>
      <c r="V963" s="57">
        <f>(1000*CHOOSE(CONTROL!$C$42, 500, 500)*CHOOSE(CONTROL!$C$42, 0.275, 0.275)*CHOOSE(CONTROL!$C$42, 31, 31))/1000000</f>
        <v>4.2625000000000002</v>
      </c>
      <c r="W963" s="57">
        <f>(1000*CHOOSE(CONTROL!$C$42, 0.1146, 0.1146)*CHOOSE(CONTROL!$C$42, 121.5, 121.5)*CHOOSE(CONTROL!$C$42, 31, 31))/1000000</f>
        <v>0.43164089999999994</v>
      </c>
      <c r="X963" s="57">
        <f>(31*0.1790888*100000/1000000)+(31*0.2374*100000/1000000)</f>
        <v>1.2911152800000001</v>
      </c>
      <c r="Y963" s="57"/>
      <c r="Z963" s="14"/>
      <c r="AA963" s="56"/>
      <c r="AB963" s="50">
        <f>(B963*122.58+C963*297.941+D963*89.177+E963*40.302+F963*40+G963*160+H963*0+I963*100+J963*300)/(122.58+297.941+89.177+40.302+0+40+160+100+300)</f>
        <v>115.81156880643479</v>
      </c>
      <c r="AC963" s="45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113.49953669064749</v>
      </c>
    </row>
    <row r="964" spans="1:29" ht="15.75" x14ac:dyDescent="0.25">
      <c r="A964" s="32">
        <v>70249</v>
      </c>
      <c r="B964" s="14">
        <f>CHOOSE(CONTROL!$C$42, 115.4211, 115.4211) * CHOOSE(CONTROL!$C$21, $C$9, 100%, $E$9)</f>
        <v>115.4211</v>
      </c>
      <c r="C964" s="14">
        <f>CHOOSE(CONTROL!$C$42, 115.4256, 115.4256) * CHOOSE(CONTROL!$C$21, $C$9, 100%, $E$9)</f>
        <v>115.4256</v>
      </c>
      <c r="D964" s="14">
        <f>CHOOSE(CONTROL!$C$42, 115.6623, 115.6623) * CHOOSE(CONTROL!$C$21, $C$9, 100%, $E$9)</f>
        <v>115.6623</v>
      </c>
      <c r="E964" s="14">
        <f>CHOOSE(CONTROL!$C$42, 115.6944, 115.6944) * CHOOSE(CONTROL!$C$21, $C$9, 100%, $E$9)</f>
        <v>115.6944</v>
      </c>
      <c r="F964" s="14">
        <f>CHOOSE(CONTROL!$C$42, 115.419, 115.419)*CHOOSE(CONTROL!$C$21, $C$9, 100%, $E$9)</f>
        <v>115.419</v>
      </c>
      <c r="G964" s="14">
        <f>CHOOSE(CONTROL!$C$42, 115.4348, 115.4348)*CHOOSE(CONTROL!$C$21, $C$9, 100%, $E$9)</f>
        <v>115.4348</v>
      </c>
      <c r="H964" s="14">
        <f>CHOOSE(CONTROL!$C$42, 115.6842, 115.6842) * CHOOSE(CONTROL!$C$21, $C$9, 100%, $E$9)</f>
        <v>115.6842</v>
      </c>
      <c r="I964" s="14">
        <f>CHOOSE(CONTROL!$C$42, 115.7998, 115.7998)* CHOOSE(CONTROL!$C$21, $C$9, 100%, $E$9)</f>
        <v>115.7998</v>
      </c>
      <c r="J964" s="14">
        <f>CHOOSE(CONTROL!$C$42, 115.412, 115.412)* CHOOSE(CONTROL!$C$21, $C$9, 100%, $E$9)</f>
        <v>115.41200000000001</v>
      </c>
      <c r="K964" s="53">
        <f>CHOOSE(CONTROL!$C$42, 115.796, 115.796) * CHOOSE(CONTROL!$C$21, $C$9, 100%, $E$9)</f>
        <v>115.79600000000001</v>
      </c>
      <c r="L964" s="14">
        <f>CHOOSE(CONTROL!$C$42, 116.2712, 116.2712) * CHOOSE(CONTROL!$C$21, $C$9, 100%, $E$9)</f>
        <v>116.27119999999999</v>
      </c>
      <c r="M964" s="14">
        <f>CHOOSE(CONTROL!$C$42, 113.055, 113.055) * CHOOSE(CONTROL!$C$21, $C$9, 100%, $E$9)</f>
        <v>113.05500000000001</v>
      </c>
      <c r="N964" s="14">
        <f>CHOOSE(CONTROL!$C$42, 113.0705, 113.0705) * CHOOSE(CONTROL!$C$21, $C$9, 100%, $E$9)</f>
        <v>113.0705</v>
      </c>
      <c r="O964" s="14">
        <f>CHOOSE(CONTROL!$C$42, 113.3216, 113.3216) * CHOOSE(CONTROL!$C$21, $C$9, 100%, $E$9)</f>
        <v>113.3216</v>
      </c>
      <c r="P964" s="14">
        <f>CHOOSE(CONTROL!$C$42, 113.4277, 113.4277) * CHOOSE(CONTROL!$C$21, $C$9, 100%, $E$9)</f>
        <v>113.4277</v>
      </c>
      <c r="Q964" s="14">
        <f>CHOOSE(CONTROL!$C$42, 113.9163, 113.9163) * CHOOSE(CONTROL!$C$21, $C$9, 100%, $E$9)</f>
        <v>113.91630000000001</v>
      </c>
      <c r="R964" s="14">
        <f>CHOOSE(CONTROL!$C$42, 114.7881, 114.7881) * CHOOSE(CONTROL!$C$21, $C$9, 100%, $E$9)</f>
        <v>114.7881</v>
      </c>
      <c r="S964" s="14">
        <f>CHOOSE(CONTROL!$C$42, 110.8988, 110.8988) * CHOOSE(CONTROL!$C$21, $C$9, 100%, $E$9)</f>
        <v>110.89879999999999</v>
      </c>
      <c r="T9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7">
        <f>(1000*CHOOSE(CONTROL!$C$42, 695, 695)*CHOOSE(CONTROL!$C$42, 0.5599, 0.5599)*CHOOSE(CONTROL!$C$42, 30, 30))/1000000</f>
        <v>11.673914999999997</v>
      </c>
      <c r="V964" s="57">
        <f>(1000*CHOOSE(CONTROL!$C$42, 500, 500)*CHOOSE(CONTROL!$C$42, 0.275, 0.275)*CHOOSE(CONTROL!$C$42, 30, 30))/1000000</f>
        <v>4.125</v>
      </c>
      <c r="W964" s="57">
        <f>(1000*CHOOSE(CONTROL!$C$42, 0.1146, 0.1146)*CHOOSE(CONTROL!$C$42, 121.5, 121.5)*CHOOSE(CONTROL!$C$42, 30, 30))/1000000</f>
        <v>0.417717</v>
      </c>
      <c r="X964" s="57">
        <f>(30*0.1790888*245000/1000000)+(30*0.2374*100000/1000000)</f>
        <v>2.0285026799999999</v>
      </c>
      <c r="Y964" s="57"/>
      <c r="Z964" s="14"/>
      <c r="AA964" s="56"/>
      <c r="AB964" s="50">
        <f>(B964*141.293+C964*267.993+D964*115.016+E964*89.698+F964*40+G964*185+H964*0+I964*100+J964*300)/(141.293+267.993+115.016+89.698+0+40+185+100+300)</f>
        <v>115.4945889355125</v>
      </c>
      <c r="AC964" s="45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113.23035107913671</v>
      </c>
    </row>
    <row r="965" spans="1:29" ht="15.75" x14ac:dyDescent="0.25">
      <c r="A965" s="32">
        <v>70280</v>
      </c>
      <c r="B965" s="14">
        <f>CHOOSE(CONTROL!$C$42, 116.4411, 116.4411) * CHOOSE(CONTROL!$C$21, $C$9, 100%, $E$9)</f>
        <v>116.44110000000001</v>
      </c>
      <c r="C965" s="14">
        <f>CHOOSE(CONTROL!$C$42, 116.4491, 116.4491) * CHOOSE(CONTROL!$C$21, $C$9, 100%, $E$9)</f>
        <v>116.4491</v>
      </c>
      <c r="D965" s="14">
        <f>CHOOSE(CONTROL!$C$42, 116.6827, 116.6827) * CHOOSE(CONTROL!$C$21, $C$9, 100%, $E$9)</f>
        <v>116.6827</v>
      </c>
      <c r="E965" s="14">
        <f>CHOOSE(CONTROL!$C$42, 116.7142, 116.7142) * CHOOSE(CONTROL!$C$21, $C$9, 100%, $E$9)</f>
        <v>116.71420000000001</v>
      </c>
      <c r="F965" s="14">
        <f>CHOOSE(CONTROL!$C$42, 116.4379, 116.4379)*CHOOSE(CONTROL!$C$21, $C$9, 100%, $E$9)</f>
        <v>116.4379</v>
      </c>
      <c r="G965" s="14">
        <f>CHOOSE(CONTROL!$C$42, 116.4542, 116.4542)*CHOOSE(CONTROL!$C$21, $C$9, 100%, $E$9)</f>
        <v>116.4542</v>
      </c>
      <c r="H965" s="14">
        <f>CHOOSE(CONTROL!$C$42, 116.7028, 116.7028) * CHOOSE(CONTROL!$C$21, $C$9, 100%, $E$9)</f>
        <v>116.7028</v>
      </c>
      <c r="I965" s="14">
        <f>CHOOSE(CONTROL!$C$42, 116.8217, 116.8217)* CHOOSE(CONTROL!$C$21, $C$9, 100%, $E$9)</f>
        <v>116.82170000000001</v>
      </c>
      <c r="J965" s="14">
        <f>CHOOSE(CONTROL!$C$42, 116.4309, 116.4309)* CHOOSE(CONTROL!$C$21, $C$9, 100%, $E$9)</f>
        <v>116.43089999999999</v>
      </c>
      <c r="K965" s="53">
        <f>CHOOSE(CONTROL!$C$42, 116.8178, 116.8178) * CHOOSE(CONTROL!$C$21, $C$9, 100%, $E$9)</f>
        <v>116.81780000000001</v>
      </c>
      <c r="L965" s="14">
        <f>CHOOSE(CONTROL!$C$42, 117.2898, 117.2898) * CHOOSE(CONTROL!$C$21, $C$9, 100%, $E$9)</f>
        <v>117.2898</v>
      </c>
      <c r="M965" s="14">
        <f>CHOOSE(CONTROL!$C$42, 114.053, 114.053) * CHOOSE(CONTROL!$C$21, $C$9, 100%, $E$9)</f>
        <v>114.053</v>
      </c>
      <c r="N965" s="14">
        <f>CHOOSE(CONTROL!$C$42, 114.069, 114.069) * CHOOSE(CONTROL!$C$21, $C$9, 100%, $E$9)</f>
        <v>114.069</v>
      </c>
      <c r="O965" s="14">
        <f>CHOOSE(CONTROL!$C$42, 114.3194, 114.3194) * CHOOSE(CONTROL!$C$21, $C$9, 100%, $E$9)</f>
        <v>114.3194</v>
      </c>
      <c r="P965" s="14">
        <f>CHOOSE(CONTROL!$C$42, 114.4285, 114.4285) * CHOOSE(CONTROL!$C$21, $C$9, 100%, $E$9)</f>
        <v>114.4285</v>
      </c>
      <c r="Q965" s="14">
        <f>CHOOSE(CONTROL!$C$42, 114.9141, 114.9141) * CHOOSE(CONTROL!$C$21, $C$9, 100%, $E$9)</f>
        <v>114.9141</v>
      </c>
      <c r="R965" s="14">
        <f>CHOOSE(CONTROL!$C$42, 115.7883, 115.7883) * CHOOSE(CONTROL!$C$21, $C$9, 100%, $E$9)</f>
        <v>115.78830000000001</v>
      </c>
      <c r="S965" s="14">
        <f>CHOOSE(CONTROL!$C$42, 111.8776, 111.8776) * CHOOSE(CONTROL!$C$21, $C$9, 100%, $E$9)</f>
        <v>111.8776</v>
      </c>
      <c r="T9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7">
        <f>(1000*CHOOSE(CONTROL!$C$42, 695, 695)*CHOOSE(CONTROL!$C$42, 0.5599, 0.5599)*CHOOSE(CONTROL!$C$42, 31, 31))/1000000</f>
        <v>12.063045499999998</v>
      </c>
      <c r="V965" s="57">
        <f>(1000*CHOOSE(CONTROL!$C$42, 500, 500)*CHOOSE(CONTROL!$C$42, 0.275, 0.275)*CHOOSE(CONTROL!$C$42, 31, 31))/1000000</f>
        <v>4.2625000000000002</v>
      </c>
      <c r="W965" s="57">
        <f>(1000*CHOOSE(CONTROL!$C$42, 0.1146, 0.1146)*CHOOSE(CONTROL!$C$42, 121.5, 121.5)*CHOOSE(CONTROL!$C$42, 31, 31))/1000000</f>
        <v>0.43164089999999994</v>
      </c>
      <c r="X965" s="57">
        <f>(31*0.1790888*245000/1000000)+(31*0.2374*100000/1000000)</f>
        <v>2.0961194359999999</v>
      </c>
      <c r="Y965" s="57"/>
      <c r="Z965" s="14"/>
      <c r="AA965" s="56"/>
      <c r="AB965" s="50">
        <f>(B965*194.205+C965*267.466+D965*133.845+E965*53.484+F965*40+G965*185+H965*0+I965*100+J965*300)/(194.205+267.466+133.845+53.484+0+40+185+100+300)</f>
        <v>116.50890114631082</v>
      </c>
      <c r="AC965" s="45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114.22869208633094</v>
      </c>
    </row>
    <row r="966" spans="1:29" ht="15.75" x14ac:dyDescent="0.25">
      <c r="A966" s="32">
        <v>70310</v>
      </c>
      <c r="B966" s="14">
        <f>CHOOSE(CONTROL!$C$42, 119.7438, 119.7438) * CHOOSE(CONTROL!$C$21, $C$9, 100%, $E$9)</f>
        <v>119.74379999999999</v>
      </c>
      <c r="C966" s="14">
        <f>CHOOSE(CONTROL!$C$42, 119.7518, 119.7518) * CHOOSE(CONTROL!$C$21, $C$9, 100%, $E$9)</f>
        <v>119.7518</v>
      </c>
      <c r="D966" s="14">
        <f>CHOOSE(CONTROL!$C$42, 119.9854, 119.9854) * CHOOSE(CONTROL!$C$21, $C$9, 100%, $E$9)</f>
        <v>119.9854</v>
      </c>
      <c r="E966" s="14">
        <f>CHOOSE(CONTROL!$C$42, 120.0169, 120.0169) * CHOOSE(CONTROL!$C$21, $C$9, 100%, $E$9)</f>
        <v>120.01690000000001</v>
      </c>
      <c r="F966" s="14">
        <f>CHOOSE(CONTROL!$C$42, 119.741, 119.741)*CHOOSE(CONTROL!$C$21, $C$9, 100%, $E$9)</f>
        <v>119.741</v>
      </c>
      <c r="G966" s="14">
        <f>CHOOSE(CONTROL!$C$42, 119.7575, 119.7575)*CHOOSE(CONTROL!$C$21, $C$9, 100%, $E$9)</f>
        <v>119.75749999999999</v>
      </c>
      <c r="H966" s="14">
        <f>CHOOSE(CONTROL!$C$42, 120.0055, 120.0055) * CHOOSE(CONTROL!$C$21, $C$9, 100%, $E$9)</f>
        <v>120.0055</v>
      </c>
      <c r="I966" s="14">
        <f>CHOOSE(CONTROL!$C$42, 120.1347, 120.1347)* CHOOSE(CONTROL!$C$21, $C$9, 100%, $E$9)</f>
        <v>120.1347</v>
      </c>
      <c r="J966" s="14">
        <f>CHOOSE(CONTROL!$C$42, 119.734, 119.734)* CHOOSE(CONTROL!$C$21, $C$9, 100%, $E$9)</f>
        <v>119.73399999999999</v>
      </c>
      <c r="K966" s="53">
        <f>CHOOSE(CONTROL!$C$42, 120.1308, 120.1308) * CHOOSE(CONTROL!$C$21, $C$9, 100%, $E$9)</f>
        <v>120.13079999999999</v>
      </c>
      <c r="L966" s="14">
        <f>CHOOSE(CONTROL!$C$42, 120.5925, 120.5925) * CHOOSE(CONTROL!$C$21, $C$9, 100%, $E$9)</f>
        <v>120.5925</v>
      </c>
      <c r="M966" s="14">
        <f>CHOOSE(CONTROL!$C$42, 117.2885, 117.2885) * CHOOSE(CONTROL!$C$21, $C$9, 100%, $E$9)</f>
        <v>117.2885</v>
      </c>
      <c r="N966" s="14">
        <f>CHOOSE(CONTROL!$C$42, 117.3046, 117.3046) * CHOOSE(CONTROL!$C$21, $C$9, 100%, $E$9)</f>
        <v>117.30459999999999</v>
      </c>
      <c r="O966" s="14">
        <f>CHOOSE(CONTROL!$C$42, 117.5544, 117.5544) * CHOOSE(CONTROL!$C$21, $C$9, 100%, $E$9)</f>
        <v>117.5544</v>
      </c>
      <c r="P966" s="14">
        <f>CHOOSE(CONTROL!$C$42, 117.6734, 117.6734) * CHOOSE(CONTROL!$C$21, $C$9, 100%, $E$9)</f>
        <v>117.6734</v>
      </c>
      <c r="Q966" s="14">
        <f>CHOOSE(CONTROL!$C$42, 118.1491, 118.1491) * CHOOSE(CONTROL!$C$21, $C$9, 100%, $E$9)</f>
        <v>118.1491</v>
      </c>
      <c r="R966" s="14">
        <f>CHOOSE(CONTROL!$C$42, 119.0314, 119.0314) * CHOOSE(CONTROL!$C$21, $C$9, 100%, $E$9)</f>
        <v>119.0314</v>
      </c>
      <c r="S966" s="14">
        <f>CHOOSE(CONTROL!$C$42, 115.0512, 115.0512) * CHOOSE(CONTROL!$C$21, $C$9, 100%, $E$9)</f>
        <v>115.05119999999999</v>
      </c>
      <c r="T9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7">
        <f>(1000*CHOOSE(CONTROL!$C$42, 695, 695)*CHOOSE(CONTROL!$C$42, 0.5599, 0.5599)*CHOOSE(CONTROL!$C$42, 30, 30))/1000000</f>
        <v>11.673914999999997</v>
      </c>
      <c r="V966" s="57">
        <f>(1000*CHOOSE(CONTROL!$C$42, 500, 500)*CHOOSE(CONTROL!$C$42, 0.275, 0.275)*CHOOSE(CONTROL!$C$42, 30, 30))/1000000</f>
        <v>4.125</v>
      </c>
      <c r="W966" s="57">
        <f>(1000*CHOOSE(CONTROL!$C$42, 0.1146, 0.1146)*CHOOSE(CONTROL!$C$42, 121.5, 121.5)*CHOOSE(CONTROL!$C$42, 30, 30))/1000000</f>
        <v>0.417717</v>
      </c>
      <c r="X966" s="57">
        <f>(30*0.1790888*245000/1000000)+(30*0.2374*100000/1000000)</f>
        <v>2.0285026799999999</v>
      </c>
      <c r="Y966" s="57"/>
      <c r="Z966" s="14"/>
      <c r="AA966" s="56"/>
      <c r="AB966" s="50">
        <f>(B966*194.205+C966*267.466+D966*133.845+E966*53.484+F966*40+G966*185+H966*0+I966*100+J966*300)/(194.205+267.466+133.845+53.484+0+40+185+100+300)</f>
        <v>119.81260350109891</v>
      </c>
      <c r="AC966" s="45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117.46532374100718</v>
      </c>
    </row>
    <row r="967" spans="1:29" ht="15.75" x14ac:dyDescent="0.25">
      <c r="A967" s="32">
        <v>70341</v>
      </c>
      <c r="B967" s="14">
        <f>CHOOSE(CONTROL!$C$42, 117.4468, 117.4468) * CHOOSE(CONTROL!$C$21, $C$9, 100%, $E$9)</f>
        <v>117.4468</v>
      </c>
      <c r="C967" s="14">
        <f>CHOOSE(CONTROL!$C$42, 117.4548, 117.4548) * CHOOSE(CONTROL!$C$21, $C$9, 100%, $E$9)</f>
        <v>117.45480000000001</v>
      </c>
      <c r="D967" s="14">
        <f>CHOOSE(CONTROL!$C$42, 117.6884, 117.6884) * CHOOSE(CONTROL!$C$21, $C$9, 100%, $E$9)</f>
        <v>117.6884</v>
      </c>
      <c r="E967" s="14">
        <f>CHOOSE(CONTROL!$C$42, 117.7198, 117.7198) * CHOOSE(CONTROL!$C$21, $C$9, 100%, $E$9)</f>
        <v>117.71980000000001</v>
      </c>
      <c r="F967" s="14">
        <f>CHOOSE(CONTROL!$C$42, 117.4445, 117.4445)*CHOOSE(CONTROL!$C$21, $C$9, 100%, $E$9)</f>
        <v>117.44450000000001</v>
      </c>
      <c r="G967" s="14">
        <f>CHOOSE(CONTROL!$C$42, 117.4611, 117.4611)*CHOOSE(CONTROL!$C$21, $C$9, 100%, $E$9)</f>
        <v>117.4611</v>
      </c>
      <c r="H967" s="14">
        <f>CHOOSE(CONTROL!$C$42, 117.7085, 117.7085) * CHOOSE(CONTROL!$C$21, $C$9, 100%, $E$9)</f>
        <v>117.7085</v>
      </c>
      <c r="I967" s="14">
        <f>CHOOSE(CONTROL!$C$42, 117.8305, 117.8305)* CHOOSE(CONTROL!$C$21, $C$9, 100%, $E$9)</f>
        <v>117.8305</v>
      </c>
      <c r="J967" s="14">
        <f>CHOOSE(CONTROL!$C$42, 117.4375, 117.4375)* CHOOSE(CONTROL!$C$21, $C$9, 100%, $E$9)</f>
        <v>117.4375</v>
      </c>
      <c r="K967" s="53">
        <f>CHOOSE(CONTROL!$C$42, 117.8266, 117.8266) * CHOOSE(CONTROL!$C$21, $C$9, 100%, $E$9)</f>
        <v>117.8266</v>
      </c>
      <c r="L967" s="14">
        <f>CHOOSE(CONTROL!$C$42, 118.2955, 118.2955) * CHOOSE(CONTROL!$C$21, $C$9, 100%, $E$9)</f>
        <v>118.2955</v>
      </c>
      <c r="M967" s="14">
        <f>CHOOSE(CONTROL!$C$42, 115.039, 115.039) * CHOOSE(CONTROL!$C$21, $C$9, 100%, $E$9)</f>
        <v>115.039</v>
      </c>
      <c r="N967" s="14">
        <f>CHOOSE(CONTROL!$C$42, 115.0553, 115.0553) * CHOOSE(CONTROL!$C$21, $C$9, 100%, $E$9)</f>
        <v>115.0553</v>
      </c>
      <c r="O967" s="14">
        <f>CHOOSE(CONTROL!$C$42, 115.3044, 115.3044) * CHOOSE(CONTROL!$C$21, $C$9, 100%, $E$9)</f>
        <v>115.3044</v>
      </c>
      <c r="P967" s="14">
        <f>CHOOSE(CONTROL!$C$42, 115.4166, 115.4166) * CHOOSE(CONTROL!$C$21, $C$9, 100%, $E$9)</f>
        <v>115.4166</v>
      </c>
      <c r="Q967" s="14">
        <f>CHOOSE(CONTROL!$C$42, 115.8991, 115.8991) * CHOOSE(CONTROL!$C$21, $C$9, 100%, $E$9)</f>
        <v>115.8991</v>
      </c>
      <c r="R967" s="14">
        <f>CHOOSE(CONTROL!$C$42, 116.7758, 116.7758) * CHOOSE(CONTROL!$C$21, $C$9, 100%, $E$9)</f>
        <v>116.7758</v>
      </c>
      <c r="S967" s="14">
        <f>CHOOSE(CONTROL!$C$42, 112.844, 112.844) * CHOOSE(CONTROL!$C$21, $C$9, 100%, $E$9)</f>
        <v>112.84399999999999</v>
      </c>
      <c r="T9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7">
        <f>(1000*CHOOSE(CONTROL!$C$42, 695, 695)*CHOOSE(CONTROL!$C$42, 0.5599, 0.5599)*CHOOSE(CONTROL!$C$42, 31, 31))/1000000</f>
        <v>12.063045499999998</v>
      </c>
      <c r="V967" s="57">
        <f>(1000*CHOOSE(CONTROL!$C$42, 500, 500)*CHOOSE(CONTROL!$C$42, 0.275, 0.275)*CHOOSE(CONTROL!$C$42, 31, 31))/1000000</f>
        <v>4.2625000000000002</v>
      </c>
      <c r="W967" s="57">
        <f>(1000*CHOOSE(CONTROL!$C$42, 0.1146, 0.1146)*CHOOSE(CONTROL!$C$42, 121.5, 121.5)*CHOOSE(CONTROL!$C$42, 31, 31))/1000000</f>
        <v>0.43164089999999994</v>
      </c>
      <c r="X967" s="57">
        <f>(31*0.1790888*245000/1000000)+(31*0.2374*100000/1000000)</f>
        <v>2.0961194359999999</v>
      </c>
      <c r="Y967" s="57"/>
      <c r="Z967" s="14"/>
      <c r="AA967" s="56"/>
      <c r="AB967" s="50">
        <f>(B967*194.205+C967*267.466+D967*133.845+E967*53.484+F967*40+G967*185+H967*0+I967*100+J967*300)/(194.205+267.466+133.845+53.484+0+40+185+100+300)</f>
        <v>117.51525471899529</v>
      </c>
      <c r="AC967" s="45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115.2145582733813</v>
      </c>
    </row>
    <row r="968" spans="1:29" ht="15.75" x14ac:dyDescent="0.25">
      <c r="A968" s="32">
        <v>70372</v>
      </c>
      <c r="B968" s="14">
        <f>CHOOSE(CONTROL!$C$42, 111.646, 111.646) * CHOOSE(CONTROL!$C$21, $C$9, 100%, $E$9)</f>
        <v>111.646</v>
      </c>
      <c r="C968" s="14">
        <f>CHOOSE(CONTROL!$C$42, 111.6541, 111.6541) * CHOOSE(CONTROL!$C$21, $C$9, 100%, $E$9)</f>
        <v>111.6541</v>
      </c>
      <c r="D968" s="14">
        <f>CHOOSE(CONTROL!$C$42, 111.8877, 111.8877) * CHOOSE(CONTROL!$C$21, $C$9, 100%, $E$9)</f>
        <v>111.8877</v>
      </c>
      <c r="E968" s="14">
        <f>CHOOSE(CONTROL!$C$42, 111.9191, 111.9191) * CHOOSE(CONTROL!$C$21, $C$9, 100%, $E$9)</f>
        <v>111.9191</v>
      </c>
      <c r="F968" s="14">
        <f>CHOOSE(CONTROL!$C$42, 111.644, 111.644)*CHOOSE(CONTROL!$C$21, $C$9, 100%, $E$9)</f>
        <v>111.64400000000001</v>
      </c>
      <c r="G968" s="14">
        <f>CHOOSE(CONTROL!$C$42, 111.6607, 111.6607)*CHOOSE(CONTROL!$C$21, $C$9, 100%, $E$9)</f>
        <v>111.66070000000001</v>
      </c>
      <c r="H968" s="14">
        <f>CHOOSE(CONTROL!$C$42, 111.9078, 111.9078) * CHOOSE(CONTROL!$C$21, $C$9, 100%, $E$9)</f>
        <v>111.90779999999999</v>
      </c>
      <c r="I968" s="14">
        <f>CHOOSE(CONTROL!$C$42, 112.0116, 112.0116)* CHOOSE(CONTROL!$C$21, $C$9, 100%, $E$9)</f>
        <v>112.0116</v>
      </c>
      <c r="J968" s="14">
        <f>CHOOSE(CONTROL!$C$42, 111.637, 111.637)* CHOOSE(CONTROL!$C$21, $C$9, 100%, $E$9)</f>
        <v>111.637</v>
      </c>
      <c r="K968" s="53">
        <f>CHOOSE(CONTROL!$C$42, 112.0077, 112.0077) * CHOOSE(CONTROL!$C$21, $C$9, 100%, $E$9)</f>
        <v>112.0077</v>
      </c>
      <c r="L968" s="14">
        <f>CHOOSE(CONTROL!$C$42, 112.4948, 112.4948) * CHOOSE(CONTROL!$C$21, $C$9, 100%, $E$9)</f>
        <v>112.4948</v>
      </c>
      <c r="M968" s="14">
        <f>CHOOSE(CONTROL!$C$42, 109.3573, 109.3573) * CHOOSE(CONTROL!$C$21, $C$9, 100%, $E$9)</f>
        <v>109.3573</v>
      </c>
      <c r="N968" s="14">
        <f>CHOOSE(CONTROL!$C$42, 109.3737, 109.3737) * CHOOSE(CONTROL!$C$21, $C$9, 100%, $E$9)</f>
        <v>109.3737</v>
      </c>
      <c r="O968" s="14">
        <f>CHOOSE(CONTROL!$C$42, 109.6225, 109.6225) * CHOOSE(CONTROL!$C$21, $C$9, 100%, $E$9)</f>
        <v>109.6225</v>
      </c>
      <c r="P968" s="14">
        <f>CHOOSE(CONTROL!$C$42, 109.7173, 109.7173) * CHOOSE(CONTROL!$C$21, $C$9, 100%, $E$9)</f>
        <v>109.71729999999999</v>
      </c>
      <c r="Q968" s="14">
        <f>CHOOSE(CONTROL!$C$42, 110.2172, 110.2172) * CHOOSE(CONTROL!$C$21, $C$9, 100%, $E$9)</f>
        <v>110.21720000000001</v>
      </c>
      <c r="R968" s="14">
        <f>CHOOSE(CONTROL!$C$42, 111.0798, 111.0798) * CHOOSE(CONTROL!$C$21, $C$9, 100%, $E$9)</f>
        <v>111.07980000000001</v>
      </c>
      <c r="S968" s="14">
        <f>CHOOSE(CONTROL!$C$42, 107.27, 107.27) * CHOOSE(CONTROL!$C$21, $C$9, 100%, $E$9)</f>
        <v>107.27</v>
      </c>
      <c r="T9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7">
        <f>(1000*CHOOSE(CONTROL!$C$42, 695, 695)*CHOOSE(CONTROL!$C$42, 0.5599, 0.5599)*CHOOSE(CONTROL!$C$42, 31, 31))/1000000</f>
        <v>12.063045499999998</v>
      </c>
      <c r="V968" s="57">
        <f>(1000*CHOOSE(CONTROL!$C$42, 500, 500)*CHOOSE(CONTROL!$C$42, 0.275, 0.275)*CHOOSE(CONTROL!$C$42, 31, 31))/1000000</f>
        <v>4.2625000000000002</v>
      </c>
      <c r="W968" s="57">
        <f>(1000*CHOOSE(CONTROL!$C$42, 0.1146, 0.1146)*CHOOSE(CONTROL!$C$42, 121.5, 121.5)*CHOOSE(CONTROL!$C$42, 31, 31))/1000000</f>
        <v>0.43164089999999994</v>
      </c>
      <c r="X968" s="57">
        <f>(31*0.1790888*245000/1000000)+(31*0.2374*100000/1000000)</f>
        <v>2.0961194359999999</v>
      </c>
      <c r="Y968" s="57"/>
      <c r="Z968" s="14"/>
      <c r="AA968" s="56"/>
      <c r="AB968" s="50">
        <f>(B968*194.205+C968*267.466+D968*133.845+E968*53.484+F968*40+G968*185+H968*0+I968*100+J968*300)/(194.205+267.466+133.845+53.484+0+40+185+100+300)</f>
        <v>111.71320784262166</v>
      </c>
      <c r="AC968" s="45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109.53024100719425</v>
      </c>
    </row>
    <row r="969" spans="1:29" ht="15.75" x14ac:dyDescent="0.25">
      <c r="A969" s="32">
        <v>70402</v>
      </c>
      <c r="B969" s="14">
        <f>CHOOSE(CONTROL!$C$42, 104.5582, 104.5582) * CHOOSE(CONTROL!$C$21, $C$9, 100%, $E$9)</f>
        <v>104.5582</v>
      </c>
      <c r="C969" s="14">
        <f>CHOOSE(CONTROL!$C$42, 104.5662, 104.5662) * CHOOSE(CONTROL!$C$21, $C$9, 100%, $E$9)</f>
        <v>104.56619999999999</v>
      </c>
      <c r="D969" s="14">
        <f>CHOOSE(CONTROL!$C$42, 104.7998, 104.7998) * CHOOSE(CONTROL!$C$21, $C$9, 100%, $E$9)</f>
        <v>104.7998</v>
      </c>
      <c r="E969" s="14">
        <f>CHOOSE(CONTROL!$C$42, 104.8313, 104.8313) * CHOOSE(CONTROL!$C$21, $C$9, 100%, $E$9)</f>
        <v>104.8313</v>
      </c>
      <c r="F969" s="14">
        <f>CHOOSE(CONTROL!$C$42, 104.5562, 104.5562)*CHOOSE(CONTROL!$C$21, $C$9, 100%, $E$9)</f>
        <v>104.5562</v>
      </c>
      <c r="G969" s="14">
        <f>CHOOSE(CONTROL!$C$42, 104.5729, 104.5729)*CHOOSE(CONTROL!$C$21, $C$9, 100%, $E$9)</f>
        <v>104.5729</v>
      </c>
      <c r="H969" s="14">
        <f>CHOOSE(CONTROL!$C$42, 104.8199, 104.8199) * CHOOSE(CONTROL!$C$21, $C$9, 100%, $E$9)</f>
        <v>104.8199</v>
      </c>
      <c r="I969" s="14">
        <f>CHOOSE(CONTROL!$C$42, 104.9015, 104.9015)* CHOOSE(CONTROL!$C$21, $C$9, 100%, $E$9)</f>
        <v>104.9015</v>
      </c>
      <c r="J969" s="14">
        <f>CHOOSE(CONTROL!$C$42, 104.5492, 104.5492)* CHOOSE(CONTROL!$C$21, $C$9, 100%, $E$9)</f>
        <v>104.5492</v>
      </c>
      <c r="K969" s="53">
        <f>CHOOSE(CONTROL!$C$42, 104.8976, 104.8976) * CHOOSE(CONTROL!$C$21, $C$9, 100%, $E$9)</f>
        <v>104.8976</v>
      </c>
      <c r="L969" s="14">
        <f>CHOOSE(CONTROL!$C$42, 105.4069, 105.4069) * CHOOSE(CONTROL!$C$21, $C$9, 100%, $E$9)</f>
        <v>105.40689999999999</v>
      </c>
      <c r="M969" s="14">
        <f>CHOOSE(CONTROL!$C$42, 102.4147, 102.4147) * CHOOSE(CONTROL!$C$21, $C$9, 100%, $E$9)</f>
        <v>102.4147</v>
      </c>
      <c r="N969" s="14">
        <f>CHOOSE(CONTROL!$C$42, 102.4311, 102.4311) * CHOOSE(CONTROL!$C$21, $C$9, 100%, $E$9)</f>
        <v>102.4311</v>
      </c>
      <c r="O969" s="14">
        <f>CHOOSE(CONTROL!$C$42, 102.6799, 102.6799) * CHOOSE(CONTROL!$C$21, $C$9, 100%, $E$9)</f>
        <v>102.6799</v>
      </c>
      <c r="P969" s="14">
        <f>CHOOSE(CONTROL!$C$42, 102.7533, 102.7533) * CHOOSE(CONTROL!$C$21, $C$9, 100%, $E$9)</f>
        <v>102.7533</v>
      </c>
      <c r="Q969" s="14">
        <f>CHOOSE(CONTROL!$C$42, 103.2746, 103.2746) * CHOOSE(CONTROL!$C$21, $C$9, 100%, $E$9)</f>
        <v>103.27460000000001</v>
      </c>
      <c r="R969" s="14">
        <f>CHOOSE(CONTROL!$C$42, 104.1198, 104.1198) * CHOOSE(CONTROL!$C$21, $C$9, 100%, $E$9)</f>
        <v>104.1198</v>
      </c>
      <c r="S969" s="14">
        <f>CHOOSE(CONTROL!$C$42, 100.4593, 100.4593) * CHOOSE(CONTROL!$C$21, $C$9, 100%, $E$9)</f>
        <v>100.4593</v>
      </c>
      <c r="T9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7">
        <f>(1000*CHOOSE(CONTROL!$C$42, 695, 695)*CHOOSE(CONTROL!$C$42, 0.5599, 0.5599)*CHOOSE(CONTROL!$C$42, 30, 30))/1000000</f>
        <v>11.673914999999997</v>
      </c>
      <c r="V969" s="57">
        <f>(1000*CHOOSE(CONTROL!$C$42, 500, 500)*CHOOSE(CONTROL!$C$42, 0.275, 0.275)*CHOOSE(CONTROL!$C$42, 30, 30))/1000000</f>
        <v>4.125</v>
      </c>
      <c r="W969" s="57">
        <f>(1000*CHOOSE(CONTROL!$C$42, 0.1146, 0.1146)*CHOOSE(CONTROL!$C$42, 121.5, 121.5)*CHOOSE(CONTROL!$C$42, 30, 30))/1000000</f>
        <v>0.417717</v>
      </c>
      <c r="X969" s="57">
        <f>(30*0.1790888*245000/1000000)+(30*0.2374*100000/1000000)</f>
        <v>2.0285026799999999</v>
      </c>
      <c r="Y969" s="57"/>
      <c r="Z969" s="14"/>
      <c r="AA969" s="56"/>
      <c r="AB969" s="50">
        <f>(B969*194.205+C969*267.466+D969*133.845+E969*53.484+F969*40+G969*185+H969*0+I969*100+J969*300)/(194.205+267.466+133.845+53.484+0+40+185+100+300)</f>
        <v>104.62362595007849</v>
      </c>
      <c r="AC969" s="45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102.58456187050359</v>
      </c>
    </row>
    <row r="970" spans="1:29" ht="15.75" x14ac:dyDescent="0.25">
      <c r="A970" s="32">
        <v>70433</v>
      </c>
      <c r="B970" s="14">
        <f>CHOOSE(CONTROL!$C$42, 102.4337, 102.4337) * CHOOSE(CONTROL!$C$21, $C$9, 100%, $E$9)</f>
        <v>102.4337</v>
      </c>
      <c r="C970" s="14">
        <f>CHOOSE(CONTROL!$C$42, 102.439, 102.439) * CHOOSE(CONTROL!$C$21, $C$9, 100%, $E$9)</f>
        <v>102.43899999999999</v>
      </c>
      <c r="D970" s="14">
        <f>CHOOSE(CONTROL!$C$42, 102.6776, 102.6776) * CHOOSE(CONTROL!$C$21, $C$9, 100%, $E$9)</f>
        <v>102.6776</v>
      </c>
      <c r="E970" s="14">
        <f>CHOOSE(CONTROL!$C$42, 102.7067, 102.7067) * CHOOSE(CONTROL!$C$21, $C$9, 100%, $E$9)</f>
        <v>102.7067</v>
      </c>
      <c r="F970" s="14">
        <f>CHOOSE(CONTROL!$C$42, 102.4337, 102.4337)*CHOOSE(CONTROL!$C$21, $C$9, 100%, $E$9)</f>
        <v>102.4337</v>
      </c>
      <c r="G970" s="14">
        <f>CHOOSE(CONTROL!$C$42, 102.45, 102.45)*CHOOSE(CONTROL!$C$21, $C$9, 100%, $E$9)</f>
        <v>102.45</v>
      </c>
      <c r="H970" s="14">
        <f>CHOOSE(CONTROL!$C$42, 102.6972, 102.6972) * CHOOSE(CONTROL!$C$21, $C$9, 100%, $E$9)</f>
        <v>102.6972</v>
      </c>
      <c r="I970" s="14">
        <f>CHOOSE(CONTROL!$C$42, 102.7722, 102.7722)* CHOOSE(CONTROL!$C$21, $C$9, 100%, $E$9)</f>
        <v>102.7722</v>
      </c>
      <c r="J970" s="14">
        <f>CHOOSE(CONTROL!$C$42, 102.4267, 102.4267)* CHOOSE(CONTROL!$C$21, $C$9, 100%, $E$9)</f>
        <v>102.4267</v>
      </c>
      <c r="K970" s="53">
        <f>CHOOSE(CONTROL!$C$42, 102.7683, 102.7683) * CHOOSE(CONTROL!$C$21, $C$9, 100%, $E$9)</f>
        <v>102.7683</v>
      </c>
      <c r="L970" s="14">
        <f>CHOOSE(CONTROL!$C$42, 103.2842, 103.2842) * CHOOSE(CONTROL!$C$21, $C$9, 100%, $E$9)</f>
        <v>103.2842</v>
      </c>
      <c r="M970" s="14">
        <f>CHOOSE(CONTROL!$C$42, 100.3358, 100.3358) * CHOOSE(CONTROL!$C$21, $C$9, 100%, $E$9)</f>
        <v>100.33580000000001</v>
      </c>
      <c r="N970" s="14">
        <f>CHOOSE(CONTROL!$C$42, 100.3517, 100.3517) * CHOOSE(CONTROL!$C$21, $C$9, 100%, $E$9)</f>
        <v>100.35169999999999</v>
      </c>
      <c r="O970" s="14">
        <f>CHOOSE(CONTROL!$C$42, 100.6007, 100.6007) * CHOOSE(CONTROL!$C$21, $C$9, 100%, $E$9)</f>
        <v>100.6007</v>
      </c>
      <c r="P970" s="14">
        <f>CHOOSE(CONTROL!$C$42, 100.6677, 100.6677) * CHOOSE(CONTROL!$C$21, $C$9, 100%, $E$9)</f>
        <v>100.6677</v>
      </c>
      <c r="Q970" s="14">
        <f>CHOOSE(CONTROL!$C$42, 101.1954, 101.1954) * CHOOSE(CONTROL!$C$21, $C$9, 100%, $E$9)</f>
        <v>101.19540000000001</v>
      </c>
      <c r="R970" s="14">
        <f>CHOOSE(CONTROL!$C$42, 102.0354, 102.0354) * CHOOSE(CONTROL!$C$21, $C$9, 100%, $E$9)</f>
        <v>102.0354</v>
      </c>
      <c r="S970" s="14">
        <f>CHOOSE(CONTROL!$C$42, 98.4196, 98.4196) * CHOOSE(CONTROL!$C$21, $C$9, 100%, $E$9)</f>
        <v>98.419600000000003</v>
      </c>
      <c r="T9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7">
        <f>(1000*CHOOSE(CONTROL!$C$42, 695, 695)*CHOOSE(CONTROL!$C$42, 0.5599, 0.5599)*CHOOSE(CONTROL!$C$42, 31, 31))/1000000</f>
        <v>12.063045499999998</v>
      </c>
      <c r="V970" s="57">
        <f>(1000*CHOOSE(CONTROL!$C$42, 500, 500)*CHOOSE(CONTROL!$C$42, 0.275, 0.275)*CHOOSE(CONTROL!$C$42, 31, 31))/1000000</f>
        <v>4.2625000000000002</v>
      </c>
      <c r="W970" s="57">
        <f>(1000*CHOOSE(CONTROL!$C$42, 0.1146, 0.1146)*CHOOSE(CONTROL!$C$42, 121.5, 121.5)*CHOOSE(CONTROL!$C$42, 31, 31))/1000000</f>
        <v>0.43164089999999994</v>
      </c>
      <c r="X970" s="57">
        <f>(31*0.1790888*245000/1000000)+(31*0.2374*100000/1000000)</f>
        <v>2.0961194359999999</v>
      </c>
      <c r="Y970" s="57"/>
      <c r="Z970" s="14"/>
      <c r="AA970" s="56"/>
      <c r="AB970" s="50">
        <f>(B970*131.881+C970*277.167+D970*79.08+E970*125.872+F970*40+G970*185+H970*0+I970*100+J970*300)/(131.881+277.167+79.08+125.872+0+40+185+100+300)</f>
        <v>102.50624653196125</v>
      </c>
      <c r="AC970" s="45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100.50453309352518</v>
      </c>
    </row>
    <row r="971" spans="1:29" ht="15.75" x14ac:dyDescent="0.25">
      <c r="A971" s="32">
        <v>70463</v>
      </c>
      <c r="B971" s="14">
        <f>CHOOSE(CONTROL!$C$42, 105.1316, 105.1316) * CHOOSE(CONTROL!$C$21, $C$9, 100%, $E$9)</f>
        <v>105.13160000000001</v>
      </c>
      <c r="C971" s="14">
        <f>CHOOSE(CONTROL!$C$42, 105.1367, 105.1367) * CHOOSE(CONTROL!$C$21, $C$9, 100%, $E$9)</f>
        <v>105.1367</v>
      </c>
      <c r="D971" s="14">
        <f>CHOOSE(CONTROL!$C$42, 105.2109, 105.2109) * CHOOSE(CONTROL!$C$21, $C$9, 100%, $E$9)</f>
        <v>105.2109</v>
      </c>
      <c r="E971" s="14">
        <f>CHOOSE(CONTROL!$C$42, 105.245, 105.245) * CHOOSE(CONTROL!$C$21, $C$9, 100%, $E$9)</f>
        <v>105.245</v>
      </c>
      <c r="F971" s="14">
        <f>CHOOSE(CONTROL!$C$42, 105.1437, 105.1437)*CHOOSE(CONTROL!$C$21, $C$9, 100%, $E$9)</f>
        <v>105.1437</v>
      </c>
      <c r="G971" s="14">
        <f>CHOOSE(CONTROL!$C$42, 105.1603, 105.1603)*CHOOSE(CONTROL!$C$21, $C$9, 100%, $E$9)</f>
        <v>105.16030000000001</v>
      </c>
      <c r="H971" s="14">
        <f>CHOOSE(CONTROL!$C$42, 105.2342, 105.2342) * CHOOSE(CONTROL!$C$21, $C$9, 100%, $E$9)</f>
        <v>105.2342</v>
      </c>
      <c r="I971" s="14">
        <f>CHOOSE(CONTROL!$C$42, 105.4852, 105.4852)* CHOOSE(CONTROL!$C$21, $C$9, 100%, $E$9)</f>
        <v>105.48520000000001</v>
      </c>
      <c r="J971" s="14">
        <f>CHOOSE(CONTROL!$C$42, 105.1367, 105.1367)* CHOOSE(CONTROL!$C$21, $C$9, 100%, $E$9)</f>
        <v>105.1367</v>
      </c>
      <c r="K971" s="53">
        <f>CHOOSE(CONTROL!$C$42, 105.4813, 105.4813) * CHOOSE(CONTROL!$C$21, $C$9, 100%, $E$9)</f>
        <v>105.4813</v>
      </c>
      <c r="L971" s="14">
        <f>CHOOSE(CONTROL!$C$42, 105.8212, 105.8212) * CHOOSE(CONTROL!$C$21, $C$9, 100%, $E$9)</f>
        <v>105.8212</v>
      </c>
      <c r="M971" s="14">
        <f>CHOOSE(CONTROL!$C$42, 102.9902, 102.9902) * CHOOSE(CONTROL!$C$21, $C$9, 100%, $E$9)</f>
        <v>102.9902</v>
      </c>
      <c r="N971" s="14">
        <f>CHOOSE(CONTROL!$C$42, 103.0064, 103.0064) * CHOOSE(CONTROL!$C$21, $C$9, 100%, $E$9)</f>
        <v>103.0064</v>
      </c>
      <c r="O971" s="14">
        <f>CHOOSE(CONTROL!$C$42, 103.0857, 103.0857) * CHOOSE(CONTROL!$C$21, $C$9, 100%, $E$9)</f>
        <v>103.0857</v>
      </c>
      <c r="P971" s="14">
        <f>CHOOSE(CONTROL!$C$42, 103.325, 103.325) * CHOOSE(CONTROL!$C$21, $C$9, 100%, $E$9)</f>
        <v>103.325</v>
      </c>
      <c r="Q971" s="14">
        <f>CHOOSE(CONTROL!$C$42, 103.6804, 103.6804) * CHOOSE(CONTROL!$C$21, $C$9, 100%, $E$9)</f>
        <v>103.68040000000001</v>
      </c>
      <c r="R971" s="14">
        <f>CHOOSE(CONTROL!$C$42, 104.5266, 104.5266) * CHOOSE(CONTROL!$C$21, $C$9, 100%, $E$9)</f>
        <v>104.5266</v>
      </c>
      <c r="S971" s="14">
        <f>CHOOSE(CONTROL!$C$42, 101.0124, 101.0124) * CHOOSE(CONTROL!$C$21, $C$9, 100%, $E$9)</f>
        <v>101.0124</v>
      </c>
      <c r="T9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7">
        <f>(1000*CHOOSE(CONTROL!$C$42, 695, 695)*CHOOSE(CONTROL!$C$42, 0.5599, 0.5599)*CHOOSE(CONTROL!$C$42, 30, 30))/1000000</f>
        <v>11.673914999999997</v>
      </c>
      <c r="V971" s="57">
        <f>(1000*CHOOSE(CONTROL!$C$42, 500, 500)*CHOOSE(CONTROL!$C$42, 0.275, 0.275)*CHOOSE(CONTROL!$C$42, 30, 30))/1000000</f>
        <v>4.125</v>
      </c>
      <c r="W971" s="57">
        <f>(1000*CHOOSE(CONTROL!$C$42, 0.1146, 0.1146)*CHOOSE(CONTROL!$C$42, 121.5, 121.5)*CHOOSE(CONTROL!$C$42, 30, 30))/1000000</f>
        <v>0.417717</v>
      </c>
      <c r="X971" s="57">
        <f>(30*0.1790888*100000/1000000)+(30*0.2374*100000/1000000)</f>
        <v>1.2494664</v>
      </c>
      <c r="Y971" s="57"/>
      <c r="Z971" s="14"/>
      <c r="AA971" s="56"/>
      <c r="AB971" s="50">
        <f>(B971*122.58+C971*297.941+D971*89.177+E971*40.302+F971*40+G971*160+H971*0+I971*100+J971*300)/(122.58+297.941+89.177+40.302+0+40+160+100+300)</f>
        <v>105.17953694086957</v>
      </c>
      <c r="AC971" s="45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103.0825892086331</v>
      </c>
    </row>
    <row r="972" spans="1:29" ht="15.75" x14ac:dyDescent="0.25">
      <c r="A972" s="32">
        <v>70494</v>
      </c>
      <c r="B972" s="14">
        <f>CHOOSE(CONTROL!$C$42, 112.2988, 112.2988) * CHOOSE(CONTROL!$C$21, $C$9, 100%, $E$9)</f>
        <v>112.2988</v>
      </c>
      <c r="C972" s="14">
        <f>CHOOSE(CONTROL!$C$42, 112.3039, 112.3039) * CHOOSE(CONTROL!$C$21, $C$9, 100%, $E$9)</f>
        <v>112.3039</v>
      </c>
      <c r="D972" s="14">
        <f>CHOOSE(CONTROL!$C$42, 112.3781, 112.3781) * CHOOSE(CONTROL!$C$21, $C$9, 100%, $E$9)</f>
        <v>112.3781</v>
      </c>
      <c r="E972" s="14">
        <f>CHOOSE(CONTROL!$C$42, 112.4122, 112.4122) * CHOOSE(CONTROL!$C$21, $C$9, 100%, $E$9)</f>
        <v>112.4122</v>
      </c>
      <c r="F972" s="14">
        <f>CHOOSE(CONTROL!$C$42, 112.313, 112.313)*CHOOSE(CONTROL!$C$21, $C$9, 100%, $E$9)</f>
        <v>112.313</v>
      </c>
      <c r="G972" s="14">
        <f>CHOOSE(CONTROL!$C$42, 112.3302, 112.3302)*CHOOSE(CONTROL!$C$21, $C$9, 100%, $E$9)</f>
        <v>112.3302</v>
      </c>
      <c r="H972" s="14">
        <f>CHOOSE(CONTROL!$C$42, 112.4014, 112.4014) * CHOOSE(CONTROL!$C$21, $C$9, 100%, $E$9)</f>
        <v>112.4014</v>
      </c>
      <c r="I972" s="14">
        <f>CHOOSE(CONTROL!$C$42, 112.6748, 112.6748)* CHOOSE(CONTROL!$C$21, $C$9, 100%, $E$9)</f>
        <v>112.6748</v>
      </c>
      <c r="J972" s="14">
        <f>CHOOSE(CONTROL!$C$42, 112.306, 112.306)* CHOOSE(CONTROL!$C$21, $C$9, 100%, $E$9)</f>
        <v>112.306</v>
      </c>
      <c r="K972" s="53">
        <f>CHOOSE(CONTROL!$C$42, 112.6709, 112.6709) * CHOOSE(CONTROL!$C$21, $C$9, 100%, $E$9)</f>
        <v>112.6709</v>
      </c>
      <c r="L972" s="14">
        <f>CHOOSE(CONTROL!$C$42, 112.9884, 112.9884) * CHOOSE(CONTROL!$C$21, $C$9, 100%, $E$9)</f>
        <v>112.9884</v>
      </c>
      <c r="M972" s="14">
        <f>CHOOSE(CONTROL!$C$42, 110.0126, 110.0126) * CHOOSE(CONTROL!$C$21, $C$9, 100%, $E$9)</f>
        <v>110.01260000000001</v>
      </c>
      <c r="N972" s="14">
        <f>CHOOSE(CONTROL!$C$42, 110.0295, 110.0295) * CHOOSE(CONTROL!$C$21, $C$9, 100%, $E$9)</f>
        <v>110.0295</v>
      </c>
      <c r="O972" s="14">
        <f>CHOOSE(CONTROL!$C$42, 110.106, 110.106) * CHOOSE(CONTROL!$C$21, $C$9, 100%, $E$9)</f>
        <v>110.10599999999999</v>
      </c>
      <c r="P972" s="14">
        <f>CHOOSE(CONTROL!$C$42, 110.3669, 110.3669) * CHOOSE(CONTROL!$C$21, $C$9, 100%, $E$9)</f>
        <v>110.3669</v>
      </c>
      <c r="Q972" s="14">
        <f>CHOOSE(CONTROL!$C$42, 110.7007, 110.7007) * CHOOSE(CONTROL!$C$21, $C$9, 100%, $E$9)</f>
        <v>110.7007</v>
      </c>
      <c r="R972" s="14">
        <f>CHOOSE(CONTROL!$C$42, 111.5645, 111.5645) * CHOOSE(CONTROL!$C$21, $C$9, 100%, $E$9)</f>
        <v>111.5645</v>
      </c>
      <c r="S972" s="14">
        <f>CHOOSE(CONTROL!$C$42, 107.8994, 107.8994) * CHOOSE(CONTROL!$C$21, $C$9, 100%, $E$9)</f>
        <v>107.8994</v>
      </c>
      <c r="T9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7">
        <f>(1000*CHOOSE(CONTROL!$C$42, 695, 695)*CHOOSE(CONTROL!$C$42, 0.5599, 0.5599)*CHOOSE(CONTROL!$C$42, 31, 31))/1000000</f>
        <v>12.063045499999998</v>
      </c>
      <c r="V972" s="57">
        <f>(1000*CHOOSE(CONTROL!$C$42, 500, 500)*CHOOSE(CONTROL!$C$42, 0.275, 0.275)*CHOOSE(CONTROL!$C$42, 31, 31))/1000000</f>
        <v>4.2625000000000002</v>
      </c>
      <c r="W972" s="57">
        <f>(1000*CHOOSE(CONTROL!$C$42, 0.1146, 0.1146)*CHOOSE(CONTROL!$C$42, 121.5, 121.5)*CHOOSE(CONTROL!$C$42, 31, 31))/1000000</f>
        <v>0.43164089999999994</v>
      </c>
      <c r="X972" s="57">
        <f>(31*0.1790888*100000/1000000)+(31*0.2374*100000/1000000)</f>
        <v>1.2911152800000001</v>
      </c>
      <c r="Y972" s="57"/>
      <c r="Z972" s="14"/>
      <c r="AA972" s="56"/>
      <c r="AB972" s="50">
        <f>(B972*122.58+C972*297.941+D972*89.177+E972*40.302+F972*40+G972*160+H972*0+I972*100+J972*300)/(122.58+297.941+89.177+40.302+0+40+160+100+300)</f>
        <v>112.34968128869566</v>
      </c>
      <c r="AC972" s="45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110.10688345323742</v>
      </c>
    </row>
    <row r="973" spans="1:29" ht="15.75" x14ac:dyDescent="0.25">
      <c r="A973" s="32">
        <v>70525</v>
      </c>
      <c r="B973" s="14">
        <f>CHOOSE(CONTROL!$C$42, 121.6076, 121.6076) * CHOOSE(CONTROL!$C$21, $C$9, 100%, $E$9)</f>
        <v>121.60760000000001</v>
      </c>
      <c r="C973" s="14">
        <f>CHOOSE(CONTROL!$C$42, 121.6127, 121.6127) * CHOOSE(CONTROL!$C$21, $C$9, 100%, $E$9)</f>
        <v>121.6127</v>
      </c>
      <c r="D973" s="14">
        <f>CHOOSE(CONTROL!$C$42, 121.6895, 121.6895) * CHOOSE(CONTROL!$C$21, $C$9, 100%, $E$9)</f>
        <v>121.6895</v>
      </c>
      <c r="E973" s="14">
        <f>CHOOSE(CONTROL!$C$42, 121.7236, 121.7236) * CHOOSE(CONTROL!$C$21, $C$9, 100%, $E$9)</f>
        <v>121.7236</v>
      </c>
      <c r="F973" s="14">
        <f>CHOOSE(CONTROL!$C$42, 121.6078, 121.6078)*CHOOSE(CONTROL!$C$21, $C$9, 100%, $E$9)</f>
        <v>121.6078</v>
      </c>
      <c r="G973" s="14">
        <f>CHOOSE(CONTROL!$C$42, 121.6241, 121.6241)*CHOOSE(CONTROL!$C$21, $C$9, 100%, $E$9)</f>
        <v>121.6241</v>
      </c>
      <c r="H973" s="14">
        <f>CHOOSE(CONTROL!$C$42, 121.7128, 121.7128) * CHOOSE(CONTROL!$C$21, $C$9, 100%, $E$9)</f>
        <v>121.7128</v>
      </c>
      <c r="I973" s="14">
        <f>CHOOSE(CONTROL!$C$42, 122.0066, 122.0066)* CHOOSE(CONTROL!$C$21, $C$9, 100%, $E$9)</f>
        <v>122.00660000000001</v>
      </c>
      <c r="J973" s="14">
        <f>CHOOSE(CONTROL!$C$42, 121.6008, 121.6008)* CHOOSE(CONTROL!$C$21, $C$9, 100%, $E$9)</f>
        <v>121.60080000000001</v>
      </c>
      <c r="K973" s="53">
        <f>CHOOSE(CONTROL!$C$42, 122.0027, 122.0027) * CHOOSE(CONTROL!$C$21, $C$9, 100%, $E$9)</f>
        <v>122.0027</v>
      </c>
      <c r="L973" s="14">
        <f>CHOOSE(CONTROL!$C$42, 122.2998, 122.2998) * CHOOSE(CONTROL!$C$21, $C$9, 100%, $E$9)</f>
        <v>122.2998</v>
      </c>
      <c r="M973" s="14">
        <f>CHOOSE(CONTROL!$C$42, 119.117, 119.117) * CHOOSE(CONTROL!$C$21, $C$9, 100%, $E$9)</f>
        <v>119.117</v>
      </c>
      <c r="N973" s="14">
        <f>CHOOSE(CONTROL!$C$42, 119.1329, 119.1329) * CHOOSE(CONTROL!$C$21, $C$9, 100%, $E$9)</f>
        <v>119.13290000000001</v>
      </c>
      <c r="O973" s="14">
        <f>CHOOSE(CONTROL!$C$42, 119.2267, 119.2267) * CHOOSE(CONTROL!$C$21, $C$9, 100%, $E$9)</f>
        <v>119.22669999999999</v>
      </c>
      <c r="P973" s="14">
        <f>CHOOSE(CONTROL!$C$42, 119.5068, 119.5068) * CHOOSE(CONTROL!$C$21, $C$9, 100%, $E$9)</f>
        <v>119.5068</v>
      </c>
      <c r="Q973" s="14">
        <f>CHOOSE(CONTROL!$C$42, 119.8214, 119.8214) * CHOOSE(CONTROL!$C$21, $C$9, 100%, $E$9)</f>
        <v>119.8214</v>
      </c>
      <c r="R973" s="14">
        <f>CHOOSE(CONTROL!$C$42, 120.708, 120.708) * CHOOSE(CONTROL!$C$21, $C$9, 100%, $E$9)</f>
        <v>120.708</v>
      </c>
      <c r="S973" s="14">
        <f>CHOOSE(CONTROL!$C$42, 116.8442, 116.8442) * CHOOSE(CONTROL!$C$21, $C$9, 100%, $E$9)</f>
        <v>116.8442</v>
      </c>
      <c r="T9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7">
        <f>(1000*CHOOSE(CONTROL!$C$42, 695, 695)*CHOOSE(CONTROL!$C$42, 0.5599, 0.5599)*CHOOSE(CONTROL!$C$42, 31, 31))/1000000</f>
        <v>12.063045499999998</v>
      </c>
      <c r="V973" s="57">
        <f>(1000*CHOOSE(CONTROL!$C$42, 500, 500)*CHOOSE(CONTROL!$C$42, 0.275, 0.275)*CHOOSE(CONTROL!$C$42, 31, 31))/1000000</f>
        <v>4.2625000000000002</v>
      </c>
      <c r="W973" s="57">
        <f>(1000*CHOOSE(CONTROL!$C$42, 0.1146, 0.1146)*CHOOSE(CONTROL!$C$42, 121.5, 121.5)*CHOOSE(CONTROL!$C$42, 31, 31))/1000000</f>
        <v>0.43164089999999994</v>
      </c>
      <c r="X973" s="57">
        <f>(31*0.1790888*100000/1000000)+(31*0.2374*100000/1000000)</f>
        <v>1.2911152800000001</v>
      </c>
      <c r="Y973" s="57"/>
      <c r="Z973" s="14"/>
      <c r="AA973" s="56"/>
      <c r="AB973" s="50">
        <f>(B973*122.58+C973*297.941+D973*89.177+E973*40.302+F973*40+G973*160+H973*0+I973*100+J973*300)/(122.58+297.941+89.177+40.302+0+40+160+100+300)</f>
        <v>121.65456184991307</v>
      </c>
      <c r="AC973" s="45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119.22372158273382</v>
      </c>
    </row>
    <row r="974" spans="1:29" ht="15.75" x14ac:dyDescent="0.25">
      <c r="A974" s="32">
        <v>70553</v>
      </c>
      <c r="B974" s="14">
        <f>CHOOSE(CONTROL!$C$42, 123.7723, 123.7723) * CHOOSE(CONTROL!$C$21, $C$9, 100%, $E$9)</f>
        <v>123.7723</v>
      </c>
      <c r="C974" s="14">
        <f>CHOOSE(CONTROL!$C$42, 123.7773, 123.7773) * CHOOSE(CONTROL!$C$21, $C$9, 100%, $E$9)</f>
        <v>123.7773</v>
      </c>
      <c r="D974" s="14">
        <f>CHOOSE(CONTROL!$C$42, 123.8541, 123.8541) * CHOOSE(CONTROL!$C$21, $C$9, 100%, $E$9)</f>
        <v>123.8541</v>
      </c>
      <c r="E974" s="14">
        <f>CHOOSE(CONTROL!$C$42, 123.8883, 123.8883) * CHOOSE(CONTROL!$C$21, $C$9, 100%, $E$9)</f>
        <v>123.8883</v>
      </c>
      <c r="F974" s="14">
        <f>CHOOSE(CONTROL!$C$42, 123.7725, 123.7725)*CHOOSE(CONTROL!$C$21, $C$9, 100%, $E$9)</f>
        <v>123.77249999999999</v>
      </c>
      <c r="G974" s="14">
        <f>CHOOSE(CONTROL!$C$42, 123.7888, 123.7888)*CHOOSE(CONTROL!$C$21, $C$9, 100%, $E$9)</f>
        <v>123.78879999999999</v>
      </c>
      <c r="H974" s="14">
        <f>CHOOSE(CONTROL!$C$42, 123.8774, 123.8774) * CHOOSE(CONTROL!$C$21, $C$9, 100%, $E$9)</f>
        <v>123.87739999999999</v>
      </c>
      <c r="I974" s="14">
        <f>CHOOSE(CONTROL!$C$42, 124.178, 124.178)* CHOOSE(CONTROL!$C$21, $C$9, 100%, $E$9)</f>
        <v>124.178</v>
      </c>
      <c r="J974" s="14">
        <f>CHOOSE(CONTROL!$C$42, 123.7655, 123.7655)* CHOOSE(CONTROL!$C$21, $C$9, 100%, $E$9)</f>
        <v>123.7655</v>
      </c>
      <c r="K974" s="53">
        <f>CHOOSE(CONTROL!$C$42, 124.1741, 124.1741) * CHOOSE(CONTROL!$C$21, $C$9, 100%, $E$9)</f>
        <v>124.1741</v>
      </c>
      <c r="L974" s="14">
        <f>CHOOSE(CONTROL!$C$42, 124.4644, 124.4644) * CHOOSE(CONTROL!$C$21, $C$9, 100%, $E$9)</f>
        <v>124.4644</v>
      </c>
      <c r="M974" s="14">
        <f>CHOOSE(CONTROL!$C$42, 121.2373, 121.2373) * CHOOSE(CONTROL!$C$21, $C$9, 100%, $E$9)</f>
        <v>121.2373</v>
      </c>
      <c r="N974" s="14">
        <f>CHOOSE(CONTROL!$C$42, 121.2532, 121.2532) * CHOOSE(CONTROL!$C$21, $C$9, 100%, $E$9)</f>
        <v>121.25320000000001</v>
      </c>
      <c r="O974" s="14">
        <f>CHOOSE(CONTROL!$C$42, 121.347, 121.347) * CHOOSE(CONTROL!$C$21, $C$9, 100%, $E$9)</f>
        <v>121.34699999999999</v>
      </c>
      <c r="P974" s="14">
        <f>CHOOSE(CONTROL!$C$42, 121.6336, 121.6336) * CHOOSE(CONTROL!$C$21, $C$9, 100%, $E$9)</f>
        <v>121.6336</v>
      </c>
      <c r="Q974" s="14">
        <f>CHOOSE(CONTROL!$C$42, 121.9417, 121.9417) * CHOOSE(CONTROL!$C$21, $C$9, 100%, $E$9)</f>
        <v>121.9417</v>
      </c>
      <c r="R974" s="14">
        <f>CHOOSE(CONTROL!$C$42, 122.8335, 122.8335) * CHOOSE(CONTROL!$C$21, $C$9, 100%, $E$9)</f>
        <v>122.8335</v>
      </c>
      <c r="S974" s="14">
        <f>CHOOSE(CONTROL!$C$42, 118.9242, 118.9242) * CHOOSE(CONTROL!$C$21, $C$9, 100%, $E$9)</f>
        <v>118.9242</v>
      </c>
      <c r="T9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7">
        <f>(1000*CHOOSE(CONTROL!$C$42, 695, 695)*CHOOSE(CONTROL!$C$42, 0.5599, 0.5599)*CHOOSE(CONTROL!$C$42, 28, 28))/1000000</f>
        <v>10.895653999999999</v>
      </c>
      <c r="V974" s="57">
        <f>(1000*CHOOSE(CONTROL!$C$42, 500, 500)*CHOOSE(CONTROL!$C$42, 0.275, 0.275)*CHOOSE(CONTROL!$C$42, 28, 28))/1000000</f>
        <v>3.85</v>
      </c>
      <c r="W974" s="57">
        <f>(1000*CHOOSE(CONTROL!$C$42, 0.1146, 0.1146)*CHOOSE(CONTROL!$C$42, 121.5, 121.5)*CHOOSE(CONTROL!$C$42, 28, 28))/1000000</f>
        <v>0.38986920000000003</v>
      </c>
      <c r="X974" s="57">
        <f>(28*0.1790888*100000/1000000)+(28*0.2374*100000/1000000)</f>
        <v>1.16616864</v>
      </c>
      <c r="Y974" s="57"/>
      <c r="Z974" s="14"/>
      <c r="AA974" s="56"/>
      <c r="AB974" s="50">
        <f>(B974*122.58+C974*297.941+D974*89.177+E974*40.302+F974*40+G974*160+H974*0+I974*100+J974*300)/(122.58+297.941+89.177+40.302+0+40+160+100+300)</f>
        <v>123.81981079617391</v>
      </c>
      <c r="AC974" s="45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121.34495683453238</v>
      </c>
    </row>
    <row r="975" spans="1:29" ht="15.75" x14ac:dyDescent="0.25">
      <c r="A975" s="32">
        <v>70584</v>
      </c>
      <c r="B975" s="14">
        <f>CHOOSE(CONTROL!$C$42, 120.2586, 120.2586) * CHOOSE(CONTROL!$C$21, $C$9, 100%, $E$9)</f>
        <v>120.2586</v>
      </c>
      <c r="C975" s="14">
        <f>CHOOSE(CONTROL!$C$42, 120.2636, 120.2636) * CHOOSE(CONTROL!$C$21, $C$9, 100%, $E$9)</f>
        <v>120.2636</v>
      </c>
      <c r="D975" s="14">
        <f>CHOOSE(CONTROL!$C$42, 120.3404, 120.3404) * CHOOSE(CONTROL!$C$21, $C$9, 100%, $E$9)</f>
        <v>120.3404</v>
      </c>
      <c r="E975" s="14">
        <f>CHOOSE(CONTROL!$C$42, 120.3745, 120.3745) * CHOOSE(CONTROL!$C$21, $C$9, 100%, $E$9)</f>
        <v>120.3745</v>
      </c>
      <c r="F975" s="14">
        <f>CHOOSE(CONTROL!$C$42, 120.2583, 120.2583)*CHOOSE(CONTROL!$C$21, $C$9, 100%, $E$9)</f>
        <v>120.25830000000001</v>
      </c>
      <c r="G975" s="14">
        <f>CHOOSE(CONTROL!$C$42, 120.2745, 120.2745)*CHOOSE(CONTROL!$C$21, $C$9, 100%, $E$9)</f>
        <v>120.2745</v>
      </c>
      <c r="H975" s="14">
        <f>CHOOSE(CONTROL!$C$42, 120.3637, 120.3637) * CHOOSE(CONTROL!$C$21, $C$9, 100%, $E$9)</f>
        <v>120.36369999999999</v>
      </c>
      <c r="I975" s="14">
        <f>CHOOSE(CONTROL!$C$42, 120.6532, 120.6532)* CHOOSE(CONTROL!$C$21, $C$9, 100%, $E$9)</f>
        <v>120.6532</v>
      </c>
      <c r="J975" s="14">
        <f>CHOOSE(CONTROL!$C$42, 120.2513, 120.2513)* CHOOSE(CONTROL!$C$21, $C$9, 100%, $E$9)</f>
        <v>120.2513</v>
      </c>
      <c r="K975" s="53">
        <f>CHOOSE(CONTROL!$C$42, 120.6494, 120.6494) * CHOOSE(CONTROL!$C$21, $C$9, 100%, $E$9)</f>
        <v>120.6494</v>
      </c>
      <c r="L975" s="14">
        <f>CHOOSE(CONTROL!$C$42, 120.9507, 120.9507) * CHOOSE(CONTROL!$C$21, $C$9, 100%, $E$9)</f>
        <v>120.9507</v>
      </c>
      <c r="M975" s="14">
        <f>CHOOSE(CONTROL!$C$42, 117.7952, 117.7952) * CHOOSE(CONTROL!$C$21, $C$9, 100%, $E$9)</f>
        <v>117.79519999999999</v>
      </c>
      <c r="N975" s="14">
        <f>CHOOSE(CONTROL!$C$42, 117.811, 117.811) * CHOOSE(CONTROL!$C$21, $C$9, 100%, $E$9)</f>
        <v>117.81100000000001</v>
      </c>
      <c r="O975" s="14">
        <f>CHOOSE(CONTROL!$C$42, 117.9053, 117.9053) * CHOOSE(CONTROL!$C$21, $C$9, 100%, $E$9)</f>
        <v>117.9053</v>
      </c>
      <c r="P975" s="14">
        <f>CHOOSE(CONTROL!$C$42, 118.1813, 118.1813) * CHOOSE(CONTROL!$C$21, $C$9, 100%, $E$9)</f>
        <v>118.18129999999999</v>
      </c>
      <c r="Q975" s="14">
        <f>CHOOSE(CONTROL!$C$42, 118.5, 118.5) * CHOOSE(CONTROL!$C$21, $C$9, 100%, $E$9)</f>
        <v>118.5</v>
      </c>
      <c r="R975" s="14">
        <f>CHOOSE(CONTROL!$C$42, 119.3832, 119.3832) * CHOOSE(CONTROL!$C$21, $C$9, 100%, $E$9)</f>
        <v>119.3832</v>
      </c>
      <c r="S975" s="14">
        <f>CHOOSE(CONTROL!$C$42, 115.5479, 115.5479) * CHOOSE(CONTROL!$C$21, $C$9, 100%, $E$9)</f>
        <v>115.5479</v>
      </c>
      <c r="T9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7">
        <f>(1000*CHOOSE(CONTROL!$C$42, 695, 695)*CHOOSE(CONTROL!$C$42, 0.5599, 0.5599)*CHOOSE(CONTROL!$C$42, 31, 31))/1000000</f>
        <v>12.063045499999998</v>
      </c>
      <c r="V975" s="57">
        <f>(1000*CHOOSE(CONTROL!$C$42, 500, 500)*CHOOSE(CONTROL!$C$42, 0.275, 0.275)*CHOOSE(CONTROL!$C$42, 31, 31))/1000000</f>
        <v>4.2625000000000002</v>
      </c>
      <c r="W975" s="57">
        <f>(1000*CHOOSE(CONTROL!$C$42, 0.1146, 0.1146)*CHOOSE(CONTROL!$C$42, 121.5, 121.5)*CHOOSE(CONTROL!$C$42, 31, 31))/1000000</f>
        <v>0.43164089999999994</v>
      </c>
      <c r="X975" s="57">
        <f>(31*0.1790888*100000/1000000)+(31*0.2374*100000/1000000)</f>
        <v>1.2911152800000001</v>
      </c>
      <c r="Y975" s="57"/>
      <c r="Z975" s="14"/>
      <c r="AA975" s="56"/>
      <c r="AB975" s="50">
        <f>(B975*122.58+C975*297.941+D975*89.177+E975*40.302+F975*40+G975*160+H975*0+I975*100+J975*300)/(122.58+297.941+89.177+40.302+0+40+160+100+300)</f>
        <v>120.30491076991301</v>
      </c>
      <c r="AC975" s="45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117.90156474820144</v>
      </c>
    </row>
    <row r="976" spans="1:29" ht="15.75" x14ac:dyDescent="0.25">
      <c r="A976" s="32">
        <v>70614</v>
      </c>
      <c r="B976" s="14">
        <f>CHOOSE(CONTROL!$C$42, 119.8997, 119.8997) * CHOOSE(CONTROL!$C$21, $C$9, 100%, $E$9)</f>
        <v>119.8997</v>
      </c>
      <c r="C976" s="14">
        <f>CHOOSE(CONTROL!$C$42, 119.9042, 119.9042) * CHOOSE(CONTROL!$C$21, $C$9, 100%, $E$9)</f>
        <v>119.9042</v>
      </c>
      <c r="D976" s="14">
        <f>CHOOSE(CONTROL!$C$42, 120.141, 120.141) * CHOOSE(CONTROL!$C$21, $C$9, 100%, $E$9)</f>
        <v>120.14100000000001</v>
      </c>
      <c r="E976" s="14">
        <f>CHOOSE(CONTROL!$C$42, 120.1731, 120.1731) * CHOOSE(CONTROL!$C$21, $C$9, 100%, $E$9)</f>
        <v>120.17310000000001</v>
      </c>
      <c r="F976" s="14">
        <f>CHOOSE(CONTROL!$C$42, 119.8977, 119.8977)*CHOOSE(CONTROL!$C$21, $C$9, 100%, $E$9)</f>
        <v>119.8977</v>
      </c>
      <c r="G976" s="14">
        <f>CHOOSE(CONTROL!$C$42, 119.9135, 119.9135)*CHOOSE(CONTROL!$C$21, $C$9, 100%, $E$9)</f>
        <v>119.9135</v>
      </c>
      <c r="H976" s="14">
        <f>CHOOSE(CONTROL!$C$42, 120.1629, 120.1629) * CHOOSE(CONTROL!$C$21, $C$9, 100%, $E$9)</f>
        <v>120.16289999999999</v>
      </c>
      <c r="I976" s="14">
        <f>CHOOSE(CONTROL!$C$42, 120.2925, 120.2925)* CHOOSE(CONTROL!$C$21, $C$9, 100%, $E$9)</f>
        <v>120.2925</v>
      </c>
      <c r="J976" s="14">
        <f>CHOOSE(CONTROL!$C$42, 119.8907, 119.8907)* CHOOSE(CONTROL!$C$21, $C$9, 100%, $E$9)</f>
        <v>119.8907</v>
      </c>
      <c r="K976" s="53">
        <f>CHOOSE(CONTROL!$C$42, 120.2886, 120.2886) * CHOOSE(CONTROL!$C$21, $C$9, 100%, $E$9)</f>
        <v>120.2886</v>
      </c>
      <c r="L976" s="14">
        <f>CHOOSE(CONTROL!$C$42, 120.7499, 120.7499) * CHOOSE(CONTROL!$C$21, $C$9, 100%, $E$9)</f>
        <v>120.7499</v>
      </c>
      <c r="M976" s="14">
        <f>CHOOSE(CONTROL!$C$42, 117.4419, 117.4419) * CHOOSE(CONTROL!$C$21, $C$9, 100%, $E$9)</f>
        <v>117.4419</v>
      </c>
      <c r="N976" s="14">
        <f>CHOOSE(CONTROL!$C$42, 117.4574, 117.4574) * CHOOSE(CONTROL!$C$21, $C$9, 100%, $E$9)</f>
        <v>117.45740000000001</v>
      </c>
      <c r="O976" s="14">
        <f>CHOOSE(CONTROL!$C$42, 117.7085, 117.7085) * CHOOSE(CONTROL!$C$21, $C$9, 100%, $E$9)</f>
        <v>117.7085</v>
      </c>
      <c r="P976" s="14">
        <f>CHOOSE(CONTROL!$C$42, 117.828, 117.828) * CHOOSE(CONTROL!$C$21, $C$9, 100%, $E$9)</f>
        <v>117.828</v>
      </c>
      <c r="Q976" s="14">
        <f>CHOOSE(CONTROL!$C$42, 118.3032, 118.3032) * CHOOSE(CONTROL!$C$21, $C$9, 100%, $E$9)</f>
        <v>118.3032</v>
      </c>
      <c r="R976" s="14">
        <f>CHOOSE(CONTROL!$C$42, 119.186, 119.186) * CHOOSE(CONTROL!$C$21, $C$9, 100%, $E$9)</f>
        <v>119.18600000000001</v>
      </c>
      <c r="S976" s="14">
        <f>CHOOSE(CONTROL!$C$42, 115.2024, 115.2024) * CHOOSE(CONTROL!$C$21, $C$9, 100%, $E$9)</f>
        <v>115.2024</v>
      </c>
      <c r="T9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7">
        <f>(1000*CHOOSE(CONTROL!$C$42, 695, 695)*CHOOSE(CONTROL!$C$42, 0.5599, 0.5599)*CHOOSE(CONTROL!$C$42, 30, 30))/1000000</f>
        <v>11.673914999999997</v>
      </c>
      <c r="V976" s="57">
        <f>(1000*CHOOSE(CONTROL!$C$42, 500, 500)*CHOOSE(CONTROL!$C$42, 0.275, 0.275)*CHOOSE(CONTROL!$C$42, 30, 30))/1000000</f>
        <v>4.125</v>
      </c>
      <c r="W976" s="57">
        <f>(1000*CHOOSE(CONTROL!$C$42, 0.1146, 0.1146)*CHOOSE(CONTROL!$C$42, 121.5, 121.5)*CHOOSE(CONTROL!$C$42, 30, 30))/1000000</f>
        <v>0.417717</v>
      </c>
      <c r="X976" s="57">
        <f>(30*0.1790888*245000/1000000)+(30*0.2374*100000/1000000)</f>
        <v>2.0285026799999999</v>
      </c>
      <c r="Y976" s="57"/>
      <c r="Z976" s="14"/>
      <c r="AA976" s="56"/>
      <c r="AB976" s="50">
        <f>(B976*141.293+C976*267.993+D976*115.016+E976*89.698+F976*40+G976*185+H976*0+I976*100+J976*300)/(141.293+267.993+115.016+89.698+0+40+185+100+300)</f>
        <v>119.97438584543987</v>
      </c>
      <c r="AC976" s="45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117.61917913669066</v>
      </c>
    </row>
    <row r="977" spans="1:29" ht="15.75" x14ac:dyDescent="0.25">
      <c r="A977" s="32">
        <v>70645</v>
      </c>
      <c r="B977" s="14">
        <f>CHOOSE(CONTROL!$C$42, 120.9593, 120.9593) * CHOOSE(CONTROL!$C$21, $C$9, 100%, $E$9)</f>
        <v>120.9593</v>
      </c>
      <c r="C977" s="14">
        <f>CHOOSE(CONTROL!$C$42, 120.9673, 120.9673) * CHOOSE(CONTROL!$C$21, $C$9, 100%, $E$9)</f>
        <v>120.96729999999999</v>
      </c>
      <c r="D977" s="14">
        <f>CHOOSE(CONTROL!$C$42, 121.2009, 121.2009) * CHOOSE(CONTROL!$C$21, $C$9, 100%, $E$9)</f>
        <v>121.2009</v>
      </c>
      <c r="E977" s="14">
        <f>CHOOSE(CONTROL!$C$42, 121.2324, 121.2324) * CHOOSE(CONTROL!$C$21, $C$9, 100%, $E$9)</f>
        <v>121.2324</v>
      </c>
      <c r="F977" s="14">
        <f>CHOOSE(CONTROL!$C$42, 120.9561, 120.9561)*CHOOSE(CONTROL!$C$21, $C$9, 100%, $E$9)</f>
        <v>120.95610000000001</v>
      </c>
      <c r="G977" s="14">
        <f>CHOOSE(CONTROL!$C$42, 120.9724, 120.9724)*CHOOSE(CONTROL!$C$21, $C$9, 100%, $E$9)</f>
        <v>120.97239999999999</v>
      </c>
      <c r="H977" s="14">
        <f>CHOOSE(CONTROL!$C$42, 121.221, 121.221) * CHOOSE(CONTROL!$C$21, $C$9, 100%, $E$9)</f>
        <v>121.221</v>
      </c>
      <c r="I977" s="14">
        <f>CHOOSE(CONTROL!$C$42, 121.354, 121.354)* CHOOSE(CONTROL!$C$21, $C$9, 100%, $E$9)</f>
        <v>121.354</v>
      </c>
      <c r="J977" s="14">
        <f>CHOOSE(CONTROL!$C$42, 120.9491, 120.9491)* CHOOSE(CONTROL!$C$21, $C$9, 100%, $E$9)</f>
        <v>120.9491</v>
      </c>
      <c r="K977" s="53">
        <f>CHOOSE(CONTROL!$C$42, 121.3501, 121.3501) * CHOOSE(CONTROL!$C$21, $C$9, 100%, $E$9)</f>
        <v>121.3501</v>
      </c>
      <c r="L977" s="14">
        <f>CHOOSE(CONTROL!$C$42, 121.808, 121.808) * CHOOSE(CONTROL!$C$21, $C$9, 100%, $E$9)</f>
        <v>121.80800000000001</v>
      </c>
      <c r="M977" s="14">
        <f>CHOOSE(CONTROL!$C$42, 118.4786, 118.4786) * CHOOSE(CONTROL!$C$21, $C$9, 100%, $E$9)</f>
        <v>118.4786</v>
      </c>
      <c r="N977" s="14">
        <f>CHOOSE(CONTROL!$C$42, 118.4946, 118.4946) * CHOOSE(CONTROL!$C$21, $C$9, 100%, $E$9)</f>
        <v>118.49460000000001</v>
      </c>
      <c r="O977" s="14">
        <f>CHOOSE(CONTROL!$C$42, 118.745, 118.745) * CHOOSE(CONTROL!$C$21, $C$9, 100%, $E$9)</f>
        <v>118.745</v>
      </c>
      <c r="P977" s="14">
        <f>CHOOSE(CONTROL!$C$42, 118.8677, 118.8677) * CHOOSE(CONTROL!$C$21, $C$9, 100%, $E$9)</f>
        <v>118.8677</v>
      </c>
      <c r="Q977" s="14">
        <f>CHOOSE(CONTROL!$C$42, 119.3397, 119.3397) * CHOOSE(CONTROL!$C$21, $C$9, 100%, $E$9)</f>
        <v>119.33969999999999</v>
      </c>
      <c r="R977" s="14">
        <f>CHOOSE(CONTROL!$C$42, 120.225, 120.225) * CHOOSE(CONTROL!$C$21, $C$9, 100%, $E$9)</f>
        <v>120.22499999999999</v>
      </c>
      <c r="S977" s="14">
        <f>CHOOSE(CONTROL!$C$42, 116.2192, 116.2192) * CHOOSE(CONTROL!$C$21, $C$9, 100%, $E$9)</f>
        <v>116.2192</v>
      </c>
      <c r="T9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7">
        <f>(1000*CHOOSE(CONTROL!$C$42, 695, 695)*CHOOSE(CONTROL!$C$42, 0.5599, 0.5599)*CHOOSE(CONTROL!$C$42, 31, 31))/1000000</f>
        <v>12.063045499999998</v>
      </c>
      <c r="V977" s="57">
        <f>(1000*CHOOSE(CONTROL!$C$42, 500, 500)*CHOOSE(CONTROL!$C$42, 0.275, 0.275)*CHOOSE(CONTROL!$C$42, 31, 31))/1000000</f>
        <v>4.2625000000000002</v>
      </c>
      <c r="W977" s="57">
        <f>(1000*CHOOSE(CONTROL!$C$42, 0.1146, 0.1146)*CHOOSE(CONTROL!$C$42, 121.5, 121.5)*CHOOSE(CONTROL!$C$42, 31, 31))/1000000</f>
        <v>0.43164089999999994</v>
      </c>
      <c r="X977" s="57">
        <f>(31*0.1790888*245000/1000000)+(31*0.2374*100000/1000000)</f>
        <v>2.0961194359999999</v>
      </c>
      <c r="Y977" s="57"/>
      <c r="Z977" s="14"/>
      <c r="AA977" s="56"/>
      <c r="AB977" s="50">
        <f>(B977*194.205+C977*267.466+D977*133.845+E977*53.484+F977*40+G977*185+H977*0+I977*100+J977*300)/(194.205+267.466+133.845+53.484+0+40+185+100+300)</f>
        <v>121.02820789670329</v>
      </c>
      <c r="AC977" s="45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118.65624892086332</v>
      </c>
    </row>
    <row r="978" spans="1:29" ht="15.75" x14ac:dyDescent="0.25">
      <c r="A978" s="32">
        <v>70675</v>
      </c>
      <c r="B978" s="14">
        <f>CHOOSE(CONTROL!$C$42, 124.3901, 124.3901) * CHOOSE(CONTROL!$C$21, $C$9, 100%, $E$9)</f>
        <v>124.3901</v>
      </c>
      <c r="C978" s="14">
        <f>CHOOSE(CONTROL!$C$42, 124.3982, 124.3982) * CHOOSE(CONTROL!$C$21, $C$9, 100%, $E$9)</f>
        <v>124.3982</v>
      </c>
      <c r="D978" s="14">
        <f>CHOOSE(CONTROL!$C$42, 124.6318, 124.6318) * CHOOSE(CONTROL!$C$21, $C$9, 100%, $E$9)</f>
        <v>124.6318</v>
      </c>
      <c r="E978" s="14">
        <f>CHOOSE(CONTROL!$C$42, 124.6632, 124.6632) * CHOOSE(CONTROL!$C$21, $C$9, 100%, $E$9)</f>
        <v>124.6632</v>
      </c>
      <c r="F978" s="14">
        <f>CHOOSE(CONTROL!$C$42, 124.3874, 124.3874)*CHOOSE(CONTROL!$C$21, $C$9, 100%, $E$9)</f>
        <v>124.3874</v>
      </c>
      <c r="G978" s="14">
        <f>CHOOSE(CONTROL!$C$42, 124.4039, 124.4039)*CHOOSE(CONTROL!$C$21, $C$9, 100%, $E$9)</f>
        <v>124.40389999999999</v>
      </c>
      <c r="H978" s="14">
        <f>CHOOSE(CONTROL!$C$42, 124.6518, 124.6518) * CHOOSE(CONTROL!$C$21, $C$9, 100%, $E$9)</f>
        <v>124.65179999999999</v>
      </c>
      <c r="I978" s="14">
        <f>CHOOSE(CONTROL!$C$42, 124.7956, 124.7956)* CHOOSE(CONTROL!$C$21, $C$9, 100%, $E$9)</f>
        <v>124.79559999999999</v>
      </c>
      <c r="J978" s="14">
        <f>CHOOSE(CONTROL!$C$42, 124.3804, 124.3804)* CHOOSE(CONTROL!$C$21, $C$9, 100%, $E$9)</f>
        <v>124.38039999999999</v>
      </c>
      <c r="K978" s="53">
        <f>CHOOSE(CONTROL!$C$42, 124.7917, 124.7917) * CHOOSE(CONTROL!$C$21, $C$9, 100%, $E$9)</f>
        <v>124.79170000000001</v>
      </c>
      <c r="L978" s="14">
        <f>CHOOSE(CONTROL!$C$42, 125.2388, 125.2388) * CHOOSE(CONTROL!$C$21, $C$9, 100%, $E$9)</f>
        <v>125.2388</v>
      </c>
      <c r="M978" s="14">
        <f>CHOOSE(CONTROL!$C$42, 121.8396, 121.8396) * CHOOSE(CONTROL!$C$21, $C$9, 100%, $E$9)</f>
        <v>121.8396</v>
      </c>
      <c r="N978" s="14">
        <f>CHOOSE(CONTROL!$C$42, 121.8557, 121.8557) * CHOOSE(CONTROL!$C$21, $C$9, 100%, $E$9)</f>
        <v>121.8557</v>
      </c>
      <c r="O978" s="14">
        <f>CHOOSE(CONTROL!$C$42, 122.1055, 122.1055) * CHOOSE(CONTROL!$C$21, $C$9, 100%, $E$9)</f>
        <v>122.10550000000001</v>
      </c>
      <c r="P978" s="14">
        <f>CHOOSE(CONTROL!$C$42, 122.2385, 122.2385) * CHOOSE(CONTROL!$C$21, $C$9, 100%, $E$9)</f>
        <v>122.2385</v>
      </c>
      <c r="Q978" s="14">
        <f>CHOOSE(CONTROL!$C$42, 122.7002, 122.7002) * CHOOSE(CONTROL!$C$21, $C$9, 100%, $E$9)</f>
        <v>122.7002</v>
      </c>
      <c r="R978" s="14">
        <f>CHOOSE(CONTROL!$C$42, 123.594, 123.594) * CHOOSE(CONTROL!$C$21, $C$9, 100%, $E$9)</f>
        <v>123.59399999999999</v>
      </c>
      <c r="S978" s="14">
        <f>CHOOSE(CONTROL!$C$42, 119.5158, 119.5158) * CHOOSE(CONTROL!$C$21, $C$9, 100%, $E$9)</f>
        <v>119.5158</v>
      </c>
      <c r="T9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7">
        <f>(1000*CHOOSE(CONTROL!$C$42, 695, 695)*CHOOSE(CONTROL!$C$42, 0.5599, 0.5599)*CHOOSE(CONTROL!$C$42, 30, 30))/1000000</f>
        <v>11.673914999999997</v>
      </c>
      <c r="V978" s="57">
        <f>(1000*CHOOSE(CONTROL!$C$42, 500, 500)*CHOOSE(CONTROL!$C$42, 0.275, 0.275)*CHOOSE(CONTROL!$C$42, 30, 30))/1000000</f>
        <v>4.125</v>
      </c>
      <c r="W978" s="57">
        <f>(1000*CHOOSE(CONTROL!$C$42, 0.1146, 0.1146)*CHOOSE(CONTROL!$C$42, 121.5, 121.5)*CHOOSE(CONTROL!$C$42, 30, 30))/1000000</f>
        <v>0.417717</v>
      </c>
      <c r="X978" s="57">
        <f>(30*0.1790888*245000/1000000)+(30*0.2374*100000/1000000)</f>
        <v>2.0285026799999999</v>
      </c>
      <c r="Y978" s="57"/>
      <c r="Z978" s="14"/>
      <c r="AA978" s="56"/>
      <c r="AB978" s="50">
        <f>(B978*194.205+C978*267.466+D978*133.845+E978*53.484+F978*40+G978*185+H978*0+I978*100+J978*300)/(194.205+267.466+133.845+53.484+0+40+185+100+300)</f>
        <v>124.46012220682888</v>
      </c>
      <c r="AC978" s="45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122.01843812949642</v>
      </c>
    </row>
    <row r="979" spans="1:29" ht="15.75" x14ac:dyDescent="0.25">
      <c r="A979" s="32">
        <v>70706</v>
      </c>
      <c r="B979" s="14">
        <f>CHOOSE(CONTROL!$C$42, 122.004, 122.004) * CHOOSE(CONTROL!$C$21, $C$9, 100%, $E$9)</f>
        <v>122.004</v>
      </c>
      <c r="C979" s="14">
        <f>CHOOSE(CONTROL!$C$42, 122.012, 122.012) * CHOOSE(CONTROL!$C$21, $C$9, 100%, $E$9)</f>
        <v>122.012</v>
      </c>
      <c r="D979" s="14">
        <f>CHOOSE(CONTROL!$C$42, 122.2456, 122.2456) * CHOOSE(CONTROL!$C$21, $C$9, 100%, $E$9)</f>
        <v>122.2456</v>
      </c>
      <c r="E979" s="14">
        <f>CHOOSE(CONTROL!$C$42, 122.277, 122.277) * CHOOSE(CONTROL!$C$21, $C$9, 100%, $E$9)</f>
        <v>122.277</v>
      </c>
      <c r="F979" s="14">
        <f>CHOOSE(CONTROL!$C$42, 122.0017, 122.0017)*CHOOSE(CONTROL!$C$21, $C$9, 100%, $E$9)</f>
        <v>122.0017</v>
      </c>
      <c r="G979" s="14">
        <f>CHOOSE(CONTROL!$C$42, 122.0184, 122.0184)*CHOOSE(CONTROL!$C$21, $C$9, 100%, $E$9)</f>
        <v>122.0184</v>
      </c>
      <c r="H979" s="14">
        <f>CHOOSE(CONTROL!$C$42, 122.2657, 122.2657) * CHOOSE(CONTROL!$C$21, $C$9, 100%, $E$9)</f>
        <v>122.2657</v>
      </c>
      <c r="I979" s="14">
        <f>CHOOSE(CONTROL!$C$42, 122.4019, 122.4019)* CHOOSE(CONTROL!$C$21, $C$9, 100%, $E$9)</f>
        <v>122.4019</v>
      </c>
      <c r="J979" s="14">
        <f>CHOOSE(CONTROL!$C$42, 121.9947, 121.9947)* CHOOSE(CONTROL!$C$21, $C$9, 100%, $E$9)</f>
        <v>121.99469999999999</v>
      </c>
      <c r="K979" s="53">
        <f>CHOOSE(CONTROL!$C$42, 122.3981, 122.3981) * CHOOSE(CONTROL!$C$21, $C$9, 100%, $E$9)</f>
        <v>122.3981</v>
      </c>
      <c r="L979" s="14">
        <f>CHOOSE(CONTROL!$C$42, 122.8527, 122.8527) * CHOOSE(CONTROL!$C$21, $C$9, 100%, $E$9)</f>
        <v>122.8527</v>
      </c>
      <c r="M979" s="14">
        <f>CHOOSE(CONTROL!$C$42, 119.5028, 119.5028) * CHOOSE(CONTROL!$C$21, $C$9, 100%, $E$9)</f>
        <v>119.50279999999999</v>
      </c>
      <c r="N979" s="14">
        <f>CHOOSE(CONTROL!$C$42, 119.5191, 119.5191) * CHOOSE(CONTROL!$C$21, $C$9, 100%, $E$9)</f>
        <v>119.51909999999999</v>
      </c>
      <c r="O979" s="14">
        <f>CHOOSE(CONTROL!$C$42, 119.7682, 119.7682) * CHOOSE(CONTROL!$C$21, $C$9, 100%, $E$9)</f>
        <v>119.76819999999999</v>
      </c>
      <c r="P979" s="14">
        <f>CHOOSE(CONTROL!$C$42, 119.8941, 119.8941) * CHOOSE(CONTROL!$C$21, $C$9, 100%, $E$9)</f>
        <v>119.89409999999999</v>
      </c>
      <c r="Q979" s="14">
        <f>CHOOSE(CONTROL!$C$42, 120.3629, 120.3629) * CHOOSE(CONTROL!$C$21, $C$9, 100%, $E$9)</f>
        <v>120.3629</v>
      </c>
      <c r="R979" s="14">
        <f>CHOOSE(CONTROL!$C$42, 121.2508, 121.2508) * CHOOSE(CONTROL!$C$21, $C$9, 100%, $E$9)</f>
        <v>121.2508</v>
      </c>
      <c r="S979" s="14">
        <f>CHOOSE(CONTROL!$C$42, 117.223, 117.223) * CHOOSE(CONTROL!$C$21, $C$9, 100%, $E$9)</f>
        <v>117.223</v>
      </c>
      <c r="T9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7">
        <f>(1000*CHOOSE(CONTROL!$C$42, 695, 695)*CHOOSE(CONTROL!$C$42, 0.5599, 0.5599)*CHOOSE(CONTROL!$C$42, 31, 31))/1000000</f>
        <v>12.063045499999998</v>
      </c>
      <c r="V979" s="57">
        <f>(1000*CHOOSE(CONTROL!$C$42, 500, 500)*CHOOSE(CONTROL!$C$42, 0.275, 0.275)*CHOOSE(CONTROL!$C$42, 31, 31))/1000000</f>
        <v>4.2625000000000002</v>
      </c>
      <c r="W979" s="57">
        <f>(1000*CHOOSE(CONTROL!$C$42, 0.1146, 0.1146)*CHOOSE(CONTROL!$C$42, 121.5, 121.5)*CHOOSE(CONTROL!$C$42, 31, 31))/1000000</f>
        <v>0.43164089999999994</v>
      </c>
      <c r="X979" s="57">
        <f>(31*0.1790888*245000/1000000)+(31*0.2374*100000/1000000)</f>
        <v>2.0961194359999999</v>
      </c>
      <c r="Y979" s="57"/>
      <c r="Z979" s="14"/>
      <c r="AA979" s="56"/>
      <c r="AB979" s="50">
        <f>(B979*194.205+C979*267.466+D979*133.845+E979*53.484+F979*40+G979*185+H979*0+I979*100+J979*300)/(194.205+267.466+133.845+53.484+0+40+185+100+300)</f>
        <v>122.07358383987442</v>
      </c>
      <c r="AC979" s="45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119.68032949640288</v>
      </c>
    </row>
    <row r="980" spans="1:29" ht="15.75" x14ac:dyDescent="0.25">
      <c r="A980" s="32">
        <v>70737</v>
      </c>
      <c r="B980" s="14">
        <f>CHOOSE(CONTROL!$C$42, 115.9781, 115.9781) * CHOOSE(CONTROL!$C$21, $C$9, 100%, $E$9)</f>
        <v>115.9781</v>
      </c>
      <c r="C980" s="14">
        <f>CHOOSE(CONTROL!$C$42, 115.9862, 115.9862) * CHOOSE(CONTROL!$C$21, $C$9, 100%, $E$9)</f>
        <v>115.9862</v>
      </c>
      <c r="D980" s="14">
        <f>CHOOSE(CONTROL!$C$42, 116.2198, 116.2198) * CHOOSE(CONTROL!$C$21, $C$9, 100%, $E$9)</f>
        <v>116.21980000000001</v>
      </c>
      <c r="E980" s="14">
        <f>CHOOSE(CONTROL!$C$42, 116.2512, 116.2512) * CHOOSE(CONTROL!$C$21, $C$9, 100%, $E$9)</f>
        <v>116.2512</v>
      </c>
      <c r="F980" s="14">
        <f>CHOOSE(CONTROL!$C$42, 115.9761, 115.9761)*CHOOSE(CONTROL!$C$21, $C$9, 100%, $E$9)</f>
        <v>115.9761</v>
      </c>
      <c r="G980" s="14">
        <f>CHOOSE(CONTROL!$C$42, 115.9928, 115.9928)*CHOOSE(CONTROL!$C$21, $C$9, 100%, $E$9)</f>
        <v>115.9928</v>
      </c>
      <c r="H980" s="14">
        <f>CHOOSE(CONTROL!$C$42, 116.2399, 116.2399) * CHOOSE(CONTROL!$C$21, $C$9, 100%, $E$9)</f>
        <v>116.23990000000001</v>
      </c>
      <c r="I980" s="14">
        <f>CHOOSE(CONTROL!$C$42, 116.3572, 116.3572)* CHOOSE(CONTROL!$C$21, $C$9, 100%, $E$9)</f>
        <v>116.35720000000001</v>
      </c>
      <c r="J980" s="14">
        <f>CHOOSE(CONTROL!$C$42, 115.9691, 115.9691)* CHOOSE(CONTROL!$C$21, $C$9, 100%, $E$9)</f>
        <v>115.9691</v>
      </c>
      <c r="K980" s="53">
        <f>CHOOSE(CONTROL!$C$42, 116.3534, 116.3534) * CHOOSE(CONTROL!$C$21, $C$9, 100%, $E$9)</f>
        <v>116.35339999999999</v>
      </c>
      <c r="L980" s="14">
        <f>CHOOSE(CONTROL!$C$42, 116.8269, 116.8269) * CHOOSE(CONTROL!$C$21, $C$9, 100%, $E$9)</f>
        <v>116.82689999999999</v>
      </c>
      <c r="M980" s="14">
        <f>CHOOSE(CONTROL!$C$42, 113.6007, 113.6007) * CHOOSE(CONTROL!$C$21, $C$9, 100%, $E$9)</f>
        <v>113.6007</v>
      </c>
      <c r="N980" s="14">
        <f>CHOOSE(CONTROL!$C$42, 113.617, 113.617) * CHOOSE(CONTROL!$C$21, $C$9, 100%, $E$9)</f>
        <v>113.617</v>
      </c>
      <c r="O980" s="14">
        <f>CHOOSE(CONTROL!$C$42, 113.8659, 113.8659) * CHOOSE(CONTROL!$C$21, $C$9, 100%, $E$9)</f>
        <v>113.8659</v>
      </c>
      <c r="P980" s="14">
        <f>CHOOSE(CONTROL!$C$42, 113.9736, 113.9736) * CHOOSE(CONTROL!$C$21, $C$9, 100%, $E$9)</f>
        <v>113.9736</v>
      </c>
      <c r="Q980" s="14">
        <f>CHOOSE(CONTROL!$C$42, 114.4606, 114.4606) * CHOOSE(CONTROL!$C$21, $C$9, 100%, $E$9)</f>
        <v>114.4606</v>
      </c>
      <c r="R980" s="14">
        <f>CHOOSE(CONTROL!$C$42, 115.3337, 115.3337) * CHOOSE(CONTROL!$C$21, $C$9, 100%, $E$9)</f>
        <v>115.33369999999999</v>
      </c>
      <c r="S980" s="14">
        <f>CHOOSE(CONTROL!$C$42, 111.4328, 111.4328) * CHOOSE(CONTROL!$C$21, $C$9, 100%, $E$9)</f>
        <v>111.4328</v>
      </c>
      <c r="T9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7">
        <f>(1000*CHOOSE(CONTROL!$C$42, 695, 695)*CHOOSE(CONTROL!$C$42, 0.5599, 0.5599)*CHOOSE(CONTROL!$C$42, 31, 31))/1000000</f>
        <v>12.063045499999998</v>
      </c>
      <c r="V980" s="57">
        <f>(1000*CHOOSE(CONTROL!$C$42, 500, 500)*CHOOSE(CONTROL!$C$42, 0.275, 0.275)*CHOOSE(CONTROL!$C$42, 31, 31))/1000000</f>
        <v>4.2625000000000002</v>
      </c>
      <c r="W980" s="57">
        <f>(1000*CHOOSE(CONTROL!$C$42, 0.1146, 0.1146)*CHOOSE(CONTROL!$C$42, 121.5, 121.5)*CHOOSE(CONTROL!$C$42, 31, 31))/1000000</f>
        <v>0.43164089999999994</v>
      </c>
      <c r="X980" s="57">
        <f>(31*0.1790888*245000/1000000)+(31*0.2374*100000/1000000)</f>
        <v>2.0961194359999999</v>
      </c>
      <c r="Y980" s="57"/>
      <c r="Z980" s="14"/>
      <c r="AA980" s="56"/>
      <c r="AB980" s="50">
        <f>(B980*194.205+C980*267.466+D980*133.845+E980*53.484+F980*40+G980*185+H980*0+I980*100+J980*300)/(194.205+267.466+133.845+53.484+0+40+185+100+300)</f>
        <v>116.04636749725273</v>
      </c>
      <c r="AC980" s="45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113.77549136690646</v>
      </c>
    </row>
    <row r="981" spans="1:29" ht="15.75" x14ac:dyDescent="0.25">
      <c r="A981" s="32">
        <v>70767</v>
      </c>
      <c r="B981" s="14">
        <f>CHOOSE(CONTROL!$C$42, 108.6153, 108.6153) * CHOOSE(CONTROL!$C$21, $C$9, 100%, $E$9)</f>
        <v>108.6153</v>
      </c>
      <c r="C981" s="14">
        <f>CHOOSE(CONTROL!$C$42, 108.6233, 108.6233) * CHOOSE(CONTROL!$C$21, $C$9, 100%, $E$9)</f>
        <v>108.6233</v>
      </c>
      <c r="D981" s="14">
        <f>CHOOSE(CONTROL!$C$42, 108.8569, 108.8569) * CHOOSE(CONTROL!$C$21, $C$9, 100%, $E$9)</f>
        <v>108.8569</v>
      </c>
      <c r="E981" s="14">
        <f>CHOOSE(CONTROL!$C$42, 108.8883, 108.8883) * CHOOSE(CONTROL!$C$21, $C$9, 100%, $E$9)</f>
        <v>108.8883</v>
      </c>
      <c r="F981" s="14">
        <f>CHOOSE(CONTROL!$C$42, 108.6133, 108.6133)*CHOOSE(CONTROL!$C$21, $C$9, 100%, $E$9)</f>
        <v>108.6133</v>
      </c>
      <c r="G981" s="14">
        <f>CHOOSE(CONTROL!$C$42, 108.6299, 108.6299)*CHOOSE(CONTROL!$C$21, $C$9, 100%, $E$9)</f>
        <v>108.62990000000001</v>
      </c>
      <c r="H981" s="14">
        <f>CHOOSE(CONTROL!$C$42, 108.877, 108.877) * CHOOSE(CONTROL!$C$21, $C$9, 100%, $E$9)</f>
        <v>108.877</v>
      </c>
      <c r="I981" s="14">
        <f>CHOOSE(CONTROL!$C$42, 108.9713, 108.9713)* CHOOSE(CONTROL!$C$21, $C$9, 100%, $E$9)</f>
        <v>108.9713</v>
      </c>
      <c r="J981" s="14">
        <f>CHOOSE(CONTROL!$C$42, 108.6063, 108.6063)* CHOOSE(CONTROL!$C$21, $C$9, 100%, $E$9)</f>
        <v>108.6063</v>
      </c>
      <c r="K981" s="53">
        <f>CHOOSE(CONTROL!$C$42, 108.9674, 108.9674) * CHOOSE(CONTROL!$C$21, $C$9, 100%, $E$9)</f>
        <v>108.9674</v>
      </c>
      <c r="L981" s="14">
        <f>CHOOSE(CONTROL!$C$42, 109.464, 109.464) * CHOOSE(CONTROL!$C$21, $C$9, 100%, $E$9)</f>
        <v>109.464</v>
      </c>
      <c r="M981" s="14">
        <f>CHOOSE(CONTROL!$C$42, 106.3887, 106.3887) * CHOOSE(CONTROL!$C$21, $C$9, 100%, $E$9)</f>
        <v>106.3887</v>
      </c>
      <c r="N981" s="14">
        <f>CHOOSE(CONTROL!$C$42, 106.405, 106.405) * CHOOSE(CONTROL!$C$21, $C$9, 100%, $E$9)</f>
        <v>106.405</v>
      </c>
      <c r="O981" s="14">
        <f>CHOOSE(CONTROL!$C$42, 106.6539, 106.6539) * CHOOSE(CONTROL!$C$21, $C$9, 100%, $E$9)</f>
        <v>106.65389999999999</v>
      </c>
      <c r="P981" s="14">
        <f>CHOOSE(CONTROL!$C$42, 106.7395, 106.7395) * CHOOSE(CONTROL!$C$21, $C$9, 100%, $E$9)</f>
        <v>106.73950000000001</v>
      </c>
      <c r="Q981" s="14">
        <f>CHOOSE(CONTROL!$C$42, 107.2486, 107.2486) * CHOOSE(CONTROL!$C$21, $C$9, 100%, $E$9)</f>
        <v>107.2486</v>
      </c>
      <c r="R981" s="14">
        <f>CHOOSE(CONTROL!$C$42, 108.1037, 108.1037) * CHOOSE(CONTROL!$C$21, $C$9, 100%, $E$9)</f>
        <v>108.1037</v>
      </c>
      <c r="S981" s="14">
        <f>CHOOSE(CONTROL!$C$42, 104.3578, 104.3578) * CHOOSE(CONTROL!$C$21, $C$9, 100%, $E$9)</f>
        <v>104.3578</v>
      </c>
      <c r="T9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7">
        <f>(1000*CHOOSE(CONTROL!$C$42, 695, 695)*CHOOSE(CONTROL!$C$42, 0.5599, 0.5599)*CHOOSE(CONTROL!$C$42, 30, 30))/1000000</f>
        <v>11.673914999999997</v>
      </c>
      <c r="V981" s="57">
        <f>(1000*CHOOSE(CONTROL!$C$42, 500, 500)*CHOOSE(CONTROL!$C$42, 0.275, 0.275)*CHOOSE(CONTROL!$C$42, 30, 30))/1000000</f>
        <v>4.125</v>
      </c>
      <c r="W981" s="57">
        <f>(1000*CHOOSE(CONTROL!$C$42, 0.1146, 0.1146)*CHOOSE(CONTROL!$C$42, 121.5, 121.5)*CHOOSE(CONTROL!$C$42, 30, 30))/1000000</f>
        <v>0.417717</v>
      </c>
      <c r="X981" s="57">
        <f>(30*0.1790888*245000/1000000)+(30*0.2374*100000/1000000)</f>
        <v>2.0285026799999999</v>
      </c>
      <c r="Y981" s="57"/>
      <c r="Z981" s="14"/>
      <c r="AA981" s="56"/>
      <c r="AB981" s="50">
        <f>(B981*194.205+C981*267.466+D981*133.845+E981*53.484+F981*40+G981*185+H981*0+I981*100+J981*300)/(194.205+267.466+133.845+53.484+0+40+185+100+300)</f>
        <v>108.68170409105181</v>
      </c>
      <c r="AC981" s="45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106.56031151079135</v>
      </c>
    </row>
    <row r="982" spans="1:29" ht="15.75" x14ac:dyDescent="0.25">
      <c r="A982" s="32">
        <v>70798</v>
      </c>
      <c r="B982" s="14">
        <f>CHOOSE(CONTROL!$C$42, 106.4084, 106.4084) * CHOOSE(CONTROL!$C$21, $C$9, 100%, $E$9)</f>
        <v>106.4084</v>
      </c>
      <c r="C982" s="14">
        <f>CHOOSE(CONTROL!$C$42, 106.4137, 106.4137) * CHOOSE(CONTROL!$C$21, $C$9, 100%, $E$9)</f>
        <v>106.41370000000001</v>
      </c>
      <c r="D982" s="14">
        <f>CHOOSE(CONTROL!$C$42, 106.6523, 106.6523) * CHOOSE(CONTROL!$C$21, $C$9, 100%, $E$9)</f>
        <v>106.6523</v>
      </c>
      <c r="E982" s="14">
        <f>CHOOSE(CONTROL!$C$42, 106.6814, 106.6814) * CHOOSE(CONTROL!$C$21, $C$9, 100%, $E$9)</f>
        <v>106.6814</v>
      </c>
      <c r="F982" s="14">
        <f>CHOOSE(CONTROL!$C$42, 106.4084, 106.4084)*CHOOSE(CONTROL!$C$21, $C$9, 100%, $E$9)</f>
        <v>106.4084</v>
      </c>
      <c r="G982" s="14">
        <f>CHOOSE(CONTROL!$C$42, 106.4247, 106.4247)*CHOOSE(CONTROL!$C$21, $C$9, 100%, $E$9)</f>
        <v>106.4247</v>
      </c>
      <c r="H982" s="14">
        <f>CHOOSE(CONTROL!$C$42, 106.6719, 106.6719) * CHOOSE(CONTROL!$C$21, $C$9, 100%, $E$9)</f>
        <v>106.67189999999999</v>
      </c>
      <c r="I982" s="14">
        <f>CHOOSE(CONTROL!$C$42, 106.7593, 106.7593)* CHOOSE(CONTROL!$C$21, $C$9, 100%, $E$9)</f>
        <v>106.7593</v>
      </c>
      <c r="J982" s="14">
        <f>CHOOSE(CONTROL!$C$42, 106.4014, 106.4014)* CHOOSE(CONTROL!$C$21, $C$9, 100%, $E$9)</f>
        <v>106.4014</v>
      </c>
      <c r="K982" s="53">
        <f>CHOOSE(CONTROL!$C$42, 106.7554, 106.7554) * CHOOSE(CONTROL!$C$21, $C$9, 100%, $E$9)</f>
        <v>106.75539999999999</v>
      </c>
      <c r="L982" s="14">
        <f>CHOOSE(CONTROL!$C$42, 107.2589, 107.2589) * CHOOSE(CONTROL!$C$21, $C$9, 100%, $E$9)</f>
        <v>107.2589</v>
      </c>
      <c r="M982" s="14">
        <f>CHOOSE(CONTROL!$C$42, 104.229, 104.229) * CHOOSE(CONTROL!$C$21, $C$9, 100%, $E$9)</f>
        <v>104.229</v>
      </c>
      <c r="N982" s="14">
        <f>CHOOSE(CONTROL!$C$42, 104.245, 104.245) * CHOOSE(CONTROL!$C$21, $C$9, 100%, $E$9)</f>
        <v>104.245</v>
      </c>
      <c r="O982" s="14">
        <f>CHOOSE(CONTROL!$C$42, 104.4939, 104.4939) * CHOOSE(CONTROL!$C$21, $C$9, 100%, $E$9)</f>
        <v>104.4939</v>
      </c>
      <c r="P982" s="14">
        <f>CHOOSE(CONTROL!$C$42, 104.5729, 104.5729) * CHOOSE(CONTROL!$C$21, $C$9, 100%, $E$9)</f>
        <v>104.5729</v>
      </c>
      <c r="Q982" s="14">
        <f>CHOOSE(CONTROL!$C$42, 105.0886, 105.0886) * CHOOSE(CONTROL!$C$21, $C$9, 100%, $E$9)</f>
        <v>105.0886</v>
      </c>
      <c r="R982" s="14">
        <f>CHOOSE(CONTROL!$C$42, 105.9384, 105.9384) * CHOOSE(CONTROL!$C$21, $C$9, 100%, $E$9)</f>
        <v>105.9384</v>
      </c>
      <c r="S982" s="14">
        <f>CHOOSE(CONTROL!$C$42, 102.2389, 102.2389) * CHOOSE(CONTROL!$C$21, $C$9, 100%, $E$9)</f>
        <v>102.2389</v>
      </c>
      <c r="T9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7">
        <f>(1000*CHOOSE(CONTROL!$C$42, 695, 695)*CHOOSE(CONTROL!$C$42, 0.5599, 0.5599)*CHOOSE(CONTROL!$C$42, 31, 31))/1000000</f>
        <v>12.063045499999998</v>
      </c>
      <c r="V982" s="57">
        <f>(1000*CHOOSE(CONTROL!$C$42, 500, 500)*CHOOSE(CONTROL!$C$42, 0.275, 0.275)*CHOOSE(CONTROL!$C$42, 31, 31))/1000000</f>
        <v>4.2625000000000002</v>
      </c>
      <c r="W982" s="57">
        <f>(1000*CHOOSE(CONTROL!$C$42, 0.1146, 0.1146)*CHOOSE(CONTROL!$C$42, 121.5, 121.5)*CHOOSE(CONTROL!$C$42, 31, 31))/1000000</f>
        <v>0.43164089999999994</v>
      </c>
      <c r="X982" s="57">
        <f>(31*0.1790888*245000/1000000)+(31*0.2374*100000/1000000)</f>
        <v>2.0961194359999999</v>
      </c>
      <c r="Y982" s="57"/>
      <c r="Z982" s="14"/>
      <c r="AA982" s="56"/>
      <c r="AB982" s="50">
        <f>(B982*131.881+C982*277.167+D982*79.08+E982*125.872+F982*40+G982*185+H982*0+I982*100+J982*300)/(131.881+277.167+79.08+125.872+0+40+185+100+300)</f>
        <v>106.48194733906377</v>
      </c>
      <c r="AC982" s="45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104.39946546762589</v>
      </c>
    </row>
    <row r="983" spans="1:29" ht="15.75" x14ac:dyDescent="0.25">
      <c r="A983" s="32">
        <v>70828</v>
      </c>
      <c r="B983" s="14">
        <f>CHOOSE(CONTROL!$C$42, 109.211, 109.211) * CHOOSE(CONTROL!$C$21, $C$9, 100%, $E$9)</f>
        <v>109.211</v>
      </c>
      <c r="C983" s="14">
        <f>CHOOSE(CONTROL!$C$42, 109.2161, 109.2161) * CHOOSE(CONTROL!$C$21, $C$9, 100%, $E$9)</f>
        <v>109.2161</v>
      </c>
      <c r="D983" s="14">
        <f>CHOOSE(CONTROL!$C$42, 109.2903, 109.2903) * CHOOSE(CONTROL!$C$21, $C$9, 100%, $E$9)</f>
        <v>109.2903</v>
      </c>
      <c r="E983" s="14">
        <f>CHOOSE(CONTROL!$C$42, 109.3244, 109.3244) * CHOOSE(CONTROL!$C$21, $C$9, 100%, $E$9)</f>
        <v>109.3244</v>
      </c>
      <c r="F983" s="14">
        <f>CHOOSE(CONTROL!$C$42, 109.2231, 109.2231)*CHOOSE(CONTROL!$C$21, $C$9, 100%, $E$9)</f>
        <v>109.2231</v>
      </c>
      <c r="G983" s="14">
        <f>CHOOSE(CONTROL!$C$42, 109.2397, 109.2397)*CHOOSE(CONTROL!$C$21, $C$9, 100%, $E$9)</f>
        <v>109.2397</v>
      </c>
      <c r="H983" s="14">
        <f>CHOOSE(CONTROL!$C$42, 109.3136, 109.3136) * CHOOSE(CONTROL!$C$21, $C$9, 100%, $E$9)</f>
        <v>109.31359999999999</v>
      </c>
      <c r="I983" s="14">
        <f>CHOOSE(CONTROL!$C$42, 109.5774, 109.5774)* CHOOSE(CONTROL!$C$21, $C$9, 100%, $E$9)</f>
        <v>109.5774</v>
      </c>
      <c r="J983" s="14">
        <f>CHOOSE(CONTROL!$C$42, 109.2161, 109.2161)* CHOOSE(CONTROL!$C$21, $C$9, 100%, $E$9)</f>
        <v>109.2161</v>
      </c>
      <c r="K983" s="53">
        <f>CHOOSE(CONTROL!$C$42, 109.5735, 109.5735) * CHOOSE(CONTROL!$C$21, $C$9, 100%, $E$9)</f>
        <v>109.5735</v>
      </c>
      <c r="L983" s="14">
        <f>CHOOSE(CONTROL!$C$42, 109.9006, 109.9006) * CHOOSE(CONTROL!$C$21, $C$9, 100%, $E$9)</f>
        <v>109.9006</v>
      </c>
      <c r="M983" s="14">
        <f>CHOOSE(CONTROL!$C$42, 106.986, 106.986) * CHOOSE(CONTROL!$C$21, $C$9, 100%, $E$9)</f>
        <v>106.986</v>
      </c>
      <c r="N983" s="14">
        <f>CHOOSE(CONTROL!$C$42, 107.0023, 107.0023) * CHOOSE(CONTROL!$C$21, $C$9, 100%, $E$9)</f>
        <v>107.00230000000001</v>
      </c>
      <c r="O983" s="14">
        <f>CHOOSE(CONTROL!$C$42, 107.0816, 107.0816) * CHOOSE(CONTROL!$C$21, $C$9, 100%, $E$9)</f>
        <v>107.08159999999999</v>
      </c>
      <c r="P983" s="14">
        <f>CHOOSE(CONTROL!$C$42, 107.3331, 107.3331) * CHOOSE(CONTROL!$C$21, $C$9, 100%, $E$9)</f>
        <v>107.3331</v>
      </c>
      <c r="Q983" s="14">
        <f>CHOOSE(CONTROL!$C$42, 107.6763, 107.6763) * CHOOSE(CONTROL!$C$21, $C$9, 100%, $E$9)</f>
        <v>107.6763</v>
      </c>
      <c r="R983" s="14">
        <f>CHOOSE(CONTROL!$C$42, 108.5324, 108.5324) * CHOOSE(CONTROL!$C$21, $C$9, 100%, $E$9)</f>
        <v>108.5324</v>
      </c>
      <c r="S983" s="14">
        <f>CHOOSE(CONTROL!$C$42, 104.9323, 104.9323) * CHOOSE(CONTROL!$C$21, $C$9, 100%, $E$9)</f>
        <v>104.9323</v>
      </c>
      <c r="T9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7">
        <f>(1000*CHOOSE(CONTROL!$C$42, 695, 695)*CHOOSE(CONTROL!$C$42, 0.5599, 0.5599)*CHOOSE(CONTROL!$C$42, 30, 30))/1000000</f>
        <v>11.673914999999997</v>
      </c>
      <c r="V983" s="57">
        <f>(1000*CHOOSE(CONTROL!$C$42, 500, 500)*CHOOSE(CONTROL!$C$42, 0.275, 0.275)*CHOOSE(CONTROL!$C$42, 30, 30))/1000000</f>
        <v>4.125</v>
      </c>
      <c r="W983" s="57">
        <f>(1000*CHOOSE(CONTROL!$C$42, 0.1146, 0.1146)*CHOOSE(CONTROL!$C$42, 121.5, 121.5)*CHOOSE(CONTROL!$C$42, 30, 30))/1000000</f>
        <v>0.417717</v>
      </c>
      <c r="X983" s="57">
        <f>(30*0.1790888*100000/1000000)+(30*0.2374*100000/1000000)</f>
        <v>1.2494664</v>
      </c>
      <c r="Y983" s="57"/>
      <c r="Z983" s="14"/>
      <c r="AA983" s="56"/>
      <c r="AB983" s="50">
        <f>(B983*122.58+C983*297.941+D983*89.177+E983*40.302+F983*40+G983*160+H983*0+I983*100+J983*300)/(122.58+297.941+89.177+40.302+0+40+160+100+300)</f>
        <v>109.26004998434783</v>
      </c>
      <c r="AC983" s="45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107.08021007194245</v>
      </c>
    </row>
    <row r="984" spans="1:29" ht="15.75" x14ac:dyDescent="0.25">
      <c r="A984" s="32">
        <v>70859</v>
      </c>
      <c r="B984" s="14">
        <f>CHOOSE(CONTROL!$C$42, 116.6563, 116.6563) * CHOOSE(CONTROL!$C$21, $C$9, 100%, $E$9)</f>
        <v>116.6563</v>
      </c>
      <c r="C984" s="14">
        <f>CHOOSE(CONTROL!$C$42, 116.6614, 116.6614) * CHOOSE(CONTROL!$C$21, $C$9, 100%, $E$9)</f>
        <v>116.6614</v>
      </c>
      <c r="D984" s="14">
        <f>CHOOSE(CONTROL!$C$42, 116.7356, 116.7356) * CHOOSE(CONTROL!$C$21, $C$9, 100%, $E$9)</f>
        <v>116.73560000000001</v>
      </c>
      <c r="E984" s="14">
        <f>CHOOSE(CONTROL!$C$42, 116.7697, 116.7697) * CHOOSE(CONTROL!$C$21, $C$9, 100%, $E$9)</f>
        <v>116.7697</v>
      </c>
      <c r="F984" s="14">
        <f>CHOOSE(CONTROL!$C$42, 116.6706, 116.6706)*CHOOSE(CONTROL!$C$21, $C$9, 100%, $E$9)</f>
        <v>116.67059999999999</v>
      </c>
      <c r="G984" s="14">
        <f>CHOOSE(CONTROL!$C$42, 116.6877, 116.6877)*CHOOSE(CONTROL!$C$21, $C$9, 100%, $E$9)</f>
        <v>116.68770000000001</v>
      </c>
      <c r="H984" s="14">
        <f>CHOOSE(CONTROL!$C$42, 116.7589, 116.7589) * CHOOSE(CONTROL!$C$21, $C$9, 100%, $E$9)</f>
        <v>116.7589</v>
      </c>
      <c r="I984" s="14">
        <f>CHOOSE(CONTROL!$C$42, 117.046, 117.046)* CHOOSE(CONTROL!$C$21, $C$9, 100%, $E$9)</f>
        <v>117.04600000000001</v>
      </c>
      <c r="J984" s="14">
        <f>CHOOSE(CONTROL!$C$42, 116.6636, 116.6636)* CHOOSE(CONTROL!$C$21, $C$9, 100%, $E$9)</f>
        <v>116.6636</v>
      </c>
      <c r="K984" s="53">
        <f>CHOOSE(CONTROL!$C$42, 117.0421, 117.0421) * CHOOSE(CONTROL!$C$21, $C$9, 100%, $E$9)</f>
        <v>117.0421</v>
      </c>
      <c r="L984" s="14">
        <f>CHOOSE(CONTROL!$C$42, 117.3459, 117.3459) * CHOOSE(CONTROL!$C$21, $C$9, 100%, $E$9)</f>
        <v>117.3459</v>
      </c>
      <c r="M984" s="14">
        <f>CHOOSE(CONTROL!$C$42, 114.2809, 114.2809) * CHOOSE(CONTROL!$C$21, $C$9, 100%, $E$9)</f>
        <v>114.2809</v>
      </c>
      <c r="N984" s="14">
        <f>CHOOSE(CONTROL!$C$42, 114.2977, 114.2977) * CHOOSE(CONTROL!$C$21, $C$9, 100%, $E$9)</f>
        <v>114.29770000000001</v>
      </c>
      <c r="O984" s="14">
        <f>CHOOSE(CONTROL!$C$42, 114.3743, 114.3743) * CHOOSE(CONTROL!$C$21, $C$9, 100%, $E$9)</f>
        <v>114.37430000000001</v>
      </c>
      <c r="P984" s="14">
        <f>CHOOSE(CONTROL!$C$42, 114.6482, 114.6482) * CHOOSE(CONTROL!$C$21, $C$9, 100%, $E$9)</f>
        <v>114.6482</v>
      </c>
      <c r="Q984" s="14">
        <f>CHOOSE(CONTROL!$C$42, 114.969, 114.969) * CHOOSE(CONTROL!$C$21, $C$9, 100%, $E$9)</f>
        <v>114.96899999999999</v>
      </c>
      <c r="R984" s="14">
        <f>CHOOSE(CONTROL!$C$42, 115.8434, 115.8434) * CHOOSE(CONTROL!$C$21, $C$9, 100%, $E$9)</f>
        <v>115.8434</v>
      </c>
      <c r="S984" s="14">
        <f>CHOOSE(CONTROL!$C$42, 112.0865, 112.0865) * CHOOSE(CONTROL!$C$21, $C$9, 100%, $E$9)</f>
        <v>112.0865</v>
      </c>
      <c r="T9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7">
        <f>(1000*CHOOSE(CONTROL!$C$42, 695, 695)*CHOOSE(CONTROL!$C$42, 0.5599, 0.5599)*CHOOSE(CONTROL!$C$42, 31, 31))/1000000</f>
        <v>12.063045499999998</v>
      </c>
      <c r="V984" s="57">
        <f>(1000*CHOOSE(CONTROL!$C$42, 500, 500)*CHOOSE(CONTROL!$C$42, 0.275, 0.275)*CHOOSE(CONTROL!$C$42, 31, 31))/1000000</f>
        <v>4.2625000000000002</v>
      </c>
      <c r="W984" s="57">
        <f>(1000*CHOOSE(CONTROL!$C$42, 0.1146, 0.1146)*CHOOSE(CONTROL!$C$42, 121.5, 121.5)*CHOOSE(CONTROL!$C$42, 31, 31))/1000000</f>
        <v>0.43164089999999994</v>
      </c>
      <c r="X984" s="57">
        <f>(31*0.1790888*100000/1000000)+(31*0.2374*100000/1000000)</f>
        <v>1.2911152800000001</v>
      </c>
      <c r="Y984" s="57"/>
      <c r="Z984" s="14"/>
      <c r="AA984" s="56"/>
      <c r="AB984" s="50">
        <f>(B984*122.58+C984*297.941+D984*89.177+E984*40.302+F984*40+G984*160+H984*0+I984*100+J984*300)/(122.58+297.941+89.177+40.302+0+40+160+100+300)</f>
        <v>116.70840215826088</v>
      </c>
      <c r="AC984" s="45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114.37704820143885</v>
      </c>
    </row>
    <row r="985" spans="1:29" ht="15.75" x14ac:dyDescent="0.25">
      <c r="A985" s="32">
        <v>70890</v>
      </c>
      <c r="B985" s="14">
        <f>CHOOSE(CONTROL!$C$42, 126.3264, 126.3264) * CHOOSE(CONTROL!$C$21, $C$9, 100%, $E$9)</f>
        <v>126.32640000000001</v>
      </c>
      <c r="C985" s="14">
        <f>CHOOSE(CONTROL!$C$42, 126.3315, 126.3315) * CHOOSE(CONTROL!$C$21, $C$9, 100%, $E$9)</f>
        <v>126.33150000000001</v>
      </c>
      <c r="D985" s="14">
        <f>CHOOSE(CONTROL!$C$42, 126.4083, 126.4083) * CHOOSE(CONTROL!$C$21, $C$9, 100%, $E$9)</f>
        <v>126.4083</v>
      </c>
      <c r="E985" s="14">
        <f>CHOOSE(CONTROL!$C$42, 126.4424, 126.4424) * CHOOSE(CONTROL!$C$21, $C$9, 100%, $E$9)</f>
        <v>126.44240000000001</v>
      </c>
      <c r="F985" s="14">
        <f>CHOOSE(CONTROL!$C$42, 126.3266, 126.3266)*CHOOSE(CONTROL!$C$21, $C$9, 100%, $E$9)</f>
        <v>126.3266</v>
      </c>
      <c r="G985" s="14">
        <f>CHOOSE(CONTROL!$C$42, 126.3429, 126.3429)*CHOOSE(CONTROL!$C$21, $C$9, 100%, $E$9)</f>
        <v>126.3429</v>
      </c>
      <c r="H985" s="14">
        <f>CHOOSE(CONTROL!$C$42, 126.4316, 126.4316) * CHOOSE(CONTROL!$C$21, $C$9, 100%, $E$9)</f>
        <v>126.4316</v>
      </c>
      <c r="I985" s="14">
        <f>CHOOSE(CONTROL!$C$42, 126.7401, 126.7401)* CHOOSE(CONTROL!$C$21, $C$9, 100%, $E$9)</f>
        <v>126.7401</v>
      </c>
      <c r="J985" s="14">
        <f>CHOOSE(CONTROL!$C$42, 126.3196, 126.3196)* CHOOSE(CONTROL!$C$21, $C$9, 100%, $E$9)</f>
        <v>126.31959999999999</v>
      </c>
      <c r="K985" s="53">
        <f>CHOOSE(CONTROL!$C$42, 126.7362, 126.7362) * CHOOSE(CONTROL!$C$21, $C$9, 100%, $E$9)</f>
        <v>126.7362</v>
      </c>
      <c r="L985" s="14">
        <f>CHOOSE(CONTROL!$C$42, 127.0186, 127.0186) * CHOOSE(CONTROL!$C$21, $C$9, 100%, $E$9)</f>
        <v>127.01860000000001</v>
      </c>
      <c r="M985" s="14">
        <f>CHOOSE(CONTROL!$C$42, 123.7391, 123.7391) * CHOOSE(CONTROL!$C$21, $C$9, 100%, $E$9)</f>
        <v>123.73909999999999</v>
      </c>
      <c r="N985" s="14">
        <f>CHOOSE(CONTROL!$C$42, 123.755, 123.755) * CHOOSE(CONTROL!$C$21, $C$9, 100%, $E$9)</f>
        <v>123.755</v>
      </c>
      <c r="O985" s="14">
        <f>CHOOSE(CONTROL!$C$42, 123.8488, 123.8488) * CHOOSE(CONTROL!$C$21, $C$9, 100%, $E$9)</f>
        <v>123.8488</v>
      </c>
      <c r="P985" s="14">
        <f>CHOOSE(CONTROL!$C$42, 124.1431, 124.1431) * CHOOSE(CONTROL!$C$21, $C$9, 100%, $E$9)</f>
        <v>124.1431</v>
      </c>
      <c r="Q985" s="14">
        <f>CHOOSE(CONTROL!$C$42, 124.4435, 124.4435) * CHOOSE(CONTROL!$C$21, $C$9, 100%, $E$9)</f>
        <v>124.4435</v>
      </c>
      <c r="R985" s="14">
        <f>CHOOSE(CONTROL!$C$42, 125.3416, 125.3416) * CHOOSE(CONTROL!$C$21, $C$9, 100%, $E$9)</f>
        <v>125.3416</v>
      </c>
      <c r="S985" s="14">
        <f>CHOOSE(CONTROL!$C$42, 121.3785, 121.3785) * CHOOSE(CONTROL!$C$21, $C$9, 100%, $E$9)</f>
        <v>121.3785</v>
      </c>
      <c r="T9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7">
        <f>(1000*CHOOSE(CONTROL!$C$42, 695, 695)*CHOOSE(CONTROL!$C$42, 0.5599, 0.5599)*CHOOSE(CONTROL!$C$42, 31, 31))/1000000</f>
        <v>12.063045499999998</v>
      </c>
      <c r="V985" s="57">
        <f>(1000*CHOOSE(CONTROL!$C$42, 500, 500)*CHOOSE(CONTROL!$C$42, 0.275, 0.275)*CHOOSE(CONTROL!$C$42, 31, 31))/1000000</f>
        <v>4.2625000000000002</v>
      </c>
      <c r="W985" s="57">
        <f>(1000*CHOOSE(CONTROL!$C$42, 0.1146, 0.1146)*CHOOSE(CONTROL!$C$42, 121.5, 121.5)*CHOOSE(CONTROL!$C$42, 31, 31))/1000000</f>
        <v>0.43164089999999994</v>
      </c>
      <c r="X985" s="57">
        <f>(31*0.1790888*100000/1000000)+(31*0.2374*100000/1000000)</f>
        <v>1.2911152800000001</v>
      </c>
      <c r="Y985" s="57"/>
      <c r="Z985" s="14"/>
      <c r="AA985" s="56"/>
      <c r="AB985" s="50">
        <f>(B985*122.58+C985*297.941+D985*89.177+E985*40.302+F985*40+G985*160+H985*0+I985*100+J985*300)/(122.58+297.941+89.177+40.302+0+40+160+100+300)</f>
        <v>126.37464011078261</v>
      </c>
      <c r="AC985" s="45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123.84786474820142</v>
      </c>
    </row>
    <row r="986" spans="1:29" ht="15.75" x14ac:dyDescent="0.25">
      <c r="A986" s="32">
        <v>70918</v>
      </c>
      <c r="B986" s="14">
        <f>CHOOSE(CONTROL!$C$42, 128.575, 128.575) * CHOOSE(CONTROL!$C$21, $C$9, 100%, $E$9)</f>
        <v>128.57499999999999</v>
      </c>
      <c r="C986" s="14">
        <f>CHOOSE(CONTROL!$C$42, 128.5801, 128.5801) * CHOOSE(CONTROL!$C$21, $C$9, 100%, $E$9)</f>
        <v>128.58009999999999</v>
      </c>
      <c r="D986" s="14">
        <f>CHOOSE(CONTROL!$C$42, 128.6569, 128.6569) * CHOOSE(CONTROL!$C$21, $C$9, 100%, $E$9)</f>
        <v>128.65690000000001</v>
      </c>
      <c r="E986" s="14">
        <f>CHOOSE(CONTROL!$C$42, 128.691, 128.691) * CHOOSE(CONTROL!$C$21, $C$9, 100%, $E$9)</f>
        <v>128.691</v>
      </c>
      <c r="F986" s="14">
        <f>CHOOSE(CONTROL!$C$42, 128.5753, 128.5753)*CHOOSE(CONTROL!$C$21, $C$9, 100%, $E$9)</f>
        <v>128.5753</v>
      </c>
      <c r="G986" s="14">
        <f>CHOOSE(CONTROL!$C$42, 128.5915, 128.5915)*CHOOSE(CONTROL!$C$21, $C$9, 100%, $E$9)</f>
        <v>128.5915</v>
      </c>
      <c r="H986" s="14">
        <f>CHOOSE(CONTROL!$C$42, 128.6802, 128.6802) * CHOOSE(CONTROL!$C$21, $C$9, 100%, $E$9)</f>
        <v>128.68020000000001</v>
      </c>
      <c r="I986" s="14">
        <f>CHOOSE(CONTROL!$C$42, 128.9958, 128.9958)* CHOOSE(CONTROL!$C$21, $C$9, 100%, $E$9)</f>
        <v>128.9958</v>
      </c>
      <c r="J986" s="14">
        <f>CHOOSE(CONTROL!$C$42, 128.5683, 128.5683)* CHOOSE(CONTROL!$C$21, $C$9, 100%, $E$9)</f>
        <v>128.56829999999999</v>
      </c>
      <c r="K986" s="53">
        <f>CHOOSE(CONTROL!$C$42, 128.9919, 128.9919) * CHOOSE(CONTROL!$C$21, $C$9, 100%, $E$9)</f>
        <v>128.99189999999999</v>
      </c>
      <c r="L986" s="14">
        <f>CHOOSE(CONTROL!$C$42, 129.2672, 129.2672) * CHOOSE(CONTROL!$C$21, $C$9, 100%, $E$9)</f>
        <v>129.2672</v>
      </c>
      <c r="M986" s="14">
        <f>CHOOSE(CONTROL!$C$42, 125.9417, 125.9417) * CHOOSE(CONTROL!$C$21, $C$9, 100%, $E$9)</f>
        <v>125.9417</v>
      </c>
      <c r="N986" s="14">
        <f>CHOOSE(CONTROL!$C$42, 125.9576, 125.9576) * CHOOSE(CONTROL!$C$21, $C$9, 100%, $E$9)</f>
        <v>125.9576</v>
      </c>
      <c r="O986" s="14">
        <f>CHOOSE(CONTROL!$C$42, 126.0514, 126.0514) * CHOOSE(CONTROL!$C$21, $C$9, 100%, $E$9)</f>
        <v>126.0514</v>
      </c>
      <c r="P986" s="14">
        <f>CHOOSE(CONTROL!$C$42, 126.3524, 126.3524) * CHOOSE(CONTROL!$C$21, $C$9, 100%, $E$9)</f>
        <v>126.3524</v>
      </c>
      <c r="Q986" s="14">
        <f>CHOOSE(CONTROL!$C$42, 126.6461, 126.6461) * CHOOSE(CONTROL!$C$21, $C$9, 100%, $E$9)</f>
        <v>126.6461</v>
      </c>
      <c r="R986" s="14">
        <f>CHOOSE(CONTROL!$C$42, 127.5497, 127.5497) * CHOOSE(CONTROL!$C$21, $C$9, 100%, $E$9)</f>
        <v>127.5497</v>
      </c>
      <c r="S986" s="14">
        <f>CHOOSE(CONTROL!$C$42, 123.5392, 123.5392) * CHOOSE(CONTROL!$C$21, $C$9, 100%, $E$9)</f>
        <v>123.53919999999999</v>
      </c>
      <c r="T9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7">
        <f>(1000*CHOOSE(CONTROL!$C$42, 695, 695)*CHOOSE(CONTROL!$C$42, 0.5599, 0.5599)*CHOOSE(CONTROL!$C$42, 28, 28))/1000000</f>
        <v>10.895653999999999</v>
      </c>
      <c r="V986" s="57">
        <f>(1000*CHOOSE(CONTROL!$C$42, 500, 500)*CHOOSE(CONTROL!$C$42, 0.275, 0.275)*CHOOSE(CONTROL!$C$42, 28, 28))/1000000</f>
        <v>3.85</v>
      </c>
      <c r="W986" s="57">
        <f>(1000*CHOOSE(CONTROL!$C$42, 0.1146, 0.1146)*CHOOSE(CONTROL!$C$42, 121.5, 121.5)*CHOOSE(CONTROL!$C$42, 28, 28))/1000000</f>
        <v>0.38986920000000003</v>
      </c>
      <c r="X986" s="57">
        <f>(28*0.1790888*100000/1000000)+(28*0.2374*100000/1000000)</f>
        <v>1.16616864</v>
      </c>
      <c r="Y986" s="57"/>
      <c r="Z986" s="14"/>
      <c r="AA986" s="56"/>
      <c r="AB986" s="50">
        <f>(B986*122.58+C986*297.941+D986*89.177+E986*40.302+F986*40+G986*160+H986*0+I986*100+J986*300)/(122.58+297.941+89.177+40.302+0+40+160+100+300)</f>
        <v>128.62388706730437</v>
      </c>
      <c r="AC986" s="45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126.05142877697843</v>
      </c>
    </row>
    <row r="987" spans="1:29" ht="15.75" x14ac:dyDescent="0.25">
      <c r="A987" s="32">
        <v>70949</v>
      </c>
      <c r="B987" s="14">
        <f>CHOOSE(CONTROL!$C$42, 124.925, 124.925) * CHOOSE(CONTROL!$C$21, $C$9, 100%, $E$9)</f>
        <v>124.925</v>
      </c>
      <c r="C987" s="14">
        <f>CHOOSE(CONTROL!$C$42, 124.9301, 124.9301) * CHOOSE(CONTROL!$C$21, $C$9, 100%, $E$9)</f>
        <v>124.9301</v>
      </c>
      <c r="D987" s="14">
        <f>CHOOSE(CONTROL!$C$42, 125.0069, 125.0069) * CHOOSE(CONTROL!$C$21, $C$9, 100%, $E$9)</f>
        <v>125.0069</v>
      </c>
      <c r="E987" s="14">
        <f>CHOOSE(CONTROL!$C$42, 125.041, 125.041) * CHOOSE(CONTROL!$C$21, $C$9, 100%, $E$9)</f>
        <v>125.041</v>
      </c>
      <c r="F987" s="14">
        <f>CHOOSE(CONTROL!$C$42, 124.9248, 124.9248)*CHOOSE(CONTROL!$C$21, $C$9, 100%, $E$9)</f>
        <v>124.9248</v>
      </c>
      <c r="G987" s="14">
        <f>CHOOSE(CONTROL!$C$42, 124.9409, 124.9409)*CHOOSE(CONTROL!$C$21, $C$9, 100%, $E$9)</f>
        <v>124.9409</v>
      </c>
      <c r="H987" s="14">
        <f>CHOOSE(CONTROL!$C$42, 125.0302, 125.0302) * CHOOSE(CONTROL!$C$21, $C$9, 100%, $E$9)</f>
        <v>125.03019999999999</v>
      </c>
      <c r="I987" s="14">
        <f>CHOOSE(CONTROL!$C$42, 125.3343, 125.3343)* CHOOSE(CONTROL!$C$21, $C$9, 100%, $E$9)</f>
        <v>125.3343</v>
      </c>
      <c r="J987" s="14">
        <f>CHOOSE(CONTROL!$C$42, 124.9178, 124.9178)* CHOOSE(CONTROL!$C$21, $C$9, 100%, $E$9)</f>
        <v>124.9178</v>
      </c>
      <c r="K987" s="53">
        <f>CHOOSE(CONTROL!$C$42, 125.3304, 125.3304) * CHOOSE(CONTROL!$C$21, $C$9, 100%, $E$9)</f>
        <v>125.3304</v>
      </c>
      <c r="L987" s="14">
        <f>CHOOSE(CONTROL!$C$42, 125.6172, 125.6172) * CHOOSE(CONTROL!$C$21, $C$9, 100%, $E$9)</f>
        <v>125.6172</v>
      </c>
      <c r="M987" s="14">
        <f>CHOOSE(CONTROL!$C$42, 122.366, 122.366) * CHOOSE(CONTROL!$C$21, $C$9, 100%, $E$9)</f>
        <v>122.366</v>
      </c>
      <c r="N987" s="14">
        <f>CHOOSE(CONTROL!$C$42, 122.3818, 122.3818) * CHOOSE(CONTROL!$C$21, $C$9, 100%, $E$9)</f>
        <v>122.3818</v>
      </c>
      <c r="O987" s="14">
        <f>CHOOSE(CONTROL!$C$42, 122.4761, 122.4761) * CHOOSE(CONTROL!$C$21, $C$9, 100%, $E$9)</f>
        <v>122.4761</v>
      </c>
      <c r="P987" s="14">
        <f>CHOOSE(CONTROL!$C$42, 122.7662, 122.7662) * CHOOSE(CONTROL!$C$21, $C$9, 100%, $E$9)</f>
        <v>122.7662</v>
      </c>
      <c r="Q987" s="14">
        <f>CHOOSE(CONTROL!$C$42, 123.0708, 123.0708) * CHOOSE(CONTROL!$C$21, $C$9, 100%, $E$9)</f>
        <v>123.07080000000001</v>
      </c>
      <c r="R987" s="14">
        <f>CHOOSE(CONTROL!$C$42, 123.9655, 123.9655) * CHOOSE(CONTROL!$C$21, $C$9, 100%, $E$9)</f>
        <v>123.96550000000001</v>
      </c>
      <c r="S987" s="14">
        <f>CHOOSE(CONTROL!$C$42, 120.0319, 120.0319) * CHOOSE(CONTROL!$C$21, $C$9, 100%, $E$9)</f>
        <v>120.03189999999999</v>
      </c>
      <c r="T9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7">
        <f>(1000*CHOOSE(CONTROL!$C$42, 695, 695)*CHOOSE(CONTROL!$C$42, 0.5599, 0.5599)*CHOOSE(CONTROL!$C$42, 31, 31))/1000000</f>
        <v>12.063045499999998</v>
      </c>
      <c r="V987" s="57">
        <f>(1000*CHOOSE(CONTROL!$C$42, 500, 500)*CHOOSE(CONTROL!$C$42, 0.275, 0.275)*CHOOSE(CONTROL!$C$42, 31, 31))/1000000</f>
        <v>4.2625000000000002</v>
      </c>
      <c r="W987" s="57">
        <f>(1000*CHOOSE(CONTROL!$C$42, 0.1146, 0.1146)*CHOOSE(CONTROL!$C$42, 121.5, 121.5)*CHOOSE(CONTROL!$C$42, 31, 31))/1000000</f>
        <v>0.43164089999999994</v>
      </c>
      <c r="X987" s="57">
        <f>(31*0.1790888*100000/1000000)+(31*0.2374*100000/1000000)</f>
        <v>1.2911152800000001</v>
      </c>
      <c r="Y987" s="57"/>
      <c r="Z987" s="14"/>
      <c r="AA987" s="56"/>
      <c r="AB987" s="50">
        <f>(B987*122.58+C987*297.941+D987*89.177+E987*40.302+F987*40+G987*160+H987*0+I987*100+J987*300)/(122.58+297.941+89.177+40.302+0+40+160+100+300)</f>
        <v>124.97265576295651</v>
      </c>
      <c r="AC987" s="45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122.47439352517986</v>
      </c>
    </row>
    <row r="988" spans="1:29" ht="15.75" x14ac:dyDescent="0.25">
      <c r="A988" s="32">
        <v>70979</v>
      </c>
      <c r="B988" s="14">
        <f>CHOOSE(CONTROL!$C$42, 124.5522, 124.5522) * CHOOSE(CONTROL!$C$21, $C$9, 100%, $E$9)</f>
        <v>124.5522</v>
      </c>
      <c r="C988" s="14">
        <f>CHOOSE(CONTROL!$C$42, 124.5567, 124.5567) * CHOOSE(CONTROL!$C$21, $C$9, 100%, $E$9)</f>
        <v>124.55670000000001</v>
      </c>
      <c r="D988" s="14">
        <f>CHOOSE(CONTROL!$C$42, 124.7934, 124.7934) * CHOOSE(CONTROL!$C$21, $C$9, 100%, $E$9)</f>
        <v>124.79340000000001</v>
      </c>
      <c r="E988" s="14">
        <f>CHOOSE(CONTROL!$C$42, 124.8255, 124.8255) * CHOOSE(CONTROL!$C$21, $C$9, 100%, $E$9)</f>
        <v>124.82550000000001</v>
      </c>
      <c r="F988" s="14">
        <f>CHOOSE(CONTROL!$C$42, 124.5501, 124.5501)*CHOOSE(CONTROL!$C$21, $C$9, 100%, $E$9)</f>
        <v>124.5501</v>
      </c>
      <c r="G988" s="14">
        <f>CHOOSE(CONTROL!$C$42, 124.566, 124.566)*CHOOSE(CONTROL!$C$21, $C$9, 100%, $E$9)</f>
        <v>124.566</v>
      </c>
      <c r="H988" s="14">
        <f>CHOOSE(CONTROL!$C$42, 124.8153, 124.8153) * CHOOSE(CONTROL!$C$21, $C$9, 100%, $E$9)</f>
        <v>124.81529999999999</v>
      </c>
      <c r="I988" s="14">
        <f>CHOOSE(CONTROL!$C$42, 124.9596, 124.9596)* CHOOSE(CONTROL!$C$21, $C$9, 100%, $E$9)</f>
        <v>124.95959999999999</v>
      </c>
      <c r="J988" s="14">
        <f>CHOOSE(CONTROL!$C$42, 124.5431, 124.5431)* CHOOSE(CONTROL!$C$21, $C$9, 100%, $E$9)</f>
        <v>124.5431</v>
      </c>
      <c r="K988" s="53">
        <f>CHOOSE(CONTROL!$C$42, 124.9557, 124.9557) * CHOOSE(CONTROL!$C$21, $C$9, 100%, $E$9)</f>
        <v>124.95569999999999</v>
      </c>
      <c r="L988" s="14">
        <f>CHOOSE(CONTROL!$C$42, 125.4023, 125.4023) * CHOOSE(CONTROL!$C$21, $C$9, 100%, $E$9)</f>
        <v>125.4023</v>
      </c>
      <c r="M988" s="14">
        <f>CHOOSE(CONTROL!$C$42, 121.999, 121.999) * CHOOSE(CONTROL!$C$21, $C$9, 100%, $E$9)</f>
        <v>121.999</v>
      </c>
      <c r="N988" s="14">
        <f>CHOOSE(CONTROL!$C$42, 122.0145, 122.0145) * CHOOSE(CONTROL!$C$21, $C$9, 100%, $E$9)</f>
        <v>122.0145</v>
      </c>
      <c r="O988" s="14">
        <f>CHOOSE(CONTROL!$C$42, 122.2656, 122.2656) * CHOOSE(CONTROL!$C$21, $C$9, 100%, $E$9)</f>
        <v>122.26560000000001</v>
      </c>
      <c r="P988" s="14">
        <f>CHOOSE(CONTROL!$C$42, 122.3991, 122.3991) * CHOOSE(CONTROL!$C$21, $C$9, 100%, $E$9)</f>
        <v>122.3991</v>
      </c>
      <c r="Q988" s="14">
        <f>CHOOSE(CONTROL!$C$42, 122.8603, 122.8603) * CHOOSE(CONTROL!$C$21, $C$9, 100%, $E$9)</f>
        <v>122.8603</v>
      </c>
      <c r="R988" s="14">
        <f>CHOOSE(CONTROL!$C$42, 123.7545, 123.7545) * CHOOSE(CONTROL!$C$21, $C$9, 100%, $E$9)</f>
        <v>123.75449999999999</v>
      </c>
      <c r="S988" s="14">
        <f>CHOOSE(CONTROL!$C$42, 119.6729, 119.6729) * CHOOSE(CONTROL!$C$21, $C$9, 100%, $E$9)</f>
        <v>119.6729</v>
      </c>
      <c r="T9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7">
        <f>(1000*CHOOSE(CONTROL!$C$42, 695, 695)*CHOOSE(CONTROL!$C$42, 0.5599, 0.5599)*CHOOSE(CONTROL!$C$42, 30, 30))/1000000</f>
        <v>11.673914999999997</v>
      </c>
      <c r="V988" s="57">
        <f>(1000*CHOOSE(CONTROL!$C$42, 500, 500)*CHOOSE(CONTROL!$C$42, 0.275, 0.275)*CHOOSE(CONTROL!$C$42, 30, 30))/1000000</f>
        <v>4.125</v>
      </c>
      <c r="W988" s="57">
        <f>(1000*CHOOSE(CONTROL!$C$42, 0.1146, 0.1146)*CHOOSE(CONTROL!$C$42, 121.5, 121.5)*CHOOSE(CONTROL!$C$42, 30, 30))/1000000</f>
        <v>0.417717</v>
      </c>
      <c r="X988" s="57">
        <f>(30*0.1790888*245000/1000000)+(30*0.2374*100000/1000000)</f>
        <v>2.0285026799999999</v>
      </c>
      <c r="Y988" s="57"/>
      <c r="Z988" s="14"/>
      <c r="AA988" s="56"/>
      <c r="AB988" s="50">
        <f>(B988*141.293+C988*267.993+D988*115.016+E988*89.698+F988*40+G988*185+H988*0+I988*100+J988*300)/(141.293+267.993+115.016+89.698+0+40+185+100+300)</f>
        <v>124.62802025108958</v>
      </c>
      <c r="AC988" s="45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122.17829352517987</v>
      </c>
    </row>
    <row r="989" spans="1:29" ht="15.75" x14ac:dyDescent="0.25">
      <c r="A989" s="32">
        <v>71010</v>
      </c>
      <c r="B989" s="14">
        <f>CHOOSE(CONTROL!$C$42, 125.6528, 125.6528) * CHOOSE(CONTROL!$C$21, $C$9, 100%, $E$9)</f>
        <v>125.6528</v>
      </c>
      <c r="C989" s="14">
        <f>CHOOSE(CONTROL!$C$42, 125.6608, 125.6608) * CHOOSE(CONTROL!$C$21, $C$9, 100%, $E$9)</f>
        <v>125.66079999999999</v>
      </c>
      <c r="D989" s="14">
        <f>CHOOSE(CONTROL!$C$42, 125.8944, 125.8944) * CHOOSE(CONTROL!$C$21, $C$9, 100%, $E$9)</f>
        <v>125.8944</v>
      </c>
      <c r="E989" s="14">
        <f>CHOOSE(CONTROL!$C$42, 125.9259, 125.9259) * CHOOSE(CONTROL!$C$21, $C$9, 100%, $E$9)</f>
        <v>125.9259</v>
      </c>
      <c r="F989" s="14">
        <f>CHOOSE(CONTROL!$C$42, 125.6496, 125.6496)*CHOOSE(CONTROL!$C$21, $C$9, 100%, $E$9)</f>
        <v>125.64960000000001</v>
      </c>
      <c r="G989" s="14">
        <f>CHOOSE(CONTROL!$C$42, 125.6659, 125.6659)*CHOOSE(CONTROL!$C$21, $C$9, 100%, $E$9)</f>
        <v>125.66589999999999</v>
      </c>
      <c r="H989" s="14">
        <f>CHOOSE(CONTROL!$C$42, 125.9145, 125.9145) * CHOOSE(CONTROL!$C$21, $C$9, 100%, $E$9)</f>
        <v>125.9145</v>
      </c>
      <c r="I989" s="14">
        <f>CHOOSE(CONTROL!$C$42, 126.0622, 126.0622)* CHOOSE(CONTROL!$C$21, $C$9, 100%, $E$9)</f>
        <v>126.0622</v>
      </c>
      <c r="J989" s="14">
        <f>CHOOSE(CONTROL!$C$42, 125.6426, 125.6426)* CHOOSE(CONTROL!$C$21, $C$9, 100%, $E$9)</f>
        <v>125.6426</v>
      </c>
      <c r="K989" s="53">
        <f>CHOOSE(CONTROL!$C$42, 126.0583, 126.0583) * CHOOSE(CONTROL!$C$21, $C$9, 100%, $E$9)</f>
        <v>126.0583</v>
      </c>
      <c r="L989" s="14">
        <f>CHOOSE(CONTROL!$C$42, 126.5015, 126.5015) * CHOOSE(CONTROL!$C$21, $C$9, 100%, $E$9)</f>
        <v>126.50149999999999</v>
      </c>
      <c r="M989" s="14">
        <f>CHOOSE(CONTROL!$C$42, 123.076, 123.076) * CHOOSE(CONTROL!$C$21, $C$9, 100%, $E$9)</f>
        <v>123.07599999999999</v>
      </c>
      <c r="N989" s="14">
        <f>CHOOSE(CONTROL!$C$42, 123.092, 123.092) * CHOOSE(CONTROL!$C$21, $C$9, 100%, $E$9)</f>
        <v>123.092</v>
      </c>
      <c r="O989" s="14">
        <f>CHOOSE(CONTROL!$C$42, 123.3423, 123.3423) * CHOOSE(CONTROL!$C$21, $C$9, 100%, $E$9)</f>
        <v>123.34229999999999</v>
      </c>
      <c r="P989" s="14">
        <f>CHOOSE(CONTROL!$C$42, 123.4791, 123.4791) * CHOOSE(CONTROL!$C$21, $C$9, 100%, $E$9)</f>
        <v>123.4791</v>
      </c>
      <c r="Q989" s="14">
        <f>CHOOSE(CONTROL!$C$42, 123.937, 123.937) * CHOOSE(CONTROL!$C$21, $C$9, 100%, $E$9)</f>
        <v>123.937</v>
      </c>
      <c r="R989" s="14">
        <f>CHOOSE(CONTROL!$C$42, 124.8339, 124.8339) * CHOOSE(CONTROL!$C$21, $C$9, 100%, $E$9)</f>
        <v>124.8339</v>
      </c>
      <c r="S989" s="14">
        <f>CHOOSE(CONTROL!$C$42, 120.7292, 120.7292) * CHOOSE(CONTROL!$C$21, $C$9, 100%, $E$9)</f>
        <v>120.72920000000001</v>
      </c>
      <c r="T9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7">
        <f>(1000*CHOOSE(CONTROL!$C$42, 695, 695)*CHOOSE(CONTROL!$C$42, 0.5599, 0.5599)*CHOOSE(CONTROL!$C$42, 31, 31))/1000000</f>
        <v>12.063045499999998</v>
      </c>
      <c r="V989" s="57">
        <f>(1000*CHOOSE(CONTROL!$C$42, 500, 500)*CHOOSE(CONTROL!$C$42, 0.275, 0.275)*CHOOSE(CONTROL!$C$42, 31, 31))/1000000</f>
        <v>4.2625000000000002</v>
      </c>
      <c r="W989" s="57">
        <f>(1000*CHOOSE(CONTROL!$C$42, 0.1146, 0.1146)*CHOOSE(CONTROL!$C$42, 121.5, 121.5)*CHOOSE(CONTROL!$C$42, 31, 31))/1000000</f>
        <v>0.43164089999999994</v>
      </c>
      <c r="X989" s="57">
        <f>(31*0.1790888*245000/1000000)+(31*0.2374*100000/1000000)</f>
        <v>2.0961194359999999</v>
      </c>
      <c r="Y989" s="57"/>
      <c r="Z989" s="14"/>
      <c r="AA989" s="56"/>
      <c r="AB989" s="50">
        <f>(B989*194.205+C989*267.466+D989*133.845+E989*53.484+F989*40+G989*185+H989*0+I989*100+J989*300)/(194.205+267.466+133.845+53.484+0+40+185+100+300)</f>
        <v>125.72286174285716</v>
      </c>
      <c r="AC989" s="45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123.25561798561152</v>
      </c>
    </row>
    <row r="990" spans="1:29" ht="15.75" x14ac:dyDescent="0.25">
      <c r="A990" s="32">
        <v>71040</v>
      </c>
      <c r="B990" s="14">
        <f>CHOOSE(CONTROL!$C$42, 129.2168, 129.2168) * CHOOSE(CONTROL!$C$21, $C$9, 100%, $E$9)</f>
        <v>129.21680000000001</v>
      </c>
      <c r="C990" s="14">
        <f>CHOOSE(CONTROL!$C$42, 129.2248, 129.2248) * CHOOSE(CONTROL!$C$21, $C$9, 100%, $E$9)</f>
        <v>129.22479999999999</v>
      </c>
      <c r="D990" s="14">
        <f>CHOOSE(CONTROL!$C$42, 129.4584, 129.4584) * CHOOSE(CONTROL!$C$21, $C$9, 100%, $E$9)</f>
        <v>129.45840000000001</v>
      </c>
      <c r="E990" s="14">
        <f>CHOOSE(CONTROL!$C$42, 129.4899, 129.4899) * CHOOSE(CONTROL!$C$21, $C$9, 100%, $E$9)</f>
        <v>129.48990000000001</v>
      </c>
      <c r="F990" s="14">
        <f>CHOOSE(CONTROL!$C$42, 129.2141, 129.2141)*CHOOSE(CONTROL!$C$21, $C$9, 100%, $E$9)</f>
        <v>129.2141</v>
      </c>
      <c r="G990" s="14">
        <f>CHOOSE(CONTROL!$C$42, 129.2305, 129.2305)*CHOOSE(CONTROL!$C$21, $C$9, 100%, $E$9)</f>
        <v>129.23050000000001</v>
      </c>
      <c r="H990" s="14">
        <f>CHOOSE(CONTROL!$C$42, 129.4785, 129.4785) * CHOOSE(CONTROL!$C$21, $C$9, 100%, $E$9)</f>
        <v>129.4785</v>
      </c>
      <c r="I990" s="14">
        <f>CHOOSE(CONTROL!$C$42, 129.6374, 129.6374)* CHOOSE(CONTROL!$C$21, $C$9, 100%, $E$9)</f>
        <v>129.63740000000001</v>
      </c>
      <c r="J990" s="14">
        <f>CHOOSE(CONTROL!$C$42, 129.2071, 129.2071)* CHOOSE(CONTROL!$C$21, $C$9, 100%, $E$9)</f>
        <v>129.2071</v>
      </c>
      <c r="K990" s="53">
        <f>CHOOSE(CONTROL!$C$42, 129.6335, 129.6335) * CHOOSE(CONTROL!$C$21, $C$9, 100%, $E$9)</f>
        <v>129.6335</v>
      </c>
      <c r="L990" s="14">
        <f>CHOOSE(CONTROL!$C$42, 130.0655, 130.0655) * CHOOSE(CONTROL!$C$21, $C$9, 100%, $E$9)</f>
        <v>130.06549999999999</v>
      </c>
      <c r="M990" s="14">
        <f>CHOOSE(CONTROL!$C$42, 126.5674, 126.5674) * CHOOSE(CONTROL!$C$21, $C$9, 100%, $E$9)</f>
        <v>126.56740000000001</v>
      </c>
      <c r="N990" s="14">
        <f>CHOOSE(CONTROL!$C$42, 126.5835, 126.5835) * CHOOSE(CONTROL!$C$21, $C$9, 100%, $E$9)</f>
        <v>126.5835</v>
      </c>
      <c r="O990" s="14">
        <f>CHOOSE(CONTROL!$C$42, 126.8333, 126.8333) * CHOOSE(CONTROL!$C$21, $C$9, 100%, $E$9)</f>
        <v>126.83329999999999</v>
      </c>
      <c r="P990" s="14">
        <f>CHOOSE(CONTROL!$C$42, 126.9808, 126.9808) * CHOOSE(CONTROL!$C$21, $C$9, 100%, $E$9)</f>
        <v>126.9808</v>
      </c>
      <c r="Q990" s="14">
        <f>CHOOSE(CONTROL!$C$42, 127.428, 127.428) * CHOOSE(CONTROL!$C$21, $C$9, 100%, $E$9)</f>
        <v>127.428</v>
      </c>
      <c r="R990" s="14">
        <f>CHOOSE(CONTROL!$C$42, 128.3335, 128.3335) * CHOOSE(CONTROL!$C$21, $C$9, 100%, $E$9)</f>
        <v>128.33349999999999</v>
      </c>
      <c r="S990" s="14">
        <f>CHOOSE(CONTROL!$C$42, 124.1538, 124.1538) * CHOOSE(CONTROL!$C$21, $C$9, 100%, $E$9)</f>
        <v>124.1538</v>
      </c>
      <c r="T9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7">
        <f>(1000*CHOOSE(CONTROL!$C$42, 695, 695)*CHOOSE(CONTROL!$C$42, 0.5599, 0.5599)*CHOOSE(CONTROL!$C$42, 30, 30))/1000000</f>
        <v>11.673914999999997</v>
      </c>
      <c r="V990" s="57">
        <f>(1000*CHOOSE(CONTROL!$C$42, 500, 500)*CHOOSE(CONTROL!$C$42, 0.275, 0.275)*CHOOSE(CONTROL!$C$42, 30, 30))/1000000</f>
        <v>4.125</v>
      </c>
      <c r="W990" s="57">
        <f>(1000*CHOOSE(CONTROL!$C$42, 0.1146, 0.1146)*CHOOSE(CONTROL!$C$42, 121.5, 121.5)*CHOOSE(CONTROL!$C$42, 30, 30))/1000000</f>
        <v>0.417717</v>
      </c>
      <c r="X990" s="57">
        <f>(30*0.1790888*245000/1000000)+(30*0.2374*100000/1000000)</f>
        <v>2.0285026799999999</v>
      </c>
      <c r="Y990" s="57"/>
      <c r="Z990" s="14"/>
      <c r="AA990" s="56"/>
      <c r="AB990" s="50">
        <f>(B990*194.205+C990*267.466+D990*133.845+E990*53.484+F990*40+G990*185+H990*0+I990*100+J990*300)/(194.205+267.466+133.845+53.484+0+40+185+100+300)</f>
        <v>129.28796142888541</v>
      </c>
      <c r="AC990" s="45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126.74832446043166</v>
      </c>
    </row>
    <row r="991" spans="1:29" ht="15.75" x14ac:dyDescent="0.25">
      <c r="A991" s="32">
        <v>71071</v>
      </c>
      <c r="B991" s="14">
        <f>CHOOSE(CONTROL!$C$42, 126.738, 126.738) * CHOOSE(CONTROL!$C$21, $C$9, 100%, $E$9)</f>
        <v>126.738</v>
      </c>
      <c r="C991" s="14">
        <f>CHOOSE(CONTROL!$C$42, 126.7461, 126.7461) * CHOOSE(CONTROL!$C$21, $C$9, 100%, $E$9)</f>
        <v>126.7461</v>
      </c>
      <c r="D991" s="14">
        <f>CHOOSE(CONTROL!$C$42, 126.9796, 126.9796) * CHOOSE(CONTROL!$C$21, $C$9, 100%, $E$9)</f>
        <v>126.9796</v>
      </c>
      <c r="E991" s="14">
        <f>CHOOSE(CONTROL!$C$42, 127.0111, 127.0111) * CHOOSE(CONTROL!$C$21, $C$9, 100%, $E$9)</f>
        <v>127.0111</v>
      </c>
      <c r="F991" s="14">
        <f>CHOOSE(CONTROL!$C$42, 126.7358, 126.7358)*CHOOSE(CONTROL!$C$21, $C$9, 100%, $E$9)</f>
        <v>126.7358</v>
      </c>
      <c r="G991" s="14">
        <f>CHOOSE(CONTROL!$C$42, 126.7524, 126.7524)*CHOOSE(CONTROL!$C$21, $C$9, 100%, $E$9)</f>
        <v>126.75239999999999</v>
      </c>
      <c r="H991" s="14">
        <f>CHOOSE(CONTROL!$C$42, 126.9997, 126.9997) * CHOOSE(CONTROL!$C$21, $C$9, 100%, $E$9)</f>
        <v>126.9997</v>
      </c>
      <c r="I991" s="14">
        <f>CHOOSE(CONTROL!$C$42, 127.1508, 127.1508)* CHOOSE(CONTROL!$C$21, $C$9, 100%, $E$9)</f>
        <v>127.1508</v>
      </c>
      <c r="J991" s="14">
        <f>CHOOSE(CONTROL!$C$42, 126.7288, 126.7288)* CHOOSE(CONTROL!$C$21, $C$9, 100%, $E$9)</f>
        <v>126.72880000000001</v>
      </c>
      <c r="K991" s="53">
        <f>CHOOSE(CONTROL!$C$42, 127.1469, 127.1469) * CHOOSE(CONTROL!$C$21, $C$9, 100%, $E$9)</f>
        <v>127.1469</v>
      </c>
      <c r="L991" s="14">
        <f>CHOOSE(CONTROL!$C$42, 127.5867, 127.5867) * CHOOSE(CONTROL!$C$21, $C$9, 100%, $E$9)</f>
        <v>127.58669999999999</v>
      </c>
      <c r="M991" s="14">
        <f>CHOOSE(CONTROL!$C$42, 124.1399, 124.1399) * CHOOSE(CONTROL!$C$21, $C$9, 100%, $E$9)</f>
        <v>124.1399</v>
      </c>
      <c r="N991" s="14">
        <f>CHOOSE(CONTROL!$C$42, 124.1562, 124.1562) * CHOOSE(CONTROL!$C$21, $C$9, 100%, $E$9)</f>
        <v>124.1562</v>
      </c>
      <c r="O991" s="14">
        <f>CHOOSE(CONTROL!$C$42, 124.4053, 124.4053) * CHOOSE(CONTROL!$C$21, $C$9, 100%, $E$9)</f>
        <v>124.4053</v>
      </c>
      <c r="P991" s="14">
        <f>CHOOSE(CONTROL!$C$42, 124.5454, 124.5454) * CHOOSE(CONTROL!$C$21, $C$9, 100%, $E$9)</f>
        <v>124.5454</v>
      </c>
      <c r="Q991" s="14">
        <f>CHOOSE(CONTROL!$C$42, 125, 125) * CHOOSE(CONTROL!$C$21, $C$9, 100%, $E$9)</f>
        <v>125</v>
      </c>
      <c r="R991" s="14">
        <f>CHOOSE(CONTROL!$C$42, 125.8995, 125.8995) * CHOOSE(CONTROL!$C$21, $C$9, 100%, $E$9)</f>
        <v>125.8995</v>
      </c>
      <c r="S991" s="14">
        <f>CHOOSE(CONTROL!$C$42, 121.7719, 121.7719) * CHOOSE(CONTROL!$C$21, $C$9, 100%, $E$9)</f>
        <v>121.7719</v>
      </c>
      <c r="T9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7">
        <f>(1000*CHOOSE(CONTROL!$C$42, 695, 695)*CHOOSE(CONTROL!$C$42, 0.5599, 0.5599)*CHOOSE(CONTROL!$C$42, 31, 31))/1000000</f>
        <v>12.063045499999998</v>
      </c>
      <c r="V991" s="57">
        <f>(1000*CHOOSE(CONTROL!$C$42, 500, 500)*CHOOSE(CONTROL!$C$42, 0.275, 0.275)*CHOOSE(CONTROL!$C$42, 31, 31))/1000000</f>
        <v>4.2625000000000002</v>
      </c>
      <c r="W991" s="57">
        <f>(1000*CHOOSE(CONTROL!$C$42, 0.1146, 0.1146)*CHOOSE(CONTROL!$C$42, 121.5, 121.5)*CHOOSE(CONTROL!$C$42, 31, 31))/1000000</f>
        <v>0.43164089999999994</v>
      </c>
      <c r="X991" s="57">
        <f>(31*0.1790888*245000/1000000)+(31*0.2374*100000/1000000)</f>
        <v>2.0961194359999999</v>
      </c>
      <c r="Y991" s="57"/>
      <c r="Z991" s="14"/>
      <c r="AA991" s="56"/>
      <c r="AB991" s="50">
        <f>(B991*194.205+C991*267.466+D991*133.845+E991*53.484+F991*40+G991*185+H991*0+I991*100+J991*300)/(194.205+267.466+133.845+53.484+0+40+185+100+300)</f>
        <v>126.80880526452118</v>
      </c>
      <c r="AC991" s="45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124.31947266187049</v>
      </c>
    </row>
    <row r="992" spans="1:29" ht="15.75" x14ac:dyDescent="0.25">
      <c r="A992" s="32">
        <v>71102</v>
      </c>
      <c r="B992" s="14">
        <f>CHOOSE(CONTROL!$C$42, 120.4784, 120.4784) * CHOOSE(CONTROL!$C$21, $C$9, 100%, $E$9)</f>
        <v>120.47839999999999</v>
      </c>
      <c r="C992" s="14">
        <f>CHOOSE(CONTROL!$C$42, 120.4864, 120.4864) * CHOOSE(CONTROL!$C$21, $C$9, 100%, $E$9)</f>
        <v>120.4864</v>
      </c>
      <c r="D992" s="14">
        <f>CHOOSE(CONTROL!$C$42, 120.72, 120.72) * CHOOSE(CONTROL!$C$21, $C$9, 100%, $E$9)</f>
        <v>120.72</v>
      </c>
      <c r="E992" s="14">
        <f>CHOOSE(CONTROL!$C$42, 120.7515, 120.7515) * CHOOSE(CONTROL!$C$21, $C$9, 100%, $E$9)</f>
        <v>120.75149999999999</v>
      </c>
      <c r="F992" s="14">
        <f>CHOOSE(CONTROL!$C$42, 120.4763, 120.4763)*CHOOSE(CONTROL!$C$21, $C$9, 100%, $E$9)</f>
        <v>120.47629999999999</v>
      </c>
      <c r="G992" s="14">
        <f>CHOOSE(CONTROL!$C$42, 120.493, 120.493)*CHOOSE(CONTROL!$C$21, $C$9, 100%, $E$9)</f>
        <v>120.49299999999999</v>
      </c>
      <c r="H992" s="14">
        <f>CHOOSE(CONTROL!$C$42, 120.7401, 120.7401) * CHOOSE(CONTROL!$C$21, $C$9, 100%, $E$9)</f>
        <v>120.7401</v>
      </c>
      <c r="I992" s="14">
        <f>CHOOSE(CONTROL!$C$42, 120.8716, 120.8716)* CHOOSE(CONTROL!$C$21, $C$9, 100%, $E$9)</f>
        <v>120.8716</v>
      </c>
      <c r="J992" s="14">
        <f>CHOOSE(CONTROL!$C$42, 120.4693, 120.4693)* CHOOSE(CONTROL!$C$21, $C$9, 100%, $E$9)</f>
        <v>120.4693</v>
      </c>
      <c r="K992" s="53">
        <f>CHOOSE(CONTROL!$C$42, 120.8677, 120.8677) * CHOOSE(CONTROL!$C$21, $C$9, 100%, $E$9)</f>
        <v>120.8677</v>
      </c>
      <c r="L992" s="14">
        <f>CHOOSE(CONTROL!$C$42, 121.3271, 121.3271) * CHOOSE(CONTROL!$C$21, $C$9, 100%, $E$9)</f>
        <v>121.3271</v>
      </c>
      <c r="M992" s="14">
        <f>CHOOSE(CONTROL!$C$42, 118.0087, 118.0087) * CHOOSE(CONTROL!$C$21, $C$9, 100%, $E$9)</f>
        <v>118.0087</v>
      </c>
      <c r="N992" s="14">
        <f>CHOOSE(CONTROL!$C$42, 118.025, 118.025) * CHOOSE(CONTROL!$C$21, $C$9, 100%, $E$9)</f>
        <v>118.02500000000001</v>
      </c>
      <c r="O992" s="14">
        <f>CHOOSE(CONTROL!$C$42, 118.2739, 118.2739) * CHOOSE(CONTROL!$C$21, $C$9, 100%, $E$9)</f>
        <v>118.2739</v>
      </c>
      <c r="P992" s="14">
        <f>CHOOSE(CONTROL!$C$42, 118.3952, 118.3952) * CHOOSE(CONTROL!$C$21, $C$9, 100%, $E$9)</f>
        <v>118.3952</v>
      </c>
      <c r="Q992" s="14">
        <f>CHOOSE(CONTROL!$C$42, 118.8686, 118.8686) * CHOOSE(CONTROL!$C$21, $C$9, 100%, $E$9)</f>
        <v>118.8686</v>
      </c>
      <c r="R992" s="14">
        <f>CHOOSE(CONTROL!$C$42, 119.7528, 119.7528) * CHOOSE(CONTROL!$C$21, $C$9, 100%, $E$9)</f>
        <v>119.75279999999999</v>
      </c>
      <c r="S992" s="14">
        <f>CHOOSE(CONTROL!$C$42, 115.757, 115.757) * CHOOSE(CONTROL!$C$21, $C$9, 100%, $E$9)</f>
        <v>115.75700000000001</v>
      </c>
      <c r="T9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7">
        <f>(1000*CHOOSE(CONTROL!$C$42, 695, 695)*CHOOSE(CONTROL!$C$42, 0.5599, 0.5599)*CHOOSE(CONTROL!$C$42, 31, 31))/1000000</f>
        <v>12.063045499999998</v>
      </c>
      <c r="V992" s="57">
        <f>(1000*CHOOSE(CONTROL!$C$42, 500, 500)*CHOOSE(CONTROL!$C$42, 0.275, 0.275)*CHOOSE(CONTROL!$C$42, 31, 31))/1000000</f>
        <v>4.2625000000000002</v>
      </c>
      <c r="W992" s="57">
        <f>(1000*CHOOSE(CONTROL!$C$42, 0.1146, 0.1146)*CHOOSE(CONTROL!$C$42, 121.5, 121.5)*CHOOSE(CONTROL!$C$42, 31, 31))/1000000</f>
        <v>0.43164089999999994</v>
      </c>
      <c r="X992" s="57">
        <f>(31*0.1790888*245000/1000000)+(31*0.2374*100000/1000000)</f>
        <v>2.0961194359999999</v>
      </c>
      <c r="Y992" s="57"/>
      <c r="Z992" s="14"/>
      <c r="AA992" s="56"/>
      <c r="AB992" s="50">
        <f>(B992*194.205+C992*267.466+D992*133.845+E992*53.484+F992*40+G992*185+H992*0+I992*100+J992*300)/(194.205+267.466+133.845+53.484+0+40+185+100+300)</f>
        <v>120.54770153877551</v>
      </c>
      <c r="AC992" s="45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118.18544820143886</v>
      </c>
    </row>
    <row r="993" spans="1:29" ht="15.75" x14ac:dyDescent="0.25">
      <c r="A993" s="32">
        <v>71132</v>
      </c>
      <c r="B993" s="14">
        <f>CHOOSE(CONTROL!$C$42, 112.8298, 112.8298) * CHOOSE(CONTROL!$C$21, $C$9, 100%, $E$9)</f>
        <v>112.82980000000001</v>
      </c>
      <c r="C993" s="14">
        <f>CHOOSE(CONTROL!$C$42, 112.8378, 112.8378) * CHOOSE(CONTROL!$C$21, $C$9, 100%, $E$9)</f>
        <v>112.8378</v>
      </c>
      <c r="D993" s="14">
        <f>CHOOSE(CONTROL!$C$42, 113.0714, 113.0714) * CHOOSE(CONTROL!$C$21, $C$9, 100%, $E$9)</f>
        <v>113.0714</v>
      </c>
      <c r="E993" s="14">
        <f>CHOOSE(CONTROL!$C$42, 113.1029, 113.1029) * CHOOSE(CONTROL!$C$21, $C$9, 100%, $E$9)</f>
        <v>113.10290000000001</v>
      </c>
      <c r="F993" s="14">
        <f>CHOOSE(CONTROL!$C$42, 112.8278, 112.8278)*CHOOSE(CONTROL!$C$21, $C$9, 100%, $E$9)</f>
        <v>112.8278</v>
      </c>
      <c r="G993" s="14">
        <f>CHOOSE(CONTROL!$C$42, 112.8444, 112.8444)*CHOOSE(CONTROL!$C$21, $C$9, 100%, $E$9)</f>
        <v>112.84439999999999</v>
      </c>
      <c r="H993" s="14">
        <f>CHOOSE(CONTROL!$C$42, 113.0915, 113.0915) * CHOOSE(CONTROL!$C$21, $C$9, 100%, $E$9)</f>
        <v>113.0915</v>
      </c>
      <c r="I993" s="14">
        <f>CHOOSE(CONTROL!$C$42, 113.199, 113.199)* CHOOSE(CONTROL!$C$21, $C$9, 100%, $E$9)</f>
        <v>113.199</v>
      </c>
      <c r="J993" s="14">
        <f>CHOOSE(CONTROL!$C$42, 112.8208, 112.8208)* CHOOSE(CONTROL!$C$21, $C$9, 100%, $E$9)</f>
        <v>112.82080000000001</v>
      </c>
      <c r="K993" s="53">
        <f>CHOOSE(CONTROL!$C$42, 113.1951, 113.1951) * CHOOSE(CONTROL!$C$21, $C$9, 100%, $E$9)</f>
        <v>113.1951</v>
      </c>
      <c r="L993" s="14">
        <f>CHOOSE(CONTROL!$C$42, 113.6785, 113.6785) * CHOOSE(CONTROL!$C$21, $C$9, 100%, $E$9)</f>
        <v>113.6785</v>
      </c>
      <c r="M993" s="14">
        <f>CHOOSE(CONTROL!$C$42, 110.5169, 110.5169) * CHOOSE(CONTROL!$C$21, $C$9, 100%, $E$9)</f>
        <v>110.51690000000001</v>
      </c>
      <c r="N993" s="14">
        <f>CHOOSE(CONTROL!$C$42, 110.5332, 110.5332) * CHOOSE(CONTROL!$C$21, $C$9, 100%, $E$9)</f>
        <v>110.53319999999999</v>
      </c>
      <c r="O993" s="14">
        <f>CHOOSE(CONTROL!$C$42, 110.782, 110.782) * CHOOSE(CONTROL!$C$21, $C$9, 100%, $E$9)</f>
        <v>110.782</v>
      </c>
      <c r="P993" s="14">
        <f>CHOOSE(CONTROL!$C$42, 110.8803, 110.8803) * CHOOSE(CONTROL!$C$21, $C$9, 100%, $E$9)</f>
        <v>110.88030000000001</v>
      </c>
      <c r="Q993" s="14">
        <f>CHOOSE(CONTROL!$C$42, 111.3767, 111.3767) * CHOOSE(CONTROL!$C$21, $C$9, 100%, $E$9)</f>
        <v>111.3767</v>
      </c>
      <c r="R993" s="14">
        <f>CHOOSE(CONTROL!$C$42, 112.2422, 112.2422) * CHOOSE(CONTROL!$C$21, $C$9, 100%, $E$9)</f>
        <v>112.2422</v>
      </c>
      <c r="S993" s="14">
        <f>CHOOSE(CONTROL!$C$42, 108.4075, 108.4075) * CHOOSE(CONTROL!$C$21, $C$9, 100%, $E$9)</f>
        <v>108.4075</v>
      </c>
      <c r="T9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7">
        <f>(1000*CHOOSE(CONTROL!$C$42, 695, 695)*CHOOSE(CONTROL!$C$42, 0.5599, 0.5599)*CHOOSE(CONTROL!$C$42, 30, 30))/1000000</f>
        <v>11.673914999999997</v>
      </c>
      <c r="V993" s="57">
        <f>(1000*CHOOSE(CONTROL!$C$42, 500, 500)*CHOOSE(CONTROL!$C$42, 0.275, 0.275)*CHOOSE(CONTROL!$C$42, 30, 30))/1000000</f>
        <v>4.125</v>
      </c>
      <c r="W993" s="57">
        <f>(1000*CHOOSE(CONTROL!$C$42, 0.1146, 0.1146)*CHOOSE(CONTROL!$C$42, 121.5, 121.5)*CHOOSE(CONTROL!$C$42, 30, 30))/1000000</f>
        <v>0.417717</v>
      </c>
      <c r="X993" s="57">
        <f>(30*0.1790888*245000/1000000)+(30*0.2374*100000/1000000)</f>
        <v>2.0285026799999999</v>
      </c>
      <c r="Y993" s="57"/>
      <c r="Z993" s="14"/>
      <c r="AA993" s="56"/>
      <c r="AB993" s="50">
        <f>(B993*194.205+C993*267.466+D993*133.845+E993*53.484+F993*40+G993*185+H993*0+I993*100+J993*300)/(194.205+267.466+133.845+53.484+0+40+185+100+300)</f>
        <v>112.89724439591836</v>
      </c>
      <c r="AC993" s="45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110.69027913669066</v>
      </c>
    </row>
    <row r="994" spans="1:29" ht="15.75" x14ac:dyDescent="0.25">
      <c r="A994" s="32">
        <v>71163</v>
      </c>
      <c r="B994" s="14">
        <f>CHOOSE(CONTROL!$C$42, 110.5374, 110.5374) * CHOOSE(CONTROL!$C$21, $C$9, 100%, $E$9)</f>
        <v>110.53740000000001</v>
      </c>
      <c r="C994" s="14">
        <f>CHOOSE(CONTROL!$C$42, 110.5427, 110.5427) * CHOOSE(CONTROL!$C$21, $C$9, 100%, $E$9)</f>
        <v>110.5427</v>
      </c>
      <c r="D994" s="14">
        <f>CHOOSE(CONTROL!$C$42, 110.7812, 110.7812) * CHOOSE(CONTROL!$C$21, $C$9, 100%, $E$9)</f>
        <v>110.7812</v>
      </c>
      <c r="E994" s="14">
        <f>CHOOSE(CONTROL!$C$42, 110.8104, 110.8104) * CHOOSE(CONTROL!$C$21, $C$9, 100%, $E$9)</f>
        <v>110.8104</v>
      </c>
      <c r="F994" s="14">
        <f>CHOOSE(CONTROL!$C$42, 110.5374, 110.5374)*CHOOSE(CONTROL!$C$21, $C$9, 100%, $E$9)</f>
        <v>110.53740000000001</v>
      </c>
      <c r="G994" s="14">
        <f>CHOOSE(CONTROL!$C$42, 110.5536, 110.5536)*CHOOSE(CONTROL!$C$21, $C$9, 100%, $E$9)</f>
        <v>110.5536</v>
      </c>
      <c r="H994" s="14">
        <f>CHOOSE(CONTROL!$C$42, 110.8008, 110.8008) * CHOOSE(CONTROL!$C$21, $C$9, 100%, $E$9)</f>
        <v>110.8008</v>
      </c>
      <c r="I994" s="14">
        <f>CHOOSE(CONTROL!$C$42, 110.9012, 110.9012)* CHOOSE(CONTROL!$C$21, $C$9, 100%, $E$9)</f>
        <v>110.9012</v>
      </c>
      <c r="J994" s="14">
        <f>CHOOSE(CONTROL!$C$42, 110.5304, 110.5304)* CHOOSE(CONTROL!$C$21, $C$9, 100%, $E$9)</f>
        <v>110.5304</v>
      </c>
      <c r="K994" s="53">
        <f>CHOOSE(CONTROL!$C$42, 110.8973, 110.8973) * CHOOSE(CONTROL!$C$21, $C$9, 100%, $E$9)</f>
        <v>110.8973</v>
      </c>
      <c r="L994" s="14">
        <f>CHOOSE(CONTROL!$C$42, 111.3878, 111.3878) * CHOOSE(CONTROL!$C$21, $C$9, 100%, $E$9)</f>
        <v>111.3878</v>
      </c>
      <c r="M994" s="14">
        <f>CHOOSE(CONTROL!$C$42, 108.2734, 108.2734) * CHOOSE(CONTROL!$C$21, $C$9, 100%, $E$9)</f>
        <v>108.2734</v>
      </c>
      <c r="N994" s="14">
        <f>CHOOSE(CONTROL!$C$42, 108.2893, 108.2893) * CHOOSE(CONTROL!$C$21, $C$9, 100%, $E$9)</f>
        <v>108.2893</v>
      </c>
      <c r="O994" s="14">
        <f>CHOOSE(CONTROL!$C$42, 108.5383, 108.5383) * CHOOSE(CONTROL!$C$21, $C$9, 100%, $E$9)</f>
        <v>108.53830000000001</v>
      </c>
      <c r="P994" s="14">
        <f>CHOOSE(CONTROL!$C$42, 108.6297, 108.6297) * CHOOSE(CONTROL!$C$21, $C$9, 100%, $E$9)</f>
        <v>108.6297</v>
      </c>
      <c r="Q994" s="14">
        <f>CHOOSE(CONTROL!$C$42, 109.133, 109.133) * CHOOSE(CONTROL!$C$21, $C$9, 100%, $E$9)</f>
        <v>109.133</v>
      </c>
      <c r="R994" s="14">
        <f>CHOOSE(CONTROL!$C$42, 109.9928, 109.9928) * CHOOSE(CONTROL!$C$21, $C$9, 100%, $E$9)</f>
        <v>109.9928</v>
      </c>
      <c r="S994" s="14">
        <f>CHOOSE(CONTROL!$C$42, 106.2064, 106.2064) * CHOOSE(CONTROL!$C$21, $C$9, 100%, $E$9)</f>
        <v>106.2064</v>
      </c>
      <c r="T9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7">
        <f>(1000*CHOOSE(CONTROL!$C$42, 695, 695)*CHOOSE(CONTROL!$C$42, 0.5599, 0.5599)*CHOOSE(CONTROL!$C$42, 31, 31))/1000000</f>
        <v>12.063045499999998</v>
      </c>
      <c r="V994" s="57">
        <f>(1000*CHOOSE(CONTROL!$C$42, 500, 500)*CHOOSE(CONTROL!$C$42, 0.275, 0.275)*CHOOSE(CONTROL!$C$42, 31, 31))/1000000</f>
        <v>4.2625000000000002</v>
      </c>
      <c r="W994" s="57">
        <f>(1000*CHOOSE(CONTROL!$C$42, 0.1146, 0.1146)*CHOOSE(CONTROL!$C$42, 121.5, 121.5)*CHOOSE(CONTROL!$C$42, 31, 31))/1000000</f>
        <v>0.43164089999999994</v>
      </c>
      <c r="X994" s="57">
        <f>(31*0.1790888*245000/1000000)+(31*0.2374*100000/1000000)</f>
        <v>2.0961194359999999</v>
      </c>
      <c r="Y994" s="57"/>
      <c r="Z994" s="14"/>
      <c r="AA994" s="56"/>
      <c r="AB994" s="50">
        <f>(B994*131.881+C994*277.167+D994*79.08+E994*125.872+F994*40+G994*185+H994*0+I994*100+J994*300)/(131.881+277.167+79.08+125.872+0+40+185+100+300)</f>
        <v>110.61196718732849</v>
      </c>
      <c r="AC994" s="45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108.44564388489209</v>
      </c>
    </row>
    <row r="995" spans="1:29" ht="15.75" x14ac:dyDescent="0.25">
      <c r="A995" s="32">
        <v>71193</v>
      </c>
      <c r="B995" s="14">
        <f>CHOOSE(CONTROL!$C$42, 113.4488, 113.4488) * CHOOSE(CONTROL!$C$21, $C$9, 100%, $E$9)</f>
        <v>113.44880000000001</v>
      </c>
      <c r="C995" s="14">
        <f>CHOOSE(CONTROL!$C$42, 113.4538, 113.4538) * CHOOSE(CONTROL!$C$21, $C$9, 100%, $E$9)</f>
        <v>113.4538</v>
      </c>
      <c r="D995" s="14">
        <f>CHOOSE(CONTROL!$C$42, 113.528, 113.528) * CHOOSE(CONTROL!$C$21, $C$9, 100%, $E$9)</f>
        <v>113.52800000000001</v>
      </c>
      <c r="E995" s="14">
        <f>CHOOSE(CONTROL!$C$42, 113.5621, 113.5621) * CHOOSE(CONTROL!$C$21, $C$9, 100%, $E$9)</f>
        <v>113.5621</v>
      </c>
      <c r="F995" s="14">
        <f>CHOOSE(CONTROL!$C$42, 113.4608, 113.4608)*CHOOSE(CONTROL!$C$21, $C$9, 100%, $E$9)</f>
        <v>113.46080000000001</v>
      </c>
      <c r="G995" s="14">
        <f>CHOOSE(CONTROL!$C$42, 113.4774, 113.4774)*CHOOSE(CONTROL!$C$21, $C$9, 100%, $E$9)</f>
        <v>113.4774</v>
      </c>
      <c r="H995" s="14">
        <f>CHOOSE(CONTROL!$C$42, 113.5513, 113.5513) * CHOOSE(CONTROL!$C$21, $C$9, 100%, $E$9)</f>
        <v>113.5513</v>
      </c>
      <c r="I995" s="14">
        <f>CHOOSE(CONTROL!$C$42, 113.8284, 113.8284)* CHOOSE(CONTROL!$C$21, $C$9, 100%, $E$9)</f>
        <v>113.8284</v>
      </c>
      <c r="J995" s="14">
        <f>CHOOSE(CONTROL!$C$42, 113.4538, 113.4538)* CHOOSE(CONTROL!$C$21, $C$9, 100%, $E$9)</f>
        <v>113.4538</v>
      </c>
      <c r="K995" s="53">
        <f>CHOOSE(CONTROL!$C$42, 113.8245, 113.8245) * CHOOSE(CONTROL!$C$21, $C$9, 100%, $E$9)</f>
        <v>113.8245</v>
      </c>
      <c r="L995" s="14">
        <f>CHOOSE(CONTROL!$C$42, 114.1383, 114.1383) * CHOOSE(CONTROL!$C$21, $C$9, 100%, $E$9)</f>
        <v>114.1383</v>
      </c>
      <c r="M995" s="14">
        <f>CHOOSE(CONTROL!$C$42, 111.1369, 111.1369) * CHOOSE(CONTROL!$C$21, $C$9, 100%, $E$9)</f>
        <v>111.1369</v>
      </c>
      <c r="N995" s="14">
        <f>CHOOSE(CONTROL!$C$42, 111.1532, 111.1532) * CHOOSE(CONTROL!$C$21, $C$9, 100%, $E$9)</f>
        <v>111.1532</v>
      </c>
      <c r="O995" s="14">
        <f>CHOOSE(CONTROL!$C$42, 111.2324, 111.2324) * CHOOSE(CONTROL!$C$21, $C$9, 100%, $E$9)</f>
        <v>111.2324</v>
      </c>
      <c r="P995" s="14">
        <f>CHOOSE(CONTROL!$C$42, 111.4967, 111.4967) * CHOOSE(CONTROL!$C$21, $C$9, 100%, $E$9)</f>
        <v>111.4967</v>
      </c>
      <c r="Q995" s="14">
        <f>CHOOSE(CONTROL!$C$42, 111.8271, 111.8271) * CHOOSE(CONTROL!$C$21, $C$9, 100%, $E$9)</f>
        <v>111.8271</v>
      </c>
      <c r="R995" s="14">
        <f>CHOOSE(CONTROL!$C$42, 112.6937, 112.6937) * CHOOSE(CONTROL!$C$21, $C$9, 100%, $E$9)</f>
        <v>112.69370000000001</v>
      </c>
      <c r="S995" s="14">
        <f>CHOOSE(CONTROL!$C$42, 109.0044, 109.0044) * CHOOSE(CONTROL!$C$21, $C$9, 100%, $E$9)</f>
        <v>109.0044</v>
      </c>
      <c r="T9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7">
        <f>(1000*CHOOSE(CONTROL!$C$42, 695, 695)*CHOOSE(CONTROL!$C$42, 0.5599, 0.5599)*CHOOSE(CONTROL!$C$42, 30, 30))/1000000</f>
        <v>11.673914999999997</v>
      </c>
      <c r="V995" s="57">
        <f>(1000*CHOOSE(CONTROL!$C$42, 500, 500)*CHOOSE(CONTROL!$C$42, 0.275, 0.275)*CHOOSE(CONTROL!$C$42, 30, 30))/1000000</f>
        <v>4.125</v>
      </c>
      <c r="W995" s="57">
        <f>(1000*CHOOSE(CONTROL!$C$42, 0.1146, 0.1146)*CHOOSE(CONTROL!$C$42, 121.5, 121.5)*CHOOSE(CONTROL!$C$42, 30, 30))/1000000</f>
        <v>0.417717</v>
      </c>
      <c r="X995" s="57">
        <f>(30*0.1790888*100000/1000000)+(30*0.2374*100000/1000000)</f>
        <v>1.2494664</v>
      </c>
      <c r="Y995" s="57"/>
      <c r="Z995" s="14"/>
      <c r="AA995" s="56"/>
      <c r="AB995" s="50">
        <f>(B995*122.58+C995*297.941+D995*89.177+E995*40.302+F995*40+G995*160+H995*0+I995*100+J995*300)/(122.58+297.941+89.177+40.302+0+40+160+100+300)</f>
        <v>113.49891716521739</v>
      </c>
      <c r="AC995" s="45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111.23289208633093</v>
      </c>
    </row>
    <row r="996" spans="1:29" ht="15.75" x14ac:dyDescent="0.25">
      <c r="A996" s="32">
        <v>71224</v>
      </c>
      <c r="B996" s="14">
        <f>CHOOSE(CONTROL!$C$42, 121.183, 121.183) * CHOOSE(CONTROL!$C$21, $C$9, 100%, $E$9)</f>
        <v>121.18300000000001</v>
      </c>
      <c r="C996" s="14">
        <f>CHOOSE(CONTROL!$C$42, 121.188, 121.188) * CHOOSE(CONTROL!$C$21, $C$9, 100%, $E$9)</f>
        <v>121.188</v>
      </c>
      <c r="D996" s="14">
        <f>CHOOSE(CONTROL!$C$42, 121.2623, 121.2623) * CHOOSE(CONTROL!$C$21, $C$9, 100%, $E$9)</f>
        <v>121.2623</v>
      </c>
      <c r="E996" s="14">
        <f>CHOOSE(CONTROL!$C$42, 121.2964, 121.2964) * CHOOSE(CONTROL!$C$21, $C$9, 100%, $E$9)</f>
        <v>121.29640000000001</v>
      </c>
      <c r="F996" s="14">
        <f>CHOOSE(CONTROL!$C$42, 121.1972, 121.1972)*CHOOSE(CONTROL!$C$21, $C$9, 100%, $E$9)</f>
        <v>121.1972</v>
      </c>
      <c r="G996" s="14">
        <f>CHOOSE(CONTROL!$C$42, 121.2144, 121.2144)*CHOOSE(CONTROL!$C$21, $C$9, 100%, $E$9)</f>
        <v>121.2144</v>
      </c>
      <c r="H996" s="14">
        <f>CHOOSE(CONTROL!$C$42, 121.2856, 121.2856) * CHOOSE(CONTROL!$C$21, $C$9, 100%, $E$9)</f>
        <v>121.2856</v>
      </c>
      <c r="I996" s="14">
        <f>CHOOSE(CONTROL!$C$42, 121.5868, 121.5868)* CHOOSE(CONTROL!$C$21, $C$9, 100%, $E$9)</f>
        <v>121.5868</v>
      </c>
      <c r="J996" s="14">
        <f>CHOOSE(CONTROL!$C$42, 121.1902, 121.1902)* CHOOSE(CONTROL!$C$21, $C$9, 100%, $E$9)</f>
        <v>121.1902</v>
      </c>
      <c r="K996" s="53">
        <f>CHOOSE(CONTROL!$C$42, 121.5829, 121.5829) * CHOOSE(CONTROL!$C$21, $C$9, 100%, $E$9)</f>
        <v>121.5829</v>
      </c>
      <c r="L996" s="14">
        <f>CHOOSE(CONTROL!$C$42, 121.8726, 121.8726) * CHOOSE(CONTROL!$C$21, $C$9, 100%, $E$9)</f>
        <v>121.87260000000001</v>
      </c>
      <c r="M996" s="14">
        <f>CHOOSE(CONTROL!$C$42, 118.7148, 118.7148) * CHOOSE(CONTROL!$C$21, $C$9, 100%, $E$9)</f>
        <v>118.7148</v>
      </c>
      <c r="N996" s="14">
        <f>CHOOSE(CONTROL!$C$42, 118.7316, 118.7316) * CHOOSE(CONTROL!$C$21, $C$9, 100%, $E$9)</f>
        <v>118.7316</v>
      </c>
      <c r="O996" s="14">
        <f>CHOOSE(CONTROL!$C$42, 118.8082, 118.8082) * CHOOSE(CONTROL!$C$21, $C$9, 100%, $E$9)</f>
        <v>118.8082</v>
      </c>
      <c r="P996" s="14">
        <f>CHOOSE(CONTROL!$C$42, 119.0957, 119.0957) * CHOOSE(CONTROL!$C$21, $C$9, 100%, $E$9)</f>
        <v>119.09569999999999</v>
      </c>
      <c r="Q996" s="14">
        <f>CHOOSE(CONTROL!$C$42, 119.4029, 119.4029) * CHOOSE(CONTROL!$C$21, $C$9, 100%, $E$9)</f>
        <v>119.4029</v>
      </c>
      <c r="R996" s="14">
        <f>CHOOSE(CONTROL!$C$42, 120.2884, 120.2884) * CHOOSE(CONTROL!$C$21, $C$9, 100%, $E$9)</f>
        <v>120.2884</v>
      </c>
      <c r="S996" s="14">
        <f>CHOOSE(CONTROL!$C$42, 116.4362, 116.4362) * CHOOSE(CONTROL!$C$21, $C$9, 100%, $E$9)</f>
        <v>116.4362</v>
      </c>
      <c r="T9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7">
        <f>(1000*CHOOSE(CONTROL!$C$42, 695, 695)*CHOOSE(CONTROL!$C$42, 0.5599, 0.5599)*CHOOSE(CONTROL!$C$42, 31, 31))/1000000</f>
        <v>12.063045499999998</v>
      </c>
      <c r="V996" s="57">
        <f>(1000*CHOOSE(CONTROL!$C$42, 500, 500)*CHOOSE(CONTROL!$C$42, 0.275, 0.275)*CHOOSE(CONTROL!$C$42, 31, 31))/1000000</f>
        <v>4.2625000000000002</v>
      </c>
      <c r="W996" s="57">
        <f>(1000*CHOOSE(CONTROL!$C$42, 0.1146, 0.1146)*CHOOSE(CONTROL!$C$42, 121.5, 121.5)*CHOOSE(CONTROL!$C$42, 31, 31))/1000000</f>
        <v>0.43164089999999994</v>
      </c>
      <c r="X996" s="57">
        <f>(31*0.1790888*100000/1000000)+(31*0.2374*100000/1000000)</f>
        <v>1.2911152800000001</v>
      </c>
      <c r="Y996" s="57"/>
      <c r="Z996" s="14"/>
      <c r="AA996" s="56"/>
      <c r="AB996" s="50">
        <f>(B996*122.58+C996*297.941+D996*89.177+E996*40.302+F996*40+G996*160+H996*0+I996*100+J996*300)/(122.58+297.941+89.177+40.302+0+40+160+100+300)</f>
        <v>121.23627277208695</v>
      </c>
      <c r="AC996" s="45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118.81290503597124</v>
      </c>
    </row>
    <row r="997" spans="1:29" ht="15.75" x14ac:dyDescent="0.25">
      <c r="A997" s="32">
        <v>71255</v>
      </c>
      <c r="B997" s="14">
        <f>CHOOSE(CONTROL!$C$42, 131.2283, 131.2283) * CHOOSE(CONTROL!$C$21, $C$9, 100%, $E$9)</f>
        <v>131.22829999999999</v>
      </c>
      <c r="C997" s="14">
        <f>CHOOSE(CONTROL!$C$42, 131.2334, 131.2334) * CHOOSE(CONTROL!$C$21, $C$9, 100%, $E$9)</f>
        <v>131.23339999999999</v>
      </c>
      <c r="D997" s="14">
        <f>CHOOSE(CONTROL!$C$42, 131.3102, 131.3102) * CHOOSE(CONTROL!$C$21, $C$9, 100%, $E$9)</f>
        <v>131.31020000000001</v>
      </c>
      <c r="E997" s="14">
        <f>CHOOSE(CONTROL!$C$42, 131.3443, 131.3443) * CHOOSE(CONTROL!$C$21, $C$9, 100%, $E$9)</f>
        <v>131.3443</v>
      </c>
      <c r="F997" s="14">
        <f>CHOOSE(CONTROL!$C$42, 131.2285, 131.2285)*CHOOSE(CONTROL!$C$21, $C$9, 100%, $E$9)</f>
        <v>131.2285</v>
      </c>
      <c r="G997" s="14">
        <f>CHOOSE(CONTROL!$C$42, 131.2448, 131.2448)*CHOOSE(CONTROL!$C$21, $C$9, 100%, $E$9)</f>
        <v>131.2448</v>
      </c>
      <c r="H997" s="14">
        <f>CHOOSE(CONTROL!$C$42, 131.3335, 131.3335) * CHOOSE(CONTROL!$C$21, $C$9, 100%, $E$9)</f>
        <v>131.33349999999999</v>
      </c>
      <c r="I997" s="14">
        <f>CHOOSE(CONTROL!$C$42, 131.6574, 131.6574)* CHOOSE(CONTROL!$C$21, $C$9, 100%, $E$9)</f>
        <v>131.6574</v>
      </c>
      <c r="J997" s="14">
        <f>CHOOSE(CONTROL!$C$42, 131.2215, 131.2215)* CHOOSE(CONTROL!$C$21, $C$9, 100%, $E$9)</f>
        <v>131.22149999999999</v>
      </c>
      <c r="K997" s="53">
        <f>CHOOSE(CONTROL!$C$42, 131.6535, 131.6535) * CHOOSE(CONTROL!$C$21, $C$9, 100%, $E$9)</f>
        <v>131.65350000000001</v>
      </c>
      <c r="L997" s="14">
        <f>CHOOSE(CONTROL!$C$42, 131.9205, 131.9205) * CHOOSE(CONTROL!$C$21, $C$9, 100%, $E$9)</f>
        <v>131.9205</v>
      </c>
      <c r="M997" s="14">
        <f>CHOOSE(CONTROL!$C$42, 128.5406, 128.5406) * CHOOSE(CONTROL!$C$21, $C$9, 100%, $E$9)</f>
        <v>128.54060000000001</v>
      </c>
      <c r="N997" s="14">
        <f>CHOOSE(CONTROL!$C$42, 128.5565, 128.5565) * CHOOSE(CONTROL!$C$21, $C$9, 100%, $E$9)</f>
        <v>128.5565</v>
      </c>
      <c r="O997" s="14">
        <f>CHOOSE(CONTROL!$C$42, 128.6503, 128.6503) * CHOOSE(CONTROL!$C$21, $C$9, 100%, $E$9)</f>
        <v>128.65029999999999</v>
      </c>
      <c r="P997" s="14">
        <f>CHOOSE(CONTROL!$C$42, 128.9593, 128.9593) * CHOOSE(CONTROL!$C$21, $C$9, 100%, $E$9)</f>
        <v>128.95930000000001</v>
      </c>
      <c r="Q997" s="14">
        <f>CHOOSE(CONTROL!$C$42, 129.245, 129.245) * CHOOSE(CONTROL!$C$21, $C$9, 100%, $E$9)</f>
        <v>129.245</v>
      </c>
      <c r="R997" s="14">
        <f>CHOOSE(CONTROL!$C$42, 130.1551, 130.1551) * CHOOSE(CONTROL!$C$21, $C$9, 100%, $E$9)</f>
        <v>130.1551</v>
      </c>
      <c r="S997" s="14">
        <f>CHOOSE(CONTROL!$C$42, 126.0888, 126.0888) * CHOOSE(CONTROL!$C$21, $C$9, 100%, $E$9)</f>
        <v>126.08880000000001</v>
      </c>
      <c r="T9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7">
        <f>(1000*CHOOSE(CONTROL!$C$42, 695, 695)*CHOOSE(CONTROL!$C$42, 0.5599, 0.5599)*CHOOSE(CONTROL!$C$42, 31, 31))/1000000</f>
        <v>12.063045499999998</v>
      </c>
      <c r="V997" s="57">
        <f>(1000*CHOOSE(CONTROL!$C$42, 500, 500)*CHOOSE(CONTROL!$C$42, 0.275, 0.275)*CHOOSE(CONTROL!$C$42, 31, 31))/1000000</f>
        <v>4.2625000000000002</v>
      </c>
      <c r="W997" s="57">
        <f>(1000*CHOOSE(CONTROL!$C$42, 0.1146, 0.1146)*CHOOSE(CONTROL!$C$42, 121.5, 121.5)*CHOOSE(CONTROL!$C$42, 31, 31))/1000000</f>
        <v>0.43164089999999994</v>
      </c>
      <c r="X997" s="57">
        <f>(31*0.1790888*100000/1000000)+(31*0.2374*100000/1000000)</f>
        <v>1.2911152800000001</v>
      </c>
      <c r="Y997" s="57"/>
      <c r="Z997" s="14"/>
      <c r="AA997" s="56"/>
      <c r="AB997" s="50">
        <f>(B997*122.58+C997*297.941+D997*89.177+E997*40.302+F997*40+G997*160+H997*0+I997*100+J997*300)/(122.58+297.941+89.177+40.302+0+40+160+100+300)</f>
        <v>131.27787924121739</v>
      </c>
      <c r="AC997" s="45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128.65147985611512</v>
      </c>
    </row>
    <row r="998" spans="1:29" ht="15.75" x14ac:dyDescent="0.25">
      <c r="A998" s="32">
        <v>71283</v>
      </c>
      <c r="B998" s="14">
        <f>CHOOSE(CONTROL!$C$42, 133.5642, 133.5642) * CHOOSE(CONTROL!$C$21, $C$9, 100%, $E$9)</f>
        <v>133.5642</v>
      </c>
      <c r="C998" s="14">
        <f>CHOOSE(CONTROL!$C$42, 133.5693, 133.5693) * CHOOSE(CONTROL!$C$21, $C$9, 100%, $E$9)</f>
        <v>133.5693</v>
      </c>
      <c r="D998" s="14">
        <f>CHOOSE(CONTROL!$C$42, 133.6461, 133.6461) * CHOOSE(CONTROL!$C$21, $C$9, 100%, $E$9)</f>
        <v>133.64609999999999</v>
      </c>
      <c r="E998" s="14">
        <f>CHOOSE(CONTROL!$C$42, 133.6802, 133.6802) * CHOOSE(CONTROL!$C$21, $C$9, 100%, $E$9)</f>
        <v>133.68020000000001</v>
      </c>
      <c r="F998" s="14">
        <f>CHOOSE(CONTROL!$C$42, 133.5645, 133.5645)*CHOOSE(CONTROL!$C$21, $C$9, 100%, $E$9)</f>
        <v>133.56450000000001</v>
      </c>
      <c r="G998" s="14">
        <f>CHOOSE(CONTROL!$C$42, 133.5807, 133.5807)*CHOOSE(CONTROL!$C$21, $C$9, 100%, $E$9)</f>
        <v>133.58070000000001</v>
      </c>
      <c r="H998" s="14">
        <f>CHOOSE(CONTROL!$C$42, 133.6694, 133.6694) * CHOOSE(CONTROL!$C$21, $C$9, 100%, $E$9)</f>
        <v>133.6694</v>
      </c>
      <c r="I998" s="14">
        <f>CHOOSE(CONTROL!$C$42, 134.0006, 134.0006)* CHOOSE(CONTROL!$C$21, $C$9, 100%, $E$9)</f>
        <v>134.00059999999999</v>
      </c>
      <c r="J998" s="14">
        <f>CHOOSE(CONTROL!$C$42, 133.5575, 133.5575)* CHOOSE(CONTROL!$C$21, $C$9, 100%, $E$9)</f>
        <v>133.5575</v>
      </c>
      <c r="K998" s="53">
        <f>CHOOSE(CONTROL!$C$42, 133.9967, 133.9967) * CHOOSE(CONTROL!$C$21, $C$9, 100%, $E$9)</f>
        <v>133.9967</v>
      </c>
      <c r="L998" s="14">
        <f>CHOOSE(CONTROL!$C$42, 134.2564, 134.2564) * CHOOSE(CONTROL!$C$21, $C$9, 100%, $E$9)</f>
        <v>134.25640000000001</v>
      </c>
      <c r="M998" s="14">
        <f>CHOOSE(CONTROL!$C$42, 130.8287, 130.8287) * CHOOSE(CONTROL!$C$21, $C$9, 100%, $E$9)</f>
        <v>130.8287</v>
      </c>
      <c r="N998" s="14">
        <f>CHOOSE(CONTROL!$C$42, 130.8446, 130.8446) * CHOOSE(CONTROL!$C$21, $C$9, 100%, $E$9)</f>
        <v>130.84460000000001</v>
      </c>
      <c r="O998" s="14">
        <f>CHOOSE(CONTROL!$C$42, 130.9383, 130.9383) * CHOOSE(CONTROL!$C$21, $C$9, 100%, $E$9)</f>
        <v>130.9383</v>
      </c>
      <c r="P998" s="14">
        <f>CHOOSE(CONTROL!$C$42, 131.2544, 131.2544) * CHOOSE(CONTROL!$C$21, $C$9, 100%, $E$9)</f>
        <v>131.2544</v>
      </c>
      <c r="Q998" s="14">
        <f>CHOOSE(CONTROL!$C$42, 131.533, 131.533) * CHOOSE(CONTROL!$C$21, $C$9, 100%, $E$9)</f>
        <v>131.53299999999999</v>
      </c>
      <c r="R998" s="14">
        <f>CHOOSE(CONTROL!$C$42, 132.4488, 132.4488) * CHOOSE(CONTROL!$C$21, $C$9, 100%, $E$9)</f>
        <v>132.44880000000001</v>
      </c>
      <c r="S998" s="14">
        <f>CHOOSE(CONTROL!$C$42, 128.3333, 128.3333) * CHOOSE(CONTROL!$C$21, $C$9, 100%, $E$9)</f>
        <v>128.33330000000001</v>
      </c>
      <c r="T9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7">
        <f>(1000*CHOOSE(CONTROL!$C$42, 695, 695)*CHOOSE(CONTROL!$C$42, 0.5599, 0.5599)*CHOOSE(CONTROL!$C$42, 28, 28))/1000000</f>
        <v>10.895653999999999</v>
      </c>
      <c r="V998" s="57">
        <f>(1000*CHOOSE(CONTROL!$C$42, 500, 500)*CHOOSE(CONTROL!$C$42, 0.275, 0.275)*CHOOSE(CONTROL!$C$42, 28, 28))/1000000</f>
        <v>3.85</v>
      </c>
      <c r="W998" s="57">
        <f>(1000*CHOOSE(CONTROL!$C$42, 0.1146, 0.1146)*CHOOSE(CONTROL!$C$42, 121.5, 121.5)*CHOOSE(CONTROL!$C$42, 28, 28))/1000000</f>
        <v>0.38986920000000003</v>
      </c>
      <c r="X998" s="57">
        <f>(28*0.1790888*100000/1000000)+(28*0.2374*100000/1000000)</f>
        <v>1.16616864</v>
      </c>
      <c r="Y998" s="57"/>
      <c r="Z998" s="14"/>
      <c r="AA998" s="56"/>
      <c r="AB998" s="50">
        <f>(B998*122.58+C998*297.941+D998*89.177+E998*40.302+F998*40+G998*160+H998*0+I998*100+J998*300)/(122.58+297.941+89.177+40.302+0+40+160+100+300)</f>
        <v>133.61444358904345</v>
      </c>
      <c r="AC998" s="45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130.9405417266187</v>
      </c>
    </row>
    <row r="999" spans="1:29" ht="15.75" x14ac:dyDescent="0.25">
      <c r="A999" s="32">
        <v>71314</v>
      </c>
      <c r="B999" s="14">
        <f>CHOOSE(CONTROL!$C$42, 129.7725, 129.7725) * CHOOSE(CONTROL!$C$21, $C$9, 100%, $E$9)</f>
        <v>129.77250000000001</v>
      </c>
      <c r="C999" s="14">
        <f>CHOOSE(CONTROL!$C$42, 129.7776, 129.7776) * CHOOSE(CONTROL!$C$21, $C$9, 100%, $E$9)</f>
        <v>129.77760000000001</v>
      </c>
      <c r="D999" s="14">
        <f>CHOOSE(CONTROL!$C$42, 129.8544, 129.8544) * CHOOSE(CONTROL!$C$21, $C$9, 100%, $E$9)</f>
        <v>129.8544</v>
      </c>
      <c r="E999" s="14">
        <f>CHOOSE(CONTROL!$C$42, 129.8885, 129.8885) * CHOOSE(CONTROL!$C$21, $C$9, 100%, $E$9)</f>
        <v>129.88849999999999</v>
      </c>
      <c r="F999" s="14">
        <f>CHOOSE(CONTROL!$C$42, 129.7723, 129.7723)*CHOOSE(CONTROL!$C$21, $C$9, 100%, $E$9)</f>
        <v>129.7723</v>
      </c>
      <c r="G999" s="14">
        <f>CHOOSE(CONTROL!$C$42, 129.7884, 129.7884)*CHOOSE(CONTROL!$C$21, $C$9, 100%, $E$9)</f>
        <v>129.7884</v>
      </c>
      <c r="H999" s="14">
        <f>CHOOSE(CONTROL!$C$42, 129.8777, 129.8777) * CHOOSE(CONTROL!$C$21, $C$9, 100%, $E$9)</f>
        <v>129.8777</v>
      </c>
      <c r="I999" s="14">
        <f>CHOOSE(CONTROL!$C$42, 130.197, 130.197)* CHOOSE(CONTROL!$C$21, $C$9, 100%, $E$9)</f>
        <v>130.197</v>
      </c>
      <c r="J999" s="14">
        <f>CHOOSE(CONTROL!$C$42, 129.7653, 129.7653)* CHOOSE(CONTROL!$C$21, $C$9, 100%, $E$9)</f>
        <v>129.7653</v>
      </c>
      <c r="K999" s="53">
        <f>CHOOSE(CONTROL!$C$42, 130.1931, 130.1931) * CHOOSE(CONTROL!$C$21, $C$9, 100%, $E$9)</f>
        <v>130.19309999999999</v>
      </c>
      <c r="L999" s="14">
        <f>CHOOSE(CONTROL!$C$42, 130.4647, 130.4647) * CHOOSE(CONTROL!$C$21, $C$9, 100%, $E$9)</f>
        <v>130.46469999999999</v>
      </c>
      <c r="M999" s="14">
        <f>CHOOSE(CONTROL!$C$42, 127.1142, 127.1142) * CHOOSE(CONTROL!$C$21, $C$9, 100%, $E$9)</f>
        <v>127.1142</v>
      </c>
      <c r="N999" s="14">
        <f>CHOOSE(CONTROL!$C$42, 127.13, 127.13) * CHOOSE(CONTROL!$C$21, $C$9, 100%, $E$9)</f>
        <v>127.13</v>
      </c>
      <c r="O999" s="14">
        <f>CHOOSE(CONTROL!$C$42, 127.2243, 127.2243) * CHOOSE(CONTROL!$C$21, $C$9, 100%, $E$9)</f>
        <v>127.2243</v>
      </c>
      <c r="P999" s="14">
        <f>CHOOSE(CONTROL!$C$42, 127.5289, 127.5289) * CHOOSE(CONTROL!$C$21, $C$9, 100%, $E$9)</f>
        <v>127.52889999999999</v>
      </c>
      <c r="Q999" s="14">
        <f>CHOOSE(CONTROL!$C$42, 127.819, 127.819) * CHOOSE(CONTROL!$C$21, $C$9, 100%, $E$9)</f>
        <v>127.819</v>
      </c>
      <c r="R999" s="14">
        <f>CHOOSE(CONTROL!$C$42, 128.7255, 128.7255) * CHOOSE(CONTROL!$C$21, $C$9, 100%, $E$9)</f>
        <v>128.72550000000001</v>
      </c>
      <c r="S999" s="14">
        <f>CHOOSE(CONTROL!$C$42, 124.6899, 124.6899) * CHOOSE(CONTROL!$C$21, $C$9, 100%, $E$9)</f>
        <v>124.68989999999999</v>
      </c>
      <c r="T9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7">
        <f>(1000*CHOOSE(CONTROL!$C$42, 695, 695)*CHOOSE(CONTROL!$C$42, 0.5599, 0.5599)*CHOOSE(CONTROL!$C$42, 31, 31))/1000000</f>
        <v>12.063045499999998</v>
      </c>
      <c r="V999" s="57">
        <f>(1000*CHOOSE(CONTROL!$C$42, 500, 500)*CHOOSE(CONTROL!$C$42, 0.275, 0.275)*CHOOSE(CONTROL!$C$42, 31, 31))/1000000</f>
        <v>4.2625000000000002</v>
      </c>
      <c r="W999" s="57">
        <f>(1000*CHOOSE(CONTROL!$C$42, 0.1146, 0.1146)*CHOOSE(CONTROL!$C$42, 121.5, 121.5)*CHOOSE(CONTROL!$C$42, 31, 31))/1000000</f>
        <v>0.43164089999999994</v>
      </c>
      <c r="X999" s="57">
        <f>(31*0.1790888*100000/1000000)+(31*0.2374*100000/1000000)</f>
        <v>1.2911152800000001</v>
      </c>
      <c r="Y999" s="57"/>
      <c r="Z999" s="14"/>
      <c r="AA999" s="56"/>
      <c r="AB999" s="50">
        <f>(B999*122.58+C999*297.941+D999*89.177+E999*40.302+F999*40+G999*160+H999*0+I999*100+J999*300)/(122.58+297.941+89.177+40.302+0+40+160+100+300)</f>
        <v>129.82147750208696</v>
      </c>
      <c r="AC999" s="45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127.2246798561151</v>
      </c>
    </row>
    <row r="1000" spans="1:29" ht="15.75" x14ac:dyDescent="0.25">
      <c r="A1000" s="32">
        <v>71344</v>
      </c>
      <c r="B1000" s="14">
        <f>CHOOSE(CONTROL!$C$42, 129.3852, 129.3852) * CHOOSE(CONTROL!$C$21, $C$9, 100%, $E$9)</f>
        <v>129.3852</v>
      </c>
      <c r="C1000" s="14">
        <f>CHOOSE(CONTROL!$C$42, 129.3897, 129.3897) * CHOOSE(CONTROL!$C$21, $C$9, 100%, $E$9)</f>
        <v>129.3897</v>
      </c>
      <c r="D1000" s="14">
        <f>CHOOSE(CONTROL!$C$42, 129.6264, 129.6264) * CHOOSE(CONTROL!$C$21, $C$9, 100%, $E$9)</f>
        <v>129.62639999999999</v>
      </c>
      <c r="E1000" s="14">
        <f>CHOOSE(CONTROL!$C$42, 129.6585, 129.6585) * CHOOSE(CONTROL!$C$21, $C$9, 100%, $E$9)</f>
        <v>129.6585</v>
      </c>
      <c r="F1000" s="14">
        <f>CHOOSE(CONTROL!$C$42, 129.3832, 129.3832)*CHOOSE(CONTROL!$C$21, $C$9, 100%, $E$9)</f>
        <v>129.38319999999999</v>
      </c>
      <c r="G1000" s="14">
        <f>CHOOSE(CONTROL!$C$42, 129.399, 129.399)*CHOOSE(CONTROL!$C$21, $C$9, 100%, $E$9)</f>
        <v>129.399</v>
      </c>
      <c r="H1000" s="14">
        <f>CHOOSE(CONTROL!$C$42, 129.6483, 129.6483) * CHOOSE(CONTROL!$C$21, $C$9, 100%, $E$9)</f>
        <v>129.64830000000001</v>
      </c>
      <c r="I1000" s="14">
        <f>CHOOSE(CONTROL!$C$42, 129.8077, 129.8077)* CHOOSE(CONTROL!$C$21, $C$9, 100%, $E$9)</f>
        <v>129.80770000000001</v>
      </c>
      <c r="J1000" s="14">
        <f>CHOOSE(CONTROL!$C$42, 129.3762, 129.3762)* CHOOSE(CONTROL!$C$21, $C$9, 100%, $E$9)</f>
        <v>129.37620000000001</v>
      </c>
      <c r="K1000" s="53">
        <f>CHOOSE(CONTROL!$C$42, 129.8038, 129.8038) * CHOOSE(CONTROL!$C$21, $C$9, 100%, $E$9)</f>
        <v>129.8038</v>
      </c>
      <c r="L1000" s="14">
        <f>CHOOSE(CONTROL!$C$42, 130.2353, 130.2353) * CHOOSE(CONTROL!$C$21, $C$9, 100%, $E$9)</f>
        <v>130.2353</v>
      </c>
      <c r="M1000" s="14">
        <f>CHOOSE(CONTROL!$C$42, 126.733, 126.733) * CHOOSE(CONTROL!$C$21, $C$9, 100%, $E$9)</f>
        <v>126.733</v>
      </c>
      <c r="N1000" s="14">
        <f>CHOOSE(CONTROL!$C$42, 126.7485, 126.7485) * CHOOSE(CONTROL!$C$21, $C$9, 100%, $E$9)</f>
        <v>126.74850000000001</v>
      </c>
      <c r="O1000" s="14">
        <f>CHOOSE(CONTROL!$C$42, 126.9996, 126.9996) * CHOOSE(CONTROL!$C$21, $C$9, 100%, $E$9)</f>
        <v>126.9996</v>
      </c>
      <c r="P1000" s="14">
        <f>CHOOSE(CONTROL!$C$42, 127.1476, 127.1476) * CHOOSE(CONTROL!$C$21, $C$9, 100%, $E$9)</f>
        <v>127.1476</v>
      </c>
      <c r="Q1000" s="14">
        <f>CHOOSE(CONTROL!$C$42, 127.5943, 127.5943) * CHOOSE(CONTROL!$C$21, $C$9, 100%, $E$9)</f>
        <v>127.5943</v>
      </c>
      <c r="R1000" s="14">
        <f>CHOOSE(CONTROL!$C$42, 128.5003, 128.5003) * CHOOSE(CONTROL!$C$21, $C$9, 100%, $E$9)</f>
        <v>128.50030000000001</v>
      </c>
      <c r="S1000" s="14">
        <f>CHOOSE(CONTROL!$C$42, 124.317, 124.317) * CHOOSE(CONTROL!$C$21, $C$9, 100%, $E$9)</f>
        <v>124.31699999999999</v>
      </c>
      <c r="T10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7">
        <f>(1000*CHOOSE(CONTROL!$C$42, 695, 695)*CHOOSE(CONTROL!$C$42, 0.5599, 0.5599)*CHOOSE(CONTROL!$C$42, 30, 30))/1000000</f>
        <v>11.673914999999997</v>
      </c>
      <c r="V1000" s="57">
        <f>(1000*CHOOSE(CONTROL!$C$42, 500, 500)*CHOOSE(CONTROL!$C$42, 0.275, 0.275)*CHOOSE(CONTROL!$C$42, 30, 30))/1000000</f>
        <v>4.125</v>
      </c>
      <c r="W1000" s="57">
        <f>(1000*CHOOSE(CONTROL!$C$42, 0.1146, 0.1146)*CHOOSE(CONTROL!$C$42, 121.5, 121.5)*CHOOSE(CONTROL!$C$42, 30, 30))/1000000</f>
        <v>0.417717</v>
      </c>
      <c r="X1000" s="57">
        <f>(30*0.1790888*245000/1000000)+(30*0.2374*100000/1000000)</f>
        <v>2.0285026799999999</v>
      </c>
      <c r="Y1000" s="57"/>
      <c r="Z1000" s="14"/>
      <c r="AA1000" s="56"/>
      <c r="AB1000" s="50">
        <f>(B1000*141.293+C1000*267.993+D1000*115.016+E1000*89.698+F1000*40+G1000*185+H1000*0+I1000*100+J1000*300)/(141.293+267.993+115.016+89.698+0+40+185+100+300)</f>
        <v>129.46226641735271</v>
      </c>
      <c r="AC1000" s="45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126.91437985611509</v>
      </c>
    </row>
    <row r="1001" spans="1:29" ht="15.75" x14ac:dyDescent="0.25">
      <c r="A1001" s="32">
        <v>71375</v>
      </c>
      <c r="B1001" s="14">
        <f>CHOOSE(CONTROL!$C$42, 130.5285, 130.5285) * CHOOSE(CONTROL!$C$21, $C$9, 100%, $E$9)</f>
        <v>130.52850000000001</v>
      </c>
      <c r="C1001" s="14">
        <f>CHOOSE(CONTROL!$C$42, 130.5365, 130.5365) * CHOOSE(CONTROL!$C$21, $C$9, 100%, $E$9)</f>
        <v>130.53649999999999</v>
      </c>
      <c r="D1001" s="14">
        <f>CHOOSE(CONTROL!$C$42, 130.7701, 130.7701) * CHOOSE(CONTROL!$C$21, $C$9, 100%, $E$9)</f>
        <v>130.77010000000001</v>
      </c>
      <c r="E1001" s="14">
        <f>CHOOSE(CONTROL!$C$42, 130.8016, 130.8016) * CHOOSE(CONTROL!$C$21, $C$9, 100%, $E$9)</f>
        <v>130.80160000000001</v>
      </c>
      <c r="F1001" s="14">
        <f>CHOOSE(CONTROL!$C$42, 130.5253, 130.5253)*CHOOSE(CONTROL!$C$21, $C$9, 100%, $E$9)</f>
        <v>130.52529999999999</v>
      </c>
      <c r="G1001" s="14">
        <f>CHOOSE(CONTROL!$C$42, 130.5416, 130.5416)*CHOOSE(CONTROL!$C$21, $C$9, 100%, $E$9)</f>
        <v>130.54159999999999</v>
      </c>
      <c r="H1001" s="14">
        <f>CHOOSE(CONTROL!$C$42, 130.7902, 130.7902) * CHOOSE(CONTROL!$C$21, $C$9, 100%, $E$9)</f>
        <v>130.7902</v>
      </c>
      <c r="I1001" s="14">
        <f>CHOOSE(CONTROL!$C$42, 130.9532, 130.9532)* CHOOSE(CONTROL!$C$21, $C$9, 100%, $E$9)</f>
        <v>130.95320000000001</v>
      </c>
      <c r="J1001" s="14">
        <f>CHOOSE(CONTROL!$C$42, 130.5183, 130.5183)* CHOOSE(CONTROL!$C$21, $C$9, 100%, $E$9)</f>
        <v>130.51830000000001</v>
      </c>
      <c r="K1001" s="53">
        <f>CHOOSE(CONTROL!$C$42, 130.9493, 130.9493) * CHOOSE(CONTROL!$C$21, $C$9, 100%, $E$9)</f>
        <v>130.94929999999999</v>
      </c>
      <c r="L1001" s="14">
        <f>CHOOSE(CONTROL!$C$42, 131.3772, 131.3772) * CHOOSE(CONTROL!$C$21, $C$9, 100%, $E$9)</f>
        <v>131.37719999999999</v>
      </c>
      <c r="M1001" s="14">
        <f>CHOOSE(CONTROL!$C$42, 127.8517, 127.8517) * CHOOSE(CONTROL!$C$21, $C$9, 100%, $E$9)</f>
        <v>127.85169999999999</v>
      </c>
      <c r="N1001" s="14">
        <f>CHOOSE(CONTROL!$C$42, 127.8677, 127.8677) * CHOOSE(CONTROL!$C$21, $C$9, 100%, $E$9)</f>
        <v>127.8677</v>
      </c>
      <c r="O1001" s="14">
        <f>CHOOSE(CONTROL!$C$42, 128.1181, 128.1181) * CHOOSE(CONTROL!$C$21, $C$9, 100%, $E$9)</f>
        <v>128.1181</v>
      </c>
      <c r="P1001" s="14">
        <f>CHOOSE(CONTROL!$C$42, 128.2696, 128.2696) * CHOOSE(CONTROL!$C$21, $C$9, 100%, $E$9)</f>
        <v>128.2696</v>
      </c>
      <c r="Q1001" s="14">
        <f>CHOOSE(CONTROL!$C$42, 128.7128, 128.7128) * CHOOSE(CONTROL!$C$21, $C$9, 100%, $E$9)</f>
        <v>128.71279999999999</v>
      </c>
      <c r="R1001" s="14">
        <f>CHOOSE(CONTROL!$C$42, 129.6216, 129.6216) * CHOOSE(CONTROL!$C$21, $C$9, 100%, $E$9)</f>
        <v>129.6216</v>
      </c>
      <c r="S1001" s="14">
        <f>CHOOSE(CONTROL!$C$42, 125.4142, 125.4142) * CHOOSE(CONTROL!$C$21, $C$9, 100%, $E$9)</f>
        <v>125.41419999999999</v>
      </c>
      <c r="T10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7">
        <f>(1000*CHOOSE(CONTROL!$C$42, 695, 695)*CHOOSE(CONTROL!$C$42, 0.5599, 0.5599)*CHOOSE(CONTROL!$C$42, 31, 31))/1000000</f>
        <v>12.063045499999998</v>
      </c>
      <c r="V1001" s="57">
        <f>(1000*CHOOSE(CONTROL!$C$42, 500, 500)*CHOOSE(CONTROL!$C$42, 0.275, 0.275)*CHOOSE(CONTROL!$C$42, 31, 31))/1000000</f>
        <v>4.2625000000000002</v>
      </c>
      <c r="W1001" s="57">
        <f>(1000*CHOOSE(CONTROL!$C$42, 0.1146, 0.1146)*CHOOSE(CONTROL!$C$42, 121.5, 121.5)*CHOOSE(CONTROL!$C$42, 31, 31))/1000000</f>
        <v>0.43164089999999994</v>
      </c>
      <c r="X1001" s="57">
        <f>(31*0.1790888*245000/1000000)+(31*0.2374*100000/1000000)</f>
        <v>2.0961194359999999</v>
      </c>
      <c r="Y1001" s="57"/>
      <c r="Z1001" s="14"/>
      <c r="AA1001" s="56"/>
      <c r="AB1001" s="50">
        <f>(B1001*194.205+C1001*267.466+D1001*133.845+E1001*53.484+F1001*40+G1001*185+H1001*0+I1001*100+J1001*300)/(194.205+267.466+133.845+53.484+0+40+185+100+300)</f>
        <v>130.5997626847724</v>
      </c>
      <c r="AC1001" s="45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128.0334928057554</v>
      </c>
    </row>
    <row r="1002" spans="1:29" ht="15.75" x14ac:dyDescent="0.25">
      <c r="A1002" s="32">
        <v>71405</v>
      </c>
      <c r="B1002" s="14">
        <f>CHOOSE(CONTROL!$C$42, 134.2308, 134.2308) * CHOOSE(CONTROL!$C$21, $C$9, 100%, $E$9)</f>
        <v>134.23079999999999</v>
      </c>
      <c r="C1002" s="14">
        <f>CHOOSE(CONTROL!$C$42, 134.2388, 134.2388) * CHOOSE(CONTROL!$C$21, $C$9, 100%, $E$9)</f>
        <v>134.2388</v>
      </c>
      <c r="D1002" s="14">
        <f>CHOOSE(CONTROL!$C$42, 134.4724, 134.4724) * CHOOSE(CONTROL!$C$21, $C$9, 100%, $E$9)</f>
        <v>134.47239999999999</v>
      </c>
      <c r="E1002" s="14">
        <f>CHOOSE(CONTROL!$C$42, 134.5038, 134.5038) * CHOOSE(CONTROL!$C$21, $C$9, 100%, $E$9)</f>
        <v>134.50380000000001</v>
      </c>
      <c r="F1002" s="14">
        <f>CHOOSE(CONTROL!$C$42, 134.228, 134.228)*CHOOSE(CONTROL!$C$21, $C$9, 100%, $E$9)</f>
        <v>134.22800000000001</v>
      </c>
      <c r="G1002" s="14">
        <f>CHOOSE(CONTROL!$C$42, 134.2445, 134.2445)*CHOOSE(CONTROL!$C$21, $C$9, 100%, $E$9)</f>
        <v>134.24449999999999</v>
      </c>
      <c r="H1002" s="14">
        <f>CHOOSE(CONTROL!$C$42, 134.4925, 134.4925) * CHOOSE(CONTROL!$C$21, $C$9, 100%, $E$9)</f>
        <v>134.49250000000001</v>
      </c>
      <c r="I1002" s="14">
        <f>CHOOSE(CONTROL!$C$42, 134.667, 134.667)* CHOOSE(CONTROL!$C$21, $C$9, 100%, $E$9)</f>
        <v>134.667</v>
      </c>
      <c r="J1002" s="14">
        <f>CHOOSE(CONTROL!$C$42, 134.221, 134.221)* CHOOSE(CONTROL!$C$21, $C$9, 100%, $E$9)</f>
        <v>134.221</v>
      </c>
      <c r="K1002" s="53">
        <f>CHOOSE(CONTROL!$C$42, 134.6631, 134.6631) * CHOOSE(CONTROL!$C$21, $C$9, 100%, $E$9)</f>
        <v>134.66309999999999</v>
      </c>
      <c r="L1002" s="14">
        <f>CHOOSE(CONTROL!$C$42, 135.0795, 135.0795) * CHOOSE(CONTROL!$C$21, $C$9, 100%, $E$9)</f>
        <v>135.0795</v>
      </c>
      <c r="M1002" s="14">
        <f>CHOOSE(CONTROL!$C$42, 131.4786, 131.4786) * CHOOSE(CONTROL!$C$21, $C$9, 100%, $E$9)</f>
        <v>131.4786</v>
      </c>
      <c r="N1002" s="14">
        <f>CHOOSE(CONTROL!$C$42, 131.4948, 131.4948) * CHOOSE(CONTROL!$C$21, $C$9, 100%, $E$9)</f>
        <v>131.4948</v>
      </c>
      <c r="O1002" s="14">
        <f>CHOOSE(CONTROL!$C$42, 131.7445, 131.7445) * CHOOSE(CONTROL!$C$21, $C$9, 100%, $E$9)</f>
        <v>131.74449999999999</v>
      </c>
      <c r="P1002" s="14">
        <f>CHOOSE(CONTROL!$C$42, 131.9071, 131.9071) * CHOOSE(CONTROL!$C$21, $C$9, 100%, $E$9)</f>
        <v>131.90710000000001</v>
      </c>
      <c r="Q1002" s="14">
        <f>CHOOSE(CONTROL!$C$42, 132.3392, 132.3392) * CHOOSE(CONTROL!$C$21, $C$9, 100%, $E$9)</f>
        <v>132.33920000000001</v>
      </c>
      <c r="R1002" s="14">
        <f>CHOOSE(CONTROL!$C$42, 133.2571, 133.2571) * CHOOSE(CONTROL!$C$21, $C$9, 100%, $E$9)</f>
        <v>133.25710000000001</v>
      </c>
      <c r="S1002" s="14">
        <f>CHOOSE(CONTROL!$C$42, 128.9717, 128.9717) * CHOOSE(CONTROL!$C$21, $C$9, 100%, $E$9)</f>
        <v>128.9717</v>
      </c>
      <c r="T10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7">
        <f>(1000*CHOOSE(CONTROL!$C$42, 695, 695)*CHOOSE(CONTROL!$C$42, 0.5599, 0.5599)*CHOOSE(CONTROL!$C$42, 30, 30))/1000000</f>
        <v>11.673914999999997</v>
      </c>
      <c r="V1002" s="57">
        <f>(1000*CHOOSE(CONTROL!$C$42, 500, 500)*CHOOSE(CONTROL!$C$42, 0.275, 0.275)*CHOOSE(CONTROL!$C$42, 30, 30))/1000000</f>
        <v>4.125</v>
      </c>
      <c r="W1002" s="57">
        <f>(1000*CHOOSE(CONTROL!$C$42, 0.1146, 0.1146)*CHOOSE(CONTROL!$C$42, 121.5, 121.5)*CHOOSE(CONTROL!$C$42, 30, 30))/1000000</f>
        <v>0.417717</v>
      </c>
      <c r="X1002" s="57">
        <f>(30*0.1790888*245000/1000000)+(30*0.2374*100000/1000000)</f>
        <v>2.0285026799999999</v>
      </c>
      <c r="Y1002" s="57"/>
      <c r="Z1002" s="14"/>
      <c r="AA1002" s="56"/>
      <c r="AB1002" s="50">
        <f>(B1002*194.205+C1002*267.466+D1002*133.845+E1002*53.484+F1002*40+G1002*185+H1002*0+I1002*100+J1002*300)/(194.205+267.466+133.845+53.484+0+40+185+100+300)</f>
        <v>134.30315503296703</v>
      </c>
      <c r="AC1002" s="45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131.66170287769785</v>
      </c>
    </row>
    <row r="1003" spans="1:29" ht="15.75" x14ac:dyDescent="0.25">
      <c r="A1003" s="32">
        <v>71436</v>
      </c>
      <c r="B1003" s="14">
        <f>CHOOSE(CONTROL!$C$42, 131.6558, 131.6558) * CHOOSE(CONTROL!$C$21, $C$9, 100%, $E$9)</f>
        <v>131.6558</v>
      </c>
      <c r="C1003" s="14">
        <f>CHOOSE(CONTROL!$C$42, 131.6638, 131.6638) * CHOOSE(CONTROL!$C$21, $C$9, 100%, $E$9)</f>
        <v>131.66380000000001</v>
      </c>
      <c r="D1003" s="14">
        <f>CHOOSE(CONTROL!$C$42, 131.8974, 131.8974) * CHOOSE(CONTROL!$C$21, $C$9, 100%, $E$9)</f>
        <v>131.8974</v>
      </c>
      <c r="E1003" s="14">
        <f>CHOOSE(CONTROL!$C$42, 131.9289, 131.9289) * CHOOSE(CONTROL!$C$21, $C$9, 100%, $E$9)</f>
        <v>131.9289</v>
      </c>
      <c r="F1003" s="14">
        <f>CHOOSE(CONTROL!$C$42, 131.6536, 131.6536)*CHOOSE(CONTROL!$C$21, $C$9, 100%, $E$9)</f>
        <v>131.65360000000001</v>
      </c>
      <c r="G1003" s="14">
        <f>CHOOSE(CONTROL!$C$42, 131.6702, 131.6702)*CHOOSE(CONTROL!$C$21, $C$9, 100%, $E$9)</f>
        <v>131.67019999999999</v>
      </c>
      <c r="H1003" s="14">
        <f>CHOOSE(CONTROL!$C$42, 131.9175, 131.9175) * CHOOSE(CONTROL!$C$21, $C$9, 100%, $E$9)</f>
        <v>131.91749999999999</v>
      </c>
      <c r="I1003" s="14">
        <f>CHOOSE(CONTROL!$C$42, 132.084, 132.084)* CHOOSE(CONTROL!$C$21, $C$9, 100%, $E$9)</f>
        <v>132.084</v>
      </c>
      <c r="J1003" s="14">
        <f>CHOOSE(CONTROL!$C$42, 131.6466, 131.6466)* CHOOSE(CONTROL!$C$21, $C$9, 100%, $E$9)</f>
        <v>131.64660000000001</v>
      </c>
      <c r="K1003" s="53">
        <f>CHOOSE(CONTROL!$C$42, 132.0801, 132.0801) * CHOOSE(CONTROL!$C$21, $C$9, 100%, $E$9)</f>
        <v>132.08009999999999</v>
      </c>
      <c r="L1003" s="14">
        <f>CHOOSE(CONTROL!$C$42, 132.5045, 132.5045) * CHOOSE(CONTROL!$C$21, $C$9, 100%, $E$9)</f>
        <v>132.50450000000001</v>
      </c>
      <c r="M1003" s="14">
        <f>CHOOSE(CONTROL!$C$42, 128.9569, 128.9569) * CHOOSE(CONTROL!$C$21, $C$9, 100%, $E$9)</f>
        <v>128.95689999999999</v>
      </c>
      <c r="N1003" s="14">
        <f>CHOOSE(CONTROL!$C$42, 128.9732, 128.9732) * CHOOSE(CONTROL!$C$21, $C$9, 100%, $E$9)</f>
        <v>128.97319999999999</v>
      </c>
      <c r="O1003" s="14">
        <f>CHOOSE(CONTROL!$C$42, 129.2223, 129.2223) * CHOOSE(CONTROL!$C$21, $C$9, 100%, $E$9)</f>
        <v>129.22229999999999</v>
      </c>
      <c r="P1003" s="14">
        <f>CHOOSE(CONTROL!$C$42, 129.3772, 129.3772) * CHOOSE(CONTROL!$C$21, $C$9, 100%, $E$9)</f>
        <v>129.37719999999999</v>
      </c>
      <c r="Q1003" s="14">
        <f>CHOOSE(CONTROL!$C$42, 129.817, 129.817) * CHOOSE(CONTROL!$C$21, $C$9, 100%, $E$9)</f>
        <v>129.81700000000001</v>
      </c>
      <c r="R1003" s="14">
        <f>CHOOSE(CONTROL!$C$42, 130.7286, 130.7286) * CHOOSE(CONTROL!$C$21, $C$9, 100%, $E$9)</f>
        <v>130.7286</v>
      </c>
      <c r="S1003" s="14">
        <f>CHOOSE(CONTROL!$C$42, 126.4974, 126.4974) * CHOOSE(CONTROL!$C$21, $C$9, 100%, $E$9)</f>
        <v>126.4974</v>
      </c>
      <c r="T10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7">
        <f>(1000*CHOOSE(CONTROL!$C$42, 695, 695)*CHOOSE(CONTROL!$C$42, 0.5599, 0.5599)*CHOOSE(CONTROL!$C$42, 31, 31))/1000000</f>
        <v>12.063045499999998</v>
      </c>
      <c r="V1003" s="57">
        <f>(1000*CHOOSE(CONTROL!$C$42, 500, 500)*CHOOSE(CONTROL!$C$42, 0.275, 0.275)*CHOOSE(CONTROL!$C$42, 31, 31))/1000000</f>
        <v>4.2625000000000002</v>
      </c>
      <c r="W1003" s="57">
        <f>(1000*CHOOSE(CONTROL!$C$42, 0.1146, 0.1146)*CHOOSE(CONTROL!$C$42, 121.5, 121.5)*CHOOSE(CONTROL!$C$42, 31, 31))/1000000</f>
        <v>0.43164089999999994</v>
      </c>
      <c r="X1003" s="57">
        <f>(31*0.1790888*245000/1000000)+(31*0.2374*100000/1000000)</f>
        <v>2.0961194359999999</v>
      </c>
      <c r="Y1003" s="57"/>
      <c r="Z1003" s="14"/>
      <c r="AA1003" s="56"/>
      <c r="AB1003" s="50">
        <f>(B1003*194.205+C1003*267.466+D1003*133.845+E1003*53.484+F1003*40+G1003*185+H1003*0+I1003*100+J1003*300)/(194.205+267.466+133.845+53.484+0+40+185+100+300)</f>
        <v>131.72779306153845</v>
      </c>
      <c r="AC1003" s="45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129.13860215827339</v>
      </c>
    </row>
    <row r="1004" spans="1:29" ht="15.75" x14ac:dyDescent="0.25">
      <c r="A1004" s="32">
        <v>71467</v>
      </c>
      <c r="B1004" s="14">
        <f>CHOOSE(CONTROL!$C$42, 125.1532, 125.1532) * CHOOSE(CONTROL!$C$21, $C$9, 100%, $E$9)</f>
        <v>125.1532</v>
      </c>
      <c r="C1004" s="14">
        <f>CHOOSE(CONTROL!$C$42, 125.1613, 125.1613) * CHOOSE(CONTROL!$C$21, $C$9, 100%, $E$9)</f>
        <v>125.1613</v>
      </c>
      <c r="D1004" s="14">
        <f>CHOOSE(CONTROL!$C$42, 125.3948, 125.3948) * CHOOSE(CONTROL!$C$21, $C$9, 100%, $E$9)</f>
        <v>125.3948</v>
      </c>
      <c r="E1004" s="14">
        <f>CHOOSE(CONTROL!$C$42, 125.4263, 125.4263) * CHOOSE(CONTROL!$C$21, $C$9, 100%, $E$9)</f>
        <v>125.4263</v>
      </c>
      <c r="F1004" s="14">
        <f>CHOOSE(CONTROL!$C$42, 125.1512, 125.1512)*CHOOSE(CONTROL!$C$21, $C$9, 100%, $E$9)</f>
        <v>125.1512</v>
      </c>
      <c r="G1004" s="14">
        <f>CHOOSE(CONTROL!$C$42, 125.1679, 125.1679)*CHOOSE(CONTROL!$C$21, $C$9, 100%, $E$9)</f>
        <v>125.1679</v>
      </c>
      <c r="H1004" s="14">
        <f>CHOOSE(CONTROL!$C$42, 125.4149, 125.4149) * CHOOSE(CONTROL!$C$21, $C$9, 100%, $E$9)</f>
        <v>125.4149</v>
      </c>
      <c r="I1004" s="14">
        <f>CHOOSE(CONTROL!$C$42, 125.5611, 125.5611)* CHOOSE(CONTROL!$C$21, $C$9, 100%, $E$9)</f>
        <v>125.5611</v>
      </c>
      <c r="J1004" s="14">
        <f>CHOOSE(CONTROL!$C$42, 125.1442, 125.1442)* CHOOSE(CONTROL!$C$21, $C$9, 100%, $E$9)</f>
        <v>125.1442</v>
      </c>
      <c r="K1004" s="53">
        <f>CHOOSE(CONTROL!$C$42, 125.5572, 125.5572) * CHOOSE(CONTROL!$C$21, $C$9, 100%, $E$9)</f>
        <v>125.55719999999999</v>
      </c>
      <c r="L1004" s="14">
        <f>CHOOSE(CONTROL!$C$42, 126.0019, 126.0019) * CHOOSE(CONTROL!$C$21, $C$9, 100%, $E$9)</f>
        <v>126.00190000000001</v>
      </c>
      <c r="M1004" s="14">
        <f>CHOOSE(CONTROL!$C$42, 122.5878, 122.5878) * CHOOSE(CONTROL!$C$21, $C$9, 100%, $E$9)</f>
        <v>122.5878</v>
      </c>
      <c r="N1004" s="14">
        <f>CHOOSE(CONTROL!$C$42, 122.6041, 122.6041) * CHOOSE(CONTROL!$C$21, $C$9, 100%, $E$9)</f>
        <v>122.6041</v>
      </c>
      <c r="O1004" s="14">
        <f>CHOOSE(CONTROL!$C$42, 122.853, 122.853) * CHOOSE(CONTROL!$C$21, $C$9, 100%, $E$9)</f>
        <v>122.85299999999999</v>
      </c>
      <c r="P1004" s="14">
        <f>CHOOSE(CONTROL!$C$42, 122.9883, 122.9883) * CHOOSE(CONTROL!$C$21, $C$9, 100%, $E$9)</f>
        <v>122.9883</v>
      </c>
      <c r="Q1004" s="14">
        <f>CHOOSE(CONTROL!$C$42, 123.4477, 123.4477) * CHOOSE(CONTROL!$C$21, $C$9, 100%, $E$9)</f>
        <v>123.4477</v>
      </c>
      <c r="R1004" s="14">
        <f>CHOOSE(CONTROL!$C$42, 124.3433, 124.3433) * CHOOSE(CONTROL!$C$21, $C$9, 100%, $E$9)</f>
        <v>124.3433</v>
      </c>
      <c r="S1004" s="14">
        <f>CHOOSE(CONTROL!$C$42, 120.2491, 120.2491) * CHOOSE(CONTROL!$C$21, $C$9, 100%, $E$9)</f>
        <v>120.2491</v>
      </c>
      <c r="T10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7">
        <f>(1000*CHOOSE(CONTROL!$C$42, 695, 695)*CHOOSE(CONTROL!$C$42, 0.5599, 0.5599)*CHOOSE(CONTROL!$C$42, 31, 31))/1000000</f>
        <v>12.063045499999998</v>
      </c>
      <c r="V1004" s="57">
        <f>(1000*CHOOSE(CONTROL!$C$42, 500, 500)*CHOOSE(CONTROL!$C$42, 0.275, 0.275)*CHOOSE(CONTROL!$C$42, 31, 31))/1000000</f>
        <v>4.2625000000000002</v>
      </c>
      <c r="W1004" s="57">
        <f>(1000*CHOOSE(CONTROL!$C$42, 0.1146, 0.1146)*CHOOSE(CONTROL!$C$42, 121.5, 121.5)*CHOOSE(CONTROL!$C$42, 31, 31))/1000000</f>
        <v>0.43164089999999994</v>
      </c>
      <c r="X1004" s="57">
        <f>(31*0.1790888*245000/1000000)+(31*0.2374*100000/1000000)</f>
        <v>2.0961194359999999</v>
      </c>
      <c r="Y1004" s="57"/>
      <c r="Z1004" s="14"/>
      <c r="AA1004" s="56"/>
      <c r="AB1004" s="50">
        <f>(B1004*194.205+C1004*267.466+D1004*133.845+E1004*53.484+F1004*40+G1004*185+H1004*0+I1004*100+J1004*300)/(194.205+267.466+133.845+53.484+0+40+185+100+300)</f>
        <v>125.22371758791209</v>
      </c>
      <c r="AC1004" s="45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122.76656258992806</v>
      </c>
    </row>
    <row r="1005" spans="1:29" ht="15.75" x14ac:dyDescent="0.25">
      <c r="A1005" s="32">
        <v>71497</v>
      </c>
      <c r="B1005" s="14">
        <f>CHOOSE(CONTROL!$C$42, 117.2078, 117.2078) * CHOOSE(CONTROL!$C$21, $C$9, 100%, $E$9)</f>
        <v>117.20780000000001</v>
      </c>
      <c r="C1005" s="14">
        <f>CHOOSE(CONTROL!$C$42, 117.2159, 117.2159) * CHOOSE(CONTROL!$C$21, $C$9, 100%, $E$9)</f>
        <v>117.2159</v>
      </c>
      <c r="D1005" s="14">
        <f>CHOOSE(CONTROL!$C$42, 117.4495, 117.4495) * CHOOSE(CONTROL!$C$21, $C$9, 100%, $E$9)</f>
        <v>117.4495</v>
      </c>
      <c r="E1005" s="14">
        <f>CHOOSE(CONTROL!$C$42, 117.4809, 117.4809) * CHOOSE(CONTROL!$C$21, $C$9, 100%, $E$9)</f>
        <v>117.48090000000001</v>
      </c>
      <c r="F1005" s="14">
        <f>CHOOSE(CONTROL!$C$42, 117.2058, 117.2058)*CHOOSE(CONTROL!$C$21, $C$9, 100%, $E$9)</f>
        <v>117.2058</v>
      </c>
      <c r="G1005" s="14">
        <f>CHOOSE(CONTROL!$C$42, 117.2225, 117.2225)*CHOOSE(CONTROL!$C$21, $C$9, 100%, $E$9)</f>
        <v>117.2225</v>
      </c>
      <c r="H1005" s="14">
        <f>CHOOSE(CONTROL!$C$42, 117.4695, 117.4695) * CHOOSE(CONTROL!$C$21, $C$9, 100%, $E$9)</f>
        <v>117.4695</v>
      </c>
      <c r="I1005" s="14">
        <f>CHOOSE(CONTROL!$C$42, 117.5908, 117.5908)* CHOOSE(CONTROL!$C$21, $C$9, 100%, $E$9)</f>
        <v>117.5908</v>
      </c>
      <c r="J1005" s="14">
        <f>CHOOSE(CONTROL!$C$42, 117.1988, 117.1988)* CHOOSE(CONTROL!$C$21, $C$9, 100%, $E$9)</f>
        <v>117.19880000000001</v>
      </c>
      <c r="K1005" s="53">
        <f>CHOOSE(CONTROL!$C$42, 117.5869, 117.5869) * CHOOSE(CONTROL!$C$21, $C$9, 100%, $E$9)</f>
        <v>117.5869</v>
      </c>
      <c r="L1005" s="14">
        <f>CHOOSE(CONTROL!$C$42, 118.0565, 118.0565) * CHOOSE(CONTROL!$C$21, $C$9, 100%, $E$9)</f>
        <v>118.0565</v>
      </c>
      <c r="M1005" s="14">
        <f>CHOOSE(CONTROL!$C$42, 114.8052, 114.8052) * CHOOSE(CONTROL!$C$21, $C$9, 100%, $E$9)</f>
        <v>114.8052</v>
      </c>
      <c r="N1005" s="14">
        <f>CHOOSE(CONTROL!$C$42, 114.8215, 114.8215) * CHOOSE(CONTROL!$C$21, $C$9, 100%, $E$9)</f>
        <v>114.8215</v>
      </c>
      <c r="O1005" s="14">
        <f>CHOOSE(CONTROL!$C$42, 115.0704, 115.0704) * CHOOSE(CONTROL!$C$21, $C$9, 100%, $E$9)</f>
        <v>115.07040000000001</v>
      </c>
      <c r="P1005" s="14">
        <f>CHOOSE(CONTROL!$C$42, 115.1818, 115.1818) * CHOOSE(CONTROL!$C$21, $C$9, 100%, $E$9)</f>
        <v>115.1818</v>
      </c>
      <c r="Q1005" s="14">
        <f>CHOOSE(CONTROL!$C$42, 115.6651, 115.6651) * CHOOSE(CONTROL!$C$21, $C$9, 100%, $E$9)</f>
        <v>115.6651</v>
      </c>
      <c r="R1005" s="14">
        <f>CHOOSE(CONTROL!$C$42, 116.5412, 116.5412) * CHOOSE(CONTROL!$C$21, $C$9, 100%, $E$9)</f>
        <v>116.5412</v>
      </c>
      <c r="S1005" s="14">
        <f>CHOOSE(CONTROL!$C$42, 112.6144, 112.6144) * CHOOSE(CONTROL!$C$21, $C$9, 100%, $E$9)</f>
        <v>112.6144</v>
      </c>
      <c r="T10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7">
        <f>(1000*CHOOSE(CONTROL!$C$42, 695, 695)*CHOOSE(CONTROL!$C$42, 0.5599, 0.5599)*CHOOSE(CONTROL!$C$42, 30, 30))/1000000</f>
        <v>11.673914999999997</v>
      </c>
      <c r="V1005" s="57">
        <f>(1000*CHOOSE(CONTROL!$C$42, 500, 500)*CHOOSE(CONTROL!$C$42, 0.275, 0.275)*CHOOSE(CONTROL!$C$42, 30, 30))/1000000</f>
        <v>4.125</v>
      </c>
      <c r="W1005" s="57">
        <f>(1000*CHOOSE(CONTROL!$C$42, 0.1146, 0.1146)*CHOOSE(CONTROL!$C$42, 121.5, 121.5)*CHOOSE(CONTROL!$C$42, 30, 30))/1000000</f>
        <v>0.417717</v>
      </c>
      <c r="X1005" s="57">
        <f>(30*0.1790888*245000/1000000)+(30*0.2374*100000/1000000)</f>
        <v>2.0285026799999999</v>
      </c>
      <c r="Y1005" s="57"/>
      <c r="Z1005" s="14"/>
      <c r="AA1005" s="56"/>
      <c r="AB1005" s="50">
        <f>(B1005*194.205+C1005*267.466+D1005*133.845+E1005*53.484+F1005*40+G1005*185+H1005*0+I1005*100+J1005*300)/(194.205+267.466+133.845+53.484+0+40+185+100+300)</f>
        <v>117.27637361970173</v>
      </c>
      <c r="AC1005" s="45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114.9805237410072</v>
      </c>
    </row>
    <row r="1006" spans="1:29" ht="15.75" x14ac:dyDescent="0.25">
      <c r="A1006" s="32">
        <v>71528</v>
      </c>
      <c r="B1006" s="14">
        <f>CHOOSE(CONTROL!$C$42, 114.8265, 114.8265) * CHOOSE(CONTROL!$C$21, $C$9, 100%, $E$9)</f>
        <v>114.8265</v>
      </c>
      <c r="C1006" s="14">
        <f>CHOOSE(CONTROL!$C$42, 114.8318, 114.8318) * CHOOSE(CONTROL!$C$21, $C$9, 100%, $E$9)</f>
        <v>114.8318</v>
      </c>
      <c r="D1006" s="14">
        <f>CHOOSE(CONTROL!$C$42, 115.0704, 115.0704) * CHOOSE(CONTROL!$C$21, $C$9, 100%, $E$9)</f>
        <v>115.07040000000001</v>
      </c>
      <c r="E1006" s="14">
        <f>CHOOSE(CONTROL!$C$42, 115.0995, 115.0995) * CHOOSE(CONTROL!$C$21, $C$9, 100%, $E$9)</f>
        <v>115.09950000000001</v>
      </c>
      <c r="F1006" s="14">
        <f>CHOOSE(CONTROL!$C$42, 114.8265, 114.8265)*CHOOSE(CONTROL!$C$21, $C$9, 100%, $E$9)</f>
        <v>114.8265</v>
      </c>
      <c r="G1006" s="14">
        <f>CHOOSE(CONTROL!$C$42, 114.8428, 114.8428)*CHOOSE(CONTROL!$C$21, $C$9, 100%, $E$9)</f>
        <v>114.8428</v>
      </c>
      <c r="H1006" s="14">
        <f>CHOOSE(CONTROL!$C$42, 115.09, 115.09) * CHOOSE(CONTROL!$C$21, $C$9, 100%, $E$9)</f>
        <v>115.09</v>
      </c>
      <c r="I1006" s="14">
        <f>CHOOSE(CONTROL!$C$42, 115.2038, 115.2038)* CHOOSE(CONTROL!$C$21, $C$9, 100%, $E$9)</f>
        <v>115.2038</v>
      </c>
      <c r="J1006" s="14">
        <f>CHOOSE(CONTROL!$C$42, 114.8195, 114.8195)* CHOOSE(CONTROL!$C$21, $C$9, 100%, $E$9)</f>
        <v>114.81950000000001</v>
      </c>
      <c r="K1006" s="53">
        <f>CHOOSE(CONTROL!$C$42, 115.1999, 115.1999) * CHOOSE(CONTROL!$C$21, $C$9, 100%, $E$9)</f>
        <v>115.1999</v>
      </c>
      <c r="L1006" s="14">
        <f>CHOOSE(CONTROL!$C$42, 115.677, 115.677) * CHOOSE(CONTROL!$C$21, $C$9, 100%, $E$9)</f>
        <v>115.67700000000001</v>
      </c>
      <c r="M1006" s="14">
        <f>CHOOSE(CONTROL!$C$42, 112.4747, 112.4747) * CHOOSE(CONTROL!$C$21, $C$9, 100%, $E$9)</f>
        <v>112.4747</v>
      </c>
      <c r="N1006" s="14">
        <f>CHOOSE(CONTROL!$C$42, 112.4906, 112.4906) * CHOOSE(CONTROL!$C$21, $C$9, 100%, $E$9)</f>
        <v>112.4906</v>
      </c>
      <c r="O1006" s="14">
        <f>CHOOSE(CONTROL!$C$42, 112.7396, 112.7396) * CHOOSE(CONTROL!$C$21, $C$9, 100%, $E$9)</f>
        <v>112.7396</v>
      </c>
      <c r="P1006" s="14">
        <f>CHOOSE(CONTROL!$C$42, 112.8439, 112.8439) * CHOOSE(CONTROL!$C$21, $C$9, 100%, $E$9)</f>
        <v>112.8439</v>
      </c>
      <c r="Q1006" s="14">
        <f>CHOOSE(CONTROL!$C$42, 113.3343, 113.3343) * CHOOSE(CONTROL!$C$21, $C$9, 100%, $E$9)</f>
        <v>113.3343</v>
      </c>
      <c r="R1006" s="14">
        <f>CHOOSE(CONTROL!$C$42, 114.2046, 114.2046) * CHOOSE(CONTROL!$C$21, $C$9, 100%, $E$9)</f>
        <v>114.2046</v>
      </c>
      <c r="S1006" s="14">
        <f>CHOOSE(CONTROL!$C$42, 110.3279, 110.3279) * CHOOSE(CONTROL!$C$21, $C$9, 100%, $E$9)</f>
        <v>110.3279</v>
      </c>
      <c r="T10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7">
        <f>(1000*CHOOSE(CONTROL!$C$42, 695, 695)*CHOOSE(CONTROL!$C$42, 0.5599, 0.5599)*CHOOSE(CONTROL!$C$42, 31, 31))/1000000</f>
        <v>12.063045499999998</v>
      </c>
      <c r="V1006" s="57">
        <f>(1000*CHOOSE(CONTROL!$C$42, 500, 500)*CHOOSE(CONTROL!$C$42, 0.275, 0.275)*CHOOSE(CONTROL!$C$42, 31, 31))/1000000</f>
        <v>4.2625000000000002</v>
      </c>
      <c r="W1006" s="57">
        <f>(1000*CHOOSE(CONTROL!$C$42, 0.1146, 0.1146)*CHOOSE(CONTROL!$C$42, 121.5, 121.5)*CHOOSE(CONTROL!$C$42, 31, 31))/1000000</f>
        <v>0.43164089999999994</v>
      </c>
      <c r="X1006" s="57">
        <f>(31*0.1790888*245000/1000000)+(31*0.2374*100000/1000000)</f>
        <v>2.0961194359999999</v>
      </c>
      <c r="Y1006" s="57"/>
      <c r="Z1006" s="14"/>
      <c r="AA1006" s="56"/>
      <c r="AB1006" s="50">
        <f>(B1006*131.881+C1006*277.167+D1006*79.08+E1006*125.872+F1006*40+G1006*185+H1006*0+I1006*100+J1006*300)/(131.881+277.167+79.08+125.872+0+40+185+100+300)</f>
        <v>114.90217808966909</v>
      </c>
      <c r="AC1006" s="45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112.64879999999999</v>
      </c>
    </row>
    <row r="1007" spans="1:29" ht="15.75" x14ac:dyDescent="0.25">
      <c r="A1007" s="32">
        <v>71558</v>
      </c>
      <c r="B1007" s="14">
        <f>CHOOSE(CONTROL!$C$42, 117.8509, 117.8509) * CHOOSE(CONTROL!$C$21, $C$9, 100%, $E$9)</f>
        <v>117.8509</v>
      </c>
      <c r="C1007" s="14">
        <f>CHOOSE(CONTROL!$C$42, 117.856, 117.856) * CHOOSE(CONTROL!$C$21, $C$9, 100%, $E$9)</f>
        <v>117.85599999999999</v>
      </c>
      <c r="D1007" s="14">
        <f>CHOOSE(CONTROL!$C$42, 117.9302, 117.9302) * CHOOSE(CONTROL!$C$21, $C$9, 100%, $E$9)</f>
        <v>117.9302</v>
      </c>
      <c r="E1007" s="14">
        <f>CHOOSE(CONTROL!$C$42, 117.9643, 117.9643) * CHOOSE(CONTROL!$C$21, $C$9, 100%, $E$9)</f>
        <v>117.96429999999999</v>
      </c>
      <c r="F1007" s="14">
        <f>CHOOSE(CONTROL!$C$42, 117.863, 117.863)*CHOOSE(CONTROL!$C$21, $C$9, 100%, $E$9)</f>
        <v>117.863</v>
      </c>
      <c r="G1007" s="14">
        <f>CHOOSE(CONTROL!$C$42, 117.8796, 117.8796)*CHOOSE(CONTROL!$C$21, $C$9, 100%, $E$9)</f>
        <v>117.8796</v>
      </c>
      <c r="H1007" s="14">
        <f>CHOOSE(CONTROL!$C$42, 117.9535, 117.9535) * CHOOSE(CONTROL!$C$21, $C$9, 100%, $E$9)</f>
        <v>117.95350000000001</v>
      </c>
      <c r="I1007" s="14">
        <f>CHOOSE(CONTROL!$C$42, 118.2443, 118.2443)* CHOOSE(CONTROL!$C$21, $C$9, 100%, $E$9)</f>
        <v>118.2443</v>
      </c>
      <c r="J1007" s="14">
        <f>CHOOSE(CONTROL!$C$42, 117.856, 117.856)* CHOOSE(CONTROL!$C$21, $C$9, 100%, $E$9)</f>
        <v>117.85599999999999</v>
      </c>
      <c r="K1007" s="53">
        <f>CHOOSE(CONTROL!$C$42, 118.2404, 118.2404) * CHOOSE(CONTROL!$C$21, $C$9, 100%, $E$9)</f>
        <v>118.24039999999999</v>
      </c>
      <c r="L1007" s="14">
        <f>CHOOSE(CONTROL!$C$42, 118.5405, 118.5405) * CHOOSE(CONTROL!$C$21, $C$9, 100%, $E$9)</f>
        <v>118.54049999999999</v>
      </c>
      <c r="M1007" s="14">
        <f>CHOOSE(CONTROL!$C$42, 115.4489, 115.4489) * CHOOSE(CONTROL!$C$21, $C$9, 100%, $E$9)</f>
        <v>115.44889999999999</v>
      </c>
      <c r="N1007" s="14">
        <f>CHOOSE(CONTROL!$C$42, 115.4651, 115.4651) * CHOOSE(CONTROL!$C$21, $C$9, 100%, $E$9)</f>
        <v>115.46510000000001</v>
      </c>
      <c r="O1007" s="14">
        <f>CHOOSE(CONTROL!$C$42, 115.5444, 115.5444) * CHOOSE(CONTROL!$C$21, $C$9, 100%, $E$9)</f>
        <v>115.5444</v>
      </c>
      <c r="P1007" s="14">
        <f>CHOOSE(CONTROL!$C$42, 115.8219, 115.8219) * CHOOSE(CONTROL!$C$21, $C$9, 100%, $E$9)</f>
        <v>115.8219</v>
      </c>
      <c r="Q1007" s="14">
        <f>CHOOSE(CONTROL!$C$42, 116.1391, 116.1391) * CHOOSE(CONTROL!$C$21, $C$9, 100%, $E$9)</f>
        <v>116.1391</v>
      </c>
      <c r="R1007" s="14">
        <f>CHOOSE(CONTROL!$C$42, 117.0165, 117.0165) * CHOOSE(CONTROL!$C$21, $C$9, 100%, $E$9)</f>
        <v>117.01649999999999</v>
      </c>
      <c r="S1007" s="14">
        <f>CHOOSE(CONTROL!$C$42, 113.2344, 113.2344) * CHOOSE(CONTROL!$C$21, $C$9, 100%, $E$9)</f>
        <v>113.23439999999999</v>
      </c>
      <c r="T10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7">
        <f>(1000*CHOOSE(CONTROL!$C$42, 695, 695)*CHOOSE(CONTROL!$C$42, 0.5599, 0.5599)*CHOOSE(CONTROL!$C$42, 30, 30))/1000000</f>
        <v>11.673914999999997</v>
      </c>
      <c r="V1007" s="57">
        <f>(1000*CHOOSE(CONTROL!$C$42, 500, 500)*CHOOSE(CONTROL!$C$42, 0.275, 0.275)*CHOOSE(CONTROL!$C$42, 30, 30))/1000000</f>
        <v>4.125</v>
      </c>
      <c r="W1007" s="57">
        <f>(1000*CHOOSE(CONTROL!$C$42, 0.1146, 0.1146)*CHOOSE(CONTROL!$C$42, 121.5, 121.5)*CHOOSE(CONTROL!$C$42, 30, 30))/1000000</f>
        <v>0.417717</v>
      </c>
      <c r="X1007" s="57">
        <f>(30*0.1790888*100000/1000000)+(30*0.2374*100000/1000000)</f>
        <v>1.2494664</v>
      </c>
      <c r="Y1007" s="57"/>
      <c r="Z1007" s="14"/>
      <c r="AA1007" s="56"/>
      <c r="AB1007" s="50">
        <f>(B1007*122.58+C1007*297.941+D1007*89.177+E1007*40.302+F1007*40+G1007*160+H1007*0+I1007*100+J1007*300)/(122.58+297.941+89.177+40.302+0+40+160+100+300)</f>
        <v>117.90229781043477</v>
      </c>
      <c r="AC1007" s="45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115.5467856115108</v>
      </c>
    </row>
    <row r="1008" spans="1:29" ht="15.75" x14ac:dyDescent="0.25">
      <c r="A1008" s="32">
        <v>71589</v>
      </c>
      <c r="B1008" s="14">
        <f>CHOOSE(CONTROL!$C$42, 125.8853, 125.8853) * CHOOSE(CONTROL!$C$21, $C$9, 100%, $E$9)</f>
        <v>125.8853</v>
      </c>
      <c r="C1008" s="14">
        <f>CHOOSE(CONTROL!$C$42, 125.8903, 125.8903) * CHOOSE(CONTROL!$C$21, $C$9, 100%, $E$9)</f>
        <v>125.8903</v>
      </c>
      <c r="D1008" s="14">
        <f>CHOOSE(CONTROL!$C$42, 125.9646, 125.9646) * CHOOSE(CONTROL!$C$21, $C$9, 100%, $E$9)</f>
        <v>125.9646</v>
      </c>
      <c r="E1008" s="14">
        <f>CHOOSE(CONTROL!$C$42, 125.9987, 125.9987) * CHOOSE(CONTROL!$C$21, $C$9, 100%, $E$9)</f>
        <v>125.9987</v>
      </c>
      <c r="F1008" s="14">
        <f>CHOOSE(CONTROL!$C$42, 125.8995, 125.8995)*CHOOSE(CONTROL!$C$21, $C$9, 100%, $E$9)</f>
        <v>125.8995</v>
      </c>
      <c r="G1008" s="14">
        <f>CHOOSE(CONTROL!$C$42, 125.9167, 125.9167)*CHOOSE(CONTROL!$C$21, $C$9, 100%, $E$9)</f>
        <v>125.91670000000001</v>
      </c>
      <c r="H1008" s="14">
        <f>CHOOSE(CONTROL!$C$42, 125.9879, 125.9879) * CHOOSE(CONTROL!$C$21, $C$9, 100%, $E$9)</f>
        <v>125.9879</v>
      </c>
      <c r="I1008" s="14">
        <f>CHOOSE(CONTROL!$C$42, 126.3039, 126.3039)* CHOOSE(CONTROL!$C$21, $C$9, 100%, $E$9)</f>
        <v>126.3039</v>
      </c>
      <c r="J1008" s="14">
        <f>CHOOSE(CONTROL!$C$42, 125.8925, 125.8925)* CHOOSE(CONTROL!$C$21, $C$9, 100%, $E$9)</f>
        <v>125.8925</v>
      </c>
      <c r="K1008" s="53">
        <f>CHOOSE(CONTROL!$C$42, 126.3, 126.3) * CHOOSE(CONTROL!$C$21, $C$9, 100%, $E$9)</f>
        <v>126.3</v>
      </c>
      <c r="L1008" s="14">
        <f>CHOOSE(CONTROL!$C$42, 126.5749, 126.5749) * CHOOSE(CONTROL!$C$21, $C$9, 100%, $E$9)</f>
        <v>126.5749</v>
      </c>
      <c r="M1008" s="14">
        <f>CHOOSE(CONTROL!$C$42, 123.3208, 123.3208) * CHOOSE(CONTROL!$C$21, $C$9, 100%, $E$9)</f>
        <v>123.32080000000001</v>
      </c>
      <c r="N1008" s="14">
        <f>CHOOSE(CONTROL!$C$42, 123.3376, 123.3376) * CHOOSE(CONTROL!$C$21, $C$9, 100%, $E$9)</f>
        <v>123.33759999999999</v>
      </c>
      <c r="O1008" s="14">
        <f>CHOOSE(CONTROL!$C$42, 123.4142, 123.4142) * CHOOSE(CONTROL!$C$21, $C$9, 100%, $E$9)</f>
        <v>123.41419999999999</v>
      </c>
      <c r="P1008" s="14">
        <f>CHOOSE(CONTROL!$C$42, 123.7158, 123.7158) * CHOOSE(CONTROL!$C$21, $C$9, 100%, $E$9)</f>
        <v>123.7158</v>
      </c>
      <c r="Q1008" s="14">
        <f>CHOOSE(CONTROL!$C$42, 124.0089, 124.0089) * CHOOSE(CONTROL!$C$21, $C$9, 100%, $E$9)</f>
        <v>124.0089</v>
      </c>
      <c r="R1008" s="14">
        <f>CHOOSE(CONTROL!$C$42, 124.9059, 124.9059) * CHOOSE(CONTROL!$C$21, $C$9, 100%, $E$9)</f>
        <v>124.9059</v>
      </c>
      <c r="S1008" s="14">
        <f>CHOOSE(CONTROL!$C$42, 120.9546, 120.9546) * CHOOSE(CONTROL!$C$21, $C$9, 100%, $E$9)</f>
        <v>120.9546</v>
      </c>
      <c r="T10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7">
        <f>(1000*CHOOSE(CONTROL!$C$42, 695, 695)*CHOOSE(CONTROL!$C$42, 0.5599, 0.5599)*CHOOSE(CONTROL!$C$42, 31, 31))/1000000</f>
        <v>12.063045499999998</v>
      </c>
      <c r="V1008" s="57">
        <f>(1000*CHOOSE(CONTROL!$C$42, 500, 500)*CHOOSE(CONTROL!$C$42, 0.275, 0.275)*CHOOSE(CONTROL!$C$42, 31, 31))/1000000</f>
        <v>4.2625000000000002</v>
      </c>
      <c r="W1008" s="57">
        <f>(1000*CHOOSE(CONTROL!$C$42, 0.1146, 0.1146)*CHOOSE(CONTROL!$C$42, 121.5, 121.5)*CHOOSE(CONTROL!$C$42, 31, 31))/1000000</f>
        <v>0.43164089999999994</v>
      </c>
      <c r="X1008" s="57">
        <f>(31*0.1790888*100000/1000000)+(31*0.2374*100000/1000000)</f>
        <v>1.2911152800000001</v>
      </c>
      <c r="Y1008" s="57"/>
      <c r="Z1008" s="14"/>
      <c r="AA1008" s="56"/>
      <c r="AB1008" s="50">
        <f>(B1008*122.58+C1008*297.941+D1008*89.177+E1008*40.302+F1008*40+G1008*160+H1008*0+I1008*100+J1008*300)/(122.58+297.941+89.177+40.302+0+40+160+100+300)</f>
        <v>125.93985972860868</v>
      </c>
      <c r="AC1008" s="45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123.42093381294964</v>
      </c>
    </row>
    <row r="1009" spans="1:29" ht="15.75" x14ac:dyDescent="0.25">
      <c r="A1009" s="32">
        <v>71620</v>
      </c>
      <c r="B1009" s="14">
        <f>CHOOSE(CONTROL!$C$42, 136.3205, 136.3205) * CHOOSE(CONTROL!$C$21, $C$9, 100%, $E$9)</f>
        <v>136.32050000000001</v>
      </c>
      <c r="C1009" s="14">
        <f>CHOOSE(CONTROL!$C$42, 136.3255, 136.3255) * CHOOSE(CONTROL!$C$21, $C$9, 100%, $E$9)</f>
        <v>136.32550000000001</v>
      </c>
      <c r="D1009" s="14">
        <f>CHOOSE(CONTROL!$C$42, 136.4023, 136.4023) * CHOOSE(CONTROL!$C$21, $C$9, 100%, $E$9)</f>
        <v>136.4023</v>
      </c>
      <c r="E1009" s="14">
        <f>CHOOSE(CONTROL!$C$42, 136.4365, 136.4365) * CHOOSE(CONTROL!$C$21, $C$9, 100%, $E$9)</f>
        <v>136.4365</v>
      </c>
      <c r="F1009" s="14">
        <f>CHOOSE(CONTROL!$C$42, 136.3207, 136.3207)*CHOOSE(CONTROL!$C$21, $C$9, 100%, $E$9)</f>
        <v>136.32069999999999</v>
      </c>
      <c r="G1009" s="14">
        <f>CHOOSE(CONTROL!$C$42, 136.3369, 136.3369)*CHOOSE(CONTROL!$C$21, $C$9, 100%, $E$9)</f>
        <v>136.33690000000001</v>
      </c>
      <c r="H1009" s="14">
        <f>CHOOSE(CONTROL!$C$42, 136.4256, 136.4256) * CHOOSE(CONTROL!$C$21, $C$9, 100%, $E$9)</f>
        <v>136.4256</v>
      </c>
      <c r="I1009" s="14">
        <f>CHOOSE(CONTROL!$C$42, 136.7655, 136.7655)* CHOOSE(CONTROL!$C$21, $C$9, 100%, $E$9)</f>
        <v>136.7655</v>
      </c>
      <c r="J1009" s="14">
        <f>CHOOSE(CONTROL!$C$42, 136.3137, 136.3137)* CHOOSE(CONTROL!$C$21, $C$9, 100%, $E$9)</f>
        <v>136.31370000000001</v>
      </c>
      <c r="K1009" s="53">
        <f>CHOOSE(CONTROL!$C$42, 136.7616, 136.7616) * CHOOSE(CONTROL!$C$21, $C$9, 100%, $E$9)</f>
        <v>136.76159999999999</v>
      </c>
      <c r="L1009" s="14">
        <f>CHOOSE(CONTROL!$C$42, 137.0126, 137.0126) * CHOOSE(CONTROL!$C$21, $C$9, 100%, $E$9)</f>
        <v>137.01259999999999</v>
      </c>
      <c r="M1009" s="14">
        <f>CHOOSE(CONTROL!$C$42, 133.5284, 133.5284) * CHOOSE(CONTROL!$C$21, $C$9, 100%, $E$9)</f>
        <v>133.5284</v>
      </c>
      <c r="N1009" s="14">
        <f>CHOOSE(CONTROL!$C$42, 133.5443, 133.5443) * CHOOSE(CONTROL!$C$21, $C$9, 100%, $E$9)</f>
        <v>133.54429999999999</v>
      </c>
      <c r="O1009" s="14">
        <f>CHOOSE(CONTROL!$C$42, 133.6381, 133.6381) * CHOOSE(CONTROL!$C$21, $C$9, 100%, $E$9)</f>
        <v>133.63810000000001</v>
      </c>
      <c r="P1009" s="14">
        <f>CHOOSE(CONTROL!$C$42, 133.9624, 133.9624) * CHOOSE(CONTROL!$C$21, $C$9, 100%, $E$9)</f>
        <v>133.9624</v>
      </c>
      <c r="Q1009" s="14">
        <f>CHOOSE(CONTROL!$C$42, 134.2328, 134.2328) * CHOOSE(CONTROL!$C$21, $C$9, 100%, $E$9)</f>
        <v>134.2328</v>
      </c>
      <c r="R1009" s="14">
        <f>CHOOSE(CONTROL!$C$42, 135.1554, 135.1554) * CHOOSE(CONTROL!$C$21, $C$9, 100%, $E$9)</f>
        <v>135.15539999999999</v>
      </c>
      <c r="S1009" s="14">
        <f>CHOOSE(CONTROL!$C$42, 130.9818, 130.9818) * CHOOSE(CONTROL!$C$21, $C$9, 100%, $E$9)</f>
        <v>130.98179999999999</v>
      </c>
      <c r="T10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7">
        <f>(1000*CHOOSE(CONTROL!$C$42, 695, 695)*CHOOSE(CONTROL!$C$42, 0.5599, 0.5599)*CHOOSE(CONTROL!$C$42, 31, 31))/1000000</f>
        <v>12.063045499999998</v>
      </c>
      <c r="V1009" s="57">
        <f>(1000*CHOOSE(CONTROL!$C$42, 500, 500)*CHOOSE(CONTROL!$C$42, 0.275, 0.275)*CHOOSE(CONTROL!$C$42, 31, 31))/1000000</f>
        <v>4.2625000000000002</v>
      </c>
      <c r="W1009" s="57">
        <f>(1000*CHOOSE(CONTROL!$C$42, 0.1146, 0.1146)*CHOOSE(CONTROL!$C$42, 121.5, 121.5)*CHOOSE(CONTROL!$C$42, 31, 31))/1000000</f>
        <v>0.43164089999999994</v>
      </c>
      <c r="X1009" s="57">
        <f>(31*0.1790888*100000/1000000)+(31*0.2374*100000/1000000)</f>
        <v>1.2911152800000001</v>
      </c>
      <c r="Y1009" s="57"/>
      <c r="Z1009" s="14"/>
      <c r="AA1009" s="56"/>
      <c r="AB1009" s="50">
        <f>(B1009*122.58+C1009*297.941+D1009*89.177+E1009*40.302+F1009*40+G1009*160+H1009*0+I1009*100+J1009*300)/(122.58+297.941+89.177+40.302+0+40+160+100+300)</f>
        <v>136.37141427443476</v>
      </c>
      <c r="AC1009" s="45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133.64148129496405</v>
      </c>
    </row>
    <row r="1010" spans="1:29" ht="15.75" x14ac:dyDescent="0.25">
      <c r="A1010" s="32">
        <v>71649</v>
      </c>
      <c r="B1010" s="14">
        <f>CHOOSE(CONTROL!$C$42, 138.747, 138.747) * CHOOSE(CONTROL!$C$21, $C$9, 100%, $E$9)</f>
        <v>138.74700000000001</v>
      </c>
      <c r="C1010" s="14">
        <f>CHOOSE(CONTROL!$C$42, 138.7521, 138.7521) * CHOOSE(CONTROL!$C$21, $C$9, 100%, $E$9)</f>
        <v>138.75210000000001</v>
      </c>
      <c r="D1010" s="14">
        <f>CHOOSE(CONTROL!$C$42, 138.8289, 138.8289) * CHOOSE(CONTROL!$C$21, $C$9, 100%, $E$9)</f>
        <v>138.8289</v>
      </c>
      <c r="E1010" s="14">
        <f>CHOOSE(CONTROL!$C$42, 138.863, 138.863) * CHOOSE(CONTROL!$C$21, $C$9, 100%, $E$9)</f>
        <v>138.863</v>
      </c>
      <c r="F1010" s="14">
        <f>CHOOSE(CONTROL!$C$42, 138.7473, 138.7473)*CHOOSE(CONTROL!$C$21, $C$9, 100%, $E$9)</f>
        <v>138.7473</v>
      </c>
      <c r="G1010" s="14">
        <f>CHOOSE(CONTROL!$C$42, 138.7635, 138.7635)*CHOOSE(CONTROL!$C$21, $C$9, 100%, $E$9)</f>
        <v>138.76349999999999</v>
      </c>
      <c r="H1010" s="14">
        <f>CHOOSE(CONTROL!$C$42, 138.8522, 138.8522) * CHOOSE(CONTROL!$C$21, $C$9, 100%, $E$9)</f>
        <v>138.85220000000001</v>
      </c>
      <c r="I1010" s="14">
        <f>CHOOSE(CONTROL!$C$42, 139.1996, 139.1996)* CHOOSE(CONTROL!$C$21, $C$9, 100%, $E$9)</f>
        <v>139.1996</v>
      </c>
      <c r="J1010" s="14">
        <f>CHOOSE(CONTROL!$C$42, 138.7403, 138.7403)* CHOOSE(CONTROL!$C$21, $C$9, 100%, $E$9)</f>
        <v>138.74029999999999</v>
      </c>
      <c r="K1010" s="53">
        <f>CHOOSE(CONTROL!$C$42, 139.1957, 139.1957) * CHOOSE(CONTROL!$C$21, $C$9, 100%, $E$9)</f>
        <v>139.19569999999999</v>
      </c>
      <c r="L1010" s="14">
        <f>CHOOSE(CONTROL!$C$42, 139.4392, 139.4392) * CHOOSE(CONTROL!$C$21, $C$9, 100%, $E$9)</f>
        <v>139.4392</v>
      </c>
      <c r="M1010" s="14">
        <f>CHOOSE(CONTROL!$C$42, 135.9053, 135.9053) * CHOOSE(CONTROL!$C$21, $C$9, 100%, $E$9)</f>
        <v>135.90530000000001</v>
      </c>
      <c r="N1010" s="14">
        <f>CHOOSE(CONTROL!$C$42, 135.9212, 135.9212) * CHOOSE(CONTROL!$C$21, $C$9, 100%, $E$9)</f>
        <v>135.9212</v>
      </c>
      <c r="O1010" s="14">
        <f>CHOOSE(CONTROL!$C$42, 136.0149, 136.0149) * CHOOSE(CONTROL!$C$21, $C$9, 100%, $E$9)</f>
        <v>136.01490000000001</v>
      </c>
      <c r="P1010" s="14">
        <f>CHOOSE(CONTROL!$C$42, 136.3465, 136.3465) * CHOOSE(CONTROL!$C$21, $C$9, 100%, $E$9)</f>
        <v>136.34649999999999</v>
      </c>
      <c r="Q1010" s="14">
        <f>CHOOSE(CONTROL!$C$42, 136.6096, 136.6096) * CHOOSE(CONTROL!$C$21, $C$9, 100%, $E$9)</f>
        <v>136.6096</v>
      </c>
      <c r="R1010" s="14">
        <f>CHOOSE(CONTROL!$C$42, 137.5381, 137.5381) * CHOOSE(CONTROL!$C$21, $C$9, 100%, $E$9)</f>
        <v>137.53809999999999</v>
      </c>
      <c r="S1010" s="14">
        <f>CHOOSE(CONTROL!$C$42, 133.3134, 133.3134) * CHOOSE(CONTROL!$C$21, $C$9, 100%, $E$9)</f>
        <v>133.3134</v>
      </c>
      <c r="T101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7">
        <f>(1000*CHOOSE(CONTROL!$C$42, 695, 695)*CHOOSE(CONTROL!$C$42, 0.5599, 0.5599)*CHOOSE(CONTROL!$C$42, 29, 29))/1000000</f>
        <v>11.284784499999999</v>
      </c>
      <c r="V1010" s="57">
        <f>(1000*CHOOSE(CONTROL!$C$42, 500, 500)*CHOOSE(CONTROL!$C$42, 0.275, 0.275)*CHOOSE(CONTROL!$C$42, 29, 29))/1000000</f>
        <v>3.9874999999999998</v>
      </c>
      <c r="W1010" s="57">
        <f>(1000*CHOOSE(CONTROL!$C$42, 0.1146, 0.1146)*CHOOSE(CONTROL!$C$42, 121.5, 121.5)*CHOOSE(CONTROL!$C$42, 29, 29))/1000000</f>
        <v>0.40379309999999996</v>
      </c>
      <c r="X1010" s="57">
        <f>(29*0.1790888*100000/1000000)+(29*0.2374*100000/1000000)</f>
        <v>1.2078175199999999</v>
      </c>
      <c r="Y1010" s="57"/>
      <c r="Z1010" s="14"/>
      <c r="AA1010" s="56"/>
      <c r="AB1010" s="50">
        <f>(B1010*122.58+C1010*297.941+D1010*89.177+E1010*40.302+F1010*40+G1010*160+H1010*0+I1010*100+J1010*300)/(122.58+297.941+89.177+40.302+0+40+160+100+300)</f>
        <v>138.79865228469563</v>
      </c>
      <c r="AC1010" s="45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136.01937194244604</v>
      </c>
    </row>
    <row r="1011" spans="1:29" ht="15.75" x14ac:dyDescent="0.25">
      <c r="A1011" s="32">
        <v>71680</v>
      </c>
      <c r="B1011" s="14">
        <f>CHOOSE(CONTROL!$C$42, 134.8081, 134.8081) * CHOOSE(CONTROL!$C$21, $C$9, 100%, $E$9)</f>
        <v>134.8081</v>
      </c>
      <c r="C1011" s="14">
        <f>CHOOSE(CONTROL!$C$42, 134.8132, 134.8132) * CHOOSE(CONTROL!$C$21, $C$9, 100%, $E$9)</f>
        <v>134.81319999999999</v>
      </c>
      <c r="D1011" s="14">
        <f>CHOOSE(CONTROL!$C$42, 134.89, 134.89) * CHOOSE(CONTROL!$C$21, $C$9, 100%, $E$9)</f>
        <v>134.88999999999999</v>
      </c>
      <c r="E1011" s="14">
        <f>CHOOSE(CONTROL!$C$42, 134.9241, 134.9241) * CHOOSE(CONTROL!$C$21, $C$9, 100%, $E$9)</f>
        <v>134.92410000000001</v>
      </c>
      <c r="F1011" s="14">
        <f>CHOOSE(CONTROL!$C$42, 134.8079, 134.8079)*CHOOSE(CONTROL!$C$21, $C$9, 100%, $E$9)</f>
        <v>134.80789999999999</v>
      </c>
      <c r="G1011" s="14">
        <f>CHOOSE(CONTROL!$C$42, 134.824, 134.824)*CHOOSE(CONTROL!$C$21, $C$9, 100%, $E$9)</f>
        <v>134.82400000000001</v>
      </c>
      <c r="H1011" s="14">
        <f>CHOOSE(CONTROL!$C$42, 134.9133, 134.9133) * CHOOSE(CONTROL!$C$21, $C$9, 100%, $E$9)</f>
        <v>134.91329999999999</v>
      </c>
      <c r="I1011" s="14">
        <f>CHOOSE(CONTROL!$C$42, 135.2484, 135.2484)* CHOOSE(CONTROL!$C$21, $C$9, 100%, $E$9)</f>
        <v>135.2484</v>
      </c>
      <c r="J1011" s="14">
        <f>CHOOSE(CONTROL!$C$42, 134.8009, 134.8009)* CHOOSE(CONTROL!$C$21, $C$9, 100%, $E$9)</f>
        <v>134.80090000000001</v>
      </c>
      <c r="K1011" s="53">
        <f>CHOOSE(CONTROL!$C$42, 135.2445, 135.2445) * CHOOSE(CONTROL!$C$21, $C$9, 100%, $E$9)</f>
        <v>135.24449999999999</v>
      </c>
      <c r="L1011" s="14">
        <f>CHOOSE(CONTROL!$C$42, 135.5003, 135.5003) * CHOOSE(CONTROL!$C$21, $C$9, 100%, $E$9)</f>
        <v>135.50030000000001</v>
      </c>
      <c r="M1011" s="14">
        <f>CHOOSE(CONTROL!$C$42, 132.0467, 132.0467) * CHOOSE(CONTROL!$C$21, $C$9, 100%, $E$9)</f>
        <v>132.04669999999999</v>
      </c>
      <c r="N1011" s="14">
        <f>CHOOSE(CONTROL!$C$42, 132.0624, 132.0624) * CHOOSE(CONTROL!$C$21, $C$9, 100%, $E$9)</f>
        <v>132.0624</v>
      </c>
      <c r="O1011" s="14">
        <f>CHOOSE(CONTROL!$C$42, 132.1567, 132.1567) * CHOOSE(CONTROL!$C$21, $C$9, 100%, $E$9)</f>
        <v>132.1567</v>
      </c>
      <c r="P1011" s="14">
        <f>CHOOSE(CONTROL!$C$42, 132.4765, 132.4765) * CHOOSE(CONTROL!$C$21, $C$9, 100%, $E$9)</f>
        <v>132.47649999999999</v>
      </c>
      <c r="Q1011" s="14">
        <f>CHOOSE(CONTROL!$C$42, 132.7514, 132.7514) * CHOOSE(CONTROL!$C$21, $C$9, 100%, $E$9)</f>
        <v>132.75139999999999</v>
      </c>
      <c r="R1011" s="14">
        <f>CHOOSE(CONTROL!$C$42, 133.6703, 133.6703) * CHOOSE(CONTROL!$C$21, $C$9, 100%, $E$9)</f>
        <v>133.6703</v>
      </c>
      <c r="S1011" s="14">
        <f>CHOOSE(CONTROL!$C$42, 129.5286, 129.5286) * CHOOSE(CONTROL!$C$21, $C$9, 100%, $E$9)</f>
        <v>129.52860000000001</v>
      </c>
      <c r="T10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7">
        <f>(1000*CHOOSE(CONTROL!$C$42, 695, 695)*CHOOSE(CONTROL!$C$42, 0.5599, 0.5599)*CHOOSE(CONTROL!$C$42, 31, 31))/1000000</f>
        <v>12.063045499999998</v>
      </c>
      <c r="V1011" s="57">
        <f>(1000*CHOOSE(CONTROL!$C$42, 500, 500)*CHOOSE(CONTROL!$C$42, 0.275, 0.275)*CHOOSE(CONTROL!$C$42, 31, 31))/1000000</f>
        <v>4.2625000000000002</v>
      </c>
      <c r="W1011" s="57">
        <f>(1000*CHOOSE(CONTROL!$C$42, 0.1146, 0.1146)*CHOOSE(CONTROL!$C$42, 121.5, 121.5)*CHOOSE(CONTROL!$C$42, 31, 31))/1000000</f>
        <v>0.43164089999999994</v>
      </c>
      <c r="X1011" s="57">
        <f>(31*0.1790888*100000/1000000)+(31*0.2374*100000/1000000)</f>
        <v>1.2911152800000001</v>
      </c>
      <c r="Y1011" s="57"/>
      <c r="Z1011" s="14"/>
      <c r="AA1011" s="56"/>
      <c r="AB1011" s="50">
        <f>(B1011*122.58+C1011*297.941+D1011*89.177+E1011*40.302+F1011*40+G1011*160+H1011*0+I1011*100+J1011*300)/(122.58+297.941+89.177+40.302+0+40+160+100+300)</f>
        <v>134.85845141513045</v>
      </c>
      <c r="AC1011" s="45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132.15930143884893</v>
      </c>
    </row>
    <row r="1012" spans="1:29" ht="15.75" x14ac:dyDescent="0.25">
      <c r="A1012" s="32">
        <v>71710</v>
      </c>
      <c r="B1012" s="14">
        <f>CHOOSE(CONTROL!$C$42, 134.4058, 134.4058) * CHOOSE(CONTROL!$C$21, $C$9, 100%, $E$9)</f>
        <v>134.4058</v>
      </c>
      <c r="C1012" s="14">
        <f>CHOOSE(CONTROL!$C$42, 134.4102, 134.4102) * CHOOSE(CONTROL!$C$21, $C$9, 100%, $E$9)</f>
        <v>134.4102</v>
      </c>
      <c r="D1012" s="14">
        <f>CHOOSE(CONTROL!$C$42, 134.647, 134.647) * CHOOSE(CONTROL!$C$21, $C$9, 100%, $E$9)</f>
        <v>134.64699999999999</v>
      </c>
      <c r="E1012" s="14">
        <f>CHOOSE(CONTROL!$C$42, 134.6791, 134.6791) * CHOOSE(CONTROL!$C$21, $C$9, 100%, $E$9)</f>
        <v>134.67910000000001</v>
      </c>
      <c r="F1012" s="14">
        <f>CHOOSE(CONTROL!$C$42, 134.4037, 134.4037)*CHOOSE(CONTROL!$C$21, $C$9, 100%, $E$9)</f>
        <v>134.40369999999999</v>
      </c>
      <c r="G1012" s="14">
        <f>CHOOSE(CONTROL!$C$42, 134.4195, 134.4195)*CHOOSE(CONTROL!$C$21, $C$9, 100%, $E$9)</f>
        <v>134.4195</v>
      </c>
      <c r="H1012" s="14">
        <f>CHOOSE(CONTROL!$C$42, 134.6689, 134.6689) * CHOOSE(CONTROL!$C$21, $C$9, 100%, $E$9)</f>
        <v>134.66890000000001</v>
      </c>
      <c r="I1012" s="14">
        <f>CHOOSE(CONTROL!$C$42, 134.844, 134.844)* CHOOSE(CONTROL!$C$21, $C$9, 100%, $E$9)</f>
        <v>134.84399999999999</v>
      </c>
      <c r="J1012" s="14">
        <f>CHOOSE(CONTROL!$C$42, 134.3967, 134.3967)* CHOOSE(CONTROL!$C$21, $C$9, 100%, $E$9)</f>
        <v>134.39670000000001</v>
      </c>
      <c r="K1012" s="53">
        <f>CHOOSE(CONTROL!$C$42, 134.8401, 134.8401) * CHOOSE(CONTROL!$C$21, $C$9, 100%, $E$9)</f>
        <v>134.84010000000001</v>
      </c>
      <c r="L1012" s="14">
        <f>CHOOSE(CONTROL!$C$42, 135.2559, 135.2559) * CHOOSE(CONTROL!$C$21, $C$9, 100%, $E$9)</f>
        <v>135.2559</v>
      </c>
      <c r="M1012" s="14">
        <f>CHOOSE(CONTROL!$C$42, 131.6507, 131.6507) * CHOOSE(CONTROL!$C$21, $C$9, 100%, $E$9)</f>
        <v>131.6507</v>
      </c>
      <c r="N1012" s="14">
        <f>CHOOSE(CONTROL!$C$42, 131.6662, 131.6662) * CHOOSE(CONTROL!$C$21, $C$9, 100%, $E$9)</f>
        <v>131.6662</v>
      </c>
      <c r="O1012" s="14">
        <f>CHOOSE(CONTROL!$C$42, 131.9173, 131.9173) * CHOOSE(CONTROL!$C$21, $C$9, 100%, $E$9)</f>
        <v>131.91730000000001</v>
      </c>
      <c r="P1012" s="14">
        <f>CHOOSE(CONTROL!$C$42, 132.0804, 132.0804) * CHOOSE(CONTROL!$C$21, $C$9, 100%, $E$9)</f>
        <v>132.0804</v>
      </c>
      <c r="Q1012" s="14">
        <f>CHOOSE(CONTROL!$C$42, 132.512, 132.512) * CHOOSE(CONTROL!$C$21, $C$9, 100%, $E$9)</f>
        <v>132.512</v>
      </c>
      <c r="R1012" s="14">
        <f>CHOOSE(CONTROL!$C$42, 133.4303, 133.4303) * CHOOSE(CONTROL!$C$21, $C$9, 100%, $E$9)</f>
        <v>133.43029999999999</v>
      </c>
      <c r="S1012" s="14">
        <f>CHOOSE(CONTROL!$C$42, 129.1412, 129.1412) * CHOOSE(CONTROL!$C$21, $C$9, 100%, $E$9)</f>
        <v>129.1412</v>
      </c>
      <c r="T10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7">
        <f>(1000*CHOOSE(CONTROL!$C$42, 695, 695)*CHOOSE(CONTROL!$C$42, 0.5599, 0.5599)*CHOOSE(CONTROL!$C$42, 30, 30))/1000000</f>
        <v>11.673914999999997</v>
      </c>
      <c r="V1012" s="57">
        <f>(1000*CHOOSE(CONTROL!$C$42, 500, 500)*CHOOSE(CONTROL!$C$42, 0.275, 0.275)*CHOOSE(CONTROL!$C$42, 30, 30))/1000000</f>
        <v>4.125</v>
      </c>
      <c r="W1012" s="57">
        <f>(1000*CHOOSE(CONTROL!$C$42, 0.1146, 0.1146)*CHOOSE(CONTROL!$C$42, 121.5, 121.5)*CHOOSE(CONTROL!$C$42, 30, 30))/1000000</f>
        <v>0.417717</v>
      </c>
      <c r="X1012" s="57">
        <f>(30*0.1790888*245000/1000000)+(30*0.2374*100000/1000000)</f>
        <v>2.0285026799999999</v>
      </c>
      <c r="Y1012" s="57"/>
      <c r="Z1012" s="14"/>
      <c r="AA1012" s="56"/>
      <c r="AB1012" s="50">
        <f>(B1012*141.293+C1012*267.993+D1012*115.016+E1012*89.698+F1012*40+G1012*185+H1012*0+I1012*100+J1012*300)/(141.293+267.993+115.016+89.698+0+40+185+100+300)</f>
        <v>134.48406956561743</v>
      </c>
      <c r="AC1012" s="45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131.83425251798562</v>
      </c>
    </row>
    <row r="1013" spans="1:29" ht="15.75" x14ac:dyDescent="0.25">
      <c r="A1013" s="32">
        <v>71741</v>
      </c>
      <c r="B1013" s="14">
        <f>CHOOSE(CONTROL!$C$42, 135.5934, 135.5934) * CHOOSE(CONTROL!$C$21, $C$9, 100%, $E$9)</f>
        <v>135.5934</v>
      </c>
      <c r="C1013" s="14">
        <f>CHOOSE(CONTROL!$C$42, 135.6014, 135.6014) * CHOOSE(CONTROL!$C$21, $C$9, 100%, $E$9)</f>
        <v>135.60140000000001</v>
      </c>
      <c r="D1013" s="14">
        <f>CHOOSE(CONTROL!$C$42, 135.835, 135.835) * CHOOSE(CONTROL!$C$21, $C$9, 100%, $E$9)</f>
        <v>135.83500000000001</v>
      </c>
      <c r="E1013" s="14">
        <f>CHOOSE(CONTROL!$C$42, 135.8664, 135.8664) * CHOOSE(CONTROL!$C$21, $C$9, 100%, $E$9)</f>
        <v>135.8664</v>
      </c>
      <c r="F1013" s="14">
        <f>CHOOSE(CONTROL!$C$42, 135.5901, 135.5901)*CHOOSE(CONTROL!$C$21, $C$9, 100%, $E$9)</f>
        <v>135.59010000000001</v>
      </c>
      <c r="G1013" s="14">
        <f>CHOOSE(CONTROL!$C$42, 135.6065, 135.6065)*CHOOSE(CONTROL!$C$21, $C$9, 100%, $E$9)</f>
        <v>135.60650000000001</v>
      </c>
      <c r="H1013" s="14">
        <f>CHOOSE(CONTROL!$C$42, 135.8551, 135.8551) * CHOOSE(CONTROL!$C$21, $C$9, 100%, $E$9)</f>
        <v>135.85509999999999</v>
      </c>
      <c r="I1013" s="14">
        <f>CHOOSE(CONTROL!$C$42, 136.0339, 136.0339)* CHOOSE(CONTROL!$C$21, $C$9, 100%, $E$9)</f>
        <v>136.03389999999999</v>
      </c>
      <c r="J1013" s="14">
        <f>CHOOSE(CONTROL!$C$42, 135.5831, 135.5831)* CHOOSE(CONTROL!$C$21, $C$9, 100%, $E$9)</f>
        <v>135.5831</v>
      </c>
      <c r="K1013" s="53">
        <f>CHOOSE(CONTROL!$C$42, 136.03, 136.03) * CHOOSE(CONTROL!$C$21, $C$9, 100%, $E$9)</f>
        <v>136.03</v>
      </c>
      <c r="L1013" s="14">
        <f>CHOOSE(CONTROL!$C$42, 136.4421, 136.4421) * CHOOSE(CONTROL!$C$21, $C$9, 100%, $E$9)</f>
        <v>136.44210000000001</v>
      </c>
      <c r="M1013" s="14">
        <f>CHOOSE(CONTROL!$C$42, 132.8128, 132.8128) * CHOOSE(CONTROL!$C$21, $C$9, 100%, $E$9)</f>
        <v>132.81280000000001</v>
      </c>
      <c r="N1013" s="14">
        <f>CHOOSE(CONTROL!$C$42, 132.8288, 132.8288) * CHOOSE(CONTROL!$C$21, $C$9, 100%, $E$9)</f>
        <v>132.8288</v>
      </c>
      <c r="O1013" s="14">
        <f>CHOOSE(CONTROL!$C$42, 133.0792, 133.0792) * CHOOSE(CONTROL!$C$21, $C$9, 100%, $E$9)</f>
        <v>133.07919999999999</v>
      </c>
      <c r="P1013" s="14">
        <f>CHOOSE(CONTROL!$C$42, 133.2459, 133.2459) * CHOOSE(CONTROL!$C$21, $C$9, 100%, $E$9)</f>
        <v>133.24590000000001</v>
      </c>
      <c r="Q1013" s="14">
        <f>CHOOSE(CONTROL!$C$42, 133.6739, 133.6739) * CHOOSE(CONTROL!$C$21, $C$9, 100%, $E$9)</f>
        <v>133.6739</v>
      </c>
      <c r="R1013" s="14">
        <f>CHOOSE(CONTROL!$C$42, 134.5951, 134.5951) * CHOOSE(CONTROL!$C$21, $C$9, 100%, $E$9)</f>
        <v>134.5951</v>
      </c>
      <c r="S1013" s="14">
        <f>CHOOSE(CONTROL!$C$42, 130.281, 130.281) * CHOOSE(CONTROL!$C$21, $C$9, 100%, $E$9)</f>
        <v>130.28100000000001</v>
      </c>
      <c r="T10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7">
        <f>(1000*CHOOSE(CONTROL!$C$42, 695, 695)*CHOOSE(CONTROL!$C$42, 0.5599, 0.5599)*CHOOSE(CONTROL!$C$42, 31, 31))/1000000</f>
        <v>12.063045499999998</v>
      </c>
      <c r="V1013" s="57">
        <f>(1000*CHOOSE(CONTROL!$C$42, 500, 500)*CHOOSE(CONTROL!$C$42, 0.275, 0.275)*CHOOSE(CONTROL!$C$42, 31, 31))/1000000</f>
        <v>4.2625000000000002</v>
      </c>
      <c r="W1013" s="57">
        <f>(1000*CHOOSE(CONTROL!$C$42, 0.1146, 0.1146)*CHOOSE(CONTROL!$C$42, 121.5, 121.5)*CHOOSE(CONTROL!$C$42, 31, 31))/1000000</f>
        <v>0.43164089999999994</v>
      </c>
      <c r="X1013" s="57">
        <f>(31*0.1790888*245000/1000000)+(31*0.2374*100000/1000000)</f>
        <v>2.0961194359999999</v>
      </c>
      <c r="Y1013" s="57"/>
      <c r="Z1013" s="14"/>
      <c r="AA1013" s="56"/>
      <c r="AB1013" s="50">
        <f>(B1013*194.205+C1013*267.466+D1013*133.845+E1013*53.484+F1013*40+G1013*185+H1013*0+I1013*100+J1013*300)/(194.205+267.466+133.845+53.484+0+40+185+100+300)</f>
        <v>135.66587198744114</v>
      </c>
      <c r="AC1013" s="45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132.9967798561151</v>
      </c>
    </row>
    <row r="1014" spans="1:29" ht="15.75" x14ac:dyDescent="0.25">
      <c r="A1014" s="32">
        <v>71771</v>
      </c>
      <c r="B1014" s="14">
        <f>CHOOSE(CONTROL!$C$42, 139.4393, 139.4393) * CHOOSE(CONTROL!$C$21, $C$9, 100%, $E$9)</f>
        <v>139.4393</v>
      </c>
      <c r="C1014" s="14">
        <f>CHOOSE(CONTROL!$C$42, 139.4473, 139.4473) * CHOOSE(CONTROL!$C$21, $C$9, 100%, $E$9)</f>
        <v>139.44730000000001</v>
      </c>
      <c r="D1014" s="14">
        <f>CHOOSE(CONTROL!$C$42, 139.6809, 139.6809) * CHOOSE(CONTROL!$C$21, $C$9, 100%, $E$9)</f>
        <v>139.68090000000001</v>
      </c>
      <c r="E1014" s="14">
        <f>CHOOSE(CONTROL!$C$42, 139.7124, 139.7124) * CHOOSE(CONTROL!$C$21, $C$9, 100%, $E$9)</f>
        <v>139.7124</v>
      </c>
      <c r="F1014" s="14">
        <f>CHOOSE(CONTROL!$C$42, 139.4366, 139.4366)*CHOOSE(CONTROL!$C$21, $C$9, 100%, $E$9)</f>
        <v>139.4366</v>
      </c>
      <c r="G1014" s="14">
        <f>CHOOSE(CONTROL!$C$42, 139.453, 139.453)*CHOOSE(CONTROL!$C$21, $C$9, 100%, $E$9)</f>
        <v>139.453</v>
      </c>
      <c r="H1014" s="14">
        <f>CHOOSE(CONTROL!$C$42, 139.701, 139.701) * CHOOSE(CONTROL!$C$21, $C$9, 100%, $E$9)</f>
        <v>139.70099999999999</v>
      </c>
      <c r="I1014" s="14">
        <f>CHOOSE(CONTROL!$C$42, 139.8919, 139.8919)* CHOOSE(CONTROL!$C$21, $C$9, 100%, $E$9)</f>
        <v>139.89189999999999</v>
      </c>
      <c r="J1014" s="14">
        <f>CHOOSE(CONTROL!$C$42, 139.4296, 139.4296)* CHOOSE(CONTROL!$C$21, $C$9, 100%, $E$9)</f>
        <v>139.42959999999999</v>
      </c>
      <c r="K1014" s="53">
        <f>CHOOSE(CONTROL!$C$42, 139.888, 139.888) * CHOOSE(CONTROL!$C$21, $C$9, 100%, $E$9)</f>
        <v>139.88800000000001</v>
      </c>
      <c r="L1014" s="14">
        <f>CHOOSE(CONTROL!$C$42, 140.288, 140.288) * CHOOSE(CONTROL!$C$21, $C$9, 100%, $E$9)</f>
        <v>140.28800000000001</v>
      </c>
      <c r="M1014" s="14">
        <f>CHOOSE(CONTROL!$C$42, 136.5804, 136.5804) * CHOOSE(CONTROL!$C$21, $C$9, 100%, $E$9)</f>
        <v>136.5804</v>
      </c>
      <c r="N1014" s="14">
        <f>CHOOSE(CONTROL!$C$42, 136.5966, 136.5966) * CHOOSE(CONTROL!$C$21, $C$9, 100%, $E$9)</f>
        <v>136.5966</v>
      </c>
      <c r="O1014" s="14">
        <f>CHOOSE(CONTROL!$C$42, 136.8463, 136.8463) * CHOOSE(CONTROL!$C$21, $C$9, 100%, $E$9)</f>
        <v>136.84630000000001</v>
      </c>
      <c r="P1014" s="14">
        <f>CHOOSE(CONTROL!$C$42, 137.0246, 137.0246) * CHOOSE(CONTROL!$C$21, $C$9, 100%, $E$9)</f>
        <v>137.02459999999999</v>
      </c>
      <c r="Q1014" s="14">
        <f>CHOOSE(CONTROL!$C$42, 137.441, 137.441) * CHOOSE(CONTROL!$C$21, $C$9, 100%, $E$9)</f>
        <v>137.441</v>
      </c>
      <c r="R1014" s="14">
        <f>CHOOSE(CONTROL!$C$42, 138.3716, 138.3716) * CHOOSE(CONTROL!$C$21, $C$9, 100%, $E$9)</f>
        <v>138.3716</v>
      </c>
      <c r="S1014" s="14">
        <f>CHOOSE(CONTROL!$C$42, 133.9766, 133.9766) * CHOOSE(CONTROL!$C$21, $C$9, 100%, $E$9)</f>
        <v>133.97659999999999</v>
      </c>
      <c r="T10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7">
        <f>(1000*CHOOSE(CONTROL!$C$42, 695, 695)*CHOOSE(CONTROL!$C$42, 0.5599, 0.5599)*CHOOSE(CONTROL!$C$42, 30, 30))/1000000</f>
        <v>11.673914999999997</v>
      </c>
      <c r="V1014" s="57">
        <f>(1000*CHOOSE(CONTROL!$C$42, 500, 500)*CHOOSE(CONTROL!$C$42, 0.275, 0.275)*CHOOSE(CONTROL!$C$42, 30, 30))/1000000</f>
        <v>4.125</v>
      </c>
      <c r="W1014" s="57">
        <f>(1000*CHOOSE(CONTROL!$C$42, 0.1146, 0.1146)*CHOOSE(CONTROL!$C$42, 121.5, 121.5)*CHOOSE(CONTROL!$C$42, 30, 30))/1000000</f>
        <v>0.417717</v>
      </c>
      <c r="X1014" s="57">
        <f>(30*0.1790888*245000/1000000)+(30*0.2374*100000/1000000)</f>
        <v>2.0285026799999999</v>
      </c>
      <c r="Y1014" s="57"/>
      <c r="Z1014" s="14"/>
      <c r="AA1014" s="56"/>
      <c r="AB1014" s="50">
        <f>(B1014*194.205+C1014*267.466+D1014*133.845+E1014*53.484+F1014*40+G1014*185+H1014*0+I1014*100+J1014*300)/(194.205+267.466+133.845+53.484+0+40+185+100+300)</f>
        <v>139.51297320282575</v>
      </c>
      <c r="AC1014" s="45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136.76576187050358</v>
      </c>
    </row>
    <row r="1015" spans="1:29" ht="15.75" x14ac:dyDescent="0.25">
      <c r="A1015" s="32">
        <v>71802</v>
      </c>
      <c r="B1015" s="14">
        <f>CHOOSE(CONTROL!$C$42, 136.7644, 136.7644) * CHOOSE(CONTROL!$C$21, $C$9, 100%, $E$9)</f>
        <v>136.76439999999999</v>
      </c>
      <c r="C1015" s="14">
        <f>CHOOSE(CONTROL!$C$42, 136.7725, 136.7725) * CHOOSE(CONTROL!$C$21, $C$9, 100%, $E$9)</f>
        <v>136.77250000000001</v>
      </c>
      <c r="D1015" s="14">
        <f>CHOOSE(CONTROL!$C$42, 137.006, 137.006) * CHOOSE(CONTROL!$C$21, $C$9, 100%, $E$9)</f>
        <v>137.006</v>
      </c>
      <c r="E1015" s="14">
        <f>CHOOSE(CONTROL!$C$42, 137.0375, 137.0375) * CHOOSE(CONTROL!$C$21, $C$9, 100%, $E$9)</f>
        <v>137.03749999999999</v>
      </c>
      <c r="F1015" s="14">
        <f>CHOOSE(CONTROL!$C$42, 136.7622, 136.7622)*CHOOSE(CONTROL!$C$21, $C$9, 100%, $E$9)</f>
        <v>136.76220000000001</v>
      </c>
      <c r="G1015" s="14">
        <f>CHOOSE(CONTROL!$C$42, 136.7788, 136.7788)*CHOOSE(CONTROL!$C$21, $C$9, 100%, $E$9)</f>
        <v>136.77879999999999</v>
      </c>
      <c r="H1015" s="14">
        <f>CHOOSE(CONTROL!$C$42, 137.0261, 137.0261) * CHOOSE(CONTROL!$C$21, $C$9, 100%, $E$9)</f>
        <v>137.02610000000001</v>
      </c>
      <c r="I1015" s="14">
        <f>CHOOSE(CONTROL!$C$42, 137.2086, 137.2086)* CHOOSE(CONTROL!$C$21, $C$9, 100%, $E$9)</f>
        <v>137.20859999999999</v>
      </c>
      <c r="J1015" s="14">
        <f>CHOOSE(CONTROL!$C$42, 136.7552, 136.7552)* CHOOSE(CONTROL!$C$21, $C$9, 100%, $E$9)</f>
        <v>136.7552</v>
      </c>
      <c r="K1015" s="53">
        <f>CHOOSE(CONTROL!$C$42, 137.2047, 137.2047) * CHOOSE(CONTROL!$C$21, $C$9, 100%, $E$9)</f>
        <v>137.2047</v>
      </c>
      <c r="L1015" s="14">
        <f>CHOOSE(CONTROL!$C$42, 137.6131, 137.6131) * CHOOSE(CONTROL!$C$21, $C$9, 100%, $E$9)</f>
        <v>137.6131</v>
      </c>
      <c r="M1015" s="14">
        <f>CHOOSE(CONTROL!$C$42, 133.9609, 133.9609) * CHOOSE(CONTROL!$C$21, $C$9, 100%, $E$9)</f>
        <v>133.96090000000001</v>
      </c>
      <c r="N1015" s="14">
        <f>CHOOSE(CONTROL!$C$42, 133.9771, 133.9771) * CHOOSE(CONTROL!$C$21, $C$9, 100%, $E$9)</f>
        <v>133.97710000000001</v>
      </c>
      <c r="O1015" s="14">
        <f>CHOOSE(CONTROL!$C$42, 134.2263, 134.2263) * CHOOSE(CONTROL!$C$21, $C$9, 100%, $E$9)</f>
        <v>134.22630000000001</v>
      </c>
      <c r="P1015" s="14">
        <f>CHOOSE(CONTROL!$C$42, 134.3965, 134.3965) * CHOOSE(CONTROL!$C$21, $C$9, 100%, $E$9)</f>
        <v>134.3965</v>
      </c>
      <c r="Q1015" s="14">
        <f>CHOOSE(CONTROL!$C$42, 134.821, 134.821) * CHOOSE(CONTROL!$C$21, $C$9, 100%, $E$9)</f>
        <v>134.821</v>
      </c>
      <c r="R1015" s="14">
        <f>CHOOSE(CONTROL!$C$42, 135.745, 135.745) * CHOOSE(CONTROL!$C$21, $C$9, 100%, $E$9)</f>
        <v>135.745</v>
      </c>
      <c r="S1015" s="14">
        <f>CHOOSE(CONTROL!$C$42, 131.4063, 131.4063) * CHOOSE(CONTROL!$C$21, $C$9, 100%, $E$9)</f>
        <v>131.40629999999999</v>
      </c>
      <c r="T10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7">
        <f>(1000*CHOOSE(CONTROL!$C$42, 695, 695)*CHOOSE(CONTROL!$C$42, 0.5599, 0.5599)*CHOOSE(CONTROL!$C$42, 31, 31))/1000000</f>
        <v>12.063045499999998</v>
      </c>
      <c r="V1015" s="57">
        <f>(1000*CHOOSE(CONTROL!$C$42, 500, 500)*CHOOSE(CONTROL!$C$42, 0.275, 0.275)*CHOOSE(CONTROL!$C$42, 31, 31))/1000000</f>
        <v>4.2625000000000002</v>
      </c>
      <c r="W1015" s="57">
        <f>(1000*CHOOSE(CONTROL!$C$42, 0.1146, 0.1146)*CHOOSE(CONTROL!$C$42, 121.5, 121.5)*CHOOSE(CONTROL!$C$42, 31, 31))/1000000</f>
        <v>0.43164089999999994</v>
      </c>
      <c r="X1015" s="57">
        <f>(31*0.1790888*245000/1000000)+(31*0.2374*100000/1000000)</f>
        <v>2.0961194359999999</v>
      </c>
      <c r="Y1015" s="57"/>
      <c r="Z1015" s="14"/>
      <c r="AA1015" s="56"/>
      <c r="AB1015" s="50">
        <f>(B1015*194.205+C1015*267.466+D1015*133.845+E1015*53.484+F1015*40+G1015*185+H1015*0+I1015*100+J1015*300)/(194.205+267.466+133.845+53.484+0+40+185+100+300)</f>
        <v>136.83766994270013</v>
      </c>
      <c r="AC1015" s="45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134.14479784172661</v>
      </c>
    </row>
    <row r="1016" spans="1:29" ht="15.75" x14ac:dyDescent="0.25">
      <c r="A1016" s="32">
        <v>71833</v>
      </c>
      <c r="B1016" s="14">
        <f>CHOOSE(CONTROL!$C$42, 130.0095, 130.0095) * CHOOSE(CONTROL!$C$21, $C$9, 100%, $E$9)</f>
        <v>130.0095</v>
      </c>
      <c r="C1016" s="14">
        <f>CHOOSE(CONTROL!$C$42, 130.0175, 130.0175) * CHOOSE(CONTROL!$C$21, $C$9, 100%, $E$9)</f>
        <v>130.01750000000001</v>
      </c>
      <c r="D1016" s="14">
        <f>CHOOSE(CONTROL!$C$42, 130.2511, 130.2511) * CHOOSE(CONTROL!$C$21, $C$9, 100%, $E$9)</f>
        <v>130.25110000000001</v>
      </c>
      <c r="E1016" s="14">
        <f>CHOOSE(CONTROL!$C$42, 130.2826, 130.2826) * CHOOSE(CONTROL!$C$21, $C$9, 100%, $E$9)</f>
        <v>130.2826</v>
      </c>
      <c r="F1016" s="14">
        <f>CHOOSE(CONTROL!$C$42, 130.0075, 130.0075)*CHOOSE(CONTROL!$C$21, $C$9, 100%, $E$9)</f>
        <v>130.00749999999999</v>
      </c>
      <c r="G1016" s="14">
        <f>CHOOSE(CONTROL!$C$42, 130.0241, 130.0241)*CHOOSE(CONTROL!$C$21, $C$9, 100%, $E$9)</f>
        <v>130.0241</v>
      </c>
      <c r="H1016" s="14">
        <f>CHOOSE(CONTROL!$C$42, 130.2712, 130.2712) * CHOOSE(CONTROL!$C$21, $C$9, 100%, $E$9)</f>
        <v>130.27119999999999</v>
      </c>
      <c r="I1016" s="14">
        <f>CHOOSE(CONTROL!$C$42, 130.4326, 130.4326)* CHOOSE(CONTROL!$C$21, $C$9, 100%, $E$9)</f>
        <v>130.43260000000001</v>
      </c>
      <c r="J1016" s="14">
        <f>CHOOSE(CONTROL!$C$42, 130.0005, 130.0005)* CHOOSE(CONTROL!$C$21, $C$9, 100%, $E$9)</f>
        <v>130.00049999999999</v>
      </c>
      <c r="K1016" s="53">
        <f>CHOOSE(CONTROL!$C$42, 130.4287, 130.4287) * CHOOSE(CONTROL!$C$21, $C$9, 100%, $E$9)</f>
        <v>130.42869999999999</v>
      </c>
      <c r="L1016" s="14">
        <f>CHOOSE(CONTROL!$C$42, 130.8582, 130.8582) * CHOOSE(CONTROL!$C$21, $C$9, 100%, $E$9)</f>
        <v>130.85820000000001</v>
      </c>
      <c r="M1016" s="14">
        <f>CHOOSE(CONTROL!$C$42, 127.3446, 127.3446) * CHOOSE(CONTROL!$C$21, $C$9, 100%, $E$9)</f>
        <v>127.3446</v>
      </c>
      <c r="N1016" s="14">
        <f>CHOOSE(CONTROL!$C$42, 127.3609, 127.3609) * CHOOSE(CONTROL!$C$21, $C$9, 100%, $E$9)</f>
        <v>127.3609</v>
      </c>
      <c r="O1016" s="14">
        <f>CHOOSE(CONTROL!$C$42, 127.6097, 127.6097) * CHOOSE(CONTROL!$C$21, $C$9, 100%, $E$9)</f>
        <v>127.6097</v>
      </c>
      <c r="P1016" s="14">
        <f>CHOOSE(CONTROL!$C$42, 127.7597, 127.7597) * CHOOSE(CONTROL!$C$21, $C$9, 100%, $E$9)</f>
        <v>127.7597</v>
      </c>
      <c r="Q1016" s="14">
        <f>CHOOSE(CONTROL!$C$42, 128.2044, 128.2044) * CHOOSE(CONTROL!$C$21, $C$9, 100%, $E$9)</f>
        <v>128.20439999999999</v>
      </c>
      <c r="R1016" s="14">
        <f>CHOOSE(CONTROL!$C$42, 129.112, 129.112) * CHOOSE(CONTROL!$C$21, $C$9, 100%, $E$9)</f>
        <v>129.11199999999999</v>
      </c>
      <c r="S1016" s="14">
        <f>CHOOSE(CONTROL!$C$42, 124.9155, 124.9155) * CHOOSE(CONTROL!$C$21, $C$9, 100%, $E$9)</f>
        <v>124.91549999999999</v>
      </c>
      <c r="T10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7">
        <f>(1000*CHOOSE(CONTROL!$C$42, 695, 695)*CHOOSE(CONTROL!$C$42, 0.5599, 0.5599)*CHOOSE(CONTROL!$C$42, 31, 31))/1000000</f>
        <v>12.063045499999998</v>
      </c>
      <c r="V1016" s="57">
        <f>(1000*CHOOSE(CONTROL!$C$42, 500, 500)*CHOOSE(CONTROL!$C$42, 0.275, 0.275)*CHOOSE(CONTROL!$C$42, 31, 31))/1000000</f>
        <v>4.2625000000000002</v>
      </c>
      <c r="W1016" s="57">
        <f>(1000*CHOOSE(CONTROL!$C$42, 0.1146, 0.1146)*CHOOSE(CONTROL!$C$42, 121.5, 121.5)*CHOOSE(CONTROL!$C$42, 31, 31))/1000000</f>
        <v>0.43164089999999994</v>
      </c>
      <c r="X1016" s="57">
        <f>(31*0.1790888*245000/1000000)+(31*0.2374*100000/1000000)</f>
        <v>2.0961194359999999</v>
      </c>
      <c r="Y1016" s="57"/>
      <c r="Z1016" s="14"/>
      <c r="AA1016" s="56"/>
      <c r="AB1016" s="50">
        <f>(B1016*194.205+C1016*267.466+D1016*133.845+E1016*53.484+F1016*40+G1016*185+H1016*0+I1016*100+J1016*300)/(194.205+267.466+133.845+53.484+0+40+185+100+300)</f>
        <v>130.08117516514915</v>
      </c>
      <c r="AC1016" s="45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127.52541798561151</v>
      </c>
    </row>
    <row r="1017" spans="1:29" ht="15.75" x14ac:dyDescent="0.25">
      <c r="A1017" s="32">
        <v>71863</v>
      </c>
      <c r="B1017" s="14">
        <f>CHOOSE(CONTROL!$C$42, 121.7558, 121.7558) * CHOOSE(CONTROL!$C$21, $C$9, 100%, $E$9)</f>
        <v>121.75579999999999</v>
      </c>
      <c r="C1017" s="14">
        <f>CHOOSE(CONTROL!$C$42, 121.7638, 121.7638) * CHOOSE(CONTROL!$C$21, $C$9, 100%, $E$9)</f>
        <v>121.7638</v>
      </c>
      <c r="D1017" s="14">
        <f>CHOOSE(CONTROL!$C$42, 121.9974, 121.9974) * CHOOSE(CONTROL!$C$21, $C$9, 100%, $E$9)</f>
        <v>121.9974</v>
      </c>
      <c r="E1017" s="14">
        <f>CHOOSE(CONTROL!$C$42, 122.0289, 122.0289) * CHOOSE(CONTROL!$C$21, $C$9, 100%, $E$9)</f>
        <v>122.02889999999999</v>
      </c>
      <c r="F1017" s="14">
        <f>CHOOSE(CONTROL!$C$42, 121.7538, 121.7538)*CHOOSE(CONTROL!$C$21, $C$9, 100%, $E$9)</f>
        <v>121.7538</v>
      </c>
      <c r="G1017" s="14">
        <f>CHOOSE(CONTROL!$C$42, 121.7705, 121.7705)*CHOOSE(CONTROL!$C$21, $C$9, 100%, $E$9)</f>
        <v>121.7705</v>
      </c>
      <c r="H1017" s="14">
        <f>CHOOSE(CONTROL!$C$42, 122.0175, 122.0175) * CHOOSE(CONTROL!$C$21, $C$9, 100%, $E$9)</f>
        <v>122.0175</v>
      </c>
      <c r="I1017" s="14">
        <f>CHOOSE(CONTROL!$C$42, 122.153, 122.153)* CHOOSE(CONTROL!$C$21, $C$9, 100%, $E$9)</f>
        <v>122.15300000000001</v>
      </c>
      <c r="J1017" s="14">
        <f>CHOOSE(CONTROL!$C$42, 121.7468, 121.7468)* CHOOSE(CONTROL!$C$21, $C$9, 100%, $E$9)</f>
        <v>121.74679999999999</v>
      </c>
      <c r="K1017" s="53">
        <f>CHOOSE(CONTROL!$C$42, 122.1491, 122.1491) * CHOOSE(CONTROL!$C$21, $C$9, 100%, $E$9)</f>
        <v>122.1491</v>
      </c>
      <c r="L1017" s="14">
        <f>CHOOSE(CONTROL!$C$42, 122.6045, 122.6045) * CHOOSE(CONTROL!$C$21, $C$9, 100%, $E$9)</f>
        <v>122.6045</v>
      </c>
      <c r="M1017" s="14">
        <f>CHOOSE(CONTROL!$C$42, 119.26, 119.26) * CHOOSE(CONTROL!$C$21, $C$9, 100%, $E$9)</f>
        <v>119.26</v>
      </c>
      <c r="N1017" s="14">
        <f>CHOOSE(CONTROL!$C$42, 119.2763, 119.2763) * CHOOSE(CONTROL!$C$21, $C$9, 100%, $E$9)</f>
        <v>119.27630000000001</v>
      </c>
      <c r="O1017" s="14">
        <f>CHOOSE(CONTROL!$C$42, 119.5251, 119.5251) * CHOOSE(CONTROL!$C$21, $C$9, 100%, $E$9)</f>
        <v>119.52509999999999</v>
      </c>
      <c r="P1017" s="14">
        <f>CHOOSE(CONTROL!$C$42, 119.6503, 119.6503) * CHOOSE(CONTROL!$C$21, $C$9, 100%, $E$9)</f>
        <v>119.6503</v>
      </c>
      <c r="Q1017" s="14">
        <f>CHOOSE(CONTROL!$C$42, 120.1198, 120.1198) * CHOOSE(CONTROL!$C$21, $C$9, 100%, $E$9)</f>
        <v>120.1198</v>
      </c>
      <c r="R1017" s="14">
        <f>CHOOSE(CONTROL!$C$42, 121.0071, 121.0071) * CHOOSE(CONTROL!$C$21, $C$9, 100%, $E$9)</f>
        <v>121.00709999999999</v>
      </c>
      <c r="S1017" s="14">
        <f>CHOOSE(CONTROL!$C$42, 116.9845, 116.9845) * CHOOSE(CONTROL!$C$21, $C$9, 100%, $E$9)</f>
        <v>116.9845</v>
      </c>
      <c r="T10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7">
        <f>(1000*CHOOSE(CONTROL!$C$42, 695, 695)*CHOOSE(CONTROL!$C$42, 0.5599, 0.5599)*CHOOSE(CONTROL!$C$42, 30, 30))/1000000</f>
        <v>11.673914999999997</v>
      </c>
      <c r="V1017" s="57">
        <f>(1000*CHOOSE(CONTROL!$C$42, 500, 500)*CHOOSE(CONTROL!$C$42, 0.275, 0.275)*CHOOSE(CONTROL!$C$42, 30, 30))/1000000</f>
        <v>4.125</v>
      </c>
      <c r="W1017" s="57">
        <f>(1000*CHOOSE(CONTROL!$C$42, 0.1146, 0.1146)*CHOOSE(CONTROL!$C$42, 121.5, 121.5)*CHOOSE(CONTROL!$C$42, 30, 30))/1000000</f>
        <v>0.417717</v>
      </c>
      <c r="X1017" s="57">
        <f>(30*0.1790888*245000/1000000)+(30*0.2374*100000/1000000)</f>
        <v>2.0285026799999999</v>
      </c>
      <c r="Y1017" s="57"/>
      <c r="Z1017" s="14"/>
      <c r="AA1017" s="56"/>
      <c r="AB1017" s="50">
        <f>(B1017*194.205+C1017*267.466+D1017*133.845+E1017*53.484+F1017*40+G1017*185+H1017*0+I1017*100+J1017*300)/(194.205+267.466+133.845+53.484+0+40+185+100+300)</f>
        <v>121.82545671930926</v>
      </c>
      <c r="AC1017" s="45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119.43724964028777</v>
      </c>
    </row>
    <row r="1018" spans="1:29" ht="15.75" x14ac:dyDescent="0.25">
      <c r="A1018" s="32">
        <v>71894</v>
      </c>
      <c r="B1018" s="14">
        <f>CHOOSE(CONTROL!$C$42, 119.2821, 119.2821) * CHOOSE(CONTROL!$C$21, $C$9, 100%, $E$9)</f>
        <v>119.2821</v>
      </c>
      <c r="C1018" s="14">
        <f>CHOOSE(CONTROL!$C$42, 119.2875, 119.2875) * CHOOSE(CONTROL!$C$21, $C$9, 100%, $E$9)</f>
        <v>119.28749999999999</v>
      </c>
      <c r="D1018" s="14">
        <f>CHOOSE(CONTROL!$C$42, 119.526, 119.526) * CHOOSE(CONTROL!$C$21, $C$9, 100%, $E$9)</f>
        <v>119.526</v>
      </c>
      <c r="E1018" s="14">
        <f>CHOOSE(CONTROL!$C$42, 119.5551, 119.5551) * CHOOSE(CONTROL!$C$21, $C$9, 100%, $E$9)</f>
        <v>119.5551</v>
      </c>
      <c r="F1018" s="14">
        <f>CHOOSE(CONTROL!$C$42, 119.2822, 119.2822)*CHOOSE(CONTROL!$C$21, $C$9, 100%, $E$9)</f>
        <v>119.2822</v>
      </c>
      <c r="G1018" s="14">
        <f>CHOOSE(CONTROL!$C$42, 119.2984, 119.2984)*CHOOSE(CONTROL!$C$21, $C$9, 100%, $E$9)</f>
        <v>119.2984</v>
      </c>
      <c r="H1018" s="14">
        <f>CHOOSE(CONTROL!$C$42, 119.5456, 119.5456) * CHOOSE(CONTROL!$C$21, $C$9, 100%, $E$9)</f>
        <v>119.54559999999999</v>
      </c>
      <c r="I1018" s="14">
        <f>CHOOSE(CONTROL!$C$42, 119.6734, 119.6734)* CHOOSE(CONTROL!$C$21, $C$9, 100%, $E$9)</f>
        <v>119.6734</v>
      </c>
      <c r="J1018" s="14">
        <f>CHOOSE(CONTROL!$C$42, 119.2752, 119.2752)* CHOOSE(CONTROL!$C$21, $C$9, 100%, $E$9)</f>
        <v>119.2752</v>
      </c>
      <c r="K1018" s="53">
        <f>CHOOSE(CONTROL!$C$42, 119.6695, 119.6695) * CHOOSE(CONTROL!$C$21, $C$9, 100%, $E$9)</f>
        <v>119.6695</v>
      </c>
      <c r="L1018" s="14">
        <f>CHOOSE(CONTROL!$C$42, 120.1326, 120.1326) * CHOOSE(CONTROL!$C$21, $C$9, 100%, $E$9)</f>
        <v>120.1326</v>
      </c>
      <c r="M1018" s="14">
        <f>CHOOSE(CONTROL!$C$42, 116.839, 116.839) * CHOOSE(CONTROL!$C$21, $C$9, 100%, $E$9)</f>
        <v>116.839</v>
      </c>
      <c r="N1018" s="14">
        <f>CHOOSE(CONTROL!$C$42, 116.8549, 116.8549) * CHOOSE(CONTROL!$C$21, $C$9, 100%, $E$9)</f>
        <v>116.8549</v>
      </c>
      <c r="O1018" s="14">
        <f>CHOOSE(CONTROL!$C$42, 117.1039, 117.1039) * CHOOSE(CONTROL!$C$21, $C$9, 100%, $E$9)</f>
        <v>117.1039</v>
      </c>
      <c r="P1018" s="14">
        <f>CHOOSE(CONTROL!$C$42, 117.2216, 117.2216) * CHOOSE(CONTROL!$C$21, $C$9, 100%, $E$9)</f>
        <v>117.2216</v>
      </c>
      <c r="Q1018" s="14">
        <f>CHOOSE(CONTROL!$C$42, 117.6986, 117.6986) * CHOOSE(CONTROL!$C$21, $C$9, 100%, $E$9)</f>
        <v>117.6986</v>
      </c>
      <c r="R1018" s="14">
        <f>CHOOSE(CONTROL!$C$42, 118.5799, 118.5799) * CHOOSE(CONTROL!$C$21, $C$9, 100%, $E$9)</f>
        <v>118.57989999999999</v>
      </c>
      <c r="S1018" s="14">
        <f>CHOOSE(CONTROL!$C$42, 114.6093, 114.6093) * CHOOSE(CONTROL!$C$21, $C$9, 100%, $E$9)</f>
        <v>114.6093</v>
      </c>
      <c r="T10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7">
        <f>(1000*CHOOSE(CONTROL!$C$42, 695, 695)*CHOOSE(CONTROL!$C$42, 0.5599, 0.5599)*CHOOSE(CONTROL!$C$42, 31, 31))/1000000</f>
        <v>12.063045499999998</v>
      </c>
      <c r="V1018" s="57">
        <f>(1000*CHOOSE(CONTROL!$C$42, 500, 500)*CHOOSE(CONTROL!$C$42, 0.275, 0.275)*CHOOSE(CONTROL!$C$42, 31, 31))/1000000</f>
        <v>4.2625000000000002</v>
      </c>
      <c r="W1018" s="57">
        <f>(1000*CHOOSE(CONTROL!$C$42, 0.1146, 0.1146)*CHOOSE(CONTROL!$C$42, 121.5, 121.5)*CHOOSE(CONTROL!$C$42, 31, 31))/1000000</f>
        <v>0.43164089999999994</v>
      </c>
      <c r="X1018" s="57">
        <f>(31*0.1790888*245000/1000000)+(31*0.2374*100000/1000000)</f>
        <v>2.0961194359999999</v>
      </c>
      <c r="Y1018" s="57"/>
      <c r="Z1018" s="14"/>
      <c r="AA1018" s="56"/>
      <c r="AB1018" s="50">
        <f>(B1018*131.881+C1018*277.167+D1018*79.08+E1018*125.872+F1018*40+G1018*185+H1018*0+I1018*100+J1018*300)/(131.881+277.167+79.08+125.872+0+40+185+100+300)</f>
        <v>119.35895784487488</v>
      </c>
      <c r="AC1018" s="45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117.01502805755395</v>
      </c>
    </row>
    <row r="1019" spans="1:29" ht="15.75" x14ac:dyDescent="0.25">
      <c r="A1019" s="32">
        <v>71924</v>
      </c>
      <c r="B1019" s="14">
        <f>CHOOSE(CONTROL!$C$42, 122.4239, 122.4239) * CHOOSE(CONTROL!$C$21, $C$9, 100%, $E$9)</f>
        <v>122.4239</v>
      </c>
      <c r="C1019" s="14">
        <f>CHOOSE(CONTROL!$C$42, 122.429, 122.429) * CHOOSE(CONTROL!$C$21, $C$9, 100%, $E$9)</f>
        <v>122.429</v>
      </c>
      <c r="D1019" s="14">
        <f>CHOOSE(CONTROL!$C$42, 122.5032, 122.5032) * CHOOSE(CONTROL!$C$21, $C$9, 100%, $E$9)</f>
        <v>122.50320000000001</v>
      </c>
      <c r="E1019" s="14">
        <f>CHOOSE(CONTROL!$C$42, 122.5373, 122.5373) * CHOOSE(CONTROL!$C$21, $C$9, 100%, $E$9)</f>
        <v>122.5373</v>
      </c>
      <c r="F1019" s="14">
        <f>CHOOSE(CONTROL!$C$42, 122.436, 122.436)*CHOOSE(CONTROL!$C$21, $C$9, 100%, $E$9)</f>
        <v>122.43600000000001</v>
      </c>
      <c r="G1019" s="14">
        <f>CHOOSE(CONTROL!$C$42, 122.4526, 122.4526)*CHOOSE(CONTROL!$C$21, $C$9, 100%, $E$9)</f>
        <v>122.4526</v>
      </c>
      <c r="H1019" s="14">
        <f>CHOOSE(CONTROL!$C$42, 122.5265, 122.5265) * CHOOSE(CONTROL!$C$21, $C$9, 100%, $E$9)</f>
        <v>122.5265</v>
      </c>
      <c r="I1019" s="14">
        <f>CHOOSE(CONTROL!$C$42, 122.8317, 122.8317)* CHOOSE(CONTROL!$C$21, $C$9, 100%, $E$9)</f>
        <v>122.8317</v>
      </c>
      <c r="J1019" s="14">
        <f>CHOOSE(CONTROL!$C$42, 122.429, 122.429)* CHOOSE(CONTROL!$C$21, $C$9, 100%, $E$9)</f>
        <v>122.429</v>
      </c>
      <c r="K1019" s="53">
        <f>CHOOSE(CONTROL!$C$42, 122.8278, 122.8278) * CHOOSE(CONTROL!$C$21, $C$9, 100%, $E$9)</f>
        <v>122.8278</v>
      </c>
      <c r="L1019" s="14">
        <f>CHOOSE(CONTROL!$C$42, 123.1135, 123.1135) * CHOOSE(CONTROL!$C$21, $C$9, 100%, $E$9)</f>
        <v>123.1135</v>
      </c>
      <c r="M1019" s="14">
        <f>CHOOSE(CONTROL!$C$42, 119.9282, 119.9282) * CHOOSE(CONTROL!$C$21, $C$9, 100%, $E$9)</f>
        <v>119.9282</v>
      </c>
      <c r="N1019" s="14">
        <f>CHOOSE(CONTROL!$C$42, 119.9444, 119.9444) * CHOOSE(CONTROL!$C$21, $C$9, 100%, $E$9)</f>
        <v>119.9444</v>
      </c>
      <c r="O1019" s="14">
        <f>CHOOSE(CONTROL!$C$42, 120.0237, 120.0237) * CHOOSE(CONTROL!$C$21, $C$9, 100%, $E$9)</f>
        <v>120.02370000000001</v>
      </c>
      <c r="P1019" s="14">
        <f>CHOOSE(CONTROL!$C$42, 120.315, 120.315) * CHOOSE(CONTROL!$C$21, $C$9, 100%, $E$9)</f>
        <v>120.315</v>
      </c>
      <c r="Q1019" s="14">
        <f>CHOOSE(CONTROL!$C$42, 120.6184, 120.6184) * CHOOSE(CONTROL!$C$21, $C$9, 100%, $E$9)</f>
        <v>120.61839999999999</v>
      </c>
      <c r="R1019" s="14">
        <f>CHOOSE(CONTROL!$C$42, 121.507, 121.507) * CHOOSE(CONTROL!$C$21, $C$9, 100%, $E$9)</f>
        <v>121.50700000000001</v>
      </c>
      <c r="S1019" s="14">
        <f>CHOOSE(CONTROL!$C$42, 117.6286, 117.6286) * CHOOSE(CONTROL!$C$21, $C$9, 100%, $E$9)</f>
        <v>117.62860000000001</v>
      </c>
      <c r="T10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7">
        <f>(1000*CHOOSE(CONTROL!$C$42, 695, 695)*CHOOSE(CONTROL!$C$42, 0.5599, 0.5599)*CHOOSE(CONTROL!$C$42, 30, 30))/1000000</f>
        <v>11.673914999999997</v>
      </c>
      <c r="V1019" s="57">
        <f>(1000*CHOOSE(CONTROL!$C$42, 500, 500)*CHOOSE(CONTROL!$C$42, 0.275, 0.275)*CHOOSE(CONTROL!$C$42, 30, 30))/1000000</f>
        <v>4.125</v>
      </c>
      <c r="W1019" s="57">
        <f>(1000*CHOOSE(CONTROL!$C$42, 0.1146, 0.1146)*CHOOSE(CONTROL!$C$42, 121.5, 121.5)*CHOOSE(CONTROL!$C$42, 30, 30))/1000000</f>
        <v>0.417717</v>
      </c>
      <c r="X1019" s="57">
        <f>(30*0.1790888*100000/1000000)+(30*0.2374*100000/1000000)</f>
        <v>1.2494664</v>
      </c>
      <c r="Y1019" s="57"/>
      <c r="Z1019" s="14"/>
      <c r="AA1019" s="56"/>
      <c r="AB1019" s="50">
        <f>(B1019*122.58+C1019*297.941+D1019*89.177+E1019*40.302+F1019*40+G1019*160+H1019*0+I1019*100+J1019*300)/(122.58+297.941+89.177+40.302+0+40+160+100+300)</f>
        <v>122.47654998434784</v>
      </c>
      <c r="AC1019" s="45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120.02807122302158</v>
      </c>
    </row>
    <row r="1020" spans="1:29" ht="15.75" x14ac:dyDescent="0.25">
      <c r="A1020" s="32">
        <v>71955</v>
      </c>
      <c r="B1020" s="14">
        <f>CHOOSE(CONTROL!$C$42, 130.7701, 130.7701) * CHOOSE(CONTROL!$C$21, $C$9, 100%, $E$9)</f>
        <v>130.77010000000001</v>
      </c>
      <c r="C1020" s="14">
        <f>CHOOSE(CONTROL!$C$42, 130.7751, 130.7751) * CHOOSE(CONTROL!$C$21, $C$9, 100%, $E$9)</f>
        <v>130.77510000000001</v>
      </c>
      <c r="D1020" s="14">
        <f>CHOOSE(CONTROL!$C$42, 130.8494, 130.8494) * CHOOSE(CONTROL!$C$21, $C$9, 100%, $E$9)</f>
        <v>130.8494</v>
      </c>
      <c r="E1020" s="14">
        <f>CHOOSE(CONTROL!$C$42, 130.8835, 130.8835) * CHOOSE(CONTROL!$C$21, $C$9, 100%, $E$9)</f>
        <v>130.8835</v>
      </c>
      <c r="F1020" s="14">
        <f>CHOOSE(CONTROL!$C$42, 130.7843, 130.7843)*CHOOSE(CONTROL!$C$21, $C$9, 100%, $E$9)</f>
        <v>130.7843</v>
      </c>
      <c r="G1020" s="14">
        <f>CHOOSE(CONTROL!$C$42, 130.8015, 130.8015)*CHOOSE(CONTROL!$C$21, $C$9, 100%, $E$9)</f>
        <v>130.8015</v>
      </c>
      <c r="H1020" s="14">
        <f>CHOOSE(CONTROL!$C$42, 130.8727, 130.8727) * CHOOSE(CONTROL!$C$21, $C$9, 100%, $E$9)</f>
        <v>130.87270000000001</v>
      </c>
      <c r="I1020" s="14">
        <f>CHOOSE(CONTROL!$C$42, 131.2039, 131.2039)* CHOOSE(CONTROL!$C$21, $C$9, 100%, $E$9)</f>
        <v>131.2039</v>
      </c>
      <c r="J1020" s="14">
        <f>CHOOSE(CONTROL!$C$42, 130.7773, 130.7773)* CHOOSE(CONTROL!$C$21, $C$9, 100%, $E$9)</f>
        <v>130.7773</v>
      </c>
      <c r="K1020" s="53">
        <f>CHOOSE(CONTROL!$C$42, 131.2001, 131.2001) * CHOOSE(CONTROL!$C$21, $C$9, 100%, $E$9)</f>
        <v>131.20009999999999</v>
      </c>
      <c r="L1020" s="14">
        <f>CHOOSE(CONTROL!$C$42, 131.4597, 131.4597) * CHOOSE(CONTROL!$C$21, $C$9, 100%, $E$9)</f>
        <v>131.4597</v>
      </c>
      <c r="M1020" s="14">
        <f>CHOOSE(CONTROL!$C$42, 128.1055, 128.1055) * CHOOSE(CONTROL!$C$21, $C$9, 100%, $E$9)</f>
        <v>128.10550000000001</v>
      </c>
      <c r="N1020" s="14">
        <f>CHOOSE(CONTROL!$C$42, 128.1223, 128.1223) * CHOOSE(CONTROL!$C$21, $C$9, 100%, $E$9)</f>
        <v>128.1223</v>
      </c>
      <c r="O1020" s="14">
        <f>CHOOSE(CONTROL!$C$42, 128.1989, 128.1989) * CHOOSE(CONTROL!$C$21, $C$9, 100%, $E$9)</f>
        <v>128.19890000000001</v>
      </c>
      <c r="P1020" s="14">
        <f>CHOOSE(CONTROL!$C$42, 128.5152, 128.5152) * CHOOSE(CONTROL!$C$21, $C$9, 100%, $E$9)</f>
        <v>128.51519999999999</v>
      </c>
      <c r="Q1020" s="14">
        <f>CHOOSE(CONTROL!$C$42, 128.7936, 128.7936) * CHOOSE(CONTROL!$C$21, $C$9, 100%, $E$9)</f>
        <v>128.7936</v>
      </c>
      <c r="R1020" s="14">
        <f>CHOOSE(CONTROL!$C$42, 129.7025, 129.7025) * CHOOSE(CONTROL!$C$21, $C$9, 100%, $E$9)</f>
        <v>129.70249999999999</v>
      </c>
      <c r="S1020" s="14">
        <f>CHOOSE(CONTROL!$C$42, 125.6484, 125.6484) * CHOOSE(CONTROL!$C$21, $C$9, 100%, $E$9)</f>
        <v>125.6484</v>
      </c>
      <c r="T10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7">
        <f>(1000*CHOOSE(CONTROL!$C$42, 695, 695)*CHOOSE(CONTROL!$C$42, 0.5599, 0.5599)*CHOOSE(CONTROL!$C$42, 31, 31))/1000000</f>
        <v>12.063045499999998</v>
      </c>
      <c r="V1020" s="57">
        <f>(1000*CHOOSE(CONTROL!$C$42, 500, 500)*CHOOSE(CONTROL!$C$42, 0.275, 0.275)*CHOOSE(CONTROL!$C$42, 31, 31))/1000000</f>
        <v>4.2625000000000002</v>
      </c>
      <c r="W1020" s="57">
        <f>(1000*CHOOSE(CONTROL!$C$42, 0.1146, 0.1146)*CHOOSE(CONTROL!$C$42, 121.5, 121.5)*CHOOSE(CONTROL!$C$42, 31, 31))/1000000</f>
        <v>0.43164089999999994</v>
      </c>
      <c r="X1020" s="57">
        <f>(31*0.1790888*100000/1000000)+(31*0.2374*100000/1000000)</f>
        <v>1.2911152800000001</v>
      </c>
      <c r="Y1020" s="57"/>
      <c r="Z1020" s="14"/>
      <c r="AA1020" s="56"/>
      <c r="AB1020" s="50">
        <f>(B1020*122.58+C1020*297.941+D1020*89.177+E1020*40.302+F1020*40+G1020*160+H1020*0+I1020*100+J1020*300)/(122.58+297.941+89.177+40.302+0+40+160+100+300)</f>
        <v>130.82598146773915</v>
      </c>
      <c r="AC1020" s="45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128.20774892086331</v>
      </c>
    </row>
    <row r="1021" spans="1:29" ht="15.75" x14ac:dyDescent="0.25">
      <c r="A1021" s="32">
        <v>71986</v>
      </c>
      <c r="B1021" s="14">
        <f>CHOOSE(CONTROL!$C$42, 141.6102, 141.6102) * CHOOSE(CONTROL!$C$21, $C$9, 100%, $E$9)</f>
        <v>141.61019999999999</v>
      </c>
      <c r="C1021" s="14">
        <f>CHOOSE(CONTROL!$C$42, 141.6153, 141.6153) * CHOOSE(CONTROL!$C$21, $C$9, 100%, $E$9)</f>
        <v>141.61529999999999</v>
      </c>
      <c r="D1021" s="14">
        <f>CHOOSE(CONTROL!$C$42, 141.6921, 141.6921) * CHOOSE(CONTROL!$C$21, $C$9, 100%, $E$9)</f>
        <v>141.69210000000001</v>
      </c>
      <c r="E1021" s="14">
        <f>CHOOSE(CONTROL!$C$42, 141.7262, 141.7262) * CHOOSE(CONTROL!$C$21, $C$9, 100%, $E$9)</f>
        <v>141.72620000000001</v>
      </c>
      <c r="F1021" s="14">
        <f>CHOOSE(CONTROL!$C$42, 141.6104, 141.6104)*CHOOSE(CONTROL!$C$21, $C$9, 100%, $E$9)</f>
        <v>141.6104</v>
      </c>
      <c r="G1021" s="14">
        <f>CHOOSE(CONTROL!$C$42, 141.6266, 141.6266)*CHOOSE(CONTROL!$C$21, $C$9, 100%, $E$9)</f>
        <v>141.6266</v>
      </c>
      <c r="H1021" s="14">
        <f>CHOOSE(CONTROL!$C$42, 141.7154, 141.7154) * CHOOSE(CONTROL!$C$21, $C$9, 100%, $E$9)</f>
        <v>141.71539999999999</v>
      </c>
      <c r="I1021" s="14">
        <f>CHOOSE(CONTROL!$C$42, 142.0718, 142.0718)* CHOOSE(CONTROL!$C$21, $C$9, 100%, $E$9)</f>
        <v>142.0718</v>
      </c>
      <c r="J1021" s="14">
        <f>CHOOSE(CONTROL!$C$42, 141.6034, 141.6034)* CHOOSE(CONTROL!$C$21, $C$9, 100%, $E$9)</f>
        <v>141.60339999999999</v>
      </c>
      <c r="K1021" s="53">
        <f>CHOOSE(CONTROL!$C$42, 142.0679, 142.0679) * CHOOSE(CONTROL!$C$21, $C$9, 100%, $E$9)</f>
        <v>142.06790000000001</v>
      </c>
      <c r="L1021" s="14">
        <f>CHOOSE(CONTROL!$C$42, 142.3024, 142.3024) * CHOOSE(CONTROL!$C$21, $C$9, 100%, $E$9)</f>
        <v>142.30240000000001</v>
      </c>
      <c r="M1021" s="14">
        <f>CHOOSE(CONTROL!$C$42, 138.7097, 138.7097) * CHOOSE(CONTROL!$C$21, $C$9, 100%, $E$9)</f>
        <v>138.7097</v>
      </c>
      <c r="N1021" s="14">
        <f>CHOOSE(CONTROL!$C$42, 138.7256, 138.7256) * CHOOSE(CONTROL!$C$21, $C$9, 100%, $E$9)</f>
        <v>138.72559999999999</v>
      </c>
      <c r="O1021" s="14">
        <f>CHOOSE(CONTROL!$C$42, 138.8194, 138.8194) * CHOOSE(CONTROL!$C$21, $C$9, 100%, $E$9)</f>
        <v>138.8194</v>
      </c>
      <c r="P1021" s="14">
        <f>CHOOSE(CONTROL!$C$42, 139.1597, 139.1597) * CHOOSE(CONTROL!$C$21, $C$9, 100%, $E$9)</f>
        <v>139.15969999999999</v>
      </c>
      <c r="Q1021" s="14">
        <f>CHOOSE(CONTROL!$C$42, 139.4141, 139.4141) * CHOOSE(CONTROL!$C$21, $C$9, 100%, $E$9)</f>
        <v>139.41409999999999</v>
      </c>
      <c r="R1021" s="14">
        <f>CHOOSE(CONTROL!$C$42, 140.3497, 140.3497) * CHOOSE(CONTROL!$C$21, $C$9, 100%, $E$9)</f>
        <v>140.34970000000001</v>
      </c>
      <c r="S1021" s="14">
        <f>CHOOSE(CONTROL!$C$42, 136.0647, 136.0647) * CHOOSE(CONTROL!$C$21, $C$9, 100%, $E$9)</f>
        <v>136.06469999999999</v>
      </c>
      <c r="T10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7">
        <f>(1000*CHOOSE(CONTROL!$C$42, 695, 695)*CHOOSE(CONTROL!$C$42, 0.5599, 0.5599)*CHOOSE(CONTROL!$C$42, 31, 31))/1000000</f>
        <v>12.063045499999998</v>
      </c>
      <c r="V1021" s="57">
        <f>(1000*CHOOSE(CONTROL!$C$42, 500, 500)*CHOOSE(CONTROL!$C$42, 0.275, 0.275)*CHOOSE(CONTROL!$C$42, 31, 31))/1000000</f>
        <v>4.2625000000000002</v>
      </c>
      <c r="W1021" s="57">
        <f>(1000*CHOOSE(CONTROL!$C$42, 0.1146, 0.1146)*CHOOSE(CONTROL!$C$42, 121.5, 121.5)*CHOOSE(CONTROL!$C$42, 31, 31))/1000000</f>
        <v>0.43164089999999994</v>
      </c>
      <c r="X1021" s="57">
        <f>(31*0.1790888*100000/1000000)+(31*0.2374*100000/1000000)</f>
        <v>1.2911152800000001</v>
      </c>
      <c r="Y1021" s="57"/>
      <c r="Z1021" s="14"/>
      <c r="AA1021" s="56"/>
      <c r="AB1021" s="50">
        <f>(B1021*122.58+C1021*297.941+D1021*89.177+E1021*40.302+F1021*40+G1021*160+H1021*0+I1021*100+J1021*300)/(122.58+297.941+89.177+40.302+0+40+160+100+300)</f>
        <v>141.66259141513041</v>
      </c>
      <c r="AC1021" s="45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138.8250834532374</v>
      </c>
    </row>
    <row r="1022" spans="1:29" ht="15.75" x14ac:dyDescent="0.25">
      <c r="A1022" s="32">
        <v>72014</v>
      </c>
      <c r="B1022" s="14">
        <f>CHOOSE(CONTROL!$C$42, 144.1309, 144.1309) * CHOOSE(CONTROL!$C$21, $C$9, 100%, $E$9)</f>
        <v>144.1309</v>
      </c>
      <c r="C1022" s="14">
        <f>CHOOSE(CONTROL!$C$42, 144.136, 144.136) * CHOOSE(CONTROL!$C$21, $C$9, 100%, $E$9)</f>
        <v>144.136</v>
      </c>
      <c r="D1022" s="14">
        <f>CHOOSE(CONTROL!$C$42, 144.2128, 144.2128) * CHOOSE(CONTROL!$C$21, $C$9, 100%, $E$9)</f>
        <v>144.21279999999999</v>
      </c>
      <c r="E1022" s="14">
        <f>CHOOSE(CONTROL!$C$42, 144.2469, 144.2469) * CHOOSE(CONTROL!$C$21, $C$9, 100%, $E$9)</f>
        <v>144.24690000000001</v>
      </c>
      <c r="F1022" s="14">
        <f>CHOOSE(CONTROL!$C$42, 144.1312, 144.1312)*CHOOSE(CONTROL!$C$21, $C$9, 100%, $E$9)</f>
        <v>144.13120000000001</v>
      </c>
      <c r="G1022" s="14">
        <f>CHOOSE(CONTROL!$C$42, 144.1474, 144.1474)*CHOOSE(CONTROL!$C$21, $C$9, 100%, $E$9)</f>
        <v>144.1474</v>
      </c>
      <c r="H1022" s="14">
        <f>CHOOSE(CONTROL!$C$42, 144.2361, 144.2361) * CHOOSE(CONTROL!$C$21, $C$9, 100%, $E$9)</f>
        <v>144.23609999999999</v>
      </c>
      <c r="I1022" s="14">
        <f>CHOOSE(CONTROL!$C$42, 144.6004, 144.6004)* CHOOSE(CONTROL!$C$21, $C$9, 100%, $E$9)</f>
        <v>144.60040000000001</v>
      </c>
      <c r="J1022" s="14">
        <f>CHOOSE(CONTROL!$C$42, 144.1242, 144.1242)* CHOOSE(CONTROL!$C$21, $C$9, 100%, $E$9)</f>
        <v>144.1242</v>
      </c>
      <c r="K1022" s="53">
        <f>CHOOSE(CONTROL!$C$42, 144.5965, 144.5965) * CHOOSE(CONTROL!$C$21, $C$9, 100%, $E$9)</f>
        <v>144.59649999999999</v>
      </c>
      <c r="L1022" s="14">
        <f>CHOOSE(CONTROL!$C$42, 144.8231, 144.8231) * CHOOSE(CONTROL!$C$21, $C$9, 100%, $E$9)</f>
        <v>144.82310000000001</v>
      </c>
      <c r="M1022" s="14">
        <f>CHOOSE(CONTROL!$C$42, 141.1789, 141.1789) * CHOOSE(CONTROL!$C$21, $C$9, 100%, $E$9)</f>
        <v>141.1789</v>
      </c>
      <c r="N1022" s="14">
        <f>CHOOSE(CONTROL!$C$42, 141.1947, 141.1947) * CHOOSE(CONTROL!$C$21, $C$9, 100%, $E$9)</f>
        <v>141.19470000000001</v>
      </c>
      <c r="O1022" s="14">
        <f>CHOOSE(CONTROL!$C$42, 141.2885, 141.2885) * CHOOSE(CONTROL!$C$21, $C$9, 100%, $E$9)</f>
        <v>141.2885</v>
      </c>
      <c r="P1022" s="14">
        <f>CHOOSE(CONTROL!$C$42, 141.6363, 141.6363) * CHOOSE(CONTROL!$C$21, $C$9, 100%, $E$9)</f>
        <v>141.63630000000001</v>
      </c>
      <c r="Q1022" s="14">
        <f>CHOOSE(CONTROL!$C$42, 141.8832, 141.8832) * CHOOSE(CONTROL!$C$21, $C$9, 100%, $E$9)</f>
        <v>141.88319999999999</v>
      </c>
      <c r="R1022" s="14">
        <f>CHOOSE(CONTROL!$C$42, 142.8249, 142.8249) * CHOOSE(CONTROL!$C$21, $C$9, 100%, $E$9)</f>
        <v>142.82490000000001</v>
      </c>
      <c r="S1022" s="14">
        <f>CHOOSE(CONTROL!$C$42, 138.4868, 138.4868) * CHOOSE(CONTROL!$C$21, $C$9, 100%, $E$9)</f>
        <v>138.48679999999999</v>
      </c>
      <c r="T10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7">
        <f>(1000*CHOOSE(CONTROL!$C$42, 695, 695)*CHOOSE(CONTROL!$C$42, 0.5599, 0.5599)*CHOOSE(CONTROL!$C$42, 28, 28))/1000000</f>
        <v>10.895653999999999</v>
      </c>
      <c r="V1022" s="57">
        <f>(1000*CHOOSE(CONTROL!$C$42, 500, 500)*CHOOSE(CONTROL!$C$42, 0.275, 0.275)*CHOOSE(CONTROL!$C$42, 28, 28))/1000000</f>
        <v>3.85</v>
      </c>
      <c r="W1022" s="57">
        <f>(1000*CHOOSE(CONTROL!$C$42, 0.1146, 0.1146)*CHOOSE(CONTROL!$C$42, 121.5, 121.5)*CHOOSE(CONTROL!$C$42, 28, 28))/1000000</f>
        <v>0.38986920000000003</v>
      </c>
      <c r="X1022" s="57">
        <f>(28*0.1790888*100000/1000000)+(28*0.2374*100000/1000000)</f>
        <v>1.16616864</v>
      </c>
      <c r="Y1022" s="57"/>
      <c r="Z1022" s="14"/>
      <c r="AA1022" s="56"/>
      <c r="AB1022" s="50">
        <f>(B1022*122.58+C1022*297.941+D1022*89.177+E1022*40.302+F1022*40+G1022*160+H1022*0+I1022*100+J1022*300)/(122.58+297.941+89.177+40.302+0+40+160+100+300)</f>
        <v>144.18402184991305</v>
      </c>
      <c r="AC1022" s="45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141.29529712230217</v>
      </c>
    </row>
    <row r="1023" spans="1:29" ht="15.75" x14ac:dyDescent="0.25">
      <c r="A1023" s="32">
        <v>72045</v>
      </c>
      <c r="B1023" s="14">
        <f>CHOOSE(CONTROL!$C$42, 140.0392, 140.0392) * CHOOSE(CONTROL!$C$21, $C$9, 100%, $E$9)</f>
        <v>140.03919999999999</v>
      </c>
      <c r="C1023" s="14">
        <f>CHOOSE(CONTROL!$C$42, 140.0443, 140.0443) * CHOOSE(CONTROL!$C$21, $C$9, 100%, $E$9)</f>
        <v>140.04429999999999</v>
      </c>
      <c r="D1023" s="14">
        <f>CHOOSE(CONTROL!$C$42, 140.1211, 140.1211) * CHOOSE(CONTROL!$C$21, $C$9, 100%, $E$9)</f>
        <v>140.12110000000001</v>
      </c>
      <c r="E1023" s="14">
        <f>CHOOSE(CONTROL!$C$42, 140.1552, 140.1552) * CHOOSE(CONTROL!$C$21, $C$9, 100%, $E$9)</f>
        <v>140.15520000000001</v>
      </c>
      <c r="F1023" s="14">
        <f>CHOOSE(CONTROL!$C$42, 140.039, 140.039)*CHOOSE(CONTROL!$C$21, $C$9, 100%, $E$9)</f>
        <v>140.03899999999999</v>
      </c>
      <c r="G1023" s="14">
        <f>CHOOSE(CONTROL!$C$42, 140.0551, 140.0551)*CHOOSE(CONTROL!$C$21, $C$9, 100%, $E$9)</f>
        <v>140.05510000000001</v>
      </c>
      <c r="H1023" s="14">
        <f>CHOOSE(CONTROL!$C$42, 140.1444, 140.1444) * CHOOSE(CONTROL!$C$21, $C$9, 100%, $E$9)</f>
        <v>140.14439999999999</v>
      </c>
      <c r="I1023" s="14">
        <f>CHOOSE(CONTROL!$C$42, 140.4958, 140.4958)* CHOOSE(CONTROL!$C$21, $C$9, 100%, $E$9)</f>
        <v>140.4958</v>
      </c>
      <c r="J1023" s="14">
        <f>CHOOSE(CONTROL!$C$42, 140.032, 140.032)* CHOOSE(CONTROL!$C$21, $C$9, 100%, $E$9)</f>
        <v>140.03200000000001</v>
      </c>
      <c r="K1023" s="53">
        <f>CHOOSE(CONTROL!$C$42, 140.4919, 140.4919) * CHOOSE(CONTROL!$C$21, $C$9, 100%, $E$9)</f>
        <v>140.49189999999999</v>
      </c>
      <c r="L1023" s="14">
        <f>CHOOSE(CONTROL!$C$42, 140.7314, 140.7314) * CHOOSE(CONTROL!$C$21, $C$9, 100%, $E$9)</f>
        <v>140.73140000000001</v>
      </c>
      <c r="M1023" s="14">
        <f>CHOOSE(CONTROL!$C$42, 137.1705, 137.1705) * CHOOSE(CONTROL!$C$21, $C$9, 100%, $E$9)</f>
        <v>137.1705</v>
      </c>
      <c r="N1023" s="14">
        <f>CHOOSE(CONTROL!$C$42, 137.1863, 137.1863) * CHOOSE(CONTROL!$C$21, $C$9, 100%, $E$9)</f>
        <v>137.18629999999999</v>
      </c>
      <c r="O1023" s="14">
        <f>CHOOSE(CONTROL!$C$42, 137.2806, 137.2806) * CHOOSE(CONTROL!$C$21, $C$9, 100%, $E$9)</f>
        <v>137.28059999999999</v>
      </c>
      <c r="P1023" s="14">
        <f>CHOOSE(CONTROL!$C$42, 137.6161, 137.6161) * CHOOSE(CONTROL!$C$21, $C$9, 100%, $E$9)</f>
        <v>137.61609999999999</v>
      </c>
      <c r="Q1023" s="14">
        <f>CHOOSE(CONTROL!$C$42, 137.8753, 137.8753) * CHOOSE(CONTROL!$C$21, $C$9, 100%, $E$9)</f>
        <v>137.87530000000001</v>
      </c>
      <c r="R1023" s="14">
        <f>CHOOSE(CONTROL!$C$42, 138.807, 138.807) * CHOOSE(CONTROL!$C$21, $C$9, 100%, $E$9)</f>
        <v>138.80699999999999</v>
      </c>
      <c r="S1023" s="14">
        <f>CHOOSE(CONTROL!$C$42, 134.5551, 134.5551) * CHOOSE(CONTROL!$C$21, $C$9, 100%, $E$9)</f>
        <v>134.55510000000001</v>
      </c>
      <c r="T10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7">
        <f>(1000*CHOOSE(CONTROL!$C$42, 695, 695)*CHOOSE(CONTROL!$C$42, 0.5599, 0.5599)*CHOOSE(CONTROL!$C$42, 31, 31))/1000000</f>
        <v>12.063045499999998</v>
      </c>
      <c r="V1023" s="57">
        <f>(1000*CHOOSE(CONTROL!$C$42, 500, 500)*CHOOSE(CONTROL!$C$42, 0.275, 0.275)*CHOOSE(CONTROL!$C$42, 31, 31))/1000000</f>
        <v>4.2625000000000002</v>
      </c>
      <c r="W1023" s="57">
        <f>(1000*CHOOSE(CONTROL!$C$42, 0.1146, 0.1146)*CHOOSE(CONTROL!$C$42, 121.5, 121.5)*CHOOSE(CONTROL!$C$42, 31, 31))/1000000</f>
        <v>0.43164089999999994</v>
      </c>
      <c r="X1023" s="57">
        <f>(31*0.1790888*100000/1000000)+(31*0.2374*100000/1000000)</f>
        <v>1.2911152800000001</v>
      </c>
      <c r="Y1023" s="57"/>
      <c r="Z1023" s="14"/>
      <c r="AA1023" s="56"/>
      <c r="AB1023" s="50">
        <f>(B1023*122.58+C1023*297.941+D1023*89.177+E1023*40.302+F1023*40+G1023*160+H1023*0+I1023*100+J1023*300)/(122.58+297.941+89.177+40.302+0+40+160+100+300)</f>
        <v>140.0909688064348</v>
      </c>
      <c r="AC1023" s="45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137.28542589928057</v>
      </c>
    </row>
    <row r="1024" spans="1:29" ht="15.75" x14ac:dyDescent="0.25">
      <c r="A1024" s="32">
        <v>72075</v>
      </c>
      <c r="B1024" s="14">
        <f>CHOOSE(CONTROL!$C$42, 139.6212, 139.6212) * CHOOSE(CONTROL!$C$21, $C$9, 100%, $E$9)</f>
        <v>139.62119999999999</v>
      </c>
      <c r="C1024" s="14">
        <f>CHOOSE(CONTROL!$C$42, 139.6256, 139.6256) * CHOOSE(CONTROL!$C$21, $C$9, 100%, $E$9)</f>
        <v>139.62559999999999</v>
      </c>
      <c r="D1024" s="14">
        <f>CHOOSE(CONTROL!$C$42, 139.8624, 139.8624) * CHOOSE(CONTROL!$C$21, $C$9, 100%, $E$9)</f>
        <v>139.86240000000001</v>
      </c>
      <c r="E1024" s="14">
        <f>CHOOSE(CONTROL!$C$42, 139.8945, 139.8945) * CHOOSE(CONTROL!$C$21, $C$9, 100%, $E$9)</f>
        <v>139.89449999999999</v>
      </c>
      <c r="F1024" s="14">
        <f>CHOOSE(CONTROL!$C$42, 139.6191, 139.6191)*CHOOSE(CONTROL!$C$21, $C$9, 100%, $E$9)</f>
        <v>139.6191</v>
      </c>
      <c r="G1024" s="14">
        <f>CHOOSE(CONTROL!$C$42, 139.6349, 139.6349)*CHOOSE(CONTROL!$C$21, $C$9, 100%, $E$9)</f>
        <v>139.63489999999999</v>
      </c>
      <c r="H1024" s="14">
        <f>CHOOSE(CONTROL!$C$42, 139.8843, 139.8843) * CHOOSE(CONTROL!$C$21, $C$9, 100%, $E$9)</f>
        <v>139.8843</v>
      </c>
      <c r="I1024" s="14">
        <f>CHOOSE(CONTROL!$C$42, 140.0757, 140.0757)* CHOOSE(CONTROL!$C$21, $C$9, 100%, $E$9)</f>
        <v>140.07570000000001</v>
      </c>
      <c r="J1024" s="14">
        <f>CHOOSE(CONTROL!$C$42, 139.6121, 139.6121)* CHOOSE(CONTROL!$C$21, $C$9, 100%, $E$9)</f>
        <v>139.6121</v>
      </c>
      <c r="K1024" s="53">
        <f>CHOOSE(CONTROL!$C$42, 140.0718, 140.0718) * CHOOSE(CONTROL!$C$21, $C$9, 100%, $E$9)</f>
        <v>140.0718</v>
      </c>
      <c r="L1024" s="14">
        <f>CHOOSE(CONTROL!$C$42, 140.4713, 140.4713) * CHOOSE(CONTROL!$C$21, $C$9, 100%, $E$9)</f>
        <v>140.47130000000001</v>
      </c>
      <c r="M1024" s="14">
        <f>CHOOSE(CONTROL!$C$42, 136.7592, 136.7592) * CHOOSE(CONTROL!$C$21, $C$9, 100%, $E$9)</f>
        <v>136.75919999999999</v>
      </c>
      <c r="N1024" s="14">
        <f>CHOOSE(CONTROL!$C$42, 136.7747, 136.7747) * CHOOSE(CONTROL!$C$21, $C$9, 100%, $E$9)</f>
        <v>136.7747</v>
      </c>
      <c r="O1024" s="14">
        <f>CHOOSE(CONTROL!$C$42, 137.0258, 137.0258) * CHOOSE(CONTROL!$C$21, $C$9, 100%, $E$9)</f>
        <v>137.0258</v>
      </c>
      <c r="P1024" s="14">
        <f>CHOOSE(CONTROL!$C$42, 137.2046, 137.2046) * CHOOSE(CONTROL!$C$21, $C$9, 100%, $E$9)</f>
        <v>137.2046</v>
      </c>
      <c r="Q1024" s="14">
        <f>CHOOSE(CONTROL!$C$42, 137.6205, 137.6205) * CHOOSE(CONTROL!$C$21, $C$9, 100%, $E$9)</f>
        <v>137.62049999999999</v>
      </c>
      <c r="R1024" s="14">
        <f>CHOOSE(CONTROL!$C$42, 138.5516, 138.5516) * CHOOSE(CONTROL!$C$21, $C$9, 100%, $E$9)</f>
        <v>138.55160000000001</v>
      </c>
      <c r="S1024" s="14">
        <f>CHOOSE(CONTROL!$C$42, 134.1527, 134.1527) * CHOOSE(CONTROL!$C$21, $C$9, 100%, $E$9)</f>
        <v>134.15270000000001</v>
      </c>
      <c r="T10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7">
        <f>(1000*CHOOSE(CONTROL!$C$42, 695, 695)*CHOOSE(CONTROL!$C$42, 0.5599, 0.5599)*CHOOSE(CONTROL!$C$42, 30, 30))/1000000</f>
        <v>11.673914999999997</v>
      </c>
      <c r="V1024" s="57">
        <f>(1000*CHOOSE(CONTROL!$C$42, 500, 500)*CHOOSE(CONTROL!$C$42, 0.275, 0.275)*CHOOSE(CONTROL!$C$42, 30, 30))/1000000</f>
        <v>4.125</v>
      </c>
      <c r="W1024" s="57">
        <f>(1000*CHOOSE(CONTROL!$C$42, 0.1146, 0.1146)*CHOOSE(CONTROL!$C$42, 121.5, 121.5)*CHOOSE(CONTROL!$C$42, 30, 30))/1000000</f>
        <v>0.417717</v>
      </c>
      <c r="X1024" s="57">
        <f>(30*0.1790888*245000/1000000)+(30*0.2374*100000/1000000)</f>
        <v>2.0285026799999999</v>
      </c>
      <c r="Y1024" s="57"/>
      <c r="Z1024" s="14"/>
      <c r="AA1024" s="56"/>
      <c r="AB1024" s="50">
        <f>(B1024*141.293+C1024*267.993+D1024*115.016+E1024*89.698+F1024*40+G1024*185+H1024*0+I1024*100+J1024*300)/(141.293+267.993+115.016+89.698+0+40+185+100+300)</f>
        <v>139.70078514269574</v>
      </c>
      <c r="AC1024" s="45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136.94501151079137</v>
      </c>
    </row>
    <row r="1025" spans="1:29" ht="15.75" x14ac:dyDescent="0.25">
      <c r="A1025" s="32">
        <v>72106</v>
      </c>
      <c r="B1025" s="14">
        <f>CHOOSE(CONTROL!$C$42, 140.8548, 140.8548) * CHOOSE(CONTROL!$C$21, $C$9, 100%, $E$9)</f>
        <v>140.85480000000001</v>
      </c>
      <c r="C1025" s="14">
        <f>CHOOSE(CONTROL!$C$42, 140.8628, 140.8628) * CHOOSE(CONTROL!$C$21, $C$9, 100%, $E$9)</f>
        <v>140.86279999999999</v>
      </c>
      <c r="D1025" s="14">
        <f>CHOOSE(CONTROL!$C$42, 141.0964, 141.0964) * CHOOSE(CONTROL!$C$21, $C$9, 100%, $E$9)</f>
        <v>141.09639999999999</v>
      </c>
      <c r="E1025" s="14">
        <f>CHOOSE(CONTROL!$C$42, 141.1279, 141.1279) * CHOOSE(CONTROL!$C$21, $C$9, 100%, $E$9)</f>
        <v>141.12790000000001</v>
      </c>
      <c r="F1025" s="14">
        <f>CHOOSE(CONTROL!$C$42, 140.8515, 140.8515)*CHOOSE(CONTROL!$C$21, $C$9, 100%, $E$9)</f>
        <v>140.85149999999999</v>
      </c>
      <c r="G1025" s="14">
        <f>CHOOSE(CONTROL!$C$42, 140.8679, 140.8679)*CHOOSE(CONTROL!$C$21, $C$9, 100%, $E$9)</f>
        <v>140.86789999999999</v>
      </c>
      <c r="H1025" s="14">
        <f>CHOOSE(CONTROL!$C$42, 141.1165, 141.1165) * CHOOSE(CONTROL!$C$21, $C$9, 100%, $E$9)</f>
        <v>141.1165</v>
      </c>
      <c r="I1025" s="14">
        <f>CHOOSE(CONTROL!$C$42, 141.3118, 141.3118)* CHOOSE(CONTROL!$C$21, $C$9, 100%, $E$9)</f>
        <v>141.31180000000001</v>
      </c>
      <c r="J1025" s="14">
        <f>CHOOSE(CONTROL!$C$42, 140.8445, 140.8445)* CHOOSE(CONTROL!$C$21, $C$9, 100%, $E$9)</f>
        <v>140.84450000000001</v>
      </c>
      <c r="K1025" s="53">
        <f>CHOOSE(CONTROL!$C$42, 141.3079, 141.3079) * CHOOSE(CONTROL!$C$21, $C$9, 100%, $E$9)</f>
        <v>141.30789999999999</v>
      </c>
      <c r="L1025" s="14">
        <f>CHOOSE(CONTROL!$C$42, 141.7035, 141.7035) * CHOOSE(CONTROL!$C$21, $C$9, 100%, $E$9)</f>
        <v>141.70349999999999</v>
      </c>
      <c r="M1025" s="14">
        <f>CHOOSE(CONTROL!$C$42, 137.9664, 137.9664) * CHOOSE(CONTROL!$C$21, $C$9, 100%, $E$9)</f>
        <v>137.96639999999999</v>
      </c>
      <c r="N1025" s="14">
        <f>CHOOSE(CONTROL!$C$42, 137.9824, 137.9824) * CHOOSE(CONTROL!$C$21, $C$9, 100%, $E$9)</f>
        <v>137.98240000000001</v>
      </c>
      <c r="O1025" s="14">
        <f>CHOOSE(CONTROL!$C$42, 138.2328, 138.2328) * CHOOSE(CONTROL!$C$21, $C$9, 100%, $E$9)</f>
        <v>138.2328</v>
      </c>
      <c r="P1025" s="14">
        <f>CHOOSE(CONTROL!$C$42, 138.4153, 138.4153) * CHOOSE(CONTROL!$C$21, $C$9, 100%, $E$9)</f>
        <v>138.4153</v>
      </c>
      <c r="Q1025" s="14">
        <f>CHOOSE(CONTROL!$C$42, 138.8275, 138.8275) * CHOOSE(CONTROL!$C$21, $C$9, 100%, $E$9)</f>
        <v>138.82749999999999</v>
      </c>
      <c r="R1025" s="14">
        <f>CHOOSE(CONTROL!$C$42, 139.7616, 139.7616) * CHOOSE(CONTROL!$C$21, $C$9, 100%, $E$9)</f>
        <v>139.76159999999999</v>
      </c>
      <c r="S1025" s="14">
        <f>CHOOSE(CONTROL!$C$42, 135.3367, 135.3367) * CHOOSE(CONTROL!$C$21, $C$9, 100%, $E$9)</f>
        <v>135.33670000000001</v>
      </c>
      <c r="T10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7">
        <f>(1000*CHOOSE(CONTROL!$C$42, 695, 695)*CHOOSE(CONTROL!$C$42, 0.5599, 0.5599)*CHOOSE(CONTROL!$C$42, 31, 31))/1000000</f>
        <v>12.063045499999998</v>
      </c>
      <c r="V1025" s="57">
        <f>(1000*CHOOSE(CONTROL!$C$42, 500, 500)*CHOOSE(CONTROL!$C$42, 0.275, 0.275)*CHOOSE(CONTROL!$C$42, 31, 31))/1000000</f>
        <v>4.2625000000000002</v>
      </c>
      <c r="W1025" s="57">
        <f>(1000*CHOOSE(CONTROL!$C$42, 0.1146, 0.1146)*CHOOSE(CONTROL!$C$42, 121.5, 121.5)*CHOOSE(CONTROL!$C$42, 31, 31))/1000000</f>
        <v>0.43164089999999994</v>
      </c>
      <c r="X1025" s="57">
        <f>(31*0.1790888*245000/1000000)+(31*0.2374*100000/1000000)</f>
        <v>2.0961194359999999</v>
      </c>
      <c r="Y1025" s="57"/>
      <c r="Z1025" s="14"/>
      <c r="AA1025" s="56"/>
      <c r="AB1025" s="50">
        <f>(B1025*194.205+C1025*267.466+D1025*133.845+E1025*53.484+F1025*40+G1025*185+H1025*0+I1025*100+J1025*300)/(194.205+267.466+133.845+53.484+0+40+185+100+300)</f>
        <v>140.92857131899527</v>
      </c>
      <c r="AC1025" s="45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138.15265323741008</v>
      </c>
    </row>
    <row r="1026" spans="1:29" ht="15.75" x14ac:dyDescent="0.25">
      <c r="A1026" s="32">
        <v>72136</v>
      </c>
      <c r="B1026" s="14">
        <f>CHOOSE(CONTROL!$C$42, 144.85, 144.85) * CHOOSE(CONTROL!$C$21, $C$9, 100%, $E$9)</f>
        <v>144.85</v>
      </c>
      <c r="C1026" s="14">
        <f>CHOOSE(CONTROL!$C$42, 144.858, 144.858) * CHOOSE(CONTROL!$C$21, $C$9, 100%, $E$9)</f>
        <v>144.858</v>
      </c>
      <c r="D1026" s="14">
        <f>CHOOSE(CONTROL!$C$42, 145.0916, 145.0916) * CHOOSE(CONTROL!$C$21, $C$9, 100%, $E$9)</f>
        <v>145.0916</v>
      </c>
      <c r="E1026" s="14">
        <f>CHOOSE(CONTROL!$C$42, 145.1231, 145.1231) * CHOOSE(CONTROL!$C$21, $C$9, 100%, $E$9)</f>
        <v>145.12309999999999</v>
      </c>
      <c r="F1026" s="14">
        <f>CHOOSE(CONTROL!$C$42, 144.8472, 144.8472)*CHOOSE(CONTROL!$C$21, $C$9, 100%, $E$9)</f>
        <v>144.84719999999999</v>
      </c>
      <c r="G1026" s="14">
        <f>CHOOSE(CONTROL!$C$42, 144.8637, 144.8637)*CHOOSE(CONTROL!$C$21, $C$9, 100%, $E$9)</f>
        <v>144.86369999999999</v>
      </c>
      <c r="H1026" s="14">
        <f>CHOOSE(CONTROL!$C$42, 145.1117, 145.1117) * CHOOSE(CONTROL!$C$21, $C$9, 100%, $E$9)</f>
        <v>145.11170000000001</v>
      </c>
      <c r="I1026" s="14">
        <f>CHOOSE(CONTROL!$C$42, 145.3195, 145.3195)* CHOOSE(CONTROL!$C$21, $C$9, 100%, $E$9)</f>
        <v>145.31950000000001</v>
      </c>
      <c r="J1026" s="14">
        <f>CHOOSE(CONTROL!$C$42, 144.8402, 144.8402)* CHOOSE(CONTROL!$C$21, $C$9, 100%, $E$9)</f>
        <v>144.84020000000001</v>
      </c>
      <c r="K1026" s="53">
        <f>CHOOSE(CONTROL!$C$42, 145.3156, 145.3156) * CHOOSE(CONTROL!$C$21, $C$9, 100%, $E$9)</f>
        <v>145.31559999999999</v>
      </c>
      <c r="L1026" s="14">
        <f>CHOOSE(CONTROL!$C$42, 145.6987, 145.6987) * CHOOSE(CONTROL!$C$21, $C$9, 100%, $E$9)</f>
        <v>145.6987</v>
      </c>
      <c r="M1026" s="14">
        <f>CHOOSE(CONTROL!$C$42, 141.8802, 141.8802) * CHOOSE(CONTROL!$C$21, $C$9, 100%, $E$9)</f>
        <v>141.8802</v>
      </c>
      <c r="N1026" s="14">
        <f>CHOOSE(CONTROL!$C$42, 141.8964, 141.8964) * CHOOSE(CONTROL!$C$21, $C$9, 100%, $E$9)</f>
        <v>141.8964</v>
      </c>
      <c r="O1026" s="14">
        <f>CHOOSE(CONTROL!$C$42, 142.1461, 142.1461) * CHOOSE(CONTROL!$C$21, $C$9, 100%, $E$9)</f>
        <v>142.14609999999999</v>
      </c>
      <c r="P1026" s="14">
        <f>CHOOSE(CONTROL!$C$42, 142.3406, 142.3406) * CHOOSE(CONTROL!$C$21, $C$9, 100%, $E$9)</f>
        <v>142.34059999999999</v>
      </c>
      <c r="Q1026" s="14">
        <f>CHOOSE(CONTROL!$C$42, 142.7408, 142.7408) * CHOOSE(CONTROL!$C$21, $C$9, 100%, $E$9)</f>
        <v>142.74080000000001</v>
      </c>
      <c r="R1026" s="14">
        <f>CHOOSE(CONTROL!$C$42, 143.6847, 143.6847) * CHOOSE(CONTROL!$C$21, $C$9, 100%, $E$9)</f>
        <v>143.68469999999999</v>
      </c>
      <c r="S1026" s="14">
        <f>CHOOSE(CONTROL!$C$42, 139.1757, 139.1757) * CHOOSE(CONTROL!$C$21, $C$9, 100%, $E$9)</f>
        <v>139.17570000000001</v>
      </c>
      <c r="T10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7">
        <f>(1000*CHOOSE(CONTROL!$C$42, 695, 695)*CHOOSE(CONTROL!$C$42, 0.5599, 0.5599)*CHOOSE(CONTROL!$C$42, 30, 30))/1000000</f>
        <v>11.673914999999997</v>
      </c>
      <c r="V1026" s="57">
        <f>(1000*CHOOSE(CONTROL!$C$42, 500, 500)*CHOOSE(CONTROL!$C$42, 0.275, 0.275)*CHOOSE(CONTROL!$C$42, 30, 30))/1000000</f>
        <v>4.125</v>
      </c>
      <c r="W1026" s="57">
        <f>(1000*CHOOSE(CONTROL!$C$42, 0.1146, 0.1146)*CHOOSE(CONTROL!$C$42, 121.5, 121.5)*CHOOSE(CONTROL!$C$42, 30, 30))/1000000</f>
        <v>0.417717</v>
      </c>
      <c r="X1026" s="57">
        <f>(30*0.1790888*245000/1000000)+(30*0.2374*100000/1000000)</f>
        <v>2.0285026799999999</v>
      </c>
      <c r="Y1026" s="57"/>
      <c r="Z1026" s="14"/>
      <c r="AA1026" s="56"/>
      <c r="AB1026" s="50">
        <f>(B1026*194.205+C1026*267.466+D1026*133.845+E1026*53.484+F1026*40+G1026*185+H1026*0+I1026*100+J1026*300)/(194.205+267.466+133.845+53.484+0+40+185+100+300)</f>
        <v>144.92497304583986</v>
      </c>
      <c r="AC1026" s="45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142.06789280575538</v>
      </c>
    </row>
    <row r="1027" spans="1:29" ht="15.75" x14ac:dyDescent="0.25">
      <c r="A1027" s="32">
        <v>72167</v>
      </c>
      <c r="B1027" s="14">
        <f>CHOOSE(CONTROL!$C$42, 142.0713, 142.0713) * CHOOSE(CONTROL!$C$21, $C$9, 100%, $E$9)</f>
        <v>142.07130000000001</v>
      </c>
      <c r="C1027" s="14">
        <f>CHOOSE(CONTROL!$C$42, 142.0793, 142.0793) * CHOOSE(CONTROL!$C$21, $C$9, 100%, $E$9)</f>
        <v>142.07929999999999</v>
      </c>
      <c r="D1027" s="14">
        <f>CHOOSE(CONTROL!$C$42, 142.3129, 142.3129) * CHOOSE(CONTROL!$C$21, $C$9, 100%, $E$9)</f>
        <v>142.31290000000001</v>
      </c>
      <c r="E1027" s="14">
        <f>CHOOSE(CONTROL!$C$42, 142.3444, 142.3444) * CHOOSE(CONTROL!$C$21, $C$9, 100%, $E$9)</f>
        <v>142.34440000000001</v>
      </c>
      <c r="F1027" s="14">
        <f>CHOOSE(CONTROL!$C$42, 142.0691, 142.0691)*CHOOSE(CONTROL!$C$21, $C$9, 100%, $E$9)</f>
        <v>142.06909999999999</v>
      </c>
      <c r="G1027" s="14">
        <f>CHOOSE(CONTROL!$C$42, 142.0857, 142.0857)*CHOOSE(CONTROL!$C$21, $C$9, 100%, $E$9)</f>
        <v>142.0857</v>
      </c>
      <c r="H1027" s="14">
        <f>CHOOSE(CONTROL!$C$42, 142.333, 142.333) * CHOOSE(CONTROL!$C$21, $C$9, 100%, $E$9)</f>
        <v>142.333</v>
      </c>
      <c r="I1027" s="14">
        <f>CHOOSE(CONTROL!$C$42, 142.5321, 142.5321)* CHOOSE(CONTROL!$C$21, $C$9, 100%, $E$9)</f>
        <v>142.53210000000001</v>
      </c>
      <c r="J1027" s="14">
        <f>CHOOSE(CONTROL!$C$42, 142.0621, 142.0621)* CHOOSE(CONTROL!$C$21, $C$9, 100%, $E$9)</f>
        <v>142.06209999999999</v>
      </c>
      <c r="K1027" s="53">
        <f>CHOOSE(CONTROL!$C$42, 142.5282, 142.5282) * CHOOSE(CONTROL!$C$21, $C$9, 100%, $E$9)</f>
        <v>142.5282</v>
      </c>
      <c r="L1027" s="14">
        <f>CHOOSE(CONTROL!$C$42, 142.92, 142.92) * CHOOSE(CONTROL!$C$21, $C$9, 100%, $E$9)</f>
        <v>142.91999999999999</v>
      </c>
      <c r="M1027" s="14">
        <f>CHOOSE(CONTROL!$C$42, 139.159, 139.159) * CHOOSE(CONTROL!$C$21, $C$9, 100%, $E$9)</f>
        <v>139.15899999999999</v>
      </c>
      <c r="N1027" s="14">
        <f>CHOOSE(CONTROL!$C$42, 139.1753, 139.1753) * CHOOSE(CONTROL!$C$21, $C$9, 100%, $E$9)</f>
        <v>139.17529999999999</v>
      </c>
      <c r="O1027" s="14">
        <f>CHOOSE(CONTROL!$C$42, 139.4244, 139.4244) * CHOOSE(CONTROL!$C$21, $C$9, 100%, $E$9)</f>
        <v>139.42439999999999</v>
      </c>
      <c r="P1027" s="14">
        <f>CHOOSE(CONTROL!$C$42, 139.6105, 139.6105) * CHOOSE(CONTROL!$C$21, $C$9, 100%, $E$9)</f>
        <v>139.6105</v>
      </c>
      <c r="Q1027" s="14">
        <f>CHOOSE(CONTROL!$C$42, 140.0191, 140.0191) * CHOOSE(CONTROL!$C$21, $C$9, 100%, $E$9)</f>
        <v>140.01910000000001</v>
      </c>
      <c r="R1027" s="14">
        <f>CHOOSE(CONTROL!$C$42, 140.9561, 140.9561) * CHOOSE(CONTROL!$C$21, $C$9, 100%, $E$9)</f>
        <v>140.95609999999999</v>
      </c>
      <c r="S1027" s="14">
        <f>CHOOSE(CONTROL!$C$42, 136.5057, 136.5057) * CHOOSE(CONTROL!$C$21, $C$9, 100%, $E$9)</f>
        <v>136.50569999999999</v>
      </c>
      <c r="T10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7">
        <f>(1000*CHOOSE(CONTROL!$C$42, 695, 695)*CHOOSE(CONTROL!$C$42, 0.5599, 0.5599)*CHOOSE(CONTROL!$C$42, 31, 31))/1000000</f>
        <v>12.063045499999998</v>
      </c>
      <c r="V1027" s="57">
        <f>(1000*CHOOSE(CONTROL!$C$42, 500, 500)*CHOOSE(CONTROL!$C$42, 0.275, 0.275)*CHOOSE(CONTROL!$C$42, 31, 31))/1000000</f>
        <v>4.2625000000000002</v>
      </c>
      <c r="W1027" s="57">
        <f>(1000*CHOOSE(CONTROL!$C$42, 0.1146, 0.1146)*CHOOSE(CONTROL!$C$42, 121.5, 121.5)*CHOOSE(CONTROL!$C$42, 31, 31))/1000000</f>
        <v>0.43164089999999994</v>
      </c>
      <c r="X1027" s="57">
        <f>(31*0.1790888*245000/1000000)+(31*0.2374*100000/1000000)</f>
        <v>2.0961194359999999</v>
      </c>
      <c r="Y1027" s="57"/>
      <c r="Z1027" s="14"/>
      <c r="AA1027" s="56"/>
      <c r="AB1027" s="50">
        <f>(B1027*194.205+C1027*267.466+D1027*133.845+E1027*53.484+F1027*40+G1027*185+H1027*0+I1027*100+J1027*300)/(194.205+267.466+133.845+53.484+0+40+185+100+300)</f>
        <v>142.1458519312402</v>
      </c>
      <c r="AC1027" s="45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139.34519136690648</v>
      </c>
    </row>
    <row r="1028" spans="1:29" ht="15.75" x14ac:dyDescent="0.25">
      <c r="A1028" s="32">
        <v>72198</v>
      </c>
      <c r="B1028" s="14">
        <f>CHOOSE(CONTROL!$C$42, 135.0542, 135.0542) * CHOOSE(CONTROL!$C$21, $C$9, 100%, $E$9)</f>
        <v>135.05420000000001</v>
      </c>
      <c r="C1028" s="14">
        <f>CHOOSE(CONTROL!$C$42, 135.0623, 135.0623) * CHOOSE(CONTROL!$C$21, $C$9, 100%, $E$9)</f>
        <v>135.06229999999999</v>
      </c>
      <c r="D1028" s="14">
        <f>CHOOSE(CONTROL!$C$42, 135.2959, 135.2959) * CHOOSE(CONTROL!$C$21, $C$9, 100%, $E$9)</f>
        <v>135.29589999999999</v>
      </c>
      <c r="E1028" s="14">
        <f>CHOOSE(CONTROL!$C$42, 135.3273, 135.3273) * CHOOSE(CONTROL!$C$21, $C$9, 100%, $E$9)</f>
        <v>135.32730000000001</v>
      </c>
      <c r="F1028" s="14">
        <f>CHOOSE(CONTROL!$C$42, 135.0522, 135.0522)*CHOOSE(CONTROL!$C$21, $C$9, 100%, $E$9)</f>
        <v>135.0522</v>
      </c>
      <c r="G1028" s="14">
        <f>CHOOSE(CONTROL!$C$42, 135.0689, 135.0689)*CHOOSE(CONTROL!$C$21, $C$9, 100%, $E$9)</f>
        <v>135.06890000000001</v>
      </c>
      <c r="H1028" s="14">
        <f>CHOOSE(CONTROL!$C$42, 135.316, 135.316) * CHOOSE(CONTROL!$C$21, $C$9, 100%, $E$9)</f>
        <v>135.316</v>
      </c>
      <c r="I1028" s="14">
        <f>CHOOSE(CONTROL!$C$42, 135.4931, 135.4931)* CHOOSE(CONTROL!$C$21, $C$9, 100%, $E$9)</f>
        <v>135.4931</v>
      </c>
      <c r="J1028" s="14">
        <f>CHOOSE(CONTROL!$C$42, 135.0452, 135.0452)* CHOOSE(CONTROL!$C$21, $C$9, 100%, $E$9)</f>
        <v>135.04519999999999</v>
      </c>
      <c r="K1028" s="53">
        <f>CHOOSE(CONTROL!$C$42, 135.4892, 135.4892) * CHOOSE(CONTROL!$C$21, $C$9, 100%, $E$9)</f>
        <v>135.48920000000001</v>
      </c>
      <c r="L1028" s="14">
        <f>CHOOSE(CONTROL!$C$42, 135.903, 135.903) * CHOOSE(CONTROL!$C$21, $C$9, 100%, $E$9)</f>
        <v>135.90299999999999</v>
      </c>
      <c r="M1028" s="14">
        <f>CHOOSE(CONTROL!$C$42, 132.2859, 132.2859) * CHOOSE(CONTROL!$C$21, $C$9, 100%, $E$9)</f>
        <v>132.2859</v>
      </c>
      <c r="N1028" s="14">
        <f>CHOOSE(CONTROL!$C$42, 132.3022, 132.3022) * CHOOSE(CONTROL!$C$21, $C$9, 100%, $E$9)</f>
        <v>132.3022</v>
      </c>
      <c r="O1028" s="14">
        <f>CHOOSE(CONTROL!$C$42, 132.5511, 132.5511) * CHOOSE(CONTROL!$C$21, $C$9, 100%, $E$9)</f>
        <v>132.55109999999999</v>
      </c>
      <c r="P1028" s="14">
        <f>CHOOSE(CONTROL!$C$42, 132.7162, 132.7162) * CHOOSE(CONTROL!$C$21, $C$9, 100%, $E$9)</f>
        <v>132.71619999999999</v>
      </c>
      <c r="Q1028" s="14">
        <f>CHOOSE(CONTROL!$C$42, 133.1458, 133.1458) * CHOOSE(CONTROL!$C$21, $C$9, 100%, $E$9)</f>
        <v>133.14580000000001</v>
      </c>
      <c r="R1028" s="14">
        <f>CHOOSE(CONTROL!$C$42, 134.0657, 134.0657) * CHOOSE(CONTROL!$C$21, $C$9, 100%, $E$9)</f>
        <v>134.06569999999999</v>
      </c>
      <c r="S1028" s="14">
        <f>CHOOSE(CONTROL!$C$42, 129.763, 129.763) * CHOOSE(CONTROL!$C$21, $C$9, 100%, $E$9)</f>
        <v>129.76300000000001</v>
      </c>
      <c r="T10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7">
        <f>(1000*CHOOSE(CONTROL!$C$42, 695, 695)*CHOOSE(CONTROL!$C$42, 0.5599, 0.5599)*CHOOSE(CONTROL!$C$42, 31, 31))/1000000</f>
        <v>12.063045499999998</v>
      </c>
      <c r="V1028" s="57">
        <f>(1000*CHOOSE(CONTROL!$C$42, 500, 500)*CHOOSE(CONTROL!$C$42, 0.275, 0.275)*CHOOSE(CONTROL!$C$42, 31, 31))/1000000</f>
        <v>4.2625000000000002</v>
      </c>
      <c r="W1028" s="57">
        <f>(1000*CHOOSE(CONTROL!$C$42, 0.1146, 0.1146)*CHOOSE(CONTROL!$C$42, 121.5, 121.5)*CHOOSE(CONTROL!$C$42, 31, 31))/1000000</f>
        <v>0.43164089999999994</v>
      </c>
      <c r="X1028" s="57">
        <f>(31*0.1790888*245000/1000000)+(31*0.2374*100000/1000000)</f>
        <v>2.0961194359999999</v>
      </c>
      <c r="Y1028" s="57"/>
      <c r="Z1028" s="14"/>
      <c r="AA1028" s="56"/>
      <c r="AB1028" s="50">
        <f>(B1028*194.205+C1028*267.466+D1028*133.845+E1028*53.484+F1028*40+G1028*185+H1028*0+I1028*100+J1028*300)/(194.205+267.466+133.845+53.484+0+40+185+100+300)</f>
        <v>135.12716137480376</v>
      </c>
      <c r="AC1028" s="45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132.46895035971221</v>
      </c>
    </row>
    <row r="1029" spans="1:29" ht="15.75" x14ac:dyDescent="0.25">
      <c r="A1029" s="32">
        <v>72228</v>
      </c>
      <c r="B1029" s="14">
        <f>CHOOSE(CONTROL!$C$42, 126.4802, 126.4802) * CHOOSE(CONTROL!$C$21, $C$9, 100%, $E$9)</f>
        <v>126.4802</v>
      </c>
      <c r="C1029" s="14">
        <f>CHOOSE(CONTROL!$C$42, 126.4883, 126.4883) * CHOOSE(CONTROL!$C$21, $C$9, 100%, $E$9)</f>
        <v>126.4883</v>
      </c>
      <c r="D1029" s="14">
        <f>CHOOSE(CONTROL!$C$42, 126.7219, 126.7219) * CHOOSE(CONTROL!$C$21, $C$9, 100%, $E$9)</f>
        <v>126.72190000000001</v>
      </c>
      <c r="E1029" s="14">
        <f>CHOOSE(CONTROL!$C$42, 126.7533, 126.7533) * CHOOSE(CONTROL!$C$21, $C$9, 100%, $E$9)</f>
        <v>126.7533</v>
      </c>
      <c r="F1029" s="14">
        <f>CHOOSE(CONTROL!$C$42, 126.4783, 126.4783)*CHOOSE(CONTROL!$C$21, $C$9, 100%, $E$9)</f>
        <v>126.4783</v>
      </c>
      <c r="G1029" s="14">
        <f>CHOOSE(CONTROL!$C$42, 126.4949, 126.4949)*CHOOSE(CONTROL!$C$21, $C$9, 100%, $E$9)</f>
        <v>126.4949</v>
      </c>
      <c r="H1029" s="14">
        <f>CHOOSE(CONTROL!$C$42, 126.742, 126.742) * CHOOSE(CONTROL!$C$21, $C$9, 100%, $E$9)</f>
        <v>126.742</v>
      </c>
      <c r="I1029" s="14">
        <f>CHOOSE(CONTROL!$C$42, 126.8922, 126.8922)* CHOOSE(CONTROL!$C$21, $C$9, 100%, $E$9)</f>
        <v>126.8922</v>
      </c>
      <c r="J1029" s="14">
        <f>CHOOSE(CONTROL!$C$42, 126.4713, 126.4713)* CHOOSE(CONTROL!$C$21, $C$9, 100%, $E$9)</f>
        <v>126.4713</v>
      </c>
      <c r="K1029" s="53">
        <f>CHOOSE(CONTROL!$C$42, 126.8884, 126.8884) * CHOOSE(CONTROL!$C$21, $C$9, 100%, $E$9)</f>
        <v>126.8884</v>
      </c>
      <c r="L1029" s="14">
        <f>CHOOSE(CONTROL!$C$42, 127.329, 127.329) * CHOOSE(CONTROL!$C$21, $C$9, 100%, $E$9)</f>
        <v>127.32899999999999</v>
      </c>
      <c r="M1029" s="14">
        <f>CHOOSE(CONTROL!$C$42, 123.8876, 123.8876) * CHOOSE(CONTROL!$C$21, $C$9, 100%, $E$9)</f>
        <v>123.88760000000001</v>
      </c>
      <c r="N1029" s="14">
        <f>CHOOSE(CONTROL!$C$42, 123.904, 123.904) * CHOOSE(CONTROL!$C$21, $C$9, 100%, $E$9)</f>
        <v>123.904</v>
      </c>
      <c r="O1029" s="14">
        <f>CHOOSE(CONTROL!$C$42, 124.1528, 124.1528) * CHOOSE(CONTROL!$C$21, $C$9, 100%, $E$9)</f>
        <v>124.1528</v>
      </c>
      <c r="P1029" s="14">
        <f>CHOOSE(CONTROL!$C$42, 124.2921, 124.2921) * CHOOSE(CONTROL!$C$21, $C$9, 100%, $E$9)</f>
        <v>124.2921</v>
      </c>
      <c r="Q1029" s="14">
        <f>CHOOSE(CONTROL!$C$42, 124.7475, 124.7475) * CHOOSE(CONTROL!$C$21, $C$9, 100%, $E$9)</f>
        <v>124.7475</v>
      </c>
      <c r="R1029" s="14">
        <f>CHOOSE(CONTROL!$C$42, 125.6464, 125.6464) * CHOOSE(CONTROL!$C$21, $C$9, 100%, $E$9)</f>
        <v>125.6464</v>
      </c>
      <c r="S1029" s="14">
        <f>CHOOSE(CONTROL!$C$42, 121.5242, 121.5242) * CHOOSE(CONTROL!$C$21, $C$9, 100%, $E$9)</f>
        <v>121.52419999999999</v>
      </c>
      <c r="T10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7">
        <f>(1000*CHOOSE(CONTROL!$C$42, 695, 695)*CHOOSE(CONTROL!$C$42, 0.5599, 0.5599)*CHOOSE(CONTROL!$C$42, 30, 30))/1000000</f>
        <v>11.673914999999997</v>
      </c>
      <c r="V1029" s="57">
        <f>(1000*CHOOSE(CONTROL!$C$42, 500, 500)*CHOOSE(CONTROL!$C$42, 0.275, 0.275)*CHOOSE(CONTROL!$C$42, 30, 30))/1000000</f>
        <v>4.125</v>
      </c>
      <c r="W1029" s="57">
        <f>(1000*CHOOSE(CONTROL!$C$42, 0.1146, 0.1146)*CHOOSE(CONTROL!$C$42, 121.5, 121.5)*CHOOSE(CONTROL!$C$42, 30, 30))/1000000</f>
        <v>0.417717</v>
      </c>
      <c r="X1029" s="57">
        <f>(30*0.1790888*245000/1000000)+(30*0.2374*100000/1000000)</f>
        <v>2.0285026799999999</v>
      </c>
      <c r="Y1029" s="57"/>
      <c r="Z1029" s="14"/>
      <c r="AA1029" s="56"/>
      <c r="AB1029" s="50">
        <f>(B1029*194.205+C1029*267.466+D1029*133.845+E1029*53.484+F1029*40+G1029*185+H1029*0+I1029*100+J1029*300)/(194.205+267.466+133.845+53.484+0+40+185+100+300)</f>
        <v>126.5510766024333</v>
      </c>
      <c r="AC1029" s="45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124.06694388489208</v>
      </c>
    </row>
    <row r="1030" spans="1:29" ht="15.75" x14ac:dyDescent="0.25">
      <c r="A1030" s="32">
        <v>72259</v>
      </c>
      <c r="B1030" s="14">
        <f>CHOOSE(CONTROL!$C$42, 123.9107, 123.9107) * CHOOSE(CONTROL!$C$21, $C$9, 100%, $E$9)</f>
        <v>123.91070000000001</v>
      </c>
      <c r="C1030" s="14">
        <f>CHOOSE(CONTROL!$C$42, 123.916, 123.916) * CHOOSE(CONTROL!$C$21, $C$9, 100%, $E$9)</f>
        <v>123.916</v>
      </c>
      <c r="D1030" s="14">
        <f>CHOOSE(CONTROL!$C$42, 124.1545, 124.1545) * CHOOSE(CONTROL!$C$21, $C$9, 100%, $E$9)</f>
        <v>124.1545</v>
      </c>
      <c r="E1030" s="14">
        <f>CHOOSE(CONTROL!$C$42, 124.1837, 124.1837) * CHOOSE(CONTROL!$C$21, $C$9, 100%, $E$9)</f>
        <v>124.1837</v>
      </c>
      <c r="F1030" s="14">
        <f>CHOOSE(CONTROL!$C$42, 123.9107, 123.9107)*CHOOSE(CONTROL!$C$21, $C$9, 100%, $E$9)</f>
        <v>123.91070000000001</v>
      </c>
      <c r="G1030" s="14">
        <f>CHOOSE(CONTROL!$C$42, 123.927, 123.927)*CHOOSE(CONTROL!$C$21, $C$9, 100%, $E$9)</f>
        <v>123.92700000000001</v>
      </c>
      <c r="H1030" s="14">
        <f>CHOOSE(CONTROL!$C$42, 124.1741, 124.1741) * CHOOSE(CONTROL!$C$21, $C$9, 100%, $E$9)</f>
        <v>124.1741</v>
      </c>
      <c r="I1030" s="14">
        <f>CHOOSE(CONTROL!$C$42, 124.3164, 124.3164)* CHOOSE(CONTROL!$C$21, $C$9, 100%, $E$9)</f>
        <v>124.3164</v>
      </c>
      <c r="J1030" s="14">
        <f>CHOOSE(CONTROL!$C$42, 123.9037, 123.9037)* CHOOSE(CONTROL!$C$21, $C$9, 100%, $E$9)</f>
        <v>123.9037</v>
      </c>
      <c r="K1030" s="53">
        <f>CHOOSE(CONTROL!$C$42, 124.3125, 124.3125) * CHOOSE(CONTROL!$C$21, $C$9, 100%, $E$9)</f>
        <v>124.3125</v>
      </c>
      <c r="L1030" s="14">
        <f>CHOOSE(CONTROL!$C$42, 124.7611, 124.7611) * CHOOSE(CONTROL!$C$21, $C$9, 100%, $E$9)</f>
        <v>124.7611</v>
      </c>
      <c r="M1030" s="14">
        <f>CHOOSE(CONTROL!$C$42, 121.3727, 121.3727) * CHOOSE(CONTROL!$C$21, $C$9, 100%, $E$9)</f>
        <v>121.37269999999999</v>
      </c>
      <c r="N1030" s="14">
        <f>CHOOSE(CONTROL!$C$42, 121.3886, 121.3886) * CHOOSE(CONTROL!$C$21, $C$9, 100%, $E$9)</f>
        <v>121.3886</v>
      </c>
      <c r="O1030" s="14">
        <f>CHOOSE(CONTROL!$C$42, 121.6376, 121.6376) * CHOOSE(CONTROL!$C$21, $C$9, 100%, $E$9)</f>
        <v>121.63760000000001</v>
      </c>
      <c r="P1030" s="14">
        <f>CHOOSE(CONTROL!$C$42, 121.7692, 121.7692) * CHOOSE(CONTROL!$C$21, $C$9, 100%, $E$9)</f>
        <v>121.7692</v>
      </c>
      <c r="Q1030" s="14">
        <f>CHOOSE(CONTROL!$C$42, 122.2323, 122.2323) * CHOOSE(CONTROL!$C$21, $C$9, 100%, $E$9)</f>
        <v>122.2323</v>
      </c>
      <c r="R1030" s="14">
        <f>CHOOSE(CONTROL!$C$42, 123.1249, 123.1249) * CHOOSE(CONTROL!$C$21, $C$9, 100%, $E$9)</f>
        <v>123.1249</v>
      </c>
      <c r="S1030" s="14">
        <f>CHOOSE(CONTROL!$C$42, 119.0568, 119.0568) * CHOOSE(CONTROL!$C$21, $C$9, 100%, $E$9)</f>
        <v>119.0568</v>
      </c>
      <c r="T10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7">
        <f>(1000*CHOOSE(CONTROL!$C$42, 695, 695)*CHOOSE(CONTROL!$C$42, 0.5599, 0.5599)*CHOOSE(CONTROL!$C$42, 31, 31))/1000000</f>
        <v>12.063045499999998</v>
      </c>
      <c r="V1030" s="57">
        <f>(1000*CHOOSE(CONTROL!$C$42, 500, 500)*CHOOSE(CONTROL!$C$42, 0.275, 0.275)*CHOOSE(CONTROL!$C$42, 31, 31))/1000000</f>
        <v>4.2625000000000002</v>
      </c>
      <c r="W1030" s="57">
        <f>(1000*CHOOSE(CONTROL!$C$42, 0.1146, 0.1146)*CHOOSE(CONTROL!$C$42, 121.5, 121.5)*CHOOSE(CONTROL!$C$42, 31, 31))/1000000</f>
        <v>0.43164089999999994</v>
      </c>
      <c r="X1030" s="57">
        <f>(31*0.1790888*245000/1000000)+(31*0.2374*100000/1000000)</f>
        <v>2.0961194359999999</v>
      </c>
      <c r="Y1030" s="57"/>
      <c r="Z1030" s="14"/>
      <c r="AA1030" s="56"/>
      <c r="AB1030" s="50">
        <f>(B1030*131.881+C1030*277.167+D1030*79.08+E1030*125.872+F1030*40+G1030*185+H1030*0+I1030*100+J1030*300)/(131.881+277.167+79.08+125.872+0+40+185+100+300)</f>
        <v>123.98866387820824</v>
      </c>
      <c r="AC1030" s="45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121.55072805755397</v>
      </c>
    </row>
    <row r="1031" spans="1:29" ht="15.75" x14ac:dyDescent="0.25">
      <c r="A1031" s="32">
        <v>72289</v>
      </c>
      <c r="B1031" s="14">
        <f>CHOOSE(CONTROL!$C$42, 127.1744, 127.1744) * CHOOSE(CONTROL!$C$21, $C$9, 100%, $E$9)</f>
        <v>127.17440000000001</v>
      </c>
      <c r="C1031" s="14">
        <f>CHOOSE(CONTROL!$C$42, 127.1794, 127.1794) * CHOOSE(CONTROL!$C$21, $C$9, 100%, $E$9)</f>
        <v>127.1794</v>
      </c>
      <c r="D1031" s="14">
        <f>CHOOSE(CONTROL!$C$42, 127.2537, 127.2537) * CHOOSE(CONTROL!$C$21, $C$9, 100%, $E$9)</f>
        <v>127.25369999999999</v>
      </c>
      <c r="E1031" s="14">
        <f>CHOOSE(CONTROL!$C$42, 127.2878, 127.2878) * CHOOSE(CONTROL!$C$21, $C$9, 100%, $E$9)</f>
        <v>127.2878</v>
      </c>
      <c r="F1031" s="14">
        <f>CHOOSE(CONTROL!$C$42, 127.1864, 127.1864)*CHOOSE(CONTROL!$C$21, $C$9, 100%, $E$9)</f>
        <v>127.18640000000001</v>
      </c>
      <c r="G1031" s="14">
        <f>CHOOSE(CONTROL!$C$42, 127.203, 127.203)*CHOOSE(CONTROL!$C$21, $C$9, 100%, $E$9)</f>
        <v>127.203</v>
      </c>
      <c r="H1031" s="14">
        <f>CHOOSE(CONTROL!$C$42, 127.277, 127.277) * CHOOSE(CONTROL!$C$21, $C$9, 100%, $E$9)</f>
        <v>127.277</v>
      </c>
      <c r="I1031" s="14">
        <f>CHOOSE(CONTROL!$C$42, 127.597, 127.597)* CHOOSE(CONTROL!$C$21, $C$9, 100%, $E$9)</f>
        <v>127.59699999999999</v>
      </c>
      <c r="J1031" s="14">
        <f>CHOOSE(CONTROL!$C$42, 127.1794, 127.1794)* CHOOSE(CONTROL!$C$21, $C$9, 100%, $E$9)</f>
        <v>127.1794</v>
      </c>
      <c r="K1031" s="53">
        <f>CHOOSE(CONTROL!$C$42, 127.5931, 127.5931) * CHOOSE(CONTROL!$C$21, $C$9, 100%, $E$9)</f>
        <v>127.59310000000001</v>
      </c>
      <c r="L1031" s="14">
        <f>CHOOSE(CONTROL!$C$42, 127.864, 127.864) * CHOOSE(CONTROL!$C$21, $C$9, 100%, $E$9)</f>
        <v>127.864</v>
      </c>
      <c r="M1031" s="14">
        <f>CHOOSE(CONTROL!$C$42, 124.5813, 124.5813) * CHOOSE(CONTROL!$C$21, $C$9, 100%, $E$9)</f>
        <v>124.5813</v>
      </c>
      <c r="N1031" s="14">
        <f>CHOOSE(CONTROL!$C$42, 124.5976, 124.5976) * CHOOSE(CONTROL!$C$21, $C$9, 100%, $E$9)</f>
        <v>124.5976</v>
      </c>
      <c r="O1031" s="14">
        <f>CHOOSE(CONTROL!$C$42, 124.6768, 124.6768) * CHOOSE(CONTROL!$C$21, $C$9, 100%, $E$9)</f>
        <v>124.6768</v>
      </c>
      <c r="P1031" s="14">
        <f>CHOOSE(CONTROL!$C$42, 124.9824, 124.9824) * CHOOSE(CONTROL!$C$21, $C$9, 100%, $E$9)</f>
        <v>124.9824</v>
      </c>
      <c r="Q1031" s="14">
        <f>CHOOSE(CONTROL!$C$42, 125.2715, 125.2715) * CHOOSE(CONTROL!$C$21, $C$9, 100%, $E$9)</f>
        <v>125.2715</v>
      </c>
      <c r="R1031" s="14">
        <f>CHOOSE(CONTROL!$C$42, 126.1717, 126.1717) * CHOOSE(CONTROL!$C$21, $C$9, 100%, $E$9)</f>
        <v>126.1717</v>
      </c>
      <c r="S1031" s="14">
        <f>CHOOSE(CONTROL!$C$42, 122.1933, 122.1933) * CHOOSE(CONTROL!$C$21, $C$9, 100%, $E$9)</f>
        <v>122.19329999999999</v>
      </c>
      <c r="T10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7">
        <f>(1000*CHOOSE(CONTROL!$C$42, 695, 695)*CHOOSE(CONTROL!$C$42, 0.5599, 0.5599)*CHOOSE(CONTROL!$C$42, 30, 30))/1000000</f>
        <v>11.673914999999997</v>
      </c>
      <c r="V1031" s="57">
        <f>(1000*CHOOSE(CONTROL!$C$42, 500, 500)*CHOOSE(CONTROL!$C$42, 0.275, 0.275)*CHOOSE(CONTROL!$C$42, 30, 30))/1000000</f>
        <v>4.125</v>
      </c>
      <c r="W1031" s="57">
        <f>(1000*CHOOSE(CONTROL!$C$42, 0.1146, 0.1146)*CHOOSE(CONTROL!$C$42, 121.5, 121.5)*CHOOSE(CONTROL!$C$42, 30, 30))/1000000</f>
        <v>0.417717</v>
      </c>
      <c r="X1031" s="57">
        <f>(30*0.1790888*100000/1000000)+(30*0.2374*100000/1000000)</f>
        <v>1.2494664</v>
      </c>
      <c r="Y1031" s="57"/>
      <c r="Z1031" s="14"/>
      <c r="AA1031" s="56"/>
      <c r="AB1031" s="50">
        <f>(B1031*122.58+C1031*297.941+D1031*89.177+E1031*40.302+F1031*40+G1031*160+H1031*0+I1031*100+J1031*300)/(122.58+297.941+89.177+40.302+0+40+160+100+300)</f>
        <v>127.22826755469563</v>
      </c>
      <c r="AC1031" s="45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124.68323453237412</v>
      </c>
    </row>
    <row r="1032" spans="1:29" ht="15.75" x14ac:dyDescent="0.25">
      <c r="A1032" s="32">
        <v>72320</v>
      </c>
      <c r="B1032" s="14">
        <f>CHOOSE(CONTROL!$C$42, 135.8444, 135.8444) * CHOOSE(CONTROL!$C$21, $C$9, 100%, $E$9)</f>
        <v>135.84440000000001</v>
      </c>
      <c r="C1032" s="14">
        <f>CHOOSE(CONTROL!$C$42, 135.8495, 135.8495) * CHOOSE(CONTROL!$C$21, $C$9, 100%, $E$9)</f>
        <v>135.84950000000001</v>
      </c>
      <c r="D1032" s="14">
        <f>CHOOSE(CONTROL!$C$42, 135.9237, 135.9237) * CHOOSE(CONTROL!$C$21, $C$9, 100%, $E$9)</f>
        <v>135.9237</v>
      </c>
      <c r="E1032" s="14">
        <f>CHOOSE(CONTROL!$C$42, 135.9578, 135.9578) * CHOOSE(CONTROL!$C$21, $C$9, 100%, $E$9)</f>
        <v>135.95779999999999</v>
      </c>
      <c r="F1032" s="14">
        <f>CHOOSE(CONTROL!$C$42, 135.8586, 135.8586)*CHOOSE(CONTROL!$C$21, $C$9, 100%, $E$9)</f>
        <v>135.8586</v>
      </c>
      <c r="G1032" s="14">
        <f>CHOOSE(CONTROL!$C$42, 135.8758, 135.8758)*CHOOSE(CONTROL!$C$21, $C$9, 100%, $E$9)</f>
        <v>135.8758</v>
      </c>
      <c r="H1032" s="14">
        <f>CHOOSE(CONTROL!$C$42, 135.947, 135.947) * CHOOSE(CONTROL!$C$21, $C$9, 100%, $E$9)</f>
        <v>135.947</v>
      </c>
      <c r="I1032" s="14">
        <f>CHOOSE(CONTROL!$C$42, 136.2942, 136.2942)* CHOOSE(CONTROL!$C$21, $C$9, 100%, $E$9)</f>
        <v>136.29419999999999</v>
      </c>
      <c r="J1032" s="14">
        <f>CHOOSE(CONTROL!$C$42, 135.8516, 135.8516)* CHOOSE(CONTROL!$C$21, $C$9, 100%, $E$9)</f>
        <v>135.85159999999999</v>
      </c>
      <c r="K1032" s="53">
        <f>CHOOSE(CONTROL!$C$42, 136.2903, 136.2903) * CHOOSE(CONTROL!$C$21, $C$9, 100%, $E$9)</f>
        <v>136.2903</v>
      </c>
      <c r="L1032" s="14">
        <f>CHOOSE(CONTROL!$C$42, 136.534, 136.534) * CHOOSE(CONTROL!$C$21, $C$9, 100%, $E$9)</f>
        <v>136.53399999999999</v>
      </c>
      <c r="M1032" s="14">
        <f>CHOOSE(CONTROL!$C$42, 133.0758, 133.0758) * CHOOSE(CONTROL!$C$21, $C$9, 100%, $E$9)</f>
        <v>133.07579999999999</v>
      </c>
      <c r="N1032" s="14">
        <f>CHOOSE(CONTROL!$C$42, 133.0927, 133.0927) * CHOOSE(CONTROL!$C$21, $C$9, 100%, $E$9)</f>
        <v>133.09270000000001</v>
      </c>
      <c r="O1032" s="14">
        <f>CHOOSE(CONTROL!$C$42, 133.1692, 133.1692) * CHOOSE(CONTROL!$C$21, $C$9, 100%, $E$9)</f>
        <v>133.16919999999999</v>
      </c>
      <c r="P1032" s="14">
        <f>CHOOSE(CONTROL!$C$42, 133.5008, 133.5008) * CHOOSE(CONTROL!$C$21, $C$9, 100%, $E$9)</f>
        <v>133.5008</v>
      </c>
      <c r="Q1032" s="14">
        <f>CHOOSE(CONTROL!$C$42, 133.7639, 133.7639) * CHOOSE(CONTROL!$C$21, $C$9, 100%, $E$9)</f>
        <v>133.76390000000001</v>
      </c>
      <c r="R1032" s="14">
        <f>CHOOSE(CONTROL!$C$42, 134.6853, 134.6853) * CHOOSE(CONTROL!$C$21, $C$9, 100%, $E$9)</f>
        <v>134.68530000000001</v>
      </c>
      <c r="S1032" s="14">
        <f>CHOOSE(CONTROL!$C$42, 130.5244, 130.5244) * CHOOSE(CONTROL!$C$21, $C$9, 100%, $E$9)</f>
        <v>130.52440000000001</v>
      </c>
      <c r="T10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7">
        <f>(1000*CHOOSE(CONTROL!$C$42, 695, 695)*CHOOSE(CONTROL!$C$42, 0.5599, 0.5599)*CHOOSE(CONTROL!$C$42, 31, 31))/1000000</f>
        <v>12.063045499999998</v>
      </c>
      <c r="V1032" s="57">
        <f>(1000*CHOOSE(CONTROL!$C$42, 500, 500)*CHOOSE(CONTROL!$C$42, 0.275, 0.275)*CHOOSE(CONTROL!$C$42, 31, 31))/1000000</f>
        <v>4.2625000000000002</v>
      </c>
      <c r="W1032" s="57">
        <f>(1000*CHOOSE(CONTROL!$C$42, 0.1146, 0.1146)*CHOOSE(CONTROL!$C$42, 121.5, 121.5)*CHOOSE(CONTROL!$C$42, 31, 31))/1000000</f>
        <v>0.43164089999999994</v>
      </c>
      <c r="X1032" s="57">
        <f>(31*0.1790888*100000/1000000)+(31*0.2374*100000/1000000)</f>
        <v>1.2911152800000001</v>
      </c>
      <c r="Y1032" s="57"/>
      <c r="Z1032" s="14"/>
      <c r="AA1032" s="56"/>
      <c r="AB1032" s="50">
        <f>(B1032*122.58+C1032*297.941+D1032*89.177+E1032*40.302+F1032*40+G1032*160+H1032*0+I1032*100+J1032*300)/(122.58+297.941+89.177+40.302+0+40+160+100+300)</f>
        <v>135.90169867999998</v>
      </c>
      <c r="AC1032" s="45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133.18025611510791</v>
      </c>
    </row>
    <row r="1033" spans="1:29" ht="15.75" x14ac:dyDescent="0.25">
      <c r="A1033" s="32">
        <v>72351</v>
      </c>
      <c r="B1033" s="14">
        <f>CHOOSE(CONTROL!$C$42, 147.1052, 147.1052) * CHOOSE(CONTROL!$C$21, $C$9, 100%, $E$9)</f>
        <v>147.1052</v>
      </c>
      <c r="C1033" s="14">
        <f>CHOOSE(CONTROL!$C$42, 147.1103, 147.1103) * CHOOSE(CONTROL!$C$21, $C$9, 100%, $E$9)</f>
        <v>147.1103</v>
      </c>
      <c r="D1033" s="14">
        <f>CHOOSE(CONTROL!$C$42, 147.1871, 147.1871) * CHOOSE(CONTROL!$C$21, $C$9, 100%, $E$9)</f>
        <v>147.18709999999999</v>
      </c>
      <c r="E1033" s="14">
        <f>CHOOSE(CONTROL!$C$42, 147.2212, 147.2212) * CHOOSE(CONTROL!$C$21, $C$9, 100%, $E$9)</f>
        <v>147.22120000000001</v>
      </c>
      <c r="F1033" s="14">
        <f>CHOOSE(CONTROL!$C$42, 147.1054, 147.1054)*CHOOSE(CONTROL!$C$21, $C$9, 100%, $E$9)</f>
        <v>147.1054</v>
      </c>
      <c r="G1033" s="14">
        <f>CHOOSE(CONTROL!$C$42, 147.1216, 147.1216)*CHOOSE(CONTROL!$C$21, $C$9, 100%, $E$9)</f>
        <v>147.1216</v>
      </c>
      <c r="H1033" s="14">
        <f>CHOOSE(CONTROL!$C$42, 147.2104, 147.2104) * CHOOSE(CONTROL!$C$21, $C$9, 100%, $E$9)</f>
        <v>147.21039999999999</v>
      </c>
      <c r="I1033" s="14">
        <f>CHOOSE(CONTROL!$C$42, 147.584, 147.584)* CHOOSE(CONTROL!$C$21, $C$9, 100%, $E$9)</f>
        <v>147.584</v>
      </c>
      <c r="J1033" s="14">
        <f>CHOOSE(CONTROL!$C$42, 147.0984, 147.0984)* CHOOSE(CONTROL!$C$21, $C$9, 100%, $E$9)</f>
        <v>147.0984</v>
      </c>
      <c r="K1033" s="53">
        <f>CHOOSE(CONTROL!$C$42, 147.5801, 147.5801) * CHOOSE(CONTROL!$C$21, $C$9, 100%, $E$9)</f>
        <v>147.58009999999999</v>
      </c>
      <c r="L1033" s="14">
        <f>CHOOSE(CONTROL!$C$42, 147.7974, 147.7974) * CHOOSE(CONTROL!$C$21, $C$9, 100%, $E$9)</f>
        <v>147.79740000000001</v>
      </c>
      <c r="M1033" s="14">
        <f>CHOOSE(CONTROL!$C$42, 144.0922, 144.0922) * CHOOSE(CONTROL!$C$21, $C$9, 100%, $E$9)</f>
        <v>144.09219999999999</v>
      </c>
      <c r="N1033" s="14">
        <f>CHOOSE(CONTROL!$C$42, 144.1081, 144.1081) * CHOOSE(CONTROL!$C$21, $C$9, 100%, $E$9)</f>
        <v>144.10810000000001</v>
      </c>
      <c r="O1033" s="14">
        <f>CHOOSE(CONTROL!$C$42, 144.2019, 144.2019) * CHOOSE(CONTROL!$C$21, $C$9, 100%, $E$9)</f>
        <v>144.20189999999999</v>
      </c>
      <c r="P1033" s="14">
        <f>CHOOSE(CONTROL!$C$42, 144.5586, 144.5586) * CHOOSE(CONTROL!$C$21, $C$9, 100%, $E$9)</f>
        <v>144.55860000000001</v>
      </c>
      <c r="Q1033" s="14">
        <f>CHOOSE(CONTROL!$C$42, 144.7966, 144.7966) * CHOOSE(CONTROL!$C$21, $C$9, 100%, $E$9)</f>
        <v>144.79660000000001</v>
      </c>
      <c r="R1033" s="14">
        <f>CHOOSE(CONTROL!$C$42, 145.7455, 145.7455) * CHOOSE(CONTROL!$C$21, $C$9, 100%, $E$9)</f>
        <v>145.74549999999999</v>
      </c>
      <c r="S1033" s="14">
        <f>CHOOSE(CONTROL!$C$42, 141.3449, 141.3449) * CHOOSE(CONTROL!$C$21, $C$9, 100%, $E$9)</f>
        <v>141.3449</v>
      </c>
      <c r="T10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7">
        <f>(1000*CHOOSE(CONTROL!$C$42, 695, 695)*CHOOSE(CONTROL!$C$42, 0.5599, 0.5599)*CHOOSE(CONTROL!$C$42, 31, 31))/1000000</f>
        <v>12.063045499999998</v>
      </c>
      <c r="V1033" s="57">
        <f>(1000*CHOOSE(CONTROL!$C$42, 500, 500)*CHOOSE(CONTROL!$C$42, 0.275, 0.275)*CHOOSE(CONTROL!$C$42, 31, 31))/1000000</f>
        <v>4.2625000000000002</v>
      </c>
      <c r="W1033" s="57">
        <f>(1000*CHOOSE(CONTROL!$C$42, 0.1146, 0.1146)*CHOOSE(CONTROL!$C$42, 121.5, 121.5)*CHOOSE(CONTROL!$C$42, 31, 31))/1000000</f>
        <v>0.43164089999999994</v>
      </c>
      <c r="X1033" s="57">
        <f>(31*0.1790888*100000/1000000)+(31*0.2374*100000/1000000)</f>
        <v>1.2911152800000001</v>
      </c>
      <c r="Y1033" s="57"/>
      <c r="Z1033" s="14"/>
      <c r="AA1033" s="56"/>
      <c r="AB1033" s="50">
        <f>(B1033*122.58+C1033*297.941+D1033*89.177+E1033*40.302+F1033*40+G1033*160+H1033*0+I1033*100+J1033*300)/(122.58+297.941+89.177+40.302+0+40+160+100+300)</f>
        <v>147.15908706730431</v>
      </c>
      <c r="AC1033" s="45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144.20994316546762</v>
      </c>
    </row>
    <row r="1034" spans="1:29" ht="15.75" x14ac:dyDescent="0.25">
      <c r="A1034" s="32">
        <v>72379</v>
      </c>
      <c r="B1034" s="14">
        <f>CHOOSE(CONTROL!$C$42, 149.7237, 149.7237) * CHOOSE(CONTROL!$C$21, $C$9, 100%, $E$9)</f>
        <v>149.72370000000001</v>
      </c>
      <c r="C1034" s="14">
        <f>CHOOSE(CONTROL!$C$42, 149.7288, 149.7288) * CHOOSE(CONTROL!$C$21, $C$9, 100%, $E$9)</f>
        <v>149.72880000000001</v>
      </c>
      <c r="D1034" s="14">
        <f>CHOOSE(CONTROL!$C$42, 149.8056, 149.8056) * CHOOSE(CONTROL!$C$21, $C$9, 100%, $E$9)</f>
        <v>149.8056</v>
      </c>
      <c r="E1034" s="14">
        <f>CHOOSE(CONTROL!$C$42, 149.8397, 149.8397) * CHOOSE(CONTROL!$C$21, $C$9, 100%, $E$9)</f>
        <v>149.83969999999999</v>
      </c>
      <c r="F1034" s="14">
        <f>CHOOSE(CONTROL!$C$42, 149.724, 149.724)*CHOOSE(CONTROL!$C$21, $C$9, 100%, $E$9)</f>
        <v>149.72399999999999</v>
      </c>
      <c r="G1034" s="14">
        <f>CHOOSE(CONTROL!$C$42, 149.7402, 149.7402)*CHOOSE(CONTROL!$C$21, $C$9, 100%, $E$9)</f>
        <v>149.74019999999999</v>
      </c>
      <c r="H1034" s="14">
        <f>CHOOSE(CONTROL!$C$42, 149.8289, 149.8289) * CHOOSE(CONTROL!$C$21, $C$9, 100%, $E$9)</f>
        <v>149.8289</v>
      </c>
      <c r="I1034" s="14">
        <f>CHOOSE(CONTROL!$C$42, 150.2107, 150.2107)* CHOOSE(CONTROL!$C$21, $C$9, 100%, $E$9)</f>
        <v>150.2107</v>
      </c>
      <c r="J1034" s="14">
        <f>CHOOSE(CONTROL!$C$42, 149.717, 149.717)* CHOOSE(CONTROL!$C$21, $C$9, 100%, $E$9)</f>
        <v>149.71700000000001</v>
      </c>
      <c r="K1034" s="53">
        <f>CHOOSE(CONTROL!$C$42, 150.2068, 150.2068) * CHOOSE(CONTROL!$C$21, $C$9, 100%, $E$9)</f>
        <v>150.20679999999999</v>
      </c>
      <c r="L1034" s="14">
        <f>CHOOSE(CONTROL!$C$42, 150.4159, 150.4159) * CHOOSE(CONTROL!$C$21, $C$9, 100%, $E$9)</f>
        <v>150.41589999999999</v>
      </c>
      <c r="M1034" s="14">
        <f>CHOOSE(CONTROL!$C$42, 146.6571, 146.6571) * CHOOSE(CONTROL!$C$21, $C$9, 100%, $E$9)</f>
        <v>146.65710000000001</v>
      </c>
      <c r="N1034" s="14">
        <f>CHOOSE(CONTROL!$C$42, 146.673, 146.673) * CHOOSE(CONTROL!$C$21, $C$9, 100%, $E$9)</f>
        <v>146.673</v>
      </c>
      <c r="O1034" s="14">
        <f>CHOOSE(CONTROL!$C$42, 146.7667, 146.7667) * CHOOSE(CONTROL!$C$21, $C$9, 100%, $E$9)</f>
        <v>146.76669999999999</v>
      </c>
      <c r="P1034" s="14">
        <f>CHOOSE(CONTROL!$C$42, 147.1313, 147.1313) * CHOOSE(CONTROL!$C$21, $C$9, 100%, $E$9)</f>
        <v>147.13130000000001</v>
      </c>
      <c r="Q1034" s="14">
        <f>CHOOSE(CONTROL!$C$42, 147.3614, 147.3614) * CHOOSE(CONTROL!$C$21, $C$9, 100%, $E$9)</f>
        <v>147.3614</v>
      </c>
      <c r="R1034" s="14">
        <f>CHOOSE(CONTROL!$C$42, 148.3168, 148.3168) * CHOOSE(CONTROL!$C$21, $C$9, 100%, $E$9)</f>
        <v>148.3168</v>
      </c>
      <c r="S1034" s="14">
        <f>CHOOSE(CONTROL!$C$42, 143.861, 143.861) * CHOOSE(CONTROL!$C$21, $C$9, 100%, $E$9)</f>
        <v>143.86099999999999</v>
      </c>
      <c r="T10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7">
        <f>(1000*CHOOSE(CONTROL!$C$42, 695, 695)*CHOOSE(CONTROL!$C$42, 0.5599, 0.5599)*CHOOSE(CONTROL!$C$42, 28, 28))/1000000</f>
        <v>10.895653999999999</v>
      </c>
      <c r="V1034" s="57">
        <f>(1000*CHOOSE(CONTROL!$C$42, 500, 500)*CHOOSE(CONTROL!$C$42, 0.275, 0.275)*CHOOSE(CONTROL!$C$42, 28, 28))/1000000</f>
        <v>3.85</v>
      </c>
      <c r="W1034" s="57">
        <f>(1000*CHOOSE(CONTROL!$C$42, 0.1146, 0.1146)*CHOOSE(CONTROL!$C$42, 121.5, 121.5)*CHOOSE(CONTROL!$C$42, 28, 28))/1000000</f>
        <v>0.38986920000000003</v>
      </c>
      <c r="X1034" s="57">
        <f>(28*0.1790888*100000/1000000)+(28*0.2374*100000/1000000)</f>
        <v>1.16616864</v>
      </c>
      <c r="Y1034" s="57"/>
      <c r="Z1034" s="14"/>
      <c r="AA1034" s="56"/>
      <c r="AB1034" s="50">
        <f>(B1034*122.58+C1034*297.941+D1034*89.177+E1034*40.302+F1034*40+G1034*160+H1034*0+I1034*100+J1034*300)/(122.58+297.941+89.177+40.302+0+40+160+100+300)</f>
        <v>149.77834358904349</v>
      </c>
      <c r="AC1034" s="45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146.77592014388489</v>
      </c>
    </row>
    <row r="1035" spans="1:29" ht="15.75" x14ac:dyDescent="0.25">
      <c r="A1035" s="32">
        <v>72410</v>
      </c>
      <c r="B1035" s="14">
        <f>CHOOSE(CONTROL!$C$42, 145.4732, 145.4732) * CHOOSE(CONTROL!$C$21, $C$9, 100%, $E$9)</f>
        <v>145.47319999999999</v>
      </c>
      <c r="C1035" s="14">
        <f>CHOOSE(CONTROL!$C$42, 145.4783, 145.4783) * CHOOSE(CONTROL!$C$21, $C$9, 100%, $E$9)</f>
        <v>145.47829999999999</v>
      </c>
      <c r="D1035" s="14">
        <f>CHOOSE(CONTROL!$C$42, 145.5551, 145.5551) * CHOOSE(CONTROL!$C$21, $C$9, 100%, $E$9)</f>
        <v>145.55510000000001</v>
      </c>
      <c r="E1035" s="14">
        <f>CHOOSE(CONTROL!$C$42, 145.5892, 145.5892) * CHOOSE(CONTROL!$C$21, $C$9, 100%, $E$9)</f>
        <v>145.58920000000001</v>
      </c>
      <c r="F1035" s="14">
        <f>CHOOSE(CONTROL!$C$42, 145.473, 145.473)*CHOOSE(CONTROL!$C$21, $C$9, 100%, $E$9)</f>
        <v>145.47300000000001</v>
      </c>
      <c r="G1035" s="14">
        <f>CHOOSE(CONTROL!$C$42, 145.4891, 145.4891)*CHOOSE(CONTROL!$C$21, $C$9, 100%, $E$9)</f>
        <v>145.48910000000001</v>
      </c>
      <c r="H1035" s="14">
        <f>CHOOSE(CONTROL!$C$42, 145.5784, 145.5784) * CHOOSE(CONTROL!$C$21, $C$9, 100%, $E$9)</f>
        <v>145.57839999999999</v>
      </c>
      <c r="I1035" s="14">
        <f>CHOOSE(CONTROL!$C$42, 145.9469, 145.9469)* CHOOSE(CONTROL!$C$21, $C$9, 100%, $E$9)</f>
        <v>145.9469</v>
      </c>
      <c r="J1035" s="14">
        <f>CHOOSE(CONTROL!$C$42, 145.466, 145.466)* CHOOSE(CONTROL!$C$21, $C$9, 100%, $E$9)</f>
        <v>145.46600000000001</v>
      </c>
      <c r="K1035" s="53">
        <f>CHOOSE(CONTROL!$C$42, 145.943, 145.943) * CHOOSE(CONTROL!$C$21, $C$9, 100%, $E$9)</f>
        <v>145.94300000000001</v>
      </c>
      <c r="L1035" s="14">
        <f>CHOOSE(CONTROL!$C$42, 146.1654, 146.1654) * CHOOSE(CONTROL!$C$21, $C$9, 100%, $E$9)</f>
        <v>146.16540000000001</v>
      </c>
      <c r="M1035" s="14">
        <f>CHOOSE(CONTROL!$C$42, 142.4932, 142.4932) * CHOOSE(CONTROL!$C$21, $C$9, 100%, $E$9)</f>
        <v>142.4932</v>
      </c>
      <c r="N1035" s="14">
        <f>CHOOSE(CONTROL!$C$42, 142.509, 142.509) * CHOOSE(CONTROL!$C$21, $C$9, 100%, $E$9)</f>
        <v>142.50899999999999</v>
      </c>
      <c r="O1035" s="14">
        <f>CHOOSE(CONTROL!$C$42, 142.6033, 142.6033) * CHOOSE(CONTROL!$C$21, $C$9, 100%, $E$9)</f>
        <v>142.60329999999999</v>
      </c>
      <c r="P1035" s="14">
        <f>CHOOSE(CONTROL!$C$42, 142.9552, 142.9552) * CHOOSE(CONTROL!$C$21, $C$9, 100%, $E$9)</f>
        <v>142.95519999999999</v>
      </c>
      <c r="Q1035" s="14">
        <f>CHOOSE(CONTROL!$C$42, 143.198, 143.198) * CHOOSE(CONTROL!$C$21, $C$9, 100%, $E$9)</f>
        <v>143.19800000000001</v>
      </c>
      <c r="R1035" s="14">
        <f>CHOOSE(CONTROL!$C$42, 144.143, 144.143) * CHOOSE(CONTROL!$C$21, $C$9, 100%, $E$9)</f>
        <v>144.143</v>
      </c>
      <c r="S1035" s="14">
        <f>CHOOSE(CONTROL!$C$42, 139.7767, 139.7767) * CHOOSE(CONTROL!$C$21, $C$9, 100%, $E$9)</f>
        <v>139.77670000000001</v>
      </c>
      <c r="T10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7">
        <f>(1000*CHOOSE(CONTROL!$C$42, 695, 695)*CHOOSE(CONTROL!$C$42, 0.5599, 0.5599)*CHOOSE(CONTROL!$C$42, 31, 31))/1000000</f>
        <v>12.063045499999998</v>
      </c>
      <c r="V1035" s="57">
        <f>(1000*CHOOSE(CONTROL!$C$42, 500, 500)*CHOOSE(CONTROL!$C$42, 0.275, 0.275)*CHOOSE(CONTROL!$C$42, 31, 31))/1000000</f>
        <v>4.2625000000000002</v>
      </c>
      <c r="W1035" s="57">
        <f>(1000*CHOOSE(CONTROL!$C$42, 0.1146, 0.1146)*CHOOSE(CONTROL!$C$42, 121.5, 121.5)*CHOOSE(CONTROL!$C$42, 31, 31))/1000000</f>
        <v>0.43164089999999994</v>
      </c>
      <c r="X1035" s="57">
        <f>(31*0.1790888*100000/1000000)+(31*0.2374*100000/1000000)</f>
        <v>1.2911152800000001</v>
      </c>
      <c r="Y1035" s="57"/>
      <c r="Z1035" s="14"/>
      <c r="AA1035" s="56"/>
      <c r="AB1035" s="50">
        <f>(B1035*122.58+C1035*297.941+D1035*89.177+E1035*40.302+F1035*40+G1035*160+H1035*0+I1035*100+J1035*300)/(122.58+297.941+89.177+40.302+0+40+160+100+300)</f>
        <v>145.52645576295652</v>
      </c>
      <c r="AC1035" s="45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142.6104856115108</v>
      </c>
    </row>
    <row r="1036" spans="1:29" ht="15.75" x14ac:dyDescent="0.25">
      <c r="A1036" s="32">
        <v>72440</v>
      </c>
      <c r="B1036" s="14">
        <f>CHOOSE(CONTROL!$C$42, 145.0389, 145.0389) * CHOOSE(CONTROL!$C$21, $C$9, 100%, $E$9)</f>
        <v>145.03890000000001</v>
      </c>
      <c r="C1036" s="14">
        <f>CHOOSE(CONTROL!$C$42, 145.0434, 145.0434) * CHOOSE(CONTROL!$C$21, $C$9, 100%, $E$9)</f>
        <v>145.04339999999999</v>
      </c>
      <c r="D1036" s="14">
        <f>CHOOSE(CONTROL!$C$42, 145.2802, 145.2802) * CHOOSE(CONTROL!$C$21, $C$9, 100%, $E$9)</f>
        <v>145.28020000000001</v>
      </c>
      <c r="E1036" s="14">
        <f>CHOOSE(CONTROL!$C$42, 145.3123, 145.3123) * CHOOSE(CONTROL!$C$21, $C$9, 100%, $E$9)</f>
        <v>145.31229999999999</v>
      </c>
      <c r="F1036" s="14">
        <f>CHOOSE(CONTROL!$C$42, 145.0369, 145.0369)*CHOOSE(CONTROL!$C$21, $C$9, 100%, $E$9)</f>
        <v>145.0369</v>
      </c>
      <c r="G1036" s="14">
        <f>CHOOSE(CONTROL!$C$42, 145.0527, 145.0527)*CHOOSE(CONTROL!$C$21, $C$9, 100%, $E$9)</f>
        <v>145.05269999999999</v>
      </c>
      <c r="H1036" s="14">
        <f>CHOOSE(CONTROL!$C$42, 145.302, 145.302) * CHOOSE(CONTROL!$C$21, $C$9, 100%, $E$9)</f>
        <v>145.30199999999999</v>
      </c>
      <c r="I1036" s="14">
        <f>CHOOSE(CONTROL!$C$42, 145.5105, 145.5105)* CHOOSE(CONTROL!$C$21, $C$9, 100%, $E$9)</f>
        <v>145.51050000000001</v>
      </c>
      <c r="J1036" s="14">
        <f>CHOOSE(CONTROL!$C$42, 145.0299, 145.0299)* CHOOSE(CONTROL!$C$21, $C$9, 100%, $E$9)</f>
        <v>145.0299</v>
      </c>
      <c r="K1036" s="53">
        <f>CHOOSE(CONTROL!$C$42, 145.5066, 145.5066) * CHOOSE(CONTROL!$C$21, $C$9, 100%, $E$9)</f>
        <v>145.50659999999999</v>
      </c>
      <c r="L1036" s="14">
        <f>CHOOSE(CONTROL!$C$42, 145.889, 145.889) * CHOOSE(CONTROL!$C$21, $C$9, 100%, $E$9)</f>
        <v>145.88900000000001</v>
      </c>
      <c r="M1036" s="14">
        <f>CHOOSE(CONTROL!$C$42, 142.066, 142.066) * CHOOSE(CONTROL!$C$21, $C$9, 100%, $E$9)</f>
        <v>142.066</v>
      </c>
      <c r="N1036" s="14">
        <f>CHOOSE(CONTROL!$C$42, 142.0815, 142.0815) * CHOOSE(CONTROL!$C$21, $C$9, 100%, $E$9)</f>
        <v>142.08150000000001</v>
      </c>
      <c r="O1036" s="14">
        <f>CHOOSE(CONTROL!$C$42, 142.3326, 142.3326) * CHOOSE(CONTROL!$C$21, $C$9, 100%, $E$9)</f>
        <v>142.33260000000001</v>
      </c>
      <c r="P1036" s="14">
        <f>CHOOSE(CONTROL!$C$42, 142.5277, 142.5277) * CHOOSE(CONTROL!$C$21, $C$9, 100%, $E$9)</f>
        <v>142.52770000000001</v>
      </c>
      <c r="Q1036" s="14">
        <f>CHOOSE(CONTROL!$C$42, 142.9273, 142.9273) * CHOOSE(CONTROL!$C$21, $C$9, 100%, $E$9)</f>
        <v>142.9273</v>
      </c>
      <c r="R1036" s="14">
        <f>CHOOSE(CONTROL!$C$42, 143.8716, 143.8716) * CHOOSE(CONTROL!$C$21, $C$9, 100%, $E$9)</f>
        <v>143.8716</v>
      </c>
      <c r="S1036" s="14">
        <f>CHOOSE(CONTROL!$C$42, 139.3586, 139.3586) * CHOOSE(CONTROL!$C$21, $C$9, 100%, $E$9)</f>
        <v>139.3586</v>
      </c>
      <c r="T10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7">
        <f>(1000*CHOOSE(CONTROL!$C$42, 695, 695)*CHOOSE(CONTROL!$C$42, 0.5599, 0.5599)*CHOOSE(CONTROL!$C$42, 30, 30))/1000000</f>
        <v>11.673914999999997</v>
      </c>
      <c r="V1036" s="57">
        <f>(1000*CHOOSE(CONTROL!$C$42, 500, 500)*CHOOSE(CONTROL!$C$42, 0.275, 0.275)*CHOOSE(CONTROL!$C$42, 30, 30))/1000000</f>
        <v>4.125</v>
      </c>
      <c r="W1036" s="57">
        <f>(1000*CHOOSE(CONTROL!$C$42, 0.1146, 0.1146)*CHOOSE(CONTROL!$C$42, 121.5, 121.5)*CHOOSE(CONTROL!$C$42, 30, 30))/1000000</f>
        <v>0.417717</v>
      </c>
      <c r="X1036" s="57">
        <f>(30*0.1790888*245000/1000000)+(30*0.2374*100000/1000000)</f>
        <v>2.0285026799999999</v>
      </c>
      <c r="Y1036" s="57"/>
      <c r="Z1036" s="14"/>
      <c r="AA1036" s="56"/>
      <c r="AB1036" s="50">
        <f>(B1036*141.293+C1036*267.993+D1036*115.016+E1036*89.698+F1036*40+G1036*185+H1036*0+I1036*100+J1036*300)/(141.293+267.993+115.016+89.698+0+40+185+100+300)</f>
        <v>145.11994581315577</v>
      </c>
      <c r="AC1036" s="45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142.25415683453238</v>
      </c>
    </row>
    <row r="1037" spans="1:29" ht="15.75" x14ac:dyDescent="0.25">
      <c r="A1037" s="32">
        <v>72471</v>
      </c>
      <c r="B1037" s="14">
        <f>CHOOSE(CONTROL!$C$42, 146.3204, 146.3204) * CHOOSE(CONTROL!$C$21, $C$9, 100%, $E$9)</f>
        <v>146.32040000000001</v>
      </c>
      <c r="C1037" s="14">
        <f>CHOOSE(CONTROL!$C$42, 146.3284, 146.3284) * CHOOSE(CONTROL!$C$21, $C$9, 100%, $E$9)</f>
        <v>146.32839999999999</v>
      </c>
      <c r="D1037" s="14">
        <f>CHOOSE(CONTROL!$C$42, 146.562, 146.562) * CHOOSE(CONTROL!$C$21, $C$9, 100%, $E$9)</f>
        <v>146.56200000000001</v>
      </c>
      <c r="E1037" s="14">
        <f>CHOOSE(CONTROL!$C$42, 146.5935, 146.5935) * CHOOSE(CONTROL!$C$21, $C$9, 100%, $E$9)</f>
        <v>146.59350000000001</v>
      </c>
      <c r="F1037" s="14">
        <f>CHOOSE(CONTROL!$C$42, 146.3171, 146.3171)*CHOOSE(CONTROL!$C$21, $C$9, 100%, $E$9)</f>
        <v>146.31710000000001</v>
      </c>
      <c r="G1037" s="14">
        <f>CHOOSE(CONTROL!$C$42, 146.3335, 146.3335)*CHOOSE(CONTROL!$C$21, $C$9, 100%, $E$9)</f>
        <v>146.33349999999999</v>
      </c>
      <c r="H1037" s="14">
        <f>CHOOSE(CONTROL!$C$42, 146.5821, 146.5821) * CHOOSE(CONTROL!$C$21, $C$9, 100%, $E$9)</f>
        <v>146.5821</v>
      </c>
      <c r="I1037" s="14">
        <f>CHOOSE(CONTROL!$C$42, 146.7945, 146.7945)* CHOOSE(CONTROL!$C$21, $C$9, 100%, $E$9)</f>
        <v>146.7945</v>
      </c>
      <c r="J1037" s="14">
        <f>CHOOSE(CONTROL!$C$42, 146.3101, 146.3101)* CHOOSE(CONTROL!$C$21, $C$9, 100%, $E$9)</f>
        <v>146.31010000000001</v>
      </c>
      <c r="K1037" s="53">
        <f>CHOOSE(CONTROL!$C$42, 146.7906, 146.7906) * CHOOSE(CONTROL!$C$21, $C$9, 100%, $E$9)</f>
        <v>146.79060000000001</v>
      </c>
      <c r="L1037" s="14">
        <f>CHOOSE(CONTROL!$C$42, 147.1691, 147.1691) * CHOOSE(CONTROL!$C$21, $C$9, 100%, $E$9)</f>
        <v>147.16909999999999</v>
      </c>
      <c r="M1037" s="14">
        <f>CHOOSE(CONTROL!$C$42, 143.32, 143.32) * CHOOSE(CONTROL!$C$21, $C$9, 100%, $E$9)</f>
        <v>143.32</v>
      </c>
      <c r="N1037" s="14">
        <f>CHOOSE(CONTROL!$C$42, 143.3361, 143.3361) * CHOOSE(CONTROL!$C$21, $C$9, 100%, $E$9)</f>
        <v>143.33609999999999</v>
      </c>
      <c r="O1037" s="14">
        <f>CHOOSE(CONTROL!$C$42, 143.5864, 143.5864) * CHOOSE(CONTROL!$C$21, $C$9, 100%, $E$9)</f>
        <v>143.5864</v>
      </c>
      <c r="P1037" s="14">
        <f>CHOOSE(CONTROL!$C$42, 143.7853, 143.7853) * CHOOSE(CONTROL!$C$21, $C$9, 100%, $E$9)</f>
        <v>143.78530000000001</v>
      </c>
      <c r="Q1037" s="14">
        <f>CHOOSE(CONTROL!$C$42, 144.1811, 144.1811) * CHOOSE(CONTROL!$C$21, $C$9, 100%, $E$9)</f>
        <v>144.18109999999999</v>
      </c>
      <c r="R1037" s="14">
        <f>CHOOSE(CONTROL!$C$42, 145.1286, 145.1286) * CHOOSE(CONTROL!$C$21, $C$9, 100%, $E$9)</f>
        <v>145.12860000000001</v>
      </c>
      <c r="S1037" s="14">
        <f>CHOOSE(CONTROL!$C$42, 140.5886, 140.5886) * CHOOSE(CONTROL!$C$21, $C$9, 100%, $E$9)</f>
        <v>140.58860000000001</v>
      </c>
      <c r="T10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7">
        <f>(1000*CHOOSE(CONTROL!$C$42, 695, 695)*CHOOSE(CONTROL!$C$42, 0.5599, 0.5599)*CHOOSE(CONTROL!$C$42, 31, 31))/1000000</f>
        <v>12.063045499999998</v>
      </c>
      <c r="V1037" s="57">
        <f>(1000*CHOOSE(CONTROL!$C$42, 500, 500)*CHOOSE(CONTROL!$C$42, 0.275, 0.275)*CHOOSE(CONTROL!$C$42, 31, 31))/1000000</f>
        <v>4.2625000000000002</v>
      </c>
      <c r="W1037" s="57">
        <f>(1000*CHOOSE(CONTROL!$C$42, 0.1146, 0.1146)*CHOOSE(CONTROL!$C$42, 121.5, 121.5)*CHOOSE(CONTROL!$C$42, 31, 31))/1000000</f>
        <v>0.43164089999999994</v>
      </c>
      <c r="X1037" s="57">
        <f>(31*0.1790888*245000/1000000)+(31*0.2374*100000/1000000)</f>
        <v>2.0961194359999999</v>
      </c>
      <c r="Y1037" s="57"/>
      <c r="Z1037" s="14"/>
      <c r="AA1037" s="56"/>
      <c r="AB1037" s="50">
        <f>(B1037*194.205+C1037*267.466+D1037*133.845+E1037*53.484+F1037*40+G1037*185+H1037*0+I1037*100+J1037*300)/(194.205+267.466+133.845+53.484+0+40+185+100+300)</f>
        <v>146.39551354819466</v>
      </c>
      <c r="AC1037" s="45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143.50861870503596</v>
      </c>
    </row>
    <row r="1038" spans="1:29" ht="15.75" x14ac:dyDescent="0.25">
      <c r="A1038" s="32">
        <v>72501</v>
      </c>
      <c r="B1038" s="14">
        <f>CHOOSE(CONTROL!$C$42, 150.4706, 150.4706) * CHOOSE(CONTROL!$C$21, $C$9, 100%, $E$9)</f>
        <v>150.47059999999999</v>
      </c>
      <c r="C1038" s="14">
        <f>CHOOSE(CONTROL!$C$42, 150.4786, 150.4786) * CHOOSE(CONTROL!$C$21, $C$9, 100%, $E$9)</f>
        <v>150.4786</v>
      </c>
      <c r="D1038" s="14">
        <f>CHOOSE(CONTROL!$C$42, 150.7122, 150.7122) * CHOOSE(CONTROL!$C$21, $C$9, 100%, $E$9)</f>
        <v>150.7122</v>
      </c>
      <c r="E1038" s="14">
        <f>CHOOSE(CONTROL!$C$42, 150.7437, 150.7437) * CHOOSE(CONTROL!$C$21, $C$9, 100%, $E$9)</f>
        <v>150.74369999999999</v>
      </c>
      <c r="F1038" s="14">
        <f>CHOOSE(CONTROL!$C$42, 150.4679, 150.4679)*CHOOSE(CONTROL!$C$21, $C$9, 100%, $E$9)</f>
        <v>150.46789999999999</v>
      </c>
      <c r="G1038" s="14">
        <f>CHOOSE(CONTROL!$C$42, 150.4843, 150.4843)*CHOOSE(CONTROL!$C$21, $C$9, 100%, $E$9)</f>
        <v>150.48429999999999</v>
      </c>
      <c r="H1038" s="14">
        <f>CHOOSE(CONTROL!$C$42, 150.7323, 150.7323) * CHOOSE(CONTROL!$C$21, $C$9, 100%, $E$9)</f>
        <v>150.73230000000001</v>
      </c>
      <c r="I1038" s="14">
        <f>CHOOSE(CONTROL!$C$42, 150.9577, 150.9577)* CHOOSE(CONTROL!$C$21, $C$9, 100%, $E$9)</f>
        <v>150.95769999999999</v>
      </c>
      <c r="J1038" s="14">
        <f>CHOOSE(CONTROL!$C$42, 150.4609, 150.4609)* CHOOSE(CONTROL!$C$21, $C$9, 100%, $E$9)</f>
        <v>150.46090000000001</v>
      </c>
      <c r="K1038" s="53">
        <f>CHOOSE(CONTROL!$C$42, 150.9539, 150.9539) * CHOOSE(CONTROL!$C$21, $C$9, 100%, $E$9)</f>
        <v>150.9539</v>
      </c>
      <c r="L1038" s="14">
        <f>CHOOSE(CONTROL!$C$42, 151.3193, 151.3193) * CHOOSE(CONTROL!$C$21, $C$9, 100%, $E$9)</f>
        <v>151.3193</v>
      </c>
      <c r="M1038" s="14">
        <f>CHOOSE(CONTROL!$C$42, 147.3857, 147.3857) * CHOOSE(CONTROL!$C$21, $C$9, 100%, $E$9)</f>
        <v>147.38570000000001</v>
      </c>
      <c r="N1038" s="14">
        <f>CHOOSE(CONTROL!$C$42, 147.4019, 147.4019) * CHOOSE(CONTROL!$C$21, $C$9, 100%, $E$9)</f>
        <v>147.40190000000001</v>
      </c>
      <c r="O1038" s="14">
        <f>CHOOSE(CONTROL!$C$42, 147.6516, 147.6516) * CHOOSE(CONTROL!$C$21, $C$9, 100%, $E$9)</f>
        <v>147.6516</v>
      </c>
      <c r="P1038" s="14">
        <f>CHOOSE(CONTROL!$C$42, 147.863, 147.863) * CHOOSE(CONTROL!$C$21, $C$9, 100%, $E$9)</f>
        <v>147.863</v>
      </c>
      <c r="Q1038" s="14">
        <f>CHOOSE(CONTROL!$C$42, 148.2463, 148.2463) * CHOOSE(CONTROL!$C$21, $C$9, 100%, $E$9)</f>
        <v>148.24629999999999</v>
      </c>
      <c r="R1038" s="14">
        <f>CHOOSE(CONTROL!$C$42, 149.2039, 149.2039) * CHOOSE(CONTROL!$C$21, $C$9, 100%, $E$9)</f>
        <v>149.2039</v>
      </c>
      <c r="S1038" s="14">
        <f>CHOOSE(CONTROL!$C$42, 144.5766, 144.5766) * CHOOSE(CONTROL!$C$21, $C$9, 100%, $E$9)</f>
        <v>144.57660000000001</v>
      </c>
      <c r="T10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7">
        <f>(1000*CHOOSE(CONTROL!$C$42, 695, 695)*CHOOSE(CONTROL!$C$42, 0.5599, 0.5599)*CHOOSE(CONTROL!$C$42, 30, 30))/1000000</f>
        <v>11.673914999999997</v>
      </c>
      <c r="V1038" s="57">
        <f>(1000*CHOOSE(CONTROL!$C$42, 500, 500)*CHOOSE(CONTROL!$C$42, 0.275, 0.275)*CHOOSE(CONTROL!$C$42, 30, 30))/1000000</f>
        <v>4.125</v>
      </c>
      <c r="W1038" s="57">
        <f>(1000*CHOOSE(CONTROL!$C$42, 0.1146, 0.1146)*CHOOSE(CONTROL!$C$42, 121.5, 121.5)*CHOOSE(CONTROL!$C$42, 30, 30))/1000000</f>
        <v>0.417717</v>
      </c>
      <c r="X1038" s="57">
        <f>(30*0.1790888*245000/1000000)+(30*0.2374*100000/1000000)</f>
        <v>2.0285026799999999</v>
      </c>
      <c r="Y1038" s="57"/>
      <c r="Z1038" s="14"/>
      <c r="AA1038" s="56"/>
      <c r="AB1038" s="50">
        <f>(B1038*194.205+C1038*267.466+D1038*133.845+E1038*53.484+F1038*40+G1038*185+H1038*0+I1038*100+J1038*300)/(194.205+267.466+133.845+53.484+0+40+185+100+300)</f>
        <v>150.54698120910518</v>
      </c>
      <c r="AC1038" s="45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147.57582446043168</v>
      </c>
    </row>
    <row r="1039" spans="1:29" ht="15.75" x14ac:dyDescent="0.25">
      <c r="A1039" s="32">
        <v>72532</v>
      </c>
      <c r="B1039" s="14">
        <f>CHOOSE(CONTROL!$C$42, 147.5841, 147.5841) * CHOOSE(CONTROL!$C$21, $C$9, 100%, $E$9)</f>
        <v>147.58410000000001</v>
      </c>
      <c r="C1039" s="14">
        <f>CHOOSE(CONTROL!$C$42, 147.5921, 147.5921) * CHOOSE(CONTROL!$C$21, $C$9, 100%, $E$9)</f>
        <v>147.59209999999999</v>
      </c>
      <c r="D1039" s="14">
        <f>CHOOSE(CONTROL!$C$42, 147.8257, 147.8257) * CHOOSE(CONTROL!$C$21, $C$9, 100%, $E$9)</f>
        <v>147.82570000000001</v>
      </c>
      <c r="E1039" s="14">
        <f>CHOOSE(CONTROL!$C$42, 147.8572, 147.8572) * CHOOSE(CONTROL!$C$21, $C$9, 100%, $E$9)</f>
        <v>147.85720000000001</v>
      </c>
      <c r="F1039" s="14">
        <f>CHOOSE(CONTROL!$C$42, 147.5819, 147.5819)*CHOOSE(CONTROL!$C$21, $C$9, 100%, $E$9)</f>
        <v>147.58189999999999</v>
      </c>
      <c r="G1039" s="14">
        <f>CHOOSE(CONTROL!$C$42, 147.5985, 147.5985)*CHOOSE(CONTROL!$C$21, $C$9, 100%, $E$9)</f>
        <v>147.5985</v>
      </c>
      <c r="H1039" s="14">
        <f>CHOOSE(CONTROL!$C$42, 147.8458, 147.8458) * CHOOSE(CONTROL!$C$21, $C$9, 100%, $E$9)</f>
        <v>147.8458</v>
      </c>
      <c r="I1039" s="14">
        <f>CHOOSE(CONTROL!$C$42, 148.0622, 148.0622)* CHOOSE(CONTROL!$C$21, $C$9, 100%, $E$9)</f>
        <v>148.06219999999999</v>
      </c>
      <c r="J1039" s="14">
        <f>CHOOSE(CONTROL!$C$42, 147.5749, 147.5749)* CHOOSE(CONTROL!$C$21, $C$9, 100%, $E$9)</f>
        <v>147.57490000000001</v>
      </c>
      <c r="K1039" s="53">
        <f>CHOOSE(CONTROL!$C$42, 148.0583, 148.0583) * CHOOSE(CONTROL!$C$21, $C$9, 100%, $E$9)</f>
        <v>148.0583</v>
      </c>
      <c r="L1039" s="14">
        <f>CHOOSE(CONTROL!$C$42, 148.4328, 148.4328) * CHOOSE(CONTROL!$C$21, $C$9, 100%, $E$9)</f>
        <v>148.43279999999999</v>
      </c>
      <c r="M1039" s="14">
        <f>CHOOSE(CONTROL!$C$42, 144.5589, 144.5589) * CHOOSE(CONTROL!$C$21, $C$9, 100%, $E$9)</f>
        <v>144.55889999999999</v>
      </c>
      <c r="N1039" s="14">
        <f>CHOOSE(CONTROL!$C$42, 144.5751, 144.5751) * CHOOSE(CONTROL!$C$21, $C$9, 100%, $E$9)</f>
        <v>144.57509999999999</v>
      </c>
      <c r="O1039" s="14">
        <f>CHOOSE(CONTROL!$C$42, 144.8242, 144.8242) * CHOOSE(CONTROL!$C$21, $C$9, 100%, $E$9)</f>
        <v>144.82419999999999</v>
      </c>
      <c r="P1039" s="14">
        <f>CHOOSE(CONTROL!$C$42, 145.027, 145.027) * CHOOSE(CONTROL!$C$21, $C$9, 100%, $E$9)</f>
        <v>145.02699999999999</v>
      </c>
      <c r="Q1039" s="14">
        <f>CHOOSE(CONTROL!$C$42, 145.4189, 145.4189) * CHOOSE(CONTROL!$C$21, $C$9, 100%, $E$9)</f>
        <v>145.41890000000001</v>
      </c>
      <c r="R1039" s="14">
        <f>CHOOSE(CONTROL!$C$42, 146.3695, 146.3695) * CHOOSE(CONTROL!$C$21, $C$9, 100%, $E$9)</f>
        <v>146.36949999999999</v>
      </c>
      <c r="S1039" s="14">
        <f>CHOOSE(CONTROL!$C$42, 141.8029, 141.8029) * CHOOSE(CONTROL!$C$21, $C$9, 100%, $E$9)</f>
        <v>141.80289999999999</v>
      </c>
      <c r="T10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7">
        <f>(1000*CHOOSE(CONTROL!$C$42, 695, 695)*CHOOSE(CONTROL!$C$42, 0.5599, 0.5599)*CHOOSE(CONTROL!$C$42, 31, 31))/1000000</f>
        <v>12.063045499999998</v>
      </c>
      <c r="V1039" s="57">
        <f>(1000*CHOOSE(CONTROL!$C$42, 500, 500)*CHOOSE(CONTROL!$C$42, 0.275, 0.275)*CHOOSE(CONTROL!$C$42, 31, 31))/1000000</f>
        <v>4.2625000000000002</v>
      </c>
      <c r="W1039" s="57">
        <f>(1000*CHOOSE(CONTROL!$C$42, 0.1146, 0.1146)*CHOOSE(CONTROL!$C$42, 121.5, 121.5)*CHOOSE(CONTROL!$C$42, 31, 31))/1000000</f>
        <v>0.43164089999999994</v>
      </c>
      <c r="X1039" s="57">
        <f>(31*0.1790888*245000/1000000)+(31*0.2374*100000/1000000)</f>
        <v>2.0961194359999999</v>
      </c>
      <c r="Y1039" s="57"/>
      <c r="Z1039" s="14"/>
      <c r="AA1039" s="56"/>
      <c r="AB1039" s="50">
        <f>(B1039*194.205+C1039*267.466+D1039*133.845+E1039*53.484+F1039*40+G1039*185+H1039*0+I1039*100+J1039*300)/(194.205+267.466+133.845+53.484+0+40+185+100+300)</f>
        <v>147.6600098590267</v>
      </c>
      <c r="AC1039" s="45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144.74742877697841</v>
      </c>
    </row>
    <row r="1040" spans="1:29" ht="15.75" x14ac:dyDescent="0.25">
      <c r="A1040" s="32">
        <v>72563</v>
      </c>
      <c r="B1040" s="14">
        <f>CHOOSE(CONTROL!$C$42, 140.2947, 140.2947) * CHOOSE(CONTROL!$C$21, $C$9, 100%, $E$9)</f>
        <v>140.29470000000001</v>
      </c>
      <c r="C1040" s="14">
        <f>CHOOSE(CONTROL!$C$42, 140.3028, 140.3028) * CHOOSE(CONTROL!$C$21, $C$9, 100%, $E$9)</f>
        <v>140.30279999999999</v>
      </c>
      <c r="D1040" s="14">
        <f>CHOOSE(CONTROL!$C$42, 140.5364, 140.5364) * CHOOSE(CONTROL!$C$21, $C$9, 100%, $E$9)</f>
        <v>140.53639999999999</v>
      </c>
      <c r="E1040" s="14">
        <f>CHOOSE(CONTROL!$C$42, 140.5678, 140.5678) * CHOOSE(CONTROL!$C$21, $C$9, 100%, $E$9)</f>
        <v>140.56780000000001</v>
      </c>
      <c r="F1040" s="14">
        <f>CHOOSE(CONTROL!$C$42, 140.2927, 140.2927)*CHOOSE(CONTROL!$C$21, $C$9, 100%, $E$9)</f>
        <v>140.2927</v>
      </c>
      <c r="G1040" s="14">
        <f>CHOOSE(CONTROL!$C$42, 140.3094, 140.3094)*CHOOSE(CONTROL!$C$21, $C$9, 100%, $E$9)</f>
        <v>140.30940000000001</v>
      </c>
      <c r="H1040" s="14">
        <f>CHOOSE(CONTROL!$C$42, 140.5565, 140.5565) * CHOOSE(CONTROL!$C$21, $C$9, 100%, $E$9)</f>
        <v>140.5565</v>
      </c>
      <c r="I1040" s="14">
        <f>CHOOSE(CONTROL!$C$42, 140.75, 140.75)* CHOOSE(CONTROL!$C$21, $C$9, 100%, $E$9)</f>
        <v>140.75</v>
      </c>
      <c r="J1040" s="14">
        <f>CHOOSE(CONTROL!$C$42, 140.2857, 140.2857)* CHOOSE(CONTROL!$C$21, $C$9, 100%, $E$9)</f>
        <v>140.28569999999999</v>
      </c>
      <c r="K1040" s="53">
        <f>CHOOSE(CONTROL!$C$42, 140.7461, 140.7461) * CHOOSE(CONTROL!$C$21, $C$9, 100%, $E$9)</f>
        <v>140.74610000000001</v>
      </c>
      <c r="L1040" s="14">
        <f>CHOOSE(CONTROL!$C$42, 141.1435, 141.1435) * CHOOSE(CONTROL!$C$21, $C$9, 100%, $E$9)</f>
        <v>141.14349999999999</v>
      </c>
      <c r="M1040" s="14">
        <f>CHOOSE(CONTROL!$C$42, 137.4191, 137.4191) * CHOOSE(CONTROL!$C$21, $C$9, 100%, $E$9)</f>
        <v>137.41909999999999</v>
      </c>
      <c r="N1040" s="14">
        <f>CHOOSE(CONTROL!$C$42, 137.4354, 137.4354) * CHOOSE(CONTROL!$C$21, $C$9, 100%, $E$9)</f>
        <v>137.43539999999999</v>
      </c>
      <c r="O1040" s="14">
        <f>CHOOSE(CONTROL!$C$42, 137.6842, 137.6842) * CHOOSE(CONTROL!$C$21, $C$9, 100%, $E$9)</f>
        <v>137.6842</v>
      </c>
      <c r="P1040" s="14">
        <f>CHOOSE(CONTROL!$C$42, 137.8651, 137.8651) * CHOOSE(CONTROL!$C$21, $C$9, 100%, $E$9)</f>
        <v>137.86510000000001</v>
      </c>
      <c r="Q1040" s="14">
        <f>CHOOSE(CONTROL!$C$42, 138.2789, 138.2789) * CHOOSE(CONTROL!$C$21, $C$9, 100%, $E$9)</f>
        <v>138.27889999999999</v>
      </c>
      <c r="R1040" s="14">
        <f>CHOOSE(CONTROL!$C$42, 139.2116, 139.2116) * CHOOSE(CONTROL!$C$21, $C$9, 100%, $E$9)</f>
        <v>139.2116</v>
      </c>
      <c r="S1040" s="14">
        <f>CHOOSE(CONTROL!$C$42, 134.7986, 134.7986) * CHOOSE(CONTROL!$C$21, $C$9, 100%, $E$9)</f>
        <v>134.79859999999999</v>
      </c>
      <c r="T10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7">
        <f>(1000*CHOOSE(CONTROL!$C$42, 695, 695)*CHOOSE(CONTROL!$C$42, 0.5599, 0.5599)*CHOOSE(CONTROL!$C$42, 31, 31))/1000000</f>
        <v>12.063045499999998</v>
      </c>
      <c r="V1040" s="57">
        <f>(1000*CHOOSE(CONTROL!$C$42, 500, 500)*CHOOSE(CONTROL!$C$42, 0.275, 0.275)*CHOOSE(CONTROL!$C$42, 31, 31))/1000000</f>
        <v>4.2625000000000002</v>
      </c>
      <c r="W1040" s="57">
        <f>(1000*CHOOSE(CONTROL!$C$42, 0.1146, 0.1146)*CHOOSE(CONTROL!$C$42, 121.5, 121.5)*CHOOSE(CONTROL!$C$42, 31, 31))/1000000</f>
        <v>0.43164089999999994</v>
      </c>
      <c r="X1040" s="57">
        <f>(31*0.1790888*245000/1000000)+(31*0.2374*100000/1000000)</f>
        <v>2.0961194359999999</v>
      </c>
      <c r="Y1040" s="57"/>
      <c r="Z1040" s="14"/>
      <c r="AA1040" s="56"/>
      <c r="AB1040" s="50">
        <f>(B1040*194.205+C1040*267.466+D1040*133.845+E1040*53.484+F1040*40+G1040*185+H1040*0+I1040*100+J1040*300)/(194.205+267.466+133.845+53.484+0+40+185+100+300)</f>
        <v>140.3689486589482</v>
      </c>
      <c r="AC1040" s="45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137.60436402877698</v>
      </c>
    </row>
    <row r="1041" spans="1:29" ht="15.75" x14ac:dyDescent="0.25">
      <c r="A1041" s="32">
        <v>72593</v>
      </c>
      <c r="B1041" s="14">
        <f>CHOOSE(CONTROL!$C$42, 131.388, 131.388) * CHOOSE(CONTROL!$C$21, $C$9, 100%, $E$9)</f>
        <v>131.38800000000001</v>
      </c>
      <c r="C1041" s="14">
        <f>CHOOSE(CONTROL!$C$42, 131.3961, 131.3961) * CHOOSE(CONTROL!$C$21, $C$9, 100%, $E$9)</f>
        <v>131.39609999999999</v>
      </c>
      <c r="D1041" s="14">
        <f>CHOOSE(CONTROL!$C$42, 131.6297, 131.6297) * CHOOSE(CONTROL!$C$21, $C$9, 100%, $E$9)</f>
        <v>131.62970000000001</v>
      </c>
      <c r="E1041" s="14">
        <f>CHOOSE(CONTROL!$C$42, 131.6611, 131.6611) * CHOOSE(CONTROL!$C$21, $C$9, 100%, $E$9)</f>
        <v>131.6611</v>
      </c>
      <c r="F1041" s="14">
        <f>CHOOSE(CONTROL!$C$42, 131.386, 131.386)*CHOOSE(CONTROL!$C$21, $C$9, 100%, $E$9)</f>
        <v>131.386</v>
      </c>
      <c r="G1041" s="14">
        <f>CHOOSE(CONTROL!$C$42, 131.4027, 131.4027)*CHOOSE(CONTROL!$C$21, $C$9, 100%, $E$9)</f>
        <v>131.40270000000001</v>
      </c>
      <c r="H1041" s="14">
        <f>CHOOSE(CONTROL!$C$42, 131.6498, 131.6498) * CHOOSE(CONTROL!$C$21, $C$9, 100%, $E$9)</f>
        <v>131.6498</v>
      </c>
      <c r="I1041" s="14">
        <f>CHOOSE(CONTROL!$C$42, 131.8154, 131.8154)* CHOOSE(CONTROL!$C$21, $C$9, 100%, $E$9)</f>
        <v>131.81540000000001</v>
      </c>
      <c r="J1041" s="14">
        <f>CHOOSE(CONTROL!$C$42, 131.379, 131.379)* CHOOSE(CONTROL!$C$21, $C$9, 100%, $E$9)</f>
        <v>131.37899999999999</v>
      </c>
      <c r="K1041" s="53">
        <f>CHOOSE(CONTROL!$C$42, 131.8115, 131.8115) * CHOOSE(CONTROL!$C$21, $C$9, 100%, $E$9)</f>
        <v>131.8115</v>
      </c>
      <c r="L1041" s="14">
        <f>CHOOSE(CONTROL!$C$42, 132.2368, 132.2368) * CHOOSE(CONTROL!$C$21, $C$9, 100%, $E$9)</f>
        <v>132.23679999999999</v>
      </c>
      <c r="M1041" s="14">
        <f>CHOOSE(CONTROL!$C$42, 128.6949, 128.6949) * CHOOSE(CONTROL!$C$21, $C$9, 100%, $E$9)</f>
        <v>128.69489999999999</v>
      </c>
      <c r="N1041" s="14">
        <f>CHOOSE(CONTROL!$C$42, 128.7112, 128.7112) * CHOOSE(CONTROL!$C$21, $C$9, 100%, $E$9)</f>
        <v>128.71119999999999</v>
      </c>
      <c r="O1041" s="14">
        <f>CHOOSE(CONTROL!$C$42, 128.96, 128.96) * CHOOSE(CONTROL!$C$21, $C$9, 100%, $E$9)</f>
        <v>128.96</v>
      </c>
      <c r="P1041" s="14">
        <f>CHOOSE(CONTROL!$C$42, 129.1141, 129.1141) * CHOOSE(CONTROL!$C$21, $C$9, 100%, $E$9)</f>
        <v>129.11410000000001</v>
      </c>
      <c r="Q1041" s="14">
        <f>CHOOSE(CONTROL!$C$42, 129.5547, 129.5547) * CHOOSE(CONTROL!$C$21, $C$9, 100%, $E$9)</f>
        <v>129.5547</v>
      </c>
      <c r="R1041" s="14">
        <f>CHOOSE(CONTROL!$C$42, 130.4656, 130.4656) * CHOOSE(CONTROL!$C$21, $C$9, 100%, $E$9)</f>
        <v>130.46559999999999</v>
      </c>
      <c r="S1041" s="14">
        <f>CHOOSE(CONTROL!$C$42, 126.2401, 126.2401) * CHOOSE(CONTROL!$C$21, $C$9, 100%, $E$9)</f>
        <v>126.2401</v>
      </c>
      <c r="T10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7">
        <f>(1000*CHOOSE(CONTROL!$C$42, 695, 695)*CHOOSE(CONTROL!$C$42, 0.5599, 0.5599)*CHOOSE(CONTROL!$C$42, 30, 30))/1000000</f>
        <v>11.673914999999997</v>
      </c>
      <c r="V1041" s="57">
        <f>(1000*CHOOSE(CONTROL!$C$42, 500, 500)*CHOOSE(CONTROL!$C$42, 0.275, 0.275)*CHOOSE(CONTROL!$C$42, 30, 30))/1000000</f>
        <v>4.125</v>
      </c>
      <c r="W1041" s="57">
        <f>(1000*CHOOSE(CONTROL!$C$42, 0.1146, 0.1146)*CHOOSE(CONTROL!$C$42, 121.5, 121.5)*CHOOSE(CONTROL!$C$42, 30, 30))/1000000</f>
        <v>0.417717</v>
      </c>
      <c r="X1041" s="57">
        <f>(30*0.1790888*245000/1000000)+(30*0.2374*100000/1000000)</f>
        <v>2.0285026799999999</v>
      </c>
      <c r="Y1041" s="57"/>
      <c r="Z1041" s="14"/>
      <c r="AA1041" s="56"/>
      <c r="AB1041" s="50">
        <f>(B1041*194.205+C1041*267.466+D1041*133.845+E1041*53.484+F1041*40+G1041*185+H1041*0+I1041*100+J1041*300)/(194.205+267.466+133.845+53.484+0+40+185+100+300)</f>
        <v>131.46005870604392</v>
      </c>
      <c r="AC1041" s="45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128.87630791366905</v>
      </c>
    </row>
    <row r="1042" spans="1:29" ht="15.75" x14ac:dyDescent="0.25">
      <c r="A1042" s="32">
        <v>72624</v>
      </c>
      <c r="B1042" s="14">
        <f>CHOOSE(CONTROL!$C$42, 128.7188, 128.7188) * CHOOSE(CONTROL!$C$21, $C$9, 100%, $E$9)</f>
        <v>128.71879999999999</v>
      </c>
      <c r="C1042" s="14">
        <f>CHOOSE(CONTROL!$C$42, 128.7241, 128.7241) * CHOOSE(CONTROL!$C$21, $C$9, 100%, $E$9)</f>
        <v>128.72409999999999</v>
      </c>
      <c r="D1042" s="14">
        <f>CHOOSE(CONTROL!$C$42, 128.9627, 128.9627) * CHOOSE(CONTROL!$C$21, $C$9, 100%, $E$9)</f>
        <v>128.96270000000001</v>
      </c>
      <c r="E1042" s="14">
        <f>CHOOSE(CONTROL!$C$42, 128.9918, 128.9918) * CHOOSE(CONTROL!$C$21, $C$9, 100%, $E$9)</f>
        <v>128.99180000000001</v>
      </c>
      <c r="F1042" s="14">
        <f>CHOOSE(CONTROL!$C$42, 128.7188, 128.7188)*CHOOSE(CONTROL!$C$21, $C$9, 100%, $E$9)</f>
        <v>128.71879999999999</v>
      </c>
      <c r="G1042" s="14">
        <f>CHOOSE(CONTROL!$C$42, 128.7351, 128.7351)*CHOOSE(CONTROL!$C$21, $C$9, 100%, $E$9)</f>
        <v>128.73509999999999</v>
      </c>
      <c r="H1042" s="14">
        <f>CHOOSE(CONTROL!$C$42, 128.9823, 128.9823) * CHOOSE(CONTROL!$C$21, $C$9, 100%, $E$9)</f>
        <v>128.98230000000001</v>
      </c>
      <c r="I1042" s="14">
        <f>CHOOSE(CONTROL!$C$42, 129.1396, 129.1396)* CHOOSE(CONTROL!$C$21, $C$9, 100%, $E$9)</f>
        <v>129.1396</v>
      </c>
      <c r="J1042" s="14">
        <f>CHOOSE(CONTROL!$C$42, 128.7118, 128.7118)* CHOOSE(CONTROL!$C$21, $C$9, 100%, $E$9)</f>
        <v>128.71180000000001</v>
      </c>
      <c r="K1042" s="53">
        <f>CHOOSE(CONTROL!$C$42, 129.1357, 129.1357) * CHOOSE(CONTROL!$C$21, $C$9, 100%, $E$9)</f>
        <v>129.13570000000001</v>
      </c>
      <c r="L1042" s="14">
        <f>CHOOSE(CONTROL!$C$42, 129.5693, 129.5693) * CHOOSE(CONTROL!$C$21, $C$9, 100%, $E$9)</f>
        <v>129.5693</v>
      </c>
      <c r="M1042" s="14">
        <f>CHOOSE(CONTROL!$C$42, 126.0823, 126.0823) * CHOOSE(CONTROL!$C$21, $C$9, 100%, $E$9)</f>
        <v>126.0823</v>
      </c>
      <c r="N1042" s="14">
        <f>CHOOSE(CONTROL!$C$42, 126.0982, 126.0982) * CHOOSE(CONTROL!$C$21, $C$9, 100%, $E$9)</f>
        <v>126.09820000000001</v>
      </c>
      <c r="O1042" s="14">
        <f>CHOOSE(CONTROL!$C$42, 126.3472, 126.3472) * CHOOSE(CONTROL!$C$21, $C$9, 100%, $E$9)</f>
        <v>126.3472</v>
      </c>
      <c r="P1042" s="14">
        <f>CHOOSE(CONTROL!$C$42, 126.4933, 126.4933) * CHOOSE(CONTROL!$C$21, $C$9, 100%, $E$9)</f>
        <v>126.4933</v>
      </c>
      <c r="Q1042" s="14">
        <f>CHOOSE(CONTROL!$C$42, 126.9419, 126.9419) * CHOOSE(CONTROL!$C$21, $C$9, 100%, $E$9)</f>
        <v>126.9419</v>
      </c>
      <c r="R1042" s="14">
        <f>CHOOSE(CONTROL!$C$42, 127.8463, 127.8463) * CHOOSE(CONTROL!$C$21, $C$9, 100%, $E$9)</f>
        <v>127.8463</v>
      </c>
      <c r="S1042" s="14">
        <f>CHOOSE(CONTROL!$C$42, 123.677, 123.677) * CHOOSE(CONTROL!$C$21, $C$9, 100%, $E$9)</f>
        <v>123.67700000000001</v>
      </c>
      <c r="T10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7">
        <f>(1000*CHOOSE(CONTROL!$C$42, 695, 695)*CHOOSE(CONTROL!$C$42, 0.5599, 0.5599)*CHOOSE(CONTROL!$C$42, 31, 31))/1000000</f>
        <v>12.063045499999998</v>
      </c>
      <c r="V1042" s="57">
        <f>(1000*CHOOSE(CONTROL!$C$42, 500, 500)*CHOOSE(CONTROL!$C$42, 0.275, 0.275)*CHOOSE(CONTROL!$C$42, 31, 31))/1000000</f>
        <v>4.2625000000000002</v>
      </c>
      <c r="W1042" s="57">
        <f>(1000*CHOOSE(CONTROL!$C$42, 0.1146, 0.1146)*CHOOSE(CONTROL!$C$42, 121.5, 121.5)*CHOOSE(CONTROL!$C$42, 31, 31))/1000000</f>
        <v>0.43164089999999994</v>
      </c>
      <c r="X1042" s="57">
        <f>(31*0.1790888*245000/1000000)+(31*0.2374*100000/1000000)</f>
        <v>2.0961194359999999</v>
      </c>
      <c r="Y1042" s="57"/>
      <c r="Z1042" s="14"/>
      <c r="AA1042" s="56"/>
      <c r="AB1042" s="50">
        <f>(B1042*131.881+C1042*277.167+D1042*79.08+E1042*125.872+F1042*40+G1042*185+H1042*0+I1042*100+J1042*300)/(131.881+277.167+79.08+125.872+0+40+185+100+300)</f>
        <v>128.79798898555285</v>
      </c>
      <c r="AC1042" s="45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126.26241438848922</v>
      </c>
    </row>
    <row r="1043" spans="1:29" ht="15.75" x14ac:dyDescent="0.25">
      <c r="A1043" s="32">
        <v>72654</v>
      </c>
      <c r="B1043" s="14">
        <f>CHOOSE(CONTROL!$C$42, 132.1092, 132.1092) * CHOOSE(CONTROL!$C$21, $C$9, 100%, $E$9)</f>
        <v>132.10919999999999</v>
      </c>
      <c r="C1043" s="14">
        <f>CHOOSE(CONTROL!$C$42, 132.1143, 132.1143) * CHOOSE(CONTROL!$C$21, $C$9, 100%, $E$9)</f>
        <v>132.11429999999999</v>
      </c>
      <c r="D1043" s="14">
        <f>CHOOSE(CONTROL!$C$42, 132.1885, 132.1885) * CHOOSE(CONTROL!$C$21, $C$9, 100%, $E$9)</f>
        <v>132.1885</v>
      </c>
      <c r="E1043" s="14">
        <f>CHOOSE(CONTROL!$C$42, 132.2226, 132.2226) * CHOOSE(CONTROL!$C$21, $C$9, 100%, $E$9)</f>
        <v>132.2226</v>
      </c>
      <c r="F1043" s="14">
        <f>CHOOSE(CONTROL!$C$42, 132.1212, 132.1212)*CHOOSE(CONTROL!$C$21, $C$9, 100%, $E$9)</f>
        <v>132.12119999999999</v>
      </c>
      <c r="G1043" s="14">
        <f>CHOOSE(CONTROL!$C$42, 132.1378, 132.1378)*CHOOSE(CONTROL!$C$21, $C$9, 100%, $E$9)</f>
        <v>132.1378</v>
      </c>
      <c r="H1043" s="14">
        <f>CHOOSE(CONTROL!$C$42, 132.2118, 132.2118) * CHOOSE(CONTROL!$C$21, $C$9, 100%, $E$9)</f>
        <v>132.21180000000001</v>
      </c>
      <c r="I1043" s="14">
        <f>CHOOSE(CONTROL!$C$42, 132.5473, 132.5473)* CHOOSE(CONTROL!$C$21, $C$9, 100%, $E$9)</f>
        <v>132.54730000000001</v>
      </c>
      <c r="J1043" s="14">
        <f>CHOOSE(CONTROL!$C$42, 132.1142, 132.1142)* CHOOSE(CONTROL!$C$21, $C$9, 100%, $E$9)</f>
        <v>132.11420000000001</v>
      </c>
      <c r="K1043" s="53">
        <f>CHOOSE(CONTROL!$C$42, 132.5434, 132.5434) * CHOOSE(CONTROL!$C$21, $C$9, 100%, $E$9)</f>
        <v>132.54339999999999</v>
      </c>
      <c r="L1043" s="14">
        <f>CHOOSE(CONTROL!$C$42, 132.7988, 132.7988) * CHOOSE(CONTROL!$C$21, $C$9, 100%, $E$9)</f>
        <v>132.7988</v>
      </c>
      <c r="M1043" s="14">
        <f>CHOOSE(CONTROL!$C$42, 129.415, 129.415) * CHOOSE(CONTROL!$C$21, $C$9, 100%, $E$9)</f>
        <v>129.41499999999999</v>
      </c>
      <c r="N1043" s="14">
        <f>CHOOSE(CONTROL!$C$42, 129.4313, 129.4313) * CHOOSE(CONTROL!$C$21, $C$9, 100%, $E$9)</f>
        <v>129.43129999999999</v>
      </c>
      <c r="O1043" s="14">
        <f>CHOOSE(CONTROL!$C$42, 129.5105, 129.5105) * CHOOSE(CONTROL!$C$21, $C$9, 100%, $E$9)</f>
        <v>129.51050000000001</v>
      </c>
      <c r="P1043" s="14">
        <f>CHOOSE(CONTROL!$C$42, 129.8309, 129.8309) * CHOOSE(CONTROL!$C$21, $C$9, 100%, $E$9)</f>
        <v>129.83090000000001</v>
      </c>
      <c r="Q1043" s="14">
        <f>CHOOSE(CONTROL!$C$42, 130.1052, 130.1052) * CHOOSE(CONTROL!$C$21, $C$9, 100%, $E$9)</f>
        <v>130.1052</v>
      </c>
      <c r="R1043" s="14">
        <f>CHOOSE(CONTROL!$C$42, 131.0175, 131.0175) * CHOOSE(CONTROL!$C$21, $C$9, 100%, $E$9)</f>
        <v>131.01750000000001</v>
      </c>
      <c r="S1043" s="14">
        <f>CHOOSE(CONTROL!$C$42, 126.9352, 126.9352) * CHOOSE(CONTROL!$C$21, $C$9, 100%, $E$9)</f>
        <v>126.93519999999999</v>
      </c>
      <c r="T10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7">
        <f>(1000*CHOOSE(CONTROL!$C$42, 695, 695)*CHOOSE(CONTROL!$C$42, 0.5599, 0.5599)*CHOOSE(CONTROL!$C$42, 30, 30))/1000000</f>
        <v>11.673914999999997</v>
      </c>
      <c r="V1043" s="57">
        <f>(1000*CHOOSE(CONTROL!$C$42, 500, 500)*CHOOSE(CONTROL!$C$42, 0.275, 0.275)*CHOOSE(CONTROL!$C$42, 30, 30))/1000000</f>
        <v>4.125</v>
      </c>
      <c r="W1043" s="57">
        <f>(1000*CHOOSE(CONTROL!$C$42, 0.1146, 0.1146)*CHOOSE(CONTROL!$C$42, 121.5, 121.5)*CHOOSE(CONTROL!$C$42, 30, 30))/1000000</f>
        <v>0.417717</v>
      </c>
      <c r="X1043" s="57">
        <f>(30*0.1790888*100000/1000000)+(30*0.2374*100000/1000000)</f>
        <v>1.2494664</v>
      </c>
      <c r="Y1043" s="57"/>
      <c r="Z1043" s="14"/>
      <c r="AA1043" s="56"/>
      <c r="AB1043" s="50">
        <f>(B1043*122.58+C1043*297.941+D1043*89.177+E1043*40.302+F1043*40+G1043*160+H1043*0+I1043*100+J1043*300)/(122.58+297.941+89.177+40.302+0+40+160+100+300)</f>
        <v>132.16444128869566</v>
      </c>
      <c r="AC1043" s="45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129.519064028777</v>
      </c>
    </row>
    <row r="1044" spans="1:29" ht="15.75" x14ac:dyDescent="0.25">
      <c r="A1044" s="32">
        <v>72685</v>
      </c>
      <c r="B1044" s="14">
        <f>CHOOSE(CONTROL!$C$42, 141.1157, 141.1157) * CHOOSE(CONTROL!$C$21, $C$9, 100%, $E$9)</f>
        <v>141.1157</v>
      </c>
      <c r="C1044" s="14">
        <f>CHOOSE(CONTROL!$C$42, 141.1207, 141.1207) * CHOOSE(CONTROL!$C$21, $C$9, 100%, $E$9)</f>
        <v>141.1207</v>
      </c>
      <c r="D1044" s="14">
        <f>CHOOSE(CONTROL!$C$42, 141.195, 141.195) * CHOOSE(CONTROL!$C$21, $C$9, 100%, $E$9)</f>
        <v>141.19499999999999</v>
      </c>
      <c r="E1044" s="14">
        <f>CHOOSE(CONTROL!$C$42, 141.2291, 141.2291) * CHOOSE(CONTROL!$C$21, $C$9, 100%, $E$9)</f>
        <v>141.22909999999999</v>
      </c>
      <c r="F1044" s="14">
        <f>CHOOSE(CONTROL!$C$42, 141.1299, 141.1299)*CHOOSE(CONTROL!$C$21, $C$9, 100%, $E$9)</f>
        <v>141.12989999999999</v>
      </c>
      <c r="G1044" s="14">
        <f>CHOOSE(CONTROL!$C$42, 141.1471, 141.1471)*CHOOSE(CONTROL!$C$21, $C$9, 100%, $E$9)</f>
        <v>141.14709999999999</v>
      </c>
      <c r="H1044" s="14">
        <f>CHOOSE(CONTROL!$C$42, 141.2183, 141.2183) * CHOOSE(CONTROL!$C$21, $C$9, 100%, $E$9)</f>
        <v>141.2183</v>
      </c>
      <c r="I1044" s="14">
        <f>CHOOSE(CONTROL!$C$42, 141.582, 141.582)* CHOOSE(CONTROL!$C$21, $C$9, 100%, $E$9)</f>
        <v>141.58199999999999</v>
      </c>
      <c r="J1044" s="14">
        <f>CHOOSE(CONTROL!$C$42, 141.1229, 141.1229)* CHOOSE(CONTROL!$C$21, $C$9, 100%, $E$9)</f>
        <v>141.12289999999999</v>
      </c>
      <c r="K1044" s="53">
        <f>CHOOSE(CONTROL!$C$42, 141.5781, 141.5781) * CHOOSE(CONTROL!$C$21, $C$9, 100%, $E$9)</f>
        <v>141.57810000000001</v>
      </c>
      <c r="L1044" s="14">
        <f>CHOOSE(CONTROL!$C$42, 141.8053, 141.8053) * CHOOSE(CONTROL!$C$21, $C$9, 100%, $E$9)</f>
        <v>141.80529999999999</v>
      </c>
      <c r="M1044" s="14">
        <f>CHOOSE(CONTROL!$C$42, 138.2391, 138.2391) * CHOOSE(CONTROL!$C$21, $C$9, 100%, $E$9)</f>
        <v>138.23910000000001</v>
      </c>
      <c r="N1044" s="14">
        <f>CHOOSE(CONTROL!$C$42, 138.2559, 138.2559) * CHOOSE(CONTROL!$C$21, $C$9, 100%, $E$9)</f>
        <v>138.2559</v>
      </c>
      <c r="O1044" s="14">
        <f>CHOOSE(CONTROL!$C$42, 138.3325, 138.3325) * CHOOSE(CONTROL!$C$21, $C$9, 100%, $E$9)</f>
        <v>138.33250000000001</v>
      </c>
      <c r="P1044" s="14">
        <f>CHOOSE(CONTROL!$C$42, 138.6799, 138.6799) * CHOOSE(CONTROL!$C$21, $C$9, 100%, $E$9)</f>
        <v>138.6799</v>
      </c>
      <c r="Q1044" s="14">
        <f>CHOOSE(CONTROL!$C$42, 138.9272, 138.9272) * CHOOSE(CONTROL!$C$21, $C$9, 100%, $E$9)</f>
        <v>138.9272</v>
      </c>
      <c r="R1044" s="14">
        <f>CHOOSE(CONTROL!$C$42, 139.8615, 139.8615) * CHOOSE(CONTROL!$C$21, $C$9, 100%, $E$9)</f>
        <v>139.86150000000001</v>
      </c>
      <c r="S1044" s="14">
        <f>CHOOSE(CONTROL!$C$42, 135.5895, 135.5895) * CHOOSE(CONTROL!$C$21, $C$9, 100%, $E$9)</f>
        <v>135.58949999999999</v>
      </c>
      <c r="T10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7">
        <f>(1000*CHOOSE(CONTROL!$C$42, 695, 695)*CHOOSE(CONTROL!$C$42, 0.5599, 0.5599)*CHOOSE(CONTROL!$C$42, 31, 31))/1000000</f>
        <v>12.063045499999998</v>
      </c>
      <c r="V1044" s="57">
        <f>(1000*CHOOSE(CONTROL!$C$42, 500, 500)*CHOOSE(CONTROL!$C$42, 0.275, 0.275)*CHOOSE(CONTROL!$C$42, 31, 31))/1000000</f>
        <v>4.2625000000000002</v>
      </c>
      <c r="W1044" s="57">
        <f>(1000*CHOOSE(CONTROL!$C$42, 0.1146, 0.1146)*CHOOSE(CONTROL!$C$42, 121.5, 121.5)*CHOOSE(CONTROL!$C$42, 31, 31))/1000000</f>
        <v>0.43164089999999994</v>
      </c>
      <c r="X1044" s="57">
        <f>(31*0.1790888*100000/1000000)+(31*0.2374*100000/1000000)</f>
        <v>1.2911152800000001</v>
      </c>
      <c r="Y1044" s="57"/>
      <c r="Z1044" s="14"/>
      <c r="AA1044" s="56"/>
      <c r="AB1044" s="50">
        <f>(B1044*122.58+C1044*297.941+D1044*89.177+E1044*40.302+F1044*40+G1044*160+H1044*0+I1044*100+J1044*300)/(122.58+297.941+89.177+40.302+0+40+160+100+300)</f>
        <v>141.17440755469562</v>
      </c>
      <c r="AC1044" s="45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138.34582374100722</v>
      </c>
    </row>
    <row r="1045" spans="1:29" ht="15.75" x14ac:dyDescent="0.25">
      <c r="A1045" s="32">
        <v>72716</v>
      </c>
      <c r="B1045" s="14">
        <f>CHOOSE(CONTROL!$C$42, 152.8135, 152.8135) * CHOOSE(CONTROL!$C$21, $C$9, 100%, $E$9)</f>
        <v>152.8135</v>
      </c>
      <c r="C1045" s="14">
        <f>CHOOSE(CONTROL!$C$42, 152.8185, 152.8185) * CHOOSE(CONTROL!$C$21, $C$9, 100%, $E$9)</f>
        <v>152.8185</v>
      </c>
      <c r="D1045" s="14">
        <f>CHOOSE(CONTROL!$C$42, 152.8954, 152.8954) * CHOOSE(CONTROL!$C$21, $C$9, 100%, $E$9)</f>
        <v>152.8954</v>
      </c>
      <c r="E1045" s="14">
        <f>CHOOSE(CONTROL!$C$42, 152.9295, 152.9295) * CHOOSE(CONTROL!$C$21, $C$9, 100%, $E$9)</f>
        <v>152.92949999999999</v>
      </c>
      <c r="F1045" s="14">
        <f>CHOOSE(CONTROL!$C$42, 152.8137, 152.8137)*CHOOSE(CONTROL!$C$21, $C$9, 100%, $E$9)</f>
        <v>152.81370000000001</v>
      </c>
      <c r="G1045" s="14">
        <f>CHOOSE(CONTROL!$C$42, 152.8299, 152.8299)*CHOOSE(CONTROL!$C$21, $C$9, 100%, $E$9)</f>
        <v>152.82990000000001</v>
      </c>
      <c r="H1045" s="14">
        <f>CHOOSE(CONTROL!$C$42, 152.9187, 152.9187) * CHOOSE(CONTROL!$C$21, $C$9, 100%, $E$9)</f>
        <v>152.9187</v>
      </c>
      <c r="I1045" s="14">
        <f>CHOOSE(CONTROL!$C$42, 153.3101, 153.3101)* CHOOSE(CONTROL!$C$21, $C$9, 100%, $E$9)</f>
        <v>153.31010000000001</v>
      </c>
      <c r="J1045" s="14">
        <f>CHOOSE(CONTROL!$C$42, 152.8067, 152.8067)* CHOOSE(CONTROL!$C$21, $C$9, 100%, $E$9)</f>
        <v>152.80670000000001</v>
      </c>
      <c r="K1045" s="53">
        <f>CHOOSE(CONTROL!$C$42, 153.3062, 153.3062) * CHOOSE(CONTROL!$C$21, $C$9, 100%, $E$9)</f>
        <v>153.30619999999999</v>
      </c>
      <c r="L1045" s="14">
        <f>CHOOSE(CONTROL!$C$42, 153.5057, 153.5057) * CHOOSE(CONTROL!$C$21, $C$9, 100%, $E$9)</f>
        <v>153.50569999999999</v>
      </c>
      <c r="M1045" s="14">
        <f>CHOOSE(CONTROL!$C$42, 149.6835, 149.6835) * CHOOSE(CONTROL!$C$21, $C$9, 100%, $E$9)</f>
        <v>149.68350000000001</v>
      </c>
      <c r="N1045" s="14">
        <f>CHOOSE(CONTROL!$C$42, 149.6994, 149.6994) * CHOOSE(CONTROL!$C$21, $C$9, 100%, $E$9)</f>
        <v>149.6994</v>
      </c>
      <c r="O1045" s="14">
        <f>CHOOSE(CONTROL!$C$42, 149.7932, 149.7932) * CHOOSE(CONTROL!$C$21, $C$9, 100%, $E$9)</f>
        <v>149.79320000000001</v>
      </c>
      <c r="P1045" s="14">
        <f>CHOOSE(CONTROL!$C$42, 150.167, 150.167) * CHOOSE(CONTROL!$C$21, $C$9, 100%, $E$9)</f>
        <v>150.167</v>
      </c>
      <c r="Q1045" s="14">
        <f>CHOOSE(CONTROL!$C$42, 150.3879, 150.3879) * CHOOSE(CONTROL!$C$21, $C$9, 100%, $E$9)</f>
        <v>150.3879</v>
      </c>
      <c r="R1045" s="14">
        <f>CHOOSE(CONTROL!$C$42, 151.3508, 151.3508) * CHOOSE(CONTROL!$C$21, $C$9, 100%, $E$9)</f>
        <v>151.35079999999999</v>
      </c>
      <c r="S1045" s="14">
        <f>CHOOSE(CONTROL!$C$42, 146.8299, 146.8299) * CHOOSE(CONTROL!$C$21, $C$9, 100%, $E$9)</f>
        <v>146.82990000000001</v>
      </c>
      <c r="T10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7">
        <f>(1000*CHOOSE(CONTROL!$C$42, 695, 695)*CHOOSE(CONTROL!$C$42, 0.5599, 0.5599)*CHOOSE(CONTROL!$C$42, 31, 31))/1000000</f>
        <v>12.063045499999998</v>
      </c>
      <c r="V1045" s="57">
        <f>(1000*CHOOSE(CONTROL!$C$42, 500, 500)*CHOOSE(CONTROL!$C$42, 0.275, 0.275)*CHOOSE(CONTROL!$C$42, 31, 31))/1000000</f>
        <v>4.2625000000000002</v>
      </c>
      <c r="W1045" s="57">
        <f>(1000*CHOOSE(CONTROL!$C$42, 0.1146, 0.1146)*CHOOSE(CONTROL!$C$42, 121.5, 121.5)*CHOOSE(CONTROL!$C$42, 31, 31))/1000000</f>
        <v>0.43164089999999994</v>
      </c>
      <c r="X1045" s="57">
        <f>(31*0.1790888*100000/1000000)+(31*0.2374*100000/1000000)</f>
        <v>1.2911152800000001</v>
      </c>
      <c r="Y1045" s="57"/>
      <c r="Z1045" s="14"/>
      <c r="AA1045" s="56"/>
      <c r="AB1045" s="50">
        <f>(B1045*122.58+C1045*297.941+D1045*89.177+E1045*40.302+F1045*40+G1045*160+H1045*0+I1045*100+J1045*300)/(122.58+297.941+89.177+40.302+0+40+160+100+300)</f>
        <v>152.86890898547827</v>
      </c>
      <c r="AC1045" s="45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149.80370359712231</v>
      </c>
    </row>
    <row r="1046" spans="1:29" ht="15.75" x14ac:dyDescent="0.25">
      <c r="A1046" s="32">
        <v>72744</v>
      </c>
      <c r="B1046" s="14">
        <f>CHOOSE(CONTROL!$C$42, 155.5336, 155.5336) * CHOOSE(CONTROL!$C$21, $C$9, 100%, $E$9)</f>
        <v>155.53360000000001</v>
      </c>
      <c r="C1046" s="14">
        <f>CHOOSE(CONTROL!$C$42, 155.5387, 155.5387) * CHOOSE(CONTROL!$C$21, $C$9, 100%, $E$9)</f>
        <v>155.53870000000001</v>
      </c>
      <c r="D1046" s="14">
        <f>CHOOSE(CONTROL!$C$42, 155.6155, 155.6155) * CHOOSE(CONTROL!$C$21, $C$9, 100%, $E$9)</f>
        <v>155.6155</v>
      </c>
      <c r="E1046" s="14">
        <f>CHOOSE(CONTROL!$C$42, 155.6496, 155.6496) * CHOOSE(CONTROL!$C$21, $C$9, 100%, $E$9)</f>
        <v>155.64959999999999</v>
      </c>
      <c r="F1046" s="14">
        <f>CHOOSE(CONTROL!$C$42, 155.5339, 155.5339)*CHOOSE(CONTROL!$C$21, $C$9, 100%, $E$9)</f>
        <v>155.53389999999999</v>
      </c>
      <c r="G1046" s="14">
        <f>CHOOSE(CONTROL!$C$42, 155.5501, 155.5501)*CHOOSE(CONTROL!$C$21, $C$9, 100%, $E$9)</f>
        <v>155.55009999999999</v>
      </c>
      <c r="H1046" s="14">
        <f>CHOOSE(CONTROL!$C$42, 155.6388, 155.6388) * CHOOSE(CONTROL!$C$21, $C$9, 100%, $E$9)</f>
        <v>155.6388</v>
      </c>
      <c r="I1046" s="14">
        <f>CHOOSE(CONTROL!$C$42, 156.0388, 156.0388)* CHOOSE(CONTROL!$C$21, $C$9, 100%, $E$9)</f>
        <v>156.03880000000001</v>
      </c>
      <c r="J1046" s="14">
        <f>CHOOSE(CONTROL!$C$42, 155.5269, 155.5269)* CHOOSE(CONTROL!$C$21, $C$9, 100%, $E$9)</f>
        <v>155.52690000000001</v>
      </c>
      <c r="K1046" s="53">
        <f>CHOOSE(CONTROL!$C$42, 156.0349, 156.0349) * CHOOSE(CONTROL!$C$21, $C$9, 100%, $E$9)</f>
        <v>156.03489999999999</v>
      </c>
      <c r="L1046" s="14">
        <f>CHOOSE(CONTROL!$C$42, 156.2258, 156.2258) * CHOOSE(CONTROL!$C$21, $C$9, 100%, $E$9)</f>
        <v>156.22579999999999</v>
      </c>
      <c r="M1046" s="14">
        <f>CHOOSE(CONTROL!$C$42, 152.3479, 152.3479) * CHOOSE(CONTROL!$C$21, $C$9, 100%, $E$9)</f>
        <v>152.34790000000001</v>
      </c>
      <c r="N1046" s="14">
        <f>CHOOSE(CONTROL!$C$42, 152.3638, 152.3638) * CHOOSE(CONTROL!$C$21, $C$9, 100%, $E$9)</f>
        <v>152.3638</v>
      </c>
      <c r="O1046" s="14">
        <f>CHOOSE(CONTROL!$C$42, 152.4576, 152.4576) * CHOOSE(CONTROL!$C$21, $C$9, 100%, $E$9)</f>
        <v>152.45760000000001</v>
      </c>
      <c r="P1046" s="14">
        <f>CHOOSE(CONTROL!$C$42, 152.8396, 152.8396) * CHOOSE(CONTROL!$C$21, $C$9, 100%, $E$9)</f>
        <v>152.83959999999999</v>
      </c>
      <c r="Q1046" s="14">
        <f>CHOOSE(CONTROL!$C$42, 153.0523, 153.0523) * CHOOSE(CONTROL!$C$21, $C$9, 100%, $E$9)</f>
        <v>153.0523</v>
      </c>
      <c r="R1046" s="14">
        <f>CHOOSE(CONTROL!$C$42, 154.0219, 154.0219) * CHOOSE(CONTROL!$C$21, $C$9, 100%, $E$9)</f>
        <v>154.02189999999999</v>
      </c>
      <c r="S1046" s="14">
        <f>CHOOSE(CONTROL!$C$42, 149.4437, 149.4437) * CHOOSE(CONTROL!$C$21, $C$9, 100%, $E$9)</f>
        <v>149.44370000000001</v>
      </c>
      <c r="T10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7">
        <f>(1000*CHOOSE(CONTROL!$C$42, 695, 695)*CHOOSE(CONTROL!$C$42, 0.5599, 0.5599)*CHOOSE(CONTROL!$C$42, 28, 28))/1000000</f>
        <v>10.895653999999999</v>
      </c>
      <c r="V1046" s="57">
        <f>(1000*CHOOSE(CONTROL!$C$42, 500, 500)*CHOOSE(CONTROL!$C$42, 0.275, 0.275)*CHOOSE(CONTROL!$C$42, 28, 28))/1000000</f>
        <v>3.85</v>
      </c>
      <c r="W1046" s="57">
        <f>(1000*CHOOSE(CONTROL!$C$42, 0.1146, 0.1146)*CHOOSE(CONTROL!$C$42, 121.5, 121.5)*CHOOSE(CONTROL!$C$42, 28, 28))/1000000</f>
        <v>0.38986920000000003</v>
      </c>
      <c r="X1046" s="57">
        <f>(28*0.1790888*100000/1000000)+(28*0.2374*100000/1000000)</f>
        <v>1.16616864</v>
      </c>
      <c r="Y1046" s="57"/>
      <c r="Z1046" s="14"/>
      <c r="AA1046" s="56"/>
      <c r="AB1046" s="50">
        <f>(B1046*122.58+C1046*297.941+D1046*89.177+E1046*40.302+F1046*40+G1046*160+H1046*0+I1046*100+J1046*300)/(122.58+297.941+89.177+40.302+0+40+160+100+300)</f>
        <v>155.58982619773914</v>
      </c>
      <c r="AC1046" s="45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152.46928345323741</v>
      </c>
    </row>
    <row r="1047" spans="1:29" ht="15.75" x14ac:dyDescent="0.25">
      <c r="A1047" s="32">
        <v>72775</v>
      </c>
      <c r="B1047" s="14">
        <f>CHOOSE(CONTROL!$C$42, 151.1182, 151.1182) * CHOOSE(CONTROL!$C$21, $C$9, 100%, $E$9)</f>
        <v>151.1182</v>
      </c>
      <c r="C1047" s="14">
        <f>CHOOSE(CONTROL!$C$42, 151.1232, 151.1232) * CHOOSE(CONTROL!$C$21, $C$9, 100%, $E$9)</f>
        <v>151.1232</v>
      </c>
      <c r="D1047" s="14">
        <f>CHOOSE(CONTROL!$C$42, 151.2001, 151.2001) * CHOOSE(CONTROL!$C$21, $C$9, 100%, $E$9)</f>
        <v>151.20009999999999</v>
      </c>
      <c r="E1047" s="14">
        <f>CHOOSE(CONTROL!$C$42, 151.2342, 151.2342) * CHOOSE(CONTROL!$C$21, $C$9, 100%, $E$9)</f>
        <v>151.23419999999999</v>
      </c>
      <c r="F1047" s="14">
        <f>CHOOSE(CONTROL!$C$42, 151.118, 151.118)*CHOOSE(CONTROL!$C$21, $C$9, 100%, $E$9)</f>
        <v>151.11799999999999</v>
      </c>
      <c r="G1047" s="14">
        <f>CHOOSE(CONTROL!$C$42, 151.1341, 151.1341)*CHOOSE(CONTROL!$C$21, $C$9, 100%, $E$9)</f>
        <v>151.13409999999999</v>
      </c>
      <c r="H1047" s="14">
        <f>CHOOSE(CONTROL!$C$42, 151.2234, 151.2234) * CHOOSE(CONTROL!$C$21, $C$9, 100%, $E$9)</f>
        <v>151.2234</v>
      </c>
      <c r="I1047" s="14">
        <f>CHOOSE(CONTROL!$C$42, 151.6095, 151.6095)* CHOOSE(CONTROL!$C$21, $C$9, 100%, $E$9)</f>
        <v>151.6095</v>
      </c>
      <c r="J1047" s="14">
        <f>CHOOSE(CONTROL!$C$42, 151.111, 151.111)* CHOOSE(CONTROL!$C$21, $C$9, 100%, $E$9)</f>
        <v>151.11099999999999</v>
      </c>
      <c r="K1047" s="53">
        <f>CHOOSE(CONTROL!$C$42, 151.6056, 151.6056) * CHOOSE(CONTROL!$C$21, $C$9, 100%, $E$9)</f>
        <v>151.60560000000001</v>
      </c>
      <c r="L1047" s="14">
        <f>CHOOSE(CONTROL!$C$42, 151.8104, 151.8104) * CHOOSE(CONTROL!$C$21, $C$9, 100%, $E$9)</f>
        <v>151.81039999999999</v>
      </c>
      <c r="M1047" s="14">
        <f>CHOOSE(CONTROL!$C$42, 148.0225, 148.0225) * CHOOSE(CONTROL!$C$21, $C$9, 100%, $E$9)</f>
        <v>148.02250000000001</v>
      </c>
      <c r="N1047" s="14">
        <f>CHOOSE(CONTROL!$C$42, 148.0383, 148.0383) * CHOOSE(CONTROL!$C$21, $C$9, 100%, $E$9)</f>
        <v>148.03829999999999</v>
      </c>
      <c r="O1047" s="14">
        <f>CHOOSE(CONTROL!$C$42, 148.1326, 148.1326) * CHOOSE(CONTROL!$C$21, $C$9, 100%, $E$9)</f>
        <v>148.1326</v>
      </c>
      <c r="P1047" s="14">
        <f>CHOOSE(CONTROL!$C$42, 148.5014, 148.5014) * CHOOSE(CONTROL!$C$21, $C$9, 100%, $E$9)</f>
        <v>148.50139999999999</v>
      </c>
      <c r="Q1047" s="14">
        <f>CHOOSE(CONTROL!$C$42, 148.7273, 148.7273) * CHOOSE(CONTROL!$C$21, $C$9, 100%, $E$9)</f>
        <v>148.72730000000001</v>
      </c>
      <c r="R1047" s="14">
        <f>CHOOSE(CONTROL!$C$42, 149.6861, 149.6861) * CHOOSE(CONTROL!$C$21, $C$9, 100%, $E$9)</f>
        <v>149.68610000000001</v>
      </c>
      <c r="S1047" s="14">
        <f>CHOOSE(CONTROL!$C$42, 145.2009, 145.2009) * CHOOSE(CONTROL!$C$21, $C$9, 100%, $E$9)</f>
        <v>145.20089999999999</v>
      </c>
      <c r="T10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7">
        <f>(1000*CHOOSE(CONTROL!$C$42, 695, 695)*CHOOSE(CONTROL!$C$42, 0.5599, 0.5599)*CHOOSE(CONTROL!$C$42, 31, 31))/1000000</f>
        <v>12.063045499999998</v>
      </c>
      <c r="V1047" s="57">
        <f>(1000*CHOOSE(CONTROL!$C$42, 500, 500)*CHOOSE(CONTROL!$C$42, 0.275, 0.275)*CHOOSE(CONTROL!$C$42, 31, 31))/1000000</f>
        <v>4.2625000000000002</v>
      </c>
      <c r="W1047" s="57">
        <f>(1000*CHOOSE(CONTROL!$C$42, 0.1146, 0.1146)*CHOOSE(CONTROL!$C$42, 121.5, 121.5)*CHOOSE(CONTROL!$C$42, 31, 31))/1000000</f>
        <v>0.43164089999999994</v>
      </c>
      <c r="X1047" s="57">
        <f>(31*0.1790888*100000/1000000)+(31*0.2374*100000/1000000)</f>
        <v>1.2911152800000001</v>
      </c>
      <c r="Y1047" s="57"/>
      <c r="Z1047" s="14"/>
      <c r="AA1047" s="56"/>
      <c r="AB1047" s="50">
        <f>(B1047*122.58+C1047*297.941+D1047*89.177+E1047*40.302+F1047*40+G1047*160+H1047*0+I1047*100+J1047*300)/(122.58+297.941+89.177+40.302+0+40+160+100+300)</f>
        <v>151.17296028982608</v>
      </c>
      <c r="AC1047" s="45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148.14221726618706</v>
      </c>
    </row>
    <row r="1048" spans="1:29" ht="15.75" x14ac:dyDescent="0.25">
      <c r="A1048" s="32">
        <v>72805</v>
      </c>
      <c r="B1048" s="14">
        <f>CHOOSE(CONTROL!$C$42, 150.667, 150.667) * CHOOSE(CONTROL!$C$21, $C$9, 100%, $E$9)</f>
        <v>150.667</v>
      </c>
      <c r="C1048" s="14">
        <f>CHOOSE(CONTROL!$C$42, 150.6714, 150.6714) * CHOOSE(CONTROL!$C$21, $C$9, 100%, $E$9)</f>
        <v>150.67140000000001</v>
      </c>
      <c r="D1048" s="14">
        <f>CHOOSE(CONTROL!$C$42, 150.9082, 150.9082) * CHOOSE(CONTROL!$C$21, $C$9, 100%, $E$9)</f>
        <v>150.90819999999999</v>
      </c>
      <c r="E1048" s="14">
        <f>CHOOSE(CONTROL!$C$42, 150.9403, 150.9403) * CHOOSE(CONTROL!$C$21, $C$9, 100%, $E$9)</f>
        <v>150.94030000000001</v>
      </c>
      <c r="F1048" s="14">
        <f>CHOOSE(CONTROL!$C$42, 150.6649, 150.6649)*CHOOSE(CONTROL!$C$21, $C$9, 100%, $E$9)</f>
        <v>150.66489999999999</v>
      </c>
      <c r="G1048" s="14">
        <f>CHOOSE(CONTROL!$C$42, 150.6807, 150.6807)*CHOOSE(CONTROL!$C$21, $C$9, 100%, $E$9)</f>
        <v>150.6807</v>
      </c>
      <c r="H1048" s="14">
        <f>CHOOSE(CONTROL!$C$42, 150.9301, 150.9301) * CHOOSE(CONTROL!$C$21, $C$9, 100%, $E$9)</f>
        <v>150.93010000000001</v>
      </c>
      <c r="I1048" s="14">
        <f>CHOOSE(CONTROL!$C$42, 151.1561, 151.1561)* CHOOSE(CONTROL!$C$21, $C$9, 100%, $E$9)</f>
        <v>151.15610000000001</v>
      </c>
      <c r="J1048" s="14">
        <f>CHOOSE(CONTROL!$C$42, 150.6579, 150.6579)* CHOOSE(CONTROL!$C$21, $C$9, 100%, $E$9)</f>
        <v>150.65790000000001</v>
      </c>
      <c r="K1048" s="53">
        <f>CHOOSE(CONTROL!$C$42, 151.1522, 151.1522) * CHOOSE(CONTROL!$C$21, $C$9, 100%, $E$9)</f>
        <v>151.15219999999999</v>
      </c>
      <c r="L1048" s="14">
        <f>CHOOSE(CONTROL!$C$42, 151.5171, 151.5171) * CHOOSE(CONTROL!$C$21, $C$9, 100%, $E$9)</f>
        <v>151.5171</v>
      </c>
      <c r="M1048" s="14">
        <f>CHOOSE(CONTROL!$C$42, 147.5787, 147.5787) * CHOOSE(CONTROL!$C$21, $C$9, 100%, $E$9)</f>
        <v>147.5787</v>
      </c>
      <c r="N1048" s="14">
        <f>CHOOSE(CONTROL!$C$42, 147.5942, 147.5942) * CHOOSE(CONTROL!$C$21, $C$9, 100%, $E$9)</f>
        <v>147.5942</v>
      </c>
      <c r="O1048" s="14">
        <f>CHOOSE(CONTROL!$C$42, 147.8453, 147.8453) * CHOOSE(CONTROL!$C$21, $C$9, 100%, $E$9)</f>
        <v>147.84530000000001</v>
      </c>
      <c r="P1048" s="14">
        <f>CHOOSE(CONTROL!$C$42, 148.0573, 148.0573) * CHOOSE(CONTROL!$C$21, $C$9, 100%, $E$9)</f>
        <v>148.0573</v>
      </c>
      <c r="Q1048" s="14">
        <f>CHOOSE(CONTROL!$C$42, 148.44, 148.44) * CHOOSE(CONTROL!$C$21, $C$9, 100%, $E$9)</f>
        <v>148.44</v>
      </c>
      <c r="R1048" s="14">
        <f>CHOOSE(CONTROL!$C$42, 149.3981, 149.3981) * CHOOSE(CONTROL!$C$21, $C$9, 100%, $E$9)</f>
        <v>149.3981</v>
      </c>
      <c r="S1048" s="14">
        <f>CHOOSE(CONTROL!$C$42, 144.7666, 144.7666) * CHOOSE(CONTROL!$C$21, $C$9, 100%, $E$9)</f>
        <v>144.76660000000001</v>
      </c>
      <c r="T10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7">
        <f>(1000*CHOOSE(CONTROL!$C$42, 695, 695)*CHOOSE(CONTROL!$C$42, 0.5599, 0.5599)*CHOOSE(CONTROL!$C$42, 30, 30))/1000000</f>
        <v>11.673914999999997</v>
      </c>
      <c r="V1048" s="57">
        <f>(1000*CHOOSE(CONTROL!$C$42, 500, 500)*CHOOSE(CONTROL!$C$42, 0.275, 0.275)*CHOOSE(CONTROL!$C$42, 30, 30))/1000000</f>
        <v>4.125</v>
      </c>
      <c r="W1048" s="57">
        <f>(1000*CHOOSE(CONTROL!$C$42, 0.1146, 0.1146)*CHOOSE(CONTROL!$C$42, 121.5, 121.5)*CHOOSE(CONTROL!$C$42, 30, 30))/1000000</f>
        <v>0.417717</v>
      </c>
      <c r="X1048" s="57">
        <f>(30*0.1790888*245000/1000000)+(30*0.2374*100000/1000000)</f>
        <v>2.0285026799999999</v>
      </c>
      <c r="Y1048" s="57"/>
      <c r="Z1048" s="14"/>
      <c r="AA1048" s="56"/>
      <c r="AB1048" s="50">
        <f>(B1048*141.293+C1048*267.993+D1048*115.016+E1048*89.698+F1048*40+G1048*185+H1048*0+I1048*100+J1048*300)/(141.293+267.993+115.016+89.698+0+40+185+100+300)</f>
        <v>150.7493777173527</v>
      </c>
      <c r="AC1048" s="45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147.76928848920863</v>
      </c>
    </row>
    <row r="1049" spans="1:29" ht="15.75" x14ac:dyDescent="0.25">
      <c r="A1049" s="32">
        <v>72836</v>
      </c>
      <c r="B1049" s="14">
        <f>CHOOSE(CONTROL!$C$42, 151.9981, 151.9981) * CHOOSE(CONTROL!$C$21, $C$9, 100%, $E$9)</f>
        <v>151.99809999999999</v>
      </c>
      <c r="C1049" s="14">
        <f>CHOOSE(CONTROL!$C$42, 152.0061, 152.0061) * CHOOSE(CONTROL!$C$21, $C$9, 100%, $E$9)</f>
        <v>152.0061</v>
      </c>
      <c r="D1049" s="14">
        <f>CHOOSE(CONTROL!$C$42, 152.2397, 152.2397) * CHOOSE(CONTROL!$C$21, $C$9, 100%, $E$9)</f>
        <v>152.2397</v>
      </c>
      <c r="E1049" s="14">
        <f>CHOOSE(CONTROL!$C$42, 152.2712, 152.2712) * CHOOSE(CONTROL!$C$21, $C$9, 100%, $E$9)</f>
        <v>152.27119999999999</v>
      </c>
      <c r="F1049" s="14">
        <f>CHOOSE(CONTROL!$C$42, 151.9948, 151.9948)*CHOOSE(CONTROL!$C$21, $C$9, 100%, $E$9)</f>
        <v>151.9948</v>
      </c>
      <c r="G1049" s="14">
        <f>CHOOSE(CONTROL!$C$42, 152.0112, 152.0112)*CHOOSE(CONTROL!$C$21, $C$9, 100%, $E$9)</f>
        <v>152.0112</v>
      </c>
      <c r="H1049" s="14">
        <f>CHOOSE(CONTROL!$C$42, 152.2598, 152.2598) * CHOOSE(CONTROL!$C$21, $C$9, 100%, $E$9)</f>
        <v>152.25980000000001</v>
      </c>
      <c r="I1049" s="14">
        <f>CHOOSE(CONTROL!$C$42, 152.49, 152.49)* CHOOSE(CONTROL!$C$21, $C$9, 100%, $E$9)</f>
        <v>152.49</v>
      </c>
      <c r="J1049" s="14">
        <f>CHOOSE(CONTROL!$C$42, 151.9878, 151.9878)* CHOOSE(CONTROL!$C$21, $C$9, 100%, $E$9)</f>
        <v>151.98779999999999</v>
      </c>
      <c r="K1049" s="53">
        <f>CHOOSE(CONTROL!$C$42, 152.4861, 152.4861) * CHOOSE(CONTROL!$C$21, $C$9, 100%, $E$9)</f>
        <v>152.48609999999999</v>
      </c>
      <c r="L1049" s="14">
        <f>CHOOSE(CONTROL!$C$42, 152.8468, 152.8468) * CHOOSE(CONTROL!$C$21, $C$9, 100%, $E$9)</f>
        <v>152.8468</v>
      </c>
      <c r="M1049" s="14">
        <f>CHOOSE(CONTROL!$C$42, 148.8814, 148.8814) * CHOOSE(CONTROL!$C$21, $C$9, 100%, $E$9)</f>
        <v>148.88140000000001</v>
      </c>
      <c r="N1049" s="14">
        <f>CHOOSE(CONTROL!$C$42, 148.8974, 148.8974) * CHOOSE(CONTROL!$C$21, $C$9, 100%, $E$9)</f>
        <v>148.8974</v>
      </c>
      <c r="O1049" s="14">
        <f>CHOOSE(CONTROL!$C$42, 149.1478, 149.1478) * CHOOSE(CONTROL!$C$21, $C$9, 100%, $E$9)</f>
        <v>149.14779999999999</v>
      </c>
      <c r="P1049" s="14">
        <f>CHOOSE(CONTROL!$C$42, 149.3638, 149.3638) * CHOOSE(CONTROL!$C$21, $C$9, 100%, $E$9)</f>
        <v>149.3638</v>
      </c>
      <c r="Q1049" s="14">
        <f>CHOOSE(CONTROL!$C$42, 149.7425, 149.7425) * CHOOSE(CONTROL!$C$21, $C$9, 100%, $E$9)</f>
        <v>149.74250000000001</v>
      </c>
      <c r="R1049" s="14">
        <f>CHOOSE(CONTROL!$C$42, 150.7038, 150.7038) * CHOOSE(CONTROL!$C$21, $C$9, 100%, $E$9)</f>
        <v>150.7038</v>
      </c>
      <c r="S1049" s="14">
        <f>CHOOSE(CONTROL!$C$42, 146.0443, 146.0443) * CHOOSE(CONTROL!$C$21, $C$9, 100%, $E$9)</f>
        <v>146.04429999999999</v>
      </c>
      <c r="T10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7">
        <f>(1000*CHOOSE(CONTROL!$C$42, 695, 695)*CHOOSE(CONTROL!$C$42, 0.5599, 0.5599)*CHOOSE(CONTROL!$C$42, 31, 31))/1000000</f>
        <v>12.063045499999998</v>
      </c>
      <c r="V1049" s="57">
        <f>(1000*CHOOSE(CONTROL!$C$42, 500, 500)*CHOOSE(CONTROL!$C$42, 0.275, 0.275)*CHOOSE(CONTROL!$C$42, 31, 31))/1000000</f>
        <v>4.2625000000000002</v>
      </c>
      <c r="W1049" s="57">
        <f>(1000*CHOOSE(CONTROL!$C$42, 0.1146, 0.1146)*CHOOSE(CONTROL!$C$42, 121.5, 121.5)*CHOOSE(CONTROL!$C$42, 31, 31))/1000000</f>
        <v>0.43164089999999994</v>
      </c>
      <c r="X1049" s="57">
        <f>(31*0.1790888*245000/1000000)+(31*0.2374*100000/1000000)</f>
        <v>2.0961194359999999</v>
      </c>
      <c r="Y1049" s="57"/>
      <c r="Z1049" s="14"/>
      <c r="AA1049" s="56"/>
      <c r="AB1049" s="50">
        <f>(B1049*194.205+C1049*267.466+D1049*133.845+E1049*53.484+F1049*40+G1049*185+H1049*0+I1049*100+J1049*300)/(194.205+267.466+133.845+53.484+0+40+185+100+300)</f>
        <v>152.07461072244899</v>
      </c>
      <c r="AC1049" s="45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149.07247338129497</v>
      </c>
    </row>
    <row r="1050" spans="1:29" ht="15.75" x14ac:dyDescent="0.25">
      <c r="A1050" s="32">
        <v>72866</v>
      </c>
      <c r="B1050" s="14">
        <f>CHOOSE(CONTROL!$C$42, 156.3094, 156.3094) * CHOOSE(CONTROL!$C$21, $C$9, 100%, $E$9)</f>
        <v>156.30940000000001</v>
      </c>
      <c r="C1050" s="14">
        <f>CHOOSE(CONTROL!$C$42, 156.3174, 156.3174) * CHOOSE(CONTROL!$C$21, $C$9, 100%, $E$9)</f>
        <v>156.31739999999999</v>
      </c>
      <c r="D1050" s="14">
        <f>CHOOSE(CONTROL!$C$42, 156.551, 156.551) * CHOOSE(CONTROL!$C$21, $C$9, 100%, $E$9)</f>
        <v>156.55099999999999</v>
      </c>
      <c r="E1050" s="14">
        <f>CHOOSE(CONTROL!$C$42, 156.5825, 156.5825) * CHOOSE(CONTROL!$C$21, $C$9, 100%, $E$9)</f>
        <v>156.58250000000001</v>
      </c>
      <c r="F1050" s="14">
        <f>CHOOSE(CONTROL!$C$42, 156.3066, 156.3066)*CHOOSE(CONTROL!$C$21, $C$9, 100%, $E$9)</f>
        <v>156.3066</v>
      </c>
      <c r="G1050" s="14">
        <f>CHOOSE(CONTROL!$C$42, 156.3231, 156.3231)*CHOOSE(CONTROL!$C$21, $C$9, 100%, $E$9)</f>
        <v>156.32310000000001</v>
      </c>
      <c r="H1050" s="14">
        <f>CHOOSE(CONTROL!$C$42, 156.5711, 156.5711) * CHOOSE(CONTROL!$C$21, $C$9, 100%, $E$9)</f>
        <v>156.5711</v>
      </c>
      <c r="I1050" s="14">
        <f>CHOOSE(CONTROL!$C$42, 156.8148, 156.8148)* CHOOSE(CONTROL!$C$21, $C$9, 100%, $E$9)</f>
        <v>156.81479999999999</v>
      </c>
      <c r="J1050" s="14">
        <f>CHOOSE(CONTROL!$C$42, 156.2996, 156.2996)* CHOOSE(CONTROL!$C$21, $C$9, 100%, $E$9)</f>
        <v>156.2996</v>
      </c>
      <c r="K1050" s="53">
        <f>CHOOSE(CONTROL!$C$42, 156.8109, 156.8109) * CHOOSE(CONTROL!$C$21, $C$9, 100%, $E$9)</f>
        <v>156.8109</v>
      </c>
      <c r="L1050" s="14">
        <f>CHOOSE(CONTROL!$C$42, 157.1581, 157.1581) * CHOOSE(CONTROL!$C$21, $C$9, 100%, $E$9)</f>
        <v>157.15809999999999</v>
      </c>
      <c r="M1050" s="14">
        <f>CHOOSE(CONTROL!$C$42, 153.1048, 153.1048) * CHOOSE(CONTROL!$C$21, $C$9, 100%, $E$9)</f>
        <v>153.10480000000001</v>
      </c>
      <c r="N1050" s="14">
        <f>CHOOSE(CONTROL!$C$42, 153.121, 153.121) * CHOOSE(CONTROL!$C$21, $C$9, 100%, $E$9)</f>
        <v>153.12100000000001</v>
      </c>
      <c r="O1050" s="14">
        <f>CHOOSE(CONTROL!$C$42, 153.3707, 153.3707) * CHOOSE(CONTROL!$C$21, $C$9, 100%, $E$9)</f>
        <v>153.3707</v>
      </c>
      <c r="P1050" s="14">
        <f>CHOOSE(CONTROL!$C$42, 153.5997, 153.5997) * CHOOSE(CONTROL!$C$21, $C$9, 100%, $E$9)</f>
        <v>153.59970000000001</v>
      </c>
      <c r="Q1050" s="14">
        <f>CHOOSE(CONTROL!$C$42, 153.9654, 153.9654) * CHOOSE(CONTROL!$C$21, $C$9, 100%, $E$9)</f>
        <v>153.96539999999999</v>
      </c>
      <c r="R1050" s="14">
        <f>CHOOSE(CONTROL!$C$42, 154.9374, 154.9374) * CHOOSE(CONTROL!$C$21, $C$9, 100%, $E$9)</f>
        <v>154.9374</v>
      </c>
      <c r="S1050" s="14">
        <f>CHOOSE(CONTROL!$C$42, 150.187, 150.187) * CHOOSE(CONTROL!$C$21, $C$9, 100%, $E$9)</f>
        <v>150.18700000000001</v>
      </c>
      <c r="T10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7">
        <f>(1000*CHOOSE(CONTROL!$C$42, 695, 695)*CHOOSE(CONTROL!$C$42, 0.5599, 0.5599)*CHOOSE(CONTROL!$C$42, 30, 30))/1000000</f>
        <v>11.673914999999997</v>
      </c>
      <c r="V1050" s="57">
        <f>(1000*CHOOSE(CONTROL!$C$42, 500, 500)*CHOOSE(CONTROL!$C$42, 0.275, 0.275)*CHOOSE(CONTROL!$C$42, 30, 30))/1000000</f>
        <v>4.125</v>
      </c>
      <c r="W1050" s="57">
        <f>(1000*CHOOSE(CONTROL!$C$42, 0.1146, 0.1146)*CHOOSE(CONTROL!$C$42, 121.5, 121.5)*CHOOSE(CONTROL!$C$42, 30, 30))/1000000</f>
        <v>0.417717</v>
      </c>
      <c r="X1050" s="57">
        <f>(30*0.1790888*245000/1000000)+(30*0.2374*100000/1000000)</f>
        <v>2.0285026799999999</v>
      </c>
      <c r="Y1050" s="57"/>
      <c r="Z1050" s="14"/>
      <c r="AA1050" s="56"/>
      <c r="AB1050" s="50">
        <f>(B1050*194.205+C1050*267.466+D1050*133.845+E1050*53.484+F1050*40+G1050*185+H1050*0+I1050*100+J1050*300)/(194.205+267.466+133.845+53.484+0+40+185+100+300)</f>
        <v>156.38719094222918</v>
      </c>
      <c r="AC1050" s="45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153.29745683453237</v>
      </c>
    </row>
    <row r="1051" spans="1:29" ht="15.75" x14ac:dyDescent="0.25">
      <c r="A1051" s="32">
        <v>72897</v>
      </c>
      <c r="B1051" s="14">
        <f>CHOOSE(CONTROL!$C$42, 153.3108, 153.3108) * CHOOSE(CONTROL!$C$21, $C$9, 100%, $E$9)</f>
        <v>153.3108</v>
      </c>
      <c r="C1051" s="14">
        <f>CHOOSE(CONTROL!$C$42, 153.3189, 153.3189) * CHOOSE(CONTROL!$C$21, $C$9, 100%, $E$9)</f>
        <v>153.31890000000001</v>
      </c>
      <c r="D1051" s="14">
        <f>CHOOSE(CONTROL!$C$42, 153.5525, 153.5525) * CHOOSE(CONTROL!$C$21, $C$9, 100%, $E$9)</f>
        <v>153.55250000000001</v>
      </c>
      <c r="E1051" s="14">
        <f>CHOOSE(CONTROL!$C$42, 153.5839, 153.5839) * CHOOSE(CONTROL!$C$21, $C$9, 100%, $E$9)</f>
        <v>153.5839</v>
      </c>
      <c r="F1051" s="14">
        <f>CHOOSE(CONTROL!$C$42, 153.3086, 153.3086)*CHOOSE(CONTROL!$C$21, $C$9, 100%, $E$9)</f>
        <v>153.30860000000001</v>
      </c>
      <c r="G1051" s="14">
        <f>CHOOSE(CONTROL!$C$42, 153.3252, 153.3252)*CHOOSE(CONTROL!$C$21, $C$9, 100%, $E$9)</f>
        <v>153.3252</v>
      </c>
      <c r="H1051" s="14">
        <f>CHOOSE(CONTROL!$C$42, 153.5726, 153.5726) * CHOOSE(CONTROL!$C$21, $C$9, 100%, $E$9)</f>
        <v>153.57259999999999</v>
      </c>
      <c r="I1051" s="14">
        <f>CHOOSE(CONTROL!$C$42, 153.8069, 153.8069)* CHOOSE(CONTROL!$C$21, $C$9, 100%, $E$9)</f>
        <v>153.80690000000001</v>
      </c>
      <c r="J1051" s="14">
        <f>CHOOSE(CONTROL!$C$42, 153.3016, 153.3016)* CHOOSE(CONTROL!$C$21, $C$9, 100%, $E$9)</f>
        <v>153.30160000000001</v>
      </c>
      <c r="K1051" s="53">
        <f>CHOOSE(CONTROL!$C$42, 153.803, 153.803) * CHOOSE(CONTROL!$C$21, $C$9, 100%, $E$9)</f>
        <v>153.803</v>
      </c>
      <c r="L1051" s="14">
        <f>CHOOSE(CONTROL!$C$42, 154.1596, 154.1596) * CHOOSE(CONTROL!$C$21, $C$9, 100%, $E$9)</f>
        <v>154.15960000000001</v>
      </c>
      <c r="M1051" s="14">
        <f>CHOOSE(CONTROL!$C$42, 150.1683, 150.1683) * CHOOSE(CONTROL!$C$21, $C$9, 100%, $E$9)</f>
        <v>150.16829999999999</v>
      </c>
      <c r="N1051" s="14">
        <f>CHOOSE(CONTROL!$C$42, 150.1845, 150.1845) * CHOOSE(CONTROL!$C$21, $C$9, 100%, $E$9)</f>
        <v>150.18450000000001</v>
      </c>
      <c r="O1051" s="14">
        <f>CHOOSE(CONTROL!$C$42, 150.4336, 150.4336) * CHOOSE(CONTROL!$C$21, $C$9, 100%, $E$9)</f>
        <v>150.43360000000001</v>
      </c>
      <c r="P1051" s="14">
        <f>CHOOSE(CONTROL!$C$42, 150.6536, 150.6536) * CHOOSE(CONTROL!$C$21, $C$9, 100%, $E$9)</f>
        <v>150.65360000000001</v>
      </c>
      <c r="Q1051" s="14">
        <f>CHOOSE(CONTROL!$C$42, 151.0283, 151.0283) * CHOOSE(CONTROL!$C$21, $C$9, 100%, $E$9)</f>
        <v>151.0283</v>
      </c>
      <c r="R1051" s="14">
        <f>CHOOSE(CONTROL!$C$42, 151.9929, 151.9929) * CHOOSE(CONTROL!$C$21, $C$9, 100%, $E$9)</f>
        <v>151.99289999999999</v>
      </c>
      <c r="S1051" s="14">
        <f>CHOOSE(CONTROL!$C$42, 147.3057, 147.3057) * CHOOSE(CONTROL!$C$21, $C$9, 100%, $E$9)</f>
        <v>147.3057</v>
      </c>
      <c r="T10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7">
        <f>(1000*CHOOSE(CONTROL!$C$42, 695, 695)*CHOOSE(CONTROL!$C$42, 0.5599, 0.5599)*CHOOSE(CONTROL!$C$42, 31, 31))/1000000</f>
        <v>12.063045499999998</v>
      </c>
      <c r="V1051" s="57">
        <f>(1000*CHOOSE(CONTROL!$C$42, 500, 500)*CHOOSE(CONTROL!$C$42, 0.275, 0.275)*CHOOSE(CONTROL!$C$42, 31, 31))/1000000</f>
        <v>4.2625000000000002</v>
      </c>
      <c r="W1051" s="57">
        <f>(1000*CHOOSE(CONTROL!$C$42, 0.1146, 0.1146)*CHOOSE(CONTROL!$C$42, 121.5, 121.5)*CHOOSE(CONTROL!$C$42, 31, 31))/1000000</f>
        <v>0.43164089999999994</v>
      </c>
      <c r="X1051" s="57">
        <f>(31*0.1790888*245000/1000000)+(31*0.2374*100000/1000000)</f>
        <v>2.0961194359999999</v>
      </c>
      <c r="Y1051" s="57"/>
      <c r="Z1051" s="14"/>
      <c r="AA1051" s="56"/>
      <c r="AB1051" s="50">
        <f>(B1051*194.205+C1051*267.466+D1051*133.845+E1051*53.484+F1051*40+G1051*185+H1051*0+I1051*100+J1051*300)/(194.205+267.466+133.845+53.484+0+40+185+100+300)</f>
        <v>153.38815423194663</v>
      </c>
      <c r="AC1051" s="45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150.35930359712231</v>
      </c>
    </row>
    <row r="1052" spans="1:29" ht="15.75" x14ac:dyDescent="0.25">
      <c r="A1052" s="32">
        <v>72928</v>
      </c>
      <c r="B1052" s="14">
        <f>CHOOSE(CONTROL!$C$42, 145.7386, 145.7386) * CHOOSE(CONTROL!$C$21, $C$9, 100%, $E$9)</f>
        <v>145.73859999999999</v>
      </c>
      <c r="C1052" s="14">
        <f>CHOOSE(CONTROL!$C$42, 145.7466, 145.7466) * CHOOSE(CONTROL!$C$21, $C$9, 100%, $E$9)</f>
        <v>145.7466</v>
      </c>
      <c r="D1052" s="14">
        <f>CHOOSE(CONTROL!$C$42, 145.9802, 145.9802) * CHOOSE(CONTROL!$C$21, $C$9, 100%, $E$9)</f>
        <v>145.9802</v>
      </c>
      <c r="E1052" s="14">
        <f>CHOOSE(CONTROL!$C$42, 146.0117, 146.0117) * CHOOSE(CONTROL!$C$21, $C$9, 100%, $E$9)</f>
        <v>146.01169999999999</v>
      </c>
      <c r="F1052" s="14">
        <f>CHOOSE(CONTROL!$C$42, 145.7366, 145.7366)*CHOOSE(CONTROL!$C$21, $C$9, 100%, $E$9)</f>
        <v>145.73660000000001</v>
      </c>
      <c r="G1052" s="14">
        <f>CHOOSE(CONTROL!$C$42, 145.7532, 145.7532)*CHOOSE(CONTROL!$C$21, $C$9, 100%, $E$9)</f>
        <v>145.75319999999999</v>
      </c>
      <c r="H1052" s="14">
        <f>CHOOSE(CONTROL!$C$42, 146.0003, 146.0003) * CHOOSE(CONTROL!$C$21, $C$9, 100%, $E$9)</f>
        <v>146.00030000000001</v>
      </c>
      <c r="I1052" s="14">
        <f>CHOOSE(CONTROL!$C$42, 146.2109, 146.2109)* CHOOSE(CONTROL!$C$21, $C$9, 100%, $E$9)</f>
        <v>146.21090000000001</v>
      </c>
      <c r="J1052" s="14">
        <f>CHOOSE(CONTROL!$C$42, 145.7296, 145.7296)* CHOOSE(CONTROL!$C$21, $C$9, 100%, $E$9)</f>
        <v>145.7296</v>
      </c>
      <c r="K1052" s="53">
        <f>CHOOSE(CONTROL!$C$42, 146.207, 146.207) * CHOOSE(CONTROL!$C$21, $C$9, 100%, $E$9)</f>
        <v>146.20699999999999</v>
      </c>
      <c r="L1052" s="14">
        <f>CHOOSE(CONTROL!$C$42, 146.5873, 146.5873) * CHOOSE(CONTROL!$C$21, $C$9, 100%, $E$9)</f>
        <v>146.5873</v>
      </c>
      <c r="M1052" s="14">
        <f>CHOOSE(CONTROL!$C$42, 142.7514, 142.7514) * CHOOSE(CONTROL!$C$21, $C$9, 100%, $E$9)</f>
        <v>142.75139999999999</v>
      </c>
      <c r="N1052" s="14">
        <f>CHOOSE(CONTROL!$C$42, 142.7677, 142.7677) * CHOOSE(CONTROL!$C$21, $C$9, 100%, $E$9)</f>
        <v>142.76769999999999</v>
      </c>
      <c r="O1052" s="14">
        <f>CHOOSE(CONTROL!$C$42, 143.0166, 143.0166) * CHOOSE(CONTROL!$C$21, $C$9, 100%, $E$9)</f>
        <v>143.01660000000001</v>
      </c>
      <c r="P1052" s="14">
        <f>CHOOSE(CONTROL!$C$42, 143.2137, 143.2137) * CHOOSE(CONTROL!$C$21, $C$9, 100%, $E$9)</f>
        <v>143.21369999999999</v>
      </c>
      <c r="Q1052" s="14">
        <f>CHOOSE(CONTROL!$C$42, 143.6113, 143.6113) * CHOOSE(CONTROL!$C$21, $C$9, 100%, $E$9)</f>
        <v>143.6113</v>
      </c>
      <c r="R1052" s="14">
        <f>CHOOSE(CONTROL!$C$42, 144.5573, 144.5573) * CHOOSE(CONTROL!$C$21, $C$9, 100%, $E$9)</f>
        <v>144.5573</v>
      </c>
      <c r="S1052" s="14">
        <f>CHOOSE(CONTROL!$C$42, 140.0296, 140.0296) * CHOOSE(CONTROL!$C$21, $C$9, 100%, $E$9)</f>
        <v>140.02959999999999</v>
      </c>
      <c r="T10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7">
        <f>(1000*CHOOSE(CONTROL!$C$42, 695, 695)*CHOOSE(CONTROL!$C$42, 0.5599, 0.5599)*CHOOSE(CONTROL!$C$42, 31, 31))/1000000</f>
        <v>12.063045499999998</v>
      </c>
      <c r="V1052" s="57">
        <f>(1000*CHOOSE(CONTROL!$C$42, 500, 500)*CHOOSE(CONTROL!$C$42, 0.275, 0.275)*CHOOSE(CONTROL!$C$42, 31, 31))/1000000</f>
        <v>4.2625000000000002</v>
      </c>
      <c r="W1052" s="57">
        <f>(1000*CHOOSE(CONTROL!$C$42, 0.1146, 0.1146)*CHOOSE(CONTROL!$C$42, 121.5, 121.5)*CHOOSE(CONTROL!$C$42, 31, 31))/1000000</f>
        <v>0.43164089999999994</v>
      </c>
      <c r="X1052" s="57">
        <f>(31*0.1790888*245000/1000000)+(31*0.2374*100000/1000000)</f>
        <v>2.0961194359999999</v>
      </c>
      <c r="Y1052" s="57"/>
      <c r="Z1052" s="14"/>
      <c r="AA1052" s="56"/>
      <c r="AB1052" s="50">
        <f>(B1052*194.205+C1052*267.466+D1052*133.845+E1052*53.484+F1052*40+G1052*185+H1052*0+I1052*100+J1052*300)/(194.205+267.466+133.845+53.484+0+40+185+100+300)</f>
        <v>145.81413701758242</v>
      </c>
      <c r="AC1052" s="45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142.93905467625899</v>
      </c>
    </row>
    <row r="1053" spans="1:29" ht="15.75" x14ac:dyDescent="0.25">
      <c r="A1053" s="32">
        <v>72958</v>
      </c>
      <c r="B1053" s="14">
        <f>CHOOSE(CONTROL!$C$42, 136.4863, 136.4863) * CHOOSE(CONTROL!$C$21, $C$9, 100%, $E$9)</f>
        <v>136.4863</v>
      </c>
      <c r="C1053" s="14">
        <f>CHOOSE(CONTROL!$C$42, 136.4943, 136.4943) * CHOOSE(CONTROL!$C$21, $C$9, 100%, $E$9)</f>
        <v>136.49430000000001</v>
      </c>
      <c r="D1053" s="14">
        <f>CHOOSE(CONTROL!$C$42, 136.7279, 136.7279) * CHOOSE(CONTROL!$C$21, $C$9, 100%, $E$9)</f>
        <v>136.72790000000001</v>
      </c>
      <c r="E1053" s="14">
        <f>CHOOSE(CONTROL!$C$42, 136.7594, 136.7594) * CHOOSE(CONTROL!$C$21, $C$9, 100%, $E$9)</f>
        <v>136.7594</v>
      </c>
      <c r="F1053" s="14">
        <f>CHOOSE(CONTROL!$C$42, 136.4843, 136.4843)*CHOOSE(CONTROL!$C$21, $C$9, 100%, $E$9)</f>
        <v>136.48429999999999</v>
      </c>
      <c r="G1053" s="14">
        <f>CHOOSE(CONTROL!$C$42, 136.501, 136.501)*CHOOSE(CONTROL!$C$21, $C$9, 100%, $E$9)</f>
        <v>136.501</v>
      </c>
      <c r="H1053" s="14">
        <f>CHOOSE(CONTROL!$C$42, 136.748, 136.748) * CHOOSE(CONTROL!$C$21, $C$9, 100%, $E$9)</f>
        <v>136.74799999999999</v>
      </c>
      <c r="I1053" s="14">
        <f>CHOOSE(CONTROL!$C$42, 136.9296, 136.9296)* CHOOSE(CONTROL!$C$21, $C$9, 100%, $E$9)</f>
        <v>136.92959999999999</v>
      </c>
      <c r="J1053" s="14">
        <f>CHOOSE(CONTROL!$C$42, 136.4773, 136.4773)* CHOOSE(CONTROL!$C$21, $C$9, 100%, $E$9)</f>
        <v>136.47730000000001</v>
      </c>
      <c r="K1053" s="53">
        <f>CHOOSE(CONTROL!$C$42, 136.9257, 136.9257) * CHOOSE(CONTROL!$C$21, $C$9, 100%, $E$9)</f>
        <v>136.92570000000001</v>
      </c>
      <c r="L1053" s="14">
        <f>CHOOSE(CONTROL!$C$42, 137.335, 137.335) * CHOOSE(CONTROL!$C$21, $C$9, 100%, $E$9)</f>
        <v>137.33500000000001</v>
      </c>
      <c r="M1053" s="14">
        <f>CHOOSE(CONTROL!$C$42, 133.6887, 133.6887) * CHOOSE(CONTROL!$C$21, $C$9, 100%, $E$9)</f>
        <v>133.68870000000001</v>
      </c>
      <c r="N1053" s="14">
        <f>CHOOSE(CONTROL!$C$42, 133.705, 133.705) * CHOOSE(CONTROL!$C$21, $C$9, 100%, $E$9)</f>
        <v>133.70500000000001</v>
      </c>
      <c r="O1053" s="14">
        <f>CHOOSE(CONTROL!$C$42, 133.9538, 133.9538) * CHOOSE(CONTROL!$C$21, $C$9, 100%, $E$9)</f>
        <v>133.9538</v>
      </c>
      <c r="P1053" s="14">
        <f>CHOOSE(CONTROL!$C$42, 134.1232, 134.1232) * CHOOSE(CONTROL!$C$21, $C$9, 100%, $E$9)</f>
        <v>134.1232</v>
      </c>
      <c r="Q1053" s="14">
        <f>CHOOSE(CONTROL!$C$42, 134.5485, 134.5485) * CHOOSE(CONTROL!$C$21, $C$9, 100%, $E$9)</f>
        <v>134.54849999999999</v>
      </c>
      <c r="R1053" s="14">
        <f>CHOOSE(CONTROL!$C$42, 135.4719, 135.4719) * CHOOSE(CONTROL!$C$21, $C$9, 100%, $E$9)</f>
        <v>135.47190000000001</v>
      </c>
      <c r="S1053" s="14">
        <f>CHOOSE(CONTROL!$C$42, 131.139, 131.139) * CHOOSE(CONTROL!$C$21, $C$9, 100%, $E$9)</f>
        <v>131.13900000000001</v>
      </c>
      <c r="T10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7">
        <f>(1000*CHOOSE(CONTROL!$C$42, 695, 695)*CHOOSE(CONTROL!$C$42, 0.5599, 0.5599)*CHOOSE(CONTROL!$C$42, 30, 30))/1000000</f>
        <v>11.673914999999997</v>
      </c>
      <c r="V1053" s="57">
        <f>(1000*CHOOSE(CONTROL!$C$42, 500, 500)*CHOOSE(CONTROL!$C$42, 0.275, 0.275)*CHOOSE(CONTROL!$C$42, 30, 30))/1000000</f>
        <v>4.125</v>
      </c>
      <c r="W1053" s="57">
        <f>(1000*CHOOSE(CONTROL!$C$42, 0.1146, 0.1146)*CHOOSE(CONTROL!$C$42, 121.5, 121.5)*CHOOSE(CONTROL!$C$42, 30, 30))/1000000</f>
        <v>0.417717</v>
      </c>
      <c r="X1053" s="57">
        <f>(30*0.1790888*245000/1000000)+(30*0.2374*100000/1000000)</f>
        <v>2.0285026799999999</v>
      </c>
      <c r="Y1053" s="57"/>
      <c r="Z1053" s="14"/>
      <c r="AA1053" s="56"/>
      <c r="AB1053" s="50">
        <f>(B1053*194.205+C1053*267.466+D1053*133.845+E1053*53.484+F1053*40+G1053*185+H1053*0+I1053*100+J1053*300)/(194.205+267.466+133.845+53.484+0+40+185+100+300)</f>
        <v>136.55957524364209</v>
      </c>
      <c r="AC1053" s="45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133.87230935251799</v>
      </c>
    </row>
    <row r="1054" spans="1:29" ht="15.75" x14ac:dyDescent="0.25">
      <c r="A1054" s="32">
        <v>72989</v>
      </c>
      <c r="B1054" s="14">
        <f>CHOOSE(CONTROL!$C$42, 133.7135, 133.7135) * CHOOSE(CONTROL!$C$21, $C$9, 100%, $E$9)</f>
        <v>133.71350000000001</v>
      </c>
      <c r="C1054" s="14">
        <f>CHOOSE(CONTROL!$C$42, 133.7189, 133.7189) * CHOOSE(CONTROL!$C$21, $C$9, 100%, $E$9)</f>
        <v>133.71889999999999</v>
      </c>
      <c r="D1054" s="14">
        <f>CHOOSE(CONTROL!$C$42, 133.9574, 133.9574) * CHOOSE(CONTROL!$C$21, $C$9, 100%, $E$9)</f>
        <v>133.95740000000001</v>
      </c>
      <c r="E1054" s="14">
        <f>CHOOSE(CONTROL!$C$42, 133.9865, 133.9865) * CHOOSE(CONTROL!$C$21, $C$9, 100%, $E$9)</f>
        <v>133.98650000000001</v>
      </c>
      <c r="F1054" s="14">
        <f>CHOOSE(CONTROL!$C$42, 133.7136, 133.7136)*CHOOSE(CONTROL!$C$21, $C$9, 100%, $E$9)</f>
        <v>133.71360000000001</v>
      </c>
      <c r="G1054" s="14">
        <f>CHOOSE(CONTROL!$C$42, 133.7298, 133.7298)*CHOOSE(CONTROL!$C$21, $C$9, 100%, $E$9)</f>
        <v>133.72980000000001</v>
      </c>
      <c r="H1054" s="14">
        <f>CHOOSE(CONTROL!$C$42, 133.977, 133.977) * CHOOSE(CONTROL!$C$21, $C$9, 100%, $E$9)</f>
        <v>133.977</v>
      </c>
      <c r="I1054" s="14">
        <f>CHOOSE(CONTROL!$C$42, 134.15, 134.15)* CHOOSE(CONTROL!$C$21, $C$9, 100%, $E$9)</f>
        <v>134.15</v>
      </c>
      <c r="J1054" s="14">
        <f>CHOOSE(CONTROL!$C$42, 133.7066, 133.7066)* CHOOSE(CONTROL!$C$21, $C$9, 100%, $E$9)</f>
        <v>133.70660000000001</v>
      </c>
      <c r="K1054" s="53">
        <f>CHOOSE(CONTROL!$C$42, 134.1461, 134.1461) * CHOOSE(CONTROL!$C$21, $C$9, 100%, $E$9)</f>
        <v>134.14609999999999</v>
      </c>
      <c r="L1054" s="14">
        <f>CHOOSE(CONTROL!$C$42, 134.564, 134.564) * CHOOSE(CONTROL!$C$21, $C$9, 100%, $E$9)</f>
        <v>134.56399999999999</v>
      </c>
      <c r="M1054" s="14">
        <f>CHOOSE(CONTROL!$C$42, 130.9747, 130.9747) * CHOOSE(CONTROL!$C$21, $C$9, 100%, $E$9)</f>
        <v>130.97470000000001</v>
      </c>
      <c r="N1054" s="14">
        <f>CHOOSE(CONTROL!$C$42, 130.9906, 130.9906) * CHOOSE(CONTROL!$C$21, $C$9, 100%, $E$9)</f>
        <v>130.9906</v>
      </c>
      <c r="O1054" s="14">
        <f>CHOOSE(CONTROL!$C$42, 131.2396, 131.2396) * CHOOSE(CONTROL!$C$21, $C$9, 100%, $E$9)</f>
        <v>131.2396</v>
      </c>
      <c r="P1054" s="14">
        <f>CHOOSE(CONTROL!$C$42, 131.4007, 131.4007) * CHOOSE(CONTROL!$C$21, $C$9, 100%, $E$9)</f>
        <v>131.4007</v>
      </c>
      <c r="Q1054" s="14">
        <f>CHOOSE(CONTROL!$C$42, 131.8343, 131.8343) * CHOOSE(CONTROL!$C$21, $C$9, 100%, $E$9)</f>
        <v>131.83430000000001</v>
      </c>
      <c r="R1054" s="14">
        <f>CHOOSE(CONTROL!$C$42, 132.7509, 132.7509) * CHOOSE(CONTROL!$C$21, $C$9, 100%, $E$9)</f>
        <v>132.7509</v>
      </c>
      <c r="S1054" s="14">
        <f>CHOOSE(CONTROL!$C$42, 128.4764, 128.4764) * CHOOSE(CONTROL!$C$21, $C$9, 100%, $E$9)</f>
        <v>128.47640000000001</v>
      </c>
      <c r="T10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7">
        <f>(1000*CHOOSE(CONTROL!$C$42, 695, 695)*CHOOSE(CONTROL!$C$42, 0.5599, 0.5599)*CHOOSE(CONTROL!$C$42, 31, 31))/1000000</f>
        <v>12.063045499999998</v>
      </c>
      <c r="V1054" s="57">
        <f>(1000*CHOOSE(CONTROL!$C$42, 500, 500)*CHOOSE(CONTROL!$C$42, 0.275, 0.275)*CHOOSE(CONTROL!$C$42, 31, 31))/1000000</f>
        <v>4.2625000000000002</v>
      </c>
      <c r="W1054" s="57">
        <f>(1000*CHOOSE(CONTROL!$C$42, 0.1146, 0.1146)*CHOOSE(CONTROL!$C$42, 121.5, 121.5)*CHOOSE(CONTROL!$C$42, 31, 31))/1000000</f>
        <v>0.43164089999999994</v>
      </c>
      <c r="X1054" s="57">
        <f>(31*0.1790888*245000/1000000)+(31*0.2374*100000/1000000)</f>
        <v>2.0961194359999999</v>
      </c>
      <c r="Y1054" s="57"/>
      <c r="Z1054" s="14"/>
      <c r="AA1054" s="56"/>
      <c r="AB1054" s="50">
        <f>(B1054*131.881+C1054*277.167+D1054*79.08+E1054*125.872+F1054*40+G1054*185+H1054*0+I1054*100+J1054*300)/(131.881+277.167+79.08+125.872+0+40+185+100+300)</f>
        <v>133.79400594818404</v>
      </c>
      <c r="AC1054" s="45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131.15697266187053</v>
      </c>
    </row>
    <row r="1055" spans="1:29" ht="15.75" x14ac:dyDescent="0.25">
      <c r="A1055" s="32">
        <v>73019</v>
      </c>
      <c r="B1055" s="14">
        <f>CHOOSE(CONTROL!$C$42, 137.2355, 137.2355) * CHOOSE(CONTROL!$C$21, $C$9, 100%, $E$9)</f>
        <v>137.2355</v>
      </c>
      <c r="C1055" s="14">
        <f>CHOOSE(CONTROL!$C$42, 137.2406, 137.2406) * CHOOSE(CONTROL!$C$21, $C$9, 100%, $E$9)</f>
        <v>137.2406</v>
      </c>
      <c r="D1055" s="14">
        <f>CHOOSE(CONTROL!$C$42, 137.3148, 137.3148) * CHOOSE(CONTROL!$C$21, $C$9, 100%, $E$9)</f>
        <v>137.31479999999999</v>
      </c>
      <c r="E1055" s="14">
        <f>CHOOSE(CONTROL!$C$42, 137.3489, 137.3489) * CHOOSE(CONTROL!$C$21, $C$9, 100%, $E$9)</f>
        <v>137.34889999999999</v>
      </c>
      <c r="F1055" s="14">
        <f>CHOOSE(CONTROL!$C$42, 137.2476, 137.2476)*CHOOSE(CONTROL!$C$21, $C$9, 100%, $E$9)</f>
        <v>137.24760000000001</v>
      </c>
      <c r="G1055" s="14">
        <f>CHOOSE(CONTROL!$C$42, 137.2642, 137.2642)*CHOOSE(CONTROL!$C$21, $C$9, 100%, $E$9)</f>
        <v>137.26419999999999</v>
      </c>
      <c r="H1055" s="14">
        <f>CHOOSE(CONTROL!$C$42, 137.3381, 137.3381) * CHOOSE(CONTROL!$C$21, $C$9, 100%, $E$9)</f>
        <v>137.3381</v>
      </c>
      <c r="I1055" s="14">
        <f>CHOOSE(CONTROL!$C$42, 137.6896, 137.6896)* CHOOSE(CONTROL!$C$21, $C$9, 100%, $E$9)</f>
        <v>137.68960000000001</v>
      </c>
      <c r="J1055" s="14">
        <f>CHOOSE(CONTROL!$C$42, 137.2406, 137.2406)* CHOOSE(CONTROL!$C$21, $C$9, 100%, $E$9)</f>
        <v>137.2406</v>
      </c>
      <c r="K1055" s="53">
        <f>CHOOSE(CONTROL!$C$42, 137.6857, 137.6857) * CHOOSE(CONTROL!$C$21, $C$9, 100%, $E$9)</f>
        <v>137.6857</v>
      </c>
      <c r="L1055" s="14">
        <f>CHOOSE(CONTROL!$C$42, 137.9251, 137.9251) * CHOOSE(CONTROL!$C$21, $C$9, 100%, $E$9)</f>
        <v>137.92509999999999</v>
      </c>
      <c r="M1055" s="14">
        <f>CHOOSE(CONTROL!$C$42, 134.4363, 134.4363) * CHOOSE(CONTROL!$C$21, $C$9, 100%, $E$9)</f>
        <v>134.43629999999999</v>
      </c>
      <c r="N1055" s="14">
        <f>CHOOSE(CONTROL!$C$42, 134.4525, 134.4525) * CHOOSE(CONTROL!$C$21, $C$9, 100%, $E$9)</f>
        <v>134.45249999999999</v>
      </c>
      <c r="O1055" s="14">
        <f>CHOOSE(CONTROL!$C$42, 134.5318, 134.5318) * CHOOSE(CONTROL!$C$21, $C$9, 100%, $E$9)</f>
        <v>134.5318</v>
      </c>
      <c r="P1055" s="14">
        <f>CHOOSE(CONTROL!$C$42, 134.8676, 134.8676) * CHOOSE(CONTROL!$C$21, $C$9, 100%, $E$9)</f>
        <v>134.86760000000001</v>
      </c>
      <c r="Q1055" s="14">
        <f>CHOOSE(CONTROL!$C$42, 135.1265, 135.1265) * CHOOSE(CONTROL!$C$21, $C$9, 100%, $E$9)</f>
        <v>135.12649999999999</v>
      </c>
      <c r="R1055" s="14">
        <f>CHOOSE(CONTROL!$C$42, 136.0513, 136.0513) * CHOOSE(CONTROL!$C$21, $C$9, 100%, $E$9)</f>
        <v>136.0513</v>
      </c>
      <c r="S1055" s="14">
        <f>CHOOSE(CONTROL!$C$42, 131.8611, 131.8611) * CHOOSE(CONTROL!$C$21, $C$9, 100%, $E$9)</f>
        <v>131.86109999999999</v>
      </c>
      <c r="T10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7">
        <f>(1000*CHOOSE(CONTROL!$C$42, 695, 695)*CHOOSE(CONTROL!$C$42, 0.5599, 0.5599)*CHOOSE(CONTROL!$C$42, 30, 30))/1000000</f>
        <v>11.673914999999997</v>
      </c>
      <c r="V1055" s="57">
        <f>(1000*CHOOSE(CONTROL!$C$42, 500, 500)*CHOOSE(CONTROL!$C$42, 0.275, 0.275)*CHOOSE(CONTROL!$C$42, 30, 30))/1000000</f>
        <v>4.125</v>
      </c>
      <c r="W1055" s="57">
        <f>(1000*CHOOSE(CONTROL!$C$42, 0.1146, 0.1146)*CHOOSE(CONTROL!$C$42, 121.5, 121.5)*CHOOSE(CONTROL!$C$42, 30, 30))/1000000</f>
        <v>0.417717</v>
      </c>
      <c r="X1055" s="57">
        <f>(30*0.1790888*100000/1000000)+(30*0.2374*100000/1000000)</f>
        <v>1.2494664</v>
      </c>
      <c r="Y1055" s="57"/>
      <c r="Z1055" s="14"/>
      <c r="AA1055" s="56"/>
      <c r="AB1055" s="50">
        <f>(B1055*122.58+C1055*297.941+D1055*89.177+E1055*40.302+F1055*40+G1055*160+H1055*0+I1055*100+J1055*300)/(122.58+297.941+89.177+40.302+0+40+160+100+300)</f>
        <v>137.29217607130437</v>
      </c>
      <c r="AC1055" s="45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134.54257410071941</v>
      </c>
    </row>
    <row r="1056" spans="1:29" ht="15.75" x14ac:dyDescent="0.25">
      <c r="A1056" s="32">
        <v>73050</v>
      </c>
      <c r="B1056" s="14">
        <f>CHOOSE(CONTROL!$C$42, 146.5915, 146.5915) * CHOOSE(CONTROL!$C$21, $C$9, 100%, $E$9)</f>
        <v>146.5915</v>
      </c>
      <c r="C1056" s="14">
        <f>CHOOSE(CONTROL!$C$42, 146.5966, 146.5966) * CHOOSE(CONTROL!$C$21, $C$9, 100%, $E$9)</f>
        <v>146.5966</v>
      </c>
      <c r="D1056" s="14">
        <f>CHOOSE(CONTROL!$C$42, 146.6708, 146.6708) * CHOOSE(CONTROL!$C$21, $C$9, 100%, $E$9)</f>
        <v>146.67080000000001</v>
      </c>
      <c r="E1056" s="14">
        <f>CHOOSE(CONTROL!$C$42, 146.7049, 146.7049) * CHOOSE(CONTROL!$C$21, $C$9, 100%, $E$9)</f>
        <v>146.70490000000001</v>
      </c>
      <c r="F1056" s="14">
        <f>CHOOSE(CONTROL!$C$42, 146.6057, 146.6057)*CHOOSE(CONTROL!$C$21, $C$9, 100%, $E$9)</f>
        <v>146.60570000000001</v>
      </c>
      <c r="G1056" s="14">
        <f>CHOOSE(CONTROL!$C$42, 146.6229, 146.6229)*CHOOSE(CONTROL!$C$21, $C$9, 100%, $E$9)</f>
        <v>146.62289999999999</v>
      </c>
      <c r="H1056" s="14">
        <f>CHOOSE(CONTROL!$C$42, 146.6941, 146.6941) * CHOOSE(CONTROL!$C$21, $C$9, 100%, $E$9)</f>
        <v>146.69409999999999</v>
      </c>
      <c r="I1056" s="14">
        <f>CHOOSE(CONTROL!$C$42, 147.0749, 147.0749)* CHOOSE(CONTROL!$C$21, $C$9, 100%, $E$9)</f>
        <v>147.07490000000001</v>
      </c>
      <c r="J1056" s="14">
        <f>CHOOSE(CONTROL!$C$42, 146.5987, 146.5987)* CHOOSE(CONTROL!$C$21, $C$9, 100%, $E$9)</f>
        <v>146.59870000000001</v>
      </c>
      <c r="K1056" s="53">
        <f>CHOOSE(CONTROL!$C$42, 147.071, 147.071) * CHOOSE(CONTROL!$C$21, $C$9, 100%, $E$9)</f>
        <v>147.071</v>
      </c>
      <c r="L1056" s="14">
        <f>CHOOSE(CONTROL!$C$42, 147.2811, 147.2811) * CHOOSE(CONTROL!$C$21, $C$9, 100%, $E$9)</f>
        <v>147.28110000000001</v>
      </c>
      <c r="M1056" s="14">
        <f>CHOOSE(CONTROL!$C$42, 143.6027, 143.6027) * CHOOSE(CONTROL!$C$21, $C$9, 100%, $E$9)</f>
        <v>143.6027</v>
      </c>
      <c r="N1056" s="14">
        <f>CHOOSE(CONTROL!$C$42, 143.6195, 143.6195) * CHOOSE(CONTROL!$C$21, $C$9, 100%, $E$9)</f>
        <v>143.61949999999999</v>
      </c>
      <c r="O1056" s="14">
        <f>CHOOSE(CONTROL!$C$42, 143.6961, 143.6961) * CHOOSE(CONTROL!$C$21, $C$9, 100%, $E$9)</f>
        <v>143.6961</v>
      </c>
      <c r="P1056" s="14">
        <f>CHOOSE(CONTROL!$C$42, 144.06, 144.06) * CHOOSE(CONTROL!$C$21, $C$9, 100%, $E$9)</f>
        <v>144.06</v>
      </c>
      <c r="Q1056" s="14">
        <f>CHOOSE(CONTROL!$C$42, 144.2908, 144.2908) * CHOOSE(CONTROL!$C$21, $C$9, 100%, $E$9)</f>
        <v>144.29079999999999</v>
      </c>
      <c r="R1056" s="14">
        <f>CHOOSE(CONTROL!$C$42, 145.2386, 145.2386) * CHOOSE(CONTROL!$C$21, $C$9, 100%, $E$9)</f>
        <v>145.23859999999999</v>
      </c>
      <c r="S1056" s="14">
        <f>CHOOSE(CONTROL!$C$42, 140.8512, 140.8512) * CHOOSE(CONTROL!$C$21, $C$9, 100%, $E$9)</f>
        <v>140.85120000000001</v>
      </c>
      <c r="T10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7">
        <f>(1000*CHOOSE(CONTROL!$C$42, 695, 695)*CHOOSE(CONTROL!$C$42, 0.5599, 0.5599)*CHOOSE(CONTROL!$C$42, 31, 31))/1000000</f>
        <v>12.063045499999998</v>
      </c>
      <c r="V1056" s="57">
        <f>(1000*CHOOSE(CONTROL!$C$42, 500, 500)*CHOOSE(CONTROL!$C$42, 0.275, 0.275)*CHOOSE(CONTROL!$C$42, 31, 31))/1000000</f>
        <v>4.2625000000000002</v>
      </c>
      <c r="W1056" s="57">
        <f>(1000*CHOOSE(CONTROL!$C$42, 0.1146, 0.1146)*CHOOSE(CONTROL!$C$42, 121.5, 121.5)*CHOOSE(CONTROL!$C$42, 31, 31))/1000000</f>
        <v>0.43164089999999994</v>
      </c>
      <c r="X1056" s="57">
        <f>(31*0.1790888*100000/1000000)+(31*0.2374*100000/1000000)</f>
        <v>1.2911152800000001</v>
      </c>
      <c r="Y1056" s="57"/>
      <c r="Z1056" s="14"/>
      <c r="AA1056" s="56"/>
      <c r="AB1056" s="50">
        <f>(B1056*122.58+C1056*297.941+D1056*89.177+E1056*40.302+F1056*40+G1056*160+H1056*0+I1056*100+J1056*300)/(122.58+297.941+89.177+40.302+0+40+160+100+300)</f>
        <v>146.65172041913044</v>
      </c>
      <c r="AC1056" s="45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143.71179784172662</v>
      </c>
    </row>
    <row r="1057" spans="1:29" ht="15.75" x14ac:dyDescent="0.25">
      <c r="A1057" s="32">
        <v>73081</v>
      </c>
      <c r="B1057" s="14">
        <f>CHOOSE(CONTROL!$C$42, 158.7433, 158.7433) * CHOOSE(CONTROL!$C$21, $C$9, 100%, $E$9)</f>
        <v>158.7433</v>
      </c>
      <c r="C1057" s="14">
        <f>CHOOSE(CONTROL!$C$42, 158.7483, 158.7483) * CHOOSE(CONTROL!$C$21, $C$9, 100%, $E$9)</f>
        <v>158.7483</v>
      </c>
      <c r="D1057" s="14">
        <f>CHOOSE(CONTROL!$C$42, 158.8251, 158.8251) * CHOOSE(CONTROL!$C$21, $C$9, 100%, $E$9)</f>
        <v>158.82509999999999</v>
      </c>
      <c r="E1057" s="14">
        <f>CHOOSE(CONTROL!$C$42, 158.8592, 158.8592) * CHOOSE(CONTROL!$C$21, $C$9, 100%, $E$9)</f>
        <v>158.85919999999999</v>
      </c>
      <c r="F1057" s="14">
        <f>CHOOSE(CONTROL!$C$42, 158.7435, 158.7435)*CHOOSE(CONTROL!$C$21, $C$9, 100%, $E$9)</f>
        <v>158.74350000000001</v>
      </c>
      <c r="G1057" s="14">
        <f>CHOOSE(CONTROL!$C$42, 158.7597, 158.7597)*CHOOSE(CONTROL!$C$21, $C$9, 100%, $E$9)</f>
        <v>158.75970000000001</v>
      </c>
      <c r="H1057" s="14">
        <f>CHOOSE(CONTROL!$C$42, 158.8484, 158.8484) * CHOOSE(CONTROL!$C$21, $C$9, 100%, $E$9)</f>
        <v>158.8484</v>
      </c>
      <c r="I1057" s="14">
        <f>CHOOSE(CONTROL!$C$42, 159.2585, 159.2585)* CHOOSE(CONTROL!$C$21, $C$9, 100%, $E$9)</f>
        <v>159.2585</v>
      </c>
      <c r="J1057" s="14">
        <f>CHOOSE(CONTROL!$C$42, 158.7365, 158.7365)* CHOOSE(CONTROL!$C$21, $C$9, 100%, $E$9)</f>
        <v>158.73650000000001</v>
      </c>
      <c r="K1057" s="53">
        <f>CHOOSE(CONTROL!$C$42, 159.2546, 159.2546) * CHOOSE(CONTROL!$C$21, $C$9, 100%, $E$9)</f>
        <v>159.25460000000001</v>
      </c>
      <c r="L1057" s="14">
        <f>CHOOSE(CONTROL!$C$42, 159.4354, 159.4354) * CHOOSE(CONTROL!$C$21, $C$9, 100%, $E$9)</f>
        <v>159.43539999999999</v>
      </c>
      <c r="M1057" s="14">
        <f>CHOOSE(CONTROL!$C$42, 155.4918, 155.4918) * CHOOSE(CONTROL!$C$21, $C$9, 100%, $E$9)</f>
        <v>155.49180000000001</v>
      </c>
      <c r="N1057" s="14">
        <f>CHOOSE(CONTROL!$C$42, 155.5076, 155.5076) * CHOOSE(CONTROL!$C$21, $C$9, 100%, $E$9)</f>
        <v>155.5076</v>
      </c>
      <c r="O1057" s="14">
        <f>CHOOSE(CONTROL!$C$42, 155.6014, 155.6014) * CHOOSE(CONTROL!$C$21, $C$9, 100%, $E$9)</f>
        <v>155.60140000000001</v>
      </c>
      <c r="P1057" s="14">
        <f>CHOOSE(CONTROL!$C$42, 155.9931, 155.9931) * CHOOSE(CONTROL!$C$21, $C$9, 100%, $E$9)</f>
        <v>155.9931</v>
      </c>
      <c r="Q1057" s="14">
        <f>CHOOSE(CONTROL!$C$42, 156.1961, 156.1961) * CHOOSE(CONTROL!$C$21, $C$9, 100%, $E$9)</f>
        <v>156.1961</v>
      </c>
      <c r="R1057" s="14">
        <f>CHOOSE(CONTROL!$C$42, 157.1736, 157.1736) * CHOOSE(CONTROL!$C$21, $C$9, 100%, $E$9)</f>
        <v>157.17359999999999</v>
      </c>
      <c r="S1057" s="14">
        <f>CHOOSE(CONTROL!$C$42, 152.5278, 152.5278) * CHOOSE(CONTROL!$C$21, $C$9, 100%, $E$9)</f>
        <v>152.52780000000001</v>
      </c>
      <c r="T10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7">
        <f>(1000*CHOOSE(CONTROL!$C$42, 695, 695)*CHOOSE(CONTROL!$C$42, 0.5599, 0.5599)*CHOOSE(CONTROL!$C$42, 31, 31))/1000000</f>
        <v>12.063045499999998</v>
      </c>
      <c r="V1057" s="57">
        <f>(1000*CHOOSE(CONTROL!$C$42, 500, 500)*CHOOSE(CONTROL!$C$42, 0.275, 0.275)*CHOOSE(CONTROL!$C$42, 31, 31))/1000000</f>
        <v>4.2625000000000002</v>
      </c>
      <c r="W1057" s="57">
        <f>(1000*CHOOSE(CONTROL!$C$42, 0.1146, 0.1146)*CHOOSE(CONTROL!$C$42, 121.5, 121.5)*CHOOSE(CONTROL!$C$42, 31, 31))/1000000</f>
        <v>0.43164089999999994</v>
      </c>
      <c r="X1057" s="57">
        <f>(31*0.1790888*100000/1000000)+(31*0.2374*100000/1000000)</f>
        <v>1.2911152800000001</v>
      </c>
      <c r="Y1057" s="57"/>
      <c r="Z1057" s="14"/>
      <c r="AA1057" s="56"/>
      <c r="AB1057" s="50">
        <f>(B1057*122.58+C1057*297.941+D1057*89.177+E1057*40.302+F1057*40+G1057*160+H1057*0+I1057*100+J1057*300)/(122.58+297.941+89.177+40.302+0+40+160+100+300)</f>
        <v>158.80031511773916</v>
      </c>
      <c r="AC1057" s="45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155.61451366906476</v>
      </c>
    </row>
    <row r="1058" spans="1:29" ht="15.75" x14ac:dyDescent="0.25">
      <c r="A1058" s="32">
        <v>73109</v>
      </c>
      <c r="B1058" s="14">
        <f>CHOOSE(CONTROL!$C$42, 161.5689, 161.5689) * CHOOSE(CONTROL!$C$21, $C$9, 100%, $E$9)</f>
        <v>161.56890000000001</v>
      </c>
      <c r="C1058" s="14">
        <f>CHOOSE(CONTROL!$C$42, 161.574, 161.574) * CHOOSE(CONTROL!$C$21, $C$9, 100%, $E$9)</f>
        <v>161.57400000000001</v>
      </c>
      <c r="D1058" s="14">
        <f>CHOOSE(CONTROL!$C$42, 161.6508, 161.6508) * CHOOSE(CONTROL!$C$21, $C$9, 100%, $E$9)</f>
        <v>161.6508</v>
      </c>
      <c r="E1058" s="14">
        <f>CHOOSE(CONTROL!$C$42, 161.6849, 161.6849) * CHOOSE(CONTROL!$C$21, $C$9, 100%, $E$9)</f>
        <v>161.6849</v>
      </c>
      <c r="F1058" s="14">
        <f>CHOOSE(CONTROL!$C$42, 161.5692, 161.5692)*CHOOSE(CONTROL!$C$21, $C$9, 100%, $E$9)</f>
        <v>161.5692</v>
      </c>
      <c r="G1058" s="14">
        <f>CHOOSE(CONTROL!$C$42, 161.5854, 161.5854)*CHOOSE(CONTROL!$C$21, $C$9, 100%, $E$9)</f>
        <v>161.58539999999999</v>
      </c>
      <c r="H1058" s="14">
        <f>CHOOSE(CONTROL!$C$42, 161.6741, 161.6741) * CHOOSE(CONTROL!$C$21, $C$9, 100%, $E$9)</f>
        <v>161.67410000000001</v>
      </c>
      <c r="I1058" s="14">
        <f>CHOOSE(CONTROL!$C$42, 162.093, 162.093)* CHOOSE(CONTROL!$C$21, $C$9, 100%, $E$9)</f>
        <v>162.09299999999999</v>
      </c>
      <c r="J1058" s="14">
        <f>CHOOSE(CONTROL!$C$42, 161.5622, 161.5622)* CHOOSE(CONTROL!$C$21, $C$9, 100%, $E$9)</f>
        <v>161.56219999999999</v>
      </c>
      <c r="K1058" s="53">
        <f>CHOOSE(CONTROL!$C$42, 162.0891, 162.0891) * CHOOSE(CONTROL!$C$21, $C$9, 100%, $E$9)</f>
        <v>162.0891</v>
      </c>
      <c r="L1058" s="14">
        <f>CHOOSE(CONTROL!$C$42, 162.2611, 162.2611) * CHOOSE(CONTROL!$C$21, $C$9, 100%, $E$9)</f>
        <v>162.2611</v>
      </c>
      <c r="M1058" s="14">
        <f>CHOOSE(CONTROL!$C$42, 158.2596, 158.2596) * CHOOSE(CONTROL!$C$21, $C$9, 100%, $E$9)</f>
        <v>158.25960000000001</v>
      </c>
      <c r="N1058" s="14">
        <f>CHOOSE(CONTROL!$C$42, 158.2755, 158.2755) * CHOOSE(CONTROL!$C$21, $C$9, 100%, $E$9)</f>
        <v>158.27549999999999</v>
      </c>
      <c r="O1058" s="14">
        <f>CHOOSE(CONTROL!$C$42, 158.3692, 158.3692) * CHOOSE(CONTROL!$C$21, $C$9, 100%, $E$9)</f>
        <v>158.36920000000001</v>
      </c>
      <c r="P1058" s="14">
        <f>CHOOSE(CONTROL!$C$42, 158.7694, 158.7694) * CHOOSE(CONTROL!$C$21, $C$9, 100%, $E$9)</f>
        <v>158.76939999999999</v>
      </c>
      <c r="Q1058" s="14">
        <f>CHOOSE(CONTROL!$C$42, 158.9639, 158.9639) * CHOOSE(CONTROL!$C$21, $C$9, 100%, $E$9)</f>
        <v>158.9639</v>
      </c>
      <c r="R1058" s="14">
        <f>CHOOSE(CONTROL!$C$42, 159.9483, 159.9483) * CHOOSE(CONTROL!$C$21, $C$9, 100%, $E$9)</f>
        <v>159.94829999999999</v>
      </c>
      <c r="S1058" s="14">
        <f>CHOOSE(CONTROL!$C$42, 155.2431, 155.2431) * CHOOSE(CONTROL!$C$21, $C$9, 100%, $E$9)</f>
        <v>155.2431</v>
      </c>
      <c r="T105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7">
        <f>(1000*CHOOSE(CONTROL!$C$42, 695, 695)*CHOOSE(CONTROL!$C$42, 0.5599, 0.5599)*CHOOSE(CONTROL!$C$42, 29, 29))/1000000</f>
        <v>11.284784499999999</v>
      </c>
      <c r="V1058" s="57">
        <f>(1000*CHOOSE(CONTROL!$C$42, 500, 500)*CHOOSE(CONTROL!$C$42, 0.275, 0.275)*CHOOSE(CONTROL!$C$42, 29, 29))/1000000</f>
        <v>3.9874999999999998</v>
      </c>
      <c r="W1058" s="57">
        <f>(1000*CHOOSE(CONTROL!$C$42, 0.1146, 0.1146)*CHOOSE(CONTROL!$C$42, 121.5, 121.5)*CHOOSE(CONTROL!$C$42, 29, 29))/1000000</f>
        <v>0.40379309999999996</v>
      </c>
      <c r="X1058" s="57">
        <f>(28*0.1790888*100000/1000000)+(28*0.2374*100000/1000000)</f>
        <v>1.16616864</v>
      </c>
      <c r="Y1058" s="57"/>
      <c r="Z1058" s="14"/>
      <c r="AA1058" s="56"/>
      <c r="AB1058" s="50">
        <f>(B1058*122.58+C1058*297.941+D1058*89.177+E1058*40.302+F1058*40+G1058*160+H1058*0+I1058*100+J1058*300)/(122.58+297.941+89.177+40.302+0+40+160+100+300)</f>
        <v>161.62676967599998</v>
      </c>
      <c r="AC1058" s="45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158.38354244604318</v>
      </c>
    </row>
    <row r="1059" spans="1:29" ht="15.75" x14ac:dyDescent="0.25">
      <c r="A1059" s="32">
        <v>73140</v>
      </c>
      <c r="B1059" s="14">
        <f>CHOOSE(CONTROL!$C$42, 156.9822, 156.9822) * CHOOSE(CONTROL!$C$21, $C$9, 100%, $E$9)</f>
        <v>156.98220000000001</v>
      </c>
      <c r="C1059" s="14">
        <f>CHOOSE(CONTROL!$C$42, 156.9872, 156.9872) * CHOOSE(CONTROL!$C$21, $C$9, 100%, $E$9)</f>
        <v>156.9872</v>
      </c>
      <c r="D1059" s="14">
        <f>CHOOSE(CONTROL!$C$42, 157.064, 157.064) * CHOOSE(CONTROL!$C$21, $C$9, 100%, $E$9)</f>
        <v>157.06399999999999</v>
      </c>
      <c r="E1059" s="14">
        <f>CHOOSE(CONTROL!$C$42, 157.0982, 157.0982) * CHOOSE(CONTROL!$C$21, $C$9, 100%, $E$9)</f>
        <v>157.09819999999999</v>
      </c>
      <c r="F1059" s="14">
        <f>CHOOSE(CONTROL!$C$42, 156.982, 156.982)*CHOOSE(CONTROL!$C$21, $C$9, 100%, $E$9)</f>
        <v>156.982</v>
      </c>
      <c r="G1059" s="14">
        <f>CHOOSE(CONTROL!$C$42, 156.9981, 156.9981)*CHOOSE(CONTROL!$C$21, $C$9, 100%, $E$9)</f>
        <v>156.99809999999999</v>
      </c>
      <c r="H1059" s="14">
        <f>CHOOSE(CONTROL!$C$42, 157.0873, 157.0873) * CHOOSE(CONTROL!$C$21, $C$9, 100%, $E$9)</f>
        <v>157.0873</v>
      </c>
      <c r="I1059" s="14">
        <f>CHOOSE(CONTROL!$C$42, 157.4919, 157.4919)* CHOOSE(CONTROL!$C$21, $C$9, 100%, $E$9)</f>
        <v>157.49189999999999</v>
      </c>
      <c r="J1059" s="14">
        <f>CHOOSE(CONTROL!$C$42, 156.975, 156.975)* CHOOSE(CONTROL!$C$21, $C$9, 100%, $E$9)</f>
        <v>156.97499999999999</v>
      </c>
      <c r="K1059" s="53">
        <f>CHOOSE(CONTROL!$C$42, 157.488, 157.488) * CHOOSE(CONTROL!$C$21, $C$9, 100%, $E$9)</f>
        <v>157.488</v>
      </c>
      <c r="L1059" s="14">
        <f>CHOOSE(CONTROL!$C$42, 157.6743, 157.6743) * CHOOSE(CONTROL!$C$21, $C$9, 100%, $E$9)</f>
        <v>157.67429999999999</v>
      </c>
      <c r="M1059" s="14">
        <f>CHOOSE(CONTROL!$C$42, 153.7663, 153.7663) * CHOOSE(CONTROL!$C$21, $C$9, 100%, $E$9)</f>
        <v>153.7663</v>
      </c>
      <c r="N1059" s="14">
        <f>CHOOSE(CONTROL!$C$42, 153.7821, 153.7821) * CHOOSE(CONTROL!$C$21, $C$9, 100%, $E$9)</f>
        <v>153.78210000000001</v>
      </c>
      <c r="O1059" s="14">
        <f>CHOOSE(CONTROL!$C$42, 153.8764, 153.8764) * CHOOSE(CONTROL!$C$21, $C$9, 100%, $E$9)</f>
        <v>153.87639999999999</v>
      </c>
      <c r="P1059" s="14">
        <f>CHOOSE(CONTROL!$C$42, 154.2628, 154.2628) * CHOOSE(CONTROL!$C$21, $C$9, 100%, $E$9)</f>
        <v>154.2628</v>
      </c>
      <c r="Q1059" s="14">
        <f>CHOOSE(CONTROL!$C$42, 154.4711, 154.4711) * CHOOSE(CONTROL!$C$21, $C$9, 100%, $E$9)</f>
        <v>154.47110000000001</v>
      </c>
      <c r="R1059" s="14">
        <f>CHOOSE(CONTROL!$C$42, 155.4443, 155.4443) * CHOOSE(CONTROL!$C$21, $C$9, 100%, $E$9)</f>
        <v>155.4443</v>
      </c>
      <c r="S1059" s="14">
        <f>CHOOSE(CONTROL!$C$42, 150.8356, 150.8356) * CHOOSE(CONTROL!$C$21, $C$9, 100%, $E$9)</f>
        <v>150.8356</v>
      </c>
      <c r="T10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7">
        <f>(1000*CHOOSE(CONTROL!$C$42, 695, 695)*CHOOSE(CONTROL!$C$42, 0.5599, 0.5599)*CHOOSE(CONTROL!$C$42, 31, 31))/1000000</f>
        <v>12.063045499999998</v>
      </c>
      <c r="V1059" s="57">
        <f>(1000*CHOOSE(CONTROL!$C$42, 500, 500)*CHOOSE(CONTROL!$C$42, 0.275, 0.275)*CHOOSE(CONTROL!$C$42, 31, 31))/1000000</f>
        <v>4.2625000000000002</v>
      </c>
      <c r="W1059" s="57">
        <f>(1000*CHOOSE(CONTROL!$C$42, 0.1146, 0.1146)*CHOOSE(CONTROL!$C$42, 121.5, 121.5)*CHOOSE(CONTROL!$C$42, 31, 31))/1000000</f>
        <v>0.43164089999999994</v>
      </c>
      <c r="X1059" s="57">
        <f>(31*0.1790888*100000/1000000)+(31*0.2374*100000/1000000)</f>
        <v>1.2911152800000001</v>
      </c>
      <c r="Y1059" s="57"/>
      <c r="Z1059" s="14"/>
      <c r="AA1059" s="56"/>
      <c r="AB1059" s="50">
        <f>(B1059*122.58+C1059*297.941+D1059*89.177+E1059*40.302+F1059*40+G1059*160+H1059*0+I1059*100+J1059*300)/(122.58+297.941+89.177+40.302+0+40+160+100+300)</f>
        <v>157.03855253530435</v>
      </c>
      <c r="AC1059" s="45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153.88854964028775</v>
      </c>
    </row>
    <row r="1060" spans="1:29" ht="15.75" x14ac:dyDescent="0.25">
      <c r="A1060" s="32">
        <v>73170</v>
      </c>
      <c r="B1060" s="14">
        <f>CHOOSE(CONTROL!$C$42, 156.5134, 156.5134) * CHOOSE(CONTROL!$C$21, $C$9, 100%, $E$9)</f>
        <v>156.51339999999999</v>
      </c>
      <c r="C1060" s="14">
        <f>CHOOSE(CONTROL!$C$42, 156.5179, 156.5179) * CHOOSE(CONTROL!$C$21, $C$9, 100%, $E$9)</f>
        <v>156.5179</v>
      </c>
      <c r="D1060" s="14">
        <f>CHOOSE(CONTROL!$C$42, 156.7546, 156.7546) * CHOOSE(CONTROL!$C$21, $C$9, 100%, $E$9)</f>
        <v>156.75460000000001</v>
      </c>
      <c r="E1060" s="14">
        <f>CHOOSE(CONTROL!$C$42, 156.7867, 156.7867) * CHOOSE(CONTROL!$C$21, $C$9, 100%, $E$9)</f>
        <v>156.7867</v>
      </c>
      <c r="F1060" s="14">
        <f>CHOOSE(CONTROL!$C$42, 156.5113, 156.5113)*CHOOSE(CONTROL!$C$21, $C$9, 100%, $E$9)</f>
        <v>156.51130000000001</v>
      </c>
      <c r="G1060" s="14">
        <f>CHOOSE(CONTROL!$C$42, 156.5272, 156.5272)*CHOOSE(CONTROL!$C$21, $C$9, 100%, $E$9)</f>
        <v>156.52719999999999</v>
      </c>
      <c r="H1060" s="14">
        <f>CHOOSE(CONTROL!$C$42, 156.7765, 156.7765) * CHOOSE(CONTROL!$C$21, $C$9, 100%, $E$9)</f>
        <v>156.7765</v>
      </c>
      <c r="I1060" s="14">
        <f>CHOOSE(CONTROL!$C$42, 157.0208, 157.0208)* CHOOSE(CONTROL!$C$21, $C$9, 100%, $E$9)</f>
        <v>157.02080000000001</v>
      </c>
      <c r="J1060" s="14">
        <f>CHOOSE(CONTROL!$C$42, 156.5043, 156.5043)* CHOOSE(CONTROL!$C$21, $C$9, 100%, $E$9)</f>
        <v>156.5043</v>
      </c>
      <c r="K1060" s="53">
        <f>CHOOSE(CONTROL!$C$42, 157.017, 157.017) * CHOOSE(CONTROL!$C$21, $C$9, 100%, $E$9)</f>
        <v>157.017</v>
      </c>
      <c r="L1060" s="14">
        <f>CHOOSE(CONTROL!$C$42, 157.3635, 157.3635) * CHOOSE(CONTROL!$C$21, $C$9, 100%, $E$9)</f>
        <v>157.36349999999999</v>
      </c>
      <c r="M1060" s="14">
        <f>CHOOSE(CONTROL!$C$42, 153.3054, 153.3054) * CHOOSE(CONTROL!$C$21, $C$9, 100%, $E$9)</f>
        <v>153.30539999999999</v>
      </c>
      <c r="N1060" s="14">
        <f>CHOOSE(CONTROL!$C$42, 153.3209, 153.3209) * CHOOSE(CONTROL!$C$21, $C$9, 100%, $E$9)</f>
        <v>153.32089999999999</v>
      </c>
      <c r="O1060" s="14">
        <f>CHOOSE(CONTROL!$C$42, 153.572, 153.572) * CHOOSE(CONTROL!$C$21, $C$9, 100%, $E$9)</f>
        <v>153.572</v>
      </c>
      <c r="P1060" s="14">
        <f>CHOOSE(CONTROL!$C$42, 153.8015, 153.8015) * CHOOSE(CONTROL!$C$21, $C$9, 100%, $E$9)</f>
        <v>153.8015</v>
      </c>
      <c r="Q1060" s="14">
        <f>CHOOSE(CONTROL!$C$42, 154.1667, 154.1667) * CHOOSE(CONTROL!$C$21, $C$9, 100%, $E$9)</f>
        <v>154.16669999999999</v>
      </c>
      <c r="R1060" s="14">
        <f>CHOOSE(CONTROL!$C$42, 155.1391, 155.1391) * CHOOSE(CONTROL!$C$21, $C$9, 100%, $E$9)</f>
        <v>155.13910000000001</v>
      </c>
      <c r="S1060" s="14">
        <f>CHOOSE(CONTROL!$C$42, 150.3844, 150.3844) * CHOOSE(CONTROL!$C$21, $C$9, 100%, $E$9)</f>
        <v>150.3844</v>
      </c>
      <c r="T10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7">
        <f>(1000*CHOOSE(CONTROL!$C$42, 695, 695)*CHOOSE(CONTROL!$C$42, 0.5599, 0.5599)*CHOOSE(CONTROL!$C$42, 30, 30))/1000000</f>
        <v>11.673914999999997</v>
      </c>
      <c r="V1060" s="57">
        <f>(1000*CHOOSE(CONTROL!$C$42, 500, 500)*CHOOSE(CONTROL!$C$42, 0.275, 0.275)*CHOOSE(CONTROL!$C$42, 30, 30))/1000000</f>
        <v>4.125</v>
      </c>
      <c r="W1060" s="57">
        <f>(1000*CHOOSE(CONTROL!$C$42, 0.1146, 0.1146)*CHOOSE(CONTROL!$C$42, 121.5, 121.5)*CHOOSE(CONTROL!$C$42, 30, 30))/1000000</f>
        <v>0.417717</v>
      </c>
      <c r="X1060" s="57">
        <f>(30*0.1790888*245000/1000000)+(30*0.2374*100000/1000000)</f>
        <v>2.0285026799999999</v>
      </c>
      <c r="Y1060" s="57"/>
      <c r="Z1060" s="14"/>
      <c r="AA1060" s="56"/>
      <c r="AB1060" s="50">
        <f>(B1060*141.293+C1060*267.993+D1060*115.016+E1060*89.698+F1060*40+G1060*185+H1060*0+I1060*100+J1060*300)/(141.293+267.993+115.016+89.698+0+40+185+100+300)</f>
        <v>156.59729127610979</v>
      </c>
      <c r="AC1060" s="45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153.49850647482015</v>
      </c>
    </row>
    <row r="1061" spans="1:29" ht="15.75" x14ac:dyDescent="0.25">
      <c r="A1061" s="32">
        <v>73201</v>
      </c>
      <c r="B1061" s="14">
        <f>CHOOSE(CONTROL!$C$42, 157.8961, 157.8961) * CHOOSE(CONTROL!$C$21, $C$9, 100%, $E$9)</f>
        <v>157.89609999999999</v>
      </c>
      <c r="C1061" s="14">
        <f>CHOOSE(CONTROL!$C$42, 157.9041, 157.9041) * CHOOSE(CONTROL!$C$21, $C$9, 100%, $E$9)</f>
        <v>157.9041</v>
      </c>
      <c r="D1061" s="14">
        <f>CHOOSE(CONTROL!$C$42, 158.1377, 158.1377) * CHOOSE(CONTROL!$C$21, $C$9, 100%, $E$9)</f>
        <v>158.1377</v>
      </c>
      <c r="E1061" s="14">
        <f>CHOOSE(CONTROL!$C$42, 158.1692, 158.1692) * CHOOSE(CONTROL!$C$21, $C$9, 100%, $E$9)</f>
        <v>158.16919999999999</v>
      </c>
      <c r="F1061" s="14">
        <f>CHOOSE(CONTROL!$C$42, 157.8929, 157.8929)*CHOOSE(CONTROL!$C$21, $C$9, 100%, $E$9)</f>
        <v>157.8929</v>
      </c>
      <c r="G1061" s="14">
        <f>CHOOSE(CONTROL!$C$42, 157.9092, 157.9092)*CHOOSE(CONTROL!$C$21, $C$9, 100%, $E$9)</f>
        <v>157.9092</v>
      </c>
      <c r="H1061" s="14">
        <f>CHOOSE(CONTROL!$C$42, 158.1578, 158.1578) * CHOOSE(CONTROL!$C$21, $C$9, 100%, $E$9)</f>
        <v>158.15780000000001</v>
      </c>
      <c r="I1061" s="14">
        <f>CHOOSE(CONTROL!$C$42, 158.4065, 158.4065)* CHOOSE(CONTROL!$C$21, $C$9, 100%, $E$9)</f>
        <v>158.40649999999999</v>
      </c>
      <c r="J1061" s="14">
        <f>CHOOSE(CONTROL!$C$42, 157.8859, 157.8859)* CHOOSE(CONTROL!$C$21, $C$9, 100%, $E$9)</f>
        <v>157.88589999999999</v>
      </c>
      <c r="K1061" s="53">
        <f>CHOOSE(CONTROL!$C$42, 158.4026, 158.4026) * CHOOSE(CONTROL!$C$21, $C$9, 100%, $E$9)</f>
        <v>158.40260000000001</v>
      </c>
      <c r="L1061" s="14">
        <f>CHOOSE(CONTROL!$C$42, 158.7448, 158.7448) * CHOOSE(CONTROL!$C$21, $C$9, 100%, $E$9)</f>
        <v>158.7448</v>
      </c>
      <c r="M1061" s="14">
        <f>CHOOSE(CONTROL!$C$42, 154.6586, 154.6586) * CHOOSE(CONTROL!$C$21, $C$9, 100%, $E$9)</f>
        <v>154.65860000000001</v>
      </c>
      <c r="N1061" s="14">
        <f>CHOOSE(CONTROL!$C$42, 154.6746, 154.6746) * CHOOSE(CONTROL!$C$21, $C$9, 100%, $E$9)</f>
        <v>154.6746</v>
      </c>
      <c r="O1061" s="14">
        <f>CHOOSE(CONTROL!$C$42, 154.925, 154.925) * CHOOSE(CONTROL!$C$21, $C$9, 100%, $E$9)</f>
        <v>154.92500000000001</v>
      </c>
      <c r="P1061" s="14">
        <f>CHOOSE(CONTROL!$C$42, 155.1587, 155.1587) * CHOOSE(CONTROL!$C$21, $C$9, 100%, $E$9)</f>
        <v>155.15870000000001</v>
      </c>
      <c r="Q1061" s="14">
        <f>CHOOSE(CONTROL!$C$42, 155.5197, 155.5197) * CHOOSE(CONTROL!$C$21, $C$9, 100%, $E$9)</f>
        <v>155.5197</v>
      </c>
      <c r="R1061" s="14">
        <f>CHOOSE(CONTROL!$C$42, 156.4955, 156.4955) * CHOOSE(CONTROL!$C$21, $C$9, 100%, $E$9)</f>
        <v>156.49549999999999</v>
      </c>
      <c r="S1061" s="14">
        <f>CHOOSE(CONTROL!$C$42, 151.7117, 151.7117) * CHOOSE(CONTROL!$C$21, $C$9, 100%, $E$9)</f>
        <v>151.71170000000001</v>
      </c>
      <c r="T10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7">
        <f>(1000*CHOOSE(CONTROL!$C$42, 695, 695)*CHOOSE(CONTROL!$C$42, 0.5599, 0.5599)*CHOOSE(CONTROL!$C$42, 31, 31))/1000000</f>
        <v>12.063045499999998</v>
      </c>
      <c r="V1061" s="57">
        <f>(1000*CHOOSE(CONTROL!$C$42, 500, 500)*CHOOSE(CONTROL!$C$42, 0.275, 0.275)*CHOOSE(CONTROL!$C$42, 31, 31))/1000000</f>
        <v>4.2625000000000002</v>
      </c>
      <c r="W1061" s="57">
        <f>(1000*CHOOSE(CONTROL!$C$42, 0.1146, 0.1146)*CHOOSE(CONTROL!$C$42, 121.5, 121.5)*CHOOSE(CONTROL!$C$42, 31, 31))/1000000</f>
        <v>0.43164089999999994</v>
      </c>
      <c r="X1061" s="57">
        <f>(31*0.1790888*245000/1000000)+(31*0.2374*100000/1000000)</f>
        <v>2.0961194359999999</v>
      </c>
      <c r="Y1061" s="57"/>
      <c r="Z1061" s="14"/>
      <c r="AA1061" s="56"/>
      <c r="AB1061" s="50">
        <f>(B1061*194.205+C1061*267.466+D1061*133.845+E1061*53.484+F1061*40+G1061*185+H1061*0+I1061*100+J1061*300)/(194.205+267.466+133.845+53.484+0+40+185+100+300)</f>
        <v>157.97408952935635</v>
      </c>
      <c r="AC1061" s="45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154.85222014388489</v>
      </c>
    </row>
    <row r="1062" spans="1:29" ht="15.75" x14ac:dyDescent="0.25">
      <c r="A1062" s="32">
        <v>73231</v>
      </c>
      <c r="B1062" s="14">
        <f>CHOOSE(CONTROL!$C$42, 162.3747, 162.3747) * CHOOSE(CONTROL!$C$21, $C$9, 100%, $E$9)</f>
        <v>162.37469999999999</v>
      </c>
      <c r="C1062" s="14">
        <f>CHOOSE(CONTROL!$C$42, 162.3827, 162.3827) * CHOOSE(CONTROL!$C$21, $C$9, 100%, $E$9)</f>
        <v>162.3827</v>
      </c>
      <c r="D1062" s="14">
        <f>CHOOSE(CONTROL!$C$42, 162.6163, 162.6163) * CHOOSE(CONTROL!$C$21, $C$9, 100%, $E$9)</f>
        <v>162.6163</v>
      </c>
      <c r="E1062" s="14">
        <f>CHOOSE(CONTROL!$C$42, 162.6478, 162.6478) * CHOOSE(CONTROL!$C$21, $C$9, 100%, $E$9)</f>
        <v>162.64779999999999</v>
      </c>
      <c r="F1062" s="14">
        <f>CHOOSE(CONTROL!$C$42, 162.372, 162.372)*CHOOSE(CONTROL!$C$21, $C$9, 100%, $E$9)</f>
        <v>162.37200000000001</v>
      </c>
      <c r="G1062" s="14">
        <f>CHOOSE(CONTROL!$C$42, 162.3884, 162.3884)*CHOOSE(CONTROL!$C$21, $C$9, 100%, $E$9)</f>
        <v>162.38839999999999</v>
      </c>
      <c r="H1062" s="14">
        <f>CHOOSE(CONTROL!$C$42, 162.6364, 162.6364) * CHOOSE(CONTROL!$C$21, $C$9, 100%, $E$9)</f>
        <v>162.63640000000001</v>
      </c>
      <c r="I1062" s="14">
        <f>CHOOSE(CONTROL!$C$42, 162.8991, 162.8991)* CHOOSE(CONTROL!$C$21, $C$9, 100%, $E$9)</f>
        <v>162.8991</v>
      </c>
      <c r="J1062" s="14">
        <f>CHOOSE(CONTROL!$C$42, 162.365, 162.365)* CHOOSE(CONTROL!$C$21, $C$9, 100%, $E$9)</f>
        <v>162.36500000000001</v>
      </c>
      <c r="K1062" s="53">
        <f>CHOOSE(CONTROL!$C$42, 162.8952, 162.8952) * CHOOSE(CONTROL!$C$21, $C$9, 100%, $E$9)</f>
        <v>162.89519999999999</v>
      </c>
      <c r="L1062" s="14">
        <f>CHOOSE(CONTROL!$C$42, 163.2234, 163.2234) * CHOOSE(CONTROL!$C$21, $C$9, 100%, $E$9)</f>
        <v>163.2234</v>
      </c>
      <c r="M1062" s="14">
        <f>CHOOSE(CONTROL!$C$42, 159.0459, 159.0459) * CHOOSE(CONTROL!$C$21, $C$9, 100%, $E$9)</f>
        <v>159.04589999999999</v>
      </c>
      <c r="N1062" s="14">
        <f>CHOOSE(CONTROL!$C$42, 159.062, 159.062) * CHOOSE(CONTROL!$C$21, $C$9, 100%, $E$9)</f>
        <v>159.06200000000001</v>
      </c>
      <c r="O1062" s="14">
        <f>CHOOSE(CONTROL!$C$42, 159.3118, 159.3118) * CHOOSE(CONTROL!$C$21, $C$9, 100%, $E$9)</f>
        <v>159.31180000000001</v>
      </c>
      <c r="P1062" s="14">
        <f>CHOOSE(CONTROL!$C$42, 159.559, 159.559) * CHOOSE(CONTROL!$C$21, $C$9, 100%, $E$9)</f>
        <v>159.559</v>
      </c>
      <c r="Q1062" s="14">
        <f>CHOOSE(CONTROL!$C$42, 159.9065, 159.9065) * CHOOSE(CONTROL!$C$21, $C$9, 100%, $E$9)</f>
        <v>159.90649999999999</v>
      </c>
      <c r="R1062" s="14">
        <f>CHOOSE(CONTROL!$C$42, 160.8933, 160.8933) * CHOOSE(CONTROL!$C$21, $C$9, 100%, $E$9)</f>
        <v>160.89330000000001</v>
      </c>
      <c r="S1062" s="14">
        <f>CHOOSE(CONTROL!$C$42, 156.0152, 156.0152) * CHOOSE(CONTROL!$C$21, $C$9, 100%, $E$9)</f>
        <v>156.01519999999999</v>
      </c>
      <c r="T10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7">
        <f>(1000*CHOOSE(CONTROL!$C$42, 695, 695)*CHOOSE(CONTROL!$C$42, 0.5599, 0.5599)*CHOOSE(CONTROL!$C$42, 30, 30))/1000000</f>
        <v>11.673914999999997</v>
      </c>
      <c r="V1062" s="57">
        <f>(1000*CHOOSE(CONTROL!$C$42, 500, 500)*CHOOSE(CONTROL!$C$42, 0.275, 0.275)*CHOOSE(CONTROL!$C$42, 30, 30))/1000000</f>
        <v>4.125</v>
      </c>
      <c r="W1062" s="57">
        <f>(1000*CHOOSE(CONTROL!$C$42, 0.1146, 0.1146)*CHOOSE(CONTROL!$C$42, 121.5, 121.5)*CHOOSE(CONTROL!$C$42, 30, 30))/1000000</f>
        <v>0.417717</v>
      </c>
      <c r="X1062" s="57">
        <f>(30*0.1790888*245000/1000000)+(30*0.2374*100000/1000000)</f>
        <v>2.0285026799999999</v>
      </c>
      <c r="Y1062" s="57"/>
      <c r="Z1062" s="14"/>
      <c r="AA1062" s="56"/>
      <c r="AB1062" s="50">
        <f>(B1062*194.205+C1062*267.466+D1062*133.845+E1062*53.484+F1062*40+G1062*185+H1062*0+I1062*100+J1062*300)/(194.205+267.466+133.845+53.484+0+40+185+100+300)</f>
        <v>162.4540089956044</v>
      </c>
      <c r="AC1062" s="45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159.24116978417265</v>
      </c>
    </row>
    <row r="1063" spans="1:29" ht="15.75" x14ac:dyDescent="0.25">
      <c r="A1063" s="32">
        <v>73262</v>
      </c>
      <c r="B1063" s="14">
        <f>CHOOSE(CONTROL!$C$42, 159.2598, 159.2598) * CHOOSE(CONTROL!$C$21, $C$9, 100%, $E$9)</f>
        <v>159.25980000000001</v>
      </c>
      <c r="C1063" s="14">
        <f>CHOOSE(CONTROL!$C$42, 159.2678, 159.2678) * CHOOSE(CONTROL!$C$21, $C$9, 100%, $E$9)</f>
        <v>159.26779999999999</v>
      </c>
      <c r="D1063" s="14">
        <f>CHOOSE(CONTROL!$C$42, 159.5014, 159.5014) * CHOOSE(CONTROL!$C$21, $C$9, 100%, $E$9)</f>
        <v>159.50139999999999</v>
      </c>
      <c r="E1063" s="14">
        <f>CHOOSE(CONTROL!$C$42, 159.5329, 159.5329) * CHOOSE(CONTROL!$C$21, $C$9, 100%, $E$9)</f>
        <v>159.53290000000001</v>
      </c>
      <c r="F1063" s="14">
        <f>CHOOSE(CONTROL!$C$42, 159.2576, 159.2576)*CHOOSE(CONTROL!$C$21, $C$9, 100%, $E$9)</f>
        <v>159.2576</v>
      </c>
      <c r="G1063" s="14">
        <f>CHOOSE(CONTROL!$C$42, 159.2742, 159.2742)*CHOOSE(CONTROL!$C$21, $C$9, 100%, $E$9)</f>
        <v>159.27420000000001</v>
      </c>
      <c r="H1063" s="14">
        <f>CHOOSE(CONTROL!$C$42, 159.5215, 159.5215) * CHOOSE(CONTROL!$C$21, $C$9, 100%, $E$9)</f>
        <v>159.5215</v>
      </c>
      <c r="I1063" s="14">
        <f>CHOOSE(CONTROL!$C$42, 159.7745, 159.7745)* CHOOSE(CONTROL!$C$21, $C$9, 100%, $E$9)</f>
        <v>159.77449999999999</v>
      </c>
      <c r="J1063" s="14">
        <f>CHOOSE(CONTROL!$C$42, 159.2506, 159.2506)* CHOOSE(CONTROL!$C$21, $C$9, 100%, $E$9)</f>
        <v>159.25059999999999</v>
      </c>
      <c r="K1063" s="53">
        <f>CHOOSE(CONTROL!$C$42, 159.7706, 159.7706) * CHOOSE(CONTROL!$C$21, $C$9, 100%, $E$9)</f>
        <v>159.7706</v>
      </c>
      <c r="L1063" s="14">
        <f>CHOOSE(CONTROL!$C$42, 160.1085, 160.1085) * CHOOSE(CONTROL!$C$21, $C$9, 100%, $E$9)</f>
        <v>160.10849999999999</v>
      </c>
      <c r="M1063" s="14">
        <f>CHOOSE(CONTROL!$C$42, 155.9953, 155.9953) * CHOOSE(CONTROL!$C$21, $C$9, 100%, $E$9)</f>
        <v>155.99529999999999</v>
      </c>
      <c r="N1063" s="14">
        <f>CHOOSE(CONTROL!$C$42, 156.0116, 156.0116) * CHOOSE(CONTROL!$C$21, $C$9, 100%, $E$9)</f>
        <v>156.01159999999999</v>
      </c>
      <c r="O1063" s="14">
        <f>CHOOSE(CONTROL!$C$42, 156.2607, 156.2607) * CHOOSE(CONTROL!$C$21, $C$9, 100%, $E$9)</f>
        <v>156.26070000000001</v>
      </c>
      <c r="P1063" s="14">
        <f>CHOOSE(CONTROL!$C$42, 156.4985, 156.4985) * CHOOSE(CONTROL!$C$21, $C$9, 100%, $E$9)</f>
        <v>156.49850000000001</v>
      </c>
      <c r="Q1063" s="14">
        <f>CHOOSE(CONTROL!$C$42, 156.8554, 156.8554) * CHOOSE(CONTROL!$C$21, $C$9, 100%, $E$9)</f>
        <v>156.8554</v>
      </c>
      <c r="R1063" s="14">
        <f>CHOOSE(CONTROL!$C$42, 157.8346, 157.8346) * CHOOSE(CONTROL!$C$21, $C$9, 100%, $E$9)</f>
        <v>157.83459999999999</v>
      </c>
      <c r="S1063" s="14">
        <f>CHOOSE(CONTROL!$C$42, 153.0221, 153.0221) * CHOOSE(CONTROL!$C$21, $C$9, 100%, $E$9)</f>
        <v>153.02209999999999</v>
      </c>
      <c r="T10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7">
        <f>(1000*CHOOSE(CONTROL!$C$42, 695, 695)*CHOOSE(CONTROL!$C$42, 0.5599, 0.5599)*CHOOSE(CONTROL!$C$42, 31, 31))/1000000</f>
        <v>12.063045499999998</v>
      </c>
      <c r="V1063" s="57">
        <f>(1000*CHOOSE(CONTROL!$C$42, 500, 500)*CHOOSE(CONTROL!$C$42, 0.275, 0.275)*CHOOSE(CONTROL!$C$42, 31, 31))/1000000</f>
        <v>4.2625000000000002</v>
      </c>
      <c r="W1063" s="57">
        <f>(1000*CHOOSE(CONTROL!$C$42, 0.1146, 0.1146)*CHOOSE(CONTROL!$C$42, 121.5, 121.5)*CHOOSE(CONTROL!$C$42, 31, 31))/1000000</f>
        <v>0.43164089999999994</v>
      </c>
      <c r="X1063" s="57">
        <f>(31*0.1790888*245000/1000000)+(31*0.2374*100000/1000000)</f>
        <v>2.0961194359999999</v>
      </c>
      <c r="Y1063" s="57"/>
      <c r="Z1063" s="14"/>
      <c r="AA1063" s="56"/>
      <c r="AB1063" s="50">
        <f>(B1063*194.205+C1063*267.466+D1063*133.845+E1063*53.484+F1063*40+G1063*185+H1063*0+I1063*100+J1063*300)/(194.205+267.466+133.845+53.484+0+40+185+100+300)</f>
        <v>159.33858270047097</v>
      </c>
      <c r="AC1063" s="45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156.18893021582736</v>
      </c>
    </row>
    <row r="1064" spans="1:29" ht="15.75" x14ac:dyDescent="0.25">
      <c r="A1064" s="32">
        <v>73293</v>
      </c>
      <c r="B1064" s="14">
        <f>CHOOSE(CONTROL!$C$42, 151.3937, 151.3937) * CHOOSE(CONTROL!$C$21, $C$9, 100%, $E$9)</f>
        <v>151.3937</v>
      </c>
      <c r="C1064" s="14">
        <f>CHOOSE(CONTROL!$C$42, 151.4017, 151.4017) * CHOOSE(CONTROL!$C$21, $C$9, 100%, $E$9)</f>
        <v>151.40170000000001</v>
      </c>
      <c r="D1064" s="14">
        <f>CHOOSE(CONTROL!$C$42, 151.6353, 151.6353) * CHOOSE(CONTROL!$C$21, $C$9, 100%, $E$9)</f>
        <v>151.6353</v>
      </c>
      <c r="E1064" s="14">
        <f>CHOOSE(CONTROL!$C$42, 151.6668, 151.6668) * CHOOSE(CONTROL!$C$21, $C$9, 100%, $E$9)</f>
        <v>151.66679999999999</v>
      </c>
      <c r="F1064" s="14">
        <f>CHOOSE(CONTROL!$C$42, 151.3917, 151.3917)*CHOOSE(CONTROL!$C$21, $C$9, 100%, $E$9)</f>
        <v>151.39169999999999</v>
      </c>
      <c r="G1064" s="14">
        <f>CHOOSE(CONTROL!$C$42, 151.4084, 151.4084)*CHOOSE(CONTROL!$C$21, $C$9, 100%, $E$9)</f>
        <v>151.4084</v>
      </c>
      <c r="H1064" s="14">
        <f>CHOOSE(CONTROL!$C$42, 151.6554, 151.6554) * CHOOSE(CONTROL!$C$21, $C$9, 100%, $E$9)</f>
        <v>151.65539999999999</v>
      </c>
      <c r="I1064" s="14">
        <f>CHOOSE(CONTROL!$C$42, 151.8837, 151.8837)* CHOOSE(CONTROL!$C$21, $C$9, 100%, $E$9)</f>
        <v>151.8837</v>
      </c>
      <c r="J1064" s="14">
        <f>CHOOSE(CONTROL!$C$42, 151.3847, 151.3847)* CHOOSE(CONTROL!$C$21, $C$9, 100%, $E$9)</f>
        <v>151.38470000000001</v>
      </c>
      <c r="K1064" s="53">
        <f>CHOOSE(CONTROL!$C$42, 151.8799, 151.8799) * CHOOSE(CONTROL!$C$21, $C$9, 100%, $E$9)</f>
        <v>151.87989999999999</v>
      </c>
      <c r="L1064" s="14">
        <f>CHOOSE(CONTROL!$C$42, 152.2424, 152.2424) * CHOOSE(CONTROL!$C$21, $C$9, 100%, $E$9)</f>
        <v>152.2424</v>
      </c>
      <c r="M1064" s="14">
        <f>CHOOSE(CONTROL!$C$42, 148.2906, 148.2906) * CHOOSE(CONTROL!$C$21, $C$9, 100%, $E$9)</f>
        <v>148.29060000000001</v>
      </c>
      <c r="N1064" s="14">
        <f>CHOOSE(CONTROL!$C$42, 148.3069, 148.3069) * CHOOSE(CONTROL!$C$21, $C$9, 100%, $E$9)</f>
        <v>148.30690000000001</v>
      </c>
      <c r="O1064" s="14">
        <f>CHOOSE(CONTROL!$C$42, 148.5558, 148.5558) * CHOOSE(CONTROL!$C$21, $C$9, 100%, $E$9)</f>
        <v>148.5558</v>
      </c>
      <c r="P1064" s="14">
        <f>CHOOSE(CONTROL!$C$42, 148.77, 148.77) * CHOOSE(CONTROL!$C$21, $C$9, 100%, $E$9)</f>
        <v>148.77000000000001</v>
      </c>
      <c r="Q1064" s="14">
        <f>CHOOSE(CONTROL!$C$42, 149.1505, 149.1505) * CHOOSE(CONTROL!$C$21, $C$9, 100%, $E$9)</f>
        <v>149.15049999999999</v>
      </c>
      <c r="R1064" s="14">
        <f>CHOOSE(CONTROL!$C$42, 150.1104, 150.1104) * CHOOSE(CONTROL!$C$21, $C$9, 100%, $E$9)</f>
        <v>150.1104</v>
      </c>
      <c r="S1064" s="14">
        <f>CHOOSE(CONTROL!$C$42, 145.4636, 145.4636) * CHOOSE(CONTROL!$C$21, $C$9, 100%, $E$9)</f>
        <v>145.46360000000001</v>
      </c>
      <c r="T10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7">
        <f>(1000*CHOOSE(CONTROL!$C$42, 695, 695)*CHOOSE(CONTROL!$C$42, 0.5599, 0.5599)*CHOOSE(CONTROL!$C$42, 31, 31))/1000000</f>
        <v>12.063045499999998</v>
      </c>
      <c r="V1064" s="57">
        <f>(1000*CHOOSE(CONTROL!$C$42, 500, 500)*CHOOSE(CONTROL!$C$42, 0.275, 0.275)*CHOOSE(CONTROL!$C$42, 31, 31))/1000000</f>
        <v>4.2625000000000002</v>
      </c>
      <c r="W1064" s="57">
        <f>(1000*CHOOSE(CONTROL!$C$42, 0.1146, 0.1146)*CHOOSE(CONTROL!$C$42, 121.5, 121.5)*CHOOSE(CONTROL!$C$42, 31, 31))/1000000</f>
        <v>0.43164089999999994</v>
      </c>
      <c r="X1064" s="57">
        <f>(31*0.1790888*245000/1000000)+(31*0.2374*100000/1000000)</f>
        <v>2.0961194359999999</v>
      </c>
      <c r="Y1064" s="57"/>
      <c r="Z1064" s="14"/>
      <c r="AA1064" s="56"/>
      <c r="AB1064" s="50">
        <f>(B1064*194.205+C1064*267.466+D1064*133.845+E1064*53.484+F1064*40+G1064*185+H1064*0+I1064*100+J1064*300)/(194.205+267.466+133.845+53.484+0+40+185+100+300)</f>
        <v>151.47064086373626</v>
      </c>
      <c r="AC1064" s="45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148.48071510791368</v>
      </c>
    </row>
    <row r="1065" spans="1:29" ht="15.75" x14ac:dyDescent="0.25">
      <c r="A1065" s="32">
        <v>73323</v>
      </c>
      <c r="B1065" s="14">
        <f>CHOOSE(CONTROL!$C$42, 141.7824, 141.7824) * CHOOSE(CONTROL!$C$21, $C$9, 100%, $E$9)</f>
        <v>141.7824</v>
      </c>
      <c r="C1065" s="14">
        <f>CHOOSE(CONTROL!$C$42, 141.7904, 141.7904) * CHOOSE(CONTROL!$C$21, $C$9, 100%, $E$9)</f>
        <v>141.79040000000001</v>
      </c>
      <c r="D1065" s="14">
        <f>CHOOSE(CONTROL!$C$42, 142.024, 142.024) * CHOOSE(CONTROL!$C$21, $C$9, 100%, $E$9)</f>
        <v>142.024</v>
      </c>
      <c r="E1065" s="14">
        <f>CHOOSE(CONTROL!$C$42, 142.0555, 142.0555) * CHOOSE(CONTROL!$C$21, $C$9, 100%, $E$9)</f>
        <v>142.05549999999999</v>
      </c>
      <c r="F1065" s="14">
        <f>CHOOSE(CONTROL!$C$42, 141.7804, 141.7804)*CHOOSE(CONTROL!$C$21, $C$9, 100%, $E$9)</f>
        <v>141.78039999999999</v>
      </c>
      <c r="G1065" s="14">
        <f>CHOOSE(CONTROL!$C$42, 141.797, 141.797)*CHOOSE(CONTROL!$C$21, $C$9, 100%, $E$9)</f>
        <v>141.797</v>
      </c>
      <c r="H1065" s="14">
        <f>CHOOSE(CONTROL!$C$42, 142.0441, 142.0441) * CHOOSE(CONTROL!$C$21, $C$9, 100%, $E$9)</f>
        <v>142.04409999999999</v>
      </c>
      <c r="I1065" s="14">
        <f>CHOOSE(CONTROL!$C$42, 142.2423, 142.2423)* CHOOSE(CONTROL!$C$21, $C$9, 100%, $E$9)</f>
        <v>142.2423</v>
      </c>
      <c r="J1065" s="14">
        <f>CHOOSE(CONTROL!$C$42, 141.7734, 141.7734)* CHOOSE(CONTROL!$C$21, $C$9, 100%, $E$9)</f>
        <v>141.77340000000001</v>
      </c>
      <c r="K1065" s="53">
        <f>CHOOSE(CONTROL!$C$42, 142.2384, 142.2384) * CHOOSE(CONTROL!$C$21, $C$9, 100%, $E$9)</f>
        <v>142.23840000000001</v>
      </c>
      <c r="L1065" s="14">
        <f>CHOOSE(CONTROL!$C$42, 142.6311, 142.6311) * CHOOSE(CONTROL!$C$21, $C$9, 100%, $E$9)</f>
        <v>142.6311</v>
      </c>
      <c r="M1065" s="14">
        <f>CHOOSE(CONTROL!$C$42, 138.8762, 138.8762) * CHOOSE(CONTROL!$C$21, $C$9, 100%, $E$9)</f>
        <v>138.87620000000001</v>
      </c>
      <c r="N1065" s="14">
        <f>CHOOSE(CONTROL!$C$42, 138.8926, 138.8926) * CHOOSE(CONTROL!$C$21, $C$9, 100%, $E$9)</f>
        <v>138.89259999999999</v>
      </c>
      <c r="O1065" s="14">
        <f>CHOOSE(CONTROL!$C$42, 139.1414, 139.1414) * CHOOSE(CONTROL!$C$21, $C$9, 100%, $E$9)</f>
        <v>139.1414</v>
      </c>
      <c r="P1065" s="14">
        <f>CHOOSE(CONTROL!$C$42, 139.3267, 139.3267) * CHOOSE(CONTROL!$C$21, $C$9, 100%, $E$9)</f>
        <v>139.32669999999999</v>
      </c>
      <c r="Q1065" s="14">
        <f>CHOOSE(CONTROL!$C$42, 139.7361, 139.7361) * CHOOSE(CONTROL!$C$21, $C$9, 100%, $E$9)</f>
        <v>139.73609999999999</v>
      </c>
      <c r="R1065" s="14">
        <f>CHOOSE(CONTROL!$C$42, 140.6724, 140.6724) * CHOOSE(CONTROL!$C$21, $C$9, 100%, $E$9)</f>
        <v>140.67240000000001</v>
      </c>
      <c r="S1065" s="14">
        <f>CHOOSE(CONTROL!$C$42, 136.228, 136.228) * CHOOSE(CONTROL!$C$21, $C$9, 100%, $E$9)</f>
        <v>136.22800000000001</v>
      </c>
      <c r="T10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7">
        <f>(1000*CHOOSE(CONTROL!$C$42, 695, 695)*CHOOSE(CONTROL!$C$42, 0.5599, 0.5599)*CHOOSE(CONTROL!$C$42, 30, 30))/1000000</f>
        <v>11.673914999999997</v>
      </c>
      <c r="V1065" s="57">
        <f>(1000*CHOOSE(CONTROL!$C$42, 500, 500)*CHOOSE(CONTROL!$C$42, 0.275, 0.275)*CHOOSE(CONTROL!$C$42, 30, 30))/1000000</f>
        <v>4.125</v>
      </c>
      <c r="W1065" s="57">
        <f>(1000*CHOOSE(CONTROL!$C$42, 0.1146, 0.1146)*CHOOSE(CONTROL!$C$42, 121.5, 121.5)*CHOOSE(CONTROL!$C$42, 30, 30))/1000000</f>
        <v>0.417717</v>
      </c>
      <c r="X1065" s="57">
        <f>(30*0.1790888*245000/1000000)+(30*0.2374*100000/1000000)</f>
        <v>2.0285026799999999</v>
      </c>
      <c r="Y1065" s="57"/>
      <c r="Z1065" s="14"/>
      <c r="AA1065" s="56"/>
      <c r="AB1065" s="50">
        <f>(B1065*194.205+C1065*267.466+D1065*133.845+E1065*53.484+F1065*40+G1065*185+H1065*0+I1065*100+J1065*300)/(194.205+267.466+133.845+53.484+0+40+185+100+300)</f>
        <v>141.85696370518056</v>
      </c>
      <c r="AC1065" s="45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139.06216258992805</v>
      </c>
    </row>
    <row r="1066" spans="1:29" ht="15.75" x14ac:dyDescent="0.25">
      <c r="A1066" s="32">
        <v>73354</v>
      </c>
      <c r="B1066" s="14">
        <f>CHOOSE(CONTROL!$C$42, 138.9021, 138.9021) * CHOOSE(CONTROL!$C$21, $C$9, 100%, $E$9)</f>
        <v>138.90209999999999</v>
      </c>
      <c r="C1066" s="14">
        <f>CHOOSE(CONTROL!$C$42, 138.9074, 138.9074) * CHOOSE(CONTROL!$C$21, $C$9, 100%, $E$9)</f>
        <v>138.9074</v>
      </c>
      <c r="D1066" s="14">
        <f>CHOOSE(CONTROL!$C$42, 139.146, 139.146) * CHOOSE(CONTROL!$C$21, $C$9, 100%, $E$9)</f>
        <v>139.14599999999999</v>
      </c>
      <c r="E1066" s="14">
        <f>CHOOSE(CONTROL!$C$42, 139.1751, 139.1751) * CHOOSE(CONTROL!$C$21, $C$9, 100%, $E$9)</f>
        <v>139.17509999999999</v>
      </c>
      <c r="F1066" s="14">
        <f>CHOOSE(CONTROL!$C$42, 138.9021, 138.9021)*CHOOSE(CONTROL!$C$21, $C$9, 100%, $E$9)</f>
        <v>138.90209999999999</v>
      </c>
      <c r="G1066" s="14">
        <f>CHOOSE(CONTROL!$C$42, 138.9184, 138.9184)*CHOOSE(CONTROL!$C$21, $C$9, 100%, $E$9)</f>
        <v>138.91839999999999</v>
      </c>
      <c r="H1066" s="14">
        <f>CHOOSE(CONTROL!$C$42, 139.1656, 139.1656) * CHOOSE(CONTROL!$C$21, $C$9, 100%, $E$9)</f>
        <v>139.16560000000001</v>
      </c>
      <c r="I1066" s="14">
        <f>CHOOSE(CONTROL!$C$42, 139.3548, 139.3548)* CHOOSE(CONTROL!$C$21, $C$9, 100%, $E$9)</f>
        <v>139.35480000000001</v>
      </c>
      <c r="J1066" s="14">
        <f>CHOOSE(CONTROL!$C$42, 138.8951, 138.8951)* CHOOSE(CONTROL!$C$21, $C$9, 100%, $E$9)</f>
        <v>138.89510000000001</v>
      </c>
      <c r="K1066" s="53">
        <f>CHOOSE(CONTROL!$C$42, 139.3509, 139.3509) * CHOOSE(CONTROL!$C$21, $C$9, 100%, $E$9)</f>
        <v>139.3509</v>
      </c>
      <c r="L1066" s="14">
        <f>CHOOSE(CONTROL!$C$42, 139.7526, 139.7526) * CHOOSE(CONTROL!$C$21, $C$9, 100%, $E$9)</f>
        <v>139.7526</v>
      </c>
      <c r="M1066" s="14">
        <f>CHOOSE(CONTROL!$C$42, 136.0569, 136.0569) * CHOOSE(CONTROL!$C$21, $C$9, 100%, $E$9)</f>
        <v>136.05690000000001</v>
      </c>
      <c r="N1066" s="14">
        <f>CHOOSE(CONTROL!$C$42, 136.0729, 136.0729) * CHOOSE(CONTROL!$C$21, $C$9, 100%, $E$9)</f>
        <v>136.0729</v>
      </c>
      <c r="O1066" s="14">
        <f>CHOOSE(CONTROL!$C$42, 136.3219, 136.3219) * CHOOSE(CONTROL!$C$21, $C$9, 100%, $E$9)</f>
        <v>136.3219</v>
      </c>
      <c r="P1066" s="14">
        <f>CHOOSE(CONTROL!$C$42, 136.4985, 136.4985) * CHOOSE(CONTROL!$C$21, $C$9, 100%, $E$9)</f>
        <v>136.49850000000001</v>
      </c>
      <c r="Q1066" s="14">
        <f>CHOOSE(CONTROL!$C$42, 136.9166, 136.9166) * CHOOSE(CONTROL!$C$21, $C$9, 100%, $E$9)</f>
        <v>136.91659999999999</v>
      </c>
      <c r="R1066" s="14">
        <f>CHOOSE(CONTROL!$C$42, 137.8459, 137.8459) * CHOOSE(CONTROL!$C$21, $C$9, 100%, $E$9)</f>
        <v>137.8459</v>
      </c>
      <c r="S1066" s="14">
        <f>CHOOSE(CONTROL!$C$42, 133.4621, 133.4621) * CHOOSE(CONTROL!$C$21, $C$9, 100%, $E$9)</f>
        <v>133.46209999999999</v>
      </c>
      <c r="T10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7">
        <f>(1000*CHOOSE(CONTROL!$C$42, 695, 695)*CHOOSE(CONTROL!$C$42, 0.5599, 0.5599)*CHOOSE(CONTROL!$C$42, 31, 31))/1000000</f>
        <v>12.063045499999998</v>
      </c>
      <c r="V1066" s="57">
        <f>(1000*CHOOSE(CONTROL!$C$42, 500, 500)*CHOOSE(CONTROL!$C$42, 0.275, 0.275)*CHOOSE(CONTROL!$C$42, 31, 31))/1000000</f>
        <v>4.2625000000000002</v>
      </c>
      <c r="W1066" s="57">
        <f>(1000*CHOOSE(CONTROL!$C$42, 0.1146, 0.1146)*CHOOSE(CONTROL!$C$42, 121.5, 121.5)*CHOOSE(CONTROL!$C$42, 31, 31))/1000000</f>
        <v>0.43164089999999994</v>
      </c>
      <c r="X1066" s="57">
        <f>(31*0.1790888*245000/1000000)+(31*0.2374*100000/1000000)</f>
        <v>2.0961194359999999</v>
      </c>
      <c r="Y1066" s="57"/>
      <c r="Z1066" s="14"/>
      <c r="AA1066" s="56"/>
      <c r="AB1066" s="50">
        <f>(B1066*131.881+C1066*277.167+D1066*79.08+E1066*125.872+F1066*40+G1066*185+H1066*0+I1066*100+J1066*300)/(131.881+277.167+79.08+125.872+0+40+185+100+300)</f>
        <v>138.98386364253429</v>
      </c>
      <c r="AC1066" s="45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136.24146834532374</v>
      </c>
    </row>
    <row r="1067" spans="1:29" ht="15.75" x14ac:dyDescent="0.25">
      <c r="A1067" s="32">
        <v>73384</v>
      </c>
      <c r="B1067" s="14">
        <f>CHOOSE(CONTROL!$C$42, 142.5608, 142.5608) * CHOOSE(CONTROL!$C$21, $C$9, 100%, $E$9)</f>
        <v>142.5608</v>
      </c>
      <c r="C1067" s="14">
        <f>CHOOSE(CONTROL!$C$42, 142.5658, 142.5658) * CHOOSE(CONTROL!$C$21, $C$9, 100%, $E$9)</f>
        <v>142.5658</v>
      </c>
      <c r="D1067" s="14">
        <f>CHOOSE(CONTROL!$C$42, 142.64, 142.64) * CHOOSE(CONTROL!$C$21, $C$9, 100%, $E$9)</f>
        <v>142.63999999999999</v>
      </c>
      <c r="E1067" s="14">
        <f>CHOOSE(CONTROL!$C$42, 142.6742, 142.6742) * CHOOSE(CONTROL!$C$21, $C$9, 100%, $E$9)</f>
        <v>142.67420000000001</v>
      </c>
      <c r="F1067" s="14">
        <f>CHOOSE(CONTROL!$C$42, 142.5728, 142.5728)*CHOOSE(CONTROL!$C$21, $C$9, 100%, $E$9)</f>
        <v>142.5728</v>
      </c>
      <c r="G1067" s="14">
        <f>CHOOSE(CONTROL!$C$42, 142.5894, 142.5894)*CHOOSE(CONTROL!$C$21, $C$9, 100%, $E$9)</f>
        <v>142.58940000000001</v>
      </c>
      <c r="H1067" s="14">
        <f>CHOOSE(CONTROL!$C$42, 142.6633, 142.6633) * CHOOSE(CONTROL!$C$21, $C$9, 100%, $E$9)</f>
        <v>142.66329999999999</v>
      </c>
      <c r="I1067" s="14">
        <f>CHOOSE(CONTROL!$C$42, 143.0316, 143.0316)* CHOOSE(CONTROL!$C$21, $C$9, 100%, $E$9)</f>
        <v>143.0316</v>
      </c>
      <c r="J1067" s="14">
        <f>CHOOSE(CONTROL!$C$42, 142.5658, 142.5658)* CHOOSE(CONTROL!$C$21, $C$9, 100%, $E$9)</f>
        <v>142.5658</v>
      </c>
      <c r="K1067" s="53">
        <f>CHOOSE(CONTROL!$C$42, 143.0277, 143.0277) * CHOOSE(CONTROL!$C$21, $C$9, 100%, $E$9)</f>
        <v>143.02770000000001</v>
      </c>
      <c r="L1067" s="14">
        <f>CHOOSE(CONTROL!$C$42, 143.2503, 143.2503) * CHOOSE(CONTROL!$C$21, $C$9, 100%, $E$9)</f>
        <v>143.25030000000001</v>
      </c>
      <c r="M1067" s="14">
        <f>CHOOSE(CONTROL!$C$42, 139.6524, 139.6524) * CHOOSE(CONTROL!$C$21, $C$9, 100%, $E$9)</f>
        <v>139.6524</v>
      </c>
      <c r="N1067" s="14">
        <f>CHOOSE(CONTROL!$C$42, 139.6687, 139.6687) * CHOOSE(CONTROL!$C$21, $C$9, 100%, $E$9)</f>
        <v>139.6687</v>
      </c>
      <c r="O1067" s="14">
        <f>CHOOSE(CONTROL!$C$42, 139.748, 139.748) * CHOOSE(CONTROL!$C$21, $C$9, 100%, $E$9)</f>
        <v>139.74799999999999</v>
      </c>
      <c r="P1067" s="14">
        <f>CHOOSE(CONTROL!$C$42, 140.0997, 140.0997) * CHOOSE(CONTROL!$C$21, $C$9, 100%, $E$9)</f>
        <v>140.09970000000001</v>
      </c>
      <c r="Q1067" s="14">
        <f>CHOOSE(CONTROL!$C$42, 140.3427, 140.3427) * CHOOSE(CONTROL!$C$21, $C$9, 100%, $E$9)</f>
        <v>140.34270000000001</v>
      </c>
      <c r="R1067" s="14">
        <f>CHOOSE(CONTROL!$C$42, 141.2805, 141.2805) * CHOOSE(CONTROL!$C$21, $C$9, 100%, $E$9)</f>
        <v>141.28049999999999</v>
      </c>
      <c r="S1067" s="14">
        <f>CHOOSE(CONTROL!$C$42, 136.9781, 136.9781) * CHOOSE(CONTROL!$C$21, $C$9, 100%, $E$9)</f>
        <v>136.97810000000001</v>
      </c>
      <c r="T10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7">
        <f>(1000*CHOOSE(CONTROL!$C$42, 695, 695)*CHOOSE(CONTROL!$C$42, 0.5599, 0.5599)*CHOOSE(CONTROL!$C$42, 30, 30))/1000000</f>
        <v>11.673914999999997</v>
      </c>
      <c r="V1067" s="57">
        <f>(1000*CHOOSE(CONTROL!$C$42, 500, 500)*CHOOSE(CONTROL!$C$42, 0.275, 0.275)*CHOOSE(CONTROL!$C$42, 30, 30))/1000000</f>
        <v>4.125</v>
      </c>
      <c r="W1067" s="57">
        <f>(1000*CHOOSE(CONTROL!$C$42, 0.1146, 0.1146)*CHOOSE(CONTROL!$C$42, 121.5, 121.5)*CHOOSE(CONTROL!$C$42, 30, 30))/1000000</f>
        <v>0.417717</v>
      </c>
      <c r="X1067" s="57">
        <f>(30*0.1790888*100000/1000000)+(30*0.2374*100000/1000000)</f>
        <v>1.2494664</v>
      </c>
      <c r="Y1067" s="57"/>
      <c r="Z1067" s="14"/>
      <c r="AA1067" s="56"/>
      <c r="AB1067" s="50">
        <f>(B1067*122.58+C1067*297.941+D1067*89.177+E1067*40.302+F1067*40+G1067*160+H1067*0+I1067*100+J1067*300)/(122.58+297.941+89.177+40.302+0+40+160+100+300)</f>
        <v>142.61885110452175</v>
      </c>
      <c r="AC1067" s="45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139.76102733812948</v>
      </c>
    </row>
    <row r="1068" spans="1:29" ht="15.75" x14ac:dyDescent="0.25">
      <c r="A1068" s="32">
        <v>73415</v>
      </c>
      <c r="B1068" s="14">
        <f>CHOOSE(CONTROL!$C$42, 152.2789, 152.2789) * CHOOSE(CONTROL!$C$21, $C$9, 100%, $E$9)</f>
        <v>152.27889999999999</v>
      </c>
      <c r="C1068" s="14">
        <f>CHOOSE(CONTROL!$C$42, 152.284, 152.284) * CHOOSE(CONTROL!$C$21, $C$9, 100%, $E$9)</f>
        <v>152.28399999999999</v>
      </c>
      <c r="D1068" s="14">
        <f>CHOOSE(CONTROL!$C$42, 152.3582, 152.3582) * CHOOSE(CONTROL!$C$21, $C$9, 100%, $E$9)</f>
        <v>152.35820000000001</v>
      </c>
      <c r="E1068" s="14">
        <f>CHOOSE(CONTROL!$C$42, 152.3923, 152.3923) * CHOOSE(CONTROL!$C$21, $C$9, 100%, $E$9)</f>
        <v>152.39230000000001</v>
      </c>
      <c r="F1068" s="14">
        <f>CHOOSE(CONTROL!$C$42, 152.2931, 152.2931)*CHOOSE(CONTROL!$C$21, $C$9, 100%, $E$9)</f>
        <v>152.29310000000001</v>
      </c>
      <c r="G1068" s="14">
        <f>CHOOSE(CONTROL!$C$42, 152.3103, 152.3103)*CHOOSE(CONTROL!$C$21, $C$9, 100%, $E$9)</f>
        <v>152.31030000000001</v>
      </c>
      <c r="H1068" s="14">
        <f>CHOOSE(CONTROL!$C$42, 152.3815, 152.3815) * CHOOSE(CONTROL!$C$21, $C$9, 100%, $E$9)</f>
        <v>152.38149999999999</v>
      </c>
      <c r="I1068" s="14">
        <f>CHOOSE(CONTROL!$C$42, 152.7801, 152.7801)* CHOOSE(CONTROL!$C$21, $C$9, 100%, $E$9)</f>
        <v>152.7801</v>
      </c>
      <c r="J1068" s="14">
        <f>CHOOSE(CONTROL!$C$42, 152.2861, 152.2861)* CHOOSE(CONTROL!$C$21, $C$9, 100%, $E$9)</f>
        <v>152.2861</v>
      </c>
      <c r="K1068" s="53">
        <f>CHOOSE(CONTROL!$C$42, 152.7763, 152.7763) * CHOOSE(CONTROL!$C$21, $C$9, 100%, $E$9)</f>
        <v>152.77629999999999</v>
      </c>
      <c r="L1068" s="14">
        <f>CHOOSE(CONTROL!$C$42, 152.9685, 152.9685) * CHOOSE(CONTROL!$C$21, $C$9, 100%, $E$9)</f>
        <v>152.96850000000001</v>
      </c>
      <c r="M1068" s="14">
        <f>CHOOSE(CONTROL!$C$42, 149.1736, 149.1736) * CHOOSE(CONTROL!$C$21, $C$9, 100%, $E$9)</f>
        <v>149.17359999999999</v>
      </c>
      <c r="N1068" s="14">
        <f>CHOOSE(CONTROL!$C$42, 149.1904, 149.1904) * CHOOSE(CONTROL!$C$21, $C$9, 100%, $E$9)</f>
        <v>149.19040000000001</v>
      </c>
      <c r="O1068" s="14">
        <f>CHOOSE(CONTROL!$C$42, 149.267, 149.267) * CHOOSE(CONTROL!$C$21, $C$9, 100%, $E$9)</f>
        <v>149.267</v>
      </c>
      <c r="P1068" s="14">
        <f>CHOOSE(CONTROL!$C$42, 149.648, 149.648) * CHOOSE(CONTROL!$C$21, $C$9, 100%, $E$9)</f>
        <v>149.648</v>
      </c>
      <c r="Q1068" s="14">
        <f>CHOOSE(CONTROL!$C$42, 149.8617, 149.8617) * CHOOSE(CONTROL!$C$21, $C$9, 100%, $E$9)</f>
        <v>149.86170000000001</v>
      </c>
      <c r="R1068" s="14">
        <f>CHOOSE(CONTROL!$C$42, 150.8234, 150.8234) * CHOOSE(CONTROL!$C$21, $C$9, 100%, $E$9)</f>
        <v>150.82339999999999</v>
      </c>
      <c r="S1068" s="14">
        <f>CHOOSE(CONTROL!$C$42, 146.3163, 146.3163) * CHOOSE(CONTROL!$C$21, $C$9, 100%, $E$9)</f>
        <v>146.31630000000001</v>
      </c>
      <c r="T10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7">
        <f>(1000*CHOOSE(CONTROL!$C$42, 695, 695)*CHOOSE(CONTROL!$C$42, 0.5599, 0.5599)*CHOOSE(CONTROL!$C$42, 31, 31))/1000000</f>
        <v>12.063045499999998</v>
      </c>
      <c r="V1068" s="57">
        <f>(1000*CHOOSE(CONTROL!$C$42, 500, 500)*CHOOSE(CONTROL!$C$42, 0.275, 0.275)*CHOOSE(CONTROL!$C$42, 31, 31))/1000000</f>
        <v>4.2625000000000002</v>
      </c>
      <c r="W1068" s="57">
        <f>(1000*CHOOSE(CONTROL!$C$42, 0.1146, 0.1146)*CHOOSE(CONTROL!$C$42, 121.5, 121.5)*CHOOSE(CONTROL!$C$42, 31, 31))/1000000</f>
        <v>0.43164089999999994</v>
      </c>
      <c r="X1068" s="57">
        <f>(31*0.1790888*100000/1000000)+(31*0.2374*100000/1000000)</f>
        <v>1.2911152800000001</v>
      </c>
      <c r="Y1068" s="57"/>
      <c r="Z1068" s="14"/>
      <c r="AA1068" s="56"/>
      <c r="AB1068" s="50">
        <f>(B1068*122.58+C1068*297.941+D1068*89.177+E1068*40.302+F1068*40+G1068*160+H1068*0+I1068*100+J1068*300)/(122.58+297.941+89.177+40.302+0+40+160+100+300)</f>
        <v>152.34066824521739</v>
      </c>
      <c r="AC1068" s="45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149.28515827338128</v>
      </c>
    </row>
    <row r="1069" spans="1:29" ht="15" x14ac:dyDescent="0.2">
      <c r="A1069" s="12"/>
    </row>
    <row r="1070" spans="1:29" ht="15.75" x14ac:dyDescent="0.25">
      <c r="A1070" s="10">
        <v>2013</v>
      </c>
      <c r="B1070" s="14">
        <f t="shared" ref="B1070:J1070" si="3">AVERAGE(B13:B24)</f>
        <v>3.8376956624015874</v>
      </c>
      <c r="C1070" s="14">
        <f t="shared" si="3"/>
        <v>3.8439633628764969</v>
      </c>
      <c r="D1070" s="14">
        <f t="shared" si="3"/>
        <v>3.9867727789472518</v>
      </c>
      <c r="E1070" s="14">
        <f t="shared" si="3"/>
        <v>4.0191125702545714</v>
      </c>
      <c r="F1070" s="14">
        <f t="shared" si="3"/>
        <v>3.8388109971939213</v>
      </c>
      <c r="G1070" s="14">
        <f t="shared" si="3"/>
        <v>3.8541720385860478</v>
      </c>
      <c r="H1070" s="14">
        <f t="shared" si="3"/>
        <v>4.008147340687561</v>
      </c>
      <c r="I1070" s="14">
        <f t="shared" si="3"/>
        <v>3.8625519093030145</v>
      </c>
      <c r="J1070" s="14">
        <f t="shared" si="3"/>
        <v>3.8317109971939218</v>
      </c>
      <c r="K1070" s="53"/>
      <c r="L1070" s="14">
        <f t="shared" ref="L1070:S1070" si="4">AVERAGE(L13:L24)</f>
        <v>4.5951473406875607</v>
      </c>
      <c r="M1070" s="14">
        <f t="shared" si="4"/>
        <v>3.7723971509787924</v>
      </c>
      <c r="N1070" s="14">
        <f t="shared" si="4"/>
        <v>3.7874808802376072</v>
      </c>
      <c r="O1070" s="14">
        <f t="shared" si="4"/>
        <v>3.9456765897960282</v>
      </c>
      <c r="P1070" s="14">
        <f t="shared" si="4"/>
        <v>3.8025686448202798</v>
      </c>
      <c r="Q1070" s="14">
        <f t="shared" si="4"/>
        <v>4.5403765897960282</v>
      </c>
      <c r="R1070" s="14">
        <f t="shared" si="4"/>
        <v>5.138734489603852</v>
      </c>
      <c r="S1070" s="14">
        <f t="shared" si="4"/>
        <v>3.6854813893418803</v>
      </c>
      <c r="T1070" s="49">
        <f t="shared" ref="T1070:Y1070" si="5">SUM(T13:T24)</f>
        <v>360.24594350000001</v>
      </c>
      <c r="U1070" s="49">
        <f t="shared" si="5"/>
        <v>142.0367665</v>
      </c>
      <c r="V1070" s="49">
        <f t="shared" si="5"/>
        <v>58.217499999999994</v>
      </c>
      <c r="W1070" s="49">
        <f t="shared" si="5"/>
        <v>8.0936000000000003</v>
      </c>
      <c r="X1070" s="49">
        <f t="shared" si="5"/>
        <v>5.5571254639999994</v>
      </c>
      <c r="Y1070" s="49">
        <f t="shared" si="5"/>
        <v>4.7699999999999996</v>
      </c>
      <c r="Z1070" s="14">
        <f>AVERAGE(Z13:Z24)</f>
        <v>3.796341596051056</v>
      </c>
      <c r="AA1070" s="49">
        <f>SUM(AA13:AA24)</f>
        <v>9.4679999999999982</v>
      </c>
      <c r="AB1070" s="50">
        <f>AVERAGE(AB13:AB24)</f>
        <v>3.887648144689416</v>
      </c>
      <c r="AC1070" s="45">
        <f>AVERAGE(AC13:AC24)</f>
        <v>3.8455204330664756</v>
      </c>
    </row>
    <row r="1071" spans="1:29" ht="15.75" x14ac:dyDescent="0.25">
      <c r="A1071" s="10">
        <v>2014</v>
      </c>
      <c r="B1071" s="14">
        <f t="shared" ref="B1071:J1071" si="6">AVERAGE(B25:B36)</f>
        <v>4.0852249999999994</v>
      </c>
      <c r="C1071" s="14">
        <f t="shared" si="6"/>
        <v>4.0914833333333336</v>
      </c>
      <c r="D1071" s="14">
        <f t="shared" si="6"/>
        <v>4.2600083333333334</v>
      </c>
      <c r="E1071" s="14">
        <f t="shared" si="6"/>
        <v>4.292441666666666</v>
      </c>
      <c r="F1071" s="14">
        <f t="shared" si="6"/>
        <v>4.086241666666667</v>
      </c>
      <c r="G1071" s="14">
        <f t="shared" si="6"/>
        <v>4.1026833333333332</v>
      </c>
      <c r="H1071" s="14">
        <f t="shared" si="6"/>
        <v>4.2815416666666666</v>
      </c>
      <c r="I1071" s="14">
        <f t="shared" si="6"/>
        <v>4.1161166666666666</v>
      </c>
      <c r="J1071" s="14">
        <f t="shared" si="6"/>
        <v>4.0792416666666673</v>
      </c>
      <c r="K1071" s="53"/>
      <c r="L1071" s="14">
        <f t="shared" ref="L1071:S1071" si="7">AVERAGE(L25:L36)</f>
        <v>4.8685416666666663</v>
      </c>
      <c r="M1071" s="14">
        <f t="shared" si="7"/>
        <v>4.0033583333333338</v>
      </c>
      <c r="N1071" s="14">
        <f t="shared" si="7"/>
        <v>4.0194583333333336</v>
      </c>
      <c r="O1071" s="14">
        <f t="shared" si="7"/>
        <v>4.201508333333333</v>
      </c>
      <c r="P1071" s="14">
        <f t="shared" si="7"/>
        <v>4.0392916666666663</v>
      </c>
      <c r="Q1071" s="14">
        <f t="shared" si="7"/>
        <v>4.7962083333333334</v>
      </c>
      <c r="R1071" s="14">
        <f t="shared" si="7"/>
        <v>5.3952</v>
      </c>
      <c r="S1071" s="14">
        <f t="shared" si="7"/>
        <v>3.9159833333333331</v>
      </c>
      <c r="T1071" s="49">
        <f t="shared" ref="T1071:Y1071" si="8">SUM(T25:T36)</f>
        <v>364.742681</v>
      </c>
      <c r="U1071" s="49">
        <f t="shared" si="8"/>
        <v>142.03263249999998</v>
      </c>
      <c r="V1071" s="49">
        <f t="shared" si="8"/>
        <v>58.217499999999994</v>
      </c>
      <c r="W1071" s="49">
        <f t="shared" si="8"/>
        <v>8.3657999999999983</v>
      </c>
      <c r="X1071" s="49">
        <f t="shared" si="8"/>
        <v>5.5571254639999994</v>
      </c>
      <c r="Y1071" s="49">
        <f t="shared" si="8"/>
        <v>1.2000000000000002</v>
      </c>
      <c r="Z1071" s="14">
        <f>AVERAGE(Z25:Z36)</f>
        <v>4.0295416666666668</v>
      </c>
      <c r="AA1071" s="49">
        <f>SUM(AA25:AA36)</f>
        <v>9.4679999999999982</v>
      </c>
      <c r="AB1071" s="50">
        <f>AVERAGE(AB25:AB36)</f>
        <v>4.1445448202139534</v>
      </c>
      <c r="AC1071" s="45">
        <f>AVERAGE(AC25:AC36)</f>
        <v>4.0846066546762598</v>
      </c>
    </row>
    <row r="1072" spans="1:29" ht="15.75" x14ac:dyDescent="0.25">
      <c r="A1072" s="10">
        <v>2015</v>
      </c>
      <c r="B1072" s="14">
        <f t="shared" ref="B1072:J1072" si="9">AVERAGE(B37:B48)</f>
        <v>4.2988333333333335</v>
      </c>
      <c r="C1072" s="14">
        <f t="shared" si="9"/>
        <v>4.3051000000000004</v>
      </c>
      <c r="D1072" s="14">
        <f t="shared" si="9"/>
        <v>4.4736249999999993</v>
      </c>
      <c r="E1072" s="14">
        <f t="shared" si="9"/>
        <v>4.5060416666666674</v>
      </c>
      <c r="F1072" s="14">
        <f t="shared" si="9"/>
        <v>4.2998500000000002</v>
      </c>
      <c r="G1072" s="14">
        <f t="shared" si="9"/>
        <v>4.3162916666666673</v>
      </c>
      <c r="H1072" s="14">
        <f t="shared" si="9"/>
        <v>4.4951583333333334</v>
      </c>
      <c r="I1072" s="14">
        <f t="shared" si="9"/>
        <v>4.3303833333333328</v>
      </c>
      <c r="J1072" s="14">
        <f t="shared" si="9"/>
        <v>4.2928500000000005</v>
      </c>
      <c r="K1072" s="53"/>
      <c r="L1072" s="14">
        <f t="shared" ref="L1072:S1072" si="10">AVERAGE(L37:L48)</f>
        <v>5.0821583333333331</v>
      </c>
      <c r="M1072" s="14">
        <f t="shared" si="10"/>
        <v>4.2125999999999992</v>
      </c>
      <c r="N1072" s="14">
        <f t="shared" si="10"/>
        <v>4.2286750000000008</v>
      </c>
      <c r="O1072" s="14">
        <f t="shared" si="10"/>
        <v>4.410733333333333</v>
      </c>
      <c r="P1072" s="14">
        <f t="shared" si="10"/>
        <v>4.2491583333333347</v>
      </c>
      <c r="Q1072" s="14">
        <f t="shared" si="10"/>
        <v>5.0054333333333334</v>
      </c>
      <c r="R1072" s="14">
        <f t="shared" si="10"/>
        <v>5.6049499999999997</v>
      </c>
      <c r="S1072" s="14">
        <f t="shared" si="10"/>
        <v>4.1212333333333335</v>
      </c>
      <c r="T1072" s="49">
        <f>SUM(T37:T48)</f>
        <v>364.742681</v>
      </c>
      <c r="U1072" s="49">
        <f>SUM(U37:U48)</f>
        <v>142.03263249999998</v>
      </c>
      <c r="V1072" s="49">
        <f>SUM(V37:V48)</f>
        <v>58.217499999999994</v>
      </c>
      <c r="W1072" s="49">
        <f>SUM(W37:W48)</f>
        <v>8.3657999999999983</v>
      </c>
      <c r="X1072" s="49">
        <f>SUM(X37:X48)</f>
        <v>17.010567464000001</v>
      </c>
      <c r="Y1072" s="49"/>
      <c r="Z1072" s="14">
        <f>AVERAGE(Z37:Z48)</f>
        <v>4.2396416666666665</v>
      </c>
      <c r="AA1072" s="49">
        <f>SUM(AA37:AA48)</f>
        <v>9.4679999999999982</v>
      </c>
      <c r="AB1072" s="50">
        <f>AVERAGE(AB37:AB48)</f>
        <v>4.3376801380175918</v>
      </c>
      <c r="AC1072" s="45">
        <f>AVERAGE(AC37:AC48)</f>
        <v>4.284803597122302</v>
      </c>
    </row>
    <row r="1073" spans="1:29" ht="15.75" x14ac:dyDescent="0.25">
      <c r="A1073" s="10">
        <v>2016</v>
      </c>
      <c r="B1073" s="14">
        <f t="shared" ref="B1073:J1073" si="11">AVERAGE(B49:B60)</f>
        <v>4.6180750000000002</v>
      </c>
      <c r="C1073" s="14">
        <f t="shared" si="11"/>
        <v>4.624341666666667</v>
      </c>
      <c r="D1073" s="14">
        <f t="shared" si="11"/>
        <v>4.7928500000000005</v>
      </c>
      <c r="E1073" s="14">
        <f t="shared" si="11"/>
        <v>4.8252916666666659</v>
      </c>
      <c r="F1073" s="14">
        <f t="shared" si="11"/>
        <v>4.6191000000000004</v>
      </c>
      <c r="G1073" s="14">
        <f t="shared" si="11"/>
        <v>4.6355333333333339</v>
      </c>
      <c r="H1073" s="14">
        <f t="shared" si="11"/>
        <v>4.8143916666666664</v>
      </c>
      <c r="I1073" s="14">
        <f t="shared" si="11"/>
        <v>4.6506333333333334</v>
      </c>
      <c r="J1073" s="14">
        <f t="shared" si="11"/>
        <v>4.612099999999999</v>
      </c>
      <c r="K1073" s="53"/>
      <c r="L1073" s="14">
        <f t="shared" ref="L1073:S1073" si="12">AVERAGE(L49:L60)</f>
        <v>5.4013916666666661</v>
      </c>
      <c r="M1073" s="14">
        <f t="shared" si="12"/>
        <v>4.5252833333333333</v>
      </c>
      <c r="N1073" s="14">
        <f t="shared" si="12"/>
        <v>4.5413749999999995</v>
      </c>
      <c r="O1073" s="14">
        <f t="shared" si="12"/>
        <v>4.7234583333333333</v>
      </c>
      <c r="P1073" s="14">
        <f t="shared" si="12"/>
        <v>4.5628416666666665</v>
      </c>
      <c r="Q1073" s="14">
        <f t="shared" si="12"/>
        <v>5.3181583333333329</v>
      </c>
      <c r="R1073" s="14">
        <f t="shared" si="12"/>
        <v>5.9184249999999992</v>
      </c>
      <c r="S1073" s="14">
        <f t="shared" si="12"/>
        <v>4.4279916666666663</v>
      </c>
      <c r="T1073" s="49">
        <f>SUM(T49:T60)</f>
        <v>358.17703550000004</v>
      </c>
      <c r="U1073" s="49">
        <f>SUM(U49:U60)</f>
        <v>142.42176299999997</v>
      </c>
      <c r="V1073" s="49">
        <f>SUM(V49:V60)</f>
        <v>58.377000000000002</v>
      </c>
      <c r="W1073" s="49">
        <f>SUM(W49:W60)</f>
        <v>6.1846754999999982</v>
      </c>
      <c r="X1073" s="49">
        <f>SUM(X49:X60)</f>
        <v>20.800615543999996</v>
      </c>
      <c r="Y1073" s="49"/>
      <c r="Z1073" s="14"/>
      <c r="AA1073" s="49"/>
      <c r="AB1073" s="50">
        <f>AVERAGE(AB49:AB60)</f>
        <v>4.6500566431258008</v>
      </c>
      <c r="AC1073" s="45">
        <f>AVERAGE(AC49:AC60)</f>
        <v>4.5962943045563547</v>
      </c>
    </row>
    <row r="1074" spans="1:29" ht="15.75" x14ac:dyDescent="0.25">
      <c r="A1074" s="10">
        <v>2017</v>
      </c>
      <c r="B1074" s="14">
        <f t="shared" ref="B1074:S1074" si="13">AVERAGE(B61:B72)</f>
        <v>5.0009166666666669</v>
      </c>
      <c r="C1074" s="14">
        <f t="shared" si="13"/>
        <v>5.0071833333333329</v>
      </c>
      <c r="D1074" s="14">
        <f t="shared" si="13"/>
        <v>5.1756916666666664</v>
      </c>
      <c r="E1074" s="14">
        <f t="shared" si="13"/>
        <v>5.2081249999999999</v>
      </c>
      <c r="F1074" s="14">
        <f t="shared" si="13"/>
        <v>5.0019416666666663</v>
      </c>
      <c r="G1074" s="14">
        <f t="shared" si="13"/>
        <v>5.0183749999999998</v>
      </c>
      <c r="H1074" s="14">
        <f t="shared" si="13"/>
        <v>5.1972333333333331</v>
      </c>
      <c r="I1074" s="14">
        <f t="shared" si="13"/>
        <v>5.034675</v>
      </c>
      <c r="J1074" s="14">
        <f t="shared" si="13"/>
        <v>4.9949416666666666</v>
      </c>
      <c r="K1074" s="53">
        <f t="shared" si="13"/>
        <v>5.0307749999999993</v>
      </c>
      <c r="L1074" s="14">
        <f t="shared" si="13"/>
        <v>5.7842333333333329</v>
      </c>
      <c r="M1074" s="14">
        <f t="shared" si="13"/>
        <v>4.9002833333333333</v>
      </c>
      <c r="N1074" s="14">
        <f t="shared" si="13"/>
        <v>4.9163833333333331</v>
      </c>
      <c r="O1074" s="14">
        <f t="shared" si="13"/>
        <v>5.0984416666666661</v>
      </c>
      <c r="P1074" s="14">
        <f t="shared" si="13"/>
        <v>4.9389666666666656</v>
      </c>
      <c r="Q1074" s="14">
        <f t="shared" si="13"/>
        <v>5.6931416666666665</v>
      </c>
      <c r="R1074" s="14">
        <f t="shared" si="13"/>
        <v>6.2943749999999996</v>
      </c>
      <c r="S1074" s="14">
        <f t="shared" si="13"/>
        <v>4.7958583333333342</v>
      </c>
      <c r="T1074" s="49">
        <f>SUM(T61:T72)</f>
        <v>357.24568100000005</v>
      </c>
      <c r="U1074" s="49">
        <f>SUM(U61:U72)</f>
        <v>142.03263249999998</v>
      </c>
      <c r="V1074" s="49">
        <f>SUM(V61:V72)</f>
        <v>58.217499999999994</v>
      </c>
      <c r="W1074" s="49">
        <f>SUM(W61:W72)</f>
        <v>5.0822234999999996</v>
      </c>
      <c r="X1074" s="49">
        <f>SUM(X61:X72)</f>
        <v>20.758966663999999</v>
      </c>
      <c r="Y1074" s="49"/>
      <c r="Z1074" s="14"/>
      <c r="AA1074" s="14"/>
      <c r="AB1074" s="50">
        <f>AVERAGE(AB61:AB72)</f>
        <v>5.0329968480650873</v>
      </c>
      <c r="AC1074" s="45">
        <f>AVERAGE(AC61:AC72)</f>
        <v>4.9714519784172664</v>
      </c>
    </row>
    <row r="1075" spans="1:29" ht="15.75" x14ac:dyDescent="0.25">
      <c r="A1075" s="10">
        <v>2018</v>
      </c>
      <c r="B1075" s="14">
        <f t="shared" ref="B1075:S1075" si="14">AVERAGE(B73:B84)</f>
        <v>5.8631833333333319</v>
      </c>
      <c r="C1075" s="14">
        <f t="shared" si="14"/>
        <v>5.8694666666666668</v>
      </c>
      <c r="D1075" s="14">
        <f t="shared" si="14"/>
        <v>6.037983333333333</v>
      </c>
      <c r="E1075" s="14">
        <f t="shared" si="14"/>
        <v>6.0704000000000002</v>
      </c>
      <c r="F1075" s="14">
        <f t="shared" si="14"/>
        <v>5.8642333333333339</v>
      </c>
      <c r="G1075" s="14">
        <f t="shared" si="14"/>
        <v>5.8806333333333329</v>
      </c>
      <c r="H1075" s="14">
        <f t="shared" si="14"/>
        <v>6.0595166666666671</v>
      </c>
      <c r="I1075" s="14">
        <f t="shared" si="14"/>
        <v>5.8996583333333321</v>
      </c>
      <c r="J1075" s="14">
        <f t="shared" si="14"/>
        <v>5.8572333333333333</v>
      </c>
      <c r="K1075" s="53">
        <f t="shared" si="14"/>
        <v>5.8957666666666668</v>
      </c>
      <c r="L1075" s="14">
        <f t="shared" si="14"/>
        <v>6.6465166666666669</v>
      </c>
      <c r="M1075" s="14">
        <f t="shared" si="14"/>
        <v>5.7449000000000003</v>
      </c>
      <c r="N1075" s="14">
        <f t="shared" si="14"/>
        <v>5.7609999999999992</v>
      </c>
      <c r="O1075" s="14">
        <f t="shared" si="14"/>
        <v>5.9430499999999995</v>
      </c>
      <c r="P1075" s="14">
        <f t="shared" si="14"/>
        <v>5.7861750000000001</v>
      </c>
      <c r="Q1075" s="14">
        <f t="shared" si="14"/>
        <v>6.53775</v>
      </c>
      <c r="R1075" s="14">
        <f t="shared" si="14"/>
        <v>7.1410999999999989</v>
      </c>
      <c r="S1075" s="14">
        <f t="shared" si="14"/>
        <v>5.6244416666666659</v>
      </c>
      <c r="T1075" s="49">
        <f>SUM(T73:T84)</f>
        <v>357.24568100000005</v>
      </c>
      <c r="U1075" s="49">
        <f>SUM(U73:U84)</f>
        <v>142.03263249999998</v>
      </c>
      <c r="V1075" s="49">
        <f>SUM(V73:V84)</f>
        <v>50.187500000000007</v>
      </c>
      <c r="W1075" s="49">
        <f>SUM(W73:W84)</f>
        <v>5.0822234999999996</v>
      </c>
      <c r="X1075" s="49">
        <f>SUM(X73:X84)</f>
        <v>20.758966663999999</v>
      </c>
      <c r="Y1075" s="49"/>
      <c r="Z1075" s="14"/>
      <c r="AA1075" s="14"/>
      <c r="AB1075" s="50">
        <f>AVERAGE(AB73:AB84)</f>
        <v>5.8955001954651225</v>
      </c>
      <c r="AC1075" s="45">
        <f>AVERAGE(AC73:AC84)</f>
        <v>5.8164392086330929</v>
      </c>
    </row>
    <row r="1076" spans="1:29" ht="15.75" x14ac:dyDescent="0.25">
      <c r="A1076" s="10">
        <v>2019</v>
      </c>
      <c r="B1076" s="14">
        <f t="shared" ref="B1076:S1076" si="15">AVERAGE(B85:B96)</f>
        <v>6.411133333333332</v>
      </c>
      <c r="C1076" s="14">
        <f t="shared" si="15"/>
        <v>6.4173999999999998</v>
      </c>
      <c r="D1076" s="14">
        <f t="shared" si="15"/>
        <v>6.5858999999999996</v>
      </c>
      <c r="E1076" s="14">
        <f t="shared" si="15"/>
        <v>6.6183416666666668</v>
      </c>
      <c r="F1076" s="14">
        <f t="shared" si="15"/>
        <v>6.4121666666666668</v>
      </c>
      <c r="G1076" s="14">
        <f t="shared" si="15"/>
        <v>6.4285916666666658</v>
      </c>
      <c r="H1076" s="14">
        <f t="shared" si="15"/>
        <v>6.6074416666666655</v>
      </c>
      <c r="I1076" s="14">
        <f t="shared" si="15"/>
        <v>6.4493000000000009</v>
      </c>
      <c r="J1076" s="14">
        <f t="shared" si="15"/>
        <v>6.4051666666666662</v>
      </c>
      <c r="K1076" s="53">
        <f t="shared" si="15"/>
        <v>6.4454166666666666</v>
      </c>
      <c r="L1076" s="14">
        <f t="shared" si="15"/>
        <v>7.1944416666666671</v>
      </c>
      <c r="M1076" s="14">
        <f t="shared" si="15"/>
        <v>6.2816000000000001</v>
      </c>
      <c r="N1076" s="14">
        <f t="shared" si="15"/>
        <v>6.2976999999999999</v>
      </c>
      <c r="O1076" s="14">
        <f t="shared" si="15"/>
        <v>6.4797416666666665</v>
      </c>
      <c r="P1076" s="14">
        <f t="shared" si="15"/>
        <v>6.3245250000000004</v>
      </c>
      <c r="Q1076" s="14">
        <f t="shared" si="15"/>
        <v>7.0744416666666661</v>
      </c>
      <c r="R1076" s="14">
        <f t="shared" si="15"/>
        <v>7.6791416666666663</v>
      </c>
      <c r="S1076" s="14">
        <f t="shared" si="15"/>
        <v>6.1509333333333336</v>
      </c>
      <c r="T1076" s="49">
        <f>SUM(T85:T96)</f>
        <v>357.24568100000005</v>
      </c>
      <c r="U1076" s="49">
        <f>SUM(U85:U96)</f>
        <v>142.03263249999998</v>
      </c>
      <c r="V1076" s="49">
        <f>SUM(V85:V96)</f>
        <v>50.187500000000007</v>
      </c>
      <c r="W1076" s="49">
        <f>SUM(W85:W96)</f>
        <v>5.0822234999999996</v>
      </c>
      <c r="X1076" s="49">
        <f>SUM(X85:X96)</f>
        <v>20.758966663999999</v>
      </c>
      <c r="Y1076" s="49"/>
      <c r="Z1076" s="14"/>
      <c r="AA1076" s="14"/>
      <c r="AB1076" s="50">
        <f>AVERAGE(AB85:AB96)</f>
        <v>6.4435786603386704</v>
      </c>
      <c r="AC1076" s="45">
        <f>AVERAGE(AC85:AC96)</f>
        <v>6.3533742805755402</v>
      </c>
    </row>
    <row r="1077" spans="1:29" ht="15.75" x14ac:dyDescent="0.25">
      <c r="A1077" s="10">
        <v>2020</v>
      </c>
      <c r="B1077" s="14">
        <f t="shared" ref="B1077:S1077" si="16">AVERAGE(B97:B108)</f>
        <v>6.9562333333333344</v>
      </c>
      <c r="C1077" s="14">
        <f t="shared" si="16"/>
        <v>6.9625166666666667</v>
      </c>
      <c r="D1077" s="14">
        <f t="shared" si="16"/>
        <v>7.1310166666666674</v>
      </c>
      <c r="E1077" s="14">
        <f t="shared" si="16"/>
        <v>7.1634583333333346</v>
      </c>
      <c r="F1077" s="14">
        <f t="shared" si="16"/>
        <v>6.9572833333333328</v>
      </c>
      <c r="G1077" s="14">
        <f t="shared" si="16"/>
        <v>6.9736833333333337</v>
      </c>
      <c r="H1077" s="14">
        <f t="shared" si="16"/>
        <v>7.1525500000000006</v>
      </c>
      <c r="I1077" s="14">
        <f t="shared" si="16"/>
        <v>6.9961166666666665</v>
      </c>
      <c r="J1077" s="14">
        <f t="shared" si="16"/>
        <v>6.950283333333334</v>
      </c>
      <c r="K1077" s="53">
        <f t="shared" si="16"/>
        <v>6.9922250000000004</v>
      </c>
      <c r="L1077" s="14">
        <f t="shared" si="16"/>
        <v>7.7395500000000004</v>
      </c>
      <c r="M1077" s="14">
        <f t="shared" si="16"/>
        <v>6.8155583333333327</v>
      </c>
      <c r="N1077" s="14">
        <f t="shared" si="16"/>
        <v>6.8316583333333334</v>
      </c>
      <c r="O1077" s="14">
        <f t="shared" si="16"/>
        <v>7.0137</v>
      </c>
      <c r="P1077" s="14">
        <f t="shared" si="16"/>
        <v>6.8601083333333337</v>
      </c>
      <c r="Q1077" s="14">
        <f t="shared" si="16"/>
        <v>7.6084000000000005</v>
      </c>
      <c r="R1077" s="14">
        <f t="shared" si="16"/>
        <v>8.2144416666666675</v>
      </c>
      <c r="S1077" s="14">
        <f t="shared" si="16"/>
        <v>6.6747333333333332</v>
      </c>
      <c r="T1077" s="49">
        <f>SUM(T97:T108)</f>
        <v>358.17703550000004</v>
      </c>
      <c r="U1077" s="49">
        <f>SUM(U97:U108)</f>
        <v>142.42176299999997</v>
      </c>
      <c r="V1077" s="49">
        <f>SUM(V97:V108)</f>
        <v>50.325000000000003</v>
      </c>
      <c r="W1077" s="49">
        <f>SUM(W97:W108)</f>
        <v>5.0961473999999995</v>
      </c>
      <c r="X1077" s="49">
        <f>SUM(X97:X108)</f>
        <v>20.800615543999996</v>
      </c>
      <c r="Y1077" s="49"/>
      <c r="Z1077" s="14"/>
      <c r="AA1077" s="14"/>
      <c r="AB1077" s="50">
        <f>AVERAGE(AB97:AB108)</f>
        <v>6.988830263575303</v>
      </c>
      <c r="AC1077" s="45">
        <f>AVERAGE(AC97:AC108)</f>
        <v>6.8875664268585126</v>
      </c>
    </row>
    <row r="1078" spans="1:29" ht="15.75" x14ac:dyDescent="0.25">
      <c r="A1078" s="10">
        <v>2021</v>
      </c>
      <c r="B1078" s="14">
        <f t="shared" ref="B1078:S1078" si="17">AVERAGE(B109:B120)</f>
        <v>7.361275</v>
      </c>
      <c r="C1078" s="14">
        <f t="shared" si="17"/>
        <v>7.3675416666666669</v>
      </c>
      <c r="D1078" s="14">
        <f t="shared" si="17"/>
        <v>7.5360500000000004</v>
      </c>
      <c r="E1078" s="14">
        <f t="shared" si="17"/>
        <v>7.5684666666666658</v>
      </c>
      <c r="F1078" s="14">
        <f t="shared" si="17"/>
        <v>7.3623000000000003</v>
      </c>
      <c r="G1078" s="14">
        <f t="shared" si="17"/>
        <v>7.3787250000000002</v>
      </c>
      <c r="H1078" s="14">
        <f t="shared" si="17"/>
        <v>7.5575916666666663</v>
      </c>
      <c r="I1078" s="14">
        <f t="shared" si="17"/>
        <v>7.402425</v>
      </c>
      <c r="J1078" s="14">
        <f t="shared" si="17"/>
        <v>7.3552999999999988</v>
      </c>
      <c r="K1078" s="53">
        <f t="shared" si="17"/>
        <v>7.3985250000000002</v>
      </c>
      <c r="L1078" s="14">
        <f t="shared" si="17"/>
        <v>8.1445916666666651</v>
      </c>
      <c r="M1078" s="14">
        <f t="shared" si="17"/>
        <v>7.2122749999999982</v>
      </c>
      <c r="N1078" s="14">
        <f t="shared" si="17"/>
        <v>7.2283666666666653</v>
      </c>
      <c r="O1078" s="14">
        <f t="shared" si="17"/>
        <v>7.4104416666666673</v>
      </c>
      <c r="P1078" s="14">
        <f t="shared" si="17"/>
        <v>7.2580583333333344</v>
      </c>
      <c r="Q1078" s="14">
        <f t="shared" si="17"/>
        <v>8.0051416666666668</v>
      </c>
      <c r="R1078" s="14">
        <f t="shared" si="17"/>
        <v>8.6121499999999997</v>
      </c>
      <c r="S1078" s="14">
        <f t="shared" si="17"/>
        <v>7.0639416666666657</v>
      </c>
      <c r="T1078" s="49">
        <f>SUM(T109:T120)</f>
        <v>357.24568100000005</v>
      </c>
      <c r="U1078" s="49">
        <f>SUM(U109:U120)</f>
        <v>142.03263249999998</v>
      </c>
      <c r="V1078" s="49">
        <f>SUM(V109:V120)</f>
        <v>50.187500000000007</v>
      </c>
      <c r="W1078" s="49">
        <f>SUM(W109:W120)</f>
        <v>5.0822234999999996</v>
      </c>
      <c r="X1078" s="49">
        <f>SUM(X109:X120)</f>
        <v>20.758966663999999</v>
      </c>
      <c r="Y1078" s="49"/>
      <c r="Z1078" s="14"/>
      <c r="AA1078" s="14"/>
      <c r="AB1078" s="50">
        <f>AVERAGE(AB109:AB120)</f>
        <v>7.3939622606656892</v>
      </c>
      <c r="AC1078" s="45">
        <f>AVERAGE(AC109:AC120)</f>
        <v>7.2844670863309346</v>
      </c>
    </row>
    <row r="1079" spans="1:29" ht="15.75" x14ac:dyDescent="0.25">
      <c r="A1079" s="10">
        <v>2022</v>
      </c>
      <c r="B1079" s="14">
        <f t="shared" ref="B1079:S1079" si="18">AVERAGE(B121:B132)</f>
        <v>7.6705833333333331</v>
      </c>
      <c r="C1079" s="14">
        <f t="shared" si="18"/>
        <v>7.6768666666666654</v>
      </c>
      <c r="D1079" s="14">
        <f t="shared" si="18"/>
        <v>7.8453750000000007</v>
      </c>
      <c r="E1079" s="14">
        <f t="shared" si="18"/>
        <v>7.877791666666667</v>
      </c>
      <c r="F1079" s="14">
        <f t="shared" si="18"/>
        <v>7.6716166666666679</v>
      </c>
      <c r="G1079" s="14">
        <f t="shared" si="18"/>
        <v>7.6880416666666669</v>
      </c>
      <c r="H1079" s="14">
        <f t="shared" si="18"/>
        <v>7.8669166666666657</v>
      </c>
      <c r="I1079" s="14">
        <f t="shared" si="18"/>
        <v>7.7127166666666662</v>
      </c>
      <c r="J1079" s="14">
        <f t="shared" si="18"/>
        <v>7.6646166666666664</v>
      </c>
      <c r="K1079" s="53">
        <f t="shared" si="18"/>
        <v>7.7088166666666673</v>
      </c>
      <c r="L1079" s="14">
        <f t="shared" si="18"/>
        <v>8.4539166666666663</v>
      </c>
      <c r="M1079" s="14">
        <f t="shared" si="18"/>
        <v>7.5152666666666663</v>
      </c>
      <c r="N1079" s="14">
        <f t="shared" si="18"/>
        <v>7.5313666666666661</v>
      </c>
      <c r="O1079" s="14">
        <f t="shared" si="18"/>
        <v>7.713425</v>
      </c>
      <c r="P1079" s="14">
        <f t="shared" si="18"/>
        <v>7.5619666666666667</v>
      </c>
      <c r="Q1079" s="14">
        <f t="shared" si="18"/>
        <v>8.3081250000000022</v>
      </c>
      <c r="R1079" s="14">
        <f t="shared" si="18"/>
        <v>8.915891666666667</v>
      </c>
      <c r="S1079" s="14">
        <f t="shared" si="18"/>
        <v>7.3611500000000012</v>
      </c>
      <c r="T1079" s="49">
        <f>SUM(T121:T132)</f>
        <v>357.24568100000005</v>
      </c>
      <c r="U1079" s="49">
        <f>SUM(U121:U132)</f>
        <v>142.03263249999998</v>
      </c>
      <c r="V1079" s="49">
        <f>SUM(V121:V132)</f>
        <v>50.187500000000007</v>
      </c>
      <c r="W1079" s="49">
        <f>SUM(W121:W132)</f>
        <v>5.0822234999999996</v>
      </c>
      <c r="X1079" s="49">
        <f>SUM(X121:X132)</f>
        <v>20.758966663999999</v>
      </c>
      <c r="Y1079" s="49"/>
      <c r="Z1079" s="14"/>
      <c r="AA1079" s="14"/>
      <c r="AB1079" s="50">
        <f>AVERAGE(AB121:AB132)</f>
        <v>7.7033620163317593</v>
      </c>
      <c r="AC1079" s="45">
        <f>AVERAGE(AC121:AC132)</f>
        <v>7.5875887889688238</v>
      </c>
    </row>
    <row r="1080" spans="1:29" ht="15.75" x14ac:dyDescent="0.25">
      <c r="A1080" s="10">
        <v>2023</v>
      </c>
      <c r="B1080" s="14">
        <f t="shared" ref="B1080:S1080" si="19">AVERAGE(B133:B144)</f>
        <v>8.3053999999999988</v>
      </c>
      <c r="C1080" s="14">
        <f t="shared" si="19"/>
        <v>8.311675000000001</v>
      </c>
      <c r="D1080" s="14">
        <f t="shared" si="19"/>
        <v>8.4801916666666681</v>
      </c>
      <c r="E1080" s="14">
        <f t="shared" si="19"/>
        <v>8.5126166666666663</v>
      </c>
      <c r="F1080" s="14">
        <f t="shared" si="19"/>
        <v>8.3064166666666654</v>
      </c>
      <c r="G1080" s="14">
        <f t="shared" si="19"/>
        <v>8.3228500000000007</v>
      </c>
      <c r="H1080" s="14">
        <f t="shared" si="19"/>
        <v>8.5017166666666668</v>
      </c>
      <c r="I1080" s="14">
        <f t="shared" si="19"/>
        <v>8.3495166666666663</v>
      </c>
      <c r="J1080" s="14">
        <f t="shared" si="19"/>
        <v>8.2994166666666676</v>
      </c>
      <c r="K1080" s="53">
        <f t="shared" si="19"/>
        <v>8.3456166666666682</v>
      </c>
      <c r="L1080" s="14">
        <f t="shared" si="19"/>
        <v>9.0887166666666683</v>
      </c>
      <c r="M1080" s="14">
        <f t="shared" si="19"/>
        <v>8.1370666666666658</v>
      </c>
      <c r="N1080" s="14">
        <f t="shared" si="19"/>
        <v>8.1531500000000001</v>
      </c>
      <c r="O1080" s="14">
        <f t="shared" si="19"/>
        <v>8.3352250000000012</v>
      </c>
      <c r="P1080" s="14">
        <f t="shared" si="19"/>
        <v>8.1856750000000016</v>
      </c>
      <c r="Q1080" s="14">
        <f t="shared" si="19"/>
        <v>8.929924999999999</v>
      </c>
      <c r="R1080" s="14">
        <f t="shared" si="19"/>
        <v>9.5392333333333337</v>
      </c>
      <c r="S1080" s="14">
        <f t="shared" si="19"/>
        <v>7.9711416666666652</v>
      </c>
      <c r="T1080" s="49">
        <f>SUM(T133:T144)</f>
        <v>357.24568100000005</v>
      </c>
      <c r="U1080" s="49">
        <f>SUM(U133:U144)</f>
        <v>142.03263249999998</v>
      </c>
      <c r="V1080" s="49">
        <f>SUM(V133:V144)</f>
        <v>50.187500000000007</v>
      </c>
      <c r="W1080" s="49">
        <f>SUM(W133:W144)</f>
        <v>5.0822234999999996</v>
      </c>
      <c r="X1080" s="49">
        <f>SUM(X133:X144)</f>
        <v>20.758966663999999</v>
      </c>
      <c r="Y1080" s="49"/>
      <c r="Z1080" s="14"/>
      <c r="AA1080" s="14"/>
      <c r="AB1080" s="50">
        <f>AVERAGE(AB133:AB144)</f>
        <v>8.3383340499726675</v>
      </c>
      <c r="AC1080" s="45">
        <f>AVERAGE(AC133:AC144)</f>
        <v>8.2096595323741006</v>
      </c>
    </row>
    <row r="1081" spans="1:29" ht="15.75" x14ac:dyDescent="0.25">
      <c r="A1081" s="10">
        <v>2024</v>
      </c>
      <c r="B1081" s="14">
        <f t="shared" ref="B1081:S1081" si="20">AVERAGE(B145:B156)</f>
        <v>8.6739916666666677</v>
      </c>
      <c r="C1081" s="14">
        <f t="shared" si="20"/>
        <v>8.6802833333333336</v>
      </c>
      <c r="D1081" s="14">
        <f t="shared" si="20"/>
        <v>8.8487833333333317</v>
      </c>
      <c r="E1081" s="14">
        <f t="shared" si="20"/>
        <v>8.8812000000000015</v>
      </c>
      <c r="F1081" s="14">
        <f t="shared" si="20"/>
        <v>8.6750249999999998</v>
      </c>
      <c r="G1081" s="14">
        <f t="shared" si="20"/>
        <v>8.6914416666666661</v>
      </c>
      <c r="H1081" s="14">
        <f t="shared" si="20"/>
        <v>8.8703166666666657</v>
      </c>
      <c r="I1081" s="14">
        <f t="shared" si="20"/>
        <v>8.7192666666666678</v>
      </c>
      <c r="J1081" s="14">
        <f t="shared" si="20"/>
        <v>8.6680250000000001</v>
      </c>
      <c r="K1081" s="53">
        <f t="shared" si="20"/>
        <v>8.7153749999999999</v>
      </c>
      <c r="L1081" s="14">
        <f t="shared" si="20"/>
        <v>9.4573166666666673</v>
      </c>
      <c r="M1081" s="14">
        <f t="shared" si="20"/>
        <v>8.4981249999999999</v>
      </c>
      <c r="N1081" s="14">
        <f t="shared" si="20"/>
        <v>8.5142083333333325</v>
      </c>
      <c r="O1081" s="14">
        <f t="shared" si="20"/>
        <v>8.6962833333333336</v>
      </c>
      <c r="P1081" s="14">
        <f t="shared" si="20"/>
        <v>8.547841666666665</v>
      </c>
      <c r="Q1081" s="14">
        <f t="shared" si="20"/>
        <v>9.2909833333333349</v>
      </c>
      <c r="R1081" s="14">
        <f t="shared" si="20"/>
        <v>9.9012166666666666</v>
      </c>
      <c r="S1081" s="14">
        <f t="shared" si="20"/>
        <v>8.3253416666666666</v>
      </c>
      <c r="T1081" s="49">
        <f>SUM(T145:T156)</f>
        <v>358.17703550000004</v>
      </c>
      <c r="U1081" s="49">
        <f>SUM(U145:U156)</f>
        <v>142.42176299999997</v>
      </c>
      <c r="V1081" s="49">
        <f>SUM(V145:V156)</f>
        <v>50.325000000000003</v>
      </c>
      <c r="W1081" s="49">
        <f>SUM(W145:W156)</f>
        <v>5.0961473999999995</v>
      </c>
      <c r="X1081" s="49">
        <f>SUM(X145:X156)</f>
        <v>20.800615543999996</v>
      </c>
      <c r="Y1081" s="49"/>
      <c r="Z1081" s="14"/>
      <c r="AA1081" s="14"/>
      <c r="AB1081" s="50">
        <f>AVERAGE(AB145:AB156)</f>
        <v>8.7070295729061105</v>
      </c>
      <c r="AC1081" s="45">
        <f>AVERAGE(AC145:AC156)</f>
        <v>8.5708773381294971</v>
      </c>
    </row>
    <row r="1082" spans="1:29" ht="15.75" x14ac:dyDescent="0.25">
      <c r="A1082" s="10">
        <v>2025</v>
      </c>
      <c r="B1082" s="14">
        <f t="shared" ref="B1082:S1082" si="21">AVERAGE(B157:B168)</f>
        <v>9.0408249999999999</v>
      </c>
      <c r="C1082" s="14">
        <f t="shared" si="21"/>
        <v>9.0470833333333331</v>
      </c>
      <c r="D1082" s="14">
        <f t="shared" si="21"/>
        <v>9.2156083333333338</v>
      </c>
      <c r="E1082" s="14">
        <f t="shared" si="21"/>
        <v>9.2480250000000002</v>
      </c>
      <c r="F1082" s="14">
        <f t="shared" si="21"/>
        <v>9.0418416666666683</v>
      </c>
      <c r="G1082" s="14">
        <f t="shared" si="21"/>
        <v>9.0582750000000001</v>
      </c>
      <c r="H1082" s="14">
        <f t="shared" si="21"/>
        <v>9.2371500000000015</v>
      </c>
      <c r="I1082" s="14">
        <f t="shared" si="21"/>
        <v>9.0872416666666673</v>
      </c>
      <c r="J1082" s="14">
        <f t="shared" si="21"/>
        <v>9.0348416666666669</v>
      </c>
      <c r="K1082" s="53">
        <f t="shared" si="21"/>
        <v>9.0833583333333312</v>
      </c>
      <c r="L1082" s="14">
        <f t="shared" si="21"/>
        <v>9.8241500000000013</v>
      </c>
      <c r="M1082" s="14">
        <f t="shared" si="21"/>
        <v>8.857425000000001</v>
      </c>
      <c r="N1082" s="14">
        <f t="shared" si="21"/>
        <v>8.8735083333333353</v>
      </c>
      <c r="O1082" s="14">
        <f t="shared" si="21"/>
        <v>9.0555833333333329</v>
      </c>
      <c r="P1082" s="14">
        <f t="shared" si="21"/>
        <v>8.9082416666666671</v>
      </c>
      <c r="Q1082" s="14">
        <f t="shared" si="21"/>
        <v>9.6502833333333324</v>
      </c>
      <c r="R1082" s="14">
        <f t="shared" si="21"/>
        <v>10.261391666666665</v>
      </c>
      <c r="S1082" s="14">
        <f t="shared" si="21"/>
        <v>8.6778166666666667</v>
      </c>
      <c r="T1082" s="49">
        <f>SUM(T157:T168)</f>
        <v>357.24568100000005</v>
      </c>
      <c r="U1082" s="49">
        <f>SUM(U157:U168)</f>
        <v>142.03263249999998</v>
      </c>
      <c r="V1082" s="49">
        <f>SUM(V157:V168)</f>
        <v>50.187500000000007</v>
      </c>
      <c r="W1082" s="49">
        <f>SUM(W157:W168)</f>
        <v>5.0822234999999996</v>
      </c>
      <c r="X1082" s="49">
        <f>SUM(X157:X168)</f>
        <v>20.758966663999999</v>
      </c>
      <c r="Y1082" s="49"/>
      <c r="Z1082" s="14"/>
      <c r="AA1082" s="14"/>
      <c r="AB1082" s="50">
        <f>AVERAGE(AB157:AB168)</f>
        <v>9.0739432021782225</v>
      </c>
      <c r="AC1082" s="45">
        <f>AVERAGE(AC157:AC168)</f>
        <v>8.9303370503597126</v>
      </c>
    </row>
    <row r="1083" spans="1:29" ht="15.75" x14ac:dyDescent="0.25">
      <c r="A1083" s="10">
        <v>2026</v>
      </c>
      <c r="B1083" s="14">
        <f t="shared" ref="B1083:S1083" si="22">AVERAGE(B169:B180)</f>
        <v>9.3666833333333326</v>
      </c>
      <c r="C1083" s="14">
        <f t="shared" si="22"/>
        <v>9.3729250000000004</v>
      </c>
      <c r="D1083" s="14">
        <f t="shared" si="22"/>
        <v>9.5414416666666693</v>
      </c>
      <c r="E1083" s="14">
        <f t="shared" si="22"/>
        <v>9.5738833333333346</v>
      </c>
      <c r="F1083" s="14">
        <f t="shared" si="22"/>
        <v>9.3676916666666674</v>
      </c>
      <c r="G1083" s="14">
        <f t="shared" si="22"/>
        <v>9.3841249999999992</v>
      </c>
      <c r="H1083" s="14">
        <f t="shared" si="22"/>
        <v>9.5629916666666688</v>
      </c>
      <c r="I1083" s="14">
        <f t="shared" si="22"/>
        <v>9.4140916666666659</v>
      </c>
      <c r="J1083" s="14">
        <f t="shared" si="22"/>
        <v>9.360691666666666</v>
      </c>
      <c r="K1083" s="53">
        <f t="shared" si="22"/>
        <v>9.4102083333333351</v>
      </c>
      <c r="L1083" s="14">
        <f t="shared" si="22"/>
        <v>10.149991666666667</v>
      </c>
      <c r="M1083" s="14">
        <f t="shared" si="22"/>
        <v>9.1765999999999988</v>
      </c>
      <c r="N1083" s="14">
        <f t="shared" si="22"/>
        <v>9.1926916666666667</v>
      </c>
      <c r="O1083" s="14">
        <f t="shared" si="22"/>
        <v>9.3747333333333334</v>
      </c>
      <c r="P1083" s="14">
        <f t="shared" si="22"/>
        <v>9.2283916666666688</v>
      </c>
      <c r="Q1083" s="14">
        <f t="shared" si="22"/>
        <v>9.9694333333333347</v>
      </c>
      <c r="R1083" s="14">
        <f t="shared" si="22"/>
        <v>10.581358333333332</v>
      </c>
      <c r="S1083" s="14">
        <f t="shared" si="22"/>
        <v>8.9909249999999989</v>
      </c>
      <c r="T1083" s="49">
        <f>SUM(T169:T180)</f>
        <v>357.24568100000005</v>
      </c>
      <c r="U1083" s="49">
        <f>SUM(U169:U180)</f>
        <v>142.03263249999998</v>
      </c>
      <c r="V1083" s="49">
        <f>SUM(V169:V180)</f>
        <v>50.187500000000007</v>
      </c>
      <c r="W1083" s="49">
        <f>SUM(W169:W180)</f>
        <v>5.0822234999999996</v>
      </c>
      <c r="X1083" s="49">
        <f>SUM(X169:X180)</f>
        <v>20.758966663999999</v>
      </c>
      <c r="Y1083" s="49"/>
      <c r="Z1083" s="14"/>
      <c r="AA1083" s="14"/>
      <c r="AB1083" s="50">
        <f>AVERAGE(AB169:AB180)</f>
        <v>9.3998737995259045</v>
      </c>
      <c r="AC1083" s="45">
        <f>AVERAGE(AC169:AC180)</f>
        <v>9.2496443645083932</v>
      </c>
    </row>
    <row r="1084" spans="1:29" ht="15.75" x14ac:dyDescent="0.25">
      <c r="A1084" s="10">
        <v>2027</v>
      </c>
      <c r="B1084" s="14">
        <f t="shared" ref="B1084:S1084" si="23">AVERAGE(B181:B192)</f>
        <v>9.6873916666666648</v>
      </c>
      <c r="C1084" s="14">
        <f t="shared" si="23"/>
        <v>9.6936583333333335</v>
      </c>
      <c r="D1084" s="14">
        <f t="shared" si="23"/>
        <v>9.8621750000000006</v>
      </c>
      <c r="E1084" s="14">
        <f t="shared" si="23"/>
        <v>9.8945916666666669</v>
      </c>
      <c r="F1084" s="14">
        <f t="shared" si="23"/>
        <v>9.6883999999999997</v>
      </c>
      <c r="G1084" s="14">
        <f t="shared" si="23"/>
        <v>9.7048333333333332</v>
      </c>
      <c r="H1084" s="14">
        <f t="shared" si="23"/>
        <v>9.8837083333333347</v>
      </c>
      <c r="I1084" s="14">
        <f t="shared" si="23"/>
        <v>9.7358250000000002</v>
      </c>
      <c r="J1084" s="14">
        <f t="shared" si="23"/>
        <v>9.6814</v>
      </c>
      <c r="K1084" s="53">
        <f t="shared" si="23"/>
        <v>9.7319250000000004</v>
      </c>
      <c r="L1084" s="14">
        <f t="shared" si="23"/>
        <v>10.470708333333333</v>
      </c>
      <c r="M1084" s="14">
        <f t="shared" si="23"/>
        <v>9.490733333333333</v>
      </c>
      <c r="N1084" s="14">
        <f t="shared" si="23"/>
        <v>9.5068166666666674</v>
      </c>
      <c r="O1084" s="14">
        <f t="shared" si="23"/>
        <v>9.6888833333333348</v>
      </c>
      <c r="P1084" s="14">
        <f t="shared" si="23"/>
        <v>9.5434916666666663</v>
      </c>
      <c r="Q1084" s="14">
        <f t="shared" si="23"/>
        <v>10.283583333333333</v>
      </c>
      <c r="R1084" s="14">
        <f t="shared" si="23"/>
        <v>10.896291666666668</v>
      </c>
      <c r="S1084" s="14">
        <f t="shared" si="23"/>
        <v>9.299083333333332</v>
      </c>
      <c r="T1084" s="49">
        <f>SUM(T181:T192)</f>
        <v>357.24568100000005</v>
      </c>
      <c r="U1084" s="49">
        <f>SUM(U181:U192)</f>
        <v>142.03263249999998</v>
      </c>
      <c r="V1084" s="49">
        <f>SUM(V181:V192)</f>
        <v>50.187500000000007</v>
      </c>
      <c r="W1084" s="49">
        <f>SUM(W181:W192)</f>
        <v>5.0822234999999996</v>
      </c>
      <c r="X1084" s="49">
        <f>SUM(X181:X192)</f>
        <v>20.758966663999999</v>
      </c>
      <c r="Y1084" s="49"/>
      <c r="Z1084" s="14"/>
      <c r="AA1084" s="14"/>
      <c r="AB1084" s="50">
        <f>AVERAGE(AB181:AB192)</f>
        <v>9.7206743356387086</v>
      </c>
      <c r="AC1084" s="45">
        <f>AVERAGE(AC181:AC192)</f>
        <v>9.5639209832134284</v>
      </c>
    </row>
    <row r="1085" spans="1:29" ht="15.75" x14ac:dyDescent="0.25">
      <c r="A1085" s="10">
        <v>2028</v>
      </c>
      <c r="B1085" s="14">
        <f t="shared" ref="B1085:S1085" si="24">AVERAGE(B193:B204)</f>
        <v>10.010175</v>
      </c>
      <c r="C1085" s="14">
        <f t="shared" si="24"/>
        <v>10.016458333333333</v>
      </c>
      <c r="D1085" s="14">
        <f t="shared" si="24"/>
        <v>10.184958333333336</v>
      </c>
      <c r="E1085" s="14">
        <f t="shared" si="24"/>
        <v>10.217383333333334</v>
      </c>
      <c r="F1085" s="14">
        <f t="shared" si="24"/>
        <v>10.011225000000001</v>
      </c>
      <c r="G1085" s="14">
        <f t="shared" si="24"/>
        <v>10.027624999999999</v>
      </c>
      <c r="H1085" s="14">
        <f t="shared" si="24"/>
        <v>10.2065</v>
      </c>
      <c r="I1085" s="14">
        <f t="shared" si="24"/>
        <v>10.059625</v>
      </c>
      <c r="J1085" s="14">
        <f t="shared" si="24"/>
        <v>10.004225</v>
      </c>
      <c r="K1085" s="53">
        <f t="shared" si="24"/>
        <v>10.055733333333334</v>
      </c>
      <c r="L1085" s="14">
        <f t="shared" si="24"/>
        <v>10.7935</v>
      </c>
      <c r="M1085" s="14">
        <f t="shared" si="24"/>
        <v>9.8069249999999997</v>
      </c>
      <c r="N1085" s="14">
        <f t="shared" si="24"/>
        <v>9.8230166666666658</v>
      </c>
      <c r="O1085" s="14">
        <f t="shared" si="24"/>
        <v>10.005075000000001</v>
      </c>
      <c r="P1085" s="14">
        <f t="shared" si="24"/>
        <v>9.8606583333333351</v>
      </c>
      <c r="Q1085" s="14">
        <f t="shared" si="24"/>
        <v>10.599775000000001</v>
      </c>
      <c r="R1085" s="14">
        <f t="shared" si="24"/>
        <v>11.213291666666665</v>
      </c>
      <c r="S1085" s="14">
        <f t="shared" si="24"/>
        <v>9.6092666666666666</v>
      </c>
      <c r="T1085" s="49">
        <f>SUM(T193:T204)</f>
        <v>358.17703550000004</v>
      </c>
      <c r="U1085" s="49">
        <f>SUM(U193:U204)</f>
        <v>142.42176299999997</v>
      </c>
      <c r="V1085" s="49">
        <f>SUM(V193:V204)</f>
        <v>50.325000000000003</v>
      </c>
      <c r="W1085" s="49">
        <f>SUM(W193:W204)</f>
        <v>5.0961473999999995</v>
      </c>
      <c r="X1085" s="49">
        <f>SUM(X193:X204)</f>
        <v>20.800615543999996</v>
      </c>
      <c r="Y1085" s="49"/>
      <c r="Z1085" s="14"/>
      <c r="AA1085" s="14"/>
      <c r="AB1085" s="50">
        <f>AVERAGE(AB193:AB204)</f>
        <v>10.043558649973241</v>
      </c>
      <c r="AC1085" s="45">
        <f>AVERAGE(AC193:AC204)</f>
        <v>9.8802562949640294</v>
      </c>
    </row>
    <row r="1086" spans="1:29" ht="15.75" x14ac:dyDescent="0.25">
      <c r="A1086" s="10">
        <v>2029</v>
      </c>
      <c r="B1086" s="14">
        <f t="shared" ref="B1086:S1086" si="25">AVERAGE(B205:B216)</f>
        <v>10.343083333333334</v>
      </c>
      <c r="C1086" s="14">
        <f t="shared" si="25"/>
        <v>10.349358333333333</v>
      </c>
      <c r="D1086" s="14">
        <f t="shared" si="25"/>
        <v>10.517858333333333</v>
      </c>
      <c r="E1086" s="14">
        <f t="shared" si="25"/>
        <v>10.550291666666666</v>
      </c>
      <c r="F1086" s="14">
        <f t="shared" si="25"/>
        <v>10.344125</v>
      </c>
      <c r="G1086" s="14">
        <f t="shared" si="25"/>
        <v>10.360550000000002</v>
      </c>
      <c r="H1086" s="14">
        <f t="shared" si="25"/>
        <v>10.539399999999999</v>
      </c>
      <c r="I1086" s="14">
        <f t="shared" si="25"/>
        <v>10.393566666666668</v>
      </c>
      <c r="J1086" s="14">
        <f t="shared" si="25"/>
        <v>10.337124999999999</v>
      </c>
      <c r="K1086" s="53">
        <f t="shared" si="25"/>
        <v>10.389674999999999</v>
      </c>
      <c r="L1086" s="14">
        <f t="shared" si="25"/>
        <v>11.126399999999999</v>
      </c>
      <c r="M1086" s="14">
        <f t="shared" si="25"/>
        <v>10.133025000000002</v>
      </c>
      <c r="N1086" s="14">
        <f t="shared" si="25"/>
        <v>10.149108333333333</v>
      </c>
      <c r="O1086" s="14">
        <f t="shared" si="25"/>
        <v>10.331158333333333</v>
      </c>
      <c r="P1086" s="14">
        <f t="shared" si="25"/>
        <v>10.187733333333334</v>
      </c>
      <c r="Q1086" s="14">
        <f t="shared" si="25"/>
        <v>10.925858333333332</v>
      </c>
      <c r="R1086" s="14">
        <f t="shared" si="25"/>
        <v>11.540183333333333</v>
      </c>
      <c r="S1086" s="14">
        <f t="shared" si="25"/>
        <v>9.9291666666666689</v>
      </c>
      <c r="T1086" s="49">
        <f>SUM(T205:T216)</f>
        <v>357.24568100000005</v>
      </c>
      <c r="U1086" s="49">
        <f>SUM(U205:U216)</f>
        <v>142.03263249999998</v>
      </c>
      <c r="V1086" s="49">
        <f>SUM(V205:V216)</f>
        <v>50.187500000000007</v>
      </c>
      <c r="W1086" s="49">
        <f>SUM(W205:W216)</f>
        <v>5.0822234999999996</v>
      </c>
      <c r="X1086" s="49">
        <f>SUM(X205:X216)</f>
        <v>20.758966663999999</v>
      </c>
      <c r="Y1086" s="49"/>
      <c r="Z1086" s="14"/>
      <c r="AA1086" s="14"/>
      <c r="AB1086" s="50">
        <f>AVERAGE(AB205:AB216)</f>
        <v>10.37654927990698</v>
      </c>
      <c r="AC1086" s="45">
        <f>AVERAGE(AC205:AC216)</f>
        <v>10.206488549160673</v>
      </c>
    </row>
    <row r="1087" spans="1:29" ht="15.75" x14ac:dyDescent="0.25">
      <c r="A1087" s="10">
        <v>2030</v>
      </c>
      <c r="B1087" s="14">
        <f t="shared" ref="B1087:S1087" si="26">AVERAGE(B217:B228)</f>
        <v>10.643216666666667</v>
      </c>
      <c r="C1087" s="14">
        <f t="shared" si="26"/>
        <v>10.649508333333332</v>
      </c>
      <c r="D1087" s="14">
        <f t="shared" si="26"/>
        <v>10.817999999999998</v>
      </c>
      <c r="E1087" s="14">
        <f t="shared" si="26"/>
        <v>10.850425000000001</v>
      </c>
      <c r="F1087" s="14">
        <f t="shared" si="26"/>
        <v>10.64425</v>
      </c>
      <c r="G1087" s="14">
        <f t="shared" si="26"/>
        <v>10.660674999999999</v>
      </c>
      <c r="H1087" s="14">
        <f t="shared" si="26"/>
        <v>10.839541666666667</v>
      </c>
      <c r="I1087" s="14">
        <f t="shared" si="26"/>
        <v>10.694666666666665</v>
      </c>
      <c r="J1087" s="14">
        <f t="shared" si="26"/>
        <v>10.637249999999998</v>
      </c>
      <c r="K1087" s="53">
        <f t="shared" si="26"/>
        <v>10.690775000000002</v>
      </c>
      <c r="L1087" s="14">
        <f t="shared" si="26"/>
        <v>11.426541666666665</v>
      </c>
      <c r="M1087" s="14">
        <f t="shared" si="26"/>
        <v>10.427008333333331</v>
      </c>
      <c r="N1087" s="14">
        <f t="shared" si="26"/>
        <v>10.443108333333333</v>
      </c>
      <c r="O1087" s="14">
        <f t="shared" si="26"/>
        <v>10.625166666666667</v>
      </c>
      <c r="P1087" s="14">
        <f t="shared" si="26"/>
        <v>10.482633333333332</v>
      </c>
      <c r="Q1087" s="14">
        <f t="shared" si="26"/>
        <v>11.219866666666666</v>
      </c>
      <c r="R1087" s="14">
        <f t="shared" si="26"/>
        <v>11.834908333333333</v>
      </c>
      <c r="S1087" s="14">
        <f t="shared" si="26"/>
        <v>10.217566666666666</v>
      </c>
      <c r="T1087" s="49">
        <f>SUM(T217:T228)</f>
        <v>357.24568100000005</v>
      </c>
      <c r="U1087" s="49">
        <f>SUM(U217:U228)</f>
        <v>142.03263249999998</v>
      </c>
      <c r="V1087" s="49">
        <f>SUM(V217:V228)</f>
        <v>50.187500000000007</v>
      </c>
      <c r="W1087" s="49">
        <f>SUM(W217:W228)</f>
        <v>5.0822234999999996</v>
      </c>
      <c r="X1087" s="49">
        <f>SUM(X217:X228)</f>
        <v>20.758966663999999</v>
      </c>
      <c r="Y1087" s="49"/>
      <c r="Z1087" s="14"/>
      <c r="AA1087" s="14"/>
      <c r="AB1087" s="50">
        <f>AVERAGE(AB217:AB228)</f>
        <v>10.676763698333714</v>
      </c>
      <c r="AC1087" s="45">
        <f>AVERAGE(AC217:AC228)</f>
        <v>10.500614628297361</v>
      </c>
    </row>
    <row r="1088" spans="1:29" ht="15.75" x14ac:dyDescent="0.25">
      <c r="A1088" s="10">
        <v>2031</v>
      </c>
      <c r="B1088" s="14">
        <f t="shared" ref="B1088:S1088" si="27">AVERAGE(B229:B240)</f>
        <v>11.097</v>
      </c>
      <c r="C1088" s="14">
        <f t="shared" si="27"/>
        <v>11.103274999999998</v>
      </c>
      <c r="D1088" s="14">
        <f t="shared" si="27"/>
        <v>11.271791666666665</v>
      </c>
      <c r="E1088" s="14">
        <f t="shared" si="27"/>
        <v>11.304191666666668</v>
      </c>
      <c r="F1088" s="14">
        <f t="shared" si="27"/>
        <v>11.098016666666666</v>
      </c>
      <c r="G1088" s="14">
        <f t="shared" si="27"/>
        <v>11.114466666666665</v>
      </c>
      <c r="H1088" s="14">
        <f t="shared" si="27"/>
        <v>11.293324999999998</v>
      </c>
      <c r="I1088" s="14">
        <f t="shared" si="27"/>
        <v>11.149850000000001</v>
      </c>
      <c r="J1088" s="14">
        <f t="shared" si="27"/>
        <v>11.091016666666668</v>
      </c>
      <c r="K1088" s="53">
        <f t="shared" si="27"/>
        <v>11.145966666666666</v>
      </c>
      <c r="L1088" s="14">
        <f t="shared" si="27"/>
        <v>11.880324999999999</v>
      </c>
      <c r="M1088" s="14">
        <f t="shared" si="27"/>
        <v>10.871466666666668</v>
      </c>
      <c r="N1088" s="14">
        <f t="shared" si="27"/>
        <v>10.887558333333336</v>
      </c>
      <c r="O1088" s="14">
        <f t="shared" si="27"/>
        <v>11.069616666666668</v>
      </c>
      <c r="P1088" s="14">
        <f t="shared" si="27"/>
        <v>10.928474999999999</v>
      </c>
      <c r="Q1088" s="14">
        <f t="shared" si="27"/>
        <v>11.66431666666667</v>
      </c>
      <c r="R1088" s="14">
        <f t="shared" si="27"/>
        <v>12.280474999999997</v>
      </c>
      <c r="S1088" s="14">
        <f t="shared" si="27"/>
        <v>10.653600000000001</v>
      </c>
      <c r="T1088" s="49">
        <f>SUM(T229:T240)</f>
        <v>357.24568100000005</v>
      </c>
      <c r="U1088" s="49">
        <f>SUM(U229:U240)</f>
        <v>142.03263249999998</v>
      </c>
      <c r="V1088" s="49">
        <f>SUM(V229:V240)</f>
        <v>50.187500000000007</v>
      </c>
      <c r="W1088" s="49">
        <f>SUM(W229:W240)</f>
        <v>5.0822234999999996</v>
      </c>
      <c r="X1088" s="49">
        <f>SUM(X229:X240)</f>
        <v>20.758966663999999</v>
      </c>
      <c r="Y1088" s="49"/>
      <c r="Z1088" s="14"/>
      <c r="AA1088" s="14"/>
      <c r="AB1088" s="50">
        <f>AVERAGE(AB229:AB240)</f>
        <v>11.130655288670338</v>
      </c>
      <c r="AC1088" s="45">
        <f>AVERAGE(AC229:AC240)</f>
        <v>10.945267745803358</v>
      </c>
    </row>
    <row r="1089" spans="1:29" ht="15.75" x14ac:dyDescent="0.25">
      <c r="A1089" s="10">
        <v>2032</v>
      </c>
      <c r="B1089" s="14">
        <f t="shared" ref="B1089:S1089" si="28">AVERAGE(B241:B252)</f>
        <v>11.527216666666668</v>
      </c>
      <c r="C1089" s="14">
        <f t="shared" si="28"/>
        <v>11.533466666666667</v>
      </c>
      <c r="D1089" s="14">
        <f t="shared" si="28"/>
        <v>11.702008333333332</v>
      </c>
      <c r="E1089" s="14">
        <f t="shared" si="28"/>
        <v>11.734425</v>
      </c>
      <c r="F1089" s="14">
        <f t="shared" si="28"/>
        <v>11.528233333333333</v>
      </c>
      <c r="G1089" s="14">
        <f t="shared" si="28"/>
        <v>11.544666666666666</v>
      </c>
      <c r="H1089" s="14">
        <f t="shared" si="28"/>
        <v>11.723550000000001</v>
      </c>
      <c r="I1089" s="14">
        <f t="shared" si="28"/>
        <v>11.5814</v>
      </c>
      <c r="J1089" s="14">
        <f t="shared" si="28"/>
        <v>11.521233333333335</v>
      </c>
      <c r="K1089" s="53">
        <f t="shared" si="28"/>
        <v>11.577525000000001</v>
      </c>
      <c r="L1089" s="14">
        <f t="shared" si="28"/>
        <v>12.310549999999999</v>
      </c>
      <c r="M1089" s="14">
        <f t="shared" si="28"/>
        <v>11.292866666666667</v>
      </c>
      <c r="N1089" s="14">
        <f t="shared" si="28"/>
        <v>11.308958333333335</v>
      </c>
      <c r="O1089" s="14">
        <f t="shared" si="28"/>
        <v>11.491016666666667</v>
      </c>
      <c r="P1089" s="14">
        <f t="shared" si="28"/>
        <v>11.351166666666666</v>
      </c>
      <c r="Q1089" s="14">
        <f t="shared" si="28"/>
        <v>12.085716666666665</v>
      </c>
      <c r="R1089" s="14">
        <f t="shared" si="28"/>
        <v>12.702925</v>
      </c>
      <c r="S1089" s="14">
        <f t="shared" si="28"/>
        <v>11.067</v>
      </c>
      <c r="T1089" s="49">
        <f>SUM(T241:T252)</f>
        <v>358.17703550000004</v>
      </c>
      <c r="U1089" s="49">
        <f>SUM(U241:U252)</f>
        <v>142.42176299999997</v>
      </c>
      <c r="V1089" s="49">
        <f>SUM(V241:V252)</f>
        <v>50.325000000000003</v>
      </c>
      <c r="W1089" s="49">
        <f>SUM(W241:W252)</f>
        <v>5.0961473999999995</v>
      </c>
      <c r="X1089" s="49">
        <f>SUM(X241:X252)</f>
        <v>20.800615543999996</v>
      </c>
      <c r="Y1089" s="49"/>
      <c r="Z1089" s="14"/>
      <c r="AA1089" s="14"/>
      <c r="AB1089" s="50">
        <f>AVERAGE(AB241:AB252)</f>
        <v>11.560973806085615</v>
      </c>
      <c r="AC1089" s="45">
        <f>AVERAGE(AC241:AC252)</f>
        <v>11.366852158273382</v>
      </c>
    </row>
    <row r="1090" spans="1:29" ht="15.75" x14ac:dyDescent="0.25">
      <c r="A1090" s="10">
        <v>2033</v>
      </c>
      <c r="B1090" s="14">
        <f t="shared" ref="B1090:S1090" si="29">AVERAGE(B253:B264)</f>
        <v>11.974108333333334</v>
      </c>
      <c r="C1090" s="14">
        <f t="shared" si="29"/>
        <v>11.980400000000003</v>
      </c>
      <c r="D1090" s="14">
        <f t="shared" si="29"/>
        <v>12.148899999999999</v>
      </c>
      <c r="E1090" s="14">
        <f t="shared" si="29"/>
        <v>12.181316666666666</v>
      </c>
      <c r="F1090" s="14">
        <f t="shared" si="29"/>
        <v>11.975141666666666</v>
      </c>
      <c r="G1090" s="14">
        <f t="shared" si="29"/>
        <v>11.991574999999999</v>
      </c>
      <c r="H1090" s="14">
        <f t="shared" si="29"/>
        <v>12.170425000000002</v>
      </c>
      <c r="I1090" s="14">
        <f t="shared" si="29"/>
        <v>12.029708333333334</v>
      </c>
      <c r="J1090" s="14">
        <f t="shared" si="29"/>
        <v>11.968141666666666</v>
      </c>
      <c r="K1090" s="53">
        <f t="shared" si="29"/>
        <v>12.025824999999998</v>
      </c>
      <c r="L1090" s="14">
        <f t="shared" si="29"/>
        <v>12.757425</v>
      </c>
      <c r="M1090" s="14">
        <f t="shared" si="29"/>
        <v>11.730616666666668</v>
      </c>
      <c r="N1090" s="14">
        <f t="shared" si="29"/>
        <v>11.746691666666665</v>
      </c>
      <c r="O1090" s="14">
        <f t="shared" si="29"/>
        <v>11.928766666666668</v>
      </c>
      <c r="P1090" s="14">
        <f t="shared" si="29"/>
        <v>11.790266666666668</v>
      </c>
      <c r="Q1090" s="14">
        <f t="shared" si="29"/>
        <v>12.523466666666666</v>
      </c>
      <c r="R1090" s="14">
        <f t="shared" si="29"/>
        <v>13.141783333333334</v>
      </c>
      <c r="S1090" s="14">
        <f t="shared" si="29"/>
        <v>11.496416666666669</v>
      </c>
      <c r="T1090" s="49">
        <f>SUM(T253:T264)</f>
        <v>357.24568100000005</v>
      </c>
      <c r="U1090" s="49">
        <f>SUM(U253:U264)</f>
        <v>142.03263249999998</v>
      </c>
      <c r="V1090" s="49">
        <f>SUM(V253:V264)</f>
        <v>50.187500000000007</v>
      </c>
      <c r="W1090" s="49">
        <f>SUM(W253:W264)</f>
        <v>5.0822234999999996</v>
      </c>
      <c r="X1090" s="49">
        <f>SUM(X253:X264)</f>
        <v>20.758966663999999</v>
      </c>
      <c r="Y1090" s="49"/>
      <c r="Z1090" s="14"/>
      <c r="AA1090" s="14"/>
      <c r="AB1090" s="50">
        <f>AVERAGE(AB253:AB264)</f>
        <v>12.007999574157212</v>
      </c>
      <c r="AC1090" s="45">
        <f>AVERAGE(AC253:AC264)</f>
        <v>11.804794004796165</v>
      </c>
    </row>
    <row r="1091" spans="1:29" ht="15.75" x14ac:dyDescent="0.25">
      <c r="A1091" s="10">
        <v>2034</v>
      </c>
      <c r="B1091" s="14">
        <f t="shared" ref="B1091:S1091" si="30">AVERAGE(B265:B276)</f>
        <v>12.438366666666667</v>
      </c>
      <c r="C1091" s="14">
        <f t="shared" si="30"/>
        <v>12.44463333333333</v>
      </c>
      <c r="D1091" s="14">
        <f t="shared" si="30"/>
        <v>12.61313333333333</v>
      </c>
      <c r="E1091" s="14">
        <f t="shared" si="30"/>
        <v>12.645558333333334</v>
      </c>
      <c r="F1091" s="14">
        <f t="shared" si="30"/>
        <v>12.439374999999998</v>
      </c>
      <c r="G1091" s="14">
        <f t="shared" si="30"/>
        <v>12.455800000000002</v>
      </c>
      <c r="H1091" s="14">
        <f t="shared" si="30"/>
        <v>12.634675</v>
      </c>
      <c r="I1091" s="14">
        <f t="shared" si="30"/>
        <v>12.49540833333333</v>
      </c>
      <c r="J1091" s="14">
        <f t="shared" si="30"/>
        <v>12.432375</v>
      </c>
      <c r="K1091" s="53">
        <f t="shared" si="30"/>
        <v>12.491516666666667</v>
      </c>
      <c r="L1091" s="14">
        <f t="shared" si="30"/>
        <v>13.221675000000003</v>
      </c>
      <c r="M1091" s="14">
        <f t="shared" si="30"/>
        <v>12.18535</v>
      </c>
      <c r="N1091" s="14">
        <f t="shared" si="30"/>
        <v>12.201450000000001</v>
      </c>
      <c r="O1091" s="14">
        <f t="shared" si="30"/>
        <v>12.383508333333332</v>
      </c>
      <c r="P1091" s="14">
        <f t="shared" si="30"/>
        <v>12.246366666666665</v>
      </c>
      <c r="Q1091" s="14">
        <f t="shared" si="30"/>
        <v>12.978208333333335</v>
      </c>
      <c r="R1091" s="14">
        <f t="shared" si="30"/>
        <v>13.59765</v>
      </c>
      <c r="S1091" s="14">
        <f t="shared" si="30"/>
        <v>11.942508333333334</v>
      </c>
      <c r="T1091" s="49">
        <f>SUM(T265:T276)</f>
        <v>357.24568100000005</v>
      </c>
      <c r="U1091" s="49">
        <f>SUM(U265:U276)</f>
        <v>142.03263249999998</v>
      </c>
      <c r="V1091" s="49">
        <f>SUM(V265:V276)</f>
        <v>50.187500000000007</v>
      </c>
      <c r="W1091" s="49">
        <f>SUM(W265:W276)</f>
        <v>5.0822234999999996</v>
      </c>
      <c r="X1091" s="49">
        <f>SUM(X265:X276)</f>
        <v>20.758966663999999</v>
      </c>
      <c r="Y1091" s="49"/>
      <c r="Z1091" s="14"/>
      <c r="AA1091" s="14"/>
      <c r="AB1091" s="50">
        <f>AVERAGE(AB265:AB276)</f>
        <v>12.472356297233048</v>
      </c>
      <c r="AC1091" s="45">
        <f>AVERAGE(AC265:AC276)</f>
        <v>12.259732074340528</v>
      </c>
    </row>
    <row r="1092" spans="1:29" ht="15.75" x14ac:dyDescent="0.25">
      <c r="A1092" s="10">
        <v>2035</v>
      </c>
      <c r="B1092" s="14">
        <f t="shared" ref="B1092:S1092" si="31">AVERAGE(B277:B288)</f>
        <v>12.920633333333335</v>
      </c>
      <c r="C1092" s="14">
        <f t="shared" si="31"/>
        <v>12.926899999999998</v>
      </c>
      <c r="D1092" s="14">
        <f t="shared" si="31"/>
        <v>13.095416666666667</v>
      </c>
      <c r="E1092" s="14">
        <f t="shared" si="31"/>
        <v>13.127833333333333</v>
      </c>
      <c r="F1092" s="14">
        <f t="shared" si="31"/>
        <v>12.92165</v>
      </c>
      <c r="G1092" s="14">
        <f t="shared" si="31"/>
        <v>12.938066666666666</v>
      </c>
      <c r="H1092" s="14">
        <f t="shared" si="31"/>
        <v>13.116950000000003</v>
      </c>
      <c r="I1092" s="14">
        <f t="shared" si="31"/>
        <v>12.979183333333333</v>
      </c>
      <c r="J1092" s="14">
        <f t="shared" si="31"/>
        <v>12.91465</v>
      </c>
      <c r="K1092" s="53">
        <f t="shared" si="31"/>
        <v>12.975300000000002</v>
      </c>
      <c r="L1092" s="14">
        <f t="shared" si="31"/>
        <v>13.703949999999999</v>
      </c>
      <c r="M1092" s="14">
        <f t="shared" si="31"/>
        <v>12.657724999999999</v>
      </c>
      <c r="N1092" s="14">
        <f t="shared" si="31"/>
        <v>12.673833333333333</v>
      </c>
      <c r="O1092" s="14">
        <f t="shared" si="31"/>
        <v>12.855883333333331</v>
      </c>
      <c r="P1092" s="14">
        <f t="shared" si="31"/>
        <v>12.720200000000004</v>
      </c>
      <c r="Q1092" s="14">
        <f t="shared" si="31"/>
        <v>13.450583333333334</v>
      </c>
      <c r="R1092" s="14">
        <f t="shared" si="31"/>
        <v>14.071208333333331</v>
      </c>
      <c r="S1092" s="14">
        <f t="shared" si="31"/>
        <v>12.405908333333334</v>
      </c>
      <c r="T1092" s="49">
        <f>SUM(T277:T288)</f>
        <v>357.24568100000005</v>
      </c>
      <c r="U1092" s="49">
        <f>SUM(U277:U288)</f>
        <v>142.03263249999998</v>
      </c>
      <c r="V1092" s="49">
        <f>SUM(V277:V288)</f>
        <v>50.187500000000007</v>
      </c>
      <c r="W1092" s="49">
        <f>SUM(W277:W288)</f>
        <v>5.0822234999999996</v>
      </c>
      <c r="X1092" s="49">
        <f>SUM(X277:X288)</f>
        <v>20.758966663999999</v>
      </c>
      <c r="Y1092" s="49"/>
      <c r="Z1092" s="14"/>
      <c r="AA1092" s="14"/>
      <c r="AB1092" s="50">
        <f>AVERAGE(AB277:AB288)</f>
        <v>12.95475113538321</v>
      </c>
      <c r="AC1092" s="45">
        <f>AVERAGE(AC277:AC288)</f>
        <v>12.732318824940046</v>
      </c>
    </row>
    <row r="1093" spans="1:29" ht="15.75" x14ac:dyDescent="0.25">
      <c r="A1093" s="10">
        <v>2036</v>
      </c>
      <c r="B1093" s="14">
        <f t="shared" ref="B1093:S1093" si="32">AVERAGE(B289:B300)</f>
        <v>13.421591666666666</v>
      </c>
      <c r="C1093" s="14">
        <f t="shared" si="32"/>
        <v>13.427883333333334</v>
      </c>
      <c r="D1093" s="14">
        <f t="shared" si="32"/>
        <v>13.596391666666667</v>
      </c>
      <c r="E1093" s="14">
        <f t="shared" si="32"/>
        <v>13.628799999999998</v>
      </c>
      <c r="F1093" s="14">
        <f t="shared" si="32"/>
        <v>13.422616666666665</v>
      </c>
      <c r="G1093" s="14">
        <f t="shared" si="32"/>
        <v>13.439058333333334</v>
      </c>
      <c r="H1093" s="14">
        <f t="shared" si="32"/>
        <v>13.617925000000001</v>
      </c>
      <c r="I1093" s="14">
        <f t="shared" si="32"/>
        <v>13.481733333333331</v>
      </c>
      <c r="J1093" s="14">
        <f t="shared" si="32"/>
        <v>13.415616666666667</v>
      </c>
      <c r="K1093" s="53">
        <f t="shared" si="32"/>
        <v>13.477833333333335</v>
      </c>
      <c r="L1093" s="14">
        <f t="shared" si="32"/>
        <v>14.204924999999998</v>
      </c>
      <c r="M1093" s="14">
        <f t="shared" si="32"/>
        <v>13.148441666666665</v>
      </c>
      <c r="N1093" s="14">
        <f t="shared" si="32"/>
        <v>13.164533333333333</v>
      </c>
      <c r="O1093" s="14">
        <f t="shared" si="32"/>
        <v>13.346591666666667</v>
      </c>
      <c r="P1093" s="14">
        <f t="shared" si="32"/>
        <v>13.212425000000001</v>
      </c>
      <c r="Q1093" s="14">
        <f t="shared" si="32"/>
        <v>13.941291666666666</v>
      </c>
      <c r="R1093" s="14">
        <f t="shared" si="32"/>
        <v>14.563141666666668</v>
      </c>
      <c r="S1093" s="14">
        <f t="shared" si="32"/>
        <v>12.887308333333332</v>
      </c>
      <c r="T1093" s="49">
        <f>SUM(T289:T300)</f>
        <v>358.17703550000004</v>
      </c>
      <c r="U1093" s="49">
        <f>SUM(U289:U300)</f>
        <v>142.42176299999997</v>
      </c>
      <c r="V1093" s="49">
        <f>SUM(V289:V300)</f>
        <v>50.325000000000003</v>
      </c>
      <c r="W1093" s="49">
        <f>SUM(W289:W300)</f>
        <v>5.0961473999999995</v>
      </c>
      <c r="X1093" s="49">
        <f>SUM(X289:X300)</f>
        <v>20.800615543999996</v>
      </c>
      <c r="Y1093" s="49"/>
      <c r="Z1093" s="14"/>
      <c r="AA1093" s="14"/>
      <c r="AB1093" s="50">
        <f>AVERAGE(AB289:AB300)</f>
        <v>13.455854868571928</v>
      </c>
      <c r="AC1093" s="45">
        <f>AVERAGE(AC289:AC300)</f>
        <v>13.223246342925657</v>
      </c>
    </row>
    <row r="1094" spans="1:29" ht="15.75" x14ac:dyDescent="0.25">
      <c r="A1094" s="10">
        <v>2037</v>
      </c>
      <c r="B1094" s="14">
        <f t="shared" ref="B1094:S1094" si="33">AVERAGE(B301:B312)</f>
        <v>13.942033333333333</v>
      </c>
      <c r="C1094" s="14">
        <f t="shared" si="33"/>
        <v>13.948274999999997</v>
      </c>
      <c r="D1094" s="14">
        <f t="shared" si="33"/>
        <v>14.116808333333331</v>
      </c>
      <c r="E1094" s="14">
        <f t="shared" si="33"/>
        <v>14.14925</v>
      </c>
      <c r="F1094" s="14">
        <f t="shared" si="33"/>
        <v>13.943049999999998</v>
      </c>
      <c r="G1094" s="14">
        <f t="shared" si="33"/>
        <v>13.959491666666665</v>
      </c>
      <c r="H1094" s="14">
        <f t="shared" si="33"/>
        <v>14.138350000000001</v>
      </c>
      <c r="I1094" s="14">
        <f t="shared" si="33"/>
        <v>14.003775000000003</v>
      </c>
      <c r="J1094" s="14">
        <f t="shared" si="33"/>
        <v>13.93605</v>
      </c>
      <c r="K1094" s="53">
        <f t="shared" si="33"/>
        <v>13.999874999999998</v>
      </c>
      <c r="L1094" s="14">
        <f t="shared" si="33"/>
        <v>14.725350000000004</v>
      </c>
      <c r="M1094" s="14">
        <f t="shared" si="33"/>
        <v>13.658183333333334</v>
      </c>
      <c r="N1094" s="14">
        <f t="shared" si="33"/>
        <v>13.674283333333335</v>
      </c>
      <c r="O1094" s="14">
        <f t="shared" si="33"/>
        <v>13.856349999999999</v>
      </c>
      <c r="P1094" s="14">
        <f t="shared" si="33"/>
        <v>13.723733333333334</v>
      </c>
      <c r="Q1094" s="14">
        <f t="shared" si="33"/>
        <v>14.45105</v>
      </c>
      <c r="R1094" s="14">
        <f t="shared" si="33"/>
        <v>15.074174999999999</v>
      </c>
      <c r="S1094" s="14">
        <f t="shared" si="33"/>
        <v>13.387383333333332</v>
      </c>
      <c r="T1094" s="49">
        <f>SUM(T301:T312)</f>
        <v>357.24568100000005</v>
      </c>
      <c r="U1094" s="49">
        <f>SUM(U301:U312)</f>
        <v>142.03263249999998</v>
      </c>
      <c r="V1094" s="49">
        <f>SUM(V301:V312)</f>
        <v>50.187500000000007</v>
      </c>
      <c r="W1094" s="49">
        <f>SUM(W301:W312)</f>
        <v>5.0822234999999996</v>
      </c>
      <c r="X1094" s="49">
        <f>SUM(X301:X312)</f>
        <v>20.758966663999999</v>
      </c>
      <c r="Y1094" s="49"/>
      <c r="Z1094" s="14"/>
      <c r="AA1094" s="14"/>
      <c r="AB1094" s="50">
        <f>AVERAGE(AB301:AB312)</f>
        <v>13.976411244633683</v>
      </c>
      <c r="AC1094" s="45">
        <f>AVERAGE(AC301:AC312)</f>
        <v>13.733220023980815</v>
      </c>
    </row>
    <row r="1095" spans="1:29" ht="15.75" x14ac:dyDescent="0.25">
      <c r="A1095" s="10">
        <f t="shared" ref="A1095:A1126" si="34">A1094+1</f>
        <v>2038</v>
      </c>
      <c r="B1095" s="14">
        <f t="shared" ref="B1095:S1095" si="35">AVERAGE(B313:B324)</f>
        <v>14.482641666666666</v>
      </c>
      <c r="C1095" s="14">
        <f t="shared" si="35"/>
        <v>14.488883333333334</v>
      </c>
      <c r="D1095" s="14">
        <f t="shared" si="35"/>
        <v>14.657424999999998</v>
      </c>
      <c r="E1095" s="14">
        <f t="shared" si="35"/>
        <v>14.68985</v>
      </c>
      <c r="F1095" s="14">
        <f t="shared" si="35"/>
        <v>14.483649999999997</v>
      </c>
      <c r="G1095" s="14">
        <f t="shared" si="35"/>
        <v>14.500083333333334</v>
      </c>
      <c r="H1095" s="14">
        <f t="shared" si="35"/>
        <v>14.678958333333329</v>
      </c>
      <c r="I1095" s="14">
        <f t="shared" si="35"/>
        <v>14.546091666666669</v>
      </c>
      <c r="J1095" s="14">
        <f t="shared" si="35"/>
        <v>14.476649999999999</v>
      </c>
      <c r="K1095" s="53">
        <f t="shared" si="35"/>
        <v>14.542191666666668</v>
      </c>
      <c r="L1095" s="14">
        <f t="shared" si="35"/>
        <v>15.265958333333336</v>
      </c>
      <c r="M1095" s="14">
        <f t="shared" si="35"/>
        <v>14.187716666666667</v>
      </c>
      <c r="N1095" s="14">
        <f t="shared" si="35"/>
        <v>14.203841666666669</v>
      </c>
      <c r="O1095" s="14">
        <f t="shared" si="35"/>
        <v>14.385891666666668</v>
      </c>
      <c r="P1095" s="14">
        <f t="shared" si="35"/>
        <v>14.254908333333333</v>
      </c>
      <c r="Q1095" s="14">
        <f t="shared" si="35"/>
        <v>14.980591666666667</v>
      </c>
      <c r="R1095" s="14">
        <f t="shared" si="35"/>
        <v>15.605033333333331</v>
      </c>
      <c r="S1095" s="14">
        <f t="shared" si="35"/>
        <v>13.906841666666667</v>
      </c>
      <c r="T1095" s="49">
        <f>SUM(T313:T324)</f>
        <v>357.24568100000005</v>
      </c>
      <c r="U1095" s="49">
        <f>SUM(U313:U324)</f>
        <v>142.03263249999998</v>
      </c>
      <c r="V1095" s="49">
        <f>SUM(V313:V324)</f>
        <v>50.187500000000007</v>
      </c>
      <c r="W1095" s="49">
        <f>SUM(W313:W324)</f>
        <v>5.0822234999999996</v>
      </c>
      <c r="X1095" s="49">
        <f>SUM(X313:X324)</f>
        <v>20.758966663999999</v>
      </c>
      <c r="Y1095" s="49"/>
      <c r="Z1095" s="14"/>
      <c r="AA1095" s="14"/>
      <c r="AB1095" s="50">
        <f>AVERAGE(AB313:AB324)</f>
        <v>14.517156411885773</v>
      </c>
      <c r="AC1095" s="45">
        <f>AVERAGE(AC313:AC324)</f>
        <v>14.262997661870505</v>
      </c>
    </row>
    <row r="1096" spans="1:29" ht="15.75" x14ac:dyDescent="0.25">
      <c r="A1096" s="10">
        <f t="shared" si="34"/>
        <v>2039</v>
      </c>
      <c r="B1096" s="14">
        <f t="shared" ref="B1096:S1096" si="36">AVERAGE(B325:B336)</f>
        <v>15.044216666666669</v>
      </c>
      <c r="C1096" s="14">
        <f t="shared" si="36"/>
        <v>15.050500000000001</v>
      </c>
      <c r="D1096" s="14">
        <f t="shared" si="36"/>
        <v>15.218991666666666</v>
      </c>
      <c r="E1096" s="14">
        <f t="shared" si="36"/>
        <v>15.251424999999999</v>
      </c>
      <c r="F1096" s="14">
        <f t="shared" si="36"/>
        <v>15.045258333333331</v>
      </c>
      <c r="G1096" s="14">
        <f t="shared" si="36"/>
        <v>15.061683333333335</v>
      </c>
      <c r="H1096" s="14">
        <f t="shared" si="36"/>
        <v>15.240533333333333</v>
      </c>
      <c r="I1096" s="14">
        <f t="shared" si="36"/>
        <v>15.109433333333335</v>
      </c>
      <c r="J1096" s="14">
        <f t="shared" si="36"/>
        <v>15.038258333333333</v>
      </c>
      <c r="K1096" s="53">
        <f t="shared" si="36"/>
        <v>15.105550000000001</v>
      </c>
      <c r="L1096" s="14">
        <f t="shared" si="36"/>
        <v>15.827533333333333</v>
      </c>
      <c r="M1096" s="14">
        <f t="shared" si="36"/>
        <v>14.737833333333334</v>
      </c>
      <c r="N1096" s="14">
        <f t="shared" si="36"/>
        <v>14.753916666666669</v>
      </c>
      <c r="O1096" s="14">
        <f t="shared" si="36"/>
        <v>14.935974999999999</v>
      </c>
      <c r="P1096" s="14">
        <f t="shared" si="36"/>
        <v>14.806683333333332</v>
      </c>
      <c r="Q1096" s="14">
        <f t="shared" si="36"/>
        <v>15.530674999999997</v>
      </c>
      <c r="R1096" s="14">
        <f t="shared" si="36"/>
        <v>16.156491666666668</v>
      </c>
      <c r="S1096" s="14">
        <f t="shared" si="36"/>
        <v>14.446491666666667</v>
      </c>
      <c r="T1096" s="49">
        <f>SUM(T325:T336)</f>
        <v>357.24568100000005</v>
      </c>
      <c r="U1096" s="49">
        <f>SUM(U325:U336)</f>
        <v>142.03263249999998</v>
      </c>
      <c r="V1096" s="49">
        <f>SUM(V325:V336)</f>
        <v>50.187500000000007</v>
      </c>
      <c r="W1096" s="49">
        <f>SUM(W325:W336)</f>
        <v>5.0822234999999996</v>
      </c>
      <c r="X1096" s="49">
        <f>SUM(X325:X336)</f>
        <v>20.758966663999999</v>
      </c>
      <c r="Y1096" s="49"/>
      <c r="Z1096" s="55"/>
      <c r="AA1096" s="54"/>
      <c r="AB1096" s="50">
        <f>AVERAGE(AB325:AB336)</f>
        <v>15.078898724712401</v>
      </c>
      <c r="AC1096" s="45">
        <f>AVERAGE(AC325:AC336)</f>
        <v>14.813333992805754</v>
      </c>
    </row>
    <row r="1097" spans="1:29" ht="15.75" x14ac:dyDescent="0.25">
      <c r="A1097" s="10">
        <f t="shared" si="34"/>
        <v>2040</v>
      </c>
      <c r="B1097" s="14">
        <f t="shared" ref="B1097:S1097" si="37">AVERAGE(B337:B348)</f>
        <v>15.627625</v>
      </c>
      <c r="C1097" s="14">
        <f t="shared" si="37"/>
        <v>15.633874999999998</v>
      </c>
      <c r="D1097" s="14">
        <f t="shared" si="37"/>
        <v>15.802391666666665</v>
      </c>
      <c r="E1097" s="14">
        <f t="shared" si="37"/>
        <v>15.834833333333336</v>
      </c>
      <c r="F1097" s="14">
        <f t="shared" si="37"/>
        <v>15.628649999999999</v>
      </c>
      <c r="G1097" s="14">
        <f t="shared" si="37"/>
        <v>15.645066666666667</v>
      </c>
      <c r="H1097" s="14">
        <f t="shared" si="37"/>
        <v>15.823933333333331</v>
      </c>
      <c r="I1097" s="14">
        <f t="shared" si="37"/>
        <v>15.694658333333335</v>
      </c>
      <c r="J1097" s="14">
        <f t="shared" si="37"/>
        <v>15.621650000000001</v>
      </c>
      <c r="K1097" s="53">
        <f t="shared" si="37"/>
        <v>15.690758333333333</v>
      </c>
      <c r="L1097" s="14">
        <f t="shared" si="37"/>
        <v>16.410933333333336</v>
      </c>
      <c r="M1097" s="14">
        <f t="shared" si="37"/>
        <v>15.309258333333334</v>
      </c>
      <c r="N1097" s="14">
        <f t="shared" si="37"/>
        <v>15.325341666666667</v>
      </c>
      <c r="O1097" s="14">
        <f t="shared" si="37"/>
        <v>15.507399999999997</v>
      </c>
      <c r="P1097" s="14">
        <f t="shared" si="37"/>
        <v>15.379858333333333</v>
      </c>
      <c r="Q1097" s="14">
        <f t="shared" si="37"/>
        <v>16.1021</v>
      </c>
      <c r="R1097" s="14">
        <f t="shared" si="37"/>
        <v>16.729383333333335</v>
      </c>
      <c r="S1097" s="14">
        <f t="shared" si="37"/>
        <v>15.007058333333335</v>
      </c>
      <c r="T1097" s="49">
        <f>SUM(T337:T348)</f>
        <v>358.17703550000004</v>
      </c>
      <c r="U1097" s="49">
        <f>SUM(U337:U348)</f>
        <v>142.42176299999997</v>
      </c>
      <c r="V1097" s="49">
        <f>SUM(V337:V348)</f>
        <v>50.325000000000003</v>
      </c>
      <c r="W1097" s="49">
        <f>SUM(W337:W348)</f>
        <v>5.0961473999999995</v>
      </c>
      <c r="X1097" s="49">
        <f>SUM(X337:X348)</f>
        <v>20.800615543999996</v>
      </c>
      <c r="Y1097" s="49"/>
      <c r="Z1097" s="55"/>
      <c r="AA1097" s="54"/>
      <c r="AB1097" s="50">
        <f>AVERAGE(AB337:AB348)</f>
        <v>15.662439532469351</v>
      </c>
      <c r="AC1097" s="45">
        <f>AVERAGE(AC337:AC348)</f>
        <v>15.385012230215828</v>
      </c>
    </row>
    <row r="1098" spans="1:29" ht="15.75" x14ac:dyDescent="0.25">
      <c r="A1098" s="10">
        <f t="shared" si="34"/>
        <v>2041</v>
      </c>
      <c r="B1098" s="14">
        <f t="shared" ref="B1098:S1098" si="38">AVERAGE(B349:B360)</f>
        <v>16.233633333333334</v>
      </c>
      <c r="C1098" s="14">
        <f t="shared" si="38"/>
        <v>16.239916666666669</v>
      </c>
      <c r="D1098" s="14">
        <f t="shared" si="38"/>
        <v>16.408425000000001</v>
      </c>
      <c r="E1098" s="14">
        <f t="shared" si="38"/>
        <v>16.440833333333334</v>
      </c>
      <c r="F1098" s="14">
        <f t="shared" si="38"/>
        <v>16.234649999999998</v>
      </c>
      <c r="G1098" s="14">
        <f t="shared" si="38"/>
        <v>16.251091666666671</v>
      </c>
      <c r="H1098" s="14">
        <f t="shared" si="38"/>
        <v>16.429958333333332</v>
      </c>
      <c r="I1098" s="14">
        <f t="shared" si="38"/>
        <v>16.302566666666667</v>
      </c>
      <c r="J1098" s="14">
        <f t="shared" si="38"/>
        <v>16.227650000000001</v>
      </c>
      <c r="K1098" s="53">
        <f t="shared" si="38"/>
        <v>16.298674999999996</v>
      </c>
      <c r="L1098" s="14">
        <f t="shared" si="38"/>
        <v>17.016958333333335</v>
      </c>
      <c r="M1098" s="14">
        <f t="shared" si="38"/>
        <v>15.902875000000003</v>
      </c>
      <c r="N1098" s="14">
        <f t="shared" si="38"/>
        <v>15.918966666666668</v>
      </c>
      <c r="O1098" s="14">
        <f t="shared" si="38"/>
        <v>16.101008333333333</v>
      </c>
      <c r="P1098" s="14">
        <f t="shared" si="38"/>
        <v>15.975275000000002</v>
      </c>
      <c r="Q1098" s="14">
        <f t="shared" si="38"/>
        <v>16.695708333333332</v>
      </c>
      <c r="R1098" s="14">
        <f t="shared" si="38"/>
        <v>17.324449999999995</v>
      </c>
      <c r="S1098" s="14">
        <f t="shared" si="38"/>
        <v>15.589408333333333</v>
      </c>
      <c r="T1098" s="49">
        <f>SUM(T349:T360)</f>
        <v>357.24568100000005</v>
      </c>
      <c r="U1098" s="49">
        <f>SUM(U349:U360)</f>
        <v>142.03263249999998</v>
      </c>
      <c r="V1098" s="49">
        <f>SUM(V349:V360)</f>
        <v>50.187500000000007</v>
      </c>
      <c r="W1098" s="49">
        <f>SUM(W349:W360)</f>
        <v>5.0822234999999996</v>
      </c>
      <c r="X1098" s="49">
        <f>SUM(X349:X360)</f>
        <v>20.758966663999999</v>
      </c>
      <c r="Y1098" s="49"/>
      <c r="Z1098" s="55"/>
      <c r="AA1098" s="54"/>
      <c r="AB1098" s="50">
        <f>AVERAGE(AB349:AB360)</f>
        <v>16.26861562137158</v>
      </c>
      <c r="AC1098" s="45">
        <f>AVERAGE(AC349:AC360)</f>
        <v>15.97888603117506</v>
      </c>
    </row>
    <row r="1099" spans="1:29" ht="15.75" x14ac:dyDescent="0.25">
      <c r="A1099" s="10">
        <f t="shared" si="34"/>
        <v>2042</v>
      </c>
      <c r="B1099" s="14">
        <f t="shared" ref="B1099:S1099" si="39">AVERAGE(B361:B372)</f>
        <v>16.863175000000002</v>
      </c>
      <c r="C1099" s="14">
        <f t="shared" si="39"/>
        <v>16.869450000000001</v>
      </c>
      <c r="D1099" s="14">
        <f t="shared" si="39"/>
        <v>17.037974999999999</v>
      </c>
      <c r="E1099" s="14">
        <f t="shared" si="39"/>
        <v>17.070391666666666</v>
      </c>
      <c r="F1099" s="14">
        <f t="shared" si="39"/>
        <v>16.864208333333334</v>
      </c>
      <c r="G1099" s="14">
        <f t="shared" si="39"/>
        <v>16.880641666666666</v>
      </c>
      <c r="H1099" s="14">
        <f t="shared" si="39"/>
        <v>17.059508333333333</v>
      </c>
      <c r="I1099" s="14">
        <f t="shared" si="39"/>
        <v>16.934074999999996</v>
      </c>
      <c r="J1099" s="14">
        <f t="shared" si="39"/>
        <v>16.857208333333336</v>
      </c>
      <c r="K1099" s="53">
        <f t="shared" si="39"/>
        <v>16.930199999999999</v>
      </c>
      <c r="L1099" s="14">
        <f t="shared" si="39"/>
        <v>17.646508333333333</v>
      </c>
      <c r="M1099" s="14">
        <f t="shared" si="39"/>
        <v>16.519499999999997</v>
      </c>
      <c r="N1099" s="14">
        <f t="shared" si="39"/>
        <v>16.535600000000002</v>
      </c>
      <c r="O1099" s="14">
        <f t="shared" si="39"/>
        <v>16.717658333333333</v>
      </c>
      <c r="P1099" s="14">
        <f t="shared" si="39"/>
        <v>16.593841666666666</v>
      </c>
      <c r="Q1099" s="14">
        <f t="shared" si="39"/>
        <v>17.312358333333332</v>
      </c>
      <c r="R1099" s="14">
        <f t="shared" si="39"/>
        <v>17.942641666666667</v>
      </c>
      <c r="S1099" s="14">
        <f t="shared" si="39"/>
        <v>16.194308333333336</v>
      </c>
      <c r="T1099" s="49">
        <f>SUM(T361:T372)</f>
        <v>357.24568100000005</v>
      </c>
      <c r="U1099" s="49">
        <f>SUM(U361:U372)</f>
        <v>142.03263249999998</v>
      </c>
      <c r="V1099" s="49">
        <f>SUM(V361:V372)</f>
        <v>50.187500000000007</v>
      </c>
      <c r="W1099" s="49">
        <f>SUM(W361:W372)</f>
        <v>5.0822234999999996</v>
      </c>
      <c r="X1099" s="49">
        <f>SUM(X361:X372)</f>
        <v>20.758966663999999</v>
      </c>
      <c r="Y1099" s="49"/>
      <c r="Z1099" s="55"/>
      <c r="AA1099" s="54"/>
      <c r="AB1099" s="50">
        <f>AVERAGE(AB361:AB372)</f>
        <v>16.898323819306011</v>
      </c>
      <c r="AC1099" s="45">
        <f>AVERAGE(AC361:AC372)</f>
        <v>16.5958007793765</v>
      </c>
    </row>
    <row r="1100" spans="1:29" ht="15.75" x14ac:dyDescent="0.25">
      <c r="A1100" s="10">
        <f t="shared" si="34"/>
        <v>2043</v>
      </c>
      <c r="B1100" s="14">
        <f t="shared" ref="B1100:S1100" si="40">AVERAGE(B373:B384)</f>
        <v>17.517166666666668</v>
      </c>
      <c r="C1100" s="14">
        <f t="shared" si="40"/>
        <v>17.523425000000007</v>
      </c>
      <c r="D1100" s="14">
        <f t="shared" si="40"/>
        <v>17.691941666666668</v>
      </c>
      <c r="E1100" s="14">
        <f t="shared" si="40"/>
        <v>17.724358333333331</v>
      </c>
      <c r="F1100" s="14">
        <f t="shared" si="40"/>
        <v>17.518174999999996</v>
      </c>
      <c r="G1100" s="14">
        <f t="shared" si="40"/>
        <v>17.534625000000002</v>
      </c>
      <c r="H1100" s="14">
        <f t="shared" si="40"/>
        <v>17.713483333333333</v>
      </c>
      <c r="I1100" s="14">
        <f t="shared" si="40"/>
        <v>17.590100000000003</v>
      </c>
      <c r="J1100" s="14">
        <f t="shared" si="40"/>
        <v>17.511175000000001</v>
      </c>
      <c r="K1100" s="53">
        <f t="shared" si="40"/>
        <v>17.586225000000002</v>
      </c>
      <c r="L1100" s="14">
        <f t="shared" si="40"/>
        <v>18.300483333333332</v>
      </c>
      <c r="M1100" s="14">
        <f t="shared" si="40"/>
        <v>17.16009166666667</v>
      </c>
      <c r="N1100" s="14">
        <f t="shared" si="40"/>
        <v>17.176166666666667</v>
      </c>
      <c r="O1100" s="14">
        <f t="shared" si="40"/>
        <v>17.358258333333332</v>
      </c>
      <c r="P1100" s="14">
        <f t="shared" si="40"/>
        <v>17.236366666666669</v>
      </c>
      <c r="Q1100" s="14">
        <f t="shared" si="40"/>
        <v>17.952958333333335</v>
      </c>
      <c r="R1100" s="14">
        <f t="shared" si="40"/>
        <v>18.584808333333331</v>
      </c>
      <c r="S1100" s="14">
        <f t="shared" si="40"/>
        <v>16.822741666666669</v>
      </c>
      <c r="T1100" s="49">
        <f>SUM(T373:T384)</f>
        <v>357.24568100000005</v>
      </c>
      <c r="U1100" s="49">
        <f>SUM(U373:U384)</f>
        <v>142.03263249999998</v>
      </c>
      <c r="V1100" s="49">
        <f>SUM(V373:V384)</f>
        <v>50.187500000000007</v>
      </c>
      <c r="W1100" s="49">
        <f>SUM(W373:W384)</f>
        <v>5.0822234999999996</v>
      </c>
      <c r="X1100" s="49">
        <f>SUM(X373:X384)</f>
        <v>20.758966663999999</v>
      </c>
      <c r="Y1100" s="49"/>
      <c r="Z1100" s="55"/>
      <c r="AA1100" s="54"/>
      <c r="AB1100" s="50">
        <f>AVERAGE(AB373:AB384)</f>
        <v>17.552468146078692</v>
      </c>
      <c r="AC1100" s="45">
        <f>AVERAGE(AC373:AC384)</f>
        <v>17.236668645083931</v>
      </c>
    </row>
    <row r="1101" spans="1:29" ht="15.75" x14ac:dyDescent="0.25">
      <c r="A1101" s="10">
        <f t="shared" si="34"/>
        <v>2044</v>
      </c>
      <c r="B1101" s="14">
        <f t="shared" ref="B1101:S1101" si="41">AVERAGE(B385:B396)</f>
        <v>18.19650833333333</v>
      </c>
      <c r="C1101" s="14">
        <f t="shared" si="41"/>
        <v>18.202783333333336</v>
      </c>
      <c r="D1101" s="14">
        <f t="shared" si="41"/>
        <v>18.371299999999994</v>
      </c>
      <c r="E1101" s="14">
        <f t="shared" si="41"/>
        <v>18.403716666666668</v>
      </c>
      <c r="F1101" s="14">
        <f t="shared" si="41"/>
        <v>18.197533333333336</v>
      </c>
      <c r="G1101" s="14">
        <f t="shared" si="41"/>
        <v>18.213958333333334</v>
      </c>
      <c r="H1101" s="14">
        <f t="shared" si="41"/>
        <v>18.392833333333336</v>
      </c>
      <c r="I1101" s="14">
        <f t="shared" si="41"/>
        <v>18.271591666666662</v>
      </c>
      <c r="J1101" s="14">
        <f t="shared" si="41"/>
        <v>18.190533333333331</v>
      </c>
      <c r="K1101" s="53">
        <f t="shared" si="41"/>
        <v>18.267691666666668</v>
      </c>
      <c r="L1101" s="14">
        <f t="shared" si="41"/>
        <v>18.979833333333335</v>
      </c>
      <c r="M1101" s="14">
        <f t="shared" si="41"/>
        <v>17.825491666666668</v>
      </c>
      <c r="N1101" s="14">
        <f t="shared" si="41"/>
        <v>17.8416</v>
      </c>
      <c r="O1101" s="14">
        <f t="shared" si="41"/>
        <v>18.02365</v>
      </c>
      <c r="P1101" s="14">
        <f t="shared" si="41"/>
        <v>17.903841666666668</v>
      </c>
      <c r="Q1101" s="14">
        <f t="shared" si="41"/>
        <v>18.618350000000003</v>
      </c>
      <c r="R1101" s="14">
        <f t="shared" si="41"/>
        <v>19.251908333333336</v>
      </c>
      <c r="S1101" s="14">
        <f t="shared" si="41"/>
        <v>17.475508333333334</v>
      </c>
      <c r="T1101" s="49">
        <f>SUM(T385:T396)</f>
        <v>358.17703550000004</v>
      </c>
      <c r="U1101" s="49">
        <f>SUM(U385:U396)</f>
        <v>142.42176299999997</v>
      </c>
      <c r="V1101" s="49">
        <f>SUM(V385:V396)</f>
        <v>50.325000000000003</v>
      </c>
      <c r="W1101" s="49">
        <f>SUM(W385:W396)</f>
        <v>5.0961473999999995</v>
      </c>
      <c r="X1101" s="49">
        <f>SUM(X385:X396)</f>
        <v>20.800615543999996</v>
      </c>
      <c r="Y1101" s="49"/>
      <c r="Z1101" s="55"/>
      <c r="AA1101" s="54"/>
      <c r="AB1101" s="50">
        <f>AVERAGE(AB385:AB396)</f>
        <v>18.231996285584525</v>
      </c>
      <c r="AC1101" s="45">
        <f>AVERAGE(AC385:AC396)</f>
        <v>17.902366786570742</v>
      </c>
    </row>
    <row r="1102" spans="1:29" ht="15.75" x14ac:dyDescent="0.25">
      <c r="A1102" s="10">
        <f t="shared" si="34"/>
        <v>2045</v>
      </c>
      <c r="B1102" s="14">
        <f t="shared" ref="B1102:S1102" si="42">AVERAGE(B397:B408)</f>
        <v>18.902216666666668</v>
      </c>
      <c r="C1102" s="14">
        <f t="shared" si="42"/>
        <v>18.9085</v>
      </c>
      <c r="D1102" s="14">
        <f t="shared" si="42"/>
        <v>19.076999999999998</v>
      </c>
      <c r="E1102" s="14">
        <f t="shared" si="42"/>
        <v>19.109416666666668</v>
      </c>
      <c r="F1102" s="14">
        <f t="shared" si="42"/>
        <v>18.903250000000003</v>
      </c>
      <c r="G1102" s="14">
        <f t="shared" si="42"/>
        <v>18.919658333333334</v>
      </c>
      <c r="H1102" s="14">
        <f t="shared" si="42"/>
        <v>19.098541666666666</v>
      </c>
      <c r="I1102" s="14">
        <f t="shared" si="42"/>
        <v>18.979516666666665</v>
      </c>
      <c r="J1102" s="14">
        <f t="shared" si="42"/>
        <v>18.896250000000002</v>
      </c>
      <c r="K1102" s="53">
        <f t="shared" si="42"/>
        <v>18.975633333333331</v>
      </c>
      <c r="L1102" s="14">
        <f t="shared" si="42"/>
        <v>19.685541666666666</v>
      </c>
      <c r="M1102" s="14">
        <f t="shared" si="42"/>
        <v>18.516774999999999</v>
      </c>
      <c r="N1102" s="14">
        <f t="shared" si="42"/>
        <v>18.532866666666667</v>
      </c>
      <c r="O1102" s="14">
        <f t="shared" si="42"/>
        <v>18.714933333333331</v>
      </c>
      <c r="P1102" s="14">
        <f t="shared" si="42"/>
        <v>18.597224999999998</v>
      </c>
      <c r="Q1102" s="14">
        <f t="shared" si="42"/>
        <v>19.309633333333334</v>
      </c>
      <c r="R1102" s="14">
        <f t="shared" si="42"/>
        <v>19.944891666666667</v>
      </c>
      <c r="S1102" s="14">
        <f t="shared" si="42"/>
        <v>18.153641666666669</v>
      </c>
      <c r="T1102" s="49">
        <f>SUM(T397:T408)</f>
        <v>357.24568100000005</v>
      </c>
      <c r="U1102" s="49">
        <f>SUM(U397:U408)</f>
        <v>142.03263249999998</v>
      </c>
      <c r="V1102" s="49">
        <f>SUM(V397:V408)</f>
        <v>50.187500000000007</v>
      </c>
      <c r="W1102" s="49">
        <f>SUM(W397:W408)</f>
        <v>5.0822234999999996</v>
      </c>
      <c r="X1102" s="49">
        <f>SUM(X397:X408)</f>
        <v>20.758966663999999</v>
      </c>
      <c r="Y1102" s="49"/>
      <c r="Z1102" s="55"/>
      <c r="AA1102" s="54"/>
      <c r="AB1102" s="50">
        <f>AVERAGE(AB397:AB408)</f>
        <v>18.937889692688312</v>
      </c>
      <c r="AC1102" s="45">
        <f>AVERAGE(AC397:AC408)</f>
        <v>18.593951318944846</v>
      </c>
    </row>
    <row r="1103" spans="1:29" ht="15.75" x14ac:dyDescent="0.25">
      <c r="A1103" s="10">
        <f t="shared" si="34"/>
        <v>2046</v>
      </c>
      <c r="B1103" s="14">
        <f t="shared" ref="B1103:S1103" si="43">AVERAGE(B409:B420)</f>
        <v>19.635325000000005</v>
      </c>
      <c r="C1103" s="14">
        <f t="shared" si="43"/>
        <v>19.6416</v>
      </c>
      <c r="D1103" s="14">
        <f t="shared" si="43"/>
        <v>19.810108333333332</v>
      </c>
      <c r="E1103" s="14">
        <f t="shared" si="43"/>
        <v>19.842541666666666</v>
      </c>
      <c r="F1103" s="14">
        <f t="shared" si="43"/>
        <v>19.636358333333334</v>
      </c>
      <c r="G1103" s="14">
        <f t="shared" si="43"/>
        <v>19.652783333333328</v>
      </c>
      <c r="H1103" s="14">
        <f t="shared" si="43"/>
        <v>19.83165</v>
      </c>
      <c r="I1103" s="14">
        <f t="shared" si="43"/>
        <v>19.71490833333333</v>
      </c>
      <c r="J1103" s="14">
        <f t="shared" si="43"/>
        <v>19.629358333333332</v>
      </c>
      <c r="K1103" s="53">
        <f t="shared" si="43"/>
        <v>19.711016666666669</v>
      </c>
      <c r="L1103" s="14">
        <f t="shared" si="43"/>
        <v>20.41865</v>
      </c>
      <c r="M1103" s="14">
        <f t="shared" si="43"/>
        <v>19.234858333333332</v>
      </c>
      <c r="N1103" s="14">
        <f t="shared" si="43"/>
        <v>19.250941666666666</v>
      </c>
      <c r="O1103" s="14">
        <f t="shared" si="43"/>
        <v>19.433008333333333</v>
      </c>
      <c r="P1103" s="14">
        <f t="shared" si="43"/>
        <v>19.317508333333333</v>
      </c>
      <c r="Q1103" s="14">
        <f t="shared" si="43"/>
        <v>20.027708333333333</v>
      </c>
      <c r="R1103" s="14">
        <f t="shared" si="43"/>
        <v>20.664766666666669</v>
      </c>
      <c r="S1103" s="14">
        <f t="shared" si="43"/>
        <v>18.858074999999999</v>
      </c>
      <c r="T1103" s="49">
        <f>SUM(T409:T420)</f>
        <v>357.24568100000005</v>
      </c>
      <c r="U1103" s="49">
        <f>SUM(U409:U420)</f>
        <v>142.03263249999998</v>
      </c>
      <c r="V1103" s="49">
        <f>SUM(V409:V420)</f>
        <v>50.187500000000007</v>
      </c>
      <c r="W1103" s="49">
        <f>SUM(W409:W420)</f>
        <v>5.0822234999999996</v>
      </c>
      <c r="X1103" s="49">
        <f>SUM(X409:X420)</f>
        <v>20.758966663999999</v>
      </c>
      <c r="Y1103" s="49"/>
      <c r="Z1103" s="55"/>
      <c r="AA1103" s="54"/>
      <c r="AB1103" s="50">
        <f>AVERAGE(AB409:AB420)</f>
        <v>19.67118732282437</v>
      </c>
      <c r="AC1103" s="45">
        <f>AVERAGE(AC409:AC420)</f>
        <v>19.312346942446045</v>
      </c>
    </row>
    <row r="1104" spans="1:29" ht="15.75" x14ac:dyDescent="0.25">
      <c r="A1104" s="10">
        <f t="shared" si="34"/>
        <v>2047</v>
      </c>
      <c r="B1104" s="14">
        <f t="shared" ref="B1104:S1104" si="44">AVERAGE(B421:B432)</f>
        <v>20.396883333333331</v>
      </c>
      <c r="C1104" s="14">
        <f t="shared" si="44"/>
        <v>20.403141666666667</v>
      </c>
      <c r="D1104" s="14">
        <f t="shared" si="44"/>
        <v>20.571658333333332</v>
      </c>
      <c r="E1104" s="14">
        <f t="shared" si="44"/>
        <v>20.604066666666665</v>
      </c>
      <c r="F1104" s="14">
        <f t="shared" si="44"/>
        <v>20.3979</v>
      </c>
      <c r="G1104" s="14">
        <f t="shared" si="44"/>
        <v>20.414324999999998</v>
      </c>
      <c r="H1104" s="14">
        <f t="shared" si="44"/>
        <v>20.5932</v>
      </c>
      <c r="I1104" s="14">
        <f t="shared" si="44"/>
        <v>20.478858333333331</v>
      </c>
      <c r="J1104" s="14">
        <f t="shared" si="44"/>
        <v>20.390900000000002</v>
      </c>
      <c r="K1104" s="53">
        <f t="shared" si="44"/>
        <v>20.474958333333337</v>
      </c>
      <c r="L1104" s="14">
        <f t="shared" si="44"/>
        <v>21.180199999999999</v>
      </c>
      <c r="M1104" s="14">
        <f t="shared" si="44"/>
        <v>19.980791666666669</v>
      </c>
      <c r="N1104" s="14">
        <f t="shared" si="44"/>
        <v>19.9969</v>
      </c>
      <c r="O1104" s="14">
        <f t="shared" si="44"/>
        <v>20.17895</v>
      </c>
      <c r="P1104" s="14">
        <f t="shared" si="44"/>
        <v>20.065733333333331</v>
      </c>
      <c r="Q1104" s="14">
        <f t="shared" si="44"/>
        <v>20.77365</v>
      </c>
      <c r="R1104" s="14">
        <f t="shared" si="44"/>
        <v>21.412583333333334</v>
      </c>
      <c r="S1104" s="14">
        <f t="shared" si="44"/>
        <v>19.589850000000002</v>
      </c>
      <c r="T1104" s="49">
        <f>SUM(T421:T432)</f>
        <v>357.24568100000005</v>
      </c>
      <c r="U1104" s="49">
        <f>SUM(U421:U432)</f>
        <v>142.03263249999998</v>
      </c>
      <c r="V1104" s="49">
        <f>SUM(V421:V432)</f>
        <v>50.187500000000007</v>
      </c>
      <c r="W1104" s="49">
        <f>SUM(W421:W432)</f>
        <v>5.0822234999999996</v>
      </c>
      <c r="X1104" s="49">
        <f>SUM(X421:X432)</f>
        <v>20.758966663999999</v>
      </c>
      <c r="Y1104" s="49"/>
      <c r="Z1104" s="55"/>
      <c r="AA1104" s="54"/>
      <c r="AB1104" s="50">
        <f>AVERAGE(AB421:AB432)</f>
        <v>20.432929646788843</v>
      </c>
      <c r="AC1104" s="45">
        <f>AVERAGE(AC421:AC432)</f>
        <v>20.058615227817747</v>
      </c>
    </row>
    <row r="1105" spans="1:29" ht="15.75" x14ac:dyDescent="0.25">
      <c r="A1105" s="10">
        <f t="shared" si="34"/>
        <v>2048</v>
      </c>
      <c r="B1105" s="14">
        <f t="shared" ref="B1105:S1105" si="45">AVERAGE(B433:B444)</f>
        <v>21.187983333333335</v>
      </c>
      <c r="C1105" s="14">
        <f t="shared" si="45"/>
        <v>21.19425</v>
      </c>
      <c r="D1105" s="14">
        <f t="shared" si="45"/>
        <v>21.362766666666669</v>
      </c>
      <c r="E1105" s="14">
        <f t="shared" si="45"/>
        <v>21.395199999999999</v>
      </c>
      <c r="F1105" s="14">
        <f t="shared" si="45"/>
        <v>21.189008333333334</v>
      </c>
      <c r="G1105" s="14">
        <f t="shared" si="45"/>
        <v>21.205424999999998</v>
      </c>
      <c r="H1105" s="14">
        <f t="shared" si="45"/>
        <v>21.3843</v>
      </c>
      <c r="I1105" s="14">
        <f t="shared" si="45"/>
        <v>21.272433333333336</v>
      </c>
      <c r="J1105" s="14">
        <f t="shared" si="45"/>
        <v>21.182008333333336</v>
      </c>
      <c r="K1105" s="53">
        <f t="shared" si="45"/>
        <v>21.26853333333333</v>
      </c>
      <c r="L1105" s="14">
        <f t="shared" si="45"/>
        <v>21.971299999999999</v>
      </c>
      <c r="M1105" s="14">
        <f t="shared" si="45"/>
        <v>20.755699999999997</v>
      </c>
      <c r="N1105" s="14">
        <f t="shared" si="45"/>
        <v>20.771799999999999</v>
      </c>
      <c r="O1105" s="14">
        <f t="shared" si="45"/>
        <v>20.953841666666669</v>
      </c>
      <c r="P1105" s="14">
        <f t="shared" si="45"/>
        <v>20.843008333333334</v>
      </c>
      <c r="Q1105" s="14">
        <f t="shared" si="45"/>
        <v>21.548541666666665</v>
      </c>
      <c r="R1105" s="14">
        <f t="shared" si="45"/>
        <v>22.189408333333333</v>
      </c>
      <c r="S1105" s="14">
        <f t="shared" si="45"/>
        <v>20.350008333333331</v>
      </c>
      <c r="T1105" s="49">
        <f>SUM(T433:T444)</f>
        <v>358.17703550000004</v>
      </c>
      <c r="U1105" s="49">
        <f>SUM(U433:U444)</f>
        <v>142.42176299999997</v>
      </c>
      <c r="V1105" s="49">
        <f>SUM(V433:V444)</f>
        <v>50.325000000000003</v>
      </c>
      <c r="W1105" s="49">
        <f>SUM(W433:W444)</f>
        <v>5.0961473999999995</v>
      </c>
      <c r="X1105" s="49">
        <f>SUM(X433:X444)</f>
        <v>20.800615543999996</v>
      </c>
      <c r="Y1105" s="49"/>
      <c r="Z1105" s="55"/>
      <c r="AA1105" s="54"/>
      <c r="AB1105" s="50">
        <f>AVERAGE(AB433:AB444)</f>
        <v>21.224239732428597</v>
      </c>
      <c r="AC1105" s="45">
        <f>AVERAGE(AC433:AC444)</f>
        <v>20.833860371702638</v>
      </c>
    </row>
    <row r="1106" spans="1:29" ht="15.75" x14ac:dyDescent="0.25">
      <c r="A1106" s="10">
        <f t="shared" si="34"/>
        <v>2049</v>
      </c>
      <c r="B1106" s="14">
        <f t="shared" ref="B1106:S1106" si="46">AVERAGE(B445:B456)</f>
        <v>22.009775000000001</v>
      </c>
      <c r="C1106" s="14">
        <f t="shared" si="46"/>
        <v>22.016041666666666</v>
      </c>
      <c r="D1106" s="14">
        <f t="shared" si="46"/>
        <v>22.184566666666669</v>
      </c>
      <c r="E1106" s="14">
        <f t="shared" si="46"/>
        <v>22.216983333333335</v>
      </c>
      <c r="F1106" s="14">
        <f t="shared" si="46"/>
        <v>22.0108</v>
      </c>
      <c r="G1106" s="14">
        <f t="shared" si="46"/>
        <v>22.027216666666671</v>
      </c>
      <c r="H1106" s="14">
        <f t="shared" si="46"/>
        <v>22.206108333333333</v>
      </c>
      <c r="I1106" s="14">
        <f t="shared" si="46"/>
        <v>22.096808333333332</v>
      </c>
      <c r="J1106" s="14">
        <f t="shared" si="46"/>
        <v>22.003800000000002</v>
      </c>
      <c r="K1106" s="53">
        <f t="shared" si="46"/>
        <v>22.092925000000005</v>
      </c>
      <c r="L1106" s="14">
        <f t="shared" si="46"/>
        <v>22.793108333333333</v>
      </c>
      <c r="M1106" s="14">
        <f t="shared" si="46"/>
        <v>21.560666666666666</v>
      </c>
      <c r="N1106" s="14">
        <f t="shared" si="46"/>
        <v>21.576749999999993</v>
      </c>
      <c r="O1106" s="14">
        <f t="shared" si="46"/>
        <v>21.758808333333331</v>
      </c>
      <c r="P1106" s="14">
        <f t="shared" si="46"/>
        <v>21.650441666666666</v>
      </c>
      <c r="Q1106" s="14">
        <f t="shared" si="46"/>
        <v>22.353508333333338</v>
      </c>
      <c r="R1106" s="14">
        <f t="shared" si="46"/>
        <v>22.996408333333331</v>
      </c>
      <c r="S1106" s="14">
        <f t="shared" si="46"/>
        <v>21.139700000000001</v>
      </c>
      <c r="T1106" s="49">
        <f>SUM(T445:T456)</f>
        <v>357.24568100000005</v>
      </c>
      <c r="U1106" s="49">
        <f>SUM(U445:U456)</f>
        <v>142.03263249999998</v>
      </c>
      <c r="V1106" s="49">
        <f>SUM(V445:V456)</f>
        <v>50.187500000000007</v>
      </c>
      <c r="W1106" s="49">
        <f>SUM(W445:W456)</f>
        <v>5.0822234999999996</v>
      </c>
      <c r="X1106" s="49">
        <f>SUM(X445:X456)</f>
        <v>20.758966663999999</v>
      </c>
      <c r="Y1106" s="49"/>
      <c r="Z1106" s="55"/>
      <c r="AA1106" s="54"/>
      <c r="AB1106" s="50">
        <f>AVERAGE(AB445:AB456)</f>
        <v>22.046244506092439</v>
      </c>
      <c r="AC1106" s="45">
        <f>AVERAGE(AC445:AC456)</f>
        <v>21.639178117505995</v>
      </c>
    </row>
    <row r="1107" spans="1:29" ht="15.75" x14ac:dyDescent="0.25">
      <c r="A1107" s="10">
        <f t="shared" si="34"/>
        <v>2050</v>
      </c>
      <c r="B1107" s="14">
        <f t="shared" ref="B1107:S1107" si="47">AVERAGE(B457:B468)</f>
        <v>22.863483333333331</v>
      </c>
      <c r="C1107" s="14">
        <f t="shared" si="47"/>
        <v>22.86975</v>
      </c>
      <c r="D1107" s="14">
        <f t="shared" si="47"/>
        <v>23.038250000000001</v>
      </c>
      <c r="E1107" s="14">
        <f t="shared" si="47"/>
        <v>23.070691666666665</v>
      </c>
      <c r="F1107" s="14">
        <f t="shared" si="47"/>
        <v>22.864508333333333</v>
      </c>
      <c r="G1107" s="14">
        <f t="shared" si="47"/>
        <v>22.880941666666669</v>
      </c>
      <c r="H1107" s="14">
        <f t="shared" si="47"/>
        <v>23.059783333333332</v>
      </c>
      <c r="I1107" s="14">
        <f t="shared" si="47"/>
        <v>22.953183333333332</v>
      </c>
      <c r="J1107" s="14">
        <f t="shared" si="47"/>
        <v>22.857508333333332</v>
      </c>
      <c r="K1107" s="53">
        <f t="shared" si="47"/>
        <v>22.949291666666667</v>
      </c>
      <c r="L1107" s="14">
        <f t="shared" si="47"/>
        <v>23.646783333333335</v>
      </c>
      <c r="M1107" s="14">
        <f t="shared" si="47"/>
        <v>22.396858333333331</v>
      </c>
      <c r="N1107" s="14">
        <f t="shared" si="47"/>
        <v>22.412958333333336</v>
      </c>
      <c r="O1107" s="14">
        <f t="shared" si="47"/>
        <v>22.595016666666666</v>
      </c>
      <c r="P1107" s="14">
        <f t="shared" si="47"/>
        <v>22.489208333333337</v>
      </c>
      <c r="Q1107" s="14">
        <f t="shared" si="47"/>
        <v>23.189716666666666</v>
      </c>
      <c r="R1107" s="14">
        <f t="shared" si="47"/>
        <v>23.834683333333331</v>
      </c>
      <c r="S1107" s="14">
        <f t="shared" si="47"/>
        <v>21.960008333333334</v>
      </c>
      <c r="T1107" s="49">
        <f>SUM(T457:T468)</f>
        <v>357.24568100000005</v>
      </c>
      <c r="U1107" s="49">
        <f>SUM(U457:U468)</f>
        <v>142.03263249999998</v>
      </c>
      <c r="V1107" s="49">
        <f>SUM(V457:V468)</f>
        <v>50.187500000000007</v>
      </c>
      <c r="W1107" s="49">
        <f>SUM(W457:W468)</f>
        <v>5.0822234999999996</v>
      </c>
      <c r="X1107" s="49">
        <f>SUM(X457:X468)</f>
        <v>20.758966663999999</v>
      </c>
      <c r="Y1107" s="49"/>
      <c r="Z1107" s="55"/>
      <c r="AA1107" s="54"/>
      <c r="AB1107" s="50">
        <f>AVERAGE(AB457:AB468)</f>
        <v>22.900172922376186</v>
      </c>
      <c r="AC1107" s="45">
        <f>AVERAGE(AC457:AC468)</f>
        <v>22.475750239808153</v>
      </c>
    </row>
    <row r="1108" spans="1:29" ht="15.75" x14ac:dyDescent="0.25">
      <c r="A1108" s="10">
        <f t="shared" si="34"/>
        <v>2051</v>
      </c>
      <c r="B1108" s="14">
        <f t="shared" ref="B1108:S1108" si="48">AVERAGE(B469:B480)</f>
        <v>23.750308333333333</v>
      </c>
      <c r="C1108" s="14">
        <f t="shared" si="48"/>
        <v>23.756566666666661</v>
      </c>
      <c r="D1108" s="14">
        <f t="shared" si="48"/>
        <v>23.925075000000003</v>
      </c>
      <c r="E1108" s="14">
        <f t="shared" si="48"/>
        <v>23.957516666666667</v>
      </c>
      <c r="F1108" s="14">
        <f t="shared" si="48"/>
        <v>23.751325000000005</v>
      </c>
      <c r="G1108" s="14">
        <f t="shared" si="48"/>
        <v>23.76776666666667</v>
      </c>
      <c r="H1108" s="14">
        <f t="shared" si="48"/>
        <v>23.946616666666667</v>
      </c>
      <c r="I1108" s="14">
        <f t="shared" si="48"/>
        <v>23.842766666666666</v>
      </c>
      <c r="J1108" s="14">
        <f t="shared" si="48"/>
        <v>23.744325</v>
      </c>
      <c r="K1108" s="53">
        <f t="shared" si="48"/>
        <v>23.838899999999995</v>
      </c>
      <c r="L1108" s="14">
        <f t="shared" si="48"/>
        <v>24.533616666666664</v>
      </c>
      <c r="M1108" s="14">
        <f t="shared" si="48"/>
        <v>23.265525</v>
      </c>
      <c r="N1108" s="14">
        <f t="shared" si="48"/>
        <v>23.281608333333335</v>
      </c>
      <c r="O1108" s="14">
        <f t="shared" si="48"/>
        <v>23.463674999999999</v>
      </c>
      <c r="P1108" s="14">
        <f t="shared" si="48"/>
        <v>23.360516666666665</v>
      </c>
      <c r="Q1108" s="14">
        <f t="shared" si="48"/>
        <v>24.058374999999998</v>
      </c>
      <c r="R1108" s="14">
        <f t="shared" si="48"/>
        <v>24.705516666666668</v>
      </c>
      <c r="S1108" s="14">
        <f t="shared" si="48"/>
        <v>22.812158333333333</v>
      </c>
      <c r="T1108" s="49">
        <f>SUM(T469:T480)</f>
        <v>357.24568100000005</v>
      </c>
      <c r="U1108" s="49">
        <f>SUM(U469:U480)</f>
        <v>142.03263249999998</v>
      </c>
      <c r="V1108" s="49">
        <f>SUM(V469:V480)</f>
        <v>50.187500000000007</v>
      </c>
      <c r="W1108" s="49">
        <f>SUM(W469:W480)</f>
        <v>5.0822234999999996</v>
      </c>
      <c r="X1108" s="49">
        <f>SUM(X469:X480)</f>
        <v>20.758966663999999</v>
      </c>
      <c r="Y1108" s="49"/>
      <c r="Z1108" s="55"/>
      <c r="AA1108" s="54"/>
      <c r="AB1108" s="50">
        <f>AVERAGE(AB469:AB480)</f>
        <v>23.787220478893076</v>
      </c>
      <c r="AC1108" s="45">
        <f>AVERAGE(AC469:AC480)</f>
        <v>23.344790827338134</v>
      </c>
    </row>
    <row r="1109" spans="1:29" ht="15.75" x14ac:dyDescent="0.25">
      <c r="A1109" s="10">
        <f t="shared" si="34"/>
        <v>2052</v>
      </c>
      <c r="B1109" s="14">
        <f t="shared" ref="B1109:S1109" si="49">AVERAGE(B481:B492)</f>
        <v>24.67154166666667</v>
      </c>
      <c r="C1109" s="14">
        <f t="shared" si="49"/>
        <v>24.677808333333331</v>
      </c>
      <c r="D1109" s="14">
        <f t="shared" si="49"/>
        <v>24.846324999999997</v>
      </c>
      <c r="E1109" s="14">
        <f t="shared" si="49"/>
        <v>24.878758333333334</v>
      </c>
      <c r="F1109" s="14">
        <f t="shared" si="49"/>
        <v>24.672575000000005</v>
      </c>
      <c r="G1109" s="14">
        <f t="shared" si="49"/>
        <v>24.689000000000004</v>
      </c>
      <c r="H1109" s="14">
        <f t="shared" si="49"/>
        <v>24.867866666666668</v>
      </c>
      <c r="I1109" s="14">
        <f t="shared" si="49"/>
        <v>24.76689166666667</v>
      </c>
      <c r="J1109" s="14">
        <f t="shared" si="49"/>
        <v>24.665575000000004</v>
      </c>
      <c r="K1109" s="53">
        <f t="shared" si="49"/>
        <v>24.763008333333332</v>
      </c>
      <c r="L1109" s="14">
        <f t="shared" si="49"/>
        <v>25.454866666666664</v>
      </c>
      <c r="M1109" s="14">
        <f t="shared" si="49"/>
        <v>24.167891666666666</v>
      </c>
      <c r="N1109" s="14">
        <f t="shared" si="49"/>
        <v>24.183983333333334</v>
      </c>
      <c r="O1109" s="14">
        <f t="shared" si="49"/>
        <v>24.366033333333334</v>
      </c>
      <c r="P1109" s="14">
        <f t="shared" si="49"/>
        <v>24.265666666666664</v>
      </c>
      <c r="Q1109" s="14">
        <f t="shared" si="49"/>
        <v>24.960733333333334</v>
      </c>
      <c r="R1109" s="14">
        <f t="shared" si="49"/>
        <v>25.610125</v>
      </c>
      <c r="S1109" s="14">
        <f t="shared" si="49"/>
        <v>23.697383333333331</v>
      </c>
      <c r="T1109" s="49">
        <f>SUM(T481:T492)</f>
        <v>358.17703550000004</v>
      </c>
      <c r="U1109" s="49">
        <f>SUM(U481:U492)</f>
        <v>142.42176299999997</v>
      </c>
      <c r="V1109" s="49">
        <f>SUM(V481:V492)</f>
        <v>50.325000000000003</v>
      </c>
      <c r="W1109" s="49">
        <f>SUM(W481:W492)</f>
        <v>5.0961473999999995</v>
      </c>
      <c r="X1109" s="49">
        <f>SUM(X481:X492)</f>
        <v>20.800615543999996</v>
      </c>
      <c r="Y1109" s="49"/>
      <c r="Z1109" s="55"/>
      <c r="AA1109" s="54"/>
      <c r="AB1109" s="50">
        <f>AVERAGE(AB481:AB492)</f>
        <v>24.708700555721546</v>
      </c>
      <c r="AC1109" s="45">
        <f>AVERAGE(AC481:AC492)</f>
        <v>24.247556115107916</v>
      </c>
    </row>
    <row r="1110" spans="1:29" ht="15.75" x14ac:dyDescent="0.25">
      <c r="A1110" s="10">
        <f t="shared" si="34"/>
        <v>2053</v>
      </c>
      <c r="B1110" s="14">
        <f t="shared" ref="B1110:S1110" si="50">AVERAGE(B493:B504)</f>
        <v>25.628524999999996</v>
      </c>
      <c r="C1110" s="14">
        <f t="shared" si="50"/>
        <v>25.634791666666668</v>
      </c>
      <c r="D1110" s="14">
        <f t="shared" si="50"/>
        <v>25.80330833333333</v>
      </c>
      <c r="E1110" s="14">
        <f t="shared" si="50"/>
        <v>25.835741666666667</v>
      </c>
      <c r="F1110" s="14">
        <f t="shared" si="50"/>
        <v>25.629558333333332</v>
      </c>
      <c r="G1110" s="14">
        <f t="shared" si="50"/>
        <v>25.645983333333334</v>
      </c>
      <c r="H1110" s="14">
        <f t="shared" si="50"/>
        <v>25.824849999999998</v>
      </c>
      <c r="I1110" s="14">
        <f t="shared" si="50"/>
        <v>25.72689166666667</v>
      </c>
      <c r="J1110" s="14">
        <f t="shared" si="50"/>
        <v>25.62255833333333</v>
      </c>
      <c r="K1110" s="53">
        <f t="shared" si="50"/>
        <v>25.723008333333329</v>
      </c>
      <c r="L1110" s="14">
        <f t="shared" si="50"/>
        <v>26.411850000000001</v>
      </c>
      <c r="M1110" s="14">
        <f t="shared" si="50"/>
        <v>25.105258333333335</v>
      </c>
      <c r="N1110" s="14">
        <f t="shared" si="50"/>
        <v>25.121350000000003</v>
      </c>
      <c r="O1110" s="14">
        <f t="shared" si="50"/>
        <v>25.303399999999996</v>
      </c>
      <c r="P1110" s="14">
        <f t="shared" si="50"/>
        <v>25.205916666666671</v>
      </c>
      <c r="Q1110" s="14">
        <f t="shared" si="50"/>
        <v>25.898099999999999</v>
      </c>
      <c r="R1110" s="14">
        <f t="shared" si="50"/>
        <v>26.549841666666666</v>
      </c>
      <c r="S1110" s="14">
        <f t="shared" si="50"/>
        <v>24.616950000000003</v>
      </c>
      <c r="T1110" s="49">
        <f>SUM(T493:T504)</f>
        <v>357.24568100000005</v>
      </c>
      <c r="U1110" s="49">
        <f>SUM(U493:U504)</f>
        <v>142.03263249999998</v>
      </c>
      <c r="V1110" s="49">
        <f>SUM(V493:V504)</f>
        <v>50.187500000000007</v>
      </c>
      <c r="W1110" s="49">
        <f>SUM(W493:W504)</f>
        <v>5.0822234999999996</v>
      </c>
      <c r="X1110" s="49">
        <f>SUM(X493:X504)</f>
        <v>20.758966663999999</v>
      </c>
      <c r="Y1110" s="49"/>
      <c r="Z1110" s="55"/>
      <c r="AA1110" s="54"/>
      <c r="AB1110" s="50">
        <f>AVERAGE(AB493:AB504)</f>
        <v>25.665932808641852</v>
      </c>
      <c r="AC1110" s="45">
        <f>AVERAGE(AC493:AC504)</f>
        <v>25.185337649880093</v>
      </c>
    </row>
    <row r="1111" spans="1:29" ht="15.75" x14ac:dyDescent="0.25">
      <c r="A1111" s="10">
        <f t="shared" si="34"/>
        <v>2054</v>
      </c>
      <c r="B1111" s="14">
        <f t="shared" ref="B1111:S1111" si="51">AVERAGE(B505:B516)</f>
        <v>26.62265833333333</v>
      </c>
      <c r="C1111" s="14">
        <f t="shared" si="51"/>
        <v>26.628916666666665</v>
      </c>
      <c r="D1111" s="14">
        <f t="shared" si="51"/>
        <v>26.797441666666668</v>
      </c>
      <c r="E1111" s="14">
        <f t="shared" si="51"/>
        <v>26.829866666666664</v>
      </c>
      <c r="F1111" s="14">
        <f t="shared" si="51"/>
        <v>26.623683333333336</v>
      </c>
      <c r="G1111" s="14">
        <f t="shared" si="51"/>
        <v>26.640116666666668</v>
      </c>
      <c r="H1111" s="14">
        <f t="shared" si="51"/>
        <v>26.818983333333335</v>
      </c>
      <c r="I1111" s="14">
        <f t="shared" si="51"/>
        <v>26.724133333333331</v>
      </c>
      <c r="J1111" s="14">
        <f t="shared" si="51"/>
        <v>26.616683333333331</v>
      </c>
      <c r="K1111" s="53">
        <f t="shared" si="51"/>
        <v>26.720233333333336</v>
      </c>
      <c r="L1111" s="14">
        <f t="shared" si="51"/>
        <v>27.405983333333335</v>
      </c>
      <c r="M1111" s="14">
        <f t="shared" si="51"/>
        <v>26.079025000000005</v>
      </c>
      <c r="N1111" s="14">
        <f t="shared" si="51"/>
        <v>26.095116666666669</v>
      </c>
      <c r="O1111" s="14">
        <f t="shared" si="51"/>
        <v>26.277175</v>
      </c>
      <c r="P1111" s="14">
        <f t="shared" si="51"/>
        <v>26.182658333333336</v>
      </c>
      <c r="Q1111" s="14">
        <f t="shared" si="51"/>
        <v>26.871875000000003</v>
      </c>
      <c r="R1111" s="14">
        <f t="shared" si="51"/>
        <v>27.526033333333331</v>
      </c>
      <c r="S1111" s="14">
        <f t="shared" si="51"/>
        <v>25.572208333333332</v>
      </c>
      <c r="T1111" s="49">
        <f>SUM(T505:T516)</f>
        <v>357.24568100000005</v>
      </c>
      <c r="U1111" s="49">
        <f>SUM(U505:U516)</f>
        <v>142.03263249999998</v>
      </c>
      <c r="V1111" s="49">
        <f>SUM(V505:V516)</f>
        <v>50.187500000000007</v>
      </c>
      <c r="W1111" s="49">
        <f>SUM(W505:W516)</f>
        <v>5.0822234999999996</v>
      </c>
      <c r="X1111" s="49">
        <f>SUM(X505:X516)</f>
        <v>20.758966663999999</v>
      </c>
      <c r="Y1111" s="49"/>
      <c r="Z1111" s="52"/>
      <c r="AA1111" s="51"/>
      <c r="AB1111" s="50">
        <f>AVERAGE(AB505:AB516)</f>
        <v>26.660317921614212</v>
      </c>
      <c r="AC1111" s="45">
        <f>AVERAGE(AC505:AC516)</f>
        <v>26.159533273381296</v>
      </c>
    </row>
    <row r="1112" spans="1:29" ht="15.75" x14ac:dyDescent="0.25">
      <c r="A1112" s="10">
        <f t="shared" si="34"/>
        <v>2055</v>
      </c>
      <c r="B1112" s="14">
        <f t="shared" ref="B1112:S1112" si="52">AVERAGE(B517:B528)</f>
        <v>27.655349999999999</v>
      </c>
      <c r="C1112" s="14">
        <f t="shared" si="52"/>
        <v>27.661649999999998</v>
      </c>
      <c r="D1112" s="14">
        <f t="shared" si="52"/>
        <v>27.830141666666666</v>
      </c>
      <c r="E1112" s="14">
        <f t="shared" si="52"/>
        <v>27.862574999999996</v>
      </c>
      <c r="F1112" s="14">
        <f t="shared" si="52"/>
        <v>27.656391666666668</v>
      </c>
      <c r="G1112" s="14">
        <f t="shared" si="52"/>
        <v>27.672825000000003</v>
      </c>
      <c r="H1112" s="14">
        <f t="shared" si="52"/>
        <v>27.85168333333333</v>
      </c>
      <c r="I1112" s="14">
        <f t="shared" si="52"/>
        <v>27.760058333333333</v>
      </c>
      <c r="J1112" s="14">
        <f t="shared" si="52"/>
        <v>27.64939166666667</v>
      </c>
      <c r="K1112" s="53">
        <f t="shared" si="52"/>
        <v>27.756158333333332</v>
      </c>
      <c r="L1112" s="14">
        <f t="shared" si="52"/>
        <v>28.438683333333334</v>
      </c>
      <c r="M1112" s="14">
        <f t="shared" si="52"/>
        <v>27.09055833333333</v>
      </c>
      <c r="N1112" s="14">
        <f t="shared" si="52"/>
        <v>27.106641666666665</v>
      </c>
      <c r="O1112" s="14">
        <f t="shared" si="52"/>
        <v>27.288716666666669</v>
      </c>
      <c r="P1112" s="14">
        <f t="shared" si="52"/>
        <v>27.197333333333329</v>
      </c>
      <c r="Q1112" s="14">
        <f t="shared" si="52"/>
        <v>27.883416666666662</v>
      </c>
      <c r="R1112" s="14">
        <f t="shared" si="52"/>
        <v>28.540116666666666</v>
      </c>
      <c r="S1112" s="14">
        <f t="shared" si="52"/>
        <v>26.564516666666673</v>
      </c>
      <c r="T1112" s="49">
        <f>SUM(T517:T528)</f>
        <v>357.24568100000005</v>
      </c>
      <c r="U1112" s="49">
        <f>SUM(U517:U528)</f>
        <v>142.03263249999998</v>
      </c>
      <c r="V1112" s="49">
        <f>SUM(V517:V528)</f>
        <v>50.187500000000007</v>
      </c>
      <c r="W1112" s="49">
        <f>SUM(W517:W528)</f>
        <v>5.0822234999999996</v>
      </c>
      <c r="X1112" s="49">
        <f>SUM(X517:X528)</f>
        <v>20.758966663999999</v>
      </c>
      <c r="Y1112" s="49"/>
      <c r="Z1112" s="52"/>
      <c r="AA1112" s="51"/>
      <c r="AB1112" s="50">
        <f>AVERAGE(AB517:AB528)</f>
        <v>27.693293248542684</v>
      </c>
      <c r="AC1112" s="45">
        <f>AVERAGE(AC517:AC528)</f>
        <v>27.171521942446045</v>
      </c>
    </row>
    <row r="1113" spans="1:29" ht="15.75" x14ac:dyDescent="0.25">
      <c r="A1113" s="10">
        <f t="shared" si="34"/>
        <v>2056</v>
      </c>
      <c r="B1113" s="14">
        <f t="shared" ref="B1113:S1113" si="53">AVERAGE(B529:B540)</f>
        <v>28.728149999999989</v>
      </c>
      <c r="C1113" s="14">
        <f t="shared" si="53"/>
        <v>28.734408333333334</v>
      </c>
      <c r="D1113" s="14">
        <f t="shared" si="53"/>
        <v>28.902925</v>
      </c>
      <c r="E1113" s="14">
        <f t="shared" si="53"/>
        <v>28.93535833333333</v>
      </c>
      <c r="F1113" s="14">
        <f t="shared" si="53"/>
        <v>28.729158333333334</v>
      </c>
      <c r="G1113" s="14">
        <f t="shared" si="53"/>
        <v>28.745608333333333</v>
      </c>
      <c r="H1113" s="14">
        <f t="shared" si="53"/>
        <v>28.924466666666664</v>
      </c>
      <c r="I1113" s="14">
        <f t="shared" si="53"/>
        <v>28.836208333333332</v>
      </c>
      <c r="J1113" s="14">
        <f t="shared" si="53"/>
        <v>28.722158333333336</v>
      </c>
      <c r="K1113" s="53">
        <f t="shared" si="53"/>
        <v>28.832324999999997</v>
      </c>
      <c r="L1113" s="14">
        <f t="shared" si="53"/>
        <v>29.511466666666667</v>
      </c>
      <c r="M1113" s="14">
        <f t="shared" si="53"/>
        <v>28.14136666666667</v>
      </c>
      <c r="N1113" s="14">
        <f t="shared" si="53"/>
        <v>28.157458333333327</v>
      </c>
      <c r="O1113" s="14">
        <f t="shared" si="53"/>
        <v>28.339524999999998</v>
      </c>
      <c r="P1113" s="14">
        <f t="shared" si="53"/>
        <v>28.251333333333335</v>
      </c>
      <c r="Q1113" s="14">
        <f t="shared" si="53"/>
        <v>28.934225000000001</v>
      </c>
      <c r="R1113" s="14">
        <f t="shared" si="53"/>
        <v>29.593541666666667</v>
      </c>
      <c r="S1113" s="14">
        <f t="shared" si="53"/>
        <v>27.595366666666667</v>
      </c>
      <c r="T1113" s="49">
        <f>SUM(T529:T540)</f>
        <v>358.17703550000004</v>
      </c>
      <c r="U1113" s="49">
        <f>SUM(U529:U540)</f>
        <v>142.42176299999997</v>
      </c>
      <c r="V1113" s="49">
        <f>SUM(V529:V540)</f>
        <v>50.325000000000003</v>
      </c>
      <c r="W1113" s="49">
        <f>SUM(W529:W540)</f>
        <v>5.0961473999999995</v>
      </c>
      <c r="X1113" s="49">
        <f>SUM(X529:X540)</f>
        <v>20.800615543999996</v>
      </c>
      <c r="Y1113" s="49"/>
      <c r="Z1113" s="52"/>
      <c r="AA1113" s="51"/>
      <c r="AB1113" s="50">
        <f>AVERAGE(AB529:AB540)</f>
        <v>28.766345901319806</v>
      </c>
      <c r="AC1113" s="45">
        <f>AVERAGE(AC529:AC540)</f>
        <v>28.222789988009595</v>
      </c>
    </row>
    <row r="1114" spans="1:29" ht="15.75" x14ac:dyDescent="0.25">
      <c r="A1114" s="10">
        <f t="shared" si="34"/>
        <v>2057</v>
      </c>
      <c r="B1114" s="14">
        <f t="shared" ref="B1114:S1114" si="54">AVERAGE(B541:B552)</f>
        <v>29.842566666666666</v>
      </c>
      <c r="C1114" s="14">
        <f t="shared" si="54"/>
        <v>29.848816666666668</v>
      </c>
      <c r="D1114" s="14">
        <f t="shared" si="54"/>
        <v>30.017358333333338</v>
      </c>
      <c r="E1114" s="14">
        <f t="shared" si="54"/>
        <v>30.049774999999997</v>
      </c>
      <c r="F1114" s="14">
        <f t="shared" si="54"/>
        <v>29.843591666666669</v>
      </c>
      <c r="G1114" s="14">
        <f t="shared" si="54"/>
        <v>29.860025000000004</v>
      </c>
      <c r="H1114" s="14">
        <f t="shared" si="54"/>
        <v>30.038899999999995</v>
      </c>
      <c r="I1114" s="14">
        <f t="shared" si="54"/>
        <v>29.954108333333334</v>
      </c>
      <c r="J1114" s="14">
        <f t="shared" si="54"/>
        <v>29.836591666666674</v>
      </c>
      <c r="K1114" s="53">
        <f t="shared" si="54"/>
        <v>29.950208333333325</v>
      </c>
      <c r="L1114" s="14">
        <f t="shared" si="54"/>
        <v>30.625900000000001</v>
      </c>
      <c r="M1114" s="14">
        <f t="shared" si="54"/>
        <v>29.232933333333335</v>
      </c>
      <c r="N1114" s="14">
        <f t="shared" si="54"/>
        <v>29.249033333333333</v>
      </c>
      <c r="O1114" s="14">
        <f t="shared" si="54"/>
        <v>29.431091666666671</v>
      </c>
      <c r="P1114" s="14">
        <f t="shared" si="54"/>
        <v>29.346258333333335</v>
      </c>
      <c r="Q1114" s="14">
        <f t="shared" si="54"/>
        <v>30.025791666666663</v>
      </c>
      <c r="R1114" s="14">
        <f t="shared" si="54"/>
        <v>30.687875000000002</v>
      </c>
      <c r="S1114" s="14">
        <f t="shared" si="54"/>
        <v>28.666191666666666</v>
      </c>
      <c r="T1114" s="49">
        <f>SUM(T541:T552)</f>
        <v>357.24568100000005</v>
      </c>
      <c r="U1114" s="49">
        <f>SUM(U541:U552)</f>
        <v>142.03263249999998</v>
      </c>
      <c r="V1114" s="49">
        <f>SUM(V541:V552)</f>
        <v>50.187500000000007</v>
      </c>
      <c r="W1114" s="49">
        <f>SUM(W541:W552)</f>
        <v>5.0822234999999996</v>
      </c>
      <c r="X1114" s="49">
        <f>SUM(X541:X552)</f>
        <v>20.758966663999999</v>
      </c>
      <c r="Y1114" s="49"/>
      <c r="Z1114" s="52"/>
      <c r="AA1114" s="51"/>
      <c r="AB1114" s="50">
        <f>AVERAGE(AB541:AB552)</f>
        <v>29.881053165005195</v>
      </c>
      <c r="AC1114" s="45">
        <f>AVERAGE(AC541:AC552)</f>
        <v>29.314841786570742</v>
      </c>
    </row>
    <row r="1115" spans="1:29" ht="15.75" x14ac:dyDescent="0.25">
      <c r="A1115" s="10">
        <f t="shared" si="34"/>
        <v>2058</v>
      </c>
      <c r="B1115" s="14">
        <f t="shared" ref="B1115:S1115" si="55">AVERAGE(B553:B564)</f>
        <v>31.000216666666663</v>
      </c>
      <c r="C1115" s="14">
        <f t="shared" si="55"/>
        <v>31.006491666666665</v>
      </c>
      <c r="D1115" s="14">
        <f t="shared" si="55"/>
        <v>31.17498333333333</v>
      </c>
      <c r="E1115" s="14">
        <f t="shared" si="55"/>
        <v>31.207416666666671</v>
      </c>
      <c r="F1115" s="14">
        <f t="shared" si="55"/>
        <v>31.001233333333332</v>
      </c>
      <c r="G1115" s="14">
        <f t="shared" si="55"/>
        <v>31.01765</v>
      </c>
      <c r="H1115" s="14">
        <f t="shared" si="55"/>
        <v>31.196524999999998</v>
      </c>
      <c r="I1115" s="14">
        <f t="shared" si="55"/>
        <v>31.115408333333331</v>
      </c>
      <c r="J1115" s="14">
        <f t="shared" si="55"/>
        <v>30.994233333333341</v>
      </c>
      <c r="K1115" s="53">
        <f t="shared" si="55"/>
        <v>31.111508333333337</v>
      </c>
      <c r="L1115" s="14">
        <f t="shared" si="55"/>
        <v>31.783525000000001</v>
      </c>
      <c r="M1115" s="14">
        <f t="shared" si="55"/>
        <v>30.366874999999993</v>
      </c>
      <c r="N1115" s="14">
        <f t="shared" si="55"/>
        <v>30.382975000000005</v>
      </c>
      <c r="O1115" s="14">
        <f t="shared" si="55"/>
        <v>30.565033333333332</v>
      </c>
      <c r="P1115" s="14">
        <f t="shared" si="55"/>
        <v>30.483675000000002</v>
      </c>
      <c r="Q1115" s="14">
        <f t="shared" si="55"/>
        <v>31.159733333333332</v>
      </c>
      <c r="R1115" s="14">
        <f t="shared" si="55"/>
        <v>31.824625000000008</v>
      </c>
      <c r="S1115" s="14">
        <f t="shared" si="55"/>
        <v>29.77858333333333</v>
      </c>
      <c r="T1115" s="49">
        <f>SUM(T553:T564)</f>
        <v>357.24568100000005</v>
      </c>
      <c r="U1115" s="49">
        <f>SUM(U553:U564)</f>
        <v>142.03263249999998</v>
      </c>
      <c r="V1115" s="49">
        <f>SUM(V553:V564)</f>
        <v>50.187500000000007</v>
      </c>
      <c r="W1115" s="49">
        <f>SUM(W553:W564)</f>
        <v>5.0822234999999996</v>
      </c>
      <c r="X1115" s="49">
        <f>SUM(X553:X564)</f>
        <v>20.758966663999999</v>
      </c>
      <c r="Y1115" s="49"/>
      <c r="Z1115" s="52"/>
      <c r="AA1115" s="51"/>
      <c r="AB1115" s="50">
        <f>AVERAGE(AB553:AB564)</f>
        <v>31.039002280788974</v>
      </c>
      <c r="AC1115" s="45">
        <f>AVERAGE(AC553:AC564)</f>
        <v>30.44928345323741</v>
      </c>
    </row>
    <row r="1116" spans="1:29" ht="15.75" x14ac:dyDescent="0.25">
      <c r="A1116" s="10">
        <f t="shared" si="34"/>
        <v>2059</v>
      </c>
      <c r="B1116" s="14">
        <f t="shared" ref="B1116:S1116" si="56">AVERAGE(B565:B576)</f>
        <v>32.202800000000003</v>
      </c>
      <c r="C1116" s="14">
        <f t="shared" si="56"/>
        <v>32.209049999999998</v>
      </c>
      <c r="D1116" s="14">
        <f t="shared" si="56"/>
        <v>32.377583333333334</v>
      </c>
      <c r="E1116" s="14">
        <f t="shared" si="56"/>
        <v>32.41000833333333</v>
      </c>
      <c r="F1116" s="14">
        <f t="shared" si="56"/>
        <v>32.203833333333336</v>
      </c>
      <c r="G1116" s="14">
        <f t="shared" si="56"/>
        <v>32.220258333333327</v>
      </c>
      <c r="H1116" s="14">
        <f t="shared" si="56"/>
        <v>32.399125000000005</v>
      </c>
      <c r="I1116" s="14">
        <f t="shared" si="56"/>
        <v>32.321750000000002</v>
      </c>
      <c r="J1116" s="14">
        <f t="shared" si="56"/>
        <v>32.196833333333331</v>
      </c>
      <c r="K1116" s="53">
        <f t="shared" si="56"/>
        <v>32.317849999999993</v>
      </c>
      <c r="L1116" s="14">
        <f t="shared" si="56"/>
        <v>32.986125000000001</v>
      </c>
      <c r="M1116" s="14">
        <f t="shared" si="56"/>
        <v>31.544808333333336</v>
      </c>
      <c r="N1116" s="14">
        <f t="shared" si="56"/>
        <v>31.560916666666671</v>
      </c>
      <c r="O1116" s="14">
        <f t="shared" si="56"/>
        <v>31.742975000000001</v>
      </c>
      <c r="P1116" s="14">
        <f t="shared" si="56"/>
        <v>31.665241666666663</v>
      </c>
      <c r="Q1116" s="14">
        <f t="shared" si="56"/>
        <v>32.337674999999997</v>
      </c>
      <c r="R1116" s="14">
        <f t="shared" si="56"/>
        <v>33.005525000000006</v>
      </c>
      <c r="S1116" s="14">
        <f t="shared" si="56"/>
        <v>30.934150000000002</v>
      </c>
      <c r="T1116" s="49">
        <f>SUM(T565:T576)</f>
        <v>357.24568100000005</v>
      </c>
      <c r="U1116" s="49">
        <f>SUM(U565:U576)</f>
        <v>142.03263249999998</v>
      </c>
      <c r="V1116" s="49">
        <f>SUM(V565:V576)</f>
        <v>50.187500000000007</v>
      </c>
      <c r="W1116" s="49">
        <f>SUM(W565:W576)</f>
        <v>5.0822234999999996</v>
      </c>
      <c r="X1116" s="49">
        <f>SUM(X565:X576)</f>
        <v>20.758966663999999</v>
      </c>
      <c r="Y1116" s="49"/>
      <c r="Z1116" s="14"/>
      <c r="AA1116" s="14"/>
      <c r="AB1116" s="50">
        <f>AVERAGE(AB565:AB576)</f>
        <v>32.241898936132763</v>
      </c>
      <c r="AC1116" s="45">
        <f>AVERAGE(AC565:AC576)</f>
        <v>31.62774526378897</v>
      </c>
    </row>
    <row r="1117" spans="1:29" ht="15.75" x14ac:dyDescent="0.25">
      <c r="A1117" s="10">
        <f t="shared" si="34"/>
        <v>2060</v>
      </c>
      <c r="B1117" s="14">
        <f t="shared" ref="B1117:S1117" si="57">AVERAGE(B577:B588)</f>
        <v>33.452033333333333</v>
      </c>
      <c r="C1117" s="14">
        <f t="shared" si="57"/>
        <v>33.458316666666661</v>
      </c>
      <c r="D1117" s="14">
        <f t="shared" si="57"/>
        <v>33.626824999999997</v>
      </c>
      <c r="E1117" s="14">
        <f t="shared" si="57"/>
        <v>33.659250000000007</v>
      </c>
      <c r="F1117" s="14">
        <f t="shared" si="57"/>
        <v>33.453066666666665</v>
      </c>
      <c r="G1117" s="14">
        <f t="shared" si="57"/>
        <v>33.469500000000004</v>
      </c>
      <c r="H1117" s="14">
        <f t="shared" si="57"/>
        <v>33.648366666666668</v>
      </c>
      <c r="I1117" s="14">
        <f t="shared" si="57"/>
        <v>33.574908333333326</v>
      </c>
      <c r="J1117" s="14">
        <f t="shared" si="57"/>
        <v>33.44606666666666</v>
      </c>
      <c r="K1117" s="53">
        <f t="shared" si="57"/>
        <v>33.571016666666665</v>
      </c>
      <c r="L1117" s="14">
        <f t="shared" si="57"/>
        <v>34.235366666666671</v>
      </c>
      <c r="M1117" s="14">
        <f t="shared" si="57"/>
        <v>32.768475000000002</v>
      </c>
      <c r="N1117" s="14">
        <f t="shared" si="57"/>
        <v>32.78456666666667</v>
      </c>
      <c r="O1117" s="14">
        <f t="shared" si="57"/>
        <v>32.966641666666668</v>
      </c>
      <c r="P1117" s="14">
        <f t="shared" si="57"/>
        <v>32.89264166666667</v>
      </c>
      <c r="Q1117" s="14">
        <f t="shared" si="57"/>
        <v>33.561341666666664</v>
      </c>
      <c r="R1117" s="14">
        <f t="shared" si="57"/>
        <v>34.232233333333333</v>
      </c>
      <c r="S1117" s="14">
        <f t="shared" si="57"/>
        <v>32.134574999999998</v>
      </c>
      <c r="T1117" s="49">
        <f>SUM(T577:T588)</f>
        <v>358.17703550000004</v>
      </c>
      <c r="U1117" s="49">
        <f>SUM(U577:U588)</f>
        <v>142.42176299999997</v>
      </c>
      <c r="V1117" s="49">
        <f>SUM(V577:V588)</f>
        <v>50.325000000000003</v>
      </c>
      <c r="W1117" s="49">
        <f>SUM(W577:W588)</f>
        <v>5.0961473999999995</v>
      </c>
      <c r="X1117" s="49">
        <f>SUM(X577:X588)</f>
        <v>20.800615543999996</v>
      </c>
      <c r="Y1117" s="49"/>
      <c r="Z1117" s="52"/>
      <c r="AA1117" s="51"/>
      <c r="AB1117" s="50">
        <f>AVERAGE(AB577:AB588)</f>
        <v>33.491465644802268</v>
      </c>
      <c r="AC1117" s="45">
        <f>AVERAGE(AC577:AC588)</f>
        <v>32.85194526378897</v>
      </c>
    </row>
    <row r="1118" spans="1:29" ht="15.75" x14ac:dyDescent="0.25">
      <c r="A1118" s="10">
        <f t="shared" si="34"/>
        <v>2061</v>
      </c>
      <c r="B1118" s="14">
        <f t="shared" ref="B1118:S1118" si="58">AVERAGE(B589:B600)</f>
        <v>34.749775</v>
      </c>
      <c r="C1118" s="14">
        <f t="shared" si="58"/>
        <v>34.756058333333335</v>
      </c>
      <c r="D1118" s="14">
        <f t="shared" si="58"/>
        <v>34.924550000000004</v>
      </c>
      <c r="E1118" s="14">
        <f t="shared" si="58"/>
        <v>34.956983333333334</v>
      </c>
      <c r="F1118" s="14">
        <f t="shared" si="58"/>
        <v>34.750808333333339</v>
      </c>
      <c r="G1118" s="14">
        <f t="shared" si="58"/>
        <v>34.767225000000003</v>
      </c>
      <c r="H1118" s="14">
        <f t="shared" si="58"/>
        <v>34.946091666666668</v>
      </c>
      <c r="I1118" s="14">
        <f t="shared" si="58"/>
        <v>34.876708333333333</v>
      </c>
      <c r="J1118" s="14">
        <f t="shared" si="58"/>
        <v>34.743808333333334</v>
      </c>
      <c r="K1118" s="53">
        <f t="shared" si="58"/>
        <v>34.872808333333339</v>
      </c>
      <c r="L1118" s="14">
        <f t="shared" si="58"/>
        <v>35.533091666666664</v>
      </c>
      <c r="M1118" s="14">
        <f t="shared" si="58"/>
        <v>34.039616666666667</v>
      </c>
      <c r="N1118" s="14">
        <f t="shared" si="58"/>
        <v>34.055708333333328</v>
      </c>
      <c r="O1118" s="14">
        <f t="shared" si="58"/>
        <v>34.237758333333332</v>
      </c>
      <c r="P1118" s="14">
        <f t="shared" si="58"/>
        <v>34.16769166666667</v>
      </c>
      <c r="Q1118" s="14">
        <f t="shared" si="58"/>
        <v>34.832458333333335</v>
      </c>
      <c r="R1118" s="14">
        <f t="shared" si="58"/>
        <v>35.506550000000011</v>
      </c>
      <c r="S1118" s="14">
        <f t="shared" si="58"/>
        <v>33.381541666666671</v>
      </c>
      <c r="T1118" s="49">
        <f>SUM(T589:T600)</f>
        <v>357.24568100000005</v>
      </c>
      <c r="U1118" s="49">
        <f>SUM(U589:U600)</f>
        <v>142.03263249999998</v>
      </c>
      <c r="V1118" s="49">
        <f>SUM(V589:V600)</f>
        <v>50.187500000000007</v>
      </c>
      <c r="W1118" s="49">
        <f>SUM(W589:W600)</f>
        <v>5.0822234999999996</v>
      </c>
      <c r="X1118" s="49">
        <f>SUM(X589:X600)</f>
        <v>20.758966663999999</v>
      </c>
      <c r="Y1118" s="49"/>
      <c r="Z1118" s="52"/>
      <c r="AA1118" s="51"/>
      <c r="AB1118" s="50">
        <f>AVERAGE(AB589:AB600)</f>
        <v>34.789537618910167</v>
      </c>
      <c r="AC1118" s="45">
        <f>AVERAGE(AC589:AC600)</f>
        <v>34.123640827338129</v>
      </c>
    </row>
    <row r="1119" spans="1:29" ht="15" x14ac:dyDescent="0.2">
      <c r="A1119" s="10">
        <f t="shared" si="34"/>
        <v>2062</v>
      </c>
      <c r="B1119" s="14">
        <f t="shared" ref="B1119:K1128" ca="1" si="59">AVERAGE(OFFSET(B$601,($A1119-$A$1119)*12,0,12,1))</f>
        <v>36.097866666666668</v>
      </c>
      <c r="C1119" s="14">
        <f t="shared" ca="1" si="59"/>
        <v>36.10413333333333</v>
      </c>
      <c r="D1119" s="14">
        <f t="shared" ca="1" si="59"/>
        <v>36.272649999999999</v>
      </c>
      <c r="E1119" s="14">
        <f t="shared" ca="1" si="59"/>
        <v>36.305083333333336</v>
      </c>
      <c r="F1119" s="14">
        <f t="shared" ca="1" si="59"/>
        <v>36.098891666666667</v>
      </c>
      <c r="G1119" s="14">
        <f t="shared" ca="1" si="59"/>
        <v>36.115325000000006</v>
      </c>
      <c r="H1119" s="14">
        <f t="shared" ca="1" si="59"/>
        <v>36.29419166666667</v>
      </c>
      <c r="I1119" s="14">
        <f t="shared" ca="1" si="59"/>
        <v>36.229025</v>
      </c>
      <c r="J1119" s="14">
        <f t="shared" ca="1" si="59"/>
        <v>36.091891666666669</v>
      </c>
      <c r="K1119" s="14">
        <f t="shared" ca="1" si="59"/>
        <v>36.225124999999998</v>
      </c>
      <c r="L1119" s="14">
        <f t="shared" ref="L1119:S1128" ca="1" si="60">AVERAGE(OFFSET(L$601,($A1119-$A$1119)*12,0,12,1))</f>
        <v>36.881191666666666</v>
      </c>
      <c r="M1119" s="14">
        <f t="shared" ca="1" si="60"/>
        <v>35.360074999999988</v>
      </c>
      <c r="N1119" s="14">
        <f t="shared" ca="1" si="60"/>
        <v>35.37618333333333</v>
      </c>
      <c r="O1119" s="14">
        <f t="shared" ca="1" si="60"/>
        <v>35.558233333333334</v>
      </c>
      <c r="P1119" s="14">
        <f t="shared" ca="1" si="60"/>
        <v>35.492216666666664</v>
      </c>
      <c r="Q1119" s="14">
        <f t="shared" ca="1" si="60"/>
        <v>36.15293333333333</v>
      </c>
      <c r="R1119" s="14">
        <f t="shared" ca="1" si="60"/>
        <v>36.830316666666668</v>
      </c>
      <c r="S1119" s="14">
        <f t="shared" ca="1" si="60"/>
        <v>34.676925000000004</v>
      </c>
      <c r="T1119" s="49">
        <f t="shared" ref="T1119:X1128" ca="1" si="61">SUM(OFFSET(T$601,($A1119-$A$1119)*12,0,12,1))</f>
        <v>357.24568100000005</v>
      </c>
      <c r="U1119" s="49">
        <f t="shared" ca="1" si="61"/>
        <v>142.03263249999998</v>
      </c>
      <c r="V1119" s="49">
        <f t="shared" ca="1" si="61"/>
        <v>50.187500000000007</v>
      </c>
      <c r="W1119" s="49">
        <f t="shared" ca="1" si="61"/>
        <v>5.0822234999999996</v>
      </c>
      <c r="X1119" s="49">
        <f t="shared" ca="1" si="61"/>
        <v>20.758966663999999</v>
      </c>
      <c r="Y1119" s="14"/>
      <c r="Z1119" s="14"/>
      <c r="AA1119" s="14"/>
      <c r="AB1119" s="14">
        <f t="shared" ref="AB1119:AC1138" ca="1" si="62">AVERAGE(OFFSET(AB$601,($A1119-$A$1119)*12,0,12,1))</f>
        <v>36.137973974904256</v>
      </c>
      <c r="AC1119" s="14">
        <f t="shared" ca="1" si="62"/>
        <v>35.469828057553961</v>
      </c>
    </row>
    <row r="1120" spans="1:29" ht="15" x14ac:dyDescent="0.2">
      <c r="A1120" s="10">
        <f t="shared" si="34"/>
        <v>2063</v>
      </c>
      <c r="B1120" s="14">
        <f t="shared" ca="1" si="59"/>
        <v>37.498275</v>
      </c>
      <c r="C1120" s="14">
        <f t="shared" ca="1" si="59"/>
        <v>37.504541666666668</v>
      </c>
      <c r="D1120" s="14">
        <f t="shared" ca="1" si="59"/>
        <v>37.673058333333337</v>
      </c>
      <c r="E1120" s="14">
        <f t="shared" ca="1" si="59"/>
        <v>37.705466666666666</v>
      </c>
      <c r="F1120" s="14">
        <f t="shared" ca="1" si="59"/>
        <v>37.499291666666664</v>
      </c>
      <c r="G1120" s="14">
        <f t="shared" ca="1" si="59"/>
        <v>37.515708333333336</v>
      </c>
      <c r="H1120" s="14">
        <f t="shared" ca="1" si="59"/>
        <v>37.694608333333328</v>
      </c>
      <c r="I1120" s="14">
        <f t="shared" ca="1" si="59"/>
        <v>37.633800000000001</v>
      </c>
      <c r="J1120" s="14">
        <f t="shared" ca="1" si="59"/>
        <v>37.492291666666667</v>
      </c>
      <c r="K1120" s="14">
        <f t="shared" ca="1" si="59"/>
        <v>37.62990833333334</v>
      </c>
      <c r="L1120" s="14">
        <f t="shared" ca="1" si="60"/>
        <v>38.281608333333331</v>
      </c>
      <c r="M1120" s="14">
        <f t="shared" ca="1" si="60"/>
        <v>36.7318</v>
      </c>
      <c r="N1120" s="14">
        <f t="shared" ca="1" si="60"/>
        <v>36.747908333333335</v>
      </c>
      <c r="O1120" s="14">
        <f t="shared" ca="1" si="60"/>
        <v>36.929958333333332</v>
      </c>
      <c r="P1120" s="14">
        <f t="shared" ca="1" si="60"/>
        <v>36.868124999999999</v>
      </c>
      <c r="Q1120" s="14">
        <f t="shared" ca="1" si="60"/>
        <v>37.524658333333342</v>
      </c>
      <c r="R1120" s="14">
        <f t="shared" ca="1" si="60"/>
        <v>38.205466666666673</v>
      </c>
      <c r="S1120" s="14">
        <f t="shared" ca="1" si="60"/>
        <v>36.02256666666667</v>
      </c>
      <c r="T1120" s="49">
        <f t="shared" ca="1" si="61"/>
        <v>357.24568100000005</v>
      </c>
      <c r="U1120" s="49">
        <f t="shared" ca="1" si="61"/>
        <v>142.03263249999998</v>
      </c>
      <c r="V1120" s="49">
        <f t="shared" ca="1" si="61"/>
        <v>50.187500000000007</v>
      </c>
      <c r="W1120" s="49">
        <f t="shared" ca="1" si="61"/>
        <v>5.0822234999999996</v>
      </c>
      <c r="X1120" s="49">
        <f t="shared" ca="1" si="61"/>
        <v>20.758966663999999</v>
      </c>
      <c r="Y1120" s="14"/>
      <c r="Z1120" s="14"/>
      <c r="AA1120" s="14"/>
      <c r="AB1120" s="14">
        <f t="shared" ca="1" si="62"/>
        <v>37.538735165644674</v>
      </c>
      <c r="AC1120" s="14">
        <f t="shared" ca="1" si="62"/>
        <v>36.842154976019181</v>
      </c>
    </row>
    <row r="1121" spans="1:29" ht="15" x14ac:dyDescent="0.2">
      <c r="A1121" s="10">
        <f t="shared" si="34"/>
        <v>2064</v>
      </c>
      <c r="B1121" s="14">
        <f t="shared" ca="1" si="59"/>
        <v>38.953008333333337</v>
      </c>
      <c r="C1121" s="14">
        <f t="shared" ca="1" si="59"/>
        <v>38.959291666666665</v>
      </c>
      <c r="D1121" s="14">
        <f t="shared" ca="1" si="59"/>
        <v>39.127783333333333</v>
      </c>
      <c r="E1121" s="14">
        <f t="shared" ca="1" si="59"/>
        <v>39.160233333333338</v>
      </c>
      <c r="F1121" s="14">
        <f t="shared" ca="1" si="59"/>
        <v>38.954058333333329</v>
      </c>
      <c r="G1121" s="14">
        <f t="shared" ca="1" si="59"/>
        <v>38.970475000000008</v>
      </c>
      <c r="H1121" s="14">
        <f t="shared" ca="1" si="59"/>
        <v>39.149324999999997</v>
      </c>
      <c r="I1121" s="14">
        <f t="shared" ca="1" si="59"/>
        <v>39.093124999999993</v>
      </c>
      <c r="J1121" s="14">
        <f t="shared" ca="1" si="59"/>
        <v>38.947058333333331</v>
      </c>
      <c r="K1121" s="14">
        <f t="shared" ca="1" si="59"/>
        <v>39.089224999999999</v>
      </c>
      <c r="L1121" s="14">
        <f t="shared" ca="1" si="60"/>
        <v>39.736325000000001</v>
      </c>
      <c r="M1121" s="14">
        <f t="shared" ca="1" si="60"/>
        <v>38.156749999999995</v>
      </c>
      <c r="N1121" s="14">
        <f t="shared" ca="1" si="60"/>
        <v>38.172824999999996</v>
      </c>
      <c r="O1121" s="14">
        <f t="shared" ca="1" si="60"/>
        <v>38.354883333333333</v>
      </c>
      <c r="P1121" s="14">
        <f t="shared" ca="1" si="60"/>
        <v>38.297424999999997</v>
      </c>
      <c r="Q1121" s="14">
        <f t="shared" ca="1" si="60"/>
        <v>38.949583333333329</v>
      </c>
      <c r="R1121" s="14">
        <f t="shared" ca="1" si="60"/>
        <v>39.633966666666673</v>
      </c>
      <c r="S1121" s="14">
        <f t="shared" ca="1" si="60"/>
        <v>37.420441666666669</v>
      </c>
      <c r="T1121" s="49">
        <f t="shared" ca="1" si="61"/>
        <v>358.17703550000004</v>
      </c>
      <c r="U1121" s="49">
        <f t="shared" ca="1" si="61"/>
        <v>142.42176299999997</v>
      </c>
      <c r="V1121" s="49">
        <f t="shared" ca="1" si="61"/>
        <v>50.325000000000003</v>
      </c>
      <c r="W1121" s="49">
        <f t="shared" ca="1" si="61"/>
        <v>5.0961473999999995</v>
      </c>
      <c r="X1121" s="49">
        <f t="shared" ca="1" si="61"/>
        <v>20.800615543999996</v>
      </c>
      <c r="Y1121" s="14"/>
      <c r="Z1121" s="14"/>
      <c r="AA1121" s="14"/>
      <c r="AB1121" s="14">
        <f t="shared" ca="1" si="62"/>
        <v>38.993865915492158</v>
      </c>
      <c r="AC1121" s="14">
        <f t="shared" ca="1" si="62"/>
        <v>38.267717625899273</v>
      </c>
    </row>
    <row r="1122" spans="1:29" ht="15" x14ac:dyDescent="0.2">
      <c r="A1122" s="10">
        <f t="shared" si="34"/>
        <v>2065</v>
      </c>
      <c r="B1122" s="14">
        <f t="shared" ca="1" si="59"/>
        <v>40.464224999999992</v>
      </c>
      <c r="C1122" s="14">
        <f t="shared" ca="1" si="59"/>
        <v>40.470483333333334</v>
      </c>
      <c r="D1122" s="14">
        <f t="shared" ca="1" si="59"/>
        <v>40.639000000000003</v>
      </c>
      <c r="E1122" s="14">
        <f t="shared" ca="1" si="59"/>
        <v>40.671433333333333</v>
      </c>
      <c r="F1122" s="14">
        <f t="shared" ca="1" si="59"/>
        <v>40.465266666666665</v>
      </c>
      <c r="G1122" s="14">
        <f t="shared" ca="1" si="59"/>
        <v>40.481675000000003</v>
      </c>
      <c r="H1122" s="14">
        <f t="shared" ca="1" si="59"/>
        <v>40.660558333333327</v>
      </c>
      <c r="I1122" s="14">
        <f t="shared" ca="1" si="59"/>
        <v>40.609050000000003</v>
      </c>
      <c r="J1122" s="14">
        <f t="shared" ca="1" si="59"/>
        <v>40.458266666666667</v>
      </c>
      <c r="K1122" s="14">
        <f t="shared" ca="1" si="59"/>
        <v>40.605150000000002</v>
      </c>
      <c r="L1122" s="14">
        <f t="shared" ca="1" si="60"/>
        <v>41.24755833333333</v>
      </c>
      <c r="M1122" s="14">
        <f t="shared" ca="1" si="60"/>
        <v>39.636966666666673</v>
      </c>
      <c r="N1122" s="14">
        <f t="shared" ca="1" si="60"/>
        <v>39.653075000000008</v>
      </c>
      <c r="O1122" s="14">
        <f t="shared" ca="1" si="60"/>
        <v>39.835141666666672</v>
      </c>
      <c r="P1122" s="14">
        <f t="shared" ca="1" si="60"/>
        <v>39.782208333333337</v>
      </c>
      <c r="Q1122" s="14">
        <f t="shared" ca="1" si="60"/>
        <v>40.429841666666668</v>
      </c>
      <c r="R1122" s="14">
        <f t="shared" ca="1" si="60"/>
        <v>41.117908333333332</v>
      </c>
      <c r="S1122" s="14">
        <f t="shared" ca="1" si="60"/>
        <v>38.872549999999997</v>
      </c>
      <c r="T1122" s="49">
        <f t="shared" ca="1" si="61"/>
        <v>357.24568100000005</v>
      </c>
      <c r="U1122" s="49">
        <f t="shared" ca="1" si="61"/>
        <v>142.03263249999998</v>
      </c>
      <c r="V1122" s="49">
        <f t="shared" ca="1" si="61"/>
        <v>50.187500000000007</v>
      </c>
      <c r="W1122" s="49">
        <f t="shared" ca="1" si="61"/>
        <v>5.0822234999999996</v>
      </c>
      <c r="X1122" s="49">
        <f t="shared" ca="1" si="61"/>
        <v>20.758966663999999</v>
      </c>
      <c r="Y1122" s="14"/>
      <c r="Z1122" s="14"/>
      <c r="AA1122" s="14"/>
      <c r="AB1122" s="14">
        <f t="shared" ca="1" si="62"/>
        <v>40.505458496962866</v>
      </c>
      <c r="AC1122" s="14">
        <f t="shared" ca="1" si="62"/>
        <v>39.74861217026379</v>
      </c>
    </row>
    <row r="1123" spans="1:29" ht="15" x14ac:dyDescent="0.2">
      <c r="A1123" s="10">
        <f t="shared" si="34"/>
        <v>2066</v>
      </c>
      <c r="B1123" s="14">
        <f t="shared" ca="1" si="59"/>
        <v>42.034075000000001</v>
      </c>
      <c r="C1123" s="14">
        <f t="shared" ca="1" si="59"/>
        <v>42.040341666666663</v>
      </c>
      <c r="D1123" s="14">
        <f t="shared" ca="1" si="59"/>
        <v>42.208850000000005</v>
      </c>
      <c r="E1123" s="14">
        <f t="shared" ca="1" si="59"/>
        <v>42.241266666666668</v>
      </c>
      <c r="F1123" s="14">
        <f t="shared" ca="1" si="59"/>
        <v>42.035083333333326</v>
      </c>
      <c r="G1123" s="14">
        <f t="shared" ca="1" si="59"/>
        <v>42.051516666666664</v>
      </c>
      <c r="H1123" s="14">
        <f t="shared" ca="1" si="59"/>
        <v>42.230391666666669</v>
      </c>
      <c r="I1123" s="14">
        <f t="shared" ca="1" si="59"/>
        <v>42.183816666666665</v>
      </c>
      <c r="J1123" s="14">
        <f t="shared" ca="1" si="59"/>
        <v>42.028083333333335</v>
      </c>
      <c r="K1123" s="14">
        <f t="shared" ca="1" si="59"/>
        <v>42.179933333333331</v>
      </c>
      <c r="L1123" s="14">
        <f t="shared" ca="1" si="60"/>
        <v>42.817391666666659</v>
      </c>
      <c r="M1123" s="14">
        <f t="shared" ca="1" si="60"/>
        <v>41.174658333333326</v>
      </c>
      <c r="N1123" s="14">
        <f t="shared" ca="1" si="60"/>
        <v>41.190750000000008</v>
      </c>
      <c r="O1123" s="14">
        <f t="shared" ca="1" si="60"/>
        <v>41.372808333333332</v>
      </c>
      <c r="P1123" s="14">
        <f t="shared" ca="1" si="60"/>
        <v>41.324599999999997</v>
      </c>
      <c r="Q1123" s="14">
        <f t="shared" ca="1" si="60"/>
        <v>41.967508333333328</v>
      </c>
      <c r="R1123" s="14">
        <f t="shared" ca="1" si="60"/>
        <v>42.659424999999999</v>
      </c>
      <c r="S1123" s="14">
        <f t="shared" ca="1" si="60"/>
        <v>40.381024999999994</v>
      </c>
      <c r="T1123" s="49">
        <f t="shared" ca="1" si="61"/>
        <v>357.24568100000005</v>
      </c>
      <c r="U1123" s="49">
        <f t="shared" ca="1" si="61"/>
        <v>142.03263249999998</v>
      </c>
      <c r="V1123" s="49">
        <f t="shared" ca="1" si="61"/>
        <v>50.187500000000007</v>
      </c>
      <c r="W1123" s="49">
        <f t="shared" ca="1" si="61"/>
        <v>5.0822234999999996</v>
      </c>
      <c r="X1123" s="49">
        <f t="shared" ca="1" si="61"/>
        <v>20.758966663999999</v>
      </c>
      <c r="Y1123" s="14"/>
      <c r="Z1123" s="14"/>
      <c r="AA1123" s="14"/>
      <c r="AB1123" s="14">
        <f t="shared" ca="1" si="62"/>
        <v>42.075704456387918</v>
      </c>
      <c r="AC1123" s="14">
        <f t="shared" ca="1" si="62"/>
        <v>41.286967805755388</v>
      </c>
    </row>
    <row r="1124" spans="1:29" ht="15" x14ac:dyDescent="0.2">
      <c r="A1124" s="10">
        <f t="shared" si="34"/>
        <v>2067</v>
      </c>
      <c r="B1124" s="14">
        <f t="shared" ca="1" si="59"/>
        <v>43.664841666666661</v>
      </c>
      <c r="C1124" s="14">
        <f t="shared" ca="1" si="59"/>
        <v>43.671091666666662</v>
      </c>
      <c r="D1124" s="14">
        <f t="shared" ca="1" si="59"/>
        <v>43.839625000000005</v>
      </c>
      <c r="E1124" s="14">
        <f t="shared" ca="1" si="59"/>
        <v>43.872050000000002</v>
      </c>
      <c r="F1124" s="14">
        <f t="shared" ca="1" si="59"/>
        <v>43.665866666666659</v>
      </c>
      <c r="G1124" s="14">
        <f t="shared" ca="1" si="59"/>
        <v>43.682291666666664</v>
      </c>
      <c r="H1124" s="14">
        <f t="shared" ca="1" si="59"/>
        <v>43.861166666666669</v>
      </c>
      <c r="I1124" s="14">
        <f t="shared" ca="1" si="59"/>
        <v>43.819683333333323</v>
      </c>
      <c r="J1124" s="14">
        <f t="shared" ca="1" si="59"/>
        <v>43.658866666666661</v>
      </c>
      <c r="K1124" s="14">
        <f t="shared" ca="1" si="59"/>
        <v>43.815783333333336</v>
      </c>
      <c r="L1124" s="14">
        <f t="shared" ca="1" si="60"/>
        <v>44.448166666666673</v>
      </c>
      <c r="M1124" s="14">
        <f t="shared" ca="1" si="60"/>
        <v>42.772008333333339</v>
      </c>
      <c r="N1124" s="14">
        <f t="shared" ca="1" si="60"/>
        <v>42.788091666666674</v>
      </c>
      <c r="O1124" s="14">
        <f t="shared" ca="1" si="60"/>
        <v>42.970166666666671</v>
      </c>
      <c r="P1124" s="14">
        <f t="shared" ca="1" si="60"/>
        <v>42.926875000000003</v>
      </c>
      <c r="Q1124" s="14">
        <f t="shared" ca="1" si="60"/>
        <v>43.564866666666667</v>
      </c>
      <c r="R1124" s="14">
        <f t="shared" ca="1" si="60"/>
        <v>44.26079166666667</v>
      </c>
      <c r="S1124" s="14">
        <f t="shared" ca="1" si="60"/>
        <v>41.948041666666661</v>
      </c>
      <c r="T1124" s="49">
        <f t="shared" ca="1" si="61"/>
        <v>357.24568100000005</v>
      </c>
      <c r="U1124" s="49">
        <f t="shared" ca="1" si="61"/>
        <v>142.03263249999998</v>
      </c>
      <c r="V1124" s="49">
        <f t="shared" ca="1" si="61"/>
        <v>50.187500000000007</v>
      </c>
      <c r="W1124" s="49">
        <f t="shared" ca="1" si="61"/>
        <v>5.0822234999999996</v>
      </c>
      <c r="X1124" s="49">
        <f t="shared" ca="1" si="61"/>
        <v>20.758966663999999</v>
      </c>
      <c r="Y1124" s="14"/>
      <c r="Z1124" s="14"/>
      <c r="AA1124" s="14"/>
      <c r="AB1124" s="14">
        <f t="shared" ca="1" si="62"/>
        <v>43.706895065331196</v>
      </c>
      <c r="AC1124" s="14">
        <f t="shared" ca="1" si="62"/>
        <v>42.885029736211038</v>
      </c>
    </row>
    <row r="1125" spans="1:29" ht="15" x14ac:dyDescent="0.2">
      <c r="A1125" s="10">
        <f t="shared" si="34"/>
        <v>2068</v>
      </c>
      <c r="B1125" s="14">
        <f t="shared" ca="1" si="59"/>
        <v>45.358900000000006</v>
      </c>
      <c r="C1125" s="14">
        <f t="shared" ca="1" si="59"/>
        <v>45.36515</v>
      </c>
      <c r="D1125" s="14">
        <f t="shared" ca="1" si="59"/>
        <v>45.533683333333329</v>
      </c>
      <c r="E1125" s="14">
        <f t="shared" ca="1" si="59"/>
        <v>45.566108333333325</v>
      </c>
      <c r="F1125" s="14">
        <f t="shared" ca="1" si="59"/>
        <v>45.359933333333338</v>
      </c>
      <c r="G1125" s="14">
        <f t="shared" ca="1" si="59"/>
        <v>45.376358333333336</v>
      </c>
      <c r="H1125" s="14">
        <f t="shared" ca="1" si="59"/>
        <v>45.555225000000007</v>
      </c>
      <c r="I1125" s="14">
        <f t="shared" ca="1" si="59"/>
        <v>45.519033333333333</v>
      </c>
      <c r="J1125" s="14">
        <f t="shared" ca="1" si="59"/>
        <v>45.352933333333333</v>
      </c>
      <c r="K1125" s="14">
        <f t="shared" ca="1" si="59"/>
        <v>45.515158333333325</v>
      </c>
      <c r="L1125" s="14">
        <f t="shared" ca="1" si="60"/>
        <v>46.142224999999996</v>
      </c>
      <c r="M1125" s="14">
        <f t="shared" ca="1" si="60"/>
        <v>44.431366666666669</v>
      </c>
      <c r="N1125" s="14">
        <f t="shared" ca="1" si="60"/>
        <v>44.447450000000003</v>
      </c>
      <c r="O1125" s="14">
        <f t="shared" ca="1" si="60"/>
        <v>44.629516666666667</v>
      </c>
      <c r="P1125" s="14">
        <f t="shared" ca="1" si="60"/>
        <v>44.59129166666667</v>
      </c>
      <c r="Q1125" s="14">
        <f t="shared" ca="1" si="60"/>
        <v>45.224216666666671</v>
      </c>
      <c r="R1125" s="14">
        <f t="shared" ca="1" si="60"/>
        <v>45.924258333333334</v>
      </c>
      <c r="S1125" s="14">
        <f t="shared" ca="1" si="60"/>
        <v>43.575841666666662</v>
      </c>
      <c r="T1125" s="49">
        <f t="shared" ca="1" si="61"/>
        <v>358.17703550000004</v>
      </c>
      <c r="U1125" s="49">
        <f t="shared" ca="1" si="61"/>
        <v>142.42176299999997</v>
      </c>
      <c r="V1125" s="49">
        <f t="shared" ca="1" si="61"/>
        <v>50.325000000000003</v>
      </c>
      <c r="W1125" s="49">
        <f t="shared" ca="1" si="61"/>
        <v>5.0961473999999995</v>
      </c>
      <c r="X1125" s="49">
        <f t="shared" ca="1" si="61"/>
        <v>20.800615543999996</v>
      </c>
      <c r="Y1125" s="14"/>
      <c r="Z1125" s="14"/>
      <c r="AA1125" s="14"/>
      <c r="AB1125" s="14">
        <f t="shared" ca="1" si="62"/>
        <v>45.401392213773143</v>
      </c>
      <c r="AC1125" s="14">
        <f t="shared" ca="1" si="62"/>
        <v>44.545112110311749</v>
      </c>
    </row>
    <row r="1126" spans="1:29" ht="15" x14ac:dyDescent="0.2">
      <c r="A1126" s="10">
        <f t="shared" si="34"/>
        <v>2069</v>
      </c>
      <c r="B1126" s="14">
        <f t="shared" ca="1" si="59"/>
        <v>47.118675000000003</v>
      </c>
      <c r="C1126" s="14">
        <f t="shared" ca="1" si="59"/>
        <v>47.124966666666666</v>
      </c>
      <c r="D1126" s="14">
        <f t="shared" ca="1" si="59"/>
        <v>47.293475000000001</v>
      </c>
      <c r="E1126" s="14">
        <f t="shared" ca="1" si="59"/>
        <v>47.325891666666656</v>
      </c>
      <c r="F1126" s="14">
        <f t="shared" ca="1" si="59"/>
        <v>47.119716666666669</v>
      </c>
      <c r="G1126" s="14">
        <f t="shared" ca="1" si="59"/>
        <v>47.136133333333333</v>
      </c>
      <c r="H1126" s="14">
        <f t="shared" ca="1" si="59"/>
        <v>47.315008333333338</v>
      </c>
      <c r="I1126" s="14">
        <f t="shared" ca="1" si="59"/>
        <v>47.28434166666667</v>
      </c>
      <c r="J1126" s="14">
        <f t="shared" ca="1" si="59"/>
        <v>47.112716666666671</v>
      </c>
      <c r="K1126" s="14">
        <f t="shared" ca="1" si="59"/>
        <v>47.280450000000002</v>
      </c>
      <c r="L1126" s="14">
        <f t="shared" ca="1" si="60"/>
        <v>47.902008333333335</v>
      </c>
      <c r="M1126" s="14">
        <f t="shared" ca="1" si="60"/>
        <v>46.155108333333338</v>
      </c>
      <c r="N1126" s="14">
        <f t="shared" ca="1" si="60"/>
        <v>46.171191666666658</v>
      </c>
      <c r="O1126" s="14">
        <f t="shared" ca="1" si="60"/>
        <v>46.353266666666663</v>
      </c>
      <c r="P1126" s="14">
        <f t="shared" ca="1" si="60"/>
        <v>46.320324999999997</v>
      </c>
      <c r="Q1126" s="14">
        <f t="shared" ca="1" si="60"/>
        <v>46.947966666666666</v>
      </c>
      <c r="R1126" s="14">
        <f t="shared" ca="1" si="60"/>
        <v>47.652324999999998</v>
      </c>
      <c r="S1126" s="14">
        <f t="shared" ca="1" si="60"/>
        <v>45.266841666666664</v>
      </c>
      <c r="T1126" s="49">
        <f t="shared" ca="1" si="61"/>
        <v>357.24568100000005</v>
      </c>
      <c r="U1126" s="49">
        <f t="shared" ca="1" si="61"/>
        <v>142.03263249999998</v>
      </c>
      <c r="V1126" s="49">
        <f t="shared" ca="1" si="61"/>
        <v>50.187500000000007</v>
      </c>
      <c r="W1126" s="49">
        <f t="shared" ca="1" si="61"/>
        <v>5.0822234999999996</v>
      </c>
      <c r="X1126" s="49">
        <f t="shared" ca="1" si="61"/>
        <v>20.758966663999999</v>
      </c>
      <c r="Y1126" s="14"/>
      <c r="Z1126" s="14"/>
      <c r="AA1126" s="14"/>
      <c r="AB1126" s="14">
        <f t="shared" ca="1" si="62"/>
        <v>47.161637440380154</v>
      </c>
      <c r="AC1126" s="14">
        <f t="shared" ca="1" si="62"/>
        <v>46.269618944844126</v>
      </c>
    </row>
    <row r="1127" spans="1:29" ht="15" x14ac:dyDescent="0.2">
      <c r="A1127" s="10">
        <f t="shared" ref="A1127:A1157" si="63">A1126+1</f>
        <v>2070</v>
      </c>
      <c r="B1127" s="14">
        <f t="shared" ca="1" si="59"/>
        <v>48.946758333333328</v>
      </c>
      <c r="C1127" s="14">
        <f t="shared" ca="1" si="59"/>
        <v>48.953049999999998</v>
      </c>
      <c r="D1127" s="14">
        <f t="shared" ca="1" si="59"/>
        <v>49.121541666666651</v>
      </c>
      <c r="E1127" s="14">
        <f t="shared" ca="1" si="59"/>
        <v>49.153966666666662</v>
      </c>
      <c r="F1127" s="14">
        <f t="shared" ca="1" si="59"/>
        <v>48.947800000000001</v>
      </c>
      <c r="G1127" s="14">
        <f t="shared" ca="1" si="59"/>
        <v>48.96423333333334</v>
      </c>
      <c r="H1127" s="14">
        <f t="shared" ca="1" si="59"/>
        <v>49.143075000000003</v>
      </c>
      <c r="I1127" s="14">
        <f t="shared" ca="1" si="59"/>
        <v>49.118149999999993</v>
      </c>
      <c r="J1127" s="14">
        <f t="shared" ca="1" si="59"/>
        <v>48.940799999999996</v>
      </c>
      <c r="K1127" s="14">
        <f t="shared" ca="1" si="59"/>
        <v>49.114266666666673</v>
      </c>
      <c r="L1127" s="14">
        <f t="shared" ca="1" si="60"/>
        <v>49.730074999999999</v>
      </c>
      <c r="M1127" s="14">
        <f t="shared" ca="1" si="60"/>
        <v>47.945725000000003</v>
      </c>
      <c r="N1127" s="14">
        <f t="shared" ca="1" si="60"/>
        <v>47.961824999999997</v>
      </c>
      <c r="O1127" s="14">
        <f t="shared" ca="1" si="60"/>
        <v>48.143866666666668</v>
      </c>
      <c r="P1127" s="14">
        <f t="shared" ca="1" si="60"/>
        <v>48.116433333333333</v>
      </c>
      <c r="Q1127" s="14">
        <f t="shared" ca="1" si="60"/>
        <v>48.738566666666664</v>
      </c>
      <c r="R1127" s="14">
        <f t="shared" ca="1" si="60"/>
        <v>49.447416666666662</v>
      </c>
      <c r="S1127" s="14">
        <f t="shared" ca="1" si="60"/>
        <v>47.023441666666663</v>
      </c>
      <c r="T1127" s="49">
        <f t="shared" ca="1" si="61"/>
        <v>357.24568100000005</v>
      </c>
      <c r="U1127" s="49">
        <f t="shared" ca="1" si="61"/>
        <v>142.03263249999998</v>
      </c>
      <c r="V1127" s="49">
        <f t="shared" ca="1" si="61"/>
        <v>50.187500000000007</v>
      </c>
      <c r="W1127" s="49">
        <f t="shared" ca="1" si="61"/>
        <v>5.0822234999999996</v>
      </c>
      <c r="X1127" s="49">
        <f t="shared" ca="1" si="61"/>
        <v>20.758966663999999</v>
      </c>
      <c r="Y1127" s="14"/>
      <c r="Z1127" s="14"/>
      <c r="AA1127" s="14"/>
      <c r="AB1127" s="14">
        <f t="shared" ca="1" si="62"/>
        <v>48.990193222847502</v>
      </c>
      <c r="AC1127" s="14">
        <f t="shared" ca="1" si="62"/>
        <v>48.061019184652281</v>
      </c>
    </row>
    <row r="1128" spans="1:29" ht="15" x14ac:dyDescent="0.2">
      <c r="A1128" s="10">
        <f t="shared" si="63"/>
        <v>2071</v>
      </c>
      <c r="B1128" s="14">
        <f t="shared" ca="1" si="59"/>
        <v>50.845783333333337</v>
      </c>
      <c r="C1128" s="14">
        <f t="shared" ca="1" si="59"/>
        <v>50.852074999999992</v>
      </c>
      <c r="D1128" s="14">
        <f t="shared" ca="1" si="59"/>
        <v>51.020583333333342</v>
      </c>
      <c r="E1128" s="14">
        <f t="shared" ca="1" si="59"/>
        <v>51.052999999999997</v>
      </c>
      <c r="F1128" s="14">
        <f t="shared" ca="1" si="59"/>
        <v>50.846808333333321</v>
      </c>
      <c r="G1128" s="14">
        <f t="shared" ca="1" si="59"/>
        <v>50.863249999999994</v>
      </c>
      <c r="H1128" s="14">
        <f t="shared" ca="1" si="59"/>
        <v>51.042124999999992</v>
      </c>
      <c r="I1128" s="14">
        <f t="shared" ca="1" si="59"/>
        <v>51.023125</v>
      </c>
      <c r="J1128" s="14">
        <f t="shared" ca="1" si="59"/>
        <v>50.83980833333333</v>
      </c>
      <c r="K1128" s="14">
        <f t="shared" ca="1" si="59"/>
        <v>51.019233333333325</v>
      </c>
      <c r="L1128" s="14">
        <f t="shared" ca="1" si="60"/>
        <v>51.629124999999995</v>
      </c>
      <c r="M1128" s="14">
        <f t="shared" ca="1" si="60"/>
        <v>49.805841666666659</v>
      </c>
      <c r="N1128" s="14">
        <f t="shared" ca="1" si="60"/>
        <v>49.821933333333334</v>
      </c>
      <c r="O1128" s="14">
        <f t="shared" ca="1" si="60"/>
        <v>50.003983333333338</v>
      </c>
      <c r="P1128" s="14">
        <f t="shared" ca="1" si="60"/>
        <v>49.982258333333341</v>
      </c>
      <c r="Q1128" s="14">
        <f t="shared" ca="1" si="60"/>
        <v>50.598683333333334</v>
      </c>
      <c r="R1128" s="14">
        <f t="shared" ca="1" si="60"/>
        <v>51.312191666666671</v>
      </c>
      <c r="S1128" s="14">
        <f t="shared" ca="1" si="60"/>
        <v>48.848199999999991</v>
      </c>
      <c r="T1128" s="49">
        <f t="shared" ca="1" si="61"/>
        <v>357.24568100000005</v>
      </c>
      <c r="U1128" s="49">
        <f t="shared" ca="1" si="61"/>
        <v>142.03263249999998</v>
      </c>
      <c r="V1128" s="49">
        <f t="shared" ca="1" si="61"/>
        <v>50.187500000000007</v>
      </c>
      <c r="W1128" s="49">
        <f t="shared" ca="1" si="61"/>
        <v>5.0822234999999996</v>
      </c>
      <c r="X1128" s="49">
        <f t="shared" ca="1" si="61"/>
        <v>20.758966663999999</v>
      </c>
      <c r="Y1128" s="14"/>
      <c r="Z1128" s="14"/>
      <c r="AA1128" s="14"/>
      <c r="AB1128" s="14">
        <f t="shared" ca="1" si="62"/>
        <v>50.889704701920145</v>
      </c>
      <c r="AC1128" s="14">
        <f t="shared" ca="1" si="62"/>
        <v>49.921956714628301</v>
      </c>
    </row>
    <row r="1129" spans="1:29" ht="15" x14ac:dyDescent="0.2">
      <c r="A1129" s="10">
        <f t="shared" si="63"/>
        <v>2072</v>
      </c>
      <c r="B1129" s="14">
        <f t="shared" ref="B1129:K1138" ca="1" si="64">AVERAGE(OFFSET(B$601,($A1129-$A$1119)*12,0,12,1))</f>
        <v>52.81851666666666</v>
      </c>
      <c r="C1129" s="14">
        <f t="shared" ca="1" si="64"/>
        <v>52.824783333333322</v>
      </c>
      <c r="D1129" s="14">
        <f t="shared" ca="1" si="64"/>
        <v>52.993291666666664</v>
      </c>
      <c r="E1129" s="14">
        <f t="shared" ca="1" si="64"/>
        <v>53.025724999999987</v>
      </c>
      <c r="F1129" s="14">
        <f t="shared" ca="1" si="64"/>
        <v>52.819525000000006</v>
      </c>
      <c r="G1129" s="14">
        <f t="shared" ca="1" si="64"/>
        <v>52.835983333333331</v>
      </c>
      <c r="H1129" s="14">
        <f t="shared" ca="1" si="64"/>
        <v>53.014833333333335</v>
      </c>
      <c r="I1129" s="14">
        <f t="shared" ca="1" si="64"/>
        <v>53.002041666666663</v>
      </c>
      <c r="J1129" s="14">
        <f t="shared" ca="1" si="64"/>
        <v>52.812525000000001</v>
      </c>
      <c r="K1129" s="14">
        <f t="shared" ca="1" si="64"/>
        <v>52.998141666666662</v>
      </c>
      <c r="L1129" s="14">
        <f t="shared" ref="L1129:S1138" ca="1" si="65">AVERAGE(OFFSET(L$601,($A1129-$A$1119)*12,0,12,1))</f>
        <v>53.601833333333339</v>
      </c>
      <c r="M1129" s="14">
        <f t="shared" ca="1" si="65"/>
        <v>51.738141666666671</v>
      </c>
      <c r="N1129" s="14">
        <f t="shared" ca="1" si="65"/>
        <v>51.754233333333325</v>
      </c>
      <c r="O1129" s="14">
        <f t="shared" ca="1" si="65"/>
        <v>51.936283333333336</v>
      </c>
      <c r="P1129" s="14">
        <f t="shared" ca="1" si="65"/>
        <v>51.920491666666663</v>
      </c>
      <c r="Q1129" s="14">
        <f t="shared" ca="1" si="65"/>
        <v>52.530983333333332</v>
      </c>
      <c r="R1129" s="14">
        <f t="shared" ca="1" si="65"/>
        <v>53.249316666666665</v>
      </c>
      <c r="S1129" s="14">
        <f t="shared" ca="1" si="65"/>
        <v>50.743808333333334</v>
      </c>
      <c r="T1129" s="49">
        <f t="shared" ref="T1129:X1138" ca="1" si="66">SUM(OFFSET(T$601,($A1129-$A$1119)*12,0,12,1))</f>
        <v>358.17703550000004</v>
      </c>
      <c r="U1129" s="49">
        <f t="shared" ca="1" si="66"/>
        <v>142.42176299999997</v>
      </c>
      <c r="V1129" s="49">
        <f t="shared" ca="1" si="66"/>
        <v>50.325000000000003</v>
      </c>
      <c r="W1129" s="49">
        <f t="shared" ca="1" si="66"/>
        <v>5.0961473999999995</v>
      </c>
      <c r="X1129" s="49">
        <f t="shared" ca="1" si="66"/>
        <v>20.800615543999996</v>
      </c>
      <c r="Y1129" s="14"/>
      <c r="Z1129" s="14"/>
      <c r="AA1129" s="14"/>
      <c r="AB1129" s="14">
        <f t="shared" ca="1" si="62"/>
        <v>52.862933817874087</v>
      </c>
      <c r="AC1129" s="14">
        <f t="shared" ca="1" si="62"/>
        <v>51.855110431654673</v>
      </c>
    </row>
    <row r="1130" spans="1:29" ht="15" x14ac:dyDescent="0.2">
      <c r="A1130" s="10">
        <f t="shared" si="63"/>
        <v>2073</v>
      </c>
      <c r="B1130" s="14">
        <f t="shared" ca="1" si="64"/>
        <v>54.867791666666655</v>
      </c>
      <c r="C1130" s="14">
        <f t="shared" ca="1" si="64"/>
        <v>54.874050000000004</v>
      </c>
      <c r="D1130" s="14">
        <f t="shared" ca="1" si="64"/>
        <v>55.042583333333319</v>
      </c>
      <c r="E1130" s="14">
        <f t="shared" ca="1" si="64"/>
        <v>55.074999999999996</v>
      </c>
      <c r="F1130" s="14">
        <f t="shared" ca="1" si="64"/>
        <v>54.868808333333334</v>
      </c>
      <c r="G1130" s="14">
        <f t="shared" ca="1" si="64"/>
        <v>54.885233333333332</v>
      </c>
      <c r="H1130" s="14">
        <f t="shared" ca="1" si="64"/>
        <v>55.064124999999997</v>
      </c>
      <c r="I1130" s="14">
        <f t="shared" ca="1" si="64"/>
        <v>55.057708333333331</v>
      </c>
      <c r="J1130" s="14">
        <f t="shared" ca="1" si="64"/>
        <v>54.861808333333336</v>
      </c>
      <c r="K1130" s="14">
        <f t="shared" ca="1" si="64"/>
        <v>55.053808333333329</v>
      </c>
      <c r="L1130" s="14">
        <f t="shared" ca="1" si="65"/>
        <v>55.651125</v>
      </c>
      <c r="M1130" s="14">
        <f t="shared" ca="1" si="65"/>
        <v>53.74540833333333</v>
      </c>
      <c r="N1130" s="14">
        <f t="shared" ca="1" si="65"/>
        <v>53.761516666666665</v>
      </c>
      <c r="O1130" s="14">
        <f t="shared" ca="1" si="65"/>
        <v>53.943575000000003</v>
      </c>
      <c r="P1130" s="14">
        <f t="shared" ca="1" si="65"/>
        <v>53.933941666666669</v>
      </c>
      <c r="Q1130" s="14">
        <f t="shared" ca="1" si="65"/>
        <v>54.538274999999999</v>
      </c>
      <c r="R1130" s="14">
        <f t="shared" ca="1" si="65"/>
        <v>55.261633333333343</v>
      </c>
      <c r="S1130" s="14">
        <f t="shared" ca="1" si="65"/>
        <v>52.712949999999999</v>
      </c>
      <c r="T1130" s="49">
        <f t="shared" ca="1" si="66"/>
        <v>357.24568100000005</v>
      </c>
      <c r="U1130" s="49">
        <f t="shared" ca="1" si="66"/>
        <v>142.03263249999998</v>
      </c>
      <c r="V1130" s="49">
        <f t="shared" ca="1" si="66"/>
        <v>50.187500000000007</v>
      </c>
      <c r="W1130" s="49">
        <f t="shared" ca="1" si="66"/>
        <v>5.0822234999999996</v>
      </c>
      <c r="X1130" s="49">
        <f t="shared" ca="1" si="66"/>
        <v>20.758966663999999</v>
      </c>
      <c r="Y1130" s="14"/>
      <c r="Z1130" s="14"/>
      <c r="AA1130" s="14"/>
      <c r="AB1130" s="14">
        <f t="shared" ca="1" si="62"/>
        <v>54.912734066275107</v>
      </c>
      <c r="AC1130" s="14">
        <f t="shared" ca="1" si="62"/>
        <v>53.863279076738614</v>
      </c>
    </row>
    <row r="1131" spans="1:29" ht="15" x14ac:dyDescent="0.2">
      <c r="A1131" s="10">
        <f t="shared" si="63"/>
        <v>2074</v>
      </c>
      <c r="B1131" s="14">
        <f t="shared" ca="1" si="64"/>
        <v>56.996583333333326</v>
      </c>
      <c r="C1131" s="14">
        <f t="shared" ca="1" si="64"/>
        <v>57.002858333333336</v>
      </c>
      <c r="D1131" s="14">
        <f t="shared" ca="1" si="64"/>
        <v>57.171375000000005</v>
      </c>
      <c r="E1131" s="14">
        <f t="shared" ca="1" si="64"/>
        <v>57.203799999999994</v>
      </c>
      <c r="F1131" s="14">
        <f t="shared" ca="1" si="64"/>
        <v>56.997599999999998</v>
      </c>
      <c r="G1131" s="14">
        <f t="shared" ca="1" si="64"/>
        <v>57.014041666666664</v>
      </c>
      <c r="H1131" s="14">
        <f t="shared" ca="1" si="64"/>
        <v>57.192916666666662</v>
      </c>
      <c r="I1131" s="14">
        <f t="shared" ca="1" si="64"/>
        <v>57.193174999999997</v>
      </c>
      <c r="J1131" s="14">
        <f t="shared" ca="1" si="64"/>
        <v>56.990600000000001</v>
      </c>
      <c r="K1131" s="14">
        <f t="shared" ca="1" si="64"/>
        <v>57.189283333333329</v>
      </c>
      <c r="L1131" s="14">
        <f t="shared" ca="1" si="65"/>
        <v>57.779916666666658</v>
      </c>
      <c r="M1131" s="14">
        <f t="shared" ca="1" si="65"/>
        <v>55.830608333333345</v>
      </c>
      <c r="N1131" s="14">
        <f t="shared" ca="1" si="65"/>
        <v>55.846691666666679</v>
      </c>
      <c r="O1131" s="14">
        <f t="shared" ca="1" si="65"/>
        <v>56.028766666666677</v>
      </c>
      <c r="P1131" s="14">
        <f t="shared" ca="1" si="65"/>
        <v>56.025508333333335</v>
      </c>
      <c r="Q1131" s="14">
        <f t="shared" ca="1" si="65"/>
        <v>56.623466666666666</v>
      </c>
      <c r="R1131" s="14">
        <f t="shared" ca="1" si="65"/>
        <v>57.352024999999998</v>
      </c>
      <c r="S1131" s="14">
        <f t="shared" ca="1" si="65"/>
        <v>54.758516666666672</v>
      </c>
      <c r="T1131" s="49">
        <f t="shared" ca="1" si="66"/>
        <v>357.24568100000005</v>
      </c>
      <c r="U1131" s="49">
        <f t="shared" ca="1" si="66"/>
        <v>142.03263249999998</v>
      </c>
      <c r="V1131" s="49">
        <f t="shared" ca="1" si="66"/>
        <v>50.187500000000007</v>
      </c>
      <c r="W1131" s="49">
        <f t="shared" ca="1" si="66"/>
        <v>5.0822234999999996</v>
      </c>
      <c r="X1131" s="49">
        <f t="shared" ca="1" si="66"/>
        <v>20.758966663999999</v>
      </c>
      <c r="Y1131" s="14"/>
      <c r="Z1131" s="14"/>
      <c r="AA1131" s="14"/>
      <c r="AB1131" s="14">
        <f t="shared" ca="1" si="62"/>
        <v>57.042081570889586</v>
      </c>
      <c r="AC1131" s="14">
        <f t="shared" ca="1" si="62"/>
        <v>55.949389928057549</v>
      </c>
    </row>
    <row r="1132" spans="1:29" ht="15" x14ac:dyDescent="0.2">
      <c r="A1132" s="10">
        <f t="shared" si="63"/>
        <v>2075</v>
      </c>
      <c r="B1132" s="14">
        <f t="shared" ca="1" si="64"/>
        <v>59.207999999999998</v>
      </c>
      <c r="C1132" s="14">
        <f t="shared" ca="1" si="64"/>
        <v>59.214283333333334</v>
      </c>
      <c r="D1132" s="14">
        <f t="shared" ca="1" si="64"/>
        <v>59.382791666666662</v>
      </c>
      <c r="E1132" s="14">
        <f t="shared" ca="1" si="64"/>
        <v>59.415208333333332</v>
      </c>
      <c r="F1132" s="14">
        <f t="shared" ca="1" si="64"/>
        <v>59.209024999999997</v>
      </c>
      <c r="G1132" s="14">
        <f t="shared" ca="1" si="64"/>
        <v>59.225466666666669</v>
      </c>
      <c r="H1132" s="14">
        <f t="shared" ca="1" si="64"/>
        <v>59.404333333333341</v>
      </c>
      <c r="I1132" s="14">
        <f t="shared" ca="1" si="64"/>
        <v>59.411516666666671</v>
      </c>
      <c r="J1132" s="14">
        <f t="shared" ca="1" si="64"/>
        <v>59.202024999999999</v>
      </c>
      <c r="K1132" s="14">
        <f t="shared" ca="1" si="64"/>
        <v>59.40763333333333</v>
      </c>
      <c r="L1132" s="14">
        <f t="shared" ca="1" si="65"/>
        <v>59.991333333333337</v>
      </c>
      <c r="M1132" s="14">
        <f t="shared" ca="1" si="65"/>
        <v>57.996708333333338</v>
      </c>
      <c r="N1132" s="14">
        <f t="shared" ca="1" si="65"/>
        <v>58.012799999999999</v>
      </c>
      <c r="O1132" s="14">
        <f t="shared" ca="1" si="65"/>
        <v>58.194866666666677</v>
      </c>
      <c r="P1132" s="14">
        <f t="shared" ca="1" si="65"/>
        <v>58.198258333333321</v>
      </c>
      <c r="Q1132" s="14">
        <f t="shared" ca="1" si="65"/>
        <v>58.789566666666673</v>
      </c>
      <c r="R1132" s="14">
        <f t="shared" ca="1" si="65"/>
        <v>59.523533333333326</v>
      </c>
      <c r="S1132" s="14">
        <f t="shared" ca="1" si="65"/>
        <v>56.88345833333333</v>
      </c>
      <c r="T1132" s="49">
        <f t="shared" ca="1" si="66"/>
        <v>357.24568100000005</v>
      </c>
      <c r="U1132" s="49">
        <f t="shared" ca="1" si="66"/>
        <v>142.03263249999998</v>
      </c>
      <c r="V1132" s="49">
        <f t="shared" ca="1" si="66"/>
        <v>50.187500000000007</v>
      </c>
      <c r="W1132" s="49">
        <f t="shared" ca="1" si="66"/>
        <v>5.0822234999999996</v>
      </c>
      <c r="X1132" s="49">
        <f t="shared" ca="1" si="66"/>
        <v>20.758966663999999</v>
      </c>
      <c r="Y1132" s="14"/>
      <c r="Z1132" s="14"/>
      <c r="AA1132" s="14"/>
      <c r="AB1132" s="14">
        <f t="shared" ca="1" si="62"/>
        <v>59.254074878048534</v>
      </c>
      <c r="AC1132" s="14">
        <f t="shared" ca="1" si="62"/>
        <v>58.116447242206242</v>
      </c>
    </row>
    <row r="1133" spans="1:29" ht="15" x14ac:dyDescent="0.2">
      <c r="A1133" s="10">
        <f t="shared" si="63"/>
        <v>2076</v>
      </c>
      <c r="B1133" s="14">
        <f t="shared" ca="1" si="64"/>
        <v>61.505224999999996</v>
      </c>
      <c r="C1133" s="14">
        <f t="shared" ca="1" si="64"/>
        <v>61.511491666666664</v>
      </c>
      <c r="D1133" s="14">
        <f t="shared" ca="1" si="64"/>
        <v>61.680024999999993</v>
      </c>
      <c r="E1133" s="14">
        <f t="shared" ca="1" si="64"/>
        <v>61.712441666666656</v>
      </c>
      <c r="F1133" s="14">
        <f t="shared" ca="1" si="64"/>
        <v>61.506233333333341</v>
      </c>
      <c r="G1133" s="14">
        <f t="shared" ca="1" si="64"/>
        <v>61.522675</v>
      </c>
      <c r="H1133" s="14">
        <f t="shared" ca="1" si="64"/>
        <v>61.701558333333338</v>
      </c>
      <c r="I1133" s="14">
        <f t="shared" ca="1" si="64"/>
        <v>61.715949999999999</v>
      </c>
      <c r="J1133" s="14">
        <f t="shared" ca="1" si="64"/>
        <v>61.499233333333329</v>
      </c>
      <c r="K1133" s="14">
        <f t="shared" ca="1" si="64"/>
        <v>61.712050000000012</v>
      </c>
      <c r="L1133" s="14">
        <f t="shared" ca="1" si="65"/>
        <v>62.288558333333327</v>
      </c>
      <c r="M1133" s="14">
        <f t="shared" ca="1" si="65"/>
        <v>60.246866666666676</v>
      </c>
      <c r="N1133" s="14">
        <f t="shared" ca="1" si="65"/>
        <v>60.26295833333333</v>
      </c>
      <c r="O1133" s="14">
        <f t="shared" ca="1" si="65"/>
        <v>60.445033333333335</v>
      </c>
      <c r="P1133" s="14">
        <f t="shared" ca="1" si="65"/>
        <v>60.455316666666668</v>
      </c>
      <c r="Q1133" s="14">
        <f t="shared" ca="1" si="65"/>
        <v>61.039733333333324</v>
      </c>
      <c r="R1133" s="14">
        <f t="shared" ca="1" si="65"/>
        <v>61.77930833333334</v>
      </c>
      <c r="S1133" s="14">
        <f t="shared" ca="1" si="65"/>
        <v>59.09086666666667</v>
      </c>
      <c r="T1133" s="49">
        <f t="shared" ca="1" si="66"/>
        <v>358.17703550000004</v>
      </c>
      <c r="U1133" s="49">
        <f t="shared" ca="1" si="66"/>
        <v>142.42176299999997</v>
      </c>
      <c r="V1133" s="49">
        <f t="shared" ca="1" si="66"/>
        <v>50.325000000000003</v>
      </c>
      <c r="W1133" s="49">
        <f t="shared" ca="1" si="66"/>
        <v>5.0961473999999995</v>
      </c>
      <c r="X1133" s="49">
        <f t="shared" ca="1" si="66"/>
        <v>20.800615543999996</v>
      </c>
      <c r="Y1133" s="14"/>
      <c r="Z1133" s="14"/>
      <c r="AA1133" s="14"/>
      <c r="AB1133" s="14">
        <f t="shared" ca="1" si="62"/>
        <v>61.551884001353557</v>
      </c>
      <c r="AC1133" s="14">
        <f t="shared" ca="1" si="62"/>
        <v>60.367602158273378</v>
      </c>
    </row>
    <row r="1134" spans="1:29" ht="15" x14ac:dyDescent="0.2">
      <c r="A1134" s="10">
        <f t="shared" si="63"/>
        <v>2077</v>
      </c>
      <c r="B1134" s="14">
        <f t="shared" ca="1" si="64"/>
        <v>63.89160833333333</v>
      </c>
      <c r="C1134" s="14">
        <f t="shared" ca="1" si="64"/>
        <v>63.89786666666668</v>
      </c>
      <c r="D1134" s="14">
        <f t="shared" ca="1" si="64"/>
        <v>64.06638333333332</v>
      </c>
      <c r="E1134" s="14">
        <f t="shared" ca="1" si="64"/>
        <v>64.098825000000005</v>
      </c>
      <c r="F1134" s="14">
        <f t="shared" ca="1" si="64"/>
        <v>63.892633333333329</v>
      </c>
      <c r="G1134" s="14">
        <f t="shared" ca="1" si="64"/>
        <v>63.909050000000008</v>
      </c>
      <c r="H1134" s="14">
        <f t="shared" ca="1" si="64"/>
        <v>64.087924999999998</v>
      </c>
      <c r="I1134" s="14">
        <f t="shared" ca="1" si="64"/>
        <v>64.109808333333334</v>
      </c>
      <c r="J1134" s="14">
        <f t="shared" ca="1" si="64"/>
        <v>63.885633333333345</v>
      </c>
      <c r="K1134" s="14">
        <f t="shared" ca="1" si="64"/>
        <v>64.105908333333318</v>
      </c>
      <c r="L1134" s="14">
        <f t="shared" ca="1" si="65"/>
        <v>64.674924999999988</v>
      </c>
      <c r="M1134" s="14">
        <f t="shared" ca="1" si="65"/>
        <v>62.584341666666667</v>
      </c>
      <c r="N1134" s="14">
        <f t="shared" ca="1" si="65"/>
        <v>62.600441666666676</v>
      </c>
      <c r="O1134" s="14">
        <f t="shared" ca="1" si="65"/>
        <v>62.782499999999999</v>
      </c>
      <c r="P1134" s="14">
        <f t="shared" ca="1" si="65"/>
        <v>62.799974999999989</v>
      </c>
      <c r="Q1134" s="14">
        <f t="shared" ca="1" si="65"/>
        <v>63.377199999999995</v>
      </c>
      <c r="R1134" s="14">
        <f t="shared" ca="1" si="65"/>
        <v>64.122641666666667</v>
      </c>
      <c r="S1134" s="14">
        <f t="shared" ca="1" si="65"/>
        <v>61.383933333333339</v>
      </c>
      <c r="T1134" s="49">
        <f t="shared" ca="1" si="66"/>
        <v>357.24568100000005</v>
      </c>
      <c r="U1134" s="49">
        <f t="shared" ca="1" si="66"/>
        <v>142.03263249999998</v>
      </c>
      <c r="V1134" s="49">
        <f t="shared" ca="1" si="66"/>
        <v>50.187500000000007</v>
      </c>
      <c r="W1134" s="49">
        <f t="shared" ca="1" si="66"/>
        <v>5.0822234999999996</v>
      </c>
      <c r="X1134" s="49">
        <f t="shared" ca="1" si="66"/>
        <v>20.758966663999999</v>
      </c>
      <c r="Y1134" s="14"/>
      <c r="Z1134" s="14"/>
      <c r="AA1134" s="14"/>
      <c r="AB1134" s="14">
        <f t="shared" ca="1" si="62"/>
        <v>63.938882857958326</v>
      </c>
      <c r="AC1134" s="14">
        <f t="shared" ca="1" si="62"/>
        <v>62.706107434052761</v>
      </c>
    </row>
    <row r="1135" spans="1:29" ht="15" x14ac:dyDescent="0.2">
      <c r="A1135" s="10">
        <f t="shared" si="63"/>
        <v>2078</v>
      </c>
      <c r="B1135" s="14">
        <f t="shared" ca="1" si="64"/>
        <v>66.37059166666667</v>
      </c>
      <c r="C1135" s="14">
        <f t="shared" ca="1" si="64"/>
        <v>66.376858333333345</v>
      </c>
      <c r="D1135" s="14">
        <f t="shared" ca="1" si="64"/>
        <v>66.545366666666666</v>
      </c>
      <c r="E1135" s="14">
        <f t="shared" ca="1" si="64"/>
        <v>66.577800000000011</v>
      </c>
      <c r="F1135" s="14">
        <f t="shared" ca="1" si="64"/>
        <v>66.371608333333327</v>
      </c>
      <c r="G1135" s="14">
        <f t="shared" ca="1" si="64"/>
        <v>66.388041666666666</v>
      </c>
      <c r="H1135" s="14">
        <f t="shared" ca="1" si="64"/>
        <v>66.56690833333333</v>
      </c>
      <c r="I1135" s="14">
        <f t="shared" ca="1" si="64"/>
        <v>66.596549999999993</v>
      </c>
      <c r="J1135" s="14">
        <f t="shared" ca="1" si="64"/>
        <v>66.364608333333322</v>
      </c>
      <c r="K1135" s="14">
        <f t="shared" ca="1" si="64"/>
        <v>66.592675</v>
      </c>
      <c r="L1135" s="14">
        <f t="shared" ca="1" si="65"/>
        <v>67.153908333333334</v>
      </c>
      <c r="M1135" s="14">
        <f t="shared" ca="1" si="65"/>
        <v>65.012558333333331</v>
      </c>
      <c r="N1135" s="14">
        <f t="shared" ca="1" si="65"/>
        <v>65.028624999999991</v>
      </c>
      <c r="O1135" s="14">
        <f t="shared" ca="1" si="65"/>
        <v>65.210674999999995</v>
      </c>
      <c r="P1135" s="14">
        <f t="shared" ca="1" si="65"/>
        <v>65.235599999999991</v>
      </c>
      <c r="Q1135" s="14">
        <f t="shared" ca="1" si="65"/>
        <v>65.805375000000012</v>
      </c>
      <c r="R1135" s="14">
        <f t="shared" ca="1" si="65"/>
        <v>66.556883333333317</v>
      </c>
      <c r="S1135" s="14">
        <f t="shared" ca="1" si="65"/>
        <v>63.765983333333331</v>
      </c>
      <c r="T1135" s="49">
        <f t="shared" ca="1" si="66"/>
        <v>357.24568100000005</v>
      </c>
      <c r="U1135" s="49">
        <f t="shared" ca="1" si="66"/>
        <v>142.03263249999998</v>
      </c>
      <c r="V1135" s="49">
        <f t="shared" ca="1" si="66"/>
        <v>50.187500000000007</v>
      </c>
      <c r="W1135" s="49">
        <f t="shared" ca="1" si="66"/>
        <v>5.0822234999999996</v>
      </c>
      <c r="X1135" s="49">
        <f t="shared" ca="1" si="66"/>
        <v>20.758966663999999</v>
      </c>
      <c r="Y1135" s="14"/>
      <c r="Z1135" s="14"/>
      <c r="AA1135" s="14"/>
      <c r="AB1135" s="14">
        <f t="shared" ca="1" si="62"/>
        <v>66.418506492005193</v>
      </c>
      <c r="AC1135" s="14">
        <f t="shared" ca="1" si="62"/>
        <v>65.13536924460432</v>
      </c>
    </row>
    <row r="1136" spans="1:29" ht="15" x14ac:dyDescent="0.2">
      <c r="A1136" s="10">
        <f t="shared" si="63"/>
        <v>2079</v>
      </c>
      <c r="B1136" s="14">
        <f t="shared" ca="1" si="64"/>
        <v>68.945758333333345</v>
      </c>
      <c r="C1136" s="14">
        <f t="shared" ca="1" si="64"/>
        <v>68.952016666666665</v>
      </c>
      <c r="D1136" s="14">
        <f t="shared" ca="1" si="64"/>
        <v>69.120558333333335</v>
      </c>
      <c r="E1136" s="14">
        <f t="shared" ca="1" si="64"/>
        <v>69.152983333333324</v>
      </c>
      <c r="F1136" s="14">
        <f t="shared" ca="1" si="64"/>
        <v>68.946799999999996</v>
      </c>
      <c r="G1136" s="14">
        <f t="shared" ca="1" si="64"/>
        <v>68.963216666666668</v>
      </c>
      <c r="H1136" s="14">
        <f t="shared" ca="1" si="64"/>
        <v>69.142091666666659</v>
      </c>
      <c r="I1136" s="14">
        <f t="shared" ca="1" si="64"/>
        <v>69.179791666666674</v>
      </c>
      <c r="J1136" s="14">
        <f t="shared" ca="1" si="64"/>
        <v>68.939800000000005</v>
      </c>
      <c r="K1136" s="14">
        <f t="shared" ca="1" si="64"/>
        <v>69.175899999999999</v>
      </c>
      <c r="L1136" s="14">
        <f t="shared" ca="1" si="65"/>
        <v>69.729091666666662</v>
      </c>
      <c r="M1136" s="14">
        <f t="shared" ca="1" si="65"/>
        <v>67.534949999999995</v>
      </c>
      <c r="N1136" s="14">
        <f t="shared" ca="1" si="65"/>
        <v>67.551041666666663</v>
      </c>
      <c r="O1136" s="14">
        <f t="shared" ca="1" si="65"/>
        <v>67.733108333333334</v>
      </c>
      <c r="P1136" s="14">
        <f t="shared" ca="1" si="65"/>
        <v>67.765766666666664</v>
      </c>
      <c r="Q1136" s="14">
        <f t="shared" ca="1" si="65"/>
        <v>68.327808333333337</v>
      </c>
      <c r="R1136" s="14">
        <f t="shared" ca="1" si="65"/>
        <v>69.085624999999993</v>
      </c>
      <c r="S1136" s="14">
        <f t="shared" ca="1" si="65"/>
        <v>66.24048333333333</v>
      </c>
      <c r="T1136" s="49">
        <f t="shared" ca="1" si="66"/>
        <v>357.24568100000005</v>
      </c>
      <c r="U1136" s="49">
        <f t="shared" ca="1" si="66"/>
        <v>142.03263249999998</v>
      </c>
      <c r="V1136" s="49">
        <f t="shared" ca="1" si="66"/>
        <v>50.187500000000007</v>
      </c>
      <c r="W1136" s="49">
        <f t="shared" ca="1" si="66"/>
        <v>5.0822234999999996</v>
      </c>
      <c r="X1136" s="49">
        <f t="shared" ca="1" si="66"/>
        <v>20.758966663999999</v>
      </c>
      <c r="Y1136" s="14"/>
      <c r="Z1136" s="14"/>
      <c r="AA1136" s="14"/>
      <c r="AB1136" s="14">
        <f t="shared" ca="1" si="62"/>
        <v>68.994346816093781</v>
      </c>
      <c r="AC1136" s="14">
        <f t="shared" ca="1" si="62"/>
        <v>67.658899940047959</v>
      </c>
    </row>
    <row r="1137" spans="1:29" ht="15" x14ac:dyDescent="0.2">
      <c r="A1137" s="10">
        <f t="shared" si="63"/>
        <v>2080</v>
      </c>
      <c r="B1137" s="14">
        <f t="shared" ca="1" si="64"/>
        <v>71.620891666666679</v>
      </c>
      <c r="C1137" s="14">
        <f t="shared" ca="1" si="64"/>
        <v>71.627149999999986</v>
      </c>
      <c r="D1137" s="14">
        <f t="shared" ca="1" si="64"/>
        <v>71.795666666666662</v>
      </c>
      <c r="E1137" s="14">
        <f t="shared" ca="1" si="64"/>
        <v>71.828091666666666</v>
      </c>
      <c r="F1137" s="14">
        <f t="shared" ca="1" si="64"/>
        <v>71.62189166666667</v>
      </c>
      <c r="G1137" s="14">
        <f t="shared" ca="1" si="64"/>
        <v>71.638333333333335</v>
      </c>
      <c r="H1137" s="14">
        <f t="shared" ca="1" si="64"/>
        <v>71.817208333333326</v>
      </c>
      <c r="I1137" s="14">
        <f t="shared" ca="1" si="64"/>
        <v>71.863291666666683</v>
      </c>
      <c r="J1137" s="14">
        <f t="shared" ca="1" si="64"/>
        <v>71.614891666666665</v>
      </c>
      <c r="K1137" s="14">
        <f t="shared" ca="1" si="64"/>
        <v>71.859400000000008</v>
      </c>
      <c r="L1137" s="14">
        <f t="shared" ca="1" si="65"/>
        <v>72.40420833333333</v>
      </c>
      <c r="M1137" s="14">
        <f t="shared" ca="1" si="65"/>
        <v>70.155258333333336</v>
      </c>
      <c r="N1137" s="14">
        <f t="shared" ca="1" si="65"/>
        <v>70.171366666666657</v>
      </c>
      <c r="O1137" s="14">
        <f t="shared" ca="1" si="65"/>
        <v>70.353416666666675</v>
      </c>
      <c r="P1137" s="14">
        <f t="shared" ca="1" si="65"/>
        <v>70.394116666666662</v>
      </c>
      <c r="Q1137" s="14">
        <f t="shared" ca="1" si="65"/>
        <v>70.948116666666678</v>
      </c>
      <c r="R1137" s="14">
        <f t="shared" ca="1" si="65"/>
        <v>71.712483333333338</v>
      </c>
      <c r="S1137" s="14">
        <f t="shared" ca="1" si="65"/>
        <v>68.810991666666652</v>
      </c>
      <c r="T1137" s="49">
        <f t="shared" ca="1" si="66"/>
        <v>358.17703550000004</v>
      </c>
      <c r="U1137" s="49">
        <f t="shared" ca="1" si="66"/>
        <v>142.42176299999997</v>
      </c>
      <c r="V1137" s="49">
        <f t="shared" ca="1" si="66"/>
        <v>50.325000000000003</v>
      </c>
      <c r="W1137" s="49">
        <f t="shared" ca="1" si="66"/>
        <v>5.0961473999999995</v>
      </c>
      <c r="X1137" s="49">
        <f t="shared" ca="1" si="66"/>
        <v>20.800615543999996</v>
      </c>
      <c r="Y1137" s="14"/>
      <c r="Z1137" s="14"/>
      <c r="AA1137" s="14"/>
      <c r="AB1137" s="14">
        <f t="shared" ca="1" si="62"/>
        <v>71.670152105774122</v>
      </c>
      <c r="AC1137" s="14">
        <f t="shared" ca="1" si="62"/>
        <v>70.280366306954434</v>
      </c>
    </row>
    <row r="1138" spans="1:29" ht="15" x14ac:dyDescent="0.2">
      <c r="A1138" s="10">
        <f t="shared" si="63"/>
        <v>2081</v>
      </c>
      <c r="B1138" s="14">
        <f t="shared" ca="1" si="64"/>
        <v>74.399808333333326</v>
      </c>
      <c r="C1138" s="14">
        <f t="shared" ca="1" si="64"/>
        <v>74.406099999999995</v>
      </c>
      <c r="D1138" s="14">
        <f t="shared" ca="1" si="64"/>
        <v>74.574583333333337</v>
      </c>
      <c r="E1138" s="14">
        <f t="shared" ca="1" si="64"/>
        <v>74.607016666666667</v>
      </c>
      <c r="F1138" s="14">
        <f t="shared" ca="1" si="64"/>
        <v>74.400849999999991</v>
      </c>
      <c r="G1138" s="14">
        <f t="shared" ca="1" si="64"/>
        <v>74.417266666666663</v>
      </c>
      <c r="H1138" s="14">
        <f t="shared" ca="1" si="64"/>
        <v>74.596124999999986</v>
      </c>
      <c r="I1138" s="14">
        <f t="shared" ca="1" si="64"/>
        <v>74.650908333333334</v>
      </c>
      <c r="J1138" s="14">
        <f t="shared" ca="1" si="64"/>
        <v>74.39385</v>
      </c>
      <c r="K1138" s="14">
        <f t="shared" ca="1" si="64"/>
        <v>74.647016666666659</v>
      </c>
      <c r="L1138" s="14">
        <f t="shared" ca="1" si="65"/>
        <v>75.183125000000004</v>
      </c>
      <c r="M1138" s="14">
        <f t="shared" ca="1" si="65"/>
        <v>72.877241666666677</v>
      </c>
      <c r="N1138" s="14">
        <f t="shared" ca="1" si="65"/>
        <v>72.893333333333359</v>
      </c>
      <c r="O1138" s="14">
        <f t="shared" ca="1" si="65"/>
        <v>73.075416666666669</v>
      </c>
      <c r="P1138" s="14">
        <f t="shared" ca="1" si="65"/>
        <v>73.124433333333329</v>
      </c>
      <c r="Q1138" s="14">
        <f t="shared" ca="1" si="65"/>
        <v>73.670116666666658</v>
      </c>
      <c r="R1138" s="14">
        <f t="shared" ca="1" si="65"/>
        <v>74.441283333333331</v>
      </c>
      <c r="S1138" s="14">
        <f t="shared" ca="1" si="65"/>
        <v>71.48126666666667</v>
      </c>
      <c r="T1138" s="49">
        <f t="shared" ca="1" si="66"/>
        <v>357.24568100000005</v>
      </c>
      <c r="U1138" s="49">
        <f t="shared" ca="1" si="66"/>
        <v>142.03263249999998</v>
      </c>
      <c r="V1138" s="49">
        <f t="shared" ca="1" si="66"/>
        <v>50.187500000000007</v>
      </c>
      <c r="W1138" s="49">
        <f t="shared" ca="1" si="66"/>
        <v>5.0822234999999996</v>
      </c>
      <c r="X1138" s="49">
        <f t="shared" ca="1" si="66"/>
        <v>20.758966663999999</v>
      </c>
      <c r="Y1138" s="14"/>
      <c r="Z1138" s="14"/>
      <c r="AA1138" s="14"/>
      <c r="AB1138" s="14">
        <f t="shared" ca="1" si="62"/>
        <v>74.449808528106473</v>
      </c>
      <c r="AC1138" s="14">
        <f t="shared" ca="1" si="62"/>
        <v>73.003555275779391</v>
      </c>
    </row>
    <row r="1139" spans="1:29" ht="15" x14ac:dyDescent="0.2">
      <c r="A1139" s="10">
        <f t="shared" si="63"/>
        <v>2082</v>
      </c>
      <c r="B1139" s="14">
        <f t="shared" ref="B1139:K1148" ca="1" si="67">AVERAGE(OFFSET(B$601,($A1139-$A$1119)*12,0,12,1))</f>
        <v>77.286591666666666</v>
      </c>
      <c r="C1139" s="14">
        <f t="shared" ca="1" si="67"/>
        <v>77.292858333333328</v>
      </c>
      <c r="D1139" s="14">
        <f t="shared" ca="1" si="67"/>
        <v>77.46137499999999</v>
      </c>
      <c r="E1139" s="14">
        <f t="shared" ca="1" si="67"/>
        <v>77.493791666666667</v>
      </c>
      <c r="F1139" s="14">
        <f t="shared" ca="1" si="67"/>
        <v>77.287600000000012</v>
      </c>
      <c r="G1139" s="14">
        <f t="shared" ca="1" si="67"/>
        <v>77.304050000000004</v>
      </c>
      <c r="H1139" s="14">
        <f t="shared" ca="1" si="67"/>
        <v>77.482916666666668</v>
      </c>
      <c r="I1139" s="14">
        <f t="shared" ca="1" si="67"/>
        <v>77.546724999999995</v>
      </c>
      <c r="J1139" s="14">
        <f t="shared" ca="1" si="67"/>
        <v>77.280599999999978</v>
      </c>
      <c r="K1139" s="14">
        <f t="shared" ca="1" si="67"/>
        <v>77.542850000000001</v>
      </c>
      <c r="L1139" s="14">
        <f t="shared" ref="L1139:S1148" ca="1" si="68">AVERAGE(OFFSET(L$601,($A1139-$A$1119)*12,0,12,1))</f>
        <v>78.069916666666657</v>
      </c>
      <c r="M1139" s="14">
        <f t="shared" ca="1" si="68"/>
        <v>75.704866666666661</v>
      </c>
      <c r="N1139" s="14">
        <f t="shared" ca="1" si="68"/>
        <v>75.720974999999996</v>
      </c>
      <c r="O1139" s="14">
        <f t="shared" ca="1" si="68"/>
        <v>75.903025</v>
      </c>
      <c r="P1139" s="14">
        <f t="shared" ca="1" si="68"/>
        <v>75.960741666666664</v>
      </c>
      <c r="Q1139" s="14">
        <f t="shared" ca="1" si="68"/>
        <v>76.497725000000003</v>
      </c>
      <c r="R1139" s="14">
        <f t="shared" ca="1" si="68"/>
        <v>77.275975000000003</v>
      </c>
      <c r="S1139" s="14">
        <f t="shared" ca="1" si="68"/>
        <v>74.255158333333341</v>
      </c>
      <c r="T1139" s="49">
        <f t="shared" ref="T1139:X1148" ca="1" si="69">SUM(OFFSET(T$601,($A1139-$A$1119)*12,0,12,1))</f>
        <v>357.24568100000005</v>
      </c>
      <c r="U1139" s="49">
        <f t="shared" ca="1" si="69"/>
        <v>142.03263249999998</v>
      </c>
      <c r="V1139" s="49">
        <f t="shared" ca="1" si="69"/>
        <v>50.187500000000007</v>
      </c>
      <c r="W1139" s="49">
        <f t="shared" ca="1" si="69"/>
        <v>5.0822234999999996</v>
      </c>
      <c r="X1139" s="49">
        <f t="shared" ca="1" si="69"/>
        <v>20.758966663999999</v>
      </c>
      <c r="Y1139" s="14"/>
      <c r="Z1139" s="14"/>
      <c r="AA1139" s="14"/>
      <c r="AB1139" s="14">
        <f t="shared" ref="AB1139:AC1157" ca="1" si="70">AVERAGE(OFFSET(AB$601,($A1139-$A$1119)*12,0,12,1))</f>
        <v>77.337321803850145</v>
      </c>
      <c r="AC1139" s="14">
        <f t="shared" ca="1" si="70"/>
        <v>75.832423081534799</v>
      </c>
    </row>
    <row r="1140" spans="1:29" ht="15" x14ac:dyDescent="0.2">
      <c r="A1140" s="10">
        <f t="shared" si="63"/>
        <v>2083</v>
      </c>
      <c r="B1140" s="14">
        <f t="shared" ca="1" si="67"/>
        <v>80.285366666666661</v>
      </c>
      <c r="C1140" s="14">
        <f t="shared" ca="1" si="67"/>
        <v>80.291641666666678</v>
      </c>
      <c r="D1140" s="14">
        <f t="shared" ca="1" si="67"/>
        <v>80.460158333333311</v>
      </c>
      <c r="E1140" s="14">
        <f t="shared" ca="1" si="67"/>
        <v>80.492583333333343</v>
      </c>
      <c r="F1140" s="14">
        <f t="shared" ca="1" si="67"/>
        <v>80.286416666666682</v>
      </c>
      <c r="G1140" s="14">
        <f t="shared" ca="1" si="67"/>
        <v>80.30284166666668</v>
      </c>
      <c r="H1140" s="14">
        <f t="shared" ca="1" si="67"/>
        <v>80.481700000000004</v>
      </c>
      <c r="I1140" s="14">
        <f t="shared" ca="1" si="67"/>
        <v>80.55490833333333</v>
      </c>
      <c r="J1140" s="14">
        <f t="shared" ca="1" si="67"/>
        <v>80.279416666666677</v>
      </c>
      <c r="K1140" s="14">
        <f t="shared" ca="1" si="67"/>
        <v>80.551016666666683</v>
      </c>
      <c r="L1140" s="14">
        <f t="shared" ca="1" si="68"/>
        <v>81.068699999999993</v>
      </c>
      <c r="M1140" s="14">
        <f t="shared" ca="1" si="68"/>
        <v>78.642233333333323</v>
      </c>
      <c r="N1140" s="14">
        <f t="shared" ca="1" si="68"/>
        <v>78.658325000000005</v>
      </c>
      <c r="O1140" s="14">
        <f t="shared" ca="1" si="68"/>
        <v>78.840366666666682</v>
      </c>
      <c r="P1140" s="14">
        <f t="shared" ca="1" si="68"/>
        <v>78.907108333333341</v>
      </c>
      <c r="Q1140" s="14">
        <f t="shared" ca="1" si="68"/>
        <v>79.435066666666671</v>
      </c>
      <c r="R1140" s="14">
        <f t="shared" ca="1" si="68"/>
        <v>80.220675</v>
      </c>
      <c r="S1140" s="14">
        <f t="shared" ca="1" si="68"/>
        <v>77.136708333333331</v>
      </c>
      <c r="T1140" s="49">
        <f t="shared" ca="1" si="69"/>
        <v>357.24568100000005</v>
      </c>
      <c r="U1140" s="49">
        <f t="shared" ca="1" si="69"/>
        <v>142.03263249999998</v>
      </c>
      <c r="V1140" s="49">
        <f t="shared" ca="1" si="69"/>
        <v>50.187500000000007</v>
      </c>
      <c r="W1140" s="49">
        <f t="shared" ca="1" si="69"/>
        <v>5.0822234999999996</v>
      </c>
      <c r="X1140" s="49">
        <f t="shared" ca="1" si="69"/>
        <v>20.758966663999999</v>
      </c>
      <c r="Y1140" s="14"/>
      <c r="Z1140" s="14"/>
      <c r="AA1140" s="14"/>
      <c r="AB1140" s="14">
        <f t="shared" ca="1" si="70"/>
        <v>80.336888403539405</v>
      </c>
      <c r="AC1140" s="14">
        <f t="shared" ca="1" si="70"/>
        <v>78.771072422062346</v>
      </c>
    </row>
    <row r="1141" spans="1:29" ht="15" x14ac:dyDescent="0.2">
      <c r="A1141" s="10">
        <f t="shared" si="63"/>
        <v>2084</v>
      </c>
      <c r="B1141" s="14">
        <f t="shared" ca="1" si="67"/>
        <v>83.400525000000002</v>
      </c>
      <c r="C1141" s="14">
        <f t="shared" ca="1" si="67"/>
        <v>83.406808333333359</v>
      </c>
      <c r="D1141" s="14">
        <f t="shared" ca="1" si="67"/>
        <v>83.575325000000007</v>
      </c>
      <c r="E1141" s="14">
        <f t="shared" ca="1" si="67"/>
        <v>83.607749999999996</v>
      </c>
      <c r="F1141" s="14">
        <f t="shared" ca="1" si="67"/>
        <v>83.401566666666668</v>
      </c>
      <c r="G1141" s="14">
        <f t="shared" ca="1" si="67"/>
        <v>83.417983333333339</v>
      </c>
      <c r="H1141" s="14">
        <f t="shared" ca="1" si="67"/>
        <v>83.596858333333344</v>
      </c>
      <c r="I1141" s="14">
        <f t="shared" ca="1" si="67"/>
        <v>83.679825000000008</v>
      </c>
      <c r="J1141" s="14">
        <f t="shared" ca="1" si="67"/>
        <v>83.394566666666663</v>
      </c>
      <c r="K1141" s="14">
        <f t="shared" ca="1" si="67"/>
        <v>83.67595</v>
      </c>
      <c r="L1141" s="14">
        <f t="shared" ca="1" si="68"/>
        <v>84.183858333333333</v>
      </c>
      <c r="M1141" s="14">
        <f t="shared" ca="1" si="68"/>
        <v>81.693558333333328</v>
      </c>
      <c r="N1141" s="14">
        <f t="shared" ca="1" si="68"/>
        <v>81.709675000000004</v>
      </c>
      <c r="O1141" s="14">
        <f t="shared" ca="1" si="68"/>
        <v>81.891708333333341</v>
      </c>
      <c r="P1141" s="14">
        <f t="shared" ca="1" si="68"/>
        <v>81.967808333333338</v>
      </c>
      <c r="Q1141" s="14">
        <f t="shared" ca="1" si="68"/>
        <v>82.48640833333333</v>
      </c>
      <c r="R1141" s="14">
        <f t="shared" ca="1" si="68"/>
        <v>83.279633333333337</v>
      </c>
      <c r="S1141" s="14">
        <f t="shared" ca="1" si="68"/>
        <v>80.130058333333338</v>
      </c>
      <c r="T1141" s="49">
        <f t="shared" ca="1" si="69"/>
        <v>358.17703550000004</v>
      </c>
      <c r="U1141" s="49">
        <f t="shared" ca="1" si="69"/>
        <v>142.42176299999997</v>
      </c>
      <c r="V1141" s="49">
        <f t="shared" ca="1" si="69"/>
        <v>50.325000000000003</v>
      </c>
      <c r="W1141" s="49">
        <f t="shared" ca="1" si="69"/>
        <v>5.0961473999999995</v>
      </c>
      <c r="X1141" s="49">
        <f t="shared" ca="1" si="69"/>
        <v>20.800615543999996</v>
      </c>
      <c r="Y1141" s="14"/>
      <c r="Z1141" s="14"/>
      <c r="AA1141" s="14"/>
      <c r="AB1141" s="14">
        <f t="shared" ca="1" si="70"/>
        <v>83.452850215237632</v>
      </c>
      <c r="AC1141" s="14">
        <f t="shared" ca="1" si="70"/>
        <v>81.823755335731406</v>
      </c>
    </row>
    <row r="1142" spans="1:29" ht="15" x14ac:dyDescent="0.2">
      <c r="A1142" s="10">
        <f t="shared" si="63"/>
        <v>2085</v>
      </c>
      <c r="B1142" s="14">
        <f t="shared" ca="1" si="67"/>
        <v>86.636608333333342</v>
      </c>
      <c r="C1142" s="14">
        <f t="shared" ca="1" si="67"/>
        <v>86.642866666666649</v>
      </c>
      <c r="D1142" s="14">
        <f t="shared" ca="1" si="67"/>
        <v>86.811383333333325</v>
      </c>
      <c r="E1142" s="14">
        <f t="shared" ca="1" si="67"/>
        <v>86.843799999999987</v>
      </c>
      <c r="F1142" s="14">
        <f t="shared" ca="1" si="67"/>
        <v>86.637625000000014</v>
      </c>
      <c r="G1142" s="14">
        <f t="shared" ca="1" si="67"/>
        <v>86.654049999999984</v>
      </c>
      <c r="H1142" s="14">
        <f t="shared" ca="1" si="67"/>
        <v>86.832925000000003</v>
      </c>
      <c r="I1142" s="14">
        <f t="shared" ca="1" si="67"/>
        <v>86.926033333333336</v>
      </c>
      <c r="J1142" s="14">
        <f t="shared" ca="1" si="67"/>
        <v>86.630624999999995</v>
      </c>
      <c r="K1142" s="14">
        <f t="shared" ca="1" si="67"/>
        <v>86.922141666666676</v>
      </c>
      <c r="L1142" s="14">
        <f t="shared" ca="1" si="68"/>
        <v>87.419924999999992</v>
      </c>
      <c r="M1142" s="14">
        <f t="shared" ca="1" si="68"/>
        <v>84.863316666666677</v>
      </c>
      <c r="N1142" s="14">
        <f t="shared" ca="1" si="68"/>
        <v>84.879416666666657</v>
      </c>
      <c r="O1142" s="14">
        <f t="shared" ca="1" si="68"/>
        <v>85.061458333333334</v>
      </c>
      <c r="P1142" s="14">
        <f t="shared" ca="1" si="68"/>
        <v>85.147274999999993</v>
      </c>
      <c r="Q1142" s="14">
        <f t="shared" ca="1" si="68"/>
        <v>85.656158333333323</v>
      </c>
      <c r="R1142" s="14">
        <f t="shared" ca="1" si="68"/>
        <v>86.457316666666671</v>
      </c>
      <c r="S1142" s="14">
        <f t="shared" ca="1" si="68"/>
        <v>83.23960000000001</v>
      </c>
      <c r="T1142" s="49">
        <f t="shared" ca="1" si="69"/>
        <v>357.24568100000005</v>
      </c>
      <c r="U1142" s="49">
        <f t="shared" ca="1" si="69"/>
        <v>142.03263249999998</v>
      </c>
      <c r="V1142" s="49">
        <f t="shared" ca="1" si="69"/>
        <v>50.187500000000007</v>
      </c>
      <c r="W1142" s="49">
        <f t="shared" ca="1" si="69"/>
        <v>5.0822234999999996</v>
      </c>
      <c r="X1142" s="49">
        <f t="shared" ca="1" si="69"/>
        <v>20.758966663999999</v>
      </c>
      <c r="Y1142" s="14"/>
      <c r="Z1142" s="14"/>
      <c r="AA1142" s="14"/>
      <c r="AB1142" s="14">
        <f t="shared" ca="1" si="70"/>
        <v>86.689748832716575</v>
      </c>
      <c r="AC1142" s="14">
        <f t="shared" ca="1" si="70"/>
        <v>84.994905815347721</v>
      </c>
    </row>
    <row r="1143" spans="1:29" ht="15" x14ac:dyDescent="0.2">
      <c r="A1143" s="10">
        <f t="shared" si="63"/>
        <v>2086</v>
      </c>
      <c r="B1143" s="14">
        <f t="shared" ca="1" si="67"/>
        <v>89.998224999999991</v>
      </c>
      <c r="C1143" s="14">
        <f t="shared" ca="1" si="67"/>
        <v>90.00450833333332</v>
      </c>
      <c r="D1143" s="14">
        <f t="shared" ca="1" si="67"/>
        <v>90.173024999999996</v>
      </c>
      <c r="E1143" s="14">
        <f t="shared" ca="1" si="67"/>
        <v>90.205441666666658</v>
      </c>
      <c r="F1143" s="14">
        <f t="shared" ca="1" si="67"/>
        <v>89.999266666666685</v>
      </c>
      <c r="G1143" s="14">
        <f t="shared" ca="1" si="67"/>
        <v>90.015691666666669</v>
      </c>
      <c r="H1143" s="14">
        <f t="shared" ca="1" si="67"/>
        <v>90.194558333333347</v>
      </c>
      <c r="I1143" s="14">
        <f t="shared" ca="1" si="67"/>
        <v>90.298183333333327</v>
      </c>
      <c r="J1143" s="14">
        <f t="shared" ca="1" si="67"/>
        <v>89.992266666666652</v>
      </c>
      <c r="K1143" s="14">
        <f t="shared" ca="1" si="67"/>
        <v>90.294308333333333</v>
      </c>
      <c r="L1143" s="14">
        <f t="shared" ca="1" si="68"/>
        <v>90.781558333333336</v>
      </c>
      <c r="M1143" s="14">
        <f t="shared" ca="1" si="68"/>
        <v>88.156058333333348</v>
      </c>
      <c r="N1143" s="14">
        <f t="shared" ca="1" si="68"/>
        <v>88.172158333333343</v>
      </c>
      <c r="O1143" s="14">
        <f t="shared" ca="1" si="68"/>
        <v>88.354225</v>
      </c>
      <c r="P1143" s="14">
        <f t="shared" ca="1" si="68"/>
        <v>88.450141666666653</v>
      </c>
      <c r="Q1143" s="14">
        <f t="shared" ca="1" si="68"/>
        <v>88.948924999999988</v>
      </c>
      <c r="R1143" s="14">
        <f t="shared" ca="1" si="68"/>
        <v>89.758300000000006</v>
      </c>
      <c r="S1143" s="14">
        <f t="shared" ca="1" si="68"/>
        <v>86.469783333333297</v>
      </c>
      <c r="T1143" s="49">
        <f t="shared" ca="1" si="69"/>
        <v>357.24568100000005</v>
      </c>
      <c r="U1143" s="49">
        <f t="shared" ca="1" si="69"/>
        <v>142.03263249999998</v>
      </c>
      <c r="V1143" s="49">
        <f t="shared" ca="1" si="69"/>
        <v>50.187500000000007</v>
      </c>
      <c r="W1143" s="49">
        <f t="shared" ca="1" si="69"/>
        <v>5.0822234999999996</v>
      </c>
      <c r="X1143" s="49">
        <f t="shared" ca="1" si="69"/>
        <v>20.758966663999999</v>
      </c>
      <c r="Y1143" s="14"/>
      <c r="Z1143" s="14"/>
      <c r="AA1143" s="14"/>
      <c r="AB1143" s="14">
        <f t="shared" ca="1" si="70"/>
        <v>90.052252522369599</v>
      </c>
      <c r="AC1143" s="14">
        <f t="shared" ca="1" si="70"/>
        <v>88.289115647482006</v>
      </c>
    </row>
    <row r="1144" spans="1:29" ht="15" x14ac:dyDescent="0.2">
      <c r="A1144" s="10">
        <f t="shared" si="63"/>
        <v>2087</v>
      </c>
      <c r="B1144" s="14">
        <f t="shared" ca="1" si="67"/>
        <v>93.490324999999984</v>
      </c>
      <c r="C1144" s="14">
        <f t="shared" ca="1" si="67"/>
        <v>93.496583333333319</v>
      </c>
      <c r="D1144" s="14">
        <f t="shared" ca="1" si="67"/>
        <v>93.665108333333322</v>
      </c>
      <c r="E1144" s="14">
        <f t="shared" ca="1" si="67"/>
        <v>93.697541666666666</v>
      </c>
      <c r="F1144" s="14">
        <f t="shared" ca="1" si="67"/>
        <v>93.491341666666656</v>
      </c>
      <c r="G1144" s="14">
        <f t="shared" ca="1" si="67"/>
        <v>93.507774999999995</v>
      </c>
      <c r="H1144" s="14">
        <f t="shared" ca="1" si="67"/>
        <v>93.686658333333341</v>
      </c>
      <c r="I1144" s="14">
        <f t="shared" ca="1" si="67"/>
        <v>93.801225000000002</v>
      </c>
      <c r="J1144" s="14">
        <f t="shared" ca="1" si="67"/>
        <v>93.484341666666651</v>
      </c>
      <c r="K1144" s="14">
        <f t="shared" ca="1" si="67"/>
        <v>93.797333333333327</v>
      </c>
      <c r="L1144" s="14">
        <f t="shared" ca="1" si="68"/>
        <v>94.273658333333344</v>
      </c>
      <c r="M1144" s="14">
        <f t="shared" ca="1" si="68"/>
        <v>91.57660833333334</v>
      </c>
      <c r="N1144" s="14">
        <f t="shared" ca="1" si="68"/>
        <v>91.592699999999994</v>
      </c>
      <c r="O1144" s="14">
        <f t="shared" ca="1" si="68"/>
        <v>91.774766666666665</v>
      </c>
      <c r="P1144" s="14">
        <f t="shared" ca="1" si="68"/>
        <v>91.881166666666658</v>
      </c>
      <c r="Q1144" s="14">
        <f t="shared" ca="1" si="68"/>
        <v>92.369466666666668</v>
      </c>
      <c r="R1144" s="14">
        <f t="shared" ca="1" si="68"/>
        <v>93.187383333333329</v>
      </c>
      <c r="S1144" s="14">
        <f t="shared" ca="1" si="68"/>
        <v>89.82535</v>
      </c>
      <c r="T1144" s="49">
        <f t="shared" ca="1" si="69"/>
        <v>357.24568100000005</v>
      </c>
      <c r="U1144" s="49">
        <f t="shared" ca="1" si="69"/>
        <v>142.03263249999998</v>
      </c>
      <c r="V1144" s="49">
        <f t="shared" ca="1" si="69"/>
        <v>50.187500000000007</v>
      </c>
      <c r="W1144" s="49">
        <f t="shared" ca="1" si="69"/>
        <v>5.0822234999999996</v>
      </c>
      <c r="X1144" s="49">
        <f t="shared" ca="1" si="69"/>
        <v>20.758966663999999</v>
      </c>
      <c r="Y1144" s="14"/>
      <c r="Z1144" s="14"/>
      <c r="AA1144" s="14"/>
      <c r="AB1144" s="14">
        <f t="shared" ca="1" si="70"/>
        <v>93.545236768150417</v>
      </c>
      <c r="AC1144" s="14">
        <f t="shared" ca="1" si="70"/>
        <v>91.711168585131887</v>
      </c>
    </row>
    <row r="1145" spans="1:29" ht="15" x14ac:dyDescent="0.2">
      <c r="A1145" s="10">
        <f t="shared" si="63"/>
        <v>2088</v>
      </c>
      <c r="B1145" s="14">
        <f t="shared" ca="1" si="67"/>
        <v>97.117925</v>
      </c>
      <c r="C1145" s="14">
        <f t="shared" ca="1" si="67"/>
        <v>97.124191666666661</v>
      </c>
      <c r="D1145" s="14">
        <f t="shared" ca="1" si="67"/>
        <v>97.292708333333337</v>
      </c>
      <c r="E1145" s="14">
        <f t="shared" ca="1" si="67"/>
        <v>97.325133333333326</v>
      </c>
      <c r="F1145" s="14">
        <f t="shared" ca="1" si="67"/>
        <v>97.118949999999998</v>
      </c>
      <c r="G1145" s="14">
        <f t="shared" ca="1" si="67"/>
        <v>97.135383333333323</v>
      </c>
      <c r="H1145" s="14">
        <f t="shared" ca="1" si="67"/>
        <v>97.314250000000015</v>
      </c>
      <c r="I1145" s="14">
        <f t="shared" ca="1" si="67"/>
        <v>97.440183333333323</v>
      </c>
      <c r="J1145" s="14">
        <f t="shared" ca="1" si="67"/>
        <v>97.111949999999993</v>
      </c>
      <c r="K1145" s="14">
        <f t="shared" ca="1" si="67"/>
        <v>97.436291666666662</v>
      </c>
      <c r="L1145" s="14">
        <f t="shared" ca="1" si="68"/>
        <v>97.901250000000005</v>
      </c>
      <c r="M1145" s="14">
        <f t="shared" ca="1" si="68"/>
        <v>95.129900000000006</v>
      </c>
      <c r="N1145" s="14">
        <f t="shared" ca="1" si="68"/>
        <v>95.145983333333348</v>
      </c>
      <c r="O1145" s="14">
        <f t="shared" ca="1" si="68"/>
        <v>95.328041666666664</v>
      </c>
      <c r="P1145" s="14">
        <f t="shared" ca="1" si="68"/>
        <v>95.445358333333346</v>
      </c>
      <c r="Q1145" s="14">
        <f t="shared" ca="1" si="68"/>
        <v>95.922741666666681</v>
      </c>
      <c r="R1145" s="14">
        <f t="shared" ca="1" si="68"/>
        <v>96.749549999999985</v>
      </c>
      <c r="S1145" s="14">
        <f t="shared" ca="1" si="68"/>
        <v>93.311108333333323</v>
      </c>
      <c r="T1145" s="49">
        <f t="shared" ca="1" si="69"/>
        <v>358.17703550000004</v>
      </c>
      <c r="U1145" s="49">
        <f t="shared" ca="1" si="69"/>
        <v>142.42176299999997</v>
      </c>
      <c r="V1145" s="49">
        <f t="shared" ca="1" si="69"/>
        <v>50.325000000000003</v>
      </c>
      <c r="W1145" s="49">
        <f t="shared" ca="1" si="69"/>
        <v>5.0961473999999995</v>
      </c>
      <c r="X1145" s="49">
        <f t="shared" ca="1" si="69"/>
        <v>20.800615543999996</v>
      </c>
      <c r="Y1145" s="14"/>
      <c r="Z1145" s="14"/>
      <c r="AA1145" s="14"/>
      <c r="AB1145" s="14">
        <f t="shared" ca="1" si="70"/>
        <v>97.173778646256139</v>
      </c>
      <c r="AC1145" s="14">
        <f t="shared" ca="1" si="70"/>
        <v>95.266020563549148</v>
      </c>
    </row>
    <row r="1146" spans="1:29" ht="15" x14ac:dyDescent="0.2">
      <c r="A1146" s="10">
        <f t="shared" si="63"/>
        <v>2089</v>
      </c>
      <c r="B1146" s="14">
        <f t="shared" ca="1" si="67"/>
        <v>100.886325</v>
      </c>
      <c r="C1146" s="14">
        <f t="shared" ca="1" si="67"/>
        <v>100.89259166666666</v>
      </c>
      <c r="D1146" s="14">
        <f t="shared" ca="1" si="67"/>
        <v>101.0611</v>
      </c>
      <c r="E1146" s="14">
        <f t="shared" ca="1" si="67"/>
        <v>101.09350000000001</v>
      </c>
      <c r="F1146" s="14">
        <f t="shared" ca="1" si="67"/>
        <v>100.88732499999999</v>
      </c>
      <c r="G1146" s="14">
        <f t="shared" ca="1" si="67"/>
        <v>100.903775</v>
      </c>
      <c r="H1146" s="14">
        <f t="shared" ca="1" si="67"/>
        <v>101.08264166666669</v>
      </c>
      <c r="I1146" s="14">
        <f t="shared" ca="1" si="67"/>
        <v>101.22036666666668</v>
      </c>
      <c r="J1146" s="14">
        <f t="shared" ca="1" si="67"/>
        <v>100.88032499999998</v>
      </c>
      <c r="K1146" s="14">
        <f t="shared" ca="1" si="67"/>
        <v>101.21648333333333</v>
      </c>
      <c r="L1146" s="14">
        <f t="shared" ca="1" si="68"/>
        <v>101.66964166666668</v>
      </c>
      <c r="M1146" s="14">
        <f t="shared" ca="1" si="68"/>
        <v>98.821050000000014</v>
      </c>
      <c r="N1146" s="14">
        <f t="shared" ca="1" si="68"/>
        <v>98.837166666666647</v>
      </c>
      <c r="O1146" s="14">
        <f t="shared" ca="1" si="68"/>
        <v>99.019208333333339</v>
      </c>
      <c r="P1146" s="14">
        <f t="shared" ca="1" si="68"/>
        <v>99.147858333333332</v>
      </c>
      <c r="Q1146" s="14">
        <f t="shared" ca="1" si="68"/>
        <v>99.613908333333328</v>
      </c>
      <c r="R1146" s="14">
        <f t="shared" ca="1" si="68"/>
        <v>100.44995</v>
      </c>
      <c r="S1146" s="14">
        <f t="shared" ca="1" si="68"/>
        <v>96.932141666666681</v>
      </c>
      <c r="T1146" s="49">
        <f t="shared" ca="1" si="69"/>
        <v>357.24568100000005</v>
      </c>
      <c r="U1146" s="49">
        <f t="shared" ca="1" si="69"/>
        <v>142.03263249999998</v>
      </c>
      <c r="V1146" s="49">
        <f t="shared" ca="1" si="69"/>
        <v>50.187500000000007</v>
      </c>
      <c r="W1146" s="49">
        <f t="shared" ca="1" si="69"/>
        <v>5.0822234999999996</v>
      </c>
      <c r="X1146" s="49">
        <f t="shared" ca="1" si="69"/>
        <v>20.758966663999999</v>
      </c>
      <c r="Y1146" s="14"/>
      <c r="Z1146" s="14"/>
      <c r="AA1146" s="14"/>
      <c r="AB1146" s="14">
        <f t="shared" ca="1" si="70"/>
        <v>100.94313930091192</v>
      </c>
      <c r="AC1146" s="14">
        <f t="shared" ca="1" si="70"/>
        <v>98.958813129496392</v>
      </c>
    </row>
    <row r="1147" spans="1:29" ht="15" x14ac:dyDescent="0.2">
      <c r="A1147" s="10">
        <f t="shared" si="63"/>
        <v>2090</v>
      </c>
      <c r="B1147" s="14">
        <f t="shared" ca="1" si="67"/>
        <v>104.80093333333332</v>
      </c>
      <c r="C1147" s="14">
        <f t="shared" ca="1" si="67"/>
        <v>104.80719166666665</v>
      </c>
      <c r="D1147" s="14">
        <f t="shared" ca="1" si="67"/>
        <v>104.97571666666666</v>
      </c>
      <c r="E1147" s="14">
        <f t="shared" ca="1" si="67"/>
        <v>105.00814166666667</v>
      </c>
      <c r="F1147" s="14">
        <f t="shared" ca="1" si="67"/>
        <v>104.80196666666667</v>
      </c>
      <c r="G1147" s="14">
        <f t="shared" ca="1" si="67"/>
        <v>104.81837499999999</v>
      </c>
      <c r="H1147" s="14">
        <f t="shared" ca="1" si="67"/>
        <v>104.99725000000001</v>
      </c>
      <c r="I1147" s="14">
        <f t="shared" ca="1" si="67"/>
        <v>105.14724166666667</v>
      </c>
      <c r="J1147" s="14">
        <f t="shared" ca="1" si="67"/>
        <v>104.79496666666667</v>
      </c>
      <c r="K1147" s="14">
        <f t="shared" ca="1" si="67"/>
        <v>105.14334166666667</v>
      </c>
      <c r="L1147" s="14">
        <f t="shared" ca="1" si="68"/>
        <v>105.58425</v>
      </c>
      <c r="M1147" s="14">
        <f t="shared" ca="1" si="68"/>
        <v>102.65547500000001</v>
      </c>
      <c r="N1147" s="14">
        <f t="shared" ca="1" si="68"/>
        <v>102.67155000000001</v>
      </c>
      <c r="O1147" s="14">
        <f t="shared" ca="1" si="68"/>
        <v>102.85360833333333</v>
      </c>
      <c r="P1147" s="14">
        <f t="shared" ca="1" si="68"/>
        <v>102.99400833333334</v>
      </c>
      <c r="Q1147" s="14">
        <f t="shared" ca="1" si="68"/>
        <v>103.44830833333334</v>
      </c>
      <c r="R1147" s="14">
        <f t="shared" ca="1" si="68"/>
        <v>104.29394166666667</v>
      </c>
      <c r="S1147" s="14">
        <f t="shared" ca="1" si="68"/>
        <v>100.69369166666667</v>
      </c>
      <c r="T1147" s="49">
        <f t="shared" ca="1" si="69"/>
        <v>357.24568100000005</v>
      </c>
      <c r="U1147" s="49">
        <f t="shared" ca="1" si="69"/>
        <v>142.03263249999998</v>
      </c>
      <c r="V1147" s="49">
        <f t="shared" ca="1" si="69"/>
        <v>50.187500000000007</v>
      </c>
      <c r="W1147" s="49">
        <f t="shared" ca="1" si="69"/>
        <v>5.0822234999999996</v>
      </c>
      <c r="X1147" s="49">
        <f t="shared" ca="1" si="69"/>
        <v>20.758966663999999</v>
      </c>
      <c r="Y1147" s="14"/>
      <c r="Z1147" s="14"/>
      <c r="AA1147" s="14"/>
      <c r="AB1147" s="14">
        <f t="shared" ca="1" si="70"/>
        <v>104.85876669557445</v>
      </c>
      <c r="AC1147" s="14">
        <f t="shared" ca="1" si="70"/>
        <v>102.79491145083932</v>
      </c>
    </row>
    <row r="1148" spans="1:29" ht="15" x14ac:dyDescent="0.2">
      <c r="A1148" s="10">
        <f t="shared" si="63"/>
        <v>2091</v>
      </c>
      <c r="B1148" s="14">
        <f t="shared" ca="1" si="67"/>
        <v>108.86745000000002</v>
      </c>
      <c r="C1148" s="14">
        <f t="shared" ca="1" si="67"/>
        <v>108.87372499999998</v>
      </c>
      <c r="D1148" s="14">
        <f t="shared" ca="1" si="67"/>
        <v>109.04224166666665</v>
      </c>
      <c r="E1148" s="14">
        <f t="shared" ca="1" si="67"/>
        <v>109.07466666666666</v>
      </c>
      <c r="F1148" s="14">
        <f t="shared" ca="1" si="67"/>
        <v>108.86849166666667</v>
      </c>
      <c r="G1148" s="14">
        <f t="shared" ca="1" si="67"/>
        <v>108.88490000000002</v>
      </c>
      <c r="H1148" s="14">
        <f t="shared" ca="1" si="67"/>
        <v>109.06377499999998</v>
      </c>
      <c r="I1148" s="14">
        <f t="shared" ca="1" si="67"/>
        <v>109.2265</v>
      </c>
      <c r="J1148" s="14">
        <f t="shared" ca="1" si="67"/>
        <v>108.86149166666667</v>
      </c>
      <c r="K1148" s="14">
        <f t="shared" ca="1" si="67"/>
        <v>109.22260833333333</v>
      </c>
      <c r="L1148" s="14">
        <f t="shared" ca="1" si="68"/>
        <v>109.650775</v>
      </c>
      <c r="M1148" s="14">
        <f t="shared" ca="1" si="68"/>
        <v>106.63867500000002</v>
      </c>
      <c r="N1148" s="14">
        <f t="shared" ca="1" si="68"/>
        <v>106.65477500000001</v>
      </c>
      <c r="O1148" s="14">
        <f t="shared" ca="1" si="68"/>
        <v>106.83684166666667</v>
      </c>
      <c r="P1148" s="14">
        <f t="shared" ca="1" si="68"/>
        <v>106.98943333333334</v>
      </c>
      <c r="Q1148" s="14">
        <f t="shared" ca="1" si="68"/>
        <v>107.43154166666666</v>
      </c>
      <c r="R1148" s="14">
        <f t="shared" ca="1" si="68"/>
        <v>108.28710833333334</v>
      </c>
      <c r="S1148" s="14">
        <f t="shared" ca="1" si="68"/>
        <v>104.601225</v>
      </c>
      <c r="T1148" s="49">
        <f t="shared" ca="1" si="69"/>
        <v>357.24568100000005</v>
      </c>
      <c r="U1148" s="49">
        <f t="shared" ca="1" si="69"/>
        <v>142.03263249999998</v>
      </c>
      <c r="V1148" s="49">
        <f t="shared" ca="1" si="69"/>
        <v>50.187500000000007</v>
      </c>
      <c r="W1148" s="49">
        <f t="shared" ca="1" si="69"/>
        <v>5.0822234999999996</v>
      </c>
      <c r="X1148" s="49">
        <f t="shared" ca="1" si="69"/>
        <v>20.758966663999999</v>
      </c>
      <c r="Y1148" s="14"/>
      <c r="Z1148" s="14"/>
      <c r="AA1148" s="14"/>
      <c r="AB1148" s="14">
        <f t="shared" ca="1" si="70"/>
        <v>108.92634249002458</v>
      </c>
      <c r="AC1148" s="14">
        <f t="shared" ca="1" si="70"/>
        <v>106.77988699040765</v>
      </c>
    </row>
    <row r="1149" spans="1:29" ht="15" x14ac:dyDescent="0.2">
      <c r="A1149" s="10">
        <f t="shared" si="63"/>
        <v>2092</v>
      </c>
      <c r="B1149" s="14">
        <f t="shared" ref="B1149:K1157" ca="1" si="71">AVERAGE(OFFSET(B$601,($A1149-$A$1119)*12,0,12,1))</f>
        <v>113.09179166666667</v>
      </c>
      <c r="C1149" s="14">
        <f t="shared" ca="1" si="71"/>
        <v>113.09807499999999</v>
      </c>
      <c r="D1149" s="14">
        <f t="shared" ca="1" si="71"/>
        <v>113.26658333333334</v>
      </c>
      <c r="E1149" s="14">
        <f t="shared" ca="1" si="71"/>
        <v>113.29899999999999</v>
      </c>
      <c r="F1149" s="14">
        <f t="shared" ca="1" si="71"/>
        <v>113.09280833333334</v>
      </c>
      <c r="G1149" s="14">
        <f t="shared" ca="1" si="71"/>
        <v>113.10925000000002</v>
      </c>
      <c r="H1149" s="14">
        <f t="shared" ca="1" si="71"/>
        <v>113.28812499999999</v>
      </c>
      <c r="I1149" s="14">
        <f t="shared" ca="1" si="71"/>
        <v>113.46408333333335</v>
      </c>
      <c r="J1149" s="14">
        <f t="shared" ca="1" si="71"/>
        <v>113.08580833333333</v>
      </c>
      <c r="K1149" s="14">
        <f t="shared" ca="1" si="71"/>
        <v>113.46019166666666</v>
      </c>
      <c r="L1149" s="14">
        <f t="shared" ref="L1149:S1157" ca="1" si="72">AVERAGE(OFFSET(L$601,($A1149-$A$1119)*12,0,12,1))</f>
        <v>113.87512500000001</v>
      </c>
      <c r="M1149" s="14">
        <f t="shared" ca="1" si="72"/>
        <v>110.77645833333334</v>
      </c>
      <c r="N1149" s="14">
        <f t="shared" ca="1" si="72"/>
        <v>110.79256666666667</v>
      </c>
      <c r="O1149" s="14">
        <f t="shared" ca="1" si="72"/>
        <v>110.97461666666668</v>
      </c>
      <c r="P1149" s="14">
        <f t="shared" ca="1" si="72"/>
        <v>111.13991666666668</v>
      </c>
      <c r="Q1149" s="14">
        <f t="shared" ca="1" si="72"/>
        <v>111.56931666666667</v>
      </c>
      <c r="R1149" s="14">
        <f t="shared" ca="1" si="72"/>
        <v>112.43523333333331</v>
      </c>
      <c r="S1149" s="14">
        <f t="shared" ca="1" si="72"/>
        <v>108.66038333333334</v>
      </c>
      <c r="T1149" s="49">
        <f t="shared" ref="T1149:X1157" ca="1" si="73">SUM(OFFSET(T$601,($A1149-$A$1119)*12,0,12,1))</f>
        <v>358.17703550000004</v>
      </c>
      <c r="U1149" s="49">
        <f t="shared" ca="1" si="73"/>
        <v>142.42176299999997</v>
      </c>
      <c r="V1149" s="49">
        <f t="shared" ca="1" si="73"/>
        <v>50.325000000000003</v>
      </c>
      <c r="W1149" s="49">
        <f t="shared" ca="1" si="73"/>
        <v>5.0961473999999995</v>
      </c>
      <c r="X1149" s="49">
        <f t="shared" ca="1" si="73"/>
        <v>20.800615543999996</v>
      </c>
      <c r="Y1149" s="14"/>
      <c r="Z1149" s="14"/>
      <c r="AA1149" s="14"/>
      <c r="AB1149" s="14">
        <f t="shared" ca="1" si="70"/>
        <v>113.151770599041</v>
      </c>
      <c r="AC1149" s="14">
        <f t="shared" ca="1" si="70"/>
        <v>110.91949436450841</v>
      </c>
    </row>
    <row r="1150" spans="1:29" ht="15" x14ac:dyDescent="0.2">
      <c r="A1150" s="10">
        <f t="shared" si="63"/>
        <v>2093</v>
      </c>
      <c r="B1150" s="14">
        <f t="shared" ca="1" si="71"/>
        <v>117.48005833333336</v>
      </c>
      <c r="C1150" s="14">
        <f t="shared" ca="1" si="71"/>
        <v>117.48633333333333</v>
      </c>
      <c r="D1150" s="14">
        <f t="shared" ca="1" si="71"/>
        <v>117.65484999999997</v>
      </c>
      <c r="E1150" s="14">
        <f t="shared" ca="1" si="71"/>
        <v>117.68725833333333</v>
      </c>
      <c r="F1150" s="14">
        <f t="shared" ca="1" si="71"/>
        <v>117.48108333333333</v>
      </c>
      <c r="G1150" s="14">
        <f t="shared" ca="1" si="71"/>
        <v>117.49753333333335</v>
      </c>
      <c r="H1150" s="14">
        <f t="shared" ca="1" si="71"/>
        <v>117.67638333333333</v>
      </c>
      <c r="I1150" s="14">
        <f t="shared" ca="1" si="71"/>
        <v>117.86608333333334</v>
      </c>
      <c r="J1150" s="14">
        <f t="shared" ca="1" si="71"/>
        <v>117.47408333333334</v>
      </c>
      <c r="K1150" s="14">
        <f t="shared" ca="1" si="71"/>
        <v>117.86220833333334</v>
      </c>
      <c r="L1150" s="14">
        <f t="shared" ca="1" si="72"/>
        <v>118.26338333333332</v>
      </c>
      <c r="M1150" s="14">
        <f t="shared" ca="1" si="72"/>
        <v>115.07480833333335</v>
      </c>
      <c r="N1150" s="14">
        <f t="shared" ca="1" si="72"/>
        <v>115.09090833333335</v>
      </c>
      <c r="O1150" s="14">
        <f t="shared" ca="1" si="72"/>
        <v>115.27298333333333</v>
      </c>
      <c r="P1150" s="14">
        <f t="shared" ca="1" si="72"/>
        <v>115.4514416666667</v>
      </c>
      <c r="Q1150" s="14">
        <f t="shared" ca="1" si="72"/>
        <v>115.86768333333333</v>
      </c>
      <c r="R1150" s="14">
        <f t="shared" ca="1" si="72"/>
        <v>116.74434166666667</v>
      </c>
      <c r="S1150" s="14">
        <f t="shared" ca="1" si="72"/>
        <v>112.87708333333335</v>
      </c>
      <c r="T1150" s="49">
        <f t="shared" ca="1" si="73"/>
        <v>357.24568100000005</v>
      </c>
      <c r="U1150" s="49">
        <f t="shared" ca="1" si="73"/>
        <v>142.03263249999998</v>
      </c>
      <c r="V1150" s="49">
        <f t="shared" ca="1" si="73"/>
        <v>50.187500000000007</v>
      </c>
      <c r="W1150" s="49">
        <f t="shared" ca="1" si="73"/>
        <v>5.0822234999999996</v>
      </c>
      <c r="X1150" s="49">
        <f t="shared" ca="1" si="73"/>
        <v>20.758966663999999</v>
      </c>
      <c r="Y1150" s="14"/>
      <c r="Z1150" s="14"/>
      <c r="AA1150" s="14"/>
      <c r="AB1150" s="14">
        <f t="shared" ca="1" si="70"/>
        <v>117.54117118956863</v>
      </c>
      <c r="AC1150" s="14">
        <f t="shared" ca="1" si="70"/>
        <v>115.21974712230217</v>
      </c>
    </row>
    <row r="1151" spans="1:29" ht="15" x14ac:dyDescent="0.2">
      <c r="A1151" s="10">
        <f t="shared" si="63"/>
        <v>2094</v>
      </c>
      <c r="B1151" s="14">
        <f t="shared" ca="1" si="71"/>
        <v>122.03863333333334</v>
      </c>
      <c r="C1151" s="14">
        <f t="shared" ca="1" si="71"/>
        <v>122.0449</v>
      </c>
      <c r="D1151" s="14">
        <f t="shared" ca="1" si="71"/>
        <v>122.21339999999999</v>
      </c>
      <c r="E1151" s="14">
        <f t="shared" ca="1" si="71"/>
        <v>122.24584166666666</v>
      </c>
      <c r="F1151" s="14">
        <f t="shared" ca="1" si="71"/>
        <v>122.03965000000001</v>
      </c>
      <c r="G1151" s="14">
        <f t="shared" ca="1" si="71"/>
        <v>122.05607499999998</v>
      </c>
      <c r="H1151" s="14">
        <f t="shared" ca="1" si="71"/>
        <v>122.23494166666666</v>
      </c>
      <c r="I1151" s="14">
        <f t="shared" ca="1" si="71"/>
        <v>122.43893333333335</v>
      </c>
      <c r="J1151" s="14">
        <f t="shared" ca="1" si="71"/>
        <v>122.03265</v>
      </c>
      <c r="K1151" s="14">
        <f t="shared" ca="1" si="71"/>
        <v>122.43503333333335</v>
      </c>
      <c r="L1151" s="14">
        <f t="shared" ca="1" si="72"/>
        <v>122.82194166666666</v>
      </c>
      <c r="M1151" s="14">
        <f t="shared" ca="1" si="72"/>
        <v>119.53998333333334</v>
      </c>
      <c r="N1151" s="14">
        <f t="shared" ca="1" si="72"/>
        <v>119.55607500000001</v>
      </c>
      <c r="O1151" s="14">
        <f t="shared" ca="1" si="72"/>
        <v>119.73813333333334</v>
      </c>
      <c r="P1151" s="14">
        <f t="shared" ca="1" si="72"/>
        <v>119.93030833333334</v>
      </c>
      <c r="Q1151" s="14">
        <f t="shared" ca="1" si="72"/>
        <v>120.33283333333334</v>
      </c>
      <c r="R1151" s="14">
        <f t="shared" ca="1" si="72"/>
        <v>121.22067499999999</v>
      </c>
      <c r="S1151" s="14">
        <f t="shared" ca="1" si="72"/>
        <v>117.25740833333334</v>
      </c>
      <c r="T1151" s="49">
        <f t="shared" ca="1" si="73"/>
        <v>357.24568100000005</v>
      </c>
      <c r="U1151" s="49">
        <f t="shared" ca="1" si="73"/>
        <v>142.03263249999998</v>
      </c>
      <c r="V1151" s="49">
        <f t="shared" ca="1" si="73"/>
        <v>50.187500000000007</v>
      </c>
      <c r="W1151" s="49">
        <f t="shared" ca="1" si="73"/>
        <v>5.0822234999999996</v>
      </c>
      <c r="X1151" s="49">
        <f t="shared" ca="1" si="73"/>
        <v>20.758966663999999</v>
      </c>
      <c r="Y1151" s="14"/>
      <c r="Z1151" s="14"/>
      <c r="AA1151" s="14"/>
      <c r="AB1151" s="14">
        <f t="shared" ca="1" si="70"/>
        <v>122.10091122397695</v>
      </c>
      <c r="AC1151" s="14">
        <f t="shared" ca="1" si="70"/>
        <v>119.68688033573142</v>
      </c>
    </row>
    <row r="1152" spans="1:29" ht="15" x14ac:dyDescent="0.2">
      <c r="A1152" s="10">
        <f t="shared" si="63"/>
        <v>2095</v>
      </c>
      <c r="B1152" s="14">
        <f t="shared" ca="1" si="71"/>
        <v>126.77408333333329</v>
      </c>
      <c r="C1152" s="14">
        <f t="shared" ca="1" si="71"/>
        <v>126.78036666666667</v>
      </c>
      <c r="D1152" s="14">
        <f t="shared" ca="1" si="71"/>
        <v>126.948875</v>
      </c>
      <c r="E1152" s="14">
        <f t="shared" ca="1" si="71"/>
        <v>126.98129166666668</v>
      </c>
      <c r="F1152" s="14">
        <f t="shared" ca="1" si="71"/>
        <v>126.77511666666665</v>
      </c>
      <c r="G1152" s="14">
        <f t="shared" ca="1" si="71"/>
        <v>126.79155833333334</v>
      </c>
      <c r="H1152" s="14">
        <f t="shared" ca="1" si="71"/>
        <v>126.97040833333334</v>
      </c>
      <c r="I1152" s="14">
        <f t="shared" ca="1" si="71"/>
        <v>127.18923333333335</v>
      </c>
      <c r="J1152" s="14">
        <f t="shared" ca="1" si="71"/>
        <v>126.76811666666669</v>
      </c>
      <c r="K1152" s="14">
        <f t="shared" ca="1" si="71"/>
        <v>127.18533333333333</v>
      </c>
      <c r="L1152" s="14">
        <f t="shared" ca="1" si="72"/>
        <v>127.55740833333333</v>
      </c>
      <c r="M1152" s="14">
        <f t="shared" ca="1" si="72"/>
        <v>124.178425</v>
      </c>
      <c r="N1152" s="14">
        <f t="shared" ca="1" si="72"/>
        <v>124.19451666666667</v>
      </c>
      <c r="O1152" s="14">
        <f t="shared" ca="1" si="72"/>
        <v>124.37658333333336</v>
      </c>
      <c r="P1152" s="14">
        <f t="shared" ca="1" si="72"/>
        <v>124.58298333333335</v>
      </c>
      <c r="Q1152" s="14">
        <f t="shared" ca="1" si="72"/>
        <v>124.97128333333335</v>
      </c>
      <c r="R1152" s="14">
        <f t="shared" ca="1" si="72"/>
        <v>125.87070833333333</v>
      </c>
      <c r="S1152" s="14">
        <f t="shared" ca="1" si="72"/>
        <v>121.807725</v>
      </c>
      <c r="T1152" s="49">
        <f t="shared" ca="1" si="73"/>
        <v>357.24568100000005</v>
      </c>
      <c r="U1152" s="49">
        <f t="shared" ca="1" si="73"/>
        <v>142.03263249999998</v>
      </c>
      <c r="V1152" s="49">
        <f t="shared" ca="1" si="73"/>
        <v>50.187500000000007</v>
      </c>
      <c r="W1152" s="49">
        <f t="shared" ca="1" si="73"/>
        <v>5.0822234999999996</v>
      </c>
      <c r="X1152" s="49">
        <f t="shared" ca="1" si="73"/>
        <v>20.758966663999999</v>
      </c>
      <c r="Y1152" s="14"/>
      <c r="Z1152" s="14"/>
      <c r="AA1152" s="14"/>
      <c r="AB1152" s="14">
        <f t="shared" ca="1" si="70"/>
        <v>126.83760036377538</v>
      </c>
      <c r="AC1152" s="14">
        <f t="shared" ca="1" si="70"/>
        <v>124.32737374100719</v>
      </c>
    </row>
    <row r="1153" spans="1:29" ht="15" x14ac:dyDescent="0.2">
      <c r="A1153" s="10">
        <f t="shared" si="63"/>
        <v>2096</v>
      </c>
      <c r="B1153" s="14">
        <f t="shared" ca="1" si="71"/>
        <v>131.69332499999999</v>
      </c>
      <c r="C1153" s="14">
        <f t="shared" ca="1" si="71"/>
        <v>131.69959166666669</v>
      </c>
      <c r="D1153" s="14">
        <f t="shared" ca="1" si="71"/>
        <v>131.86810000000003</v>
      </c>
      <c r="E1153" s="14">
        <f t="shared" ca="1" si="71"/>
        <v>131.90053333333333</v>
      </c>
      <c r="F1153" s="14">
        <f t="shared" ca="1" si="71"/>
        <v>131.69435833333333</v>
      </c>
      <c r="G1153" s="14">
        <f t="shared" ca="1" si="71"/>
        <v>131.71077500000001</v>
      </c>
      <c r="H1153" s="14">
        <f t="shared" ca="1" si="71"/>
        <v>131.88964166666665</v>
      </c>
      <c r="I1153" s="14">
        <f t="shared" ca="1" si="71"/>
        <v>132.123875</v>
      </c>
      <c r="J1153" s="14">
        <f t="shared" ca="1" si="71"/>
        <v>131.68735833333332</v>
      </c>
      <c r="K1153" s="14">
        <f t="shared" ca="1" si="71"/>
        <v>132.11998333333335</v>
      </c>
      <c r="L1153" s="14">
        <f t="shared" ca="1" si="72"/>
        <v>132.47664166666664</v>
      </c>
      <c r="M1153" s="14">
        <f t="shared" ca="1" si="72"/>
        <v>128.99687500000002</v>
      </c>
      <c r="N1153" s="14">
        <f t="shared" ca="1" si="72"/>
        <v>129.01295000000002</v>
      </c>
      <c r="O1153" s="14">
        <f t="shared" ca="1" si="72"/>
        <v>129.19500833333336</v>
      </c>
      <c r="P1153" s="14">
        <f t="shared" ca="1" si="72"/>
        <v>129.41621666666668</v>
      </c>
      <c r="Q1153" s="14">
        <f t="shared" ca="1" si="72"/>
        <v>129.78970833333332</v>
      </c>
      <c r="R1153" s="14">
        <f t="shared" ca="1" si="72"/>
        <v>130.70119166666666</v>
      </c>
      <c r="S1153" s="14">
        <f t="shared" ca="1" si="72"/>
        <v>126.53460000000001</v>
      </c>
      <c r="T1153" s="49">
        <f t="shared" ca="1" si="73"/>
        <v>358.17703550000004</v>
      </c>
      <c r="U1153" s="49">
        <f t="shared" ca="1" si="73"/>
        <v>142.42176299999997</v>
      </c>
      <c r="V1153" s="49">
        <f t="shared" ca="1" si="73"/>
        <v>50.325000000000003</v>
      </c>
      <c r="W1153" s="49">
        <f t="shared" ca="1" si="73"/>
        <v>5.0961473999999995</v>
      </c>
      <c r="X1153" s="49">
        <f t="shared" ca="1" si="73"/>
        <v>20.800615543999996</v>
      </c>
      <c r="Y1153" s="14"/>
      <c r="Z1153" s="14"/>
      <c r="AA1153" s="14"/>
      <c r="AB1153" s="14">
        <f t="shared" ca="1" si="70"/>
        <v>131.75810198785547</v>
      </c>
      <c r="AC1153" s="14">
        <f t="shared" ca="1" si="70"/>
        <v>129.14793854916067</v>
      </c>
    </row>
    <row r="1154" spans="1:29" ht="15" x14ac:dyDescent="0.2">
      <c r="A1154" s="10">
        <f t="shared" si="63"/>
        <v>2097</v>
      </c>
      <c r="B1154" s="14">
        <f t="shared" ca="1" si="71"/>
        <v>136.80345833333334</v>
      </c>
      <c r="C1154" s="14">
        <f t="shared" ca="1" si="71"/>
        <v>136.80973333333333</v>
      </c>
      <c r="D1154" s="14">
        <f t="shared" ca="1" si="71"/>
        <v>136.97825000000003</v>
      </c>
      <c r="E1154" s="14">
        <f t="shared" ca="1" si="71"/>
        <v>137.01067500000002</v>
      </c>
      <c r="F1154" s="14">
        <f t="shared" ca="1" si="71"/>
        <v>136.804475</v>
      </c>
      <c r="G1154" s="14">
        <f t="shared" ca="1" si="71"/>
        <v>136.82090833333334</v>
      </c>
      <c r="H1154" s="14">
        <f t="shared" ca="1" si="71"/>
        <v>136.99979166666665</v>
      </c>
      <c r="I1154" s="14">
        <f t="shared" ca="1" si="71"/>
        <v>137.25</v>
      </c>
      <c r="J1154" s="14">
        <f t="shared" ca="1" si="71"/>
        <v>136.79747499999999</v>
      </c>
      <c r="K1154" s="14">
        <f t="shared" ca="1" si="71"/>
        <v>137.24610833333335</v>
      </c>
      <c r="L1154" s="14">
        <f t="shared" ca="1" si="72"/>
        <v>137.58679166666664</v>
      </c>
      <c r="M1154" s="14">
        <f t="shared" ca="1" si="72"/>
        <v>134.00226666666666</v>
      </c>
      <c r="N1154" s="14">
        <f t="shared" ca="1" si="72"/>
        <v>134.01837499999999</v>
      </c>
      <c r="O1154" s="14">
        <f t="shared" ca="1" si="72"/>
        <v>134.200425</v>
      </c>
      <c r="P1154" s="14">
        <f t="shared" ca="1" si="72"/>
        <v>134.43698333333333</v>
      </c>
      <c r="Q1154" s="14">
        <f t="shared" ca="1" si="72"/>
        <v>134.79512499999998</v>
      </c>
      <c r="R1154" s="14">
        <f t="shared" ca="1" si="72"/>
        <v>135.71913333333336</v>
      </c>
      <c r="S1154" s="14">
        <f t="shared" ca="1" si="72"/>
        <v>131.44492499999998</v>
      </c>
      <c r="T1154" s="49">
        <f t="shared" ca="1" si="73"/>
        <v>357.24568100000005</v>
      </c>
      <c r="U1154" s="49">
        <f t="shared" ca="1" si="73"/>
        <v>142.03263249999998</v>
      </c>
      <c r="V1154" s="49">
        <f t="shared" ca="1" si="73"/>
        <v>50.187500000000007</v>
      </c>
      <c r="W1154" s="49">
        <f t="shared" ca="1" si="73"/>
        <v>5.0822234999999996</v>
      </c>
      <c r="X1154" s="49">
        <f t="shared" ca="1" si="73"/>
        <v>20.758966663999999</v>
      </c>
      <c r="Y1154" s="14"/>
      <c r="Z1154" s="14"/>
      <c r="AA1154" s="14"/>
      <c r="AB1154" s="14">
        <f t="shared" ca="1" si="70"/>
        <v>136.86955263336586</v>
      </c>
      <c r="AC1154" s="14">
        <f t="shared" ca="1" si="70"/>
        <v>134.15555569544361</v>
      </c>
    </row>
    <row r="1155" spans="1:29" ht="15" x14ac:dyDescent="0.2">
      <c r="A1155" s="10">
        <f t="shared" si="63"/>
        <v>2098</v>
      </c>
      <c r="B1155" s="14">
        <f t="shared" ca="1" si="71"/>
        <v>142.11187499999997</v>
      </c>
      <c r="C1155" s="14">
        <f t="shared" ca="1" si="71"/>
        <v>142.1181583333333</v>
      </c>
      <c r="D1155" s="14">
        <f t="shared" ca="1" si="71"/>
        <v>142.28668333333334</v>
      </c>
      <c r="E1155" s="14">
        <f t="shared" ca="1" si="71"/>
        <v>142.31910000000002</v>
      </c>
      <c r="F1155" s="14">
        <f t="shared" ca="1" si="71"/>
        <v>142.11289999999997</v>
      </c>
      <c r="G1155" s="14">
        <f t="shared" ca="1" si="71"/>
        <v>142.12933333333334</v>
      </c>
      <c r="H1155" s="14">
        <f t="shared" ca="1" si="71"/>
        <v>142.30821666666665</v>
      </c>
      <c r="I1155" s="14">
        <f t="shared" ca="1" si="71"/>
        <v>142.57506666666666</v>
      </c>
      <c r="J1155" s="14">
        <f t="shared" ca="1" si="71"/>
        <v>142.10589999999999</v>
      </c>
      <c r="K1155" s="14">
        <f t="shared" ca="1" si="71"/>
        <v>142.57117500000001</v>
      </c>
      <c r="L1155" s="14">
        <f t="shared" ca="1" si="72"/>
        <v>142.89521666666664</v>
      </c>
      <c r="M1155" s="14">
        <f t="shared" ca="1" si="72"/>
        <v>139.20195833333335</v>
      </c>
      <c r="N1155" s="14">
        <f t="shared" ca="1" si="72"/>
        <v>139.21805833333335</v>
      </c>
      <c r="O1155" s="14">
        <f t="shared" ca="1" si="72"/>
        <v>139.40009166666667</v>
      </c>
      <c r="P1155" s="14">
        <f t="shared" ca="1" si="72"/>
        <v>139.65261666666669</v>
      </c>
      <c r="Q1155" s="14">
        <f t="shared" ca="1" si="72"/>
        <v>139.99479166666666</v>
      </c>
      <c r="R1155" s="14">
        <f t="shared" ca="1" si="72"/>
        <v>140.93178333333333</v>
      </c>
      <c r="S1155" s="14">
        <f t="shared" ca="1" si="72"/>
        <v>136.54580833333333</v>
      </c>
      <c r="T1155" s="49">
        <f t="shared" ca="1" si="73"/>
        <v>357.24568100000005</v>
      </c>
      <c r="U1155" s="49">
        <f t="shared" ca="1" si="73"/>
        <v>142.03263249999998</v>
      </c>
      <c r="V1155" s="49">
        <f t="shared" ca="1" si="73"/>
        <v>50.187500000000007</v>
      </c>
      <c r="W1155" s="49">
        <f t="shared" ca="1" si="73"/>
        <v>5.0822234999999996</v>
      </c>
      <c r="X1155" s="49">
        <f t="shared" ca="1" si="73"/>
        <v>20.758966663999999</v>
      </c>
      <c r="Y1155" s="14"/>
      <c r="Z1155" s="14"/>
      <c r="AA1155" s="14"/>
      <c r="AB1155" s="14">
        <f t="shared" ca="1" si="70"/>
        <v>142.17934850356025</v>
      </c>
      <c r="AC1155" s="14">
        <f t="shared" ca="1" si="70"/>
        <v>139.35752931654676</v>
      </c>
    </row>
    <row r="1156" spans="1:29" ht="15" x14ac:dyDescent="0.2">
      <c r="A1156" s="10">
        <f t="shared" si="63"/>
        <v>2099</v>
      </c>
      <c r="B1156" s="14">
        <f t="shared" ca="1" si="71"/>
        <v>147.62633333333335</v>
      </c>
      <c r="C1156" s="14">
        <f t="shared" ca="1" si="71"/>
        <v>147.63260000000005</v>
      </c>
      <c r="D1156" s="14">
        <f t="shared" ca="1" si="71"/>
        <v>147.80112500000001</v>
      </c>
      <c r="E1156" s="14">
        <f t="shared" ca="1" si="71"/>
        <v>147.83354999999997</v>
      </c>
      <c r="F1156" s="14">
        <f t="shared" ca="1" si="71"/>
        <v>147.62735833333332</v>
      </c>
      <c r="G1156" s="14">
        <f t="shared" ca="1" si="71"/>
        <v>147.64378333333335</v>
      </c>
      <c r="H1156" s="14">
        <f t="shared" ca="1" si="71"/>
        <v>147.82266666666666</v>
      </c>
      <c r="I1156" s="14">
        <f t="shared" ca="1" si="71"/>
        <v>148.10676666666669</v>
      </c>
      <c r="J1156" s="14">
        <f t="shared" ca="1" si="71"/>
        <v>147.62035833333334</v>
      </c>
      <c r="K1156" s="14">
        <f t="shared" ca="1" si="71"/>
        <v>148.10286666666664</v>
      </c>
      <c r="L1156" s="14">
        <f t="shared" ca="1" si="72"/>
        <v>148.40966666666665</v>
      </c>
      <c r="M1156" s="14">
        <f t="shared" ca="1" si="72"/>
        <v>144.60340833333333</v>
      </c>
      <c r="N1156" s="14">
        <f t="shared" ca="1" si="72"/>
        <v>144.61949166666665</v>
      </c>
      <c r="O1156" s="14">
        <f t="shared" ca="1" si="72"/>
        <v>144.80155833333333</v>
      </c>
      <c r="P1156" s="14">
        <f t="shared" ca="1" si="72"/>
        <v>145.07063333333332</v>
      </c>
      <c r="Q1156" s="14">
        <f t="shared" ca="1" si="72"/>
        <v>145.39625833333335</v>
      </c>
      <c r="R1156" s="14">
        <f t="shared" ca="1" si="72"/>
        <v>146.34675000000001</v>
      </c>
      <c r="S1156" s="14">
        <f t="shared" ca="1" si="72"/>
        <v>141.84461666666667</v>
      </c>
      <c r="T1156" s="49">
        <f t="shared" ca="1" si="73"/>
        <v>357.24568100000005</v>
      </c>
      <c r="U1156" s="49">
        <f t="shared" ca="1" si="73"/>
        <v>142.03263249999998</v>
      </c>
      <c r="V1156" s="49">
        <f t="shared" ca="1" si="73"/>
        <v>50.187500000000007</v>
      </c>
      <c r="W1156" s="49">
        <f t="shared" ca="1" si="73"/>
        <v>5.0822234999999996</v>
      </c>
      <c r="X1156" s="49">
        <f t="shared" ca="1" si="73"/>
        <v>20.758966663999999</v>
      </c>
      <c r="Y1156" s="14"/>
      <c r="Z1156" s="14"/>
      <c r="AA1156" s="14"/>
      <c r="AB1156" s="14">
        <f t="shared" ca="1" si="70"/>
        <v>147.69522031557202</v>
      </c>
      <c r="AC1156" s="14">
        <f t="shared" ca="1" si="70"/>
        <v>144.76136960431651</v>
      </c>
    </row>
    <row r="1157" spans="1:29" ht="15" x14ac:dyDescent="0.2">
      <c r="A1157" s="10">
        <f t="shared" si="63"/>
        <v>2100</v>
      </c>
      <c r="B1157" s="14">
        <f t="shared" ca="1" si="71"/>
        <v>153.35469166666667</v>
      </c>
      <c r="C1157" s="14">
        <f t="shared" ca="1" si="71"/>
        <v>153.36094166666669</v>
      </c>
      <c r="D1157" s="14">
        <f t="shared" ca="1" si="71"/>
        <v>153.52945</v>
      </c>
      <c r="E1157" s="14">
        <f t="shared" ca="1" si="71"/>
        <v>153.56189999999995</v>
      </c>
      <c r="F1157" s="14">
        <f t="shared" ca="1" si="71"/>
        <v>153.35571666666667</v>
      </c>
      <c r="G1157" s="14">
        <f t="shared" ca="1" si="71"/>
        <v>153.37214166666669</v>
      </c>
      <c r="H1157" s="14">
        <f t="shared" ca="1" si="71"/>
        <v>153.55099166666665</v>
      </c>
      <c r="I1157" s="14">
        <f t="shared" ca="1" si="71"/>
        <v>153.85306666666671</v>
      </c>
      <c r="J1157" s="14">
        <f t="shared" ca="1" si="71"/>
        <v>153.34871666666669</v>
      </c>
      <c r="K1157" s="14">
        <f t="shared" ca="1" si="71"/>
        <v>153.84919166666666</v>
      </c>
      <c r="L1157" s="14">
        <f t="shared" ca="1" si="72"/>
        <v>154.13799166666666</v>
      </c>
      <c r="M1157" s="14">
        <f t="shared" ca="1" si="72"/>
        <v>150.21438333333333</v>
      </c>
      <c r="N1157" s="14">
        <f t="shared" ca="1" si="72"/>
        <v>150.23048333333332</v>
      </c>
      <c r="O1157" s="14">
        <f t="shared" ca="1" si="72"/>
        <v>150.41255000000001</v>
      </c>
      <c r="P1157" s="14">
        <f t="shared" ca="1" si="72"/>
        <v>150.69882499999997</v>
      </c>
      <c r="Q1157" s="14">
        <f t="shared" ca="1" si="72"/>
        <v>151.00724999999997</v>
      </c>
      <c r="R1157" s="14">
        <f t="shared" ca="1" si="72"/>
        <v>151.97177500000001</v>
      </c>
      <c r="S1157" s="14">
        <f t="shared" ca="1" si="72"/>
        <v>147.34900000000002</v>
      </c>
      <c r="T1157" s="49">
        <f t="shared" ca="1" si="73"/>
        <v>358.17703550000004</v>
      </c>
      <c r="U1157" s="49">
        <f t="shared" ca="1" si="73"/>
        <v>142.42176299999997</v>
      </c>
      <c r="V1157" s="49">
        <f t="shared" ca="1" si="73"/>
        <v>50.325000000000003</v>
      </c>
      <c r="W1157" s="49">
        <f t="shared" ca="1" si="73"/>
        <v>5.0961473999999995</v>
      </c>
      <c r="X1157" s="49">
        <f t="shared" ca="1" si="73"/>
        <v>20.758966663999999</v>
      </c>
      <c r="Y1157" s="14"/>
      <c r="Z1157" s="14"/>
      <c r="AA1157" s="14"/>
      <c r="AB1157" s="14">
        <f t="shared" ca="1" si="70"/>
        <v>153.42504978264793</v>
      </c>
      <c r="AC1157" s="14">
        <f t="shared" ca="1" si="70"/>
        <v>150.37483033573142</v>
      </c>
    </row>
    <row r="1158" spans="1:29" ht="15" x14ac:dyDescent="0.2">
      <c r="A1158" s="10"/>
    </row>
    <row r="1159" spans="1:29" ht="15" x14ac:dyDescent="0.2">
      <c r="A1159" s="10"/>
    </row>
    <row r="1160" spans="1:29" ht="15" x14ac:dyDescent="0.2">
      <c r="A1160" s="10"/>
    </row>
    <row r="1161" spans="1:29" ht="15" x14ac:dyDescent="0.2">
      <c r="A1161" s="10"/>
    </row>
    <row r="1162" spans="1:29" ht="15" x14ac:dyDescent="0.2">
      <c r="A1162" s="10"/>
    </row>
    <row r="1163" spans="1:29" ht="15" x14ac:dyDescent="0.2">
      <c r="A1163" s="10"/>
    </row>
    <row r="1164" spans="1:29" ht="15" x14ac:dyDescent="0.2">
      <c r="A1164" s="10"/>
    </row>
    <row r="1165" spans="1:29" ht="15" x14ac:dyDescent="0.2">
      <c r="A1165" s="10"/>
    </row>
    <row r="1166" spans="1:29" ht="15" x14ac:dyDescent="0.2">
      <c r="A1166" s="10"/>
    </row>
    <row r="1167" spans="1:29" ht="15" x14ac:dyDescent="0.2">
      <c r="A1167" s="10"/>
    </row>
    <row r="1168" spans="1:29" ht="15" x14ac:dyDescent="0.2">
      <c r="A1168" s="10"/>
    </row>
    <row r="1169" spans="1:1" ht="15" x14ac:dyDescent="0.2">
      <c r="A1169" s="10"/>
    </row>
    <row r="1170" spans="1:1" ht="15" x14ac:dyDescent="0.2">
      <c r="A1170" s="10"/>
    </row>
    <row r="1171" spans="1:1" ht="15" x14ac:dyDescent="0.2">
      <c r="A1171" s="10"/>
    </row>
    <row r="1172" spans="1:1" ht="15" x14ac:dyDescent="0.2">
      <c r="A1172" s="10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133350</xdr:rowOff>
                  </from>
                  <to>
                    <xdr:col>12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0" zoomScaleNormal="70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 activeCell="B12" sqref="B12"/>
    </sheetView>
  </sheetViews>
  <sheetFormatPr defaultColWidth="7.109375" defaultRowHeight="12.75" x14ac:dyDescent="0.2"/>
  <cols>
    <col min="1" max="1" width="19.21875" style="31" customWidth="1"/>
    <col min="2" max="2" width="7.88671875" style="31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1" t="s">
        <v>91</v>
      </c>
    </row>
    <row r="2" spans="1:30" ht="15.75" x14ac:dyDescent="0.25">
      <c r="A2" s="101" t="s">
        <v>92</v>
      </c>
    </row>
    <row r="3" spans="1:30" ht="15.75" x14ac:dyDescent="0.25">
      <c r="A3" s="101" t="s">
        <v>93</v>
      </c>
    </row>
    <row r="4" spans="1:30" ht="15.75" x14ac:dyDescent="0.25">
      <c r="A4" s="101" t="s">
        <v>94</v>
      </c>
    </row>
    <row r="5" spans="1:30" ht="15.75" x14ac:dyDescent="0.25">
      <c r="A5" s="101" t="s">
        <v>96</v>
      </c>
    </row>
    <row r="6" spans="1:30" ht="15.75" x14ac:dyDescent="0.25">
      <c r="A6" s="101" t="s">
        <v>101</v>
      </c>
    </row>
    <row r="8" spans="1:30" ht="15.75" x14ac:dyDescent="0.25">
      <c r="A8" s="43" t="s">
        <v>27</v>
      </c>
      <c r="B8" s="43"/>
      <c r="C8" s="100"/>
      <c r="O8" s="72"/>
      <c r="P8" s="72"/>
      <c r="Q8" s="72"/>
      <c r="R8" s="72"/>
      <c r="S8" s="72"/>
    </row>
    <row r="9" spans="1:30" ht="15.75" x14ac:dyDescent="0.25">
      <c r="A9" s="43"/>
      <c r="C9" s="110" t="s">
        <v>90</v>
      </c>
      <c r="D9" s="110"/>
      <c r="E9" s="110"/>
      <c r="F9" s="110"/>
      <c r="G9" s="99"/>
      <c r="H9" s="99"/>
      <c r="I9" s="115" t="s">
        <v>89</v>
      </c>
      <c r="J9" s="116"/>
      <c r="K9" s="116"/>
      <c r="L9" s="98"/>
      <c r="M9" s="74"/>
      <c r="N9" s="97"/>
      <c r="O9" s="114"/>
      <c r="P9" s="114"/>
      <c r="Q9" s="114"/>
      <c r="R9" s="96"/>
      <c r="S9" s="96"/>
    </row>
    <row r="10" spans="1:30" ht="97.9" customHeight="1" x14ac:dyDescent="0.25">
      <c r="A10" s="95"/>
      <c r="B10" s="95"/>
      <c r="C10" s="67" t="s">
        <v>76</v>
      </c>
      <c r="D10" s="71" t="s">
        <v>75</v>
      </c>
      <c r="E10" s="67" t="s">
        <v>74</v>
      </c>
      <c r="F10" s="67" t="s">
        <v>73</v>
      </c>
      <c r="G10" s="71" t="s">
        <v>72</v>
      </c>
      <c r="H10" s="71" t="s">
        <v>71</v>
      </c>
      <c r="I10" s="71" t="s">
        <v>70</v>
      </c>
      <c r="J10" s="71" t="s">
        <v>69</v>
      </c>
      <c r="K10" s="71" t="s">
        <v>68</v>
      </c>
      <c r="L10" s="67" t="s">
        <v>88</v>
      </c>
      <c r="M10" s="68" t="s">
        <v>67</v>
      </c>
      <c r="N10" s="37" t="s">
        <v>66</v>
      </c>
      <c r="O10" s="70" t="s">
        <v>87</v>
      </c>
      <c r="P10" s="70" t="s">
        <v>86</v>
      </c>
      <c r="Q10" s="70" t="s">
        <v>85</v>
      </c>
      <c r="R10" s="70" t="s">
        <v>84</v>
      </c>
      <c r="S10" s="94" t="s">
        <v>83</v>
      </c>
      <c r="T10" s="39" t="s">
        <v>82</v>
      </c>
    </row>
    <row r="11" spans="1:30" ht="15.75" x14ac:dyDescent="0.25">
      <c r="A11" s="38" t="s">
        <v>15</v>
      </c>
      <c r="B11" s="38" t="s">
        <v>81</v>
      </c>
      <c r="C11" s="38" t="s">
        <v>80</v>
      </c>
      <c r="D11" s="38" t="s">
        <v>80</v>
      </c>
      <c r="E11" s="38" t="s">
        <v>80</v>
      </c>
      <c r="F11" s="38" t="s">
        <v>80</v>
      </c>
      <c r="G11" s="38" t="s">
        <v>80</v>
      </c>
      <c r="H11" s="38" t="s">
        <v>80</v>
      </c>
      <c r="I11" s="38" t="s">
        <v>80</v>
      </c>
      <c r="J11" s="38" t="s">
        <v>80</v>
      </c>
      <c r="K11" s="38" t="s">
        <v>80</v>
      </c>
      <c r="L11" s="38" t="s">
        <v>80</v>
      </c>
      <c r="M11" s="93" t="s">
        <v>80</v>
      </c>
      <c r="N11" s="38" t="s">
        <v>80</v>
      </c>
      <c r="O11" s="38" t="s">
        <v>80</v>
      </c>
      <c r="P11" s="38" t="s">
        <v>80</v>
      </c>
      <c r="Q11" s="38" t="s">
        <v>80</v>
      </c>
      <c r="R11" s="38" t="s">
        <v>80</v>
      </c>
      <c r="S11" s="38" t="s">
        <v>80</v>
      </c>
      <c r="T11" s="38" t="s">
        <v>80</v>
      </c>
    </row>
    <row r="12" spans="1:30" ht="15" x14ac:dyDescent="0.2">
      <c r="A12" s="13">
        <v>41275</v>
      </c>
      <c r="B12" s="91">
        <v>31</v>
      </c>
      <c r="C12" s="77">
        <v>122.58</v>
      </c>
      <c r="D12" s="77">
        <v>297.94099999999997</v>
      </c>
      <c r="E12" s="86">
        <v>89.177000000000007</v>
      </c>
      <c r="F12" s="77">
        <v>200.30199999999999</v>
      </c>
      <c r="G12" s="80">
        <v>40</v>
      </c>
      <c r="H12" s="77">
        <v>0</v>
      </c>
      <c r="I12" s="77">
        <v>0</v>
      </c>
      <c r="J12" s="80">
        <v>100</v>
      </c>
      <c r="K12" s="80">
        <v>300</v>
      </c>
      <c r="L12" s="77">
        <v>1150</v>
      </c>
      <c r="M12" s="92"/>
      <c r="N12" s="77">
        <v>125</v>
      </c>
      <c r="O12" s="80">
        <v>240</v>
      </c>
      <c r="P12" s="80">
        <v>0</v>
      </c>
      <c r="Q12" s="80">
        <v>355</v>
      </c>
      <c r="R12" s="80">
        <v>100</v>
      </c>
      <c r="S12" s="77">
        <v>695</v>
      </c>
      <c r="T12" s="77">
        <v>50</v>
      </c>
      <c r="U12" s="78"/>
      <c r="V12" s="78"/>
      <c r="W12" s="78"/>
      <c r="X12" s="78"/>
      <c r="Y12" s="78"/>
      <c r="Z12" s="78"/>
      <c r="AA12" s="78"/>
      <c r="AB12" s="78"/>
      <c r="AC12" s="78"/>
      <c r="AD12" s="78"/>
    </row>
    <row r="13" spans="1:30" ht="15" x14ac:dyDescent="0.2">
      <c r="A13" s="13">
        <v>41306</v>
      </c>
      <c r="B13" s="91">
        <v>28</v>
      </c>
      <c r="C13" s="77">
        <v>122.58</v>
      </c>
      <c r="D13" s="77">
        <v>297.94099999999997</v>
      </c>
      <c r="E13" s="86">
        <v>89.177000000000007</v>
      </c>
      <c r="F13" s="77">
        <v>200.30199999999999</v>
      </c>
      <c r="G13" s="80">
        <v>40</v>
      </c>
      <c r="H13" s="77">
        <v>0</v>
      </c>
      <c r="I13" s="77">
        <v>0</v>
      </c>
      <c r="J13" s="80">
        <v>100</v>
      </c>
      <c r="K13" s="80">
        <v>300</v>
      </c>
      <c r="L13" s="77">
        <v>1150</v>
      </c>
      <c r="M13" s="92"/>
      <c r="N13" s="77">
        <v>125</v>
      </c>
      <c r="O13" s="80">
        <v>240</v>
      </c>
      <c r="P13" s="80">
        <v>0</v>
      </c>
      <c r="Q13" s="80">
        <v>355</v>
      </c>
      <c r="R13" s="80">
        <v>100</v>
      </c>
      <c r="S13" s="77">
        <v>695</v>
      </c>
      <c r="T13" s="77">
        <v>50</v>
      </c>
      <c r="U13" s="78"/>
      <c r="V13" s="78"/>
      <c r="W13" s="78"/>
      <c r="X13" s="78"/>
      <c r="Y13" s="78"/>
      <c r="Z13" s="78"/>
      <c r="AA13" s="78"/>
      <c r="AB13" s="78"/>
      <c r="AC13" s="78"/>
      <c r="AD13" s="78"/>
    </row>
    <row r="14" spans="1:30" ht="15" x14ac:dyDescent="0.2">
      <c r="A14" s="13">
        <v>41334</v>
      </c>
      <c r="B14" s="91">
        <v>31</v>
      </c>
      <c r="C14" s="77">
        <v>122.58</v>
      </c>
      <c r="D14" s="77">
        <v>297.94099999999997</v>
      </c>
      <c r="E14" s="86">
        <v>89.177000000000007</v>
      </c>
      <c r="F14" s="77">
        <v>200.30199999999999</v>
      </c>
      <c r="G14" s="80">
        <v>40</v>
      </c>
      <c r="H14" s="77">
        <v>0</v>
      </c>
      <c r="I14" s="77">
        <v>0</v>
      </c>
      <c r="J14" s="80">
        <v>100</v>
      </c>
      <c r="K14" s="80">
        <v>300</v>
      </c>
      <c r="L14" s="77">
        <v>1150</v>
      </c>
      <c r="M14" s="92"/>
      <c r="N14" s="77">
        <v>125</v>
      </c>
      <c r="O14" s="80">
        <v>240</v>
      </c>
      <c r="P14" s="80">
        <v>0</v>
      </c>
      <c r="Q14" s="80">
        <v>355</v>
      </c>
      <c r="R14" s="80">
        <v>100</v>
      </c>
      <c r="S14" s="77">
        <v>695</v>
      </c>
      <c r="T14" s="77">
        <v>50</v>
      </c>
      <c r="U14" s="78"/>
      <c r="V14" s="78"/>
      <c r="W14" s="78"/>
      <c r="X14" s="78"/>
      <c r="Y14" s="78"/>
      <c r="Z14" s="78"/>
      <c r="AA14" s="78"/>
      <c r="AB14" s="78"/>
      <c r="AC14" s="78"/>
      <c r="AD14" s="78"/>
    </row>
    <row r="15" spans="1:30" ht="15" x14ac:dyDescent="0.2">
      <c r="A15" s="13">
        <v>41365</v>
      </c>
      <c r="B15" s="91">
        <v>30</v>
      </c>
      <c r="C15" s="77">
        <v>141.29300000000001</v>
      </c>
      <c r="D15" s="77">
        <v>267.99299999999999</v>
      </c>
      <c r="E15" s="86">
        <v>115.01600000000001</v>
      </c>
      <c r="F15" s="77">
        <v>249.69800000000001</v>
      </c>
      <c r="G15" s="80">
        <v>40</v>
      </c>
      <c r="H15" s="77">
        <v>25</v>
      </c>
      <c r="I15" s="77">
        <v>0</v>
      </c>
      <c r="J15" s="80">
        <v>100</v>
      </c>
      <c r="K15" s="80">
        <v>300</v>
      </c>
      <c r="L15" s="77">
        <v>1239</v>
      </c>
      <c r="M15" s="92"/>
      <c r="N15" s="77">
        <v>125</v>
      </c>
      <c r="O15" s="80">
        <v>240</v>
      </c>
      <c r="P15" s="80">
        <v>120</v>
      </c>
      <c r="Q15" s="80">
        <v>235</v>
      </c>
      <c r="R15" s="80">
        <v>100</v>
      </c>
      <c r="S15" s="77">
        <v>695</v>
      </c>
      <c r="T15" s="77">
        <v>50</v>
      </c>
      <c r="U15" s="78"/>
      <c r="V15" s="78"/>
      <c r="W15" s="78"/>
      <c r="X15" s="78"/>
      <c r="Y15" s="78"/>
      <c r="Z15" s="78"/>
      <c r="AA15" s="78"/>
      <c r="AB15" s="78"/>
      <c r="AC15" s="78"/>
      <c r="AD15" s="78"/>
    </row>
    <row r="16" spans="1:30" ht="15" x14ac:dyDescent="0.2">
      <c r="A16" s="13">
        <v>41395</v>
      </c>
      <c r="B16" s="91">
        <v>31</v>
      </c>
      <c r="C16" s="77">
        <v>194.20500000000001</v>
      </c>
      <c r="D16" s="77">
        <v>267.46600000000001</v>
      </c>
      <c r="E16" s="86">
        <v>133.845</v>
      </c>
      <c r="F16" s="77">
        <v>213.48400000000001</v>
      </c>
      <c r="G16" s="80">
        <v>40</v>
      </c>
      <c r="H16" s="77">
        <v>25</v>
      </c>
      <c r="I16" s="92">
        <v>30</v>
      </c>
      <c r="J16" s="80">
        <v>100</v>
      </c>
      <c r="K16" s="80">
        <v>300</v>
      </c>
      <c r="L16" s="77">
        <v>1304</v>
      </c>
      <c r="M16" s="92"/>
      <c r="N16" s="77">
        <v>100</v>
      </c>
      <c r="O16" s="80">
        <v>240</v>
      </c>
      <c r="P16" s="80">
        <v>120</v>
      </c>
      <c r="Q16" s="80">
        <v>235</v>
      </c>
      <c r="R16" s="80">
        <v>100</v>
      </c>
      <c r="S16" s="77">
        <v>695</v>
      </c>
      <c r="T16" s="77">
        <v>50</v>
      </c>
      <c r="U16" s="78"/>
      <c r="V16" s="78"/>
      <c r="W16" s="78"/>
      <c r="X16" s="78"/>
      <c r="Y16" s="78"/>
      <c r="Z16" s="78"/>
      <c r="AA16" s="78"/>
      <c r="AB16" s="78"/>
      <c r="AC16" s="78"/>
      <c r="AD16" s="78"/>
    </row>
    <row r="17" spans="1:30" ht="15" x14ac:dyDescent="0.2">
      <c r="A17" s="13">
        <v>41426</v>
      </c>
      <c r="B17" s="91">
        <v>30</v>
      </c>
      <c r="C17" s="77">
        <v>194.20500000000001</v>
      </c>
      <c r="D17" s="77">
        <v>267.46600000000001</v>
      </c>
      <c r="E17" s="86">
        <v>133.845</v>
      </c>
      <c r="F17" s="77">
        <v>213.48400000000001</v>
      </c>
      <c r="G17" s="80">
        <v>40</v>
      </c>
      <c r="H17" s="77">
        <v>25</v>
      </c>
      <c r="I17" s="92">
        <v>30</v>
      </c>
      <c r="J17" s="80">
        <v>100</v>
      </c>
      <c r="K17" s="80">
        <v>300</v>
      </c>
      <c r="L17" s="77">
        <v>1304</v>
      </c>
      <c r="M17" s="92"/>
      <c r="N17" s="77">
        <v>55</v>
      </c>
      <c r="O17" s="80">
        <v>240</v>
      </c>
      <c r="P17" s="80">
        <v>120</v>
      </c>
      <c r="Q17" s="80">
        <v>235</v>
      </c>
      <c r="R17" s="80">
        <v>100</v>
      </c>
      <c r="S17" s="77">
        <v>695</v>
      </c>
      <c r="T17" s="77">
        <v>50</v>
      </c>
      <c r="U17" s="78"/>
      <c r="V17" s="78"/>
      <c r="W17" s="78"/>
      <c r="X17" s="78"/>
      <c r="Y17" s="78"/>
      <c r="Z17" s="78"/>
      <c r="AA17" s="78"/>
      <c r="AB17" s="78"/>
      <c r="AC17" s="78"/>
      <c r="AD17" s="78"/>
    </row>
    <row r="18" spans="1:30" ht="15" x14ac:dyDescent="0.2">
      <c r="A18" s="13">
        <v>41456</v>
      </c>
      <c r="B18" s="91">
        <v>31</v>
      </c>
      <c r="C18" s="77">
        <v>194.20500000000001</v>
      </c>
      <c r="D18" s="77">
        <v>267.46600000000001</v>
      </c>
      <c r="E18" s="86">
        <v>133.845</v>
      </c>
      <c r="F18" s="77">
        <v>213.48400000000001</v>
      </c>
      <c r="G18" s="80">
        <v>40</v>
      </c>
      <c r="H18" s="77">
        <v>25</v>
      </c>
      <c r="I18" s="92">
        <v>30</v>
      </c>
      <c r="J18" s="80">
        <v>100</v>
      </c>
      <c r="K18" s="80">
        <v>300</v>
      </c>
      <c r="L18" s="77">
        <v>1304</v>
      </c>
      <c r="M18" s="92"/>
      <c r="N18" s="77">
        <v>55</v>
      </c>
      <c r="O18" s="80">
        <v>240</v>
      </c>
      <c r="P18" s="80">
        <v>120</v>
      </c>
      <c r="Q18" s="80">
        <v>235</v>
      </c>
      <c r="R18" s="80">
        <v>100</v>
      </c>
      <c r="S18" s="77">
        <v>695</v>
      </c>
      <c r="T18" s="77">
        <v>0</v>
      </c>
      <c r="U18" s="78"/>
      <c r="V18" s="78"/>
      <c r="W18" s="78"/>
      <c r="X18" s="78"/>
      <c r="Y18" s="78"/>
      <c r="Z18" s="78"/>
      <c r="AA18" s="78"/>
      <c r="AB18" s="78"/>
      <c r="AC18" s="78"/>
      <c r="AD18" s="78"/>
    </row>
    <row r="19" spans="1:30" ht="15" x14ac:dyDescent="0.2">
      <c r="A19" s="13">
        <v>41487</v>
      </c>
      <c r="B19" s="91">
        <v>31</v>
      </c>
      <c r="C19" s="77">
        <f>194.205</f>
        <v>194.20500000000001</v>
      </c>
      <c r="D19" s="77">
        <f>267.466</f>
        <v>267.46600000000001</v>
      </c>
      <c r="E19" s="86">
        <f>133.845</f>
        <v>133.845</v>
      </c>
      <c r="F19" s="77">
        <f>278.484-40-25</f>
        <v>213.48399999999998</v>
      </c>
      <c r="G19" s="80">
        <v>40</v>
      </c>
      <c r="H19" s="77">
        <v>25</v>
      </c>
      <c r="I19" s="92">
        <v>30</v>
      </c>
      <c r="J19" s="80">
        <v>100</v>
      </c>
      <c r="K19" s="80">
        <v>300</v>
      </c>
      <c r="L19" s="77">
        <f t="shared" ref="L19:L82" si="0">SUM(C19:K19)</f>
        <v>1304</v>
      </c>
      <c r="M19" s="92"/>
      <c r="N19" s="77">
        <f>55</f>
        <v>55</v>
      </c>
      <c r="O19" s="80">
        <v>240</v>
      </c>
      <c r="P19" s="80">
        <f>145-H19</f>
        <v>120</v>
      </c>
      <c r="Q19" s="80">
        <f t="shared" ref="Q19:Q82" si="1">695-R19-O19-P19</f>
        <v>235</v>
      </c>
      <c r="R19" s="80">
        <f t="shared" ref="R19:R82" si="2">200-J19</f>
        <v>100</v>
      </c>
      <c r="S19" s="77">
        <f t="shared" ref="S19:S82" si="3">SUM(O19:R19)</f>
        <v>695</v>
      </c>
      <c r="T19" s="77">
        <f>0</f>
        <v>0</v>
      </c>
      <c r="U19" s="78"/>
      <c r="V19" s="78"/>
      <c r="W19" s="78"/>
      <c r="X19" s="78"/>
      <c r="Y19" s="78"/>
      <c r="Z19" s="78"/>
      <c r="AA19" s="78"/>
      <c r="AB19" s="78"/>
      <c r="AC19" s="78"/>
      <c r="AD19" s="78"/>
    </row>
    <row r="20" spans="1:30" ht="15" x14ac:dyDescent="0.2">
      <c r="A20" s="13">
        <v>41518</v>
      </c>
      <c r="B20" s="91">
        <v>30</v>
      </c>
      <c r="C20" s="77">
        <f>194.205</f>
        <v>194.20500000000001</v>
      </c>
      <c r="D20" s="77">
        <f>267.466</f>
        <v>267.46600000000001</v>
      </c>
      <c r="E20" s="86">
        <f>133.845</f>
        <v>133.845</v>
      </c>
      <c r="F20" s="77">
        <f>278.484-40-25</f>
        <v>213.48399999999998</v>
      </c>
      <c r="G20" s="80">
        <v>40</v>
      </c>
      <c r="H20" s="77">
        <v>25</v>
      </c>
      <c r="I20" s="92">
        <v>30</v>
      </c>
      <c r="J20" s="80">
        <v>100</v>
      </c>
      <c r="K20" s="80">
        <v>300</v>
      </c>
      <c r="L20" s="77">
        <f t="shared" si="0"/>
        <v>1304</v>
      </c>
      <c r="M20" s="92"/>
      <c r="N20" s="77">
        <f>55</f>
        <v>55</v>
      </c>
      <c r="O20" s="80">
        <v>240</v>
      </c>
      <c r="P20" s="80">
        <f>145-H20</f>
        <v>120</v>
      </c>
      <c r="Q20" s="80">
        <f t="shared" si="1"/>
        <v>235</v>
      </c>
      <c r="R20" s="80">
        <f t="shared" si="2"/>
        <v>100</v>
      </c>
      <c r="S20" s="77">
        <f t="shared" si="3"/>
        <v>695</v>
      </c>
      <c r="T20" s="77">
        <f>0</f>
        <v>0</v>
      </c>
      <c r="U20" s="78"/>
      <c r="V20" s="78"/>
      <c r="W20" s="78"/>
      <c r="X20" s="78"/>
      <c r="Y20" s="78"/>
      <c r="Z20" s="78"/>
      <c r="AA20" s="78"/>
      <c r="AB20" s="78"/>
      <c r="AC20" s="78"/>
      <c r="AD20" s="78"/>
    </row>
    <row r="21" spans="1:30" ht="15" x14ac:dyDescent="0.2">
      <c r="A21" s="13">
        <v>41548</v>
      </c>
      <c r="B21" s="91">
        <v>31</v>
      </c>
      <c r="C21" s="77">
        <f>131.881</f>
        <v>131.881</v>
      </c>
      <c r="D21" s="77">
        <f>277.167</f>
        <v>277.16699999999997</v>
      </c>
      <c r="E21" s="86">
        <f>79.08</f>
        <v>79.08</v>
      </c>
      <c r="F21" s="77">
        <f>350.872-40-25</f>
        <v>285.87200000000001</v>
      </c>
      <c r="G21" s="80">
        <v>40</v>
      </c>
      <c r="H21" s="77">
        <v>25</v>
      </c>
      <c r="I21" s="77">
        <v>0</v>
      </c>
      <c r="J21" s="80">
        <v>100</v>
      </c>
      <c r="K21" s="80">
        <v>300</v>
      </c>
      <c r="L21" s="77">
        <f t="shared" si="0"/>
        <v>1239</v>
      </c>
      <c r="M21" s="92"/>
      <c r="N21" s="77">
        <f>100</f>
        <v>100</v>
      </c>
      <c r="O21" s="80">
        <v>240</v>
      </c>
      <c r="P21" s="80">
        <f>145-H21</f>
        <v>120</v>
      </c>
      <c r="Q21" s="80">
        <f t="shared" si="1"/>
        <v>235</v>
      </c>
      <c r="R21" s="80">
        <f t="shared" si="2"/>
        <v>100</v>
      </c>
      <c r="S21" s="77">
        <f t="shared" si="3"/>
        <v>695</v>
      </c>
      <c r="T21" s="77">
        <f>0</f>
        <v>0</v>
      </c>
      <c r="U21" s="78"/>
      <c r="V21" s="78"/>
      <c r="W21" s="78"/>
      <c r="X21" s="78"/>
      <c r="Y21" s="78"/>
      <c r="Z21" s="78"/>
      <c r="AA21" s="78"/>
      <c r="AB21" s="78"/>
      <c r="AC21" s="78"/>
      <c r="AD21" s="78"/>
    </row>
    <row r="22" spans="1:30" ht="15" x14ac:dyDescent="0.2">
      <c r="A22" s="13">
        <v>41579</v>
      </c>
      <c r="B22" s="91">
        <v>30</v>
      </c>
      <c r="C22" s="77">
        <f>122.58</f>
        <v>122.58</v>
      </c>
      <c r="D22" s="77">
        <f>297.941</f>
        <v>297.94099999999997</v>
      </c>
      <c r="E22" s="86">
        <f>89.177</f>
        <v>89.177000000000007</v>
      </c>
      <c r="F22" s="77">
        <f>240.302-40</f>
        <v>200.30199999999999</v>
      </c>
      <c r="G22" s="80">
        <v>40</v>
      </c>
      <c r="H22" s="77">
        <v>0</v>
      </c>
      <c r="I22" s="77">
        <v>0</v>
      </c>
      <c r="J22" s="80">
        <v>100</v>
      </c>
      <c r="K22" s="80">
        <v>300</v>
      </c>
      <c r="L22" s="77">
        <f t="shared" si="0"/>
        <v>1150</v>
      </c>
      <c r="M22" s="92"/>
      <c r="N22" s="77">
        <f>125</f>
        <v>125</v>
      </c>
      <c r="O22" s="80">
        <v>240</v>
      </c>
      <c r="P22" s="80">
        <v>0</v>
      </c>
      <c r="Q22" s="80">
        <f t="shared" si="1"/>
        <v>355</v>
      </c>
      <c r="R22" s="80">
        <f t="shared" si="2"/>
        <v>100</v>
      </c>
      <c r="S22" s="77">
        <f t="shared" si="3"/>
        <v>695</v>
      </c>
      <c r="T22" s="77">
        <f>50</f>
        <v>50</v>
      </c>
      <c r="U22" s="78"/>
      <c r="V22" s="78"/>
      <c r="W22" s="78"/>
      <c r="X22" s="78"/>
      <c r="Y22" s="78"/>
      <c r="Z22" s="78"/>
      <c r="AA22" s="78"/>
      <c r="AB22" s="78"/>
      <c r="AC22" s="78"/>
      <c r="AD22" s="78"/>
    </row>
    <row r="23" spans="1:30" ht="15" x14ac:dyDescent="0.2">
      <c r="A23" s="13">
        <v>41609</v>
      </c>
      <c r="B23" s="91">
        <v>31</v>
      </c>
      <c r="C23" s="77">
        <f>122.58</f>
        <v>122.58</v>
      </c>
      <c r="D23" s="77">
        <f>297.941</f>
        <v>297.94099999999997</v>
      </c>
      <c r="E23" s="86">
        <f>89.177</f>
        <v>89.177000000000007</v>
      </c>
      <c r="F23" s="77">
        <f>240.302-40</f>
        <v>200.30199999999999</v>
      </c>
      <c r="G23" s="80">
        <v>40</v>
      </c>
      <c r="H23" s="77">
        <v>0</v>
      </c>
      <c r="I23" s="77">
        <v>0</v>
      </c>
      <c r="J23" s="80">
        <v>100</v>
      </c>
      <c r="K23" s="80">
        <v>300</v>
      </c>
      <c r="L23" s="77">
        <f t="shared" si="0"/>
        <v>1150</v>
      </c>
      <c r="M23" s="92"/>
      <c r="N23" s="77">
        <f>125</f>
        <v>125</v>
      </c>
      <c r="O23" s="80">
        <v>240</v>
      </c>
      <c r="P23" s="80">
        <v>0</v>
      </c>
      <c r="Q23" s="80">
        <f t="shared" si="1"/>
        <v>355</v>
      </c>
      <c r="R23" s="80">
        <f t="shared" si="2"/>
        <v>100</v>
      </c>
      <c r="S23" s="77">
        <f t="shared" si="3"/>
        <v>695</v>
      </c>
      <c r="T23" s="77">
        <f>50</f>
        <v>50</v>
      </c>
      <c r="U23" s="78"/>
      <c r="V23" s="78"/>
      <c r="W23" s="78"/>
      <c r="X23" s="78"/>
      <c r="Y23" s="78"/>
      <c r="Z23" s="78"/>
      <c r="AA23" s="78"/>
      <c r="AB23" s="78"/>
      <c r="AC23" s="78"/>
      <c r="AD23" s="78"/>
    </row>
    <row r="24" spans="1:30" ht="15.75" x14ac:dyDescent="0.25">
      <c r="A24" s="13">
        <v>41640</v>
      </c>
      <c r="B24" s="91">
        <v>31</v>
      </c>
      <c r="C24" s="77">
        <f>122.58</f>
        <v>122.58</v>
      </c>
      <c r="D24" s="77">
        <f>297.941</f>
        <v>297.94099999999997</v>
      </c>
      <c r="E24" s="86">
        <f>89.177</f>
        <v>89.177000000000007</v>
      </c>
      <c r="F24" s="77">
        <f>240.302-40</f>
        <v>200.30199999999999</v>
      </c>
      <c r="G24" s="80">
        <v>40</v>
      </c>
      <c r="H24" s="77">
        <v>0</v>
      </c>
      <c r="I24" s="77">
        <v>0</v>
      </c>
      <c r="J24" s="80">
        <v>100</v>
      </c>
      <c r="K24" s="80">
        <v>300</v>
      </c>
      <c r="L24" s="77">
        <f t="shared" si="0"/>
        <v>1150</v>
      </c>
      <c r="M24" s="88"/>
      <c r="N24" s="77">
        <f>100</f>
        <v>100</v>
      </c>
      <c r="O24" s="80">
        <v>240</v>
      </c>
      <c r="P24" s="80">
        <v>0</v>
      </c>
      <c r="Q24" s="80">
        <f t="shared" si="1"/>
        <v>355</v>
      </c>
      <c r="R24" s="80">
        <f t="shared" si="2"/>
        <v>100</v>
      </c>
      <c r="S24" s="77">
        <f t="shared" si="3"/>
        <v>695</v>
      </c>
      <c r="T24" s="77">
        <f>50</f>
        <v>50</v>
      </c>
      <c r="U24" s="78"/>
      <c r="V24" s="78"/>
      <c r="W24" s="78"/>
      <c r="X24" s="78"/>
      <c r="Y24" s="78"/>
      <c r="Z24" s="78"/>
      <c r="AA24" s="78"/>
      <c r="AB24" s="78"/>
      <c r="AC24" s="78"/>
      <c r="AD24" s="78"/>
    </row>
    <row r="25" spans="1:30" ht="15.75" x14ac:dyDescent="0.25">
      <c r="A25" s="13">
        <v>41671</v>
      </c>
      <c r="B25" s="91">
        <v>28</v>
      </c>
      <c r="C25" s="77">
        <f>122.58</f>
        <v>122.58</v>
      </c>
      <c r="D25" s="77">
        <f>297.941</f>
        <v>297.94099999999997</v>
      </c>
      <c r="E25" s="86">
        <f>89.177</f>
        <v>89.177000000000007</v>
      </c>
      <c r="F25" s="77">
        <f>240.302-40</f>
        <v>200.30199999999999</v>
      </c>
      <c r="G25" s="80">
        <v>40</v>
      </c>
      <c r="H25" s="77">
        <v>0</v>
      </c>
      <c r="I25" s="77">
        <v>0</v>
      </c>
      <c r="J25" s="80">
        <v>100</v>
      </c>
      <c r="K25" s="80">
        <v>300</v>
      </c>
      <c r="L25" s="77">
        <f t="shared" si="0"/>
        <v>1150</v>
      </c>
      <c r="M25" s="88"/>
      <c r="N25" s="77">
        <f>100</f>
        <v>100</v>
      </c>
      <c r="O25" s="80">
        <v>240</v>
      </c>
      <c r="P25" s="80">
        <v>0</v>
      </c>
      <c r="Q25" s="80">
        <f t="shared" si="1"/>
        <v>355</v>
      </c>
      <c r="R25" s="80">
        <f t="shared" si="2"/>
        <v>100</v>
      </c>
      <c r="S25" s="77">
        <f t="shared" si="3"/>
        <v>695</v>
      </c>
      <c r="T25" s="77">
        <f>50</f>
        <v>50</v>
      </c>
      <c r="U25" s="78"/>
      <c r="V25" s="78"/>
      <c r="W25" s="78"/>
      <c r="X25" s="78"/>
      <c r="Y25" s="78"/>
      <c r="Z25" s="78"/>
      <c r="AA25" s="78"/>
      <c r="AB25" s="78"/>
      <c r="AC25" s="78"/>
      <c r="AD25" s="78"/>
    </row>
    <row r="26" spans="1:30" ht="15.75" x14ac:dyDescent="0.25">
      <c r="A26" s="13">
        <v>41699</v>
      </c>
      <c r="B26" s="91">
        <v>31</v>
      </c>
      <c r="C26" s="77">
        <f>122.58</f>
        <v>122.58</v>
      </c>
      <c r="D26" s="77">
        <f>297.941</f>
        <v>297.94099999999997</v>
      </c>
      <c r="E26" s="86">
        <f>89.177</f>
        <v>89.177000000000007</v>
      </c>
      <c r="F26" s="77">
        <f>240.302-40</f>
        <v>200.30199999999999</v>
      </c>
      <c r="G26" s="80">
        <v>40</v>
      </c>
      <c r="H26" s="77">
        <v>0</v>
      </c>
      <c r="I26" s="77">
        <v>0</v>
      </c>
      <c r="J26" s="80">
        <v>100</v>
      </c>
      <c r="K26" s="80">
        <v>300</v>
      </c>
      <c r="L26" s="77">
        <f t="shared" si="0"/>
        <v>1150</v>
      </c>
      <c r="M26" s="88"/>
      <c r="N26" s="77">
        <f>100</f>
        <v>100</v>
      </c>
      <c r="O26" s="80">
        <v>240</v>
      </c>
      <c r="P26" s="80">
        <v>0</v>
      </c>
      <c r="Q26" s="80">
        <f t="shared" si="1"/>
        <v>355</v>
      </c>
      <c r="R26" s="80">
        <f t="shared" si="2"/>
        <v>100</v>
      </c>
      <c r="S26" s="77">
        <f t="shared" si="3"/>
        <v>695</v>
      </c>
      <c r="T26" s="77">
        <f>50</f>
        <v>50</v>
      </c>
      <c r="U26" s="78"/>
      <c r="V26" s="78"/>
      <c r="W26" s="78"/>
      <c r="X26" s="78"/>
      <c r="Y26" s="78"/>
      <c r="Z26" s="78"/>
      <c r="AA26" s="78"/>
      <c r="AB26" s="78"/>
      <c r="AC26" s="78"/>
      <c r="AD26" s="78"/>
    </row>
    <row r="27" spans="1:30" ht="15.75" x14ac:dyDescent="0.25">
      <c r="A27" s="13">
        <v>41730</v>
      </c>
      <c r="B27" s="91">
        <v>30</v>
      </c>
      <c r="C27" s="77">
        <f>141.293</f>
        <v>141.29300000000001</v>
      </c>
      <c r="D27" s="77">
        <f>267.993</f>
        <v>267.99299999999999</v>
      </c>
      <c r="E27" s="86">
        <f>115.016</f>
        <v>115.01600000000001</v>
      </c>
      <c r="F27" s="77">
        <f>314.698-40-25</f>
        <v>249.69799999999998</v>
      </c>
      <c r="G27" s="80">
        <v>40</v>
      </c>
      <c r="H27" s="77">
        <v>25</v>
      </c>
      <c r="I27" s="77">
        <v>0</v>
      </c>
      <c r="J27" s="80">
        <v>100</v>
      </c>
      <c r="K27" s="80">
        <v>300</v>
      </c>
      <c r="L27" s="77">
        <f t="shared" si="0"/>
        <v>1239</v>
      </c>
      <c r="M27" s="88"/>
      <c r="N27" s="77">
        <f>100</f>
        <v>100</v>
      </c>
      <c r="O27" s="80">
        <v>240</v>
      </c>
      <c r="P27" s="80">
        <f t="shared" ref="P27:P33" si="4">145-H27</f>
        <v>120</v>
      </c>
      <c r="Q27" s="80">
        <f t="shared" si="1"/>
        <v>235</v>
      </c>
      <c r="R27" s="80">
        <f t="shared" si="2"/>
        <v>100</v>
      </c>
      <c r="S27" s="77">
        <f t="shared" si="3"/>
        <v>695</v>
      </c>
      <c r="T27" s="77">
        <f>50</f>
        <v>50</v>
      </c>
      <c r="U27" s="78"/>
      <c r="V27" s="78"/>
      <c r="W27" s="78"/>
      <c r="X27" s="78"/>
      <c r="Y27" s="78"/>
      <c r="Z27" s="78"/>
      <c r="AA27" s="78"/>
      <c r="AB27" s="78"/>
      <c r="AC27" s="78"/>
      <c r="AD27" s="78"/>
    </row>
    <row r="28" spans="1:30" ht="15.75" x14ac:dyDescent="0.25">
      <c r="A28" s="13">
        <v>41760</v>
      </c>
      <c r="B28" s="91">
        <v>31</v>
      </c>
      <c r="C28" s="77">
        <f>194.205</f>
        <v>194.20500000000001</v>
      </c>
      <c r="D28" s="77">
        <f>267.466</f>
        <v>267.46600000000001</v>
      </c>
      <c r="E28" s="86">
        <f>133.845</f>
        <v>133.845</v>
      </c>
      <c r="F28" s="77">
        <f>278.484-40-25</f>
        <v>213.48399999999998</v>
      </c>
      <c r="G28" s="80">
        <v>40</v>
      </c>
      <c r="H28" s="77">
        <v>25</v>
      </c>
      <c r="I28" s="92">
        <v>50</v>
      </c>
      <c r="J28" s="80">
        <v>100</v>
      </c>
      <c r="K28" s="80">
        <v>300</v>
      </c>
      <c r="L28" s="77">
        <f t="shared" si="0"/>
        <v>1324</v>
      </c>
      <c r="M28" s="88"/>
      <c r="N28" s="77">
        <f>75</f>
        <v>75</v>
      </c>
      <c r="O28" s="80">
        <v>240</v>
      </c>
      <c r="P28" s="80">
        <f t="shared" si="4"/>
        <v>120</v>
      </c>
      <c r="Q28" s="80">
        <f t="shared" si="1"/>
        <v>235</v>
      </c>
      <c r="R28" s="80">
        <f t="shared" si="2"/>
        <v>100</v>
      </c>
      <c r="S28" s="77">
        <f t="shared" si="3"/>
        <v>695</v>
      </c>
      <c r="T28" s="77">
        <f>50</f>
        <v>50</v>
      </c>
      <c r="U28" s="78"/>
      <c r="V28" s="78"/>
      <c r="W28" s="78"/>
      <c r="X28" s="78"/>
      <c r="Y28" s="78"/>
      <c r="Z28" s="78"/>
      <c r="AA28" s="78"/>
      <c r="AB28" s="78"/>
      <c r="AC28" s="78"/>
      <c r="AD28" s="78"/>
    </row>
    <row r="29" spans="1:30" ht="15.75" x14ac:dyDescent="0.25">
      <c r="A29" s="13">
        <v>41791</v>
      </c>
      <c r="B29" s="91">
        <v>30</v>
      </c>
      <c r="C29" s="77">
        <f>194.205</f>
        <v>194.20500000000001</v>
      </c>
      <c r="D29" s="77">
        <f>267.466</f>
        <v>267.46600000000001</v>
      </c>
      <c r="E29" s="86">
        <f>133.845</f>
        <v>133.845</v>
      </c>
      <c r="F29" s="77">
        <f>278.484-40-25</f>
        <v>213.48399999999998</v>
      </c>
      <c r="G29" s="80">
        <v>40</v>
      </c>
      <c r="H29" s="77">
        <v>25</v>
      </c>
      <c r="I29" s="92">
        <v>50</v>
      </c>
      <c r="J29" s="80">
        <v>100</v>
      </c>
      <c r="K29" s="80">
        <v>300</v>
      </c>
      <c r="L29" s="77">
        <f t="shared" si="0"/>
        <v>1324</v>
      </c>
      <c r="M29" s="88"/>
      <c r="N29" s="77">
        <f>30</f>
        <v>30</v>
      </c>
      <c r="O29" s="80">
        <v>240</v>
      </c>
      <c r="P29" s="80">
        <f t="shared" si="4"/>
        <v>120</v>
      </c>
      <c r="Q29" s="80">
        <f t="shared" si="1"/>
        <v>235</v>
      </c>
      <c r="R29" s="80">
        <f t="shared" si="2"/>
        <v>100</v>
      </c>
      <c r="S29" s="77">
        <f t="shared" si="3"/>
        <v>695</v>
      </c>
      <c r="T29" s="77">
        <f>50</f>
        <v>50</v>
      </c>
      <c r="U29" s="78"/>
      <c r="V29" s="78"/>
      <c r="W29" s="78"/>
      <c r="X29" s="78"/>
      <c r="Y29" s="78"/>
      <c r="Z29" s="78"/>
      <c r="AA29" s="78"/>
      <c r="AB29" s="78"/>
      <c r="AC29" s="78"/>
      <c r="AD29" s="78"/>
    </row>
    <row r="30" spans="1:30" ht="15.75" x14ac:dyDescent="0.25">
      <c r="A30" s="13">
        <v>41821</v>
      </c>
      <c r="B30" s="91">
        <v>31</v>
      </c>
      <c r="C30" s="77">
        <f>194.205</f>
        <v>194.20500000000001</v>
      </c>
      <c r="D30" s="77">
        <f>267.466</f>
        <v>267.46600000000001</v>
      </c>
      <c r="E30" s="86">
        <f>133.845</f>
        <v>133.845</v>
      </c>
      <c r="F30" s="77">
        <f>278.484-40-25</f>
        <v>213.48399999999998</v>
      </c>
      <c r="G30" s="80">
        <v>40</v>
      </c>
      <c r="H30" s="77">
        <v>25</v>
      </c>
      <c r="I30" s="92">
        <v>50</v>
      </c>
      <c r="J30" s="80">
        <v>100</v>
      </c>
      <c r="K30" s="80">
        <v>300</v>
      </c>
      <c r="L30" s="77">
        <f t="shared" si="0"/>
        <v>1324</v>
      </c>
      <c r="M30" s="88"/>
      <c r="N30" s="77">
        <f>30</f>
        <v>30</v>
      </c>
      <c r="O30" s="80">
        <v>240</v>
      </c>
      <c r="P30" s="80">
        <f t="shared" si="4"/>
        <v>120</v>
      </c>
      <c r="Q30" s="80">
        <f t="shared" si="1"/>
        <v>235</v>
      </c>
      <c r="R30" s="80">
        <f t="shared" si="2"/>
        <v>100</v>
      </c>
      <c r="S30" s="77">
        <f t="shared" si="3"/>
        <v>695</v>
      </c>
      <c r="T30" s="77">
        <f>0</f>
        <v>0</v>
      </c>
      <c r="U30" s="78"/>
      <c r="V30" s="78"/>
      <c r="W30" s="78"/>
      <c r="X30" s="78"/>
      <c r="Y30" s="78"/>
      <c r="Z30" s="78"/>
      <c r="AA30" s="78"/>
      <c r="AB30" s="78"/>
      <c r="AC30" s="78"/>
      <c r="AD30" s="78"/>
    </row>
    <row r="31" spans="1:30" ht="15.75" x14ac:dyDescent="0.25">
      <c r="A31" s="13">
        <v>41852</v>
      </c>
      <c r="B31" s="91">
        <v>31</v>
      </c>
      <c r="C31" s="77">
        <f>194.205</f>
        <v>194.20500000000001</v>
      </c>
      <c r="D31" s="77">
        <f>267.466</f>
        <v>267.46600000000001</v>
      </c>
      <c r="E31" s="86">
        <f>133.845</f>
        <v>133.845</v>
      </c>
      <c r="F31" s="77">
        <f>278.484-40-25</f>
        <v>213.48399999999998</v>
      </c>
      <c r="G31" s="80">
        <v>40</v>
      </c>
      <c r="H31" s="77">
        <v>25</v>
      </c>
      <c r="I31" s="92">
        <v>50</v>
      </c>
      <c r="J31" s="80">
        <v>100</v>
      </c>
      <c r="K31" s="80">
        <v>300</v>
      </c>
      <c r="L31" s="77">
        <f t="shared" si="0"/>
        <v>1324</v>
      </c>
      <c r="M31" s="88"/>
      <c r="N31" s="77">
        <f>30</f>
        <v>30</v>
      </c>
      <c r="O31" s="80">
        <v>240</v>
      </c>
      <c r="P31" s="80">
        <f t="shared" si="4"/>
        <v>120</v>
      </c>
      <c r="Q31" s="80">
        <f t="shared" si="1"/>
        <v>235</v>
      </c>
      <c r="R31" s="80">
        <f t="shared" si="2"/>
        <v>100</v>
      </c>
      <c r="S31" s="77">
        <f t="shared" si="3"/>
        <v>695</v>
      </c>
      <c r="T31" s="77">
        <f>0</f>
        <v>0</v>
      </c>
      <c r="U31" s="78"/>
      <c r="V31" s="78"/>
      <c r="W31" s="78"/>
      <c r="X31" s="78"/>
      <c r="Y31" s="78"/>
      <c r="Z31" s="78"/>
      <c r="AA31" s="78"/>
      <c r="AB31" s="78"/>
      <c r="AC31" s="78"/>
      <c r="AD31" s="78"/>
    </row>
    <row r="32" spans="1:30" ht="15.75" x14ac:dyDescent="0.25">
      <c r="A32" s="13">
        <v>41883</v>
      </c>
      <c r="B32" s="91">
        <v>30</v>
      </c>
      <c r="C32" s="77">
        <f>194.205</f>
        <v>194.20500000000001</v>
      </c>
      <c r="D32" s="77">
        <f>267.466</f>
        <v>267.46600000000001</v>
      </c>
      <c r="E32" s="86">
        <f>133.845</f>
        <v>133.845</v>
      </c>
      <c r="F32" s="77">
        <f>278.484-40-25</f>
        <v>213.48399999999998</v>
      </c>
      <c r="G32" s="80">
        <v>40</v>
      </c>
      <c r="H32" s="77">
        <v>25</v>
      </c>
      <c r="I32" s="92">
        <v>50</v>
      </c>
      <c r="J32" s="80">
        <v>100</v>
      </c>
      <c r="K32" s="80">
        <v>300</v>
      </c>
      <c r="L32" s="77">
        <f t="shared" si="0"/>
        <v>1324</v>
      </c>
      <c r="M32" s="88"/>
      <c r="N32" s="77">
        <f>30</f>
        <v>30</v>
      </c>
      <c r="O32" s="80">
        <v>240</v>
      </c>
      <c r="P32" s="80">
        <f t="shared" si="4"/>
        <v>120</v>
      </c>
      <c r="Q32" s="80">
        <f t="shared" si="1"/>
        <v>235</v>
      </c>
      <c r="R32" s="80">
        <f t="shared" si="2"/>
        <v>100</v>
      </c>
      <c r="S32" s="77">
        <f t="shared" si="3"/>
        <v>695</v>
      </c>
      <c r="T32" s="77">
        <f>0</f>
        <v>0</v>
      </c>
      <c r="U32" s="78"/>
      <c r="V32" s="78"/>
      <c r="W32" s="78"/>
      <c r="X32" s="78"/>
      <c r="Y32" s="78"/>
      <c r="Z32" s="78"/>
      <c r="AA32" s="78"/>
      <c r="AB32" s="78"/>
      <c r="AC32" s="78"/>
      <c r="AD32" s="78"/>
    </row>
    <row r="33" spans="1:30" ht="15.75" x14ac:dyDescent="0.25">
      <c r="A33" s="13">
        <v>41913</v>
      </c>
      <c r="B33" s="91">
        <v>31</v>
      </c>
      <c r="C33" s="77">
        <f>131.881</f>
        <v>131.881</v>
      </c>
      <c r="D33" s="77">
        <f>277.167</f>
        <v>277.16699999999997</v>
      </c>
      <c r="E33" s="86">
        <f>79.08</f>
        <v>79.08</v>
      </c>
      <c r="F33" s="77">
        <f>350.872-40-25</f>
        <v>285.87200000000001</v>
      </c>
      <c r="G33" s="80">
        <v>40</v>
      </c>
      <c r="H33" s="77">
        <v>25</v>
      </c>
      <c r="I33" s="77">
        <v>0</v>
      </c>
      <c r="J33" s="80">
        <v>100</v>
      </c>
      <c r="K33" s="80">
        <v>300</v>
      </c>
      <c r="L33" s="77">
        <f t="shared" si="0"/>
        <v>1239</v>
      </c>
      <c r="M33" s="88"/>
      <c r="N33" s="77">
        <f>75</f>
        <v>75</v>
      </c>
      <c r="O33" s="80">
        <v>240</v>
      </c>
      <c r="P33" s="80">
        <f t="shared" si="4"/>
        <v>120</v>
      </c>
      <c r="Q33" s="80">
        <f t="shared" si="1"/>
        <v>235</v>
      </c>
      <c r="R33" s="80">
        <f t="shared" si="2"/>
        <v>100</v>
      </c>
      <c r="S33" s="77">
        <f t="shared" si="3"/>
        <v>695</v>
      </c>
      <c r="T33" s="77">
        <f>0</f>
        <v>0</v>
      </c>
      <c r="U33" s="78"/>
      <c r="V33" s="78"/>
      <c r="W33" s="78"/>
      <c r="X33" s="78"/>
      <c r="Y33" s="78"/>
      <c r="Z33" s="78"/>
      <c r="AA33" s="78"/>
      <c r="AB33" s="78"/>
      <c r="AC33" s="78"/>
      <c r="AD33" s="78"/>
    </row>
    <row r="34" spans="1:30" ht="15.75" x14ac:dyDescent="0.25">
      <c r="A34" s="13">
        <v>41944</v>
      </c>
      <c r="B34" s="91">
        <v>30</v>
      </c>
      <c r="C34" s="77">
        <f>122.58</f>
        <v>122.58</v>
      </c>
      <c r="D34" s="77">
        <f>297.941</f>
        <v>297.94099999999997</v>
      </c>
      <c r="E34" s="86">
        <f>89.177</f>
        <v>89.177000000000007</v>
      </c>
      <c r="F34" s="77">
        <f>240.302-40</f>
        <v>200.30199999999999</v>
      </c>
      <c r="G34" s="80">
        <v>40</v>
      </c>
      <c r="H34" s="77">
        <v>0</v>
      </c>
      <c r="I34" s="77">
        <v>0</v>
      </c>
      <c r="J34" s="80">
        <v>100</v>
      </c>
      <c r="K34" s="80">
        <v>300</v>
      </c>
      <c r="L34" s="77">
        <f t="shared" si="0"/>
        <v>1150</v>
      </c>
      <c r="M34" s="88"/>
      <c r="N34" s="77">
        <f>100</f>
        <v>100</v>
      </c>
      <c r="O34" s="80">
        <v>240</v>
      </c>
      <c r="P34" s="80">
        <v>0</v>
      </c>
      <c r="Q34" s="80">
        <f t="shared" si="1"/>
        <v>355</v>
      </c>
      <c r="R34" s="80">
        <f t="shared" si="2"/>
        <v>100</v>
      </c>
      <c r="S34" s="77">
        <f t="shared" si="3"/>
        <v>695</v>
      </c>
      <c r="T34" s="77">
        <f>50</f>
        <v>50</v>
      </c>
      <c r="U34" s="78"/>
      <c r="V34" s="78"/>
      <c r="W34" s="78"/>
      <c r="X34" s="78"/>
      <c r="Y34" s="78"/>
      <c r="Z34" s="78"/>
      <c r="AA34" s="78"/>
      <c r="AB34" s="78"/>
      <c r="AC34" s="78"/>
      <c r="AD34" s="78"/>
    </row>
    <row r="35" spans="1:30" ht="15.75" x14ac:dyDescent="0.25">
      <c r="A35" s="13">
        <v>41974</v>
      </c>
      <c r="B35" s="91">
        <v>31</v>
      </c>
      <c r="C35" s="77">
        <f>122.58</f>
        <v>122.58</v>
      </c>
      <c r="D35" s="77">
        <f>297.941</f>
        <v>297.94099999999997</v>
      </c>
      <c r="E35" s="86">
        <f>89.177</f>
        <v>89.177000000000007</v>
      </c>
      <c r="F35" s="77">
        <f>240.302-40</f>
        <v>200.30199999999999</v>
      </c>
      <c r="G35" s="80">
        <v>40</v>
      </c>
      <c r="H35" s="77">
        <v>0</v>
      </c>
      <c r="I35" s="77">
        <v>0</v>
      </c>
      <c r="J35" s="80">
        <v>100</v>
      </c>
      <c r="K35" s="80">
        <v>300</v>
      </c>
      <c r="L35" s="77">
        <f t="shared" si="0"/>
        <v>1150</v>
      </c>
      <c r="M35" s="88"/>
      <c r="N35" s="77">
        <f>100</f>
        <v>100</v>
      </c>
      <c r="O35" s="80">
        <v>240</v>
      </c>
      <c r="P35" s="80">
        <v>0</v>
      </c>
      <c r="Q35" s="80">
        <f t="shared" si="1"/>
        <v>355</v>
      </c>
      <c r="R35" s="80">
        <f t="shared" si="2"/>
        <v>100</v>
      </c>
      <c r="S35" s="77">
        <f t="shared" si="3"/>
        <v>695</v>
      </c>
      <c r="T35" s="77">
        <f>50</f>
        <v>50</v>
      </c>
      <c r="U35" s="78"/>
      <c r="V35" s="78"/>
      <c r="W35" s="78"/>
      <c r="X35" s="78"/>
      <c r="Y35" s="78"/>
      <c r="Z35" s="78"/>
      <c r="AA35" s="78"/>
      <c r="AB35" s="78"/>
      <c r="AC35" s="78"/>
      <c r="AD35" s="78"/>
    </row>
    <row r="36" spans="1:30" ht="15.75" x14ac:dyDescent="0.25">
      <c r="A36" s="13">
        <v>42005</v>
      </c>
      <c r="B36" s="91">
        <v>31</v>
      </c>
      <c r="C36" s="77">
        <f>122.58</f>
        <v>122.58</v>
      </c>
      <c r="D36" s="77">
        <f>297.941</f>
        <v>297.94099999999997</v>
      </c>
      <c r="E36" s="86">
        <f>89.177</f>
        <v>89.177000000000007</v>
      </c>
      <c r="F36" s="77">
        <f>240.302-40</f>
        <v>200.30199999999999</v>
      </c>
      <c r="G36" s="80">
        <v>40</v>
      </c>
      <c r="H36" s="77">
        <v>0</v>
      </c>
      <c r="I36" s="77">
        <v>0</v>
      </c>
      <c r="J36" s="80">
        <v>100</v>
      </c>
      <c r="K36" s="80">
        <v>300</v>
      </c>
      <c r="L36" s="77">
        <f t="shared" si="0"/>
        <v>1150</v>
      </c>
      <c r="M36" s="88"/>
      <c r="N36" s="77">
        <f>100</f>
        <v>100</v>
      </c>
      <c r="O36" s="80">
        <v>240</v>
      </c>
      <c r="P36" s="80">
        <v>0</v>
      </c>
      <c r="Q36" s="80">
        <f t="shared" si="1"/>
        <v>355</v>
      </c>
      <c r="R36" s="80">
        <f t="shared" si="2"/>
        <v>100</v>
      </c>
      <c r="S36" s="77">
        <f t="shared" si="3"/>
        <v>695</v>
      </c>
      <c r="T36" s="77">
        <f>50</f>
        <v>50</v>
      </c>
      <c r="U36" s="78"/>
      <c r="V36" s="78"/>
      <c r="W36" s="78"/>
      <c r="X36" s="78"/>
      <c r="Y36" s="78"/>
      <c r="Z36" s="78"/>
      <c r="AA36" s="78"/>
      <c r="AB36" s="78"/>
      <c r="AC36" s="78"/>
      <c r="AD36" s="78"/>
    </row>
    <row r="37" spans="1:30" ht="15.75" x14ac:dyDescent="0.25">
      <c r="A37" s="13">
        <v>42036</v>
      </c>
      <c r="B37" s="91">
        <v>28</v>
      </c>
      <c r="C37" s="77">
        <f>122.58</f>
        <v>122.58</v>
      </c>
      <c r="D37" s="77">
        <f>297.941</f>
        <v>297.94099999999997</v>
      </c>
      <c r="E37" s="86">
        <f>89.177</f>
        <v>89.177000000000007</v>
      </c>
      <c r="F37" s="77">
        <f>240.302-40</f>
        <v>200.30199999999999</v>
      </c>
      <c r="G37" s="80">
        <v>40</v>
      </c>
      <c r="H37" s="77">
        <v>0</v>
      </c>
      <c r="I37" s="77">
        <v>0</v>
      </c>
      <c r="J37" s="80">
        <v>100</v>
      </c>
      <c r="K37" s="80">
        <v>300</v>
      </c>
      <c r="L37" s="77">
        <f t="shared" si="0"/>
        <v>1150</v>
      </c>
      <c r="M37" s="88"/>
      <c r="N37" s="77">
        <f>100</f>
        <v>100</v>
      </c>
      <c r="O37" s="80">
        <v>240</v>
      </c>
      <c r="P37" s="80">
        <v>0</v>
      </c>
      <c r="Q37" s="80">
        <f t="shared" si="1"/>
        <v>355</v>
      </c>
      <c r="R37" s="80">
        <f t="shared" si="2"/>
        <v>100</v>
      </c>
      <c r="S37" s="77">
        <f t="shared" si="3"/>
        <v>695</v>
      </c>
      <c r="T37" s="77">
        <f>50</f>
        <v>50</v>
      </c>
      <c r="U37" s="78"/>
      <c r="V37" s="78"/>
      <c r="W37" s="78"/>
      <c r="X37" s="78"/>
      <c r="Y37" s="78"/>
      <c r="Z37" s="78"/>
      <c r="AA37" s="78"/>
      <c r="AB37" s="78"/>
      <c r="AC37" s="78"/>
      <c r="AD37" s="78"/>
    </row>
    <row r="38" spans="1:30" ht="15.75" x14ac:dyDescent="0.25">
      <c r="A38" s="13">
        <v>42064</v>
      </c>
      <c r="B38" s="91">
        <v>31</v>
      </c>
      <c r="C38" s="77">
        <f>122.58</f>
        <v>122.58</v>
      </c>
      <c r="D38" s="77">
        <f>297.941</f>
        <v>297.94099999999997</v>
      </c>
      <c r="E38" s="86">
        <f>89.177</f>
        <v>89.177000000000007</v>
      </c>
      <c r="F38" s="77">
        <f>240.302-40</f>
        <v>200.30199999999999</v>
      </c>
      <c r="G38" s="80">
        <v>40</v>
      </c>
      <c r="H38" s="77">
        <v>0</v>
      </c>
      <c r="I38" s="77">
        <v>0</v>
      </c>
      <c r="J38" s="80">
        <v>100</v>
      </c>
      <c r="K38" s="80">
        <v>300</v>
      </c>
      <c r="L38" s="77">
        <f t="shared" si="0"/>
        <v>1150</v>
      </c>
      <c r="M38" s="88"/>
      <c r="N38" s="77">
        <f>100</f>
        <v>100</v>
      </c>
      <c r="O38" s="80">
        <v>240</v>
      </c>
      <c r="P38" s="80">
        <v>0</v>
      </c>
      <c r="Q38" s="80">
        <f t="shared" si="1"/>
        <v>355</v>
      </c>
      <c r="R38" s="80">
        <f t="shared" si="2"/>
        <v>100</v>
      </c>
      <c r="S38" s="77">
        <f t="shared" si="3"/>
        <v>695</v>
      </c>
      <c r="T38" s="77">
        <f>50</f>
        <v>50</v>
      </c>
      <c r="U38" s="78"/>
      <c r="V38" s="78"/>
      <c r="W38" s="78"/>
      <c r="X38" s="78"/>
      <c r="Y38" s="78"/>
      <c r="Z38" s="78"/>
      <c r="AA38" s="78"/>
      <c r="AB38" s="78"/>
      <c r="AC38" s="78"/>
      <c r="AD38" s="78"/>
    </row>
    <row r="39" spans="1:30" ht="15.75" x14ac:dyDescent="0.25">
      <c r="A39" s="13">
        <v>42095</v>
      </c>
      <c r="B39" s="91">
        <v>30</v>
      </c>
      <c r="C39" s="77">
        <f>141.293</f>
        <v>141.29300000000001</v>
      </c>
      <c r="D39" s="77">
        <f>267.993</f>
        <v>267.99299999999999</v>
      </c>
      <c r="E39" s="86">
        <f>115.016</f>
        <v>115.01600000000001</v>
      </c>
      <c r="F39" s="77">
        <f>314.698-40-25-60-100</f>
        <v>89.697999999999979</v>
      </c>
      <c r="G39" s="80">
        <v>40</v>
      </c>
      <c r="H39" s="77">
        <f t="shared" ref="H39:H45" si="5">25+60+100</f>
        <v>185</v>
      </c>
      <c r="I39" s="77">
        <v>0</v>
      </c>
      <c r="J39" s="80">
        <v>100</v>
      </c>
      <c r="K39" s="80">
        <v>300</v>
      </c>
      <c r="L39" s="77">
        <f t="shared" si="0"/>
        <v>1239</v>
      </c>
      <c r="M39" s="88"/>
      <c r="N39" s="77">
        <f>100</f>
        <v>100</v>
      </c>
      <c r="O39" s="80">
        <v>240</v>
      </c>
      <c r="P39" s="80">
        <f t="shared" ref="P39:P45" si="6">120+40</f>
        <v>160</v>
      </c>
      <c r="Q39" s="80">
        <f t="shared" si="1"/>
        <v>195</v>
      </c>
      <c r="R39" s="80">
        <f t="shared" si="2"/>
        <v>100</v>
      </c>
      <c r="S39" s="77">
        <f t="shared" si="3"/>
        <v>695</v>
      </c>
      <c r="T39" s="77">
        <f>50</f>
        <v>50</v>
      </c>
      <c r="U39" s="78"/>
      <c r="V39" s="78"/>
      <c r="W39" s="78"/>
      <c r="X39" s="78"/>
      <c r="Y39" s="78"/>
      <c r="Z39" s="78"/>
      <c r="AA39" s="78"/>
      <c r="AB39" s="78"/>
      <c r="AC39" s="78"/>
      <c r="AD39" s="78"/>
    </row>
    <row r="40" spans="1:30" ht="15.75" x14ac:dyDescent="0.25">
      <c r="A40" s="13">
        <v>42125</v>
      </c>
      <c r="B40" s="91">
        <v>31</v>
      </c>
      <c r="C40" s="77">
        <f>194.205</f>
        <v>194.20500000000001</v>
      </c>
      <c r="D40" s="77">
        <f>267.466</f>
        <v>267.46600000000001</v>
      </c>
      <c r="E40" s="86">
        <f>133.845</f>
        <v>133.845</v>
      </c>
      <c r="F40" s="77">
        <f>278.484-40-25-60-100</f>
        <v>53.48399999999998</v>
      </c>
      <c r="G40" s="80">
        <v>40</v>
      </c>
      <c r="H40" s="77">
        <f t="shared" si="5"/>
        <v>185</v>
      </c>
      <c r="I40" s="92">
        <v>50</v>
      </c>
      <c r="J40" s="80">
        <v>100</v>
      </c>
      <c r="K40" s="80">
        <v>300</v>
      </c>
      <c r="L40" s="77">
        <f t="shared" si="0"/>
        <v>1324</v>
      </c>
      <c r="M40" s="88"/>
      <c r="N40" s="77">
        <f>75</f>
        <v>75</v>
      </c>
      <c r="O40" s="80">
        <v>240</v>
      </c>
      <c r="P40" s="80">
        <f t="shared" si="6"/>
        <v>160</v>
      </c>
      <c r="Q40" s="80">
        <f t="shared" si="1"/>
        <v>195</v>
      </c>
      <c r="R40" s="80">
        <f t="shared" si="2"/>
        <v>100</v>
      </c>
      <c r="S40" s="77">
        <f t="shared" si="3"/>
        <v>695</v>
      </c>
      <c r="T40" s="77">
        <f>50</f>
        <v>50</v>
      </c>
      <c r="U40" s="78"/>
      <c r="V40" s="78"/>
      <c r="W40" s="78"/>
      <c r="X40" s="78"/>
      <c r="Y40" s="78"/>
      <c r="Z40" s="78"/>
      <c r="AA40" s="78"/>
      <c r="AB40" s="78"/>
      <c r="AC40" s="78"/>
      <c r="AD40" s="78"/>
    </row>
    <row r="41" spans="1:30" ht="15.75" x14ac:dyDescent="0.25">
      <c r="A41" s="13">
        <v>42156</v>
      </c>
      <c r="B41" s="91">
        <v>30</v>
      </c>
      <c r="C41" s="77">
        <f>194.205</f>
        <v>194.20500000000001</v>
      </c>
      <c r="D41" s="77">
        <f>267.466</f>
        <v>267.46600000000001</v>
      </c>
      <c r="E41" s="86">
        <f>133.845</f>
        <v>133.845</v>
      </c>
      <c r="F41" s="77">
        <f>278.484-40-25-60-100</f>
        <v>53.48399999999998</v>
      </c>
      <c r="G41" s="80">
        <v>40</v>
      </c>
      <c r="H41" s="77">
        <f t="shared" si="5"/>
        <v>185</v>
      </c>
      <c r="I41" s="92">
        <v>50</v>
      </c>
      <c r="J41" s="80">
        <v>100</v>
      </c>
      <c r="K41" s="80">
        <v>300</v>
      </c>
      <c r="L41" s="77">
        <f t="shared" si="0"/>
        <v>1324</v>
      </c>
      <c r="M41" s="88"/>
      <c r="N41" s="77">
        <f>30</f>
        <v>30</v>
      </c>
      <c r="O41" s="80">
        <v>240</v>
      </c>
      <c r="P41" s="80">
        <f t="shared" si="6"/>
        <v>160</v>
      </c>
      <c r="Q41" s="80">
        <f t="shared" si="1"/>
        <v>195</v>
      </c>
      <c r="R41" s="80">
        <f t="shared" si="2"/>
        <v>100</v>
      </c>
      <c r="S41" s="77">
        <f t="shared" si="3"/>
        <v>695</v>
      </c>
      <c r="T41" s="77">
        <f>50</f>
        <v>50</v>
      </c>
      <c r="U41" s="78"/>
      <c r="V41" s="78"/>
      <c r="W41" s="78"/>
      <c r="X41" s="78"/>
      <c r="Y41" s="78"/>
      <c r="Z41" s="78"/>
      <c r="AA41" s="78"/>
      <c r="AB41" s="78"/>
      <c r="AC41" s="78"/>
      <c r="AD41" s="78"/>
    </row>
    <row r="42" spans="1:30" ht="15.75" x14ac:dyDescent="0.25">
      <c r="A42" s="13">
        <v>42186</v>
      </c>
      <c r="B42" s="91">
        <v>31</v>
      </c>
      <c r="C42" s="77">
        <f>194.205</f>
        <v>194.20500000000001</v>
      </c>
      <c r="D42" s="77">
        <f>267.466</f>
        <v>267.46600000000001</v>
      </c>
      <c r="E42" s="86">
        <f>133.845</f>
        <v>133.845</v>
      </c>
      <c r="F42" s="77">
        <f>278.484-40-25-60-100</f>
        <v>53.48399999999998</v>
      </c>
      <c r="G42" s="80">
        <v>40</v>
      </c>
      <c r="H42" s="77">
        <f t="shared" si="5"/>
        <v>185</v>
      </c>
      <c r="I42" s="92">
        <v>50</v>
      </c>
      <c r="J42" s="80">
        <v>100</v>
      </c>
      <c r="K42" s="80">
        <v>300</v>
      </c>
      <c r="L42" s="77">
        <f t="shared" si="0"/>
        <v>1324</v>
      </c>
      <c r="M42" s="88"/>
      <c r="N42" s="77">
        <f>30</f>
        <v>30</v>
      </c>
      <c r="O42" s="80">
        <v>240</v>
      </c>
      <c r="P42" s="80">
        <f t="shared" si="6"/>
        <v>160</v>
      </c>
      <c r="Q42" s="80">
        <f t="shared" si="1"/>
        <v>195</v>
      </c>
      <c r="R42" s="80">
        <f t="shared" si="2"/>
        <v>100</v>
      </c>
      <c r="S42" s="77">
        <f t="shared" si="3"/>
        <v>695</v>
      </c>
      <c r="T42" s="77">
        <f>0</f>
        <v>0</v>
      </c>
      <c r="U42" s="78"/>
      <c r="V42" s="78"/>
      <c r="W42" s="78"/>
      <c r="X42" s="78"/>
      <c r="Y42" s="78"/>
      <c r="Z42" s="78"/>
      <c r="AA42" s="78"/>
      <c r="AB42" s="78"/>
      <c r="AC42" s="78"/>
      <c r="AD42" s="78"/>
    </row>
    <row r="43" spans="1:30" ht="15.75" x14ac:dyDescent="0.25">
      <c r="A43" s="13">
        <v>42217</v>
      </c>
      <c r="B43" s="91">
        <v>31</v>
      </c>
      <c r="C43" s="77">
        <f>194.205</f>
        <v>194.20500000000001</v>
      </c>
      <c r="D43" s="77">
        <f>267.466</f>
        <v>267.46600000000001</v>
      </c>
      <c r="E43" s="86">
        <f>133.845</f>
        <v>133.845</v>
      </c>
      <c r="F43" s="77">
        <f>278.484-40-25-60-100</f>
        <v>53.48399999999998</v>
      </c>
      <c r="G43" s="80">
        <v>40</v>
      </c>
      <c r="H43" s="77">
        <f t="shared" si="5"/>
        <v>185</v>
      </c>
      <c r="I43" s="92">
        <v>50</v>
      </c>
      <c r="J43" s="80">
        <v>100</v>
      </c>
      <c r="K43" s="80">
        <v>300</v>
      </c>
      <c r="L43" s="77">
        <f t="shared" si="0"/>
        <v>1324</v>
      </c>
      <c r="M43" s="88"/>
      <c r="N43" s="77">
        <f>30</f>
        <v>30</v>
      </c>
      <c r="O43" s="80">
        <v>240</v>
      </c>
      <c r="P43" s="80">
        <f t="shared" si="6"/>
        <v>160</v>
      </c>
      <c r="Q43" s="80">
        <f t="shared" si="1"/>
        <v>195</v>
      </c>
      <c r="R43" s="80">
        <f t="shared" si="2"/>
        <v>100</v>
      </c>
      <c r="S43" s="77">
        <f t="shared" si="3"/>
        <v>695</v>
      </c>
      <c r="T43" s="77">
        <f>0</f>
        <v>0</v>
      </c>
      <c r="U43" s="78"/>
      <c r="V43" s="78"/>
      <c r="W43" s="78"/>
      <c r="X43" s="78"/>
      <c r="Y43" s="78"/>
      <c r="Z43" s="78"/>
      <c r="AA43" s="78"/>
      <c r="AB43" s="78"/>
      <c r="AC43" s="78"/>
      <c r="AD43" s="78"/>
    </row>
    <row r="44" spans="1:30" ht="15.75" x14ac:dyDescent="0.25">
      <c r="A44" s="13">
        <v>42248</v>
      </c>
      <c r="B44" s="91">
        <v>30</v>
      </c>
      <c r="C44" s="77">
        <f>194.205</f>
        <v>194.20500000000001</v>
      </c>
      <c r="D44" s="77">
        <f>267.466</f>
        <v>267.46600000000001</v>
      </c>
      <c r="E44" s="86">
        <f>133.845</f>
        <v>133.845</v>
      </c>
      <c r="F44" s="77">
        <f>278.484-40-25-60-100</f>
        <v>53.48399999999998</v>
      </c>
      <c r="G44" s="80">
        <v>40</v>
      </c>
      <c r="H44" s="77">
        <f t="shared" si="5"/>
        <v>185</v>
      </c>
      <c r="I44" s="92">
        <v>50</v>
      </c>
      <c r="J44" s="80">
        <v>100</v>
      </c>
      <c r="K44" s="80">
        <v>300</v>
      </c>
      <c r="L44" s="77">
        <f t="shared" si="0"/>
        <v>1324</v>
      </c>
      <c r="M44" s="88"/>
      <c r="N44" s="77">
        <f>30</f>
        <v>30</v>
      </c>
      <c r="O44" s="80">
        <v>240</v>
      </c>
      <c r="P44" s="80">
        <f t="shared" si="6"/>
        <v>160</v>
      </c>
      <c r="Q44" s="80">
        <f t="shared" si="1"/>
        <v>195</v>
      </c>
      <c r="R44" s="80">
        <f t="shared" si="2"/>
        <v>100</v>
      </c>
      <c r="S44" s="77">
        <f t="shared" si="3"/>
        <v>695</v>
      </c>
      <c r="T44" s="77">
        <f>0</f>
        <v>0</v>
      </c>
      <c r="U44" s="78"/>
      <c r="V44" s="78"/>
      <c r="W44" s="78"/>
      <c r="X44" s="78"/>
      <c r="Y44" s="78"/>
      <c r="Z44" s="78"/>
      <c r="AA44" s="78"/>
      <c r="AB44" s="78"/>
      <c r="AC44" s="78"/>
      <c r="AD44" s="78"/>
    </row>
    <row r="45" spans="1:30" ht="15.75" x14ac:dyDescent="0.25">
      <c r="A45" s="13">
        <v>42278</v>
      </c>
      <c r="B45" s="91">
        <v>31</v>
      </c>
      <c r="C45" s="77">
        <f>131.881</f>
        <v>131.881</v>
      </c>
      <c r="D45" s="77">
        <f>277.167</f>
        <v>277.16699999999997</v>
      </c>
      <c r="E45" s="86">
        <f>79.08</f>
        <v>79.08</v>
      </c>
      <c r="F45" s="77">
        <f>350.872-40-25-60-100</f>
        <v>125.87200000000001</v>
      </c>
      <c r="G45" s="80">
        <v>40</v>
      </c>
      <c r="H45" s="77">
        <f t="shared" si="5"/>
        <v>185</v>
      </c>
      <c r="I45" s="77">
        <v>0</v>
      </c>
      <c r="J45" s="80">
        <v>100</v>
      </c>
      <c r="K45" s="80">
        <v>300</v>
      </c>
      <c r="L45" s="77">
        <f t="shared" si="0"/>
        <v>1239</v>
      </c>
      <c r="M45" s="88"/>
      <c r="N45" s="77">
        <f>75</f>
        <v>75</v>
      </c>
      <c r="O45" s="80">
        <v>240</v>
      </c>
      <c r="P45" s="80">
        <f t="shared" si="6"/>
        <v>160</v>
      </c>
      <c r="Q45" s="80">
        <f t="shared" si="1"/>
        <v>195</v>
      </c>
      <c r="R45" s="80">
        <f t="shared" si="2"/>
        <v>100</v>
      </c>
      <c r="S45" s="77">
        <f t="shared" si="3"/>
        <v>695</v>
      </c>
      <c r="T45" s="77">
        <f>0</f>
        <v>0</v>
      </c>
      <c r="U45" s="78"/>
      <c r="V45" s="78"/>
      <c r="W45" s="78"/>
      <c r="X45" s="78"/>
      <c r="Y45" s="78"/>
      <c r="Z45" s="78"/>
      <c r="AA45" s="78"/>
      <c r="AB45" s="78"/>
      <c r="AC45" s="78"/>
      <c r="AD45" s="78"/>
    </row>
    <row r="46" spans="1:30" ht="15.75" x14ac:dyDescent="0.25">
      <c r="A46" s="13">
        <v>42309</v>
      </c>
      <c r="B46" s="91">
        <v>30</v>
      </c>
      <c r="C46" s="77">
        <f>122.58</f>
        <v>122.58</v>
      </c>
      <c r="D46" s="77">
        <f>297.941</f>
        <v>297.94099999999997</v>
      </c>
      <c r="E46" s="86">
        <f>89.177</f>
        <v>89.177000000000007</v>
      </c>
      <c r="F46" s="77">
        <f>240.302-40-60-100</f>
        <v>40.301999999999992</v>
      </c>
      <c r="G46" s="80">
        <v>40</v>
      </c>
      <c r="H46" s="77">
        <f>60+100</f>
        <v>160</v>
      </c>
      <c r="I46" s="77">
        <v>0</v>
      </c>
      <c r="J46" s="80">
        <v>100</v>
      </c>
      <c r="K46" s="80">
        <v>300</v>
      </c>
      <c r="L46" s="77">
        <f t="shared" si="0"/>
        <v>1150</v>
      </c>
      <c r="M46" s="88"/>
      <c r="N46" s="77">
        <f>100</f>
        <v>100</v>
      </c>
      <c r="O46" s="80">
        <v>240</v>
      </c>
      <c r="P46" s="80">
        <v>40</v>
      </c>
      <c r="Q46" s="80">
        <f t="shared" si="1"/>
        <v>315</v>
      </c>
      <c r="R46" s="80">
        <f t="shared" si="2"/>
        <v>100</v>
      </c>
      <c r="S46" s="77">
        <f t="shared" si="3"/>
        <v>695</v>
      </c>
      <c r="T46" s="77">
        <f>50</f>
        <v>50</v>
      </c>
      <c r="U46" s="78"/>
      <c r="V46" s="78"/>
      <c r="W46" s="78"/>
      <c r="X46" s="78"/>
      <c r="Y46" s="78"/>
      <c r="Z46" s="78"/>
      <c r="AA46" s="78"/>
      <c r="AB46" s="78"/>
      <c r="AC46" s="78"/>
      <c r="AD46" s="78"/>
    </row>
    <row r="47" spans="1:30" ht="15.75" x14ac:dyDescent="0.25">
      <c r="A47" s="13">
        <v>42339</v>
      </c>
      <c r="B47" s="91">
        <v>31</v>
      </c>
      <c r="C47" s="77">
        <f>122.58</f>
        <v>122.58</v>
      </c>
      <c r="D47" s="77">
        <f>297.941</f>
        <v>297.94099999999997</v>
      </c>
      <c r="E47" s="86">
        <f>89.177</f>
        <v>89.177000000000007</v>
      </c>
      <c r="F47" s="77">
        <f>240.302-40-60-100</f>
        <v>40.301999999999992</v>
      </c>
      <c r="G47" s="80">
        <v>40</v>
      </c>
      <c r="H47" s="77">
        <f>60+100</f>
        <v>160</v>
      </c>
      <c r="I47" s="77">
        <v>0</v>
      </c>
      <c r="J47" s="80">
        <v>100</v>
      </c>
      <c r="K47" s="80">
        <v>300</v>
      </c>
      <c r="L47" s="77">
        <f t="shared" si="0"/>
        <v>1150</v>
      </c>
      <c r="M47" s="88"/>
      <c r="N47" s="77">
        <f>100</f>
        <v>100</v>
      </c>
      <c r="O47" s="80">
        <v>240</v>
      </c>
      <c r="P47" s="80">
        <v>40</v>
      </c>
      <c r="Q47" s="80">
        <f t="shared" si="1"/>
        <v>315</v>
      </c>
      <c r="R47" s="80">
        <f t="shared" si="2"/>
        <v>100</v>
      </c>
      <c r="S47" s="77">
        <f t="shared" si="3"/>
        <v>695</v>
      </c>
      <c r="T47" s="77">
        <f>50</f>
        <v>50</v>
      </c>
      <c r="U47" s="78"/>
      <c r="V47" s="78"/>
      <c r="W47" s="78"/>
      <c r="X47" s="78"/>
      <c r="Y47" s="78"/>
      <c r="Z47" s="78"/>
      <c r="AA47" s="78"/>
      <c r="AB47" s="78"/>
      <c r="AC47" s="78"/>
      <c r="AD47" s="78"/>
    </row>
    <row r="48" spans="1:30" ht="15.75" x14ac:dyDescent="0.25">
      <c r="A48" s="13">
        <v>42370</v>
      </c>
      <c r="B48" s="91">
        <v>31</v>
      </c>
      <c r="C48" s="77">
        <f>122.58</f>
        <v>122.58</v>
      </c>
      <c r="D48" s="77">
        <f>297.941</f>
        <v>297.94099999999997</v>
      </c>
      <c r="E48" s="86">
        <f>89.177</f>
        <v>89.177000000000007</v>
      </c>
      <c r="F48" s="77">
        <f>240.302-40-60-100</f>
        <v>40.301999999999992</v>
      </c>
      <c r="G48" s="80">
        <v>40</v>
      </c>
      <c r="H48" s="77">
        <f>60+100</f>
        <v>160</v>
      </c>
      <c r="I48" s="77">
        <v>0</v>
      </c>
      <c r="J48" s="80">
        <v>100</v>
      </c>
      <c r="K48" s="80">
        <v>300</v>
      </c>
      <c r="L48" s="77">
        <f t="shared" si="0"/>
        <v>1150</v>
      </c>
      <c r="M48" s="88"/>
      <c r="N48" s="77">
        <f>100</f>
        <v>100</v>
      </c>
      <c r="O48" s="80">
        <v>240</v>
      </c>
      <c r="P48" s="80">
        <v>40</v>
      </c>
      <c r="Q48" s="80">
        <f t="shared" si="1"/>
        <v>315</v>
      </c>
      <c r="R48" s="80">
        <f t="shared" si="2"/>
        <v>100</v>
      </c>
      <c r="S48" s="77">
        <f t="shared" si="3"/>
        <v>695</v>
      </c>
      <c r="T48" s="77">
        <f>50</f>
        <v>50</v>
      </c>
      <c r="U48" s="78"/>
      <c r="V48" s="78"/>
      <c r="W48" s="78"/>
      <c r="X48" s="78"/>
      <c r="Y48" s="78"/>
      <c r="Z48" s="78"/>
      <c r="AA48" s="78"/>
      <c r="AB48" s="78"/>
      <c r="AC48" s="78"/>
      <c r="AD48" s="78"/>
    </row>
    <row r="49" spans="1:30" ht="15.75" x14ac:dyDescent="0.25">
      <c r="A49" s="13">
        <v>42401</v>
      </c>
      <c r="B49" s="91">
        <v>29</v>
      </c>
      <c r="C49" s="77">
        <f>122.58</f>
        <v>122.58</v>
      </c>
      <c r="D49" s="77">
        <f>297.941</f>
        <v>297.94099999999997</v>
      </c>
      <c r="E49" s="86">
        <f>89.177</f>
        <v>89.177000000000007</v>
      </c>
      <c r="F49" s="77">
        <f>240.302-40-60-100</f>
        <v>40.301999999999992</v>
      </c>
      <c r="G49" s="80">
        <v>40</v>
      </c>
      <c r="H49" s="77">
        <f>60+100</f>
        <v>160</v>
      </c>
      <c r="I49" s="77">
        <v>0</v>
      </c>
      <c r="J49" s="80">
        <v>100</v>
      </c>
      <c r="K49" s="80">
        <v>300</v>
      </c>
      <c r="L49" s="77">
        <f t="shared" si="0"/>
        <v>1150</v>
      </c>
      <c r="M49" s="88"/>
      <c r="N49" s="77">
        <f>100</f>
        <v>100</v>
      </c>
      <c r="O49" s="80">
        <v>240</v>
      </c>
      <c r="P49" s="80">
        <v>40</v>
      </c>
      <c r="Q49" s="80">
        <f t="shared" si="1"/>
        <v>315</v>
      </c>
      <c r="R49" s="80">
        <f t="shared" si="2"/>
        <v>100</v>
      </c>
      <c r="S49" s="77">
        <f t="shared" si="3"/>
        <v>695</v>
      </c>
      <c r="T49" s="77">
        <f>50</f>
        <v>50</v>
      </c>
      <c r="U49" s="78"/>
      <c r="V49" s="78"/>
      <c r="W49" s="78"/>
      <c r="X49" s="78"/>
      <c r="Y49" s="78"/>
      <c r="Z49" s="78"/>
      <c r="AA49" s="78"/>
      <c r="AB49" s="78"/>
      <c r="AC49" s="78"/>
      <c r="AD49" s="78"/>
    </row>
    <row r="50" spans="1:30" ht="15.75" x14ac:dyDescent="0.25">
      <c r="A50" s="13">
        <v>42430</v>
      </c>
      <c r="B50" s="91">
        <v>31</v>
      </c>
      <c r="C50" s="77">
        <f>122.58</f>
        <v>122.58</v>
      </c>
      <c r="D50" s="77">
        <f>297.941</f>
        <v>297.94099999999997</v>
      </c>
      <c r="E50" s="86">
        <f>89.177</f>
        <v>89.177000000000007</v>
      </c>
      <c r="F50" s="77">
        <f>240.302-40-60-100</f>
        <v>40.301999999999992</v>
      </c>
      <c r="G50" s="80">
        <v>40</v>
      </c>
      <c r="H50" s="77">
        <f>60+100</f>
        <v>160</v>
      </c>
      <c r="I50" s="77">
        <v>0</v>
      </c>
      <c r="J50" s="80">
        <v>100</v>
      </c>
      <c r="K50" s="80">
        <v>300</v>
      </c>
      <c r="L50" s="77">
        <f t="shared" si="0"/>
        <v>1150</v>
      </c>
      <c r="M50" s="88"/>
      <c r="N50" s="77">
        <f>100</f>
        <v>100</v>
      </c>
      <c r="O50" s="80">
        <v>240</v>
      </c>
      <c r="P50" s="80">
        <v>40</v>
      </c>
      <c r="Q50" s="80">
        <f t="shared" si="1"/>
        <v>315</v>
      </c>
      <c r="R50" s="80">
        <f t="shared" si="2"/>
        <v>100</v>
      </c>
      <c r="S50" s="77">
        <f t="shared" si="3"/>
        <v>695</v>
      </c>
      <c r="T50" s="77">
        <f>50</f>
        <v>50</v>
      </c>
      <c r="U50" s="78"/>
      <c r="V50" s="78"/>
      <c r="W50" s="78"/>
      <c r="X50" s="78"/>
      <c r="Y50" s="78"/>
      <c r="Z50" s="78"/>
      <c r="AA50" s="78"/>
      <c r="AB50" s="78"/>
      <c r="AC50" s="78"/>
      <c r="AD50" s="78"/>
    </row>
    <row r="51" spans="1:30" ht="15.75" x14ac:dyDescent="0.25">
      <c r="A51" s="13">
        <v>42461</v>
      </c>
      <c r="B51" s="91">
        <v>30</v>
      </c>
      <c r="C51" s="77">
        <f>141.293</f>
        <v>141.29300000000001</v>
      </c>
      <c r="D51" s="77">
        <f>267.993</f>
        <v>267.99299999999999</v>
      </c>
      <c r="E51" s="86">
        <f>115.016</f>
        <v>115.01600000000001</v>
      </c>
      <c r="F51" s="77">
        <f>314.698-40-25-60-100</f>
        <v>89.697999999999979</v>
      </c>
      <c r="G51" s="80">
        <v>40</v>
      </c>
      <c r="H51" s="77">
        <f t="shared" ref="H51:H57" si="7">25+60+100</f>
        <v>185</v>
      </c>
      <c r="I51" s="77">
        <v>0</v>
      </c>
      <c r="J51" s="80">
        <v>100</v>
      </c>
      <c r="K51" s="80">
        <v>300</v>
      </c>
      <c r="L51" s="77">
        <f t="shared" si="0"/>
        <v>1239</v>
      </c>
      <c r="M51" s="88"/>
      <c r="N51" s="77">
        <f>100</f>
        <v>100</v>
      </c>
      <c r="O51" s="80">
        <v>240</v>
      </c>
      <c r="P51" s="80">
        <v>160</v>
      </c>
      <c r="Q51" s="80">
        <f t="shared" si="1"/>
        <v>195</v>
      </c>
      <c r="R51" s="80">
        <f t="shared" si="2"/>
        <v>100</v>
      </c>
      <c r="S51" s="77">
        <f t="shared" si="3"/>
        <v>695</v>
      </c>
      <c r="T51" s="77">
        <f>50</f>
        <v>50</v>
      </c>
      <c r="U51" s="78"/>
      <c r="V51" s="78"/>
      <c r="W51" s="78"/>
      <c r="X51" s="78"/>
      <c r="Y51" s="78"/>
      <c r="Z51" s="78"/>
      <c r="AA51" s="78"/>
      <c r="AB51" s="78"/>
      <c r="AC51" s="78"/>
      <c r="AD51" s="78"/>
    </row>
    <row r="52" spans="1:30" ht="15.75" x14ac:dyDescent="0.25">
      <c r="A52" s="13">
        <v>42491</v>
      </c>
      <c r="B52" s="91">
        <v>31</v>
      </c>
      <c r="C52" s="77">
        <f>194.205</f>
        <v>194.20500000000001</v>
      </c>
      <c r="D52" s="77">
        <f>267.466</f>
        <v>267.46600000000001</v>
      </c>
      <c r="E52" s="86">
        <f>133.845</f>
        <v>133.845</v>
      </c>
      <c r="F52" s="77">
        <f>278.484-40-25-60-100</f>
        <v>53.48399999999998</v>
      </c>
      <c r="G52" s="80">
        <v>40</v>
      </c>
      <c r="H52" s="77">
        <f t="shared" si="7"/>
        <v>185</v>
      </c>
      <c r="I52" s="77">
        <f t="shared" ref="I52:I115" si="8">400-J52-K52</f>
        <v>0</v>
      </c>
      <c r="J52" s="80">
        <v>100</v>
      </c>
      <c r="K52" s="80">
        <v>300</v>
      </c>
      <c r="L52" s="77">
        <f t="shared" si="0"/>
        <v>1274</v>
      </c>
      <c r="M52" s="88"/>
      <c r="N52" s="77">
        <f>75</f>
        <v>75</v>
      </c>
      <c r="O52" s="80">
        <v>240</v>
      </c>
      <c r="P52" s="80">
        <v>160</v>
      </c>
      <c r="Q52" s="80">
        <f t="shared" si="1"/>
        <v>195</v>
      </c>
      <c r="R52" s="80">
        <f t="shared" si="2"/>
        <v>100</v>
      </c>
      <c r="S52" s="77">
        <f t="shared" si="3"/>
        <v>695</v>
      </c>
      <c r="T52" s="77">
        <f>50</f>
        <v>50</v>
      </c>
      <c r="U52" s="78"/>
      <c r="V52" s="78"/>
      <c r="W52" s="78"/>
      <c r="X52" s="78"/>
      <c r="Y52" s="78"/>
      <c r="Z52" s="78"/>
      <c r="AA52" s="78"/>
      <c r="AB52" s="78"/>
      <c r="AC52" s="78"/>
      <c r="AD52" s="78"/>
    </row>
    <row r="53" spans="1:30" ht="15.75" x14ac:dyDescent="0.25">
      <c r="A53" s="13">
        <v>42522</v>
      </c>
      <c r="B53" s="91">
        <v>30</v>
      </c>
      <c r="C53" s="77">
        <f>194.205</f>
        <v>194.20500000000001</v>
      </c>
      <c r="D53" s="77">
        <f>267.466</f>
        <v>267.46600000000001</v>
      </c>
      <c r="E53" s="86">
        <f>133.845</f>
        <v>133.845</v>
      </c>
      <c r="F53" s="77">
        <f>278.484-40-25-60-100</f>
        <v>53.48399999999998</v>
      </c>
      <c r="G53" s="80">
        <v>40</v>
      </c>
      <c r="H53" s="77">
        <f t="shared" si="7"/>
        <v>185</v>
      </c>
      <c r="I53" s="77">
        <f t="shared" si="8"/>
        <v>0</v>
      </c>
      <c r="J53" s="80">
        <v>100</v>
      </c>
      <c r="K53" s="80">
        <v>300</v>
      </c>
      <c r="L53" s="77">
        <f t="shared" si="0"/>
        <v>1274</v>
      </c>
      <c r="M53" s="88"/>
      <c r="N53" s="77">
        <f>30</f>
        <v>30</v>
      </c>
      <c r="O53" s="80">
        <v>240</v>
      </c>
      <c r="P53" s="80">
        <v>160</v>
      </c>
      <c r="Q53" s="80">
        <f t="shared" si="1"/>
        <v>195</v>
      </c>
      <c r="R53" s="80">
        <f t="shared" si="2"/>
        <v>100</v>
      </c>
      <c r="S53" s="77">
        <f t="shared" si="3"/>
        <v>695</v>
      </c>
      <c r="T53" s="77">
        <f>50</f>
        <v>50</v>
      </c>
      <c r="U53" s="78"/>
      <c r="V53" s="78"/>
      <c r="W53" s="78"/>
      <c r="X53" s="78"/>
      <c r="Y53" s="78"/>
      <c r="Z53" s="78"/>
      <c r="AA53" s="78"/>
      <c r="AB53" s="78"/>
      <c r="AC53" s="78"/>
      <c r="AD53" s="78"/>
    </row>
    <row r="54" spans="1:30" ht="15.75" x14ac:dyDescent="0.25">
      <c r="A54" s="13">
        <v>42552</v>
      </c>
      <c r="B54" s="91">
        <v>31</v>
      </c>
      <c r="C54" s="77">
        <f>194.205</f>
        <v>194.20500000000001</v>
      </c>
      <c r="D54" s="77">
        <f>267.466</f>
        <v>267.46600000000001</v>
      </c>
      <c r="E54" s="86">
        <f>133.845</f>
        <v>133.845</v>
      </c>
      <c r="F54" s="77">
        <f>278.484-40-25-60-100</f>
        <v>53.48399999999998</v>
      </c>
      <c r="G54" s="80">
        <v>40</v>
      </c>
      <c r="H54" s="77">
        <f t="shared" si="7"/>
        <v>185</v>
      </c>
      <c r="I54" s="77">
        <f t="shared" si="8"/>
        <v>0</v>
      </c>
      <c r="J54" s="80">
        <v>100</v>
      </c>
      <c r="K54" s="80">
        <v>300</v>
      </c>
      <c r="L54" s="77">
        <f t="shared" si="0"/>
        <v>1274</v>
      </c>
      <c r="M54" s="88"/>
      <c r="N54" s="77">
        <f>30</f>
        <v>30</v>
      </c>
      <c r="O54" s="80">
        <v>240</v>
      </c>
      <c r="P54" s="80">
        <v>160</v>
      </c>
      <c r="Q54" s="80">
        <f t="shared" si="1"/>
        <v>195</v>
      </c>
      <c r="R54" s="80">
        <f t="shared" si="2"/>
        <v>100</v>
      </c>
      <c r="S54" s="77">
        <f t="shared" si="3"/>
        <v>695</v>
      </c>
      <c r="T54" s="77">
        <f>0</f>
        <v>0</v>
      </c>
      <c r="U54" s="78"/>
      <c r="V54" s="78"/>
      <c r="W54" s="78"/>
      <c r="X54" s="78"/>
      <c r="Y54" s="78"/>
      <c r="Z54" s="78"/>
      <c r="AA54" s="78"/>
      <c r="AB54" s="78"/>
      <c r="AC54" s="78"/>
      <c r="AD54" s="78"/>
    </row>
    <row r="55" spans="1:30" ht="15.75" x14ac:dyDescent="0.25">
      <c r="A55" s="13">
        <v>42583</v>
      </c>
      <c r="B55" s="91">
        <v>31</v>
      </c>
      <c r="C55" s="77">
        <f>194.205</f>
        <v>194.20500000000001</v>
      </c>
      <c r="D55" s="77">
        <f>267.466</f>
        <v>267.46600000000001</v>
      </c>
      <c r="E55" s="86">
        <f>133.845</f>
        <v>133.845</v>
      </c>
      <c r="F55" s="77">
        <f>278.484-40-25-60-100</f>
        <v>53.48399999999998</v>
      </c>
      <c r="G55" s="80">
        <v>40</v>
      </c>
      <c r="H55" s="77">
        <f t="shared" si="7"/>
        <v>185</v>
      </c>
      <c r="I55" s="77">
        <f t="shared" si="8"/>
        <v>0</v>
      </c>
      <c r="J55" s="80">
        <v>100</v>
      </c>
      <c r="K55" s="80">
        <v>300</v>
      </c>
      <c r="L55" s="77">
        <f t="shared" si="0"/>
        <v>1274</v>
      </c>
      <c r="M55" s="88"/>
      <c r="N55" s="77">
        <f>30</f>
        <v>30</v>
      </c>
      <c r="O55" s="80">
        <v>240</v>
      </c>
      <c r="P55" s="80">
        <v>160</v>
      </c>
      <c r="Q55" s="80">
        <f t="shared" si="1"/>
        <v>195</v>
      </c>
      <c r="R55" s="80">
        <f t="shared" si="2"/>
        <v>100</v>
      </c>
      <c r="S55" s="77">
        <f t="shared" si="3"/>
        <v>695</v>
      </c>
      <c r="T55" s="77">
        <f>0</f>
        <v>0</v>
      </c>
      <c r="U55" s="78"/>
      <c r="V55" s="78"/>
      <c r="W55" s="78"/>
      <c r="X55" s="78"/>
      <c r="Y55" s="78"/>
      <c r="Z55" s="78"/>
      <c r="AA55" s="78"/>
      <c r="AB55" s="78"/>
      <c r="AC55" s="78"/>
      <c r="AD55" s="78"/>
    </row>
    <row r="56" spans="1:30" ht="15.75" x14ac:dyDescent="0.25">
      <c r="A56" s="13">
        <v>42614</v>
      </c>
      <c r="B56" s="91">
        <v>30</v>
      </c>
      <c r="C56" s="77">
        <f>194.205</f>
        <v>194.20500000000001</v>
      </c>
      <c r="D56" s="77">
        <f>267.466</f>
        <v>267.46600000000001</v>
      </c>
      <c r="E56" s="86">
        <f>133.845</f>
        <v>133.845</v>
      </c>
      <c r="F56" s="77">
        <f>278.484-40-25-60-100</f>
        <v>53.48399999999998</v>
      </c>
      <c r="G56" s="80">
        <v>40</v>
      </c>
      <c r="H56" s="77">
        <f t="shared" si="7"/>
        <v>185</v>
      </c>
      <c r="I56" s="77">
        <f t="shared" si="8"/>
        <v>0</v>
      </c>
      <c r="J56" s="80">
        <v>100</v>
      </c>
      <c r="K56" s="80">
        <v>300</v>
      </c>
      <c r="L56" s="77">
        <f t="shared" si="0"/>
        <v>1274</v>
      </c>
      <c r="M56" s="88"/>
      <c r="N56" s="77">
        <f>30</f>
        <v>30</v>
      </c>
      <c r="O56" s="80">
        <v>240</v>
      </c>
      <c r="P56" s="80">
        <v>160</v>
      </c>
      <c r="Q56" s="80">
        <f t="shared" si="1"/>
        <v>195</v>
      </c>
      <c r="R56" s="80">
        <f t="shared" si="2"/>
        <v>100</v>
      </c>
      <c r="S56" s="77">
        <f t="shared" si="3"/>
        <v>695</v>
      </c>
      <c r="T56" s="77">
        <f>0</f>
        <v>0</v>
      </c>
      <c r="U56" s="78"/>
      <c r="V56" s="78"/>
      <c r="W56" s="78"/>
      <c r="X56" s="78"/>
      <c r="Y56" s="78"/>
      <c r="Z56" s="78"/>
      <c r="AA56" s="78"/>
      <c r="AB56" s="78"/>
      <c r="AC56" s="78"/>
      <c r="AD56" s="78"/>
    </row>
    <row r="57" spans="1:30" ht="15.75" x14ac:dyDescent="0.25">
      <c r="A57" s="13">
        <v>42644</v>
      </c>
      <c r="B57" s="91">
        <v>31</v>
      </c>
      <c r="C57" s="77">
        <f>131.881</f>
        <v>131.881</v>
      </c>
      <c r="D57" s="77">
        <f>277.167</f>
        <v>277.16699999999997</v>
      </c>
      <c r="E57" s="86">
        <f>79.08</f>
        <v>79.08</v>
      </c>
      <c r="F57" s="77">
        <f>350.872-40-25-60-100</f>
        <v>125.87200000000001</v>
      </c>
      <c r="G57" s="80">
        <v>40</v>
      </c>
      <c r="H57" s="77">
        <f t="shared" si="7"/>
        <v>185</v>
      </c>
      <c r="I57" s="77">
        <f t="shared" si="8"/>
        <v>0</v>
      </c>
      <c r="J57" s="80">
        <v>100</v>
      </c>
      <c r="K57" s="80">
        <v>300</v>
      </c>
      <c r="L57" s="77">
        <f t="shared" si="0"/>
        <v>1239</v>
      </c>
      <c r="M57" s="88"/>
      <c r="N57" s="77">
        <f>75</f>
        <v>75</v>
      </c>
      <c r="O57" s="80">
        <v>240</v>
      </c>
      <c r="P57" s="80">
        <v>160</v>
      </c>
      <c r="Q57" s="80">
        <f t="shared" si="1"/>
        <v>195</v>
      </c>
      <c r="R57" s="80">
        <f t="shared" si="2"/>
        <v>100</v>
      </c>
      <c r="S57" s="77">
        <f t="shared" si="3"/>
        <v>695</v>
      </c>
      <c r="T57" s="77">
        <f>0</f>
        <v>0</v>
      </c>
      <c r="U57" s="78"/>
      <c r="V57" s="78"/>
      <c r="W57" s="78"/>
      <c r="X57" s="78"/>
      <c r="Y57" s="78"/>
      <c r="Z57" s="78"/>
      <c r="AA57" s="78"/>
      <c r="AB57" s="78"/>
      <c r="AC57" s="78"/>
      <c r="AD57" s="78"/>
    </row>
    <row r="58" spans="1:30" ht="15.75" x14ac:dyDescent="0.25">
      <c r="A58" s="13">
        <v>42675</v>
      </c>
      <c r="B58" s="91">
        <v>30</v>
      </c>
      <c r="C58" s="77">
        <f>122.58</f>
        <v>122.58</v>
      </c>
      <c r="D58" s="77">
        <f>297.941</f>
        <v>297.94099999999997</v>
      </c>
      <c r="E58" s="86">
        <f>89.177</f>
        <v>89.177000000000007</v>
      </c>
      <c r="F58" s="77">
        <f>240.302-40-60-100</f>
        <v>40.301999999999992</v>
      </c>
      <c r="G58" s="80">
        <v>40</v>
      </c>
      <c r="H58" s="77">
        <f>60+100</f>
        <v>160</v>
      </c>
      <c r="I58" s="77">
        <f t="shared" si="8"/>
        <v>0</v>
      </c>
      <c r="J58" s="80">
        <v>100</v>
      </c>
      <c r="K58" s="80">
        <v>300</v>
      </c>
      <c r="L58" s="77">
        <f t="shared" si="0"/>
        <v>1150</v>
      </c>
      <c r="M58" s="88"/>
      <c r="N58" s="77">
        <f>100</f>
        <v>100</v>
      </c>
      <c r="O58" s="80">
        <v>240</v>
      </c>
      <c r="P58" s="80">
        <v>40</v>
      </c>
      <c r="Q58" s="80">
        <f t="shared" si="1"/>
        <v>315</v>
      </c>
      <c r="R58" s="80">
        <f t="shared" si="2"/>
        <v>100</v>
      </c>
      <c r="S58" s="77">
        <f t="shared" si="3"/>
        <v>695</v>
      </c>
      <c r="T58" s="77">
        <f>50</f>
        <v>50</v>
      </c>
      <c r="U58" s="78"/>
      <c r="V58" s="78"/>
      <c r="W58" s="78"/>
      <c r="X58" s="78"/>
      <c r="Y58" s="78"/>
      <c r="Z58" s="78"/>
      <c r="AA58" s="78"/>
      <c r="AB58" s="78"/>
      <c r="AC58" s="78"/>
      <c r="AD58" s="78"/>
    </row>
    <row r="59" spans="1:30" ht="15.75" x14ac:dyDescent="0.25">
      <c r="A59" s="13">
        <v>42705</v>
      </c>
      <c r="B59" s="91">
        <v>31</v>
      </c>
      <c r="C59" s="77">
        <f>122.58</f>
        <v>122.58</v>
      </c>
      <c r="D59" s="77">
        <f>297.941</f>
        <v>297.94099999999997</v>
      </c>
      <c r="E59" s="86">
        <f>89.177</f>
        <v>89.177000000000007</v>
      </c>
      <c r="F59" s="77">
        <f>240.302-40-60-100</f>
        <v>40.301999999999992</v>
      </c>
      <c r="G59" s="80">
        <v>40</v>
      </c>
      <c r="H59" s="77">
        <f>60+100</f>
        <v>160</v>
      </c>
      <c r="I59" s="77">
        <f t="shared" si="8"/>
        <v>0</v>
      </c>
      <c r="J59" s="80">
        <v>100</v>
      </c>
      <c r="K59" s="80">
        <v>300</v>
      </c>
      <c r="L59" s="77">
        <f t="shared" si="0"/>
        <v>1150</v>
      </c>
      <c r="M59" s="88"/>
      <c r="N59" s="77">
        <f>100</f>
        <v>100</v>
      </c>
      <c r="O59" s="80">
        <v>240</v>
      </c>
      <c r="P59" s="80">
        <v>40</v>
      </c>
      <c r="Q59" s="80">
        <f t="shared" si="1"/>
        <v>315</v>
      </c>
      <c r="R59" s="80">
        <f t="shared" si="2"/>
        <v>100</v>
      </c>
      <c r="S59" s="77">
        <f t="shared" si="3"/>
        <v>695</v>
      </c>
      <c r="T59" s="77">
        <f>50</f>
        <v>50</v>
      </c>
      <c r="U59" s="78"/>
      <c r="V59" s="78"/>
      <c r="W59" s="78"/>
      <c r="X59" s="78"/>
      <c r="Y59" s="78"/>
      <c r="Z59" s="78"/>
      <c r="AA59" s="78"/>
      <c r="AB59" s="78"/>
      <c r="AC59" s="78"/>
      <c r="AD59" s="78"/>
    </row>
    <row r="60" spans="1:30" ht="15.75" x14ac:dyDescent="0.25">
      <c r="A60" s="13">
        <v>42736</v>
      </c>
      <c r="B60" s="91">
        <v>31</v>
      </c>
      <c r="C60" s="77">
        <f>122.58</f>
        <v>122.58</v>
      </c>
      <c r="D60" s="77">
        <f>297.941</f>
        <v>297.94099999999997</v>
      </c>
      <c r="E60" s="86">
        <f>89.177</f>
        <v>89.177000000000007</v>
      </c>
      <c r="F60" s="77">
        <f>240.302-40-60-100</f>
        <v>40.301999999999992</v>
      </c>
      <c r="G60" s="80">
        <v>40</v>
      </c>
      <c r="H60" s="77">
        <f>60+100</f>
        <v>160</v>
      </c>
      <c r="I60" s="77">
        <f t="shared" si="8"/>
        <v>0</v>
      </c>
      <c r="J60" s="80">
        <v>100</v>
      </c>
      <c r="K60" s="80">
        <v>300</v>
      </c>
      <c r="L60" s="77">
        <f t="shared" si="0"/>
        <v>1150</v>
      </c>
      <c r="M60" s="88">
        <v>400</v>
      </c>
      <c r="N60" s="77">
        <f>100</f>
        <v>100</v>
      </c>
      <c r="O60" s="80">
        <v>240</v>
      </c>
      <c r="P60" s="80">
        <v>40</v>
      </c>
      <c r="Q60" s="80">
        <f t="shared" si="1"/>
        <v>315</v>
      </c>
      <c r="R60" s="80">
        <f t="shared" si="2"/>
        <v>100</v>
      </c>
      <c r="S60" s="77">
        <f t="shared" si="3"/>
        <v>695</v>
      </c>
      <c r="T60" s="77">
        <f>50</f>
        <v>50</v>
      </c>
      <c r="U60" s="78"/>
      <c r="V60" s="78"/>
      <c r="W60" s="78"/>
      <c r="X60" s="78"/>
      <c r="Y60" s="78"/>
      <c r="Z60" s="78"/>
      <c r="AA60" s="78"/>
      <c r="AB60" s="78"/>
      <c r="AC60" s="78"/>
      <c r="AD60" s="78"/>
    </row>
    <row r="61" spans="1:30" ht="15.75" x14ac:dyDescent="0.25">
      <c r="A61" s="13">
        <v>42767</v>
      </c>
      <c r="B61" s="91">
        <v>28</v>
      </c>
      <c r="C61" s="77">
        <f>122.58</f>
        <v>122.58</v>
      </c>
      <c r="D61" s="77">
        <f>297.941</f>
        <v>297.94099999999997</v>
      </c>
      <c r="E61" s="86">
        <f>89.177</f>
        <v>89.177000000000007</v>
      </c>
      <c r="F61" s="77">
        <f>240.302-40-60-100</f>
        <v>40.301999999999992</v>
      </c>
      <c r="G61" s="80">
        <v>40</v>
      </c>
      <c r="H61" s="77">
        <f>60+100</f>
        <v>160</v>
      </c>
      <c r="I61" s="77">
        <f t="shared" si="8"/>
        <v>0</v>
      </c>
      <c r="J61" s="80">
        <v>100</v>
      </c>
      <c r="K61" s="80">
        <v>300</v>
      </c>
      <c r="L61" s="77">
        <f t="shared" si="0"/>
        <v>1150</v>
      </c>
      <c r="M61" s="88">
        <v>400</v>
      </c>
      <c r="N61" s="77">
        <f>100</f>
        <v>100</v>
      </c>
      <c r="O61" s="80">
        <v>240</v>
      </c>
      <c r="P61" s="80">
        <v>40</v>
      </c>
      <c r="Q61" s="80">
        <f t="shared" si="1"/>
        <v>315</v>
      </c>
      <c r="R61" s="80">
        <f t="shared" si="2"/>
        <v>100</v>
      </c>
      <c r="S61" s="77">
        <f t="shared" si="3"/>
        <v>695</v>
      </c>
      <c r="T61" s="77">
        <f>50</f>
        <v>50</v>
      </c>
      <c r="U61" s="78"/>
      <c r="V61" s="78"/>
      <c r="W61" s="78"/>
      <c r="X61" s="78"/>
      <c r="Y61" s="78"/>
      <c r="Z61" s="78"/>
      <c r="AA61" s="78"/>
      <c r="AB61" s="78"/>
      <c r="AC61" s="78"/>
      <c r="AD61" s="78"/>
    </row>
    <row r="62" spans="1:30" ht="15.75" x14ac:dyDescent="0.25">
      <c r="A62" s="13">
        <v>42795</v>
      </c>
      <c r="B62" s="91">
        <v>31</v>
      </c>
      <c r="C62" s="77">
        <f>122.58</f>
        <v>122.58</v>
      </c>
      <c r="D62" s="77">
        <f>297.941</f>
        <v>297.94099999999997</v>
      </c>
      <c r="E62" s="86">
        <f>89.177</f>
        <v>89.177000000000007</v>
      </c>
      <c r="F62" s="77">
        <f>240.302-40-60-100</f>
        <v>40.301999999999992</v>
      </c>
      <c r="G62" s="80">
        <v>40</v>
      </c>
      <c r="H62" s="77">
        <f>60+100</f>
        <v>160</v>
      </c>
      <c r="I62" s="77">
        <f t="shared" si="8"/>
        <v>0</v>
      </c>
      <c r="J62" s="80">
        <v>100</v>
      </c>
      <c r="K62" s="80">
        <v>300</v>
      </c>
      <c r="L62" s="77">
        <f t="shared" si="0"/>
        <v>1150</v>
      </c>
      <c r="M62" s="88">
        <v>400</v>
      </c>
      <c r="N62" s="77">
        <f>100</f>
        <v>100</v>
      </c>
      <c r="O62" s="80">
        <v>240</v>
      </c>
      <c r="P62" s="80">
        <v>40</v>
      </c>
      <c r="Q62" s="80">
        <f t="shared" si="1"/>
        <v>315</v>
      </c>
      <c r="R62" s="80">
        <f t="shared" si="2"/>
        <v>100</v>
      </c>
      <c r="S62" s="77">
        <f t="shared" si="3"/>
        <v>695</v>
      </c>
      <c r="T62" s="77">
        <f>50</f>
        <v>50</v>
      </c>
      <c r="U62" s="78"/>
      <c r="V62" s="78"/>
      <c r="W62" s="78"/>
      <c r="X62" s="78"/>
      <c r="Y62" s="78"/>
      <c r="Z62" s="78"/>
      <c r="AA62" s="78"/>
      <c r="AB62" s="78"/>
      <c r="AC62" s="78"/>
      <c r="AD62" s="78"/>
    </row>
    <row r="63" spans="1:30" ht="15.75" x14ac:dyDescent="0.25">
      <c r="A63" s="13">
        <v>42826</v>
      </c>
      <c r="B63" s="91">
        <v>30</v>
      </c>
      <c r="C63" s="77">
        <f>141.293</f>
        <v>141.29300000000001</v>
      </c>
      <c r="D63" s="77">
        <f>267.993</f>
        <v>267.99299999999999</v>
      </c>
      <c r="E63" s="86">
        <f>115.016</f>
        <v>115.01600000000001</v>
      </c>
      <c r="F63" s="77">
        <f>314.698-40-25-60-100</f>
        <v>89.697999999999979</v>
      </c>
      <c r="G63" s="80">
        <v>40</v>
      </c>
      <c r="H63" s="77">
        <f t="shared" ref="H63:H69" si="9">25+60+100</f>
        <v>185</v>
      </c>
      <c r="I63" s="77">
        <f t="shared" si="8"/>
        <v>0</v>
      </c>
      <c r="J63" s="80">
        <v>100</v>
      </c>
      <c r="K63" s="80">
        <v>300</v>
      </c>
      <c r="L63" s="77">
        <f t="shared" si="0"/>
        <v>1239</v>
      </c>
      <c r="M63" s="88">
        <v>400</v>
      </c>
      <c r="N63" s="77">
        <f>100</f>
        <v>100</v>
      </c>
      <c r="O63" s="80">
        <v>240</v>
      </c>
      <c r="P63" s="80">
        <v>160</v>
      </c>
      <c r="Q63" s="80">
        <f t="shared" si="1"/>
        <v>195</v>
      </c>
      <c r="R63" s="80">
        <f t="shared" si="2"/>
        <v>100</v>
      </c>
      <c r="S63" s="77">
        <f t="shared" si="3"/>
        <v>695</v>
      </c>
      <c r="T63" s="77">
        <f>50</f>
        <v>50</v>
      </c>
      <c r="U63" s="78"/>
      <c r="V63" s="78"/>
      <c r="W63" s="78"/>
      <c r="X63" s="78"/>
      <c r="Y63" s="78"/>
      <c r="Z63" s="78"/>
      <c r="AA63" s="78"/>
      <c r="AB63" s="78"/>
      <c r="AC63" s="78"/>
      <c r="AD63" s="78"/>
    </row>
    <row r="64" spans="1:30" ht="15.75" x14ac:dyDescent="0.25">
      <c r="A64" s="13">
        <v>42856</v>
      </c>
      <c r="B64" s="91">
        <v>31</v>
      </c>
      <c r="C64" s="77">
        <f>194.205</f>
        <v>194.20500000000001</v>
      </c>
      <c r="D64" s="77">
        <f>267.466</f>
        <v>267.46600000000001</v>
      </c>
      <c r="E64" s="86">
        <f>133.845</f>
        <v>133.845</v>
      </c>
      <c r="F64" s="77">
        <f>278.484-40-25-60-100</f>
        <v>53.48399999999998</v>
      </c>
      <c r="G64" s="80">
        <v>40</v>
      </c>
      <c r="H64" s="77">
        <f t="shared" si="9"/>
        <v>185</v>
      </c>
      <c r="I64" s="77">
        <f t="shared" si="8"/>
        <v>0</v>
      </c>
      <c r="J64" s="80">
        <v>100</v>
      </c>
      <c r="K64" s="80">
        <v>300</v>
      </c>
      <c r="L64" s="77">
        <f t="shared" si="0"/>
        <v>1274</v>
      </c>
      <c r="M64" s="88">
        <v>400</v>
      </c>
      <c r="N64" s="77">
        <f>75</f>
        <v>75</v>
      </c>
      <c r="O64" s="80">
        <v>240</v>
      </c>
      <c r="P64" s="80">
        <v>160</v>
      </c>
      <c r="Q64" s="80">
        <f t="shared" si="1"/>
        <v>195</v>
      </c>
      <c r="R64" s="80">
        <f t="shared" si="2"/>
        <v>100</v>
      </c>
      <c r="S64" s="77">
        <f t="shared" si="3"/>
        <v>695</v>
      </c>
      <c r="T64" s="77">
        <f>50</f>
        <v>50</v>
      </c>
      <c r="U64" s="78"/>
      <c r="V64" s="78"/>
      <c r="W64" s="78"/>
      <c r="X64" s="78"/>
      <c r="Y64" s="78"/>
      <c r="Z64" s="78"/>
      <c r="AA64" s="78"/>
      <c r="AB64" s="78"/>
      <c r="AC64" s="78"/>
      <c r="AD64" s="78"/>
    </row>
    <row r="65" spans="1:30" ht="15.75" x14ac:dyDescent="0.25">
      <c r="A65" s="13">
        <v>42887</v>
      </c>
      <c r="B65" s="91">
        <v>30</v>
      </c>
      <c r="C65" s="77">
        <f>194.205</f>
        <v>194.20500000000001</v>
      </c>
      <c r="D65" s="77">
        <f>267.466</f>
        <v>267.46600000000001</v>
      </c>
      <c r="E65" s="86">
        <f>133.845</f>
        <v>133.845</v>
      </c>
      <c r="F65" s="77">
        <f>278.484-40-25-60-100</f>
        <v>53.48399999999998</v>
      </c>
      <c r="G65" s="80">
        <v>40</v>
      </c>
      <c r="H65" s="77">
        <f t="shared" si="9"/>
        <v>185</v>
      </c>
      <c r="I65" s="77">
        <f t="shared" si="8"/>
        <v>0</v>
      </c>
      <c r="J65" s="80">
        <v>100</v>
      </c>
      <c r="K65" s="80">
        <v>300</v>
      </c>
      <c r="L65" s="77">
        <f t="shared" si="0"/>
        <v>1274</v>
      </c>
      <c r="M65" s="88">
        <v>400</v>
      </c>
      <c r="N65" s="77">
        <f>30</f>
        <v>30</v>
      </c>
      <c r="O65" s="80">
        <v>240</v>
      </c>
      <c r="P65" s="80">
        <v>160</v>
      </c>
      <c r="Q65" s="80">
        <f t="shared" si="1"/>
        <v>195</v>
      </c>
      <c r="R65" s="80">
        <f t="shared" si="2"/>
        <v>100</v>
      </c>
      <c r="S65" s="77">
        <f t="shared" si="3"/>
        <v>695</v>
      </c>
      <c r="T65" s="77">
        <f>50</f>
        <v>50</v>
      </c>
      <c r="U65" s="78"/>
      <c r="V65" s="78"/>
      <c r="W65" s="78"/>
      <c r="X65" s="78"/>
      <c r="Y65" s="78"/>
      <c r="Z65" s="78"/>
      <c r="AA65" s="78"/>
      <c r="AB65" s="78"/>
      <c r="AC65" s="78"/>
      <c r="AD65" s="78"/>
    </row>
    <row r="66" spans="1:30" ht="15.75" x14ac:dyDescent="0.25">
      <c r="A66" s="13">
        <v>42917</v>
      </c>
      <c r="B66" s="91">
        <v>31</v>
      </c>
      <c r="C66" s="77">
        <f>194.205</f>
        <v>194.20500000000001</v>
      </c>
      <c r="D66" s="77">
        <f>267.466</f>
        <v>267.46600000000001</v>
      </c>
      <c r="E66" s="86">
        <f>133.845</f>
        <v>133.845</v>
      </c>
      <c r="F66" s="77">
        <f>278.484-40-25-60-100</f>
        <v>53.48399999999998</v>
      </c>
      <c r="G66" s="80">
        <v>40</v>
      </c>
      <c r="H66" s="77">
        <f t="shared" si="9"/>
        <v>185</v>
      </c>
      <c r="I66" s="77">
        <f t="shared" si="8"/>
        <v>0</v>
      </c>
      <c r="J66" s="80">
        <v>100</v>
      </c>
      <c r="K66" s="80">
        <v>300</v>
      </c>
      <c r="L66" s="77">
        <f t="shared" si="0"/>
        <v>1274</v>
      </c>
      <c r="M66" s="88">
        <v>400</v>
      </c>
      <c r="N66" s="77">
        <f>30</f>
        <v>30</v>
      </c>
      <c r="O66" s="80">
        <v>240</v>
      </c>
      <c r="P66" s="80">
        <v>160</v>
      </c>
      <c r="Q66" s="80">
        <f t="shared" si="1"/>
        <v>195</v>
      </c>
      <c r="R66" s="80">
        <f t="shared" si="2"/>
        <v>100</v>
      </c>
      <c r="S66" s="77">
        <f t="shared" si="3"/>
        <v>695</v>
      </c>
      <c r="T66" s="77">
        <f>0</f>
        <v>0</v>
      </c>
      <c r="U66" s="78"/>
      <c r="V66" s="78"/>
      <c r="W66" s="78"/>
      <c r="X66" s="78"/>
      <c r="Y66" s="78"/>
      <c r="Z66" s="78"/>
      <c r="AA66" s="78"/>
      <c r="AB66" s="78"/>
      <c r="AC66" s="78"/>
      <c r="AD66" s="78"/>
    </row>
    <row r="67" spans="1:30" ht="15.75" x14ac:dyDescent="0.25">
      <c r="A67" s="13">
        <v>42948</v>
      </c>
      <c r="B67" s="91">
        <v>31</v>
      </c>
      <c r="C67" s="77">
        <f>194.205</f>
        <v>194.20500000000001</v>
      </c>
      <c r="D67" s="77">
        <f>267.466</f>
        <v>267.46600000000001</v>
      </c>
      <c r="E67" s="86">
        <f>133.845</f>
        <v>133.845</v>
      </c>
      <c r="F67" s="77">
        <f>278.484-40-25-60-100</f>
        <v>53.48399999999998</v>
      </c>
      <c r="G67" s="80">
        <v>40</v>
      </c>
      <c r="H67" s="77">
        <f t="shared" si="9"/>
        <v>185</v>
      </c>
      <c r="I67" s="77">
        <f t="shared" si="8"/>
        <v>0</v>
      </c>
      <c r="J67" s="80">
        <v>100</v>
      </c>
      <c r="K67" s="80">
        <v>300</v>
      </c>
      <c r="L67" s="77">
        <f t="shared" si="0"/>
        <v>1274</v>
      </c>
      <c r="M67" s="88">
        <v>400</v>
      </c>
      <c r="N67" s="77">
        <f>30</f>
        <v>30</v>
      </c>
      <c r="O67" s="80">
        <v>240</v>
      </c>
      <c r="P67" s="80">
        <v>160</v>
      </c>
      <c r="Q67" s="80">
        <f t="shared" si="1"/>
        <v>195</v>
      </c>
      <c r="R67" s="80">
        <f t="shared" si="2"/>
        <v>100</v>
      </c>
      <c r="S67" s="77">
        <f t="shared" si="3"/>
        <v>695</v>
      </c>
      <c r="T67" s="77">
        <f>0</f>
        <v>0</v>
      </c>
      <c r="U67" s="78"/>
      <c r="V67" s="78"/>
      <c r="W67" s="78"/>
      <c r="X67" s="78"/>
      <c r="Y67" s="78"/>
      <c r="Z67" s="78"/>
      <c r="AA67" s="78"/>
      <c r="AB67" s="78"/>
      <c r="AC67" s="78"/>
      <c r="AD67" s="78"/>
    </row>
    <row r="68" spans="1:30" ht="15.75" x14ac:dyDescent="0.25">
      <c r="A68" s="13">
        <v>42979</v>
      </c>
      <c r="B68" s="91">
        <v>30</v>
      </c>
      <c r="C68" s="77">
        <f>194.205</f>
        <v>194.20500000000001</v>
      </c>
      <c r="D68" s="77">
        <f>267.466</f>
        <v>267.46600000000001</v>
      </c>
      <c r="E68" s="86">
        <f>133.845</f>
        <v>133.845</v>
      </c>
      <c r="F68" s="77">
        <f>278.484-40-25-60-100</f>
        <v>53.48399999999998</v>
      </c>
      <c r="G68" s="80">
        <v>40</v>
      </c>
      <c r="H68" s="77">
        <f t="shared" si="9"/>
        <v>185</v>
      </c>
      <c r="I68" s="77">
        <f t="shared" si="8"/>
        <v>0</v>
      </c>
      <c r="J68" s="80">
        <v>100</v>
      </c>
      <c r="K68" s="80">
        <v>300</v>
      </c>
      <c r="L68" s="77">
        <f t="shared" si="0"/>
        <v>1274</v>
      </c>
      <c r="M68" s="88">
        <v>400</v>
      </c>
      <c r="N68" s="77">
        <f>30</f>
        <v>30</v>
      </c>
      <c r="O68" s="80">
        <v>240</v>
      </c>
      <c r="P68" s="80">
        <v>160</v>
      </c>
      <c r="Q68" s="80">
        <f t="shared" si="1"/>
        <v>195</v>
      </c>
      <c r="R68" s="80">
        <f t="shared" si="2"/>
        <v>100</v>
      </c>
      <c r="S68" s="77">
        <f t="shared" si="3"/>
        <v>695</v>
      </c>
      <c r="T68" s="77">
        <f>0</f>
        <v>0</v>
      </c>
      <c r="U68" s="78"/>
      <c r="V68" s="78"/>
      <c r="W68" s="78"/>
      <c r="X68" s="78"/>
      <c r="Y68" s="78"/>
      <c r="Z68" s="78"/>
      <c r="AA68" s="78"/>
      <c r="AB68" s="78"/>
      <c r="AC68" s="78"/>
      <c r="AD68" s="78"/>
    </row>
    <row r="69" spans="1:30" ht="15.75" x14ac:dyDescent="0.25">
      <c r="A69" s="13">
        <v>43009</v>
      </c>
      <c r="B69" s="91">
        <v>31</v>
      </c>
      <c r="C69" s="77">
        <f>131.881</f>
        <v>131.881</v>
      </c>
      <c r="D69" s="77">
        <f>277.167</f>
        <v>277.16699999999997</v>
      </c>
      <c r="E69" s="86">
        <f>79.08</f>
        <v>79.08</v>
      </c>
      <c r="F69" s="77">
        <f>350.872-40-25-60-100</f>
        <v>125.87200000000001</v>
      </c>
      <c r="G69" s="80">
        <v>40</v>
      </c>
      <c r="H69" s="77">
        <f t="shared" si="9"/>
        <v>185</v>
      </c>
      <c r="I69" s="77">
        <f t="shared" si="8"/>
        <v>0</v>
      </c>
      <c r="J69" s="80">
        <v>100</v>
      </c>
      <c r="K69" s="80">
        <v>300</v>
      </c>
      <c r="L69" s="77">
        <f t="shared" si="0"/>
        <v>1239</v>
      </c>
      <c r="M69" s="88">
        <v>400</v>
      </c>
      <c r="N69" s="77">
        <f>75</f>
        <v>75</v>
      </c>
      <c r="O69" s="80">
        <v>240</v>
      </c>
      <c r="P69" s="80">
        <v>160</v>
      </c>
      <c r="Q69" s="80">
        <f t="shared" si="1"/>
        <v>195</v>
      </c>
      <c r="R69" s="80">
        <f t="shared" si="2"/>
        <v>100</v>
      </c>
      <c r="S69" s="77">
        <f t="shared" si="3"/>
        <v>695</v>
      </c>
      <c r="T69" s="77">
        <f>0</f>
        <v>0</v>
      </c>
      <c r="U69" s="78"/>
      <c r="V69" s="78"/>
      <c r="W69" s="78"/>
      <c r="X69" s="78"/>
      <c r="Y69" s="78"/>
      <c r="Z69" s="78"/>
      <c r="AA69" s="78"/>
      <c r="AB69" s="78"/>
      <c r="AC69" s="78"/>
      <c r="AD69" s="78"/>
    </row>
    <row r="70" spans="1:30" ht="15.75" x14ac:dyDescent="0.25">
      <c r="A70" s="13">
        <v>43040</v>
      </c>
      <c r="B70" s="91">
        <v>30</v>
      </c>
      <c r="C70" s="77">
        <f>122.58</f>
        <v>122.58</v>
      </c>
      <c r="D70" s="77">
        <f>297.941</f>
        <v>297.94099999999997</v>
      </c>
      <c r="E70" s="86">
        <f>89.177</f>
        <v>89.177000000000007</v>
      </c>
      <c r="F70" s="77">
        <f>240.302-40-60-100</f>
        <v>40.301999999999992</v>
      </c>
      <c r="G70" s="80">
        <v>40</v>
      </c>
      <c r="H70" s="77">
        <f>60+100</f>
        <v>160</v>
      </c>
      <c r="I70" s="77">
        <f t="shared" si="8"/>
        <v>0</v>
      </c>
      <c r="J70" s="80">
        <v>100</v>
      </c>
      <c r="K70" s="80">
        <v>300</v>
      </c>
      <c r="L70" s="77">
        <f t="shared" si="0"/>
        <v>1150</v>
      </c>
      <c r="M70" s="88">
        <v>400</v>
      </c>
      <c r="N70" s="77">
        <f>100</f>
        <v>100</v>
      </c>
      <c r="O70" s="80">
        <v>240</v>
      </c>
      <c r="P70" s="80">
        <v>40</v>
      </c>
      <c r="Q70" s="80">
        <f t="shared" si="1"/>
        <v>315</v>
      </c>
      <c r="R70" s="80">
        <f t="shared" si="2"/>
        <v>100</v>
      </c>
      <c r="S70" s="77">
        <f t="shared" si="3"/>
        <v>695</v>
      </c>
      <c r="T70" s="77">
        <f>50</f>
        <v>50</v>
      </c>
      <c r="U70" s="78"/>
      <c r="V70" s="78"/>
      <c r="W70" s="78"/>
      <c r="X70" s="78"/>
      <c r="Y70" s="78"/>
      <c r="Z70" s="78"/>
      <c r="AA70" s="78"/>
      <c r="AB70" s="78"/>
      <c r="AC70" s="78"/>
      <c r="AD70" s="78"/>
    </row>
    <row r="71" spans="1:30" ht="15.75" x14ac:dyDescent="0.25">
      <c r="A71" s="13">
        <v>43070</v>
      </c>
      <c r="B71" s="91">
        <v>31</v>
      </c>
      <c r="C71" s="77">
        <f>122.58</f>
        <v>122.58</v>
      </c>
      <c r="D71" s="77">
        <f>297.941</f>
        <v>297.94099999999997</v>
      </c>
      <c r="E71" s="86">
        <f>89.177</f>
        <v>89.177000000000007</v>
      </c>
      <c r="F71" s="77">
        <f>240.302-40-60-100</f>
        <v>40.301999999999992</v>
      </c>
      <c r="G71" s="80">
        <v>40</v>
      </c>
      <c r="H71" s="77">
        <f>60+100</f>
        <v>160</v>
      </c>
      <c r="I71" s="77">
        <f t="shared" si="8"/>
        <v>0</v>
      </c>
      <c r="J71" s="80">
        <v>100</v>
      </c>
      <c r="K71" s="80">
        <v>300</v>
      </c>
      <c r="L71" s="77">
        <f t="shared" si="0"/>
        <v>1150</v>
      </c>
      <c r="M71" s="88">
        <v>400</v>
      </c>
      <c r="N71" s="77">
        <f>100</f>
        <v>100</v>
      </c>
      <c r="O71" s="80">
        <v>240</v>
      </c>
      <c r="P71" s="80">
        <v>40</v>
      </c>
      <c r="Q71" s="80">
        <f t="shared" si="1"/>
        <v>315</v>
      </c>
      <c r="R71" s="80">
        <f t="shared" si="2"/>
        <v>100</v>
      </c>
      <c r="S71" s="77">
        <f t="shared" si="3"/>
        <v>695</v>
      </c>
      <c r="T71" s="77">
        <f>50</f>
        <v>50</v>
      </c>
      <c r="U71" s="78"/>
      <c r="V71" s="78"/>
      <c r="W71" s="78"/>
      <c r="X71" s="78"/>
      <c r="Y71" s="78"/>
      <c r="Z71" s="78"/>
      <c r="AA71" s="78"/>
      <c r="AB71" s="78"/>
      <c r="AC71" s="78"/>
      <c r="AD71" s="78"/>
    </row>
    <row r="72" spans="1:30" ht="15.75" x14ac:dyDescent="0.25">
      <c r="A72" s="13">
        <v>43101</v>
      </c>
      <c r="B72" s="91">
        <v>31</v>
      </c>
      <c r="C72" s="77">
        <f>122.58</f>
        <v>122.58</v>
      </c>
      <c r="D72" s="77">
        <f>297.941</f>
        <v>297.94099999999997</v>
      </c>
      <c r="E72" s="86">
        <f>89.177</f>
        <v>89.177000000000007</v>
      </c>
      <c r="F72" s="77">
        <f>240.302-40-60-100</f>
        <v>40.301999999999992</v>
      </c>
      <c r="G72" s="80">
        <v>40</v>
      </c>
      <c r="H72" s="77">
        <f>60+100</f>
        <v>160</v>
      </c>
      <c r="I72" s="77">
        <f t="shared" si="8"/>
        <v>0</v>
      </c>
      <c r="J72" s="80">
        <v>100</v>
      </c>
      <c r="K72" s="80">
        <v>300</v>
      </c>
      <c r="L72" s="77">
        <f t="shared" si="0"/>
        <v>1150</v>
      </c>
      <c r="M72" s="88">
        <v>400</v>
      </c>
      <c r="N72" s="77">
        <f>100</f>
        <v>100</v>
      </c>
      <c r="O72" s="80">
        <v>240</v>
      </c>
      <c r="P72" s="80">
        <v>40</v>
      </c>
      <c r="Q72" s="80">
        <f t="shared" si="1"/>
        <v>315</v>
      </c>
      <c r="R72" s="80">
        <f t="shared" si="2"/>
        <v>100</v>
      </c>
      <c r="S72" s="77">
        <f t="shared" si="3"/>
        <v>695</v>
      </c>
      <c r="T72" s="77">
        <f>50</f>
        <v>50</v>
      </c>
      <c r="U72" s="78"/>
      <c r="V72" s="78"/>
      <c r="W72" s="78"/>
      <c r="X72" s="78"/>
      <c r="Y72" s="78"/>
      <c r="Z72" s="78"/>
      <c r="AA72" s="78"/>
      <c r="AB72" s="78"/>
      <c r="AC72" s="78"/>
      <c r="AD72" s="78"/>
    </row>
    <row r="73" spans="1:30" ht="15.75" x14ac:dyDescent="0.25">
      <c r="A73" s="13">
        <v>43132</v>
      </c>
      <c r="B73" s="91">
        <v>28</v>
      </c>
      <c r="C73" s="77">
        <f>122.58</f>
        <v>122.58</v>
      </c>
      <c r="D73" s="77">
        <f>297.941</f>
        <v>297.94099999999997</v>
      </c>
      <c r="E73" s="86">
        <f>89.177</f>
        <v>89.177000000000007</v>
      </c>
      <c r="F73" s="77">
        <f>240.302-40-60-100</f>
        <v>40.301999999999992</v>
      </c>
      <c r="G73" s="80">
        <v>40</v>
      </c>
      <c r="H73" s="77">
        <f>60+100</f>
        <v>160</v>
      </c>
      <c r="I73" s="77">
        <f t="shared" si="8"/>
        <v>0</v>
      </c>
      <c r="J73" s="80">
        <v>100</v>
      </c>
      <c r="K73" s="80">
        <v>300</v>
      </c>
      <c r="L73" s="77">
        <f t="shared" si="0"/>
        <v>1150</v>
      </c>
      <c r="M73" s="88">
        <v>400</v>
      </c>
      <c r="N73" s="77">
        <f>100</f>
        <v>100</v>
      </c>
      <c r="O73" s="80">
        <v>240</v>
      </c>
      <c r="P73" s="80">
        <v>40</v>
      </c>
      <c r="Q73" s="80">
        <f t="shared" si="1"/>
        <v>315</v>
      </c>
      <c r="R73" s="80">
        <f t="shared" si="2"/>
        <v>100</v>
      </c>
      <c r="S73" s="77">
        <f t="shared" si="3"/>
        <v>695</v>
      </c>
      <c r="T73" s="77">
        <f>50</f>
        <v>50</v>
      </c>
      <c r="U73" s="78"/>
      <c r="V73" s="78"/>
      <c r="W73" s="78"/>
      <c r="X73" s="78"/>
      <c r="Y73" s="78"/>
      <c r="Z73" s="78"/>
      <c r="AA73" s="78"/>
      <c r="AB73" s="78"/>
      <c r="AC73" s="78"/>
      <c r="AD73" s="78"/>
    </row>
    <row r="74" spans="1:30" ht="15.75" x14ac:dyDescent="0.25">
      <c r="A74" s="13">
        <v>43160</v>
      </c>
      <c r="B74" s="91">
        <v>31</v>
      </c>
      <c r="C74" s="77">
        <f>122.58</f>
        <v>122.58</v>
      </c>
      <c r="D74" s="77">
        <f>297.941</f>
        <v>297.94099999999997</v>
      </c>
      <c r="E74" s="86">
        <f>89.177</f>
        <v>89.177000000000007</v>
      </c>
      <c r="F74" s="77">
        <f>240.302-40-60-100</f>
        <v>40.301999999999992</v>
      </c>
      <c r="G74" s="80">
        <v>40</v>
      </c>
      <c r="H74" s="77">
        <f>60+100</f>
        <v>160</v>
      </c>
      <c r="I74" s="77">
        <f t="shared" si="8"/>
        <v>0</v>
      </c>
      <c r="J74" s="80">
        <v>100</v>
      </c>
      <c r="K74" s="80">
        <v>300</v>
      </c>
      <c r="L74" s="77">
        <f t="shared" si="0"/>
        <v>1150</v>
      </c>
      <c r="M74" s="88">
        <v>400</v>
      </c>
      <c r="N74" s="77">
        <f>100</f>
        <v>100</v>
      </c>
      <c r="O74" s="80">
        <v>240</v>
      </c>
      <c r="P74" s="80">
        <v>40</v>
      </c>
      <c r="Q74" s="80">
        <f t="shared" si="1"/>
        <v>315</v>
      </c>
      <c r="R74" s="80">
        <f t="shared" si="2"/>
        <v>100</v>
      </c>
      <c r="S74" s="77">
        <f t="shared" si="3"/>
        <v>695</v>
      </c>
      <c r="T74" s="77">
        <f>50</f>
        <v>50</v>
      </c>
      <c r="U74" s="78"/>
      <c r="V74" s="78"/>
      <c r="W74" s="78"/>
      <c r="X74" s="78"/>
      <c r="Y74" s="78"/>
      <c r="Z74" s="78"/>
      <c r="AA74" s="78"/>
      <c r="AB74" s="78"/>
      <c r="AC74" s="78"/>
      <c r="AD74" s="78"/>
    </row>
    <row r="75" spans="1:30" ht="15.75" x14ac:dyDescent="0.25">
      <c r="A75" s="13">
        <v>43191</v>
      </c>
      <c r="B75" s="91">
        <v>30</v>
      </c>
      <c r="C75" s="77">
        <f>141.293</f>
        <v>141.29300000000001</v>
      </c>
      <c r="D75" s="77">
        <f>267.993</f>
        <v>267.99299999999999</v>
      </c>
      <c r="E75" s="86">
        <f>115.016</f>
        <v>115.01600000000001</v>
      </c>
      <c r="F75" s="77">
        <f>314.698-40-25-60-100</f>
        <v>89.697999999999979</v>
      </c>
      <c r="G75" s="80">
        <v>40</v>
      </c>
      <c r="H75" s="77">
        <f t="shared" ref="H75:H81" si="10">25+60+100</f>
        <v>185</v>
      </c>
      <c r="I75" s="77">
        <f t="shared" si="8"/>
        <v>0</v>
      </c>
      <c r="J75" s="80">
        <v>100</v>
      </c>
      <c r="K75" s="80">
        <v>300</v>
      </c>
      <c r="L75" s="77">
        <f t="shared" si="0"/>
        <v>1239</v>
      </c>
      <c r="M75" s="88">
        <v>400</v>
      </c>
      <c r="N75" s="77">
        <f>100</f>
        <v>100</v>
      </c>
      <c r="O75" s="80">
        <v>240</v>
      </c>
      <c r="P75" s="80">
        <v>160</v>
      </c>
      <c r="Q75" s="80">
        <f t="shared" si="1"/>
        <v>195</v>
      </c>
      <c r="R75" s="80">
        <f t="shared" si="2"/>
        <v>100</v>
      </c>
      <c r="S75" s="77">
        <f t="shared" si="3"/>
        <v>695</v>
      </c>
      <c r="T75" s="77">
        <f>50</f>
        <v>50</v>
      </c>
      <c r="U75" s="78"/>
      <c r="V75" s="78"/>
      <c r="W75" s="78"/>
      <c r="X75" s="78"/>
      <c r="Y75" s="78"/>
      <c r="Z75" s="78"/>
      <c r="AA75" s="78"/>
      <c r="AB75" s="78"/>
      <c r="AC75" s="78"/>
      <c r="AD75" s="78"/>
    </row>
    <row r="76" spans="1:30" ht="15.75" x14ac:dyDescent="0.25">
      <c r="A76" s="13">
        <v>43221</v>
      </c>
      <c r="B76" s="91">
        <v>31</v>
      </c>
      <c r="C76" s="77">
        <f>194.205</f>
        <v>194.20500000000001</v>
      </c>
      <c r="D76" s="77">
        <f>267.466</f>
        <v>267.46600000000001</v>
      </c>
      <c r="E76" s="86">
        <f>133.845</f>
        <v>133.845</v>
      </c>
      <c r="F76" s="77">
        <f>278.484-40-25-60-100</f>
        <v>53.48399999999998</v>
      </c>
      <c r="G76" s="80">
        <v>40</v>
      </c>
      <c r="H76" s="77">
        <f t="shared" si="10"/>
        <v>185</v>
      </c>
      <c r="I76" s="77">
        <f t="shared" si="8"/>
        <v>0</v>
      </c>
      <c r="J76" s="80">
        <v>100</v>
      </c>
      <c r="K76" s="80">
        <v>300</v>
      </c>
      <c r="L76" s="77">
        <f t="shared" si="0"/>
        <v>1274</v>
      </c>
      <c r="M76" s="88">
        <v>400</v>
      </c>
      <c r="N76" s="77">
        <f>75</f>
        <v>75</v>
      </c>
      <c r="O76" s="80">
        <v>240</v>
      </c>
      <c r="P76" s="80">
        <v>160</v>
      </c>
      <c r="Q76" s="80">
        <f t="shared" si="1"/>
        <v>195</v>
      </c>
      <c r="R76" s="80">
        <f t="shared" si="2"/>
        <v>100</v>
      </c>
      <c r="S76" s="77">
        <f t="shared" si="3"/>
        <v>695</v>
      </c>
      <c r="T76" s="77">
        <f>50</f>
        <v>50</v>
      </c>
      <c r="U76" s="78"/>
      <c r="V76" s="78"/>
      <c r="W76" s="78"/>
      <c r="X76" s="78"/>
      <c r="Y76" s="78"/>
      <c r="Z76" s="78"/>
      <c r="AA76" s="78"/>
      <c r="AB76" s="78"/>
      <c r="AC76" s="78"/>
      <c r="AD76" s="78"/>
    </row>
    <row r="77" spans="1:30" ht="15.75" x14ac:dyDescent="0.25">
      <c r="A77" s="13">
        <v>43252</v>
      </c>
      <c r="B77" s="91">
        <v>30</v>
      </c>
      <c r="C77" s="77">
        <f>194.205</f>
        <v>194.20500000000001</v>
      </c>
      <c r="D77" s="77">
        <f>267.466</f>
        <v>267.46600000000001</v>
      </c>
      <c r="E77" s="86">
        <f>133.845</f>
        <v>133.845</v>
      </c>
      <c r="F77" s="77">
        <f>278.484-40-25-60-100</f>
        <v>53.48399999999998</v>
      </c>
      <c r="G77" s="80">
        <v>40</v>
      </c>
      <c r="H77" s="77">
        <f t="shared" si="10"/>
        <v>185</v>
      </c>
      <c r="I77" s="77">
        <f t="shared" si="8"/>
        <v>0</v>
      </c>
      <c r="J77" s="80">
        <v>100</v>
      </c>
      <c r="K77" s="80">
        <v>300</v>
      </c>
      <c r="L77" s="77">
        <f t="shared" si="0"/>
        <v>1274</v>
      </c>
      <c r="M77" s="88">
        <v>400</v>
      </c>
      <c r="N77" s="77">
        <f>30</f>
        <v>30</v>
      </c>
      <c r="O77" s="80">
        <v>240</v>
      </c>
      <c r="P77" s="80">
        <v>160</v>
      </c>
      <c r="Q77" s="80">
        <f t="shared" si="1"/>
        <v>195</v>
      </c>
      <c r="R77" s="80">
        <f t="shared" si="2"/>
        <v>100</v>
      </c>
      <c r="S77" s="77">
        <f t="shared" si="3"/>
        <v>695</v>
      </c>
      <c r="T77" s="77">
        <f>50</f>
        <v>50</v>
      </c>
      <c r="U77" s="78"/>
      <c r="V77" s="78"/>
      <c r="W77" s="78"/>
      <c r="X77" s="78"/>
      <c r="Y77" s="78"/>
      <c r="Z77" s="78"/>
      <c r="AA77" s="78"/>
      <c r="AB77" s="78"/>
      <c r="AC77" s="78"/>
      <c r="AD77" s="78"/>
    </row>
    <row r="78" spans="1:30" ht="15.75" x14ac:dyDescent="0.25">
      <c r="A78" s="13">
        <v>43282</v>
      </c>
      <c r="B78" s="91">
        <v>31</v>
      </c>
      <c r="C78" s="77">
        <f>194.205</f>
        <v>194.20500000000001</v>
      </c>
      <c r="D78" s="77">
        <f>267.466</f>
        <v>267.46600000000001</v>
      </c>
      <c r="E78" s="86">
        <f>133.845</f>
        <v>133.845</v>
      </c>
      <c r="F78" s="77">
        <f>278.484-40-25-60-100</f>
        <v>53.48399999999998</v>
      </c>
      <c r="G78" s="80">
        <v>40</v>
      </c>
      <c r="H78" s="77">
        <f t="shared" si="10"/>
        <v>185</v>
      </c>
      <c r="I78" s="77">
        <f t="shared" si="8"/>
        <v>0</v>
      </c>
      <c r="J78" s="80">
        <v>100</v>
      </c>
      <c r="K78" s="80">
        <v>300</v>
      </c>
      <c r="L78" s="77">
        <f t="shared" si="0"/>
        <v>1274</v>
      </c>
      <c r="M78" s="88">
        <v>400</v>
      </c>
      <c r="N78" s="77">
        <f>30</f>
        <v>30</v>
      </c>
      <c r="O78" s="80">
        <v>240</v>
      </c>
      <c r="P78" s="80">
        <v>160</v>
      </c>
      <c r="Q78" s="80">
        <f t="shared" si="1"/>
        <v>195</v>
      </c>
      <c r="R78" s="80">
        <f t="shared" si="2"/>
        <v>100</v>
      </c>
      <c r="S78" s="77">
        <f t="shared" si="3"/>
        <v>695</v>
      </c>
      <c r="T78" s="77">
        <f>0</f>
        <v>0</v>
      </c>
      <c r="U78" s="78"/>
      <c r="V78" s="78"/>
      <c r="W78" s="78"/>
      <c r="X78" s="78"/>
      <c r="Y78" s="78"/>
      <c r="Z78" s="78"/>
      <c r="AA78" s="78"/>
      <c r="AB78" s="78"/>
      <c r="AC78" s="78"/>
      <c r="AD78" s="78"/>
    </row>
    <row r="79" spans="1:30" ht="15.75" x14ac:dyDescent="0.25">
      <c r="A79" s="13">
        <v>43313</v>
      </c>
      <c r="B79" s="91">
        <v>31</v>
      </c>
      <c r="C79" s="77">
        <f>194.205</f>
        <v>194.20500000000001</v>
      </c>
      <c r="D79" s="77">
        <f>267.466</f>
        <v>267.46600000000001</v>
      </c>
      <c r="E79" s="86">
        <f>133.845</f>
        <v>133.845</v>
      </c>
      <c r="F79" s="77">
        <f>278.484-40-25-60-100</f>
        <v>53.48399999999998</v>
      </c>
      <c r="G79" s="80">
        <v>40</v>
      </c>
      <c r="H79" s="77">
        <f t="shared" si="10"/>
        <v>185</v>
      </c>
      <c r="I79" s="77">
        <f t="shared" si="8"/>
        <v>0</v>
      </c>
      <c r="J79" s="80">
        <v>100</v>
      </c>
      <c r="K79" s="80">
        <v>300</v>
      </c>
      <c r="L79" s="77">
        <f t="shared" si="0"/>
        <v>1274</v>
      </c>
      <c r="M79" s="88">
        <v>400</v>
      </c>
      <c r="N79" s="77">
        <f>30</f>
        <v>30</v>
      </c>
      <c r="O79" s="80">
        <v>240</v>
      </c>
      <c r="P79" s="80">
        <v>160</v>
      </c>
      <c r="Q79" s="80">
        <f t="shared" si="1"/>
        <v>195</v>
      </c>
      <c r="R79" s="80">
        <f t="shared" si="2"/>
        <v>100</v>
      </c>
      <c r="S79" s="77">
        <f t="shared" si="3"/>
        <v>695</v>
      </c>
      <c r="T79" s="77">
        <f>0</f>
        <v>0</v>
      </c>
      <c r="U79" s="78"/>
      <c r="V79" s="78"/>
      <c r="W79" s="78"/>
      <c r="X79" s="78"/>
      <c r="Y79" s="78"/>
      <c r="Z79" s="78"/>
      <c r="AA79" s="78"/>
      <c r="AB79" s="78"/>
      <c r="AC79" s="78"/>
      <c r="AD79" s="78"/>
    </row>
    <row r="80" spans="1:30" ht="15.75" x14ac:dyDescent="0.25">
      <c r="A80" s="13">
        <v>43344</v>
      </c>
      <c r="B80" s="91">
        <v>30</v>
      </c>
      <c r="C80" s="77">
        <f>194.205</f>
        <v>194.20500000000001</v>
      </c>
      <c r="D80" s="77">
        <f>267.466</f>
        <v>267.46600000000001</v>
      </c>
      <c r="E80" s="86">
        <f>133.845</f>
        <v>133.845</v>
      </c>
      <c r="F80" s="77">
        <f>278.484-40-25-60-100</f>
        <v>53.48399999999998</v>
      </c>
      <c r="G80" s="80">
        <v>40</v>
      </c>
      <c r="H80" s="77">
        <f t="shared" si="10"/>
        <v>185</v>
      </c>
      <c r="I80" s="77">
        <f t="shared" si="8"/>
        <v>0</v>
      </c>
      <c r="J80" s="80">
        <v>100</v>
      </c>
      <c r="K80" s="80">
        <v>300</v>
      </c>
      <c r="L80" s="77">
        <f t="shared" si="0"/>
        <v>1274</v>
      </c>
      <c r="M80" s="88">
        <v>400</v>
      </c>
      <c r="N80" s="77">
        <f>30</f>
        <v>30</v>
      </c>
      <c r="O80" s="80">
        <v>240</v>
      </c>
      <c r="P80" s="80">
        <v>160</v>
      </c>
      <c r="Q80" s="80">
        <f t="shared" si="1"/>
        <v>195</v>
      </c>
      <c r="R80" s="80">
        <f t="shared" si="2"/>
        <v>100</v>
      </c>
      <c r="S80" s="77">
        <f t="shared" si="3"/>
        <v>695</v>
      </c>
      <c r="T80" s="77">
        <f>0</f>
        <v>0</v>
      </c>
      <c r="U80" s="78"/>
      <c r="V80" s="78"/>
      <c r="W80" s="78"/>
      <c r="X80" s="78"/>
      <c r="Y80" s="78"/>
      <c r="Z80" s="78"/>
      <c r="AA80" s="78"/>
      <c r="AB80" s="78"/>
      <c r="AC80" s="78"/>
      <c r="AD80" s="78"/>
    </row>
    <row r="81" spans="1:30" ht="15.75" x14ac:dyDescent="0.25">
      <c r="A81" s="13">
        <v>43374</v>
      </c>
      <c r="B81" s="91">
        <v>31</v>
      </c>
      <c r="C81" s="77">
        <f>131.881</f>
        <v>131.881</v>
      </c>
      <c r="D81" s="77">
        <f>277.167</f>
        <v>277.16699999999997</v>
      </c>
      <c r="E81" s="86">
        <f>79.08</f>
        <v>79.08</v>
      </c>
      <c r="F81" s="77">
        <f>350.872-40-25-60-100</f>
        <v>125.87200000000001</v>
      </c>
      <c r="G81" s="80">
        <v>40</v>
      </c>
      <c r="H81" s="77">
        <f t="shared" si="10"/>
        <v>185</v>
      </c>
      <c r="I81" s="77">
        <f t="shared" si="8"/>
        <v>0</v>
      </c>
      <c r="J81" s="80">
        <v>100</v>
      </c>
      <c r="K81" s="80">
        <v>300</v>
      </c>
      <c r="L81" s="77">
        <f t="shared" si="0"/>
        <v>1239</v>
      </c>
      <c r="M81" s="88">
        <v>400</v>
      </c>
      <c r="N81" s="77">
        <f>75</f>
        <v>75</v>
      </c>
      <c r="O81" s="80">
        <v>240</v>
      </c>
      <c r="P81" s="80">
        <v>160</v>
      </c>
      <c r="Q81" s="80">
        <f t="shared" si="1"/>
        <v>195</v>
      </c>
      <c r="R81" s="80">
        <f t="shared" si="2"/>
        <v>100</v>
      </c>
      <c r="S81" s="77">
        <f t="shared" si="3"/>
        <v>695</v>
      </c>
      <c r="T81" s="77">
        <f>0</f>
        <v>0</v>
      </c>
      <c r="U81" s="78"/>
      <c r="V81" s="78"/>
      <c r="W81" s="78"/>
      <c r="X81" s="78"/>
      <c r="Y81" s="78"/>
      <c r="Z81" s="78"/>
      <c r="AA81" s="78"/>
      <c r="AB81" s="78"/>
      <c r="AC81" s="78"/>
      <c r="AD81" s="78"/>
    </row>
    <row r="82" spans="1:30" ht="15.75" x14ac:dyDescent="0.25">
      <c r="A82" s="13">
        <v>43405</v>
      </c>
      <c r="B82" s="91">
        <v>30</v>
      </c>
      <c r="C82" s="77">
        <f>122.58</f>
        <v>122.58</v>
      </c>
      <c r="D82" s="77">
        <f>297.941</f>
        <v>297.94099999999997</v>
      </c>
      <c r="E82" s="86">
        <f>89.177</f>
        <v>89.177000000000007</v>
      </c>
      <c r="F82" s="77">
        <f>240.302-40-60-100</f>
        <v>40.301999999999992</v>
      </c>
      <c r="G82" s="80">
        <v>40</v>
      </c>
      <c r="H82" s="77">
        <f>60+100</f>
        <v>160</v>
      </c>
      <c r="I82" s="77">
        <f t="shared" si="8"/>
        <v>0</v>
      </c>
      <c r="J82" s="80">
        <v>100</v>
      </c>
      <c r="K82" s="80">
        <v>300</v>
      </c>
      <c r="L82" s="77">
        <f t="shared" si="0"/>
        <v>1150</v>
      </c>
      <c r="M82" s="88">
        <v>400</v>
      </c>
      <c r="N82" s="77">
        <f>100</f>
        <v>100</v>
      </c>
      <c r="O82" s="80">
        <v>240</v>
      </c>
      <c r="P82" s="80">
        <v>40</v>
      </c>
      <c r="Q82" s="80">
        <f t="shared" si="1"/>
        <v>315</v>
      </c>
      <c r="R82" s="80">
        <f t="shared" si="2"/>
        <v>100</v>
      </c>
      <c r="S82" s="77">
        <f t="shared" si="3"/>
        <v>695</v>
      </c>
      <c r="T82" s="77">
        <f>50</f>
        <v>50</v>
      </c>
      <c r="U82" s="78"/>
      <c r="V82" s="78"/>
      <c r="W82" s="78"/>
      <c r="X82" s="78"/>
      <c r="Y82" s="78"/>
      <c r="Z82" s="78"/>
      <c r="AA82" s="78"/>
      <c r="AB82" s="78"/>
      <c r="AC82" s="78"/>
      <c r="AD82" s="78"/>
    </row>
    <row r="83" spans="1:30" ht="15.75" x14ac:dyDescent="0.25">
      <c r="A83" s="13">
        <v>43435</v>
      </c>
      <c r="B83" s="91">
        <v>31</v>
      </c>
      <c r="C83" s="77">
        <f>122.58</f>
        <v>122.58</v>
      </c>
      <c r="D83" s="77">
        <f>297.941</f>
        <v>297.94099999999997</v>
      </c>
      <c r="E83" s="86">
        <f>89.177</f>
        <v>89.177000000000007</v>
      </c>
      <c r="F83" s="77">
        <f>240.302-40-60-100</f>
        <v>40.301999999999992</v>
      </c>
      <c r="G83" s="80">
        <v>40</v>
      </c>
      <c r="H83" s="77">
        <f>60+100</f>
        <v>160</v>
      </c>
      <c r="I83" s="77">
        <f t="shared" si="8"/>
        <v>0</v>
      </c>
      <c r="J83" s="80">
        <v>100</v>
      </c>
      <c r="K83" s="80">
        <v>300</v>
      </c>
      <c r="L83" s="77">
        <f t="shared" ref="L83:L146" si="11">SUM(C83:K83)</f>
        <v>1150</v>
      </c>
      <c r="M83" s="88">
        <v>400</v>
      </c>
      <c r="N83" s="77">
        <f>100</f>
        <v>100</v>
      </c>
      <c r="O83" s="80">
        <v>240</v>
      </c>
      <c r="P83" s="80">
        <v>40</v>
      </c>
      <c r="Q83" s="80">
        <f t="shared" ref="Q83:Q146" si="12">695-R83-O83-P83</f>
        <v>315</v>
      </c>
      <c r="R83" s="80">
        <f t="shared" ref="R83:R146" si="13">200-J83</f>
        <v>100</v>
      </c>
      <c r="S83" s="77">
        <f t="shared" ref="S83:S146" si="14">SUM(O83:R83)</f>
        <v>695</v>
      </c>
      <c r="T83" s="77">
        <f>50</f>
        <v>50</v>
      </c>
      <c r="U83" s="78"/>
      <c r="V83" s="78"/>
      <c r="W83" s="78"/>
      <c r="X83" s="78"/>
      <c r="Y83" s="78"/>
      <c r="Z83" s="78"/>
      <c r="AA83" s="78"/>
      <c r="AB83" s="78"/>
      <c r="AC83" s="78"/>
      <c r="AD83" s="78"/>
    </row>
    <row r="84" spans="1:30" ht="15.75" x14ac:dyDescent="0.25">
      <c r="A84" s="13">
        <v>43466</v>
      </c>
      <c r="B84" s="91">
        <v>31</v>
      </c>
      <c r="C84" s="77">
        <f>122.58</f>
        <v>122.58</v>
      </c>
      <c r="D84" s="77">
        <f>297.941</f>
        <v>297.94099999999997</v>
      </c>
      <c r="E84" s="86">
        <f>89.177</f>
        <v>89.177000000000007</v>
      </c>
      <c r="F84" s="77">
        <f>240.302-40-60-100</f>
        <v>40.301999999999992</v>
      </c>
      <c r="G84" s="80">
        <v>40</v>
      </c>
      <c r="H84" s="77">
        <f>60+100</f>
        <v>160</v>
      </c>
      <c r="I84" s="77">
        <f t="shared" si="8"/>
        <v>0</v>
      </c>
      <c r="J84" s="80">
        <v>100</v>
      </c>
      <c r="K84" s="80">
        <v>300</v>
      </c>
      <c r="L84" s="77">
        <f t="shared" si="11"/>
        <v>1150</v>
      </c>
      <c r="M84" s="88">
        <v>400</v>
      </c>
      <c r="N84" s="77">
        <f>100</f>
        <v>100</v>
      </c>
      <c r="O84" s="80">
        <v>240</v>
      </c>
      <c r="P84" s="80">
        <v>40</v>
      </c>
      <c r="Q84" s="80">
        <f t="shared" si="12"/>
        <v>315</v>
      </c>
      <c r="R84" s="80">
        <f t="shared" si="13"/>
        <v>100</v>
      </c>
      <c r="S84" s="77">
        <f t="shared" si="14"/>
        <v>695</v>
      </c>
      <c r="T84" s="77">
        <f>50</f>
        <v>50</v>
      </c>
      <c r="U84" s="78"/>
      <c r="V84" s="78"/>
      <c r="W84" s="78"/>
      <c r="X84" s="78"/>
      <c r="Y84" s="78"/>
      <c r="Z84" s="78"/>
      <c r="AA84" s="78"/>
      <c r="AB84" s="78"/>
      <c r="AC84" s="78"/>
      <c r="AD84" s="78"/>
    </row>
    <row r="85" spans="1:30" ht="15.75" x14ac:dyDescent="0.25">
      <c r="A85" s="13">
        <v>43497</v>
      </c>
      <c r="B85" s="91">
        <v>28</v>
      </c>
      <c r="C85" s="77">
        <f>122.58</f>
        <v>122.58</v>
      </c>
      <c r="D85" s="77">
        <f>297.941</f>
        <v>297.94099999999997</v>
      </c>
      <c r="E85" s="86">
        <f>89.177</f>
        <v>89.177000000000007</v>
      </c>
      <c r="F85" s="77">
        <f>240.302-40-60-100</f>
        <v>40.301999999999992</v>
      </c>
      <c r="G85" s="80">
        <v>40</v>
      </c>
      <c r="H85" s="77">
        <f>60+100</f>
        <v>160</v>
      </c>
      <c r="I85" s="77">
        <f t="shared" si="8"/>
        <v>0</v>
      </c>
      <c r="J85" s="80">
        <v>100</v>
      </c>
      <c r="K85" s="80">
        <v>300</v>
      </c>
      <c r="L85" s="77">
        <f t="shared" si="11"/>
        <v>1150</v>
      </c>
      <c r="M85" s="88">
        <v>400</v>
      </c>
      <c r="N85" s="77">
        <f>100</f>
        <v>100</v>
      </c>
      <c r="O85" s="80">
        <v>240</v>
      </c>
      <c r="P85" s="80">
        <v>40</v>
      </c>
      <c r="Q85" s="80">
        <f t="shared" si="12"/>
        <v>315</v>
      </c>
      <c r="R85" s="80">
        <f t="shared" si="13"/>
        <v>100</v>
      </c>
      <c r="S85" s="77">
        <f t="shared" si="14"/>
        <v>695</v>
      </c>
      <c r="T85" s="77">
        <f>50</f>
        <v>50</v>
      </c>
      <c r="U85" s="78"/>
      <c r="V85" s="78"/>
      <c r="W85" s="78"/>
      <c r="X85" s="78"/>
      <c r="Y85" s="78"/>
      <c r="Z85" s="78"/>
      <c r="AA85" s="78"/>
      <c r="AB85" s="78"/>
      <c r="AC85" s="78"/>
      <c r="AD85" s="78"/>
    </row>
    <row r="86" spans="1:30" ht="15.75" x14ac:dyDescent="0.25">
      <c r="A86" s="13">
        <v>43525</v>
      </c>
      <c r="B86" s="91">
        <v>31</v>
      </c>
      <c r="C86" s="77">
        <f>122.58</f>
        <v>122.58</v>
      </c>
      <c r="D86" s="77">
        <f>297.941</f>
        <v>297.94099999999997</v>
      </c>
      <c r="E86" s="86">
        <f>89.177</f>
        <v>89.177000000000007</v>
      </c>
      <c r="F86" s="77">
        <f>240.302-40-60-100</f>
        <v>40.301999999999992</v>
      </c>
      <c r="G86" s="80">
        <v>40</v>
      </c>
      <c r="H86" s="77">
        <f>60+100</f>
        <v>160</v>
      </c>
      <c r="I86" s="77">
        <f t="shared" si="8"/>
        <v>0</v>
      </c>
      <c r="J86" s="80">
        <v>100</v>
      </c>
      <c r="K86" s="80">
        <v>300</v>
      </c>
      <c r="L86" s="77">
        <f t="shared" si="11"/>
        <v>1150</v>
      </c>
      <c r="M86" s="88">
        <v>400</v>
      </c>
      <c r="N86" s="77">
        <f>100</f>
        <v>100</v>
      </c>
      <c r="O86" s="80">
        <v>240</v>
      </c>
      <c r="P86" s="80">
        <v>40</v>
      </c>
      <c r="Q86" s="80">
        <f t="shared" si="12"/>
        <v>315</v>
      </c>
      <c r="R86" s="80">
        <f t="shared" si="13"/>
        <v>100</v>
      </c>
      <c r="S86" s="77">
        <f t="shared" si="14"/>
        <v>695</v>
      </c>
      <c r="T86" s="77">
        <f>50</f>
        <v>50</v>
      </c>
      <c r="U86" s="78"/>
      <c r="V86" s="78"/>
      <c r="W86" s="78"/>
      <c r="X86" s="78"/>
      <c r="Y86" s="78"/>
      <c r="Z86" s="78"/>
      <c r="AA86" s="78"/>
      <c r="AB86" s="78"/>
      <c r="AC86" s="78"/>
      <c r="AD86" s="78"/>
    </row>
    <row r="87" spans="1:30" ht="15.75" x14ac:dyDescent="0.25">
      <c r="A87" s="13">
        <v>43556</v>
      </c>
      <c r="B87" s="91">
        <v>30</v>
      </c>
      <c r="C87" s="77">
        <f>141.293</f>
        <v>141.29300000000001</v>
      </c>
      <c r="D87" s="77">
        <f>267.993</f>
        <v>267.99299999999999</v>
      </c>
      <c r="E87" s="86">
        <f>115.016</f>
        <v>115.01600000000001</v>
      </c>
      <c r="F87" s="77">
        <f>314.698-40-25-60-100</f>
        <v>89.697999999999979</v>
      </c>
      <c r="G87" s="80">
        <v>40</v>
      </c>
      <c r="H87" s="77">
        <f t="shared" ref="H87:H93" si="15">25+60+100</f>
        <v>185</v>
      </c>
      <c r="I87" s="77">
        <f t="shared" si="8"/>
        <v>0</v>
      </c>
      <c r="J87" s="80">
        <v>100</v>
      </c>
      <c r="K87" s="80">
        <v>300</v>
      </c>
      <c r="L87" s="77">
        <f t="shared" si="11"/>
        <v>1239</v>
      </c>
      <c r="M87" s="88">
        <v>400</v>
      </c>
      <c r="N87" s="77">
        <f>100</f>
        <v>100</v>
      </c>
      <c r="O87" s="80">
        <v>240</v>
      </c>
      <c r="P87" s="80">
        <v>160</v>
      </c>
      <c r="Q87" s="80">
        <f t="shared" si="12"/>
        <v>195</v>
      </c>
      <c r="R87" s="80">
        <f t="shared" si="13"/>
        <v>100</v>
      </c>
      <c r="S87" s="77">
        <f t="shared" si="14"/>
        <v>695</v>
      </c>
      <c r="T87" s="77">
        <f>50</f>
        <v>50</v>
      </c>
      <c r="U87" s="78"/>
      <c r="V87" s="78"/>
      <c r="W87" s="78"/>
      <c r="X87" s="78"/>
      <c r="Y87" s="78"/>
      <c r="Z87" s="78"/>
      <c r="AA87" s="78"/>
      <c r="AB87" s="78"/>
      <c r="AC87" s="78"/>
      <c r="AD87" s="78"/>
    </row>
    <row r="88" spans="1:30" ht="15.75" x14ac:dyDescent="0.25">
      <c r="A88" s="13">
        <v>43586</v>
      </c>
      <c r="B88" s="91">
        <v>31</v>
      </c>
      <c r="C88" s="77">
        <f>194.205</f>
        <v>194.20500000000001</v>
      </c>
      <c r="D88" s="77">
        <f>267.466</f>
        <v>267.46600000000001</v>
      </c>
      <c r="E88" s="86">
        <f>133.845</f>
        <v>133.845</v>
      </c>
      <c r="F88" s="77">
        <f>278.484-40-25-60-100</f>
        <v>53.48399999999998</v>
      </c>
      <c r="G88" s="80">
        <v>40</v>
      </c>
      <c r="H88" s="77">
        <f t="shared" si="15"/>
        <v>185</v>
      </c>
      <c r="I88" s="77">
        <f t="shared" si="8"/>
        <v>0</v>
      </c>
      <c r="J88" s="80">
        <v>100</v>
      </c>
      <c r="K88" s="80">
        <v>300</v>
      </c>
      <c r="L88" s="77">
        <f t="shared" si="11"/>
        <v>1274</v>
      </c>
      <c r="M88" s="88">
        <v>400</v>
      </c>
      <c r="N88" s="77">
        <f>75</f>
        <v>75</v>
      </c>
      <c r="O88" s="80">
        <v>240</v>
      </c>
      <c r="P88" s="80">
        <v>160</v>
      </c>
      <c r="Q88" s="80">
        <f t="shared" si="12"/>
        <v>195</v>
      </c>
      <c r="R88" s="80">
        <f t="shared" si="13"/>
        <v>100</v>
      </c>
      <c r="S88" s="77">
        <f t="shared" si="14"/>
        <v>695</v>
      </c>
      <c r="T88" s="77">
        <f>50</f>
        <v>50</v>
      </c>
      <c r="U88" s="78"/>
      <c r="V88" s="78"/>
      <c r="W88" s="78"/>
      <c r="X88" s="78"/>
      <c r="Y88" s="78"/>
      <c r="Z88" s="78"/>
      <c r="AA88" s="78"/>
      <c r="AB88" s="78"/>
      <c r="AC88" s="78"/>
      <c r="AD88" s="78"/>
    </row>
    <row r="89" spans="1:30" ht="15.75" x14ac:dyDescent="0.25">
      <c r="A89" s="13">
        <v>43617</v>
      </c>
      <c r="B89" s="91">
        <v>30</v>
      </c>
      <c r="C89" s="77">
        <f>194.205</f>
        <v>194.20500000000001</v>
      </c>
      <c r="D89" s="77">
        <f>267.466</f>
        <v>267.46600000000001</v>
      </c>
      <c r="E89" s="86">
        <f>133.845</f>
        <v>133.845</v>
      </c>
      <c r="F89" s="77">
        <f>278.484-40-25-60-100</f>
        <v>53.48399999999998</v>
      </c>
      <c r="G89" s="80">
        <v>40</v>
      </c>
      <c r="H89" s="77">
        <f t="shared" si="15"/>
        <v>185</v>
      </c>
      <c r="I89" s="77">
        <f t="shared" si="8"/>
        <v>0</v>
      </c>
      <c r="J89" s="80">
        <v>100</v>
      </c>
      <c r="K89" s="80">
        <v>300</v>
      </c>
      <c r="L89" s="77">
        <f t="shared" si="11"/>
        <v>1274</v>
      </c>
      <c r="M89" s="88">
        <v>400</v>
      </c>
      <c r="N89" s="77">
        <f>30</f>
        <v>30</v>
      </c>
      <c r="O89" s="80">
        <v>240</v>
      </c>
      <c r="P89" s="80">
        <v>160</v>
      </c>
      <c r="Q89" s="80">
        <f t="shared" si="12"/>
        <v>195</v>
      </c>
      <c r="R89" s="80">
        <f t="shared" si="13"/>
        <v>100</v>
      </c>
      <c r="S89" s="77">
        <f t="shared" si="14"/>
        <v>695</v>
      </c>
      <c r="T89" s="77">
        <f>50</f>
        <v>50</v>
      </c>
      <c r="U89" s="78"/>
      <c r="V89" s="78"/>
      <c r="W89" s="78"/>
      <c r="X89" s="78"/>
      <c r="Y89" s="78"/>
      <c r="Z89" s="78"/>
      <c r="AA89" s="78"/>
      <c r="AB89" s="78"/>
      <c r="AC89" s="78"/>
      <c r="AD89" s="78"/>
    </row>
    <row r="90" spans="1:30" ht="15.75" x14ac:dyDescent="0.25">
      <c r="A90" s="13">
        <v>43647</v>
      </c>
      <c r="B90" s="91">
        <v>31</v>
      </c>
      <c r="C90" s="77">
        <f>194.205</f>
        <v>194.20500000000001</v>
      </c>
      <c r="D90" s="77">
        <f>267.466</f>
        <v>267.46600000000001</v>
      </c>
      <c r="E90" s="86">
        <f>133.845</f>
        <v>133.845</v>
      </c>
      <c r="F90" s="77">
        <f>278.484-40-25-60-100</f>
        <v>53.48399999999998</v>
      </c>
      <c r="G90" s="80">
        <v>40</v>
      </c>
      <c r="H90" s="77">
        <f t="shared" si="15"/>
        <v>185</v>
      </c>
      <c r="I90" s="77">
        <f t="shared" si="8"/>
        <v>0</v>
      </c>
      <c r="J90" s="80">
        <v>100</v>
      </c>
      <c r="K90" s="80">
        <v>300</v>
      </c>
      <c r="L90" s="77">
        <f t="shared" si="11"/>
        <v>1274</v>
      </c>
      <c r="M90" s="88">
        <v>400</v>
      </c>
      <c r="N90" s="77">
        <f>30</f>
        <v>30</v>
      </c>
      <c r="O90" s="80">
        <v>240</v>
      </c>
      <c r="P90" s="80">
        <v>160</v>
      </c>
      <c r="Q90" s="80">
        <f t="shared" si="12"/>
        <v>195</v>
      </c>
      <c r="R90" s="80">
        <f t="shared" si="13"/>
        <v>100</v>
      </c>
      <c r="S90" s="77">
        <f t="shared" si="14"/>
        <v>695</v>
      </c>
      <c r="T90" s="77">
        <f>0</f>
        <v>0</v>
      </c>
      <c r="U90" s="78"/>
      <c r="V90" s="78"/>
      <c r="W90" s="78"/>
      <c r="X90" s="78"/>
      <c r="Y90" s="78"/>
      <c r="Z90" s="78"/>
      <c r="AA90" s="78"/>
      <c r="AB90" s="78"/>
      <c r="AC90" s="78"/>
      <c r="AD90" s="78"/>
    </row>
    <row r="91" spans="1:30" ht="15.75" x14ac:dyDescent="0.25">
      <c r="A91" s="13">
        <v>43678</v>
      </c>
      <c r="B91" s="91">
        <v>31</v>
      </c>
      <c r="C91" s="77">
        <f>194.205</f>
        <v>194.20500000000001</v>
      </c>
      <c r="D91" s="77">
        <f>267.466</f>
        <v>267.46600000000001</v>
      </c>
      <c r="E91" s="86">
        <f>133.845</f>
        <v>133.845</v>
      </c>
      <c r="F91" s="77">
        <f>278.484-40-25-60-100</f>
        <v>53.48399999999998</v>
      </c>
      <c r="G91" s="80">
        <v>40</v>
      </c>
      <c r="H91" s="77">
        <f t="shared" si="15"/>
        <v>185</v>
      </c>
      <c r="I91" s="77">
        <f t="shared" si="8"/>
        <v>0</v>
      </c>
      <c r="J91" s="80">
        <v>100</v>
      </c>
      <c r="K91" s="80">
        <v>300</v>
      </c>
      <c r="L91" s="77">
        <f t="shared" si="11"/>
        <v>1274</v>
      </c>
      <c r="M91" s="88">
        <v>400</v>
      </c>
      <c r="N91" s="77">
        <f>30</f>
        <v>30</v>
      </c>
      <c r="O91" s="80">
        <v>240</v>
      </c>
      <c r="P91" s="80">
        <v>160</v>
      </c>
      <c r="Q91" s="80">
        <f t="shared" si="12"/>
        <v>195</v>
      </c>
      <c r="R91" s="80">
        <f t="shared" si="13"/>
        <v>100</v>
      </c>
      <c r="S91" s="77">
        <f t="shared" si="14"/>
        <v>695</v>
      </c>
      <c r="T91" s="77">
        <f>0</f>
        <v>0</v>
      </c>
      <c r="U91" s="78"/>
      <c r="V91" s="78"/>
      <c r="W91" s="78"/>
      <c r="X91" s="78"/>
      <c r="Y91" s="78"/>
      <c r="Z91" s="78"/>
      <c r="AA91" s="78"/>
      <c r="AB91" s="78"/>
      <c r="AC91" s="78"/>
      <c r="AD91" s="78"/>
    </row>
    <row r="92" spans="1:30" ht="15.75" x14ac:dyDescent="0.25">
      <c r="A92" s="13">
        <v>43709</v>
      </c>
      <c r="B92" s="91">
        <v>30</v>
      </c>
      <c r="C92" s="77">
        <f>194.205</f>
        <v>194.20500000000001</v>
      </c>
      <c r="D92" s="77">
        <f>267.466</f>
        <v>267.46600000000001</v>
      </c>
      <c r="E92" s="86">
        <f>133.845</f>
        <v>133.845</v>
      </c>
      <c r="F92" s="77">
        <f>278.484-40-25-60-100</f>
        <v>53.48399999999998</v>
      </c>
      <c r="G92" s="80">
        <v>40</v>
      </c>
      <c r="H92" s="77">
        <f t="shared" si="15"/>
        <v>185</v>
      </c>
      <c r="I92" s="77">
        <f t="shared" si="8"/>
        <v>0</v>
      </c>
      <c r="J92" s="80">
        <v>100</v>
      </c>
      <c r="K92" s="80">
        <v>300</v>
      </c>
      <c r="L92" s="77">
        <f t="shared" si="11"/>
        <v>1274</v>
      </c>
      <c r="M92" s="88">
        <v>400</v>
      </c>
      <c r="N92" s="77">
        <f>30</f>
        <v>30</v>
      </c>
      <c r="O92" s="80">
        <v>240</v>
      </c>
      <c r="P92" s="80">
        <v>160</v>
      </c>
      <c r="Q92" s="80">
        <f t="shared" si="12"/>
        <v>195</v>
      </c>
      <c r="R92" s="80">
        <f t="shared" si="13"/>
        <v>100</v>
      </c>
      <c r="S92" s="77">
        <f t="shared" si="14"/>
        <v>695</v>
      </c>
      <c r="T92" s="77">
        <f>0</f>
        <v>0</v>
      </c>
      <c r="U92" s="78"/>
      <c r="V92" s="78"/>
      <c r="W92" s="78"/>
      <c r="X92" s="78"/>
      <c r="Y92" s="78"/>
      <c r="Z92" s="78"/>
      <c r="AA92" s="78"/>
      <c r="AB92" s="78"/>
      <c r="AC92" s="78"/>
      <c r="AD92" s="78"/>
    </row>
    <row r="93" spans="1:30" ht="15.75" x14ac:dyDescent="0.25">
      <c r="A93" s="13">
        <v>43739</v>
      </c>
      <c r="B93" s="91">
        <v>31</v>
      </c>
      <c r="C93" s="77">
        <f>131.881</f>
        <v>131.881</v>
      </c>
      <c r="D93" s="77">
        <f>277.167</f>
        <v>277.16699999999997</v>
      </c>
      <c r="E93" s="86">
        <f>79.08</f>
        <v>79.08</v>
      </c>
      <c r="F93" s="77">
        <f>350.872-40-25-60-100</f>
        <v>125.87200000000001</v>
      </c>
      <c r="G93" s="80">
        <v>40</v>
      </c>
      <c r="H93" s="77">
        <f t="shared" si="15"/>
        <v>185</v>
      </c>
      <c r="I93" s="77">
        <f t="shared" si="8"/>
        <v>0</v>
      </c>
      <c r="J93" s="80">
        <v>100</v>
      </c>
      <c r="K93" s="80">
        <v>300</v>
      </c>
      <c r="L93" s="77">
        <f t="shared" si="11"/>
        <v>1239</v>
      </c>
      <c r="M93" s="88">
        <v>400</v>
      </c>
      <c r="N93" s="77">
        <f>75</f>
        <v>75</v>
      </c>
      <c r="O93" s="80">
        <v>240</v>
      </c>
      <c r="P93" s="80">
        <v>160</v>
      </c>
      <c r="Q93" s="80">
        <f t="shared" si="12"/>
        <v>195</v>
      </c>
      <c r="R93" s="80">
        <f t="shared" si="13"/>
        <v>100</v>
      </c>
      <c r="S93" s="77">
        <f t="shared" si="14"/>
        <v>695</v>
      </c>
      <c r="T93" s="77">
        <f>0</f>
        <v>0</v>
      </c>
      <c r="U93" s="78"/>
      <c r="V93" s="78"/>
      <c r="W93" s="78"/>
      <c r="X93" s="78"/>
      <c r="Y93" s="78"/>
      <c r="Z93" s="78"/>
      <c r="AA93" s="78"/>
      <c r="AB93" s="78"/>
      <c r="AC93" s="78"/>
      <c r="AD93" s="78"/>
    </row>
    <row r="94" spans="1:30" ht="15.75" x14ac:dyDescent="0.25">
      <c r="A94" s="13">
        <v>43770</v>
      </c>
      <c r="B94" s="91">
        <v>30</v>
      </c>
      <c r="C94" s="77">
        <f>122.58</f>
        <v>122.58</v>
      </c>
      <c r="D94" s="77">
        <f>297.941</f>
        <v>297.94099999999997</v>
      </c>
      <c r="E94" s="86">
        <f>89.177</f>
        <v>89.177000000000007</v>
      </c>
      <c r="F94" s="77">
        <f>240.302-40-60-100</f>
        <v>40.301999999999992</v>
      </c>
      <c r="G94" s="80">
        <v>40</v>
      </c>
      <c r="H94" s="77">
        <f>60+100</f>
        <v>160</v>
      </c>
      <c r="I94" s="77">
        <f t="shared" si="8"/>
        <v>0</v>
      </c>
      <c r="J94" s="80">
        <v>100</v>
      </c>
      <c r="K94" s="80">
        <v>300</v>
      </c>
      <c r="L94" s="77">
        <f t="shared" si="11"/>
        <v>1150</v>
      </c>
      <c r="M94" s="88">
        <v>400</v>
      </c>
      <c r="N94" s="77">
        <f>100</f>
        <v>100</v>
      </c>
      <c r="O94" s="80">
        <v>240</v>
      </c>
      <c r="P94" s="80">
        <v>40</v>
      </c>
      <c r="Q94" s="80">
        <f t="shared" si="12"/>
        <v>315</v>
      </c>
      <c r="R94" s="80">
        <f t="shared" si="13"/>
        <v>100</v>
      </c>
      <c r="S94" s="77">
        <f t="shared" si="14"/>
        <v>695</v>
      </c>
      <c r="T94" s="77">
        <f>50</f>
        <v>50</v>
      </c>
      <c r="U94" s="78"/>
      <c r="V94" s="78"/>
      <c r="W94" s="78"/>
      <c r="X94" s="78"/>
      <c r="Y94" s="78"/>
      <c r="Z94" s="78"/>
      <c r="AA94" s="78"/>
      <c r="AB94" s="78"/>
      <c r="AC94" s="78"/>
      <c r="AD94" s="78"/>
    </row>
    <row r="95" spans="1:30" ht="15.75" x14ac:dyDescent="0.25">
      <c r="A95" s="13">
        <v>43800</v>
      </c>
      <c r="B95" s="91">
        <v>31</v>
      </c>
      <c r="C95" s="77">
        <f>122.58</f>
        <v>122.58</v>
      </c>
      <c r="D95" s="77">
        <f>297.941</f>
        <v>297.94099999999997</v>
      </c>
      <c r="E95" s="86">
        <f>89.177</f>
        <v>89.177000000000007</v>
      </c>
      <c r="F95" s="77">
        <f>240.302-40-60-100</f>
        <v>40.301999999999992</v>
      </c>
      <c r="G95" s="80">
        <v>40</v>
      </c>
      <c r="H95" s="77">
        <f>60+100</f>
        <v>160</v>
      </c>
      <c r="I95" s="77">
        <f t="shared" si="8"/>
        <v>0</v>
      </c>
      <c r="J95" s="80">
        <v>100</v>
      </c>
      <c r="K95" s="80">
        <v>300</v>
      </c>
      <c r="L95" s="77">
        <f t="shared" si="11"/>
        <v>1150</v>
      </c>
      <c r="M95" s="88">
        <v>400</v>
      </c>
      <c r="N95" s="77">
        <f>100</f>
        <v>100</v>
      </c>
      <c r="O95" s="80">
        <v>240</v>
      </c>
      <c r="P95" s="80">
        <v>40</v>
      </c>
      <c r="Q95" s="80">
        <f t="shared" si="12"/>
        <v>315</v>
      </c>
      <c r="R95" s="80">
        <f t="shared" si="13"/>
        <v>100</v>
      </c>
      <c r="S95" s="77">
        <f t="shared" si="14"/>
        <v>695</v>
      </c>
      <c r="T95" s="77">
        <f>50</f>
        <v>50</v>
      </c>
      <c r="U95" s="78"/>
      <c r="V95" s="78"/>
      <c r="W95" s="78"/>
      <c r="X95" s="78"/>
      <c r="Y95" s="78"/>
      <c r="Z95" s="78"/>
      <c r="AA95" s="78"/>
      <c r="AB95" s="78"/>
      <c r="AC95" s="78"/>
      <c r="AD95" s="78"/>
    </row>
    <row r="96" spans="1:30" ht="15.75" x14ac:dyDescent="0.25">
      <c r="A96" s="13">
        <v>43831</v>
      </c>
      <c r="B96" s="91">
        <v>31</v>
      </c>
      <c r="C96" s="77">
        <f>122.58</f>
        <v>122.58</v>
      </c>
      <c r="D96" s="77">
        <f>297.941</f>
        <v>297.94099999999997</v>
      </c>
      <c r="E96" s="86">
        <f>89.177</f>
        <v>89.177000000000007</v>
      </c>
      <c r="F96" s="77">
        <f>240.302-40-60-100</f>
        <v>40.301999999999992</v>
      </c>
      <c r="G96" s="80">
        <v>40</v>
      </c>
      <c r="H96" s="77">
        <f>60+100</f>
        <v>160</v>
      </c>
      <c r="I96" s="77">
        <f t="shared" si="8"/>
        <v>0</v>
      </c>
      <c r="J96" s="80">
        <v>100</v>
      </c>
      <c r="K96" s="80">
        <v>300</v>
      </c>
      <c r="L96" s="77">
        <f t="shared" si="11"/>
        <v>1150</v>
      </c>
      <c r="M96" s="88">
        <v>400</v>
      </c>
      <c r="N96" s="77">
        <f>100</f>
        <v>100</v>
      </c>
      <c r="O96" s="80">
        <v>240</v>
      </c>
      <c r="P96" s="80">
        <v>40</v>
      </c>
      <c r="Q96" s="80">
        <f t="shared" si="12"/>
        <v>315</v>
      </c>
      <c r="R96" s="80">
        <f t="shared" si="13"/>
        <v>100</v>
      </c>
      <c r="S96" s="77">
        <f t="shared" si="14"/>
        <v>695</v>
      </c>
      <c r="T96" s="77">
        <f>50</f>
        <v>50</v>
      </c>
      <c r="U96" s="78"/>
      <c r="V96" s="78"/>
      <c r="W96" s="78"/>
      <c r="X96" s="78"/>
      <c r="Y96" s="78"/>
      <c r="Z96" s="78"/>
      <c r="AA96" s="78"/>
      <c r="AB96" s="78"/>
      <c r="AC96" s="78"/>
      <c r="AD96" s="78"/>
    </row>
    <row r="97" spans="1:30" ht="15.75" x14ac:dyDescent="0.25">
      <c r="A97" s="13">
        <v>43862</v>
      </c>
      <c r="B97" s="91">
        <v>29</v>
      </c>
      <c r="C97" s="77">
        <f>122.58</f>
        <v>122.58</v>
      </c>
      <c r="D97" s="77">
        <f>297.941</f>
        <v>297.94099999999997</v>
      </c>
      <c r="E97" s="86">
        <f>89.177</f>
        <v>89.177000000000007</v>
      </c>
      <c r="F97" s="77">
        <f>240.302-40-60-100</f>
        <v>40.301999999999992</v>
      </c>
      <c r="G97" s="80">
        <v>40</v>
      </c>
      <c r="H97" s="77">
        <f>60+100</f>
        <v>160</v>
      </c>
      <c r="I97" s="77">
        <f t="shared" si="8"/>
        <v>0</v>
      </c>
      <c r="J97" s="80">
        <v>100</v>
      </c>
      <c r="K97" s="80">
        <v>300</v>
      </c>
      <c r="L97" s="77">
        <f t="shared" si="11"/>
        <v>1150</v>
      </c>
      <c r="M97" s="88">
        <v>400</v>
      </c>
      <c r="N97" s="77">
        <f>100</f>
        <v>100</v>
      </c>
      <c r="O97" s="80">
        <v>240</v>
      </c>
      <c r="P97" s="80">
        <v>40</v>
      </c>
      <c r="Q97" s="80">
        <f t="shared" si="12"/>
        <v>315</v>
      </c>
      <c r="R97" s="80">
        <f t="shared" si="13"/>
        <v>100</v>
      </c>
      <c r="S97" s="77">
        <f t="shared" si="14"/>
        <v>695</v>
      </c>
      <c r="T97" s="77">
        <f>50</f>
        <v>50</v>
      </c>
      <c r="U97" s="78"/>
      <c r="V97" s="78"/>
      <c r="W97" s="78"/>
      <c r="X97" s="78"/>
      <c r="Y97" s="78"/>
      <c r="Z97" s="78"/>
      <c r="AA97" s="78"/>
      <c r="AB97" s="78"/>
      <c r="AC97" s="78"/>
      <c r="AD97" s="78"/>
    </row>
    <row r="98" spans="1:30" ht="15.75" x14ac:dyDescent="0.25">
      <c r="A98" s="13">
        <v>43891</v>
      </c>
      <c r="B98" s="91">
        <v>31</v>
      </c>
      <c r="C98" s="77">
        <f>122.58</f>
        <v>122.58</v>
      </c>
      <c r="D98" s="77">
        <f>297.941</f>
        <v>297.94099999999997</v>
      </c>
      <c r="E98" s="86">
        <f>89.177</f>
        <v>89.177000000000007</v>
      </c>
      <c r="F98" s="77">
        <f>240.302-40-60-100</f>
        <v>40.301999999999992</v>
      </c>
      <c r="G98" s="80">
        <v>40</v>
      </c>
      <c r="H98" s="77">
        <f>60+100</f>
        <v>160</v>
      </c>
      <c r="I98" s="77">
        <f t="shared" si="8"/>
        <v>0</v>
      </c>
      <c r="J98" s="80">
        <v>100</v>
      </c>
      <c r="K98" s="80">
        <v>300</v>
      </c>
      <c r="L98" s="77">
        <f t="shared" si="11"/>
        <v>1150</v>
      </c>
      <c r="M98" s="88">
        <v>400</v>
      </c>
      <c r="N98" s="77">
        <f>100</f>
        <v>100</v>
      </c>
      <c r="O98" s="80">
        <v>240</v>
      </c>
      <c r="P98" s="80">
        <v>40</v>
      </c>
      <c r="Q98" s="80">
        <f t="shared" si="12"/>
        <v>315</v>
      </c>
      <c r="R98" s="80">
        <f t="shared" si="13"/>
        <v>100</v>
      </c>
      <c r="S98" s="77">
        <f t="shared" si="14"/>
        <v>695</v>
      </c>
      <c r="T98" s="77">
        <f>50</f>
        <v>50</v>
      </c>
      <c r="U98" s="78"/>
      <c r="V98" s="78"/>
      <c r="W98" s="78"/>
      <c r="X98" s="78"/>
      <c r="Y98" s="78"/>
      <c r="Z98" s="78"/>
      <c r="AA98" s="78"/>
      <c r="AB98" s="78"/>
      <c r="AC98" s="78"/>
      <c r="AD98" s="78"/>
    </row>
    <row r="99" spans="1:30" ht="15.75" x14ac:dyDescent="0.25">
      <c r="A99" s="13">
        <v>43922</v>
      </c>
      <c r="B99" s="91">
        <v>30</v>
      </c>
      <c r="C99" s="77">
        <f>141.293</f>
        <v>141.29300000000001</v>
      </c>
      <c r="D99" s="77">
        <f>267.993</f>
        <v>267.99299999999999</v>
      </c>
      <c r="E99" s="86">
        <f>115.016</f>
        <v>115.01600000000001</v>
      </c>
      <c r="F99" s="77">
        <f>314.698-40-25-60-100</f>
        <v>89.697999999999979</v>
      </c>
      <c r="G99" s="80">
        <v>40</v>
      </c>
      <c r="H99" s="77">
        <f t="shared" ref="H99:H105" si="16">25+60+100</f>
        <v>185</v>
      </c>
      <c r="I99" s="77">
        <f t="shared" si="8"/>
        <v>0</v>
      </c>
      <c r="J99" s="80">
        <v>100</v>
      </c>
      <c r="K99" s="80">
        <v>300</v>
      </c>
      <c r="L99" s="77">
        <f t="shared" si="11"/>
        <v>1239</v>
      </c>
      <c r="M99" s="88">
        <v>400</v>
      </c>
      <c r="N99" s="77">
        <f>100</f>
        <v>100</v>
      </c>
      <c r="O99" s="80">
        <v>240</v>
      </c>
      <c r="P99" s="80">
        <v>160</v>
      </c>
      <c r="Q99" s="80">
        <f t="shared" si="12"/>
        <v>195</v>
      </c>
      <c r="R99" s="80">
        <f t="shared" si="13"/>
        <v>100</v>
      </c>
      <c r="S99" s="77">
        <f t="shared" si="14"/>
        <v>695</v>
      </c>
      <c r="T99" s="77">
        <f>50</f>
        <v>50</v>
      </c>
      <c r="U99" s="78"/>
      <c r="V99" s="78"/>
      <c r="W99" s="78"/>
      <c r="X99" s="78"/>
      <c r="Y99" s="78"/>
      <c r="Z99" s="78"/>
      <c r="AA99" s="78"/>
      <c r="AB99" s="78"/>
      <c r="AC99" s="78"/>
      <c r="AD99" s="78"/>
    </row>
    <row r="100" spans="1:30" ht="15.75" x14ac:dyDescent="0.25">
      <c r="A100" s="13">
        <v>43952</v>
      </c>
      <c r="B100" s="91">
        <v>31</v>
      </c>
      <c r="C100" s="77">
        <f>194.205</f>
        <v>194.20500000000001</v>
      </c>
      <c r="D100" s="77">
        <f>267.466</f>
        <v>267.46600000000001</v>
      </c>
      <c r="E100" s="86">
        <f>133.845</f>
        <v>133.845</v>
      </c>
      <c r="F100" s="77">
        <f>278.484-40-25-60-100</f>
        <v>53.48399999999998</v>
      </c>
      <c r="G100" s="80">
        <v>40</v>
      </c>
      <c r="H100" s="77">
        <f t="shared" si="16"/>
        <v>185</v>
      </c>
      <c r="I100" s="77">
        <f t="shared" si="8"/>
        <v>0</v>
      </c>
      <c r="J100" s="80">
        <v>100</v>
      </c>
      <c r="K100" s="80">
        <v>300</v>
      </c>
      <c r="L100" s="77">
        <f t="shared" si="11"/>
        <v>1274</v>
      </c>
      <c r="M100" s="88">
        <v>600</v>
      </c>
      <c r="N100" s="77">
        <f>75</f>
        <v>75</v>
      </c>
      <c r="O100" s="80">
        <v>240</v>
      </c>
      <c r="P100" s="80">
        <v>160</v>
      </c>
      <c r="Q100" s="80">
        <f t="shared" si="12"/>
        <v>195</v>
      </c>
      <c r="R100" s="80">
        <f t="shared" si="13"/>
        <v>100</v>
      </c>
      <c r="S100" s="77">
        <f t="shared" si="14"/>
        <v>695</v>
      </c>
      <c r="T100" s="77">
        <f>50</f>
        <v>50</v>
      </c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</row>
    <row r="101" spans="1:30" ht="15.75" x14ac:dyDescent="0.25">
      <c r="A101" s="13">
        <v>43983</v>
      </c>
      <c r="B101" s="91">
        <v>30</v>
      </c>
      <c r="C101" s="77">
        <f>194.205</f>
        <v>194.20500000000001</v>
      </c>
      <c r="D101" s="77">
        <f>267.466</f>
        <v>267.46600000000001</v>
      </c>
      <c r="E101" s="86">
        <f>133.845</f>
        <v>133.845</v>
      </c>
      <c r="F101" s="77">
        <f>278.484-40-25-60-100</f>
        <v>53.48399999999998</v>
      </c>
      <c r="G101" s="80">
        <v>40</v>
      </c>
      <c r="H101" s="77">
        <f t="shared" si="16"/>
        <v>185</v>
      </c>
      <c r="I101" s="77">
        <f t="shared" si="8"/>
        <v>0</v>
      </c>
      <c r="J101" s="80">
        <v>100</v>
      </c>
      <c r="K101" s="80">
        <v>300</v>
      </c>
      <c r="L101" s="77">
        <f t="shared" si="11"/>
        <v>1274</v>
      </c>
      <c r="M101" s="88">
        <v>600</v>
      </c>
      <c r="N101" s="77">
        <f>30</f>
        <v>30</v>
      </c>
      <c r="O101" s="80">
        <v>240</v>
      </c>
      <c r="P101" s="80">
        <v>160</v>
      </c>
      <c r="Q101" s="80">
        <f t="shared" si="12"/>
        <v>195</v>
      </c>
      <c r="R101" s="80">
        <f t="shared" si="13"/>
        <v>100</v>
      </c>
      <c r="S101" s="77">
        <f t="shared" si="14"/>
        <v>695</v>
      </c>
      <c r="T101" s="77">
        <f>50</f>
        <v>50</v>
      </c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</row>
    <row r="102" spans="1:30" ht="15.75" x14ac:dyDescent="0.25">
      <c r="A102" s="13">
        <v>44013</v>
      </c>
      <c r="B102" s="91">
        <v>31</v>
      </c>
      <c r="C102" s="77">
        <f>194.205</f>
        <v>194.20500000000001</v>
      </c>
      <c r="D102" s="77">
        <f>267.466</f>
        <v>267.46600000000001</v>
      </c>
      <c r="E102" s="86">
        <f>133.845</f>
        <v>133.845</v>
      </c>
      <c r="F102" s="77">
        <f>278.484-40-25-60-100</f>
        <v>53.48399999999998</v>
      </c>
      <c r="G102" s="80">
        <v>40</v>
      </c>
      <c r="H102" s="77">
        <f t="shared" si="16"/>
        <v>185</v>
      </c>
      <c r="I102" s="77">
        <f t="shared" si="8"/>
        <v>0</v>
      </c>
      <c r="J102" s="80">
        <v>100</v>
      </c>
      <c r="K102" s="80">
        <v>300</v>
      </c>
      <c r="L102" s="77">
        <f t="shared" si="11"/>
        <v>1274</v>
      </c>
      <c r="M102" s="88">
        <v>600</v>
      </c>
      <c r="N102" s="77">
        <f>30</f>
        <v>30</v>
      </c>
      <c r="O102" s="80">
        <v>240</v>
      </c>
      <c r="P102" s="80">
        <v>160</v>
      </c>
      <c r="Q102" s="80">
        <f t="shared" si="12"/>
        <v>195</v>
      </c>
      <c r="R102" s="80">
        <f t="shared" si="13"/>
        <v>100</v>
      </c>
      <c r="S102" s="77">
        <f t="shared" si="14"/>
        <v>695</v>
      </c>
      <c r="T102" s="77">
        <f>0</f>
        <v>0</v>
      </c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</row>
    <row r="103" spans="1:30" ht="15.75" x14ac:dyDescent="0.25">
      <c r="A103" s="13">
        <v>44044</v>
      </c>
      <c r="B103" s="91">
        <v>31</v>
      </c>
      <c r="C103" s="77">
        <f>194.205</f>
        <v>194.20500000000001</v>
      </c>
      <c r="D103" s="77">
        <f>267.466</f>
        <v>267.46600000000001</v>
      </c>
      <c r="E103" s="86">
        <f>133.845</f>
        <v>133.845</v>
      </c>
      <c r="F103" s="77">
        <f>278.484-40-25-60-100</f>
        <v>53.48399999999998</v>
      </c>
      <c r="G103" s="80">
        <v>40</v>
      </c>
      <c r="H103" s="77">
        <f t="shared" si="16"/>
        <v>185</v>
      </c>
      <c r="I103" s="77">
        <f t="shared" si="8"/>
        <v>0</v>
      </c>
      <c r="J103" s="80">
        <v>100</v>
      </c>
      <c r="K103" s="80">
        <v>300</v>
      </c>
      <c r="L103" s="77">
        <f t="shared" si="11"/>
        <v>1274</v>
      </c>
      <c r="M103" s="88">
        <v>600</v>
      </c>
      <c r="N103" s="77">
        <f>30</f>
        <v>30</v>
      </c>
      <c r="O103" s="80">
        <v>240</v>
      </c>
      <c r="P103" s="80">
        <v>160</v>
      </c>
      <c r="Q103" s="80">
        <f t="shared" si="12"/>
        <v>195</v>
      </c>
      <c r="R103" s="80">
        <f t="shared" si="13"/>
        <v>100</v>
      </c>
      <c r="S103" s="77">
        <f t="shared" si="14"/>
        <v>695</v>
      </c>
      <c r="T103" s="77">
        <f>0</f>
        <v>0</v>
      </c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</row>
    <row r="104" spans="1:30" ht="15.75" x14ac:dyDescent="0.25">
      <c r="A104" s="13">
        <v>44075</v>
      </c>
      <c r="B104" s="91">
        <v>30</v>
      </c>
      <c r="C104" s="77">
        <f>194.205</f>
        <v>194.20500000000001</v>
      </c>
      <c r="D104" s="77">
        <f>267.466</f>
        <v>267.46600000000001</v>
      </c>
      <c r="E104" s="86">
        <f>133.845</f>
        <v>133.845</v>
      </c>
      <c r="F104" s="77">
        <f>278.484-40-25-60-100</f>
        <v>53.48399999999998</v>
      </c>
      <c r="G104" s="80">
        <v>40</v>
      </c>
      <c r="H104" s="77">
        <f t="shared" si="16"/>
        <v>185</v>
      </c>
      <c r="I104" s="77">
        <f t="shared" si="8"/>
        <v>0</v>
      </c>
      <c r="J104" s="80">
        <v>100</v>
      </c>
      <c r="K104" s="80">
        <v>300</v>
      </c>
      <c r="L104" s="77">
        <f t="shared" si="11"/>
        <v>1274</v>
      </c>
      <c r="M104" s="88">
        <v>600</v>
      </c>
      <c r="N104" s="77">
        <f>30</f>
        <v>30</v>
      </c>
      <c r="O104" s="80">
        <v>240</v>
      </c>
      <c r="P104" s="80">
        <v>160</v>
      </c>
      <c r="Q104" s="80">
        <f t="shared" si="12"/>
        <v>195</v>
      </c>
      <c r="R104" s="80">
        <f t="shared" si="13"/>
        <v>100</v>
      </c>
      <c r="S104" s="77">
        <f t="shared" si="14"/>
        <v>695</v>
      </c>
      <c r="T104" s="77">
        <f>0</f>
        <v>0</v>
      </c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</row>
    <row r="105" spans="1:30" ht="15.75" x14ac:dyDescent="0.25">
      <c r="A105" s="13">
        <v>44105</v>
      </c>
      <c r="B105" s="91">
        <v>31</v>
      </c>
      <c r="C105" s="77">
        <f>131.881</f>
        <v>131.881</v>
      </c>
      <c r="D105" s="77">
        <f>277.167</f>
        <v>277.16699999999997</v>
      </c>
      <c r="E105" s="86">
        <f>79.08</f>
        <v>79.08</v>
      </c>
      <c r="F105" s="77">
        <f>350.872-40-25-60-100</f>
        <v>125.87200000000001</v>
      </c>
      <c r="G105" s="80">
        <v>40</v>
      </c>
      <c r="H105" s="77">
        <f t="shared" si="16"/>
        <v>185</v>
      </c>
      <c r="I105" s="77">
        <f t="shared" si="8"/>
        <v>0</v>
      </c>
      <c r="J105" s="80">
        <v>100</v>
      </c>
      <c r="K105" s="80">
        <v>300</v>
      </c>
      <c r="L105" s="77">
        <f t="shared" si="11"/>
        <v>1239</v>
      </c>
      <c r="M105" s="88">
        <v>600</v>
      </c>
      <c r="N105" s="77">
        <f>75</f>
        <v>75</v>
      </c>
      <c r="O105" s="80">
        <v>240</v>
      </c>
      <c r="P105" s="80">
        <v>160</v>
      </c>
      <c r="Q105" s="80">
        <f t="shared" si="12"/>
        <v>195</v>
      </c>
      <c r="R105" s="80">
        <f t="shared" si="13"/>
        <v>100</v>
      </c>
      <c r="S105" s="77">
        <f t="shared" si="14"/>
        <v>695</v>
      </c>
      <c r="T105" s="77">
        <f>0</f>
        <v>0</v>
      </c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</row>
    <row r="106" spans="1:30" ht="15.75" x14ac:dyDescent="0.25">
      <c r="A106" s="13">
        <v>44136</v>
      </c>
      <c r="B106" s="91">
        <v>30</v>
      </c>
      <c r="C106" s="77">
        <f>122.58</f>
        <v>122.58</v>
      </c>
      <c r="D106" s="77">
        <f>297.941</f>
        <v>297.94099999999997</v>
      </c>
      <c r="E106" s="86">
        <f>89.177</f>
        <v>89.177000000000007</v>
      </c>
      <c r="F106" s="77">
        <f>240.302-40-60-100</f>
        <v>40.301999999999992</v>
      </c>
      <c r="G106" s="80">
        <v>40</v>
      </c>
      <c r="H106" s="77">
        <f>60+100</f>
        <v>160</v>
      </c>
      <c r="I106" s="77">
        <f t="shared" si="8"/>
        <v>0</v>
      </c>
      <c r="J106" s="80">
        <v>100</v>
      </c>
      <c r="K106" s="80">
        <v>300</v>
      </c>
      <c r="L106" s="77">
        <f t="shared" si="11"/>
        <v>1150</v>
      </c>
      <c r="M106" s="88">
        <v>600</v>
      </c>
      <c r="N106" s="77">
        <f>100</f>
        <v>100</v>
      </c>
      <c r="O106" s="80">
        <v>240</v>
      </c>
      <c r="P106" s="80">
        <v>40</v>
      </c>
      <c r="Q106" s="80">
        <f t="shared" si="12"/>
        <v>315</v>
      </c>
      <c r="R106" s="80">
        <f t="shared" si="13"/>
        <v>100</v>
      </c>
      <c r="S106" s="77">
        <f t="shared" si="14"/>
        <v>695</v>
      </c>
      <c r="T106" s="77">
        <f>50</f>
        <v>50</v>
      </c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</row>
    <row r="107" spans="1:30" ht="15.75" x14ac:dyDescent="0.25">
      <c r="A107" s="13">
        <v>44166</v>
      </c>
      <c r="B107" s="91">
        <v>31</v>
      </c>
      <c r="C107" s="77">
        <f>122.58</f>
        <v>122.58</v>
      </c>
      <c r="D107" s="77">
        <f>297.941</f>
        <v>297.94099999999997</v>
      </c>
      <c r="E107" s="86">
        <f>89.177</f>
        <v>89.177000000000007</v>
      </c>
      <c r="F107" s="77">
        <f>240.302-40-60-100</f>
        <v>40.301999999999992</v>
      </c>
      <c r="G107" s="80">
        <v>40</v>
      </c>
      <c r="H107" s="77">
        <f>60+100</f>
        <v>160</v>
      </c>
      <c r="I107" s="77">
        <f t="shared" si="8"/>
        <v>0</v>
      </c>
      <c r="J107" s="80">
        <v>100</v>
      </c>
      <c r="K107" s="80">
        <v>300</v>
      </c>
      <c r="L107" s="77">
        <f t="shared" si="11"/>
        <v>1150</v>
      </c>
      <c r="M107" s="88">
        <v>600</v>
      </c>
      <c r="N107" s="77">
        <f>100</f>
        <v>100</v>
      </c>
      <c r="O107" s="80">
        <v>240</v>
      </c>
      <c r="P107" s="80">
        <v>40</v>
      </c>
      <c r="Q107" s="80">
        <f t="shared" si="12"/>
        <v>315</v>
      </c>
      <c r="R107" s="80">
        <f t="shared" si="13"/>
        <v>100</v>
      </c>
      <c r="S107" s="77">
        <f t="shared" si="14"/>
        <v>695</v>
      </c>
      <c r="T107" s="77">
        <f>50</f>
        <v>50</v>
      </c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</row>
    <row r="108" spans="1:30" ht="15.75" x14ac:dyDescent="0.25">
      <c r="A108" s="13">
        <v>44197</v>
      </c>
      <c r="B108" s="91">
        <v>31</v>
      </c>
      <c r="C108" s="77">
        <f>122.58</f>
        <v>122.58</v>
      </c>
      <c r="D108" s="77">
        <f>297.941</f>
        <v>297.94099999999997</v>
      </c>
      <c r="E108" s="86">
        <f>89.177</f>
        <v>89.177000000000007</v>
      </c>
      <c r="F108" s="77">
        <f>240.302-40-60-100</f>
        <v>40.301999999999992</v>
      </c>
      <c r="G108" s="80">
        <v>40</v>
      </c>
      <c r="H108" s="77">
        <f>60+100</f>
        <v>160</v>
      </c>
      <c r="I108" s="77">
        <f t="shared" si="8"/>
        <v>0</v>
      </c>
      <c r="J108" s="80">
        <v>100</v>
      </c>
      <c r="K108" s="80">
        <v>300</v>
      </c>
      <c r="L108" s="77">
        <f t="shared" si="11"/>
        <v>1150</v>
      </c>
      <c r="M108" s="88">
        <v>600</v>
      </c>
      <c r="N108" s="77">
        <f>100</f>
        <v>100</v>
      </c>
      <c r="O108" s="80">
        <v>240</v>
      </c>
      <c r="P108" s="80">
        <v>40</v>
      </c>
      <c r="Q108" s="80">
        <f t="shared" si="12"/>
        <v>315</v>
      </c>
      <c r="R108" s="80">
        <f t="shared" si="13"/>
        <v>100</v>
      </c>
      <c r="S108" s="77">
        <f t="shared" si="14"/>
        <v>695</v>
      </c>
      <c r="T108" s="77">
        <f>50</f>
        <v>50</v>
      </c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</row>
    <row r="109" spans="1:30" ht="15.75" x14ac:dyDescent="0.25">
      <c r="A109" s="13">
        <v>44228</v>
      </c>
      <c r="B109" s="91">
        <v>28</v>
      </c>
      <c r="C109" s="77">
        <f>122.58</f>
        <v>122.58</v>
      </c>
      <c r="D109" s="77">
        <f>297.941</f>
        <v>297.94099999999997</v>
      </c>
      <c r="E109" s="86">
        <f>89.177</f>
        <v>89.177000000000007</v>
      </c>
      <c r="F109" s="77">
        <f>240.302-40-60-100</f>
        <v>40.301999999999992</v>
      </c>
      <c r="G109" s="80">
        <v>40</v>
      </c>
      <c r="H109" s="77">
        <f>60+100</f>
        <v>160</v>
      </c>
      <c r="I109" s="77">
        <f t="shared" si="8"/>
        <v>0</v>
      </c>
      <c r="J109" s="80">
        <v>100</v>
      </c>
      <c r="K109" s="80">
        <v>300</v>
      </c>
      <c r="L109" s="77">
        <f t="shared" si="11"/>
        <v>1150</v>
      </c>
      <c r="M109" s="88">
        <v>600</v>
      </c>
      <c r="N109" s="77">
        <f>100</f>
        <v>100</v>
      </c>
      <c r="O109" s="80">
        <v>240</v>
      </c>
      <c r="P109" s="80">
        <v>40</v>
      </c>
      <c r="Q109" s="80">
        <f t="shared" si="12"/>
        <v>315</v>
      </c>
      <c r="R109" s="80">
        <f t="shared" si="13"/>
        <v>100</v>
      </c>
      <c r="S109" s="77">
        <f t="shared" si="14"/>
        <v>695</v>
      </c>
      <c r="T109" s="77">
        <f>50</f>
        <v>50</v>
      </c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</row>
    <row r="110" spans="1:30" ht="15.75" x14ac:dyDescent="0.25">
      <c r="A110" s="13">
        <v>44256</v>
      </c>
      <c r="B110" s="91">
        <v>31</v>
      </c>
      <c r="C110" s="77">
        <f>122.58</f>
        <v>122.58</v>
      </c>
      <c r="D110" s="77">
        <f>297.941</f>
        <v>297.94099999999997</v>
      </c>
      <c r="E110" s="86">
        <f>89.177</f>
        <v>89.177000000000007</v>
      </c>
      <c r="F110" s="77">
        <f>240.302-40-60-100</f>
        <v>40.301999999999992</v>
      </c>
      <c r="G110" s="80">
        <v>40</v>
      </c>
      <c r="H110" s="77">
        <f>60+100</f>
        <v>160</v>
      </c>
      <c r="I110" s="77">
        <f t="shared" si="8"/>
        <v>0</v>
      </c>
      <c r="J110" s="80">
        <v>100</v>
      </c>
      <c r="K110" s="80">
        <v>300</v>
      </c>
      <c r="L110" s="77">
        <f t="shared" si="11"/>
        <v>1150</v>
      </c>
      <c r="M110" s="88">
        <v>600</v>
      </c>
      <c r="N110" s="77">
        <f>100</f>
        <v>100</v>
      </c>
      <c r="O110" s="80">
        <v>240</v>
      </c>
      <c r="P110" s="80">
        <v>40</v>
      </c>
      <c r="Q110" s="80">
        <f t="shared" si="12"/>
        <v>315</v>
      </c>
      <c r="R110" s="80">
        <f t="shared" si="13"/>
        <v>100</v>
      </c>
      <c r="S110" s="77">
        <f t="shared" si="14"/>
        <v>695</v>
      </c>
      <c r="T110" s="77">
        <f>50</f>
        <v>50</v>
      </c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</row>
    <row r="111" spans="1:30" ht="15.75" x14ac:dyDescent="0.25">
      <c r="A111" s="13">
        <v>44287</v>
      </c>
      <c r="B111" s="91">
        <v>30</v>
      </c>
      <c r="C111" s="77">
        <f>141.293</f>
        <v>141.29300000000001</v>
      </c>
      <c r="D111" s="77">
        <f>267.993</f>
        <v>267.99299999999999</v>
      </c>
      <c r="E111" s="86">
        <f>115.016</f>
        <v>115.01600000000001</v>
      </c>
      <c r="F111" s="77">
        <f>314.698-40-25-60-100</f>
        <v>89.697999999999979</v>
      </c>
      <c r="G111" s="80">
        <v>40</v>
      </c>
      <c r="H111" s="77">
        <f t="shared" ref="H111:H117" si="17">25+60+100</f>
        <v>185</v>
      </c>
      <c r="I111" s="77">
        <f t="shared" si="8"/>
        <v>0</v>
      </c>
      <c r="J111" s="80">
        <v>100</v>
      </c>
      <c r="K111" s="80">
        <v>300</v>
      </c>
      <c r="L111" s="77">
        <f t="shared" si="11"/>
        <v>1239</v>
      </c>
      <c r="M111" s="88">
        <v>600</v>
      </c>
      <c r="N111" s="77">
        <f>100</f>
        <v>100</v>
      </c>
      <c r="O111" s="80">
        <v>240</v>
      </c>
      <c r="P111" s="80">
        <v>160</v>
      </c>
      <c r="Q111" s="80">
        <f t="shared" si="12"/>
        <v>195</v>
      </c>
      <c r="R111" s="80">
        <f t="shared" si="13"/>
        <v>100</v>
      </c>
      <c r="S111" s="77">
        <f t="shared" si="14"/>
        <v>695</v>
      </c>
      <c r="T111" s="77">
        <f>50</f>
        <v>50</v>
      </c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</row>
    <row r="112" spans="1:30" ht="15.75" x14ac:dyDescent="0.25">
      <c r="A112" s="13">
        <v>44317</v>
      </c>
      <c r="B112" s="91">
        <v>31</v>
      </c>
      <c r="C112" s="77">
        <f>194.205</f>
        <v>194.20500000000001</v>
      </c>
      <c r="D112" s="77">
        <f>267.466</f>
        <v>267.46600000000001</v>
      </c>
      <c r="E112" s="86">
        <f>133.845</f>
        <v>133.845</v>
      </c>
      <c r="F112" s="77">
        <f>278.484-40-25-60-100</f>
        <v>53.48399999999998</v>
      </c>
      <c r="G112" s="80">
        <v>40</v>
      </c>
      <c r="H112" s="77">
        <f t="shared" si="17"/>
        <v>185</v>
      </c>
      <c r="I112" s="77">
        <f t="shared" si="8"/>
        <v>0</v>
      </c>
      <c r="J112" s="80">
        <v>100</v>
      </c>
      <c r="K112" s="80">
        <v>300</v>
      </c>
      <c r="L112" s="77">
        <f t="shared" si="11"/>
        <v>1274</v>
      </c>
      <c r="M112" s="88">
        <v>600</v>
      </c>
      <c r="N112" s="77">
        <f>75</f>
        <v>75</v>
      </c>
      <c r="O112" s="80">
        <v>240</v>
      </c>
      <c r="P112" s="80">
        <v>160</v>
      </c>
      <c r="Q112" s="80">
        <f t="shared" si="12"/>
        <v>195</v>
      </c>
      <c r="R112" s="80">
        <f t="shared" si="13"/>
        <v>100</v>
      </c>
      <c r="S112" s="77">
        <f t="shared" si="14"/>
        <v>695</v>
      </c>
      <c r="T112" s="77">
        <f>50</f>
        <v>50</v>
      </c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</row>
    <row r="113" spans="1:30" ht="15.75" x14ac:dyDescent="0.25">
      <c r="A113" s="13">
        <v>44348</v>
      </c>
      <c r="B113" s="91">
        <v>30</v>
      </c>
      <c r="C113" s="77">
        <f>194.205</f>
        <v>194.20500000000001</v>
      </c>
      <c r="D113" s="77">
        <f>267.466</f>
        <v>267.46600000000001</v>
      </c>
      <c r="E113" s="86">
        <f>133.845</f>
        <v>133.845</v>
      </c>
      <c r="F113" s="77">
        <f>278.484-40-25-60-100</f>
        <v>53.48399999999998</v>
      </c>
      <c r="G113" s="80">
        <v>40</v>
      </c>
      <c r="H113" s="77">
        <f t="shared" si="17"/>
        <v>185</v>
      </c>
      <c r="I113" s="77">
        <f t="shared" si="8"/>
        <v>0</v>
      </c>
      <c r="J113" s="80">
        <v>100</v>
      </c>
      <c r="K113" s="80">
        <v>300</v>
      </c>
      <c r="L113" s="77">
        <f t="shared" si="11"/>
        <v>1274</v>
      </c>
      <c r="M113" s="88">
        <v>600</v>
      </c>
      <c r="N113" s="77">
        <f>30</f>
        <v>30</v>
      </c>
      <c r="O113" s="80">
        <v>240</v>
      </c>
      <c r="P113" s="80">
        <v>160</v>
      </c>
      <c r="Q113" s="80">
        <f t="shared" si="12"/>
        <v>195</v>
      </c>
      <c r="R113" s="80">
        <f t="shared" si="13"/>
        <v>100</v>
      </c>
      <c r="S113" s="77">
        <f t="shared" si="14"/>
        <v>695</v>
      </c>
      <c r="T113" s="77">
        <f>50</f>
        <v>50</v>
      </c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</row>
    <row r="114" spans="1:30" ht="15.75" x14ac:dyDescent="0.25">
      <c r="A114" s="13">
        <v>44378</v>
      </c>
      <c r="B114" s="91">
        <v>31</v>
      </c>
      <c r="C114" s="77">
        <f>194.205</f>
        <v>194.20500000000001</v>
      </c>
      <c r="D114" s="77">
        <f>267.466</f>
        <v>267.46600000000001</v>
      </c>
      <c r="E114" s="86">
        <f>133.845</f>
        <v>133.845</v>
      </c>
      <c r="F114" s="77">
        <f>278.484-40-25-60-100</f>
        <v>53.48399999999998</v>
      </c>
      <c r="G114" s="80">
        <v>40</v>
      </c>
      <c r="H114" s="77">
        <f t="shared" si="17"/>
        <v>185</v>
      </c>
      <c r="I114" s="77">
        <f t="shared" si="8"/>
        <v>0</v>
      </c>
      <c r="J114" s="80">
        <v>100</v>
      </c>
      <c r="K114" s="80">
        <v>300</v>
      </c>
      <c r="L114" s="77">
        <f t="shared" si="11"/>
        <v>1274</v>
      </c>
      <c r="M114" s="88">
        <v>600</v>
      </c>
      <c r="N114" s="77">
        <f>30</f>
        <v>30</v>
      </c>
      <c r="O114" s="80">
        <v>240</v>
      </c>
      <c r="P114" s="80">
        <v>160</v>
      </c>
      <c r="Q114" s="80">
        <f t="shared" si="12"/>
        <v>195</v>
      </c>
      <c r="R114" s="80">
        <f t="shared" si="13"/>
        <v>100</v>
      </c>
      <c r="S114" s="77">
        <f t="shared" si="14"/>
        <v>695</v>
      </c>
      <c r="T114" s="77">
        <f>0</f>
        <v>0</v>
      </c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</row>
    <row r="115" spans="1:30" ht="15.75" x14ac:dyDescent="0.25">
      <c r="A115" s="13">
        <v>44409</v>
      </c>
      <c r="B115" s="91">
        <v>31</v>
      </c>
      <c r="C115" s="77">
        <f>194.205</f>
        <v>194.20500000000001</v>
      </c>
      <c r="D115" s="77">
        <f>267.466</f>
        <v>267.46600000000001</v>
      </c>
      <c r="E115" s="86">
        <f>133.845</f>
        <v>133.845</v>
      </c>
      <c r="F115" s="77">
        <f>278.484-40-25-60-100</f>
        <v>53.48399999999998</v>
      </c>
      <c r="G115" s="80">
        <v>40</v>
      </c>
      <c r="H115" s="77">
        <f t="shared" si="17"/>
        <v>185</v>
      </c>
      <c r="I115" s="77">
        <f t="shared" si="8"/>
        <v>0</v>
      </c>
      <c r="J115" s="80">
        <v>100</v>
      </c>
      <c r="K115" s="80">
        <v>300</v>
      </c>
      <c r="L115" s="77">
        <f t="shared" si="11"/>
        <v>1274</v>
      </c>
      <c r="M115" s="88">
        <v>600</v>
      </c>
      <c r="N115" s="77">
        <f>30</f>
        <v>30</v>
      </c>
      <c r="O115" s="80">
        <v>240</v>
      </c>
      <c r="P115" s="80">
        <v>160</v>
      </c>
      <c r="Q115" s="80">
        <f t="shared" si="12"/>
        <v>195</v>
      </c>
      <c r="R115" s="80">
        <f t="shared" si="13"/>
        <v>100</v>
      </c>
      <c r="S115" s="77">
        <f t="shared" si="14"/>
        <v>695</v>
      </c>
      <c r="T115" s="77">
        <f>0</f>
        <v>0</v>
      </c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</row>
    <row r="116" spans="1:30" ht="15.75" x14ac:dyDescent="0.25">
      <c r="A116" s="13">
        <v>44440</v>
      </c>
      <c r="B116" s="91">
        <v>30</v>
      </c>
      <c r="C116" s="77">
        <f>194.205</f>
        <v>194.20500000000001</v>
      </c>
      <c r="D116" s="77">
        <f>267.466</f>
        <v>267.46600000000001</v>
      </c>
      <c r="E116" s="86">
        <f>133.845</f>
        <v>133.845</v>
      </c>
      <c r="F116" s="77">
        <f>278.484-40-25-60-100</f>
        <v>53.48399999999998</v>
      </c>
      <c r="G116" s="80">
        <v>40</v>
      </c>
      <c r="H116" s="77">
        <f t="shared" si="17"/>
        <v>185</v>
      </c>
      <c r="I116" s="77">
        <f t="shared" ref="I116:I179" si="18">400-J116-K116</f>
        <v>0</v>
      </c>
      <c r="J116" s="80">
        <v>100</v>
      </c>
      <c r="K116" s="80">
        <v>300</v>
      </c>
      <c r="L116" s="77">
        <f t="shared" si="11"/>
        <v>1274</v>
      </c>
      <c r="M116" s="88">
        <v>600</v>
      </c>
      <c r="N116" s="77">
        <f>30</f>
        <v>30</v>
      </c>
      <c r="O116" s="80">
        <v>240</v>
      </c>
      <c r="P116" s="80">
        <v>160</v>
      </c>
      <c r="Q116" s="80">
        <f t="shared" si="12"/>
        <v>195</v>
      </c>
      <c r="R116" s="80">
        <f t="shared" si="13"/>
        <v>100</v>
      </c>
      <c r="S116" s="77">
        <f t="shared" si="14"/>
        <v>695</v>
      </c>
      <c r="T116" s="77">
        <f>0</f>
        <v>0</v>
      </c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</row>
    <row r="117" spans="1:30" ht="15.75" x14ac:dyDescent="0.25">
      <c r="A117" s="13">
        <v>44470</v>
      </c>
      <c r="B117" s="91">
        <v>31</v>
      </c>
      <c r="C117" s="77">
        <f>131.881</f>
        <v>131.881</v>
      </c>
      <c r="D117" s="77">
        <f>277.167</f>
        <v>277.16699999999997</v>
      </c>
      <c r="E117" s="86">
        <f>79.08</f>
        <v>79.08</v>
      </c>
      <c r="F117" s="77">
        <f>350.872-40-25-60-100</f>
        <v>125.87200000000001</v>
      </c>
      <c r="G117" s="80">
        <v>40</v>
      </c>
      <c r="H117" s="77">
        <f t="shared" si="17"/>
        <v>185</v>
      </c>
      <c r="I117" s="77">
        <f t="shared" si="18"/>
        <v>0</v>
      </c>
      <c r="J117" s="80">
        <v>100</v>
      </c>
      <c r="K117" s="80">
        <v>300</v>
      </c>
      <c r="L117" s="77">
        <f t="shared" si="11"/>
        <v>1239</v>
      </c>
      <c r="M117" s="88">
        <v>600</v>
      </c>
      <c r="N117" s="77">
        <f>75</f>
        <v>75</v>
      </c>
      <c r="O117" s="80">
        <v>240</v>
      </c>
      <c r="P117" s="80">
        <v>160</v>
      </c>
      <c r="Q117" s="80">
        <f t="shared" si="12"/>
        <v>195</v>
      </c>
      <c r="R117" s="80">
        <f t="shared" si="13"/>
        <v>100</v>
      </c>
      <c r="S117" s="77">
        <f t="shared" si="14"/>
        <v>695</v>
      </c>
      <c r="T117" s="77">
        <f>0</f>
        <v>0</v>
      </c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</row>
    <row r="118" spans="1:30" ht="15.75" x14ac:dyDescent="0.25">
      <c r="A118" s="13">
        <v>44501</v>
      </c>
      <c r="B118" s="91">
        <v>30</v>
      </c>
      <c r="C118" s="77">
        <f>122.58</f>
        <v>122.58</v>
      </c>
      <c r="D118" s="77">
        <f>297.941</f>
        <v>297.94099999999997</v>
      </c>
      <c r="E118" s="86">
        <f>89.177</f>
        <v>89.177000000000007</v>
      </c>
      <c r="F118" s="77">
        <f>240.302-40-60-100</f>
        <v>40.301999999999992</v>
      </c>
      <c r="G118" s="80">
        <v>40</v>
      </c>
      <c r="H118" s="77">
        <f>60+100</f>
        <v>160</v>
      </c>
      <c r="I118" s="77">
        <f t="shared" si="18"/>
        <v>0</v>
      </c>
      <c r="J118" s="80">
        <v>100</v>
      </c>
      <c r="K118" s="80">
        <v>300</v>
      </c>
      <c r="L118" s="77">
        <f t="shared" si="11"/>
        <v>1150</v>
      </c>
      <c r="M118" s="88">
        <v>600</v>
      </c>
      <c r="N118" s="77">
        <f>100</f>
        <v>100</v>
      </c>
      <c r="O118" s="80">
        <v>240</v>
      </c>
      <c r="P118" s="80">
        <v>40</v>
      </c>
      <c r="Q118" s="80">
        <f t="shared" si="12"/>
        <v>315</v>
      </c>
      <c r="R118" s="80">
        <f t="shared" si="13"/>
        <v>100</v>
      </c>
      <c r="S118" s="77">
        <f t="shared" si="14"/>
        <v>695</v>
      </c>
      <c r="T118" s="77">
        <f>50</f>
        <v>50</v>
      </c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pans="1:30" ht="15.75" x14ac:dyDescent="0.25">
      <c r="A119" s="13">
        <v>44531</v>
      </c>
      <c r="B119" s="91">
        <v>31</v>
      </c>
      <c r="C119" s="77">
        <f>122.58</f>
        <v>122.58</v>
      </c>
      <c r="D119" s="77">
        <f>297.941</f>
        <v>297.94099999999997</v>
      </c>
      <c r="E119" s="86">
        <f>89.177</f>
        <v>89.177000000000007</v>
      </c>
      <c r="F119" s="77">
        <f>240.302-40-60-100</f>
        <v>40.301999999999992</v>
      </c>
      <c r="G119" s="80">
        <v>40</v>
      </c>
      <c r="H119" s="77">
        <f>60+100</f>
        <v>160</v>
      </c>
      <c r="I119" s="77">
        <f t="shared" si="18"/>
        <v>0</v>
      </c>
      <c r="J119" s="80">
        <v>100</v>
      </c>
      <c r="K119" s="80">
        <v>300</v>
      </c>
      <c r="L119" s="77">
        <f t="shared" si="11"/>
        <v>1150</v>
      </c>
      <c r="M119" s="88">
        <v>600</v>
      </c>
      <c r="N119" s="77">
        <f>100</f>
        <v>100</v>
      </c>
      <c r="O119" s="80">
        <v>240</v>
      </c>
      <c r="P119" s="80">
        <v>40</v>
      </c>
      <c r="Q119" s="80">
        <f t="shared" si="12"/>
        <v>315</v>
      </c>
      <c r="R119" s="80">
        <f t="shared" si="13"/>
        <v>100</v>
      </c>
      <c r="S119" s="77">
        <f t="shared" si="14"/>
        <v>695</v>
      </c>
      <c r="T119" s="77">
        <f>50</f>
        <v>50</v>
      </c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pans="1:30" ht="15.75" x14ac:dyDescent="0.25">
      <c r="A120" s="13">
        <v>44562</v>
      </c>
      <c r="B120" s="91">
        <v>31</v>
      </c>
      <c r="C120" s="77">
        <f>122.58</f>
        <v>122.58</v>
      </c>
      <c r="D120" s="77">
        <f>297.941</f>
        <v>297.94099999999997</v>
      </c>
      <c r="E120" s="86">
        <f>89.177</f>
        <v>89.177000000000007</v>
      </c>
      <c r="F120" s="77">
        <f>240.302-40-60-100</f>
        <v>40.301999999999992</v>
      </c>
      <c r="G120" s="80">
        <v>40</v>
      </c>
      <c r="H120" s="77">
        <f>60+100</f>
        <v>160</v>
      </c>
      <c r="I120" s="77">
        <f t="shared" si="18"/>
        <v>0</v>
      </c>
      <c r="J120" s="80">
        <v>100</v>
      </c>
      <c r="K120" s="80">
        <v>300</v>
      </c>
      <c r="L120" s="77">
        <f t="shared" si="11"/>
        <v>1150</v>
      </c>
      <c r="M120" s="88">
        <v>600</v>
      </c>
      <c r="N120" s="77">
        <f>100</f>
        <v>100</v>
      </c>
      <c r="O120" s="80">
        <v>240</v>
      </c>
      <c r="P120" s="80">
        <v>40</v>
      </c>
      <c r="Q120" s="80">
        <f t="shared" si="12"/>
        <v>315</v>
      </c>
      <c r="R120" s="80">
        <f t="shared" si="13"/>
        <v>100</v>
      </c>
      <c r="S120" s="77">
        <f t="shared" si="14"/>
        <v>695</v>
      </c>
      <c r="T120" s="77">
        <f>50</f>
        <v>50</v>
      </c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pans="1:30" ht="15.75" x14ac:dyDescent="0.25">
      <c r="A121" s="13">
        <v>44593</v>
      </c>
      <c r="B121" s="91">
        <v>28</v>
      </c>
      <c r="C121" s="77">
        <f>122.58</f>
        <v>122.58</v>
      </c>
      <c r="D121" s="77">
        <f>297.941</f>
        <v>297.94099999999997</v>
      </c>
      <c r="E121" s="86">
        <f>89.177</f>
        <v>89.177000000000007</v>
      </c>
      <c r="F121" s="77">
        <f>240.302-40-60-100</f>
        <v>40.301999999999992</v>
      </c>
      <c r="G121" s="80">
        <v>40</v>
      </c>
      <c r="H121" s="77">
        <f>60+100</f>
        <v>160</v>
      </c>
      <c r="I121" s="77">
        <f t="shared" si="18"/>
        <v>0</v>
      </c>
      <c r="J121" s="80">
        <v>100</v>
      </c>
      <c r="K121" s="80">
        <v>300</v>
      </c>
      <c r="L121" s="77">
        <f t="shared" si="11"/>
        <v>1150</v>
      </c>
      <c r="M121" s="88">
        <v>600</v>
      </c>
      <c r="N121" s="77">
        <f>100</f>
        <v>100</v>
      </c>
      <c r="O121" s="80">
        <v>240</v>
      </c>
      <c r="P121" s="80">
        <v>40</v>
      </c>
      <c r="Q121" s="80">
        <f t="shared" si="12"/>
        <v>315</v>
      </c>
      <c r="R121" s="80">
        <f t="shared" si="13"/>
        <v>100</v>
      </c>
      <c r="S121" s="77">
        <f t="shared" si="14"/>
        <v>695</v>
      </c>
      <c r="T121" s="77">
        <f>50</f>
        <v>50</v>
      </c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pans="1:30" ht="15.75" x14ac:dyDescent="0.25">
      <c r="A122" s="13">
        <v>44621</v>
      </c>
      <c r="B122" s="91">
        <v>31</v>
      </c>
      <c r="C122" s="77">
        <f>122.58</f>
        <v>122.58</v>
      </c>
      <c r="D122" s="77">
        <f>297.941</f>
        <v>297.94099999999997</v>
      </c>
      <c r="E122" s="86">
        <f>89.177</f>
        <v>89.177000000000007</v>
      </c>
      <c r="F122" s="77">
        <f>240.302-40-60-100</f>
        <v>40.301999999999992</v>
      </c>
      <c r="G122" s="80">
        <v>40</v>
      </c>
      <c r="H122" s="77">
        <f>60+100</f>
        <v>160</v>
      </c>
      <c r="I122" s="77">
        <f t="shared" si="18"/>
        <v>0</v>
      </c>
      <c r="J122" s="80">
        <v>100</v>
      </c>
      <c r="K122" s="80">
        <v>300</v>
      </c>
      <c r="L122" s="77">
        <f t="shared" si="11"/>
        <v>1150</v>
      </c>
      <c r="M122" s="88">
        <v>600</v>
      </c>
      <c r="N122" s="77">
        <f>100</f>
        <v>100</v>
      </c>
      <c r="O122" s="80">
        <v>240</v>
      </c>
      <c r="P122" s="80">
        <v>40</v>
      </c>
      <c r="Q122" s="80">
        <f t="shared" si="12"/>
        <v>315</v>
      </c>
      <c r="R122" s="80">
        <f t="shared" si="13"/>
        <v>100</v>
      </c>
      <c r="S122" s="77">
        <f t="shared" si="14"/>
        <v>695</v>
      </c>
      <c r="T122" s="77">
        <f>50</f>
        <v>50</v>
      </c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pans="1:30" ht="15.75" x14ac:dyDescent="0.25">
      <c r="A123" s="13">
        <v>44652</v>
      </c>
      <c r="B123" s="91">
        <v>30</v>
      </c>
      <c r="C123" s="77">
        <f>141.293</f>
        <v>141.29300000000001</v>
      </c>
      <c r="D123" s="77">
        <f>267.993</f>
        <v>267.99299999999999</v>
      </c>
      <c r="E123" s="86">
        <f>115.016</f>
        <v>115.01600000000001</v>
      </c>
      <c r="F123" s="77">
        <f>314.698-40-25-60-100</f>
        <v>89.697999999999979</v>
      </c>
      <c r="G123" s="80">
        <v>40</v>
      </c>
      <c r="H123" s="77">
        <f t="shared" ref="H123:H129" si="19">25+60+100</f>
        <v>185</v>
      </c>
      <c r="I123" s="77">
        <f t="shared" si="18"/>
        <v>0</v>
      </c>
      <c r="J123" s="80">
        <v>100</v>
      </c>
      <c r="K123" s="80">
        <v>300</v>
      </c>
      <c r="L123" s="77">
        <f t="shared" si="11"/>
        <v>1239</v>
      </c>
      <c r="M123" s="88">
        <v>600</v>
      </c>
      <c r="N123" s="77">
        <f>100</f>
        <v>100</v>
      </c>
      <c r="O123" s="80">
        <v>240</v>
      </c>
      <c r="P123" s="80">
        <v>160</v>
      </c>
      <c r="Q123" s="80">
        <f t="shared" si="12"/>
        <v>195</v>
      </c>
      <c r="R123" s="80">
        <f t="shared" si="13"/>
        <v>100</v>
      </c>
      <c r="S123" s="77">
        <f t="shared" si="14"/>
        <v>695</v>
      </c>
      <c r="T123" s="77">
        <f>50</f>
        <v>50</v>
      </c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pans="1:30" ht="15.75" x14ac:dyDescent="0.25">
      <c r="A124" s="13">
        <v>44682</v>
      </c>
      <c r="B124" s="91">
        <v>31</v>
      </c>
      <c r="C124" s="77">
        <f>194.205</f>
        <v>194.20500000000001</v>
      </c>
      <c r="D124" s="77">
        <f>267.466</f>
        <v>267.46600000000001</v>
      </c>
      <c r="E124" s="86">
        <f>133.845</f>
        <v>133.845</v>
      </c>
      <c r="F124" s="77">
        <f>278.484-40-25-60-100</f>
        <v>53.48399999999998</v>
      </c>
      <c r="G124" s="80">
        <v>40</v>
      </c>
      <c r="H124" s="77">
        <f t="shared" si="19"/>
        <v>185</v>
      </c>
      <c r="I124" s="77">
        <f t="shared" si="18"/>
        <v>0</v>
      </c>
      <c r="J124" s="80">
        <v>100</v>
      </c>
      <c r="K124" s="80">
        <v>300</v>
      </c>
      <c r="L124" s="77">
        <f t="shared" si="11"/>
        <v>1274</v>
      </c>
      <c r="M124" s="88">
        <v>600</v>
      </c>
      <c r="N124" s="77">
        <f>75</f>
        <v>75</v>
      </c>
      <c r="O124" s="80">
        <v>240</v>
      </c>
      <c r="P124" s="80">
        <v>160</v>
      </c>
      <c r="Q124" s="80">
        <f t="shared" si="12"/>
        <v>195</v>
      </c>
      <c r="R124" s="80">
        <f t="shared" si="13"/>
        <v>100</v>
      </c>
      <c r="S124" s="77">
        <f t="shared" si="14"/>
        <v>695</v>
      </c>
      <c r="T124" s="77">
        <f>50</f>
        <v>50</v>
      </c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pans="1:30" ht="15.75" x14ac:dyDescent="0.25">
      <c r="A125" s="13">
        <v>44713</v>
      </c>
      <c r="B125" s="91">
        <v>30</v>
      </c>
      <c r="C125" s="77">
        <f>194.205</f>
        <v>194.20500000000001</v>
      </c>
      <c r="D125" s="77">
        <f>267.466</f>
        <v>267.46600000000001</v>
      </c>
      <c r="E125" s="86">
        <f>133.845</f>
        <v>133.845</v>
      </c>
      <c r="F125" s="77">
        <f>278.484-40-25-60-100</f>
        <v>53.48399999999998</v>
      </c>
      <c r="G125" s="80">
        <v>40</v>
      </c>
      <c r="H125" s="77">
        <f t="shared" si="19"/>
        <v>185</v>
      </c>
      <c r="I125" s="77">
        <f t="shared" si="18"/>
        <v>0</v>
      </c>
      <c r="J125" s="80">
        <v>100</v>
      </c>
      <c r="K125" s="80">
        <v>300</v>
      </c>
      <c r="L125" s="77">
        <f t="shared" si="11"/>
        <v>1274</v>
      </c>
      <c r="M125" s="88">
        <v>600</v>
      </c>
      <c r="N125" s="77">
        <f>30</f>
        <v>30</v>
      </c>
      <c r="O125" s="80">
        <v>240</v>
      </c>
      <c r="P125" s="80">
        <v>160</v>
      </c>
      <c r="Q125" s="80">
        <f t="shared" si="12"/>
        <v>195</v>
      </c>
      <c r="R125" s="80">
        <f t="shared" si="13"/>
        <v>100</v>
      </c>
      <c r="S125" s="77">
        <f t="shared" si="14"/>
        <v>695</v>
      </c>
      <c r="T125" s="77">
        <f>50</f>
        <v>50</v>
      </c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pans="1:30" ht="15.75" x14ac:dyDescent="0.25">
      <c r="A126" s="13">
        <v>44743</v>
      </c>
      <c r="B126" s="91">
        <v>31</v>
      </c>
      <c r="C126" s="77">
        <f>194.205</f>
        <v>194.20500000000001</v>
      </c>
      <c r="D126" s="77">
        <f>267.466</f>
        <v>267.46600000000001</v>
      </c>
      <c r="E126" s="86">
        <f>133.845</f>
        <v>133.845</v>
      </c>
      <c r="F126" s="77">
        <f>278.484-40-25-60-100</f>
        <v>53.48399999999998</v>
      </c>
      <c r="G126" s="80">
        <v>40</v>
      </c>
      <c r="H126" s="77">
        <f t="shared" si="19"/>
        <v>185</v>
      </c>
      <c r="I126" s="77">
        <f t="shared" si="18"/>
        <v>0</v>
      </c>
      <c r="J126" s="80">
        <v>100</v>
      </c>
      <c r="K126" s="80">
        <v>300</v>
      </c>
      <c r="L126" s="77">
        <f t="shared" si="11"/>
        <v>1274</v>
      </c>
      <c r="M126" s="88">
        <v>600</v>
      </c>
      <c r="N126" s="77">
        <f>30</f>
        <v>30</v>
      </c>
      <c r="O126" s="80">
        <v>240</v>
      </c>
      <c r="P126" s="80">
        <v>160</v>
      </c>
      <c r="Q126" s="80">
        <f t="shared" si="12"/>
        <v>195</v>
      </c>
      <c r="R126" s="80">
        <f t="shared" si="13"/>
        <v>100</v>
      </c>
      <c r="S126" s="77">
        <f t="shared" si="14"/>
        <v>695</v>
      </c>
      <c r="T126" s="77">
        <f>0</f>
        <v>0</v>
      </c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pans="1:30" ht="15.75" x14ac:dyDescent="0.25">
      <c r="A127" s="13">
        <v>44774</v>
      </c>
      <c r="B127" s="91">
        <v>31</v>
      </c>
      <c r="C127" s="77">
        <f>194.205</f>
        <v>194.20500000000001</v>
      </c>
      <c r="D127" s="77">
        <f>267.466</f>
        <v>267.46600000000001</v>
      </c>
      <c r="E127" s="86">
        <f>133.845</f>
        <v>133.845</v>
      </c>
      <c r="F127" s="77">
        <f>278.484-40-25-60-100</f>
        <v>53.48399999999998</v>
      </c>
      <c r="G127" s="80">
        <v>40</v>
      </c>
      <c r="H127" s="77">
        <f t="shared" si="19"/>
        <v>185</v>
      </c>
      <c r="I127" s="77">
        <f t="shared" si="18"/>
        <v>0</v>
      </c>
      <c r="J127" s="80">
        <v>100</v>
      </c>
      <c r="K127" s="80">
        <v>300</v>
      </c>
      <c r="L127" s="77">
        <f t="shared" si="11"/>
        <v>1274</v>
      </c>
      <c r="M127" s="88">
        <v>600</v>
      </c>
      <c r="N127" s="77">
        <f>30</f>
        <v>30</v>
      </c>
      <c r="O127" s="80">
        <v>240</v>
      </c>
      <c r="P127" s="80">
        <v>160</v>
      </c>
      <c r="Q127" s="80">
        <f t="shared" si="12"/>
        <v>195</v>
      </c>
      <c r="R127" s="80">
        <f t="shared" si="13"/>
        <v>100</v>
      </c>
      <c r="S127" s="77">
        <f t="shared" si="14"/>
        <v>695</v>
      </c>
      <c r="T127" s="77">
        <f>0</f>
        <v>0</v>
      </c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pans="1:30" ht="15.75" x14ac:dyDescent="0.25">
      <c r="A128" s="13">
        <v>44805</v>
      </c>
      <c r="B128" s="91">
        <v>30</v>
      </c>
      <c r="C128" s="77">
        <f>194.205</f>
        <v>194.20500000000001</v>
      </c>
      <c r="D128" s="77">
        <f>267.466</f>
        <v>267.46600000000001</v>
      </c>
      <c r="E128" s="86">
        <f>133.845</f>
        <v>133.845</v>
      </c>
      <c r="F128" s="77">
        <f>278.484-40-25-60-100</f>
        <v>53.48399999999998</v>
      </c>
      <c r="G128" s="80">
        <v>40</v>
      </c>
      <c r="H128" s="77">
        <f t="shared" si="19"/>
        <v>185</v>
      </c>
      <c r="I128" s="77">
        <f t="shared" si="18"/>
        <v>0</v>
      </c>
      <c r="J128" s="80">
        <v>100</v>
      </c>
      <c r="K128" s="80">
        <v>300</v>
      </c>
      <c r="L128" s="77">
        <f t="shared" si="11"/>
        <v>1274</v>
      </c>
      <c r="M128" s="88">
        <v>600</v>
      </c>
      <c r="N128" s="77">
        <f>30</f>
        <v>30</v>
      </c>
      <c r="O128" s="80">
        <v>240</v>
      </c>
      <c r="P128" s="80">
        <v>160</v>
      </c>
      <c r="Q128" s="80">
        <f t="shared" si="12"/>
        <v>195</v>
      </c>
      <c r="R128" s="80">
        <f t="shared" si="13"/>
        <v>100</v>
      </c>
      <c r="S128" s="77">
        <f t="shared" si="14"/>
        <v>695</v>
      </c>
      <c r="T128" s="77">
        <f>0</f>
        <v>0</v>
      </c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pans="1:30" ht="15.75" x14ac:dyDescent="0.25">
      <c r="A129" s="13">
        <v>44835</v>
      </c>
      <c r="B129" s="91">
        <v>31</v>
      </c>
      <c r="C129" s="77">
        <f>131.881</f>
        <v>131.881</v>
      </c>
      <c r="D129" s="77">
        <f>277.167</f>
        <v>277.16699999999997</v>
      </c>
      <c r="E129" s="86">
        <f>79.08</f>
        <v>79.08</v>
      </c>
      <c r="F129" s="77">
        <f>350.872-40-25-60-100</f>
        <v>125.87200000000001</v>
      </c>
      <c r="G129" s="80">
        <v>40</v>
      </c>
      <c r="H129" s="77">
        <f t="shared" si="19"/>
        <v>185</v>
      </c>
      <c r="I129" s="77">
        <f t="shared" si="18"/>
        <v>0</v>
      </c>
      <c r="J129" s="80">
        <v>100</v>
      </c>
      <c r="K129" s="80">
        <v>300</v>
      </c>
      <c r="L129" s="77">
        <f t="shared" si="11"/>
        <v>1239</v>
      </c>
      <c r="M129" s="88">
        <v>600</v>
      </c>
      <c r="N129" s="77">
        <f>75</f>
        <v>75</v>
      </c>
      <c r="O129" s="80">
        <v>240</v>
      </c>
      <c r="P129" s="80">
        <v>160</v>
      </c>
      <c r="Q129" s="80">
        <f t="shared" si="12"/>
        <v>195</v>
      </c>
      <c r="R129" s="80">
        <f t="shared" si="13"/>
        <v>100</v>
      </c>
      <c r="S129" s="77">
        <f t="shared" si="14"/>
        <v>695</v>
      </c>
      <c r="T129" s="77">
        <f>0</f>
        <v>0</v>
      </c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pans="1:30" ht="15.75" x14ac:dyDescent="0.25">
      <c r="A130" s="13">
        <v>44866</v>
      </c>
      <c r="B130" s="91">
        <v>30</v>
      </c>
      <c r="C130" s="77">
        <f>122.58</f>
        <v>122.58</v>
      </c>
      <c r="D130" s="77">
        <f>297.941</f>
        <v>297.94099999999997</v>
      </c>
      <c r="E130" s="86">
        <f>89.177</f>
        <v>89.177000000000007</v>
      </c>
      <c r="F130" s="77">
        <f>240.302-40-60-100</f>
        <v>40.301999999999992</v>
      </c>
      <c r="G130" s="80">
        <v>40</v>
      </c>
      <c r="H130" s="77">
        <f>60+100</f>
        <v>160</v>
      </c>
      <c r="I130" s="77">
        <f t="shared" si="18"/>
        <v>0</v>
      </c>
      <c r="J130" s="80">
        <v>100</v>
      </c>
      <c r="K130" s="80">
        <v>300</v>
      </c>
      <c r="L130" s="77">
        <f t="shared" si="11"/>
        <v>1150</v>
      </c>
      <c r="M130" s="88">
        <v>600</v>
      </c>
      <c r="N130" s="77">
        <f>100</f>
        <v>100</v>
      </c>
      <c r="O130" s="80">
        <v>240</v>
      </c>
      <c r="P130" s="80">
        <v>40</v>
      </c>
      <c r="Q130" s="80">
        <f t="shared" si="12"/>
        <v>315</v>
      </c>
      <c r="R130" s="80">
        <f t="shared" si="13"/>
        <v>100</v>
      </c>
      <c r="S130" s="77">
        <f t="shared" si="14"/>
        <v>695</v>
      </c>
      <c r="T130" s="77">
        <f>50</f>
        <v>50</v>
      </c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pans="1:30" ht="15.75" x14ac:dyDescent="0.25">
      <c r="A131" s="13">
        <v>44896</v>
      </c>
      <c r="B131" s="91">
        <v>31</v>
      </c>
      <c r="C131" s="77">
        <f>122.58</f>
        <v>122.58</v>
      </c>
      <c r="D131" s="77">
        <f>297.941</f>
        <v>297.94099999999997</v>
      </c>
      <c r="E131" s="86">
        <f>89.177</f>
        <v>89.177000000000007</v>
      </c>
      <c r="F131" s="77">
        <f>240.302-40-60-100</f>
        <v>40.301999999999992</v>
      </c>
      <c r="G131" s="80">
        <v>40</v>
      </c>
      <c r="H131" s="77">
        <f>60+100</f>
        <v>160</v>
      </c>
      <c r="I131" s="77">
        <f t="shared" si="18"/>
        <v>0</v>
      </c>
      <c r="J131" s="80">
        <v>100</v>
      </c>
      <c r="K131" s="80">
        <v>300</v>
      </c>
      <c r="L131" s="77">
        <f t="shared" si="11"/>
        <v>1150</v>
      </c>
      <c r="M131" s="88">
        <v>600</v>
      </c>
      <c r="N131" s="77">
        <f>100</f>
        <v>100</v>
      </c>
      <c r="O131" s="80">
        <v>240</v>
      </c>
      <c r="P131" s="80">
        <v>40</v>
      </c>
      <c r="Q131" s="80">
        <f t="shared" si="12"/>
        <v>315</v>
      </c>
      <c r="R131" s="80">
        <f t="shared" si="13"/>
        <v>100</v>
      </c>
      <c r="S131" s="77">
        <f t="shared" si="14"/>
        <v>695</v>
      </c>
      <c r="T131" s="77">
        <f>50</f>
        <v>50</v>
      </c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pans="1:30" ht="15.75" x14ac:dyDescent="0.25">
      <c r="A132" s="13">
        <v>44927</v>
      </c>
      <c r="B132" s="91">
        <v>31</v>
      </c>
      <c r="C132" s="77">
        <f>122.58</f>
        <v>122.58</v>
      </c>
      <c r="D132" s="77">
        <f>297.941</f>
        <v>297.94099999999997</v>
      </c>
      <c r="E132" s="86">
        <f>89.177</f>
        <v>89.177000000000007</v>
      </c>
      <c r="F132" s="77">
        <f>240.302-40-60-100</f>
        <v>40.301999999999992</v>
      </c>
      <c r="G132" s="80">
        <v>40</v>
      </c>
      <c r="H132" s="77">
        <f>60+100</f>
        <v>160</v>
      </c>
      <c r="I132" s="77">
        <f t="shared" si="18"/>
        <v>0</v>
      </c>
      <c r="J132" s="80">
        <v>100</v>
      </c>
      <c r="K132" s="80">
        <v>300</v>
      </c>
      <c r="L132" s="77">
        <f t="shared" si="11"/>
        <v>1150</v>
      </c>
      <c r="M132" s="88">
        <v>600</v>
      </c>
      <c r="N132" s="77">
        <f>100</f>
        <v>100</v>
      </c>
      <c r="O132" s="80">
        <v>240</v>
      </c>
      <c r="P132" s="80">
        <v>40</v>
      </c>
      <c r="Q132" s="80">
        <f t="shared" si="12"/>
        <v>315</v>
      </c>
      <c r="R132" s="80">
        <f t="shared" si="13"/>
        <v>100</v>
      </c>
      <c r="S132" s="77">
        <f t="shared" si="14"/>
        <v>695</v>
      </c>
      <c r="T132" s="77">
        <f>50</f>
        <v>50</v>
      </c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pans="1:30" ht="15.75" x14ac:dyDescent="0.25">
      <c r="A133" s="13">
        <v>44958</v>
      </c>
      <c r="B133" s="91">
        <v>28</v>
      </c>
      <c r="C133" s="77">
        <f>122.58</f>
        <v>122.58</v>
      </c>
      <c r="D133" s="77">
        <f>297.941</f>
        <v>297.94099999999997</v>
      </c>
      <c r="E133" s="86">
        <f>89.177</f>
        <v>89.177000000000007</v>
      </c>
      <c r="F133" s="77">
        <f>240.302-40-60-100</f>
        <v>40.301999999999992</v>
      </c>
      <c r="G133" s="80">
        <v>40</v>
      </c>
      <c r="H133" s="77">
        <f>60+100</f>
        <v>160</v>
      </c>
      <c r="I133" s="77">
        <f t="shared" si="18"/>
        <v>0</v>
      </c>
      <c r="J133" s="80">
        <v>100</v>
      </c>
      <c r="K133" s="80">
        <v>300</v>
      </c>
      <c r="L133" s="77">
        <f t="shared" si="11"/>
        <v>1150</v>
      </c>
      <c r="M133" s="88">
        <v>600</v>
      </c>
      <c r="N133" s="77">
        <f>100</f>
        <v>100</v>
      </c>
      <c r="O133" s="80">
        <v>240</v>
      </c>
      <c r="P133" s="80">
        <v>40</v>
      </c>
      <c r="Q133" s="80">
        <f t="shared" si="12"/>
        <v>315</v>
      </c>
      <c r="R133" s="80">
        <f t="shared" si="13"/>
        <v>100</v>
      </c>
      <c r="S133" s="77">
        <f t="shared" si="14"/>
        <v>695</v>
      </c>
      <c r="T133" s="77">
        <f>50</f>
        <v>50</v>
      </c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pans="1:30" ht="15.75" x14ac:dyDescent="0.25">
      <c r="A134" s="13">
        <v>44986</v>
      </c>
      <c r="B134" s="91">
        <v>31</v>
      </c>
      <c r="C134" s="77">
        <f>122.58</f>
        <v>122.58</v>
      </c>
      <c r="D134" s="77">
        <f>297.941</f>
        <v>297.94099999999997</v>
      </c>
      <c r="E134" s="86">
        <f>89.177</f>
        <v>89.177000000000007</v>
      </c>
      <c r="F134" s="77">
        <f>240.302-40-60-100</f>
        <v>40.301999999999992</v>
      </c>
      <c r="G134" s="80">
        <v>40</v>
      </c>
      <c r="H134" s="77">
        <f>60+100</f>
        <v>160</v>
      </c>
      <c r="I134" s="77">
        <f t="shared" si="18"/>
        <v>0</v>
      </c>
      <c r="J134" s="80">
        <v>100</v>
      </c>
      <c r="K134" s="80">
        <v>300</v>
      </c>
      <c r="L134" s="77">
        <f t="shared" si="11"/>
        <v>1150</v>
      </c>
      <c r="M134" s="88">
        <v>600</v>
      </c>
      <c r="N134" s="77">
        <f>100</f>
        <v>100</v>
      </c>
      <c r="O134" s="80">
        <v>240</v>
      </c>
      <c r="P134" s="80">
        <v>40</v>
      </c>
      <c r="Q134" s="80">
        <f t="shared" si="12"/>
        <v>315</v>
      </c>
      <c r="R134" s="80">
        <f t="shared" si="13"/>
        <v>100</v>
      </c>
      <c r="S134" s="77">
        <f t="shared" si="14"/>
        <v>695</v>
      </c>
      <c r="T134" s="77">
        <f>50</f>
        <v>50</v>
      </c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pans="1:30" ht="15.75" x14ac:dyDescent="0.25">
      <c r="A135" s="13">
        <v>45017</v>
      </c>
      <c r="B135" s="91">
        <v>30</v>
      </c>
      <c r="C135" s="77">
        <f>141.293</f>
        <v>141.29300000000001</v>
      </c>
      <c r="D135" s="77">
        <f>267.993</f>
        <v>267.99299999999999</v>
      </c>
      <c r="E135" s="86">
        <f>115.016</f>
        <v>115.01600000000001</v>
      </c>
      <c r="F135" s="77">
        <f>314.698-40-25-60-100</f>
        <v>89.697999999999979</v>
      </c>
      <c r="G135" s="80">
        <v>40</v>
      </c>
      <c r="H135" s="77">
        <f t="shared" ref="H135:H141" si="20">25+60+100</f>
        <v>185</v>
      </c>
      <c r="I135" s="77">
        <f t="shared" si="18"/>
        <v>0</v>
      </c>
      <c r="J135" s="80">
        <v>100</v>
      </c>
      <c r="K135" s="80">
        <v>300</v>
      </c>
      <c r="L135" s="77">
        <f t="shared" si="11"/>
        <v>1239</v>
      </c>
      <c r="M135" s="88">
        <v>600</v>
      </c>
      <c r="N135" s="77">
        <f>100</f>
        <v>100</v>
      </c>
      <c r="O135" s="80">
        <v>240</v>
      </c>
      <c r="P135" s="80">
        <v>160</v>
      </c>
      <c r="Q135" s="80">
        <f t="shared" si="12"/>
        <v>195</v>
      </c>
      <c r="R135" s="80">
        <f t="shared" si="13"/>
        <v>100</v>
      </c>
      <c r="S135" s="77">
        <f t="shared" si="14"/>
        <v>695</v>
      </c>
      <c r="T135" s="77">
        <f>50</f>
        <v>50</v>
      </c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pans="1:30" ht="15.75" x14ac:dyDescent="0.25">
      <c r="A136" s="13">
        <v>45047</v>
      </c>
      <c r="B136" s="91">
        <v>31</v>
      </c>
      <c r="C136" s="77">
        <f>194.205</f>
        <v>194.20500000000001</v>
      </c>
      <c r="D136" s="77">
        <f>267.466</f>
        <v>267.46600000000001</v>
      </c>
      <c r="E136" s="86">
        <f>133.845</f>
        <v>133.845</v>
      </c>
      <c r="F136" s="77">
        <f>278.484-40-25-60-100</f>
        <v>53.48399999999998</v>
      </c>
      <c r="G136" s="80">
        <v>40</v>
      </c>
      <c r="H136" s="77">
        <f t="shared" si="20"/>
        <v>185</v>
      </c>
      <c r="I136" s="77">
        <f t="shared" si="18"/>
        <v>0</v>
      </c>
      <c r="J136" s="80">
        <v>100</v>
      </c>
      <c r="K136" s="80">
        <v>300</v>
      </c>
      <c r="L136" s="77">
        <f t="shared" si="11"/>
        <v>1274</v>
      </c>
      <c r="M136" s="88">
        <v>600</v>
      </c>
      <c r="N136" s="77">
        <f>75</f>
        <v>75</v>
      </c>
      <c r="O136" s="80">
        <v>240</v>
      </c>
      <c r="P136" s="80">
        <v>160</v>
      </c>
      <c r="Q136" s="80">
        <f t="shared" si="12"/>
        <v>195</v>
      </c>
      <c r="R136" s="80">
        <f t="shared" si="13"/>
        <v>100</v>
      </c>
      <c r="S136" s="77">
        <f t="shared" si="14"/>
        <v>695</v>
      </c>
      <c r="T136" s="77">
        <f>50</f>
        <v>50</v>
      </c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pans="1:30" ht="15.75" x14ac:dyDescent="0.25">
      <c r="A137" s="13">
        <v>45078</v>
      </c>
      <c r="B137" s="91">
        <v>30</v>
      </c>
      <c r="C137" s="77">
        <f>194.205</f>
        <v>194.20500000000001</v>
      </c>
      <c r="D137" s="77">
        <f>267.466</f>
        <v>267.46600000000001</v>
      </c>
      <c r="E137" s="86">
        <f>133.845</f>
        <v>133.845</v>
      </c>
      <c r="F137" s="77">
        <f>278.484-40-25-60-100</f>
        <v>53.48399999999998</v>
      </c>
      <c r="G137" s="80">
        <v>40</v>
      </c>
      <c r="H137" s="77">
        <f t="shared" si="20"/>
        <v>185</v>
      </c>
      <c r="I137" s="77">
        <f t="shared" si="18"/>
        <v>0</v>
      </c>
      <c r="J137" s="80">
        <v>100</v>
      </c>
      <c r="K137" s="80">
        <v>300</v>
      </c>
      <c r="L137" s="77">
        <f t="shared" si="11"/>
        <v>1274</v>
      </c>
      <c r="M137" s="88">
        <v>600</v>
      </c>
      <c r="N137" s="77">
        <f>30</f>
        <v>30</v>
      </c>
      <c r="O137" s="80">
        <v>240</v>
      </c>
      <c r="P137" s="80">
        <v>160</v>
      </c>
      <c r="Q137" s="80">
        <f t="shared" si="12"/>
        <v>195</v>
      </c>
      <c r="R137" s="80">
        <f t="shared" si="13"/>
        <v>100</v>
      </c>
      <c r="S137" s="77">
        <f t="shared" si="14"/>
        <v>695</v>
      </c>
      <c r="T137" s="77">
        <f>50</f>
        <v>50</v>
      </c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pans="1:30" ht="15.75" x14ac:dyDescent="0.25">
      <c r="A138" s="13">
        <v>45108</v>
      </c>
      <c r="B138" s="91">
        <v>31</v>
      </c>
      <c r="C138" s="77">
        <f>194.205</f>
        <v>194.20500000000001</v>
      </c>
      <c r="D138" s="77">
        <f>267.466</f>
        <v>267.46600000000001</v>
      </c>
      <c r="E138" s="86">
        <f>133.845</f>
        <v>133.845</v>
      </c>
      <c r="F138" s="77">
        <f>278.484-40-25-60-100</f>
        <v>53.48399999999998</v>
      </c>
      <c r="G138" s="80">
        <v>40</v>
      </c>
      <c r="H138" s="77">
        <f t="shared" si="20"/>
        <v>185</v>
      </c>
      <c r="I138" s="77">
        <f t="shared" si="18"/>
        <v>0</v>
      </c>
      <c r="J138" s="80">
        <v>100</v>
      </c>
      <c r="K138" s="80">
        <v>300</v>
      </c>
      <c r="L138" s="77">
        <f t="shared" si="11"/>
        <v>1274</v>
      </c>
      <c r="M138" s="88">
        <v>600</v>
      </c>
      <c r="N138" s="77">
        <f>30</f>
        <v>30</v>
      </c>
      <c r="O138" s="80">
        <v>240</v>
      </c>
      <c r="P138" s="80">
        <v>160</v>
      </c>
      <c r="Q138" s="80">
        <f t="shared" si="12"/>
        <v>195</v>
      </c>
      <c r="R138" s="80">
        <f t="shared" si="13"/>
        <v>100</v>
      </c>
      <c r="S138" s="77">
        <f t="shared" si="14"/>
        <v>695</v>
      </c>
      <c r="T138" s="77">
        <f>0</f>
        <v>0</v>
      </c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pans="1:30" ht="15.75" x14ac:dyDescent="0.25">
      <c r="A139" s="13">
        <v>45139</v>
      </c>
      <c r="B139" s="91">
        <v>31</v>
      </c>
      <c r="C139" s="77">
        <f>194.205</f>
        <v>194.20500000000001</v>
      </c>
      <c r="D139" s="77">
        <f>267.466</f>
        <v>267.46600000000001</v>
      </c>
      <c r="E139" s="86">
        <f>133.845</f>
        <v>133.845</v>
      </c>
      <c r="F139" s="77">
        <f>278.484-40-25-60-100</f>
        <v>53.48399999999998</v>
      </c>
      <c r="G139" s="80">
        <v>40</v>
      </c>
      <c r="H139" s="77">
        <f t="shared" si="20"/>
        <v>185</v>
      </c>
      <c r="I139" s="77">
        <f t="shared" si="18"/>
        <v>0</v>
      </c>
      <c r="J139" s="80">
        <v>100</v>
      </c>
      <c r="K139" s="80">
        <v>300</v>
      </c>
      <c r="L139" s="77">
        <f t="shared" si="11"/>
        <v>1274</v>
      </c>
      <c r="M139" s="88">
        <v>600</v>
      </c>
      <c r="N139" s="77">
        <f>30</f>
        <v>30</v>
      </c>
      <c r="O139" s="80">
        <v>240</v>
      </c>
      <c r="P139" s="80">
        <v>160</v>
      </c>
      <c r="Q139" s="80">
        <f t="shared" si="12"/>
        <v>195</v>
      </c>
      <c r="R139" s="80">
        <f t="shared" si="13"/>
        <v>100</v>
      </c>
      <c r="S139" s="77">
        <f t="shared" si="14"/>
        <v>695</v>
      </c>
      <c r="T139" s="77">
        <f>0</f>
        <v>0</v>
      </c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pans="1:30" ht="15.75" x14ac:dyDescent="0.25">
      <c r="A140" s="13">
        <v>45170</v>
      </c>
      <c r="B140" s="91">
        <v>30</v>
      </c>
      <c r="C140" s="77">
        <f>194.205</f>
        <v>194.20500000000001</v>
      </c>
      <c r="D140" s="77">
        <f>267.466</f>
        <v>267.46600000000001</v>
      </c>
      <c r="E140" s="86">
        <f>133.845</f>
        <v>133.845</v>
      </c>
      <c r="F140" s="77">
        <f>278.484-40-25-60-100</f>
        <v>53.48399999999998</v>
      </c>
      <c r="G140" s="80">
        <v>40</v>
      </c>
      <c r="H140" s="77">
        <f t="shared" si="20"/>
        <v>185</v>
      </c>
      <c r="I140" s="77">
        <f t="shared" si="18"/>
        <v>0</v>
      </c>
      <c r="J140" s="80">
        <v>100</v>
      </c>
      <c r="K140" s="80">
        <v>300</v>
      </c>
      <c r="L140" s="77">
        <f t="shared" si="11"/>
        <v>1274</v>
      </c>
      <c r="M140" s="88">
        <v>600</v>
      </c>
      <c r="N140" s="77">
        <f>30</f>
        <v>30</v>
      </c>
      <c r="O140" s="80">
        <v>240</v>
      </c>
      <c r="P140" s="80">
        <v>160</v>
      </c>
      <c r="Q140" s="80">
        <f t="shared" si="12"/>
        <v>195</v>
      </c>
      <c r="R140" s="80">
        <f t="shared" si="13"/>
        <v>100</v>
      </c>
      <c r="S140" s="77">
        <f t="shared" si="14"/>
        <v>695</v>
      </c>
      <c r="T140" s="77">
        <f>0</f>
        <v>0</v>
      </c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pans="1:30" ht="15.75" x14ac:dyDescent="0.25">
      <c r="A141" s="13">
        <v>45200</v>
      </c>
      <c r="B141" s="91">
        <v>31</v>
      </c>
      <c r="C141" s="77">
        <f>131.881</f>
        <v>131.881</v>
      </c>
      <c r="D141" s="77">
        <f>277.167</f>
        <v>277.16699999999997</v>
      </c>
      <c r="E141" s="86">
        <f>79.08</f>
        <v>79.08</v>
      </c>
      <c r="F141" s="77">
        <f>350.872-40-25-60-100</f>
        <v>125.87200000000001</v>
      </c>
      <c r="G141" s="80">
        <v>40</v>
      </c>
      <c r="H141" s="77">
        <f t="shared" si="20"/>
        <v>185</v>
      </c>
      <c r="I141" s="77">
        <f t="shared" si="18"/>
        <v>0</v>
      </c>
      <c r="J141" s="80">
        <v>100</v>
      </c>
      <c r="K141" s="80">
        <v>300</v>
      </c>
      <c r="L141" s="77">
        <f t="shared" si="11"/>
        <v>1239</v>
      </c>
      <c r="M141" s="88">
        <v>600</v>
      </c>
      <c r="N141" s="77">
        <f>75</f>
        <v>75</v>
      </c>
      <c r="O141" s="80">
        <v>240</v>
      </c>
      <c r="P141" s="80">
        <v>160</v>
      </c>
      <c r="Q141" s="80">
        <f t="shared" si="12"/>
        <v>195</v>
      </c>
      <c r="R141" s="80">
        <f t="shared" si="13"/>
        <v>100</v>
      </c>
      <c r="S141" s="77">
        <f t="shared" si="14"/>
        <v>695</v>
      </c>
      <c r="T141" s="77">
        <f>0</f>
        <v>0</v>
      </c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pans="1:30" ht="15.75" x14ac:dyDescent="0.25">
      <c r="A142" s="13">
        <v>45231</v>
      </c>
      <c r="B142" s="91">
        <v>30</v>
      </c>
      <c r="C142" s="77">
        <f>122.58</f>
        <v>122.58</v>
      </c>
      <c r="D142" s="77">
        <f>297.941</f>
        <v>297.94099999999997</v>
      </c>
      <c r="E142" s="86">
        <f>89.177</f>
        <v>89.177000000000007</v>
      </c>
      <c r="F142" s="77">
        <f>240.302-40-60-100</f>
        <v>40.301999999999992</v>
      </c>
      <c r="G142" s="80">
        <v>40</v>
      </c>
      <c r="H142" s="77">
        <f>60+100</f>
        <v>160</v>
      </c>
      <c r="I142" s="77">
        <f t="shared" si="18"/>
        <v>0</v>
      </c>
      <c r="J142" s="80">
        <v>100</v>
      </c>
      <c r="K142" s="80">
        <v>300</v>
      </c>
      <c r="L142" s="77">
        <f t="shared" si="11"/>
        <v>1150</v>
      </c>
      <c r="M142" s="88">
        <v>600</v>
      </c>
      <c r="N142" s="77">
        <f>100</f>
        <v>100</v>
      </c>
      <c r="O142" s="80">
        <v>240</v>
      </c>
      <c r="P142" s="80">
        <v>40</v>
      </c>
      <c r="Q142" s="80">
        <f t="shared" si="12"/>
        <v>315</v>
      </c>
      <c r="R142" s="80">
        <f t="shared" si="13"/>
        <v>100</v>
      </c>
      <c r="S142" s="77">
        <f t="shared" si="14"/>
        <v>695</v>
      </c>
      <c r="T142" s="77">
        <f>50</f>
        <v>50</v>
      </c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pans="1:30" ht="15.75" x14ac:dyDescent="0.25">
      <c r="A143" s="13">
        <v>45261</v>
      </c>
      <c r="B143" s="91">
        <v>31</v>
      </c>
      <c r="C143" s="77">
        <f>122.58</f>
        <v>122.58</v>
      </c>
      <c r="D143" s="77">
        <f>297.941</f>
        <v>297.94099999999997</v>
      </c>
      <c r="E143" s="86">
        <f>89.177</f>
        <v>89.177000000000007</v>
      </c>
      <c r="F143" s="77">
        <f>240.302-40-60-100</f>
        <v>40.301999999999992</v>
      </c>
      <c r="G143" s="80">
        <v>40</v>
      </c>
      <c r="H143" s="77">
        <f>60+100</f>
        <v>160</v>
      </c>
      <c r="I143" s="77">
        <f t="shared" si="18"/>
        <v>0</v>
      </c>
      <c r="J143" s="80">
        <v>100</v>
      </c>
      <c r="K143" s="80">
        <v>300</v>
      </c>
      <c r="L143" s="77">
        <f t="shared" si="11"/>
        <v>1150</v>
      </c>
      <c r="M143" s="88">
        <v>600</v>
      </c>
      <c r="N143" s="77">
        <f>100</f>
        <v>100</v>
      </c>
      <c r="O143" s="80">
        <v>240</v>
      </c>
      <c r="P143" s="80">
        <v>40</v>
      </c>
      <c r="Q143" s="80">
        <f t="shared" si="12"/>
        <v>315</v>
      </c>
      <c r="R143" s="80">
        <f t="shared" si="13"/>
        <v>100</v>
      </c>
      <c r="S143" s="77">
        <f t="shared" si="14"/>
        <v>695</v>
      </c>
      <c r="T143" s="77">
        <f>50</f>
        <v>50</v>
      </c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pans="1:30" ht="15.75" x14ac:dyDescent="0.25">
      <c r="A144" s="13">
        <v>45292</v>
      </c>
      <c r="B144" s="91">
        <v>31</v>
      </c>
      <c r="C144" s="77">
        <f>122.58</f>
        <v>122.58</v>
      </c>
      <c r="D144" s="77">
        <f>297.941</f>
        <v>297.94099999999997</v>
      </c>
      <c r="E144" s="86">
        <f>89.177</f>
        <v>89.177000000000007</v>
      </c>
      <c r="F144" s="77">
        <f>240.302-40-60-100</f>
        <v>40.301999999999992</v>
      </c>
      <c r="G144" s="80">
        <v>40</v>
      </c>
      <c r="H144" s="77">
        <f>60+100</f>
        <v>160</v>
      </c>
      <c r="I144" s="77">
        <f t="shared" si="18"/>
        <v>0</v>
      </c>
      <c r="J144" s="80">
        <v>100</v>
      </c>
      <c r="K144" s="80">
        <v>300</v>
      </c>
      <c r="L144" s="77">
        <f t="shared" si="11"/>
        <v>1150</v>
      </c>
      <c r="M144" s="88">
        <v>600</v>
      </c>
      <c r="N144" s="77">
        <f>100</f>
        <v>100</v>
      </c>
      <c r="O144" s="80">
        <v>240</v>
      </c>
      <c r="P144" s="80">
        <v>40</v>
      </c>
      <c r="Q144" s="80">
        <f t="shared" si="12"/>
        <v>315</v>
      </c>
      <c r="R144" s="80">
        <f t="shared" si="13"/>
        <v>100</v>
      </c>
      <c r="S144" s="77">
        <f t="shared" si="14"/>
        <v>695</v>
      </c>
      <c r="T144" s="77">
        <f>50</f>
        <v>50</v>
      </c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pans="1:30" ht="15.75" x14ac:dyDescent="0.25">
      <c r="A145" s="13">
        <v>45323</v>
      </c>
      <c r="B145" s="91">
        <v>29</v>
      </c>
      <c r="C145" s="77">
        <f>122.58</f>
        <v>122.58</v>
      </c>
      <c r="D145" s="77">
        <f>297.941</f>
        <v>297.94099999999997</v>
      </c>
      <c r="E145" s="86">
        <f>89.177</f>
        <v>89.177000000000007</v>
      </c>
      <c r="F145" s="77">
        <f>240.302-40-60-100</f>
        <v>40.301999999999992</v>
      </c>
      <c r="G145" s="80">
        <v>40</v>
      </c>
      <c r="H145" s="77">
        <f>60+100</f>
        <v>160</v>
      </c>
      <c r="I145" s="77">
        <f t="shared" si="18"/>
        <v>0</v>
      </c>
      <c r="J145" s="80">
        <v>100</v>
      </c>
      <c r="K145" s="80">
        <v>300</v>
      </c>
      <c r="L145" s="77">
        <f t="shared" si="11"/>
        <v>1150</v>
      </c>
      <c r="M145" s="88">
        <v>600</v>
      </c>
      <c r="N145" s="77">
        <f>100</f>
        <v>100</v>
      </c>
      <c r="O145" s="80">
        <v>240</v>
      </c>
      <c r="P145" s="80">
        <v>40</v>
      </c>
      <c r="Q145" s="80">
        <f t="shared" si="12"/>
        <v>315</v>
      </c>
      <c r="R145" s="80">
        <f t="shared" si="13"/>
        <v>100</v>
      </c>
      <c r="S145" s="77">
        <f t="shared" si="14"/>
        <v>695</v>
      </c>
      <c r="T145" s="77">
        <f>50</f>
        <v>50</v>
      </c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pans="1:30" ht="15.75" x14ac:dyDescent="0.25">
      <c r="A146" s="13">
        <v>45352</v>
      </c>
      <c r="B146" s="91">
        <v>31</v>
      </c>
      <c r="C146" s="77">
        <f>122.58</f>
        <v>122.58</v>
      </c>
      <c r="D146" s="77">
        <f>297.941</f>
        <v>297.94099999999997</v>
      </c>
      <c r="E146" s="86">
        <f>89.177</f>
        <v>89.177000000000007</v>
      </c>
      <c r="F146" s="77">
        <f>240.302-40-60-100</f>
        <v>40.301999999999992</v>
      </c>
      <c r="G146" s="80">
        <v>40</v>
      </c>
      <c r="H146" s="77">
        <f>60+100</f>
        <v>160</v>
      </c>
      <c r="I146" s="77">
        <f t="shared" si="18"/>
        <v>0</v>
      </c>
      <c r="J146" s="80">
        <v>100</v>
      </c>
      <c r="K146" s="80">
        <v>300</v>
      </c>
      <c r="L146" s="77">
        <f t="shared" si="11"/>
        <v>1150</v>
      </c>
      <c r="M146" s="88">
        <v>600</v>
      </c>
      <c r="N146" s="77">
        <f>100</f>
        <v>100</v>
      </c>
      <c r="O146" s="80">
        <v>240</v>
      </c>
      <c r="P146" s="80">
        <v>40</v>
      </c>
      <c r="Q146" s="80">
        <f t="shared" si="12"/>
        <v>315</v>
      </c>
      <c r="R146" s="80">
        <f t="shared" si="13"/>
        <v>100</v>
      </c>
      <c r="S146" s="77">
        <f t="shared" si="14"/>
        <v>695</v>
      </c>
      <c r="T146" s="77">
        <f>50</f>
        <v>50</v>
      </c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pans="1:30" ht="15.75" x14ac:dyDescent="0.25">
      <c r="A147" s="13">
        <v>45383</v>
      </c>
      <c r="B147" s="91">
        <v>30</v>
      </c>
      <c r="C147" s="77">
        <f>141.293</f>
        <v>141.29300000000001</v>
      </c>
      <c r="D147" s="77">
        <f>267.993</f>
        <v>267.99299999999999</v>
      </c>
      <c r="E147" s="86">
        <f>115.016</f>
        <v>115.01600000000001</v>
      </c>
      <c r="F147" s="77">
        <f>314.698-40-25-60-100</f>
        <v>89.697999999999979</v>
      </c>
      <c r="G147" s="80">
        <v>40</v>
      </c>
      <c r="H147" s="77">
        <f t="shared" ref="H147:H153" si="21">25+60+100</f>
        <v>185</v>
      </c>
      <c r="I147" s="77">
        <f t="shared" si="18"/>
        <v>0</v>
      </c>
      <c r="J147" s="80">
        <v>100</v>
      </c>
      <c r="K147" s="80">
        <v>300</v>
      </c>
      <c r="L147" s="77">
        <f t="shared" ref="L147:L210" si="22">SUM(C147:K147)</f>
        <v>1239</v>
      </c>
      <c r="M147" s="88">
        <v>600</v>
      </c>
      <c r="N147" s="77">
        <f>100</f>
        <v>100</v>
      </c>
      <c r="O147" s="80">
        <v>240</v>
      </c>
      <c r="P147" s="80">
        <v>160</v>
      </c>
      <c r="Q147" s="80">
        <f t="shared" ref="Q147:Q210" si="23">695-R147-O147-P147</f>
        <v>195</v>
      </c>
      <c r="R147" s="80">
        <f t="shared" ref="R147:R210" si="24">200-J147</f>
        <v>100</v>
      </c>
      <c r="S147" s="77">
        <f t="shared" ref="S147:S210" si="25">SUM(O147:R147)</f>
        <v>695</v>
      </c>
      <c r="T147" s="77">
        <f>50</f>
        <v>50</v>
      </c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pans="1:30" ht="15.75" x14ac:dyDescent="0.25">
      <c r="A148" s="13">
        <v>45413</v>
      </c>
      <c r="B148" s="91">
        <v>31</v>
      </c>
      <c r="C148" s="77">
        <f>194.205</f>
        <v>194.20500000000001</v>
      </c>
      <c r="D148" s="77">
        <f>267.466</f>
        <v>267.46600000000001</v>
      </c>
      <c r="E148" s="86">
        <f>133.845</f>
        <v>133.845</v>
      </c>
      <c r="F148" s="77">
        <f>278.484-40-25-60-100</f>
        <v>53.48399999999998</v>
      </c>
      <c r="G148" s="80">
        <v>40</v>
      </c>
      <c r="H148" s="77">
        <f t="shared" si="21"/>
        <v>185</v>
      </c>
      <c r="I148" s="77">
        <f t="shared" si="18"/>
        <v>0</v>
      </c>
      <c r="J148" s="80">
        <v>100</v>
      </c>
      <c r="K148" s="80">
        <v>300</v>
      </c>
      <c r="L148" s="77">
        <f t="shared" si="22"/>
        <v>1274</v>
      </c>
      <c r="M148" s="88">
        <v>600</v>
      </c>
      <c r="N148" s="77">
        <f>75</f>
        <v>75</v>
      </c>
      <c r="O148" s="80">
        <v>240</v>
      </c>
      <c r="P148" s="80">
        <v>160</v>
      </c>
      <c r="Q148" s="80">
        <f t="shared" si="23"/>
        <v>195</v>
      </c>
      <c r="R148" s="80">
        <f t="shared" si="24"/>
        <v>100</v>
      </c>
      <c r="S148" s="77">
        <f t="shared" si="25"/>
        <v>695</v>
      </c>
      <c r="T148" s="77">
        <f>50</f>
        <v>50</v>
      </c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pans="1:30" ht="15.75" x14ac:dyDescent="0.25">
      <c r="A149" s="13">
        <v>45444</v>
      </c>
      <c r="B149" s="91">
        <v>30</v>
      </c>
      <c r="C149" s="77">
        <f>194.205</f>
        <v>194.20500000000001</v>
      </c>
      <c r="D149" s="77">
        <f>267.466</f>
        <v>267.46600000000001</v>
      </c>
      <c r="E149" s="86">
        <f>133.845</f>
        <v>133.845</v>
      </c>
      <c r="F149" s="77">
        <f>278.484-40-25-60-100</f>
        <v>53.48399999999998</v>
      </c>
      <c r="G149" s="80">
        <v>40</v>
      </c>
      <c r="H149" s="77">
        <f t="shared" si="21"/>
        <v>185</v>
      </c>
      <c r="I149" s="77">
        <f t="shared" si="18"/>
        <v>0</v>
      </c>
      <c r="J149" s="80">
        <v>100</v>
      </c>
      <c r="K149" s="80">
        <v>300</v>
      </c>
      <c r="L149" s="77">
        <f t="shared" si="22"/>
        <v>1274</v>
      </c>
      <c r="M149" s="88">
        <v>600</v>
      </c>
      <c r="N149" s="77">
        <f>30</f>
        <v>30</v>
      </c>
      <c r="O149" s="80">
        <v>240</v>
      </c>
      <c r="P149" s="80">
        <v>160</v>
      </c>
      <c r="Q149" s="80">
        <f t="shared" si="23"/>
        <v>195</v>
      </c>
      <c r="R149" s="80">
        <f t="shared" si="24"/>
        <v>100</v>
      </c>
      <c r="S149" s="77">
        <f t="shared" si="25"/>
        <v>695</v>
      </c>
      <c r="T149" s="77">
        <f>50</f>
        <v>50</v>
      </c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pans="1:30" ht="15.75" x14ac:dyDescent="0.25">
      <c r="A150" s="13">
        <v>45474</v>
      </c>
      <c r="B150" s="91">
        <v>31</v>
      </c>
      <c r="C150" s="77">
        <f>194.205</f>
        <v>194.20500000000001</v>
      </c>
      <c r="D150" s="77">
        <f>267.466</f>
        <v>267.46600000000001</v>
      </c>
      <c r="E150" s="86">
        <f>133.845</f>
        <v>133.845</v>
      </c>
      <c r="F150" s="77">
        <f>278.484-40-25-60-100</f>
        <v>53.48399999999998</v>
      </c>
      <c r="G150" s="80">
        <v>40</v>
      </c>
      <c r="H150" s="77">
        <f t="shared" si="21"/>
        <v>185</v>
      </c>
      <c r="I150" s="77">
        <f t="shared" si="18"/>
        <v>0</v>
      </c>
      <c r="J150" s="80">
        <v>100</v>
      </c>
      <c r="K150" s="80">
        <v>300</v>
      </c>
      <c r="L150" s="77">
        <f t="shared" si="22"/>
        <v>1274</v>
      </c>
      <c r="M150" s="88">
        <v>600</v>
      </c>
      <c r="N150" s="77">
        <f>30</f>
        <v>30</v>
      </c>
      <c r="O150" s="80">
        <v>240</v>
      </c>
      <c r="P150" s="80">
        <v>160</v>
      </c>
      <c r="Q150" s="80">
        <f t="shared" si="23"/>
        <v>195</v>
      </c>
      <c r="R150" s="80">
        <f t="shared" si="24"/>
        <v>100</v>
      </c>
      <c r="S150" s="77">
        <f t="shared" si="25"/>
        <v>695</v>
      </c>
      <c r="T150" s="77">
        <f>0</f>
        <v>0</v>
      </c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pans="1:30" ht="15.75" x14ac:dyDescent="0.25">
      <c r="A151" s="13">
        <v>45505</v>
      </c>
      <c r="B151" s="91">
        <v>31</v>
      </c>
      <c r="C151" s="77">
        <f>194.205</f>
        <v>194.20500000000001</v>
      </c>
      <c r="D151" s="77">
        <f>267.466</f>
        <v>267.46600000000001</v>
      </c>
      <c r="E151" s="86">
        <f>133.845</f>
        <v>133.845</v>
      </c>
      <c r="F151" s="77">
        <f>278.484-40-25-60-100</f>
        <v>53.48399999999998</v>
      </c>
      <c r="G151" s="80">
        <v>40</v>
      </c>
      <c r="H151" s="77">
        <f t="shared" si="21"/>
        <v>185</v>
      </c>
      <c r="I151" s="77">
        <f t="shared" si="18"/>
        <v>0</v>
      </c>
      <c r="J151" s="80">
        <v>100</v>
      </c>
      <c r="K151" s="80">
        <v>300</v>
      </c>
      <c r="L151" s="77">
        <f t="shared" si="22"/>
        <v>1274</v>
      </c>
      <c r="M151" s="88">
        <v>600</v>
      </c>
      <c r="N151" s="77">
        <f>30</f>
        <v>30</v>
      </c>
      <c r="O151" s="80">
        <v>240</v>
      </c>
      <c r="P151" s="80">
        <v>160</v>
      </c>
      <c r="Q151" s="80">
        <f t="shared" si="23"/>
        <v>195</v>
      </c>
      <c r="R151" s="80">
        <f t="shared" si="24"/>
        <v>100</v>
      </c>
      <c r="S151" s="77">
        <f t="shared" si="25"/>
        <v>695</v>
      </c>
      <c r="T151" s="77">
        <f>0</f>
        <v>0</v>
      </c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pans="1:30" ht="15.75" x14ac:dyDescent="0.25">
      <c r="A152" s="13">
        <v>45536</v>
      </c>
      <c r="B152" s="91">
        <v>30</v>
      </c>
      <c r="C152" s="77">
        <f>194.205</f>
        <v>194.20500000000001</v>
      </c>
      <c r="D152" s="77">
        <f>267.466</f>
        <v>267.46600000000001</v>
      </c>
      <c r="E152" s="86">
        <f>133.845</f>
        <v>133.845</v>
      </c>
      <c r="F152" s="77">
        <f>278.484-40-25-60-100</f>
        <v>53.48399999999998</v>
      </c>
      <c r="G152" s="80">
        <v>40</v>
      </c>
      <c r="H152" s="77">
        <f t="shared" si="21"/>
        <v>185</v>
      </c>
      <c r="I152" s="77">
        <f t="shared" si="18"/>
        <v>0</v>
      </c>
      <c r="J152" s="80">
        <v>100</v>
      </c>
      <c r="K152" s="80">
        <v>300</v>
      </c>
      <c r="L152" s="77">
        <f t="shared" si="22"/>
        <v>1274</v>
      </c>
      <c r="M152" s="88">
        <v>600</v>
      </c>
      <c r="N152" s="77">
        <f>30</f>
        <v>30</v>
      </c>
      <c r="O152" s="80">
        <v>240</v>
      </c>
      <c r="P152" s="80">
        <v>160</v>
      </c>
      <c r="Q152" s="80">
        <f t="shared" si="23"/>
        <v>195</v>
      </c>
      <c r="R152" s="80">
        <f t="shared" si="24"/>
        <v>100</v>
      </c>
      <c r="S152" s="77">
        <f t="shared" si="25"/>
        <v>695</v>
      </c>
      <c r="T152" s="77">
        <f>0</f>
        <v>0</v>
      </c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pans="1:30" ht="15.75" x14ac:dyDescent="0.25">
      <c r="A153" s="13">
        <v>45566</v>
      </c>
      <c r="B153" s="91">
        <v>31</v>
      </c>
      <c r="C153" s="77">
        <f>131.881</f>
        <v>131.881</v>
      </c>
      <c r="D153" s="77">
        <f>277.167</f>
        <v>277.16699999999997</v>
      </c>
      <c r="E153" s="86">
        <f>79.08</f>
        <v>79.08</v>
      </c>
      <c r="F153" s="77">
        <f>350.872-40-25-60-100</f>
        <v>125.87200000000001</v>
      </c>
      <c r="G153" s="80">
        <v>40</v>
      </c>
      <c r="H153" s="77">
        <f t="shared" si="21"/>
        <v>185</v>
      </c>
      <c r="I153" s="77">
        <f t="shared" si="18"/>
        <v>0</v>
      </c>
      <c r="J153" s="80">
        <v>100</v>
      </c>
      <c r="K153" s="80">
        <v>300</v>
      </c>
      <c r="L153" s="77">
        <f t="shared" si="22"/>
        <v>1239</v>
      </c>
      <c r="M153" s="88">
        <v>600</v>
      </c>
      <c r="N153" s="77">
        <f>75</f>
        <v>75</v>
      </c>
      <c r="O153" s="80">
        <v>240</v>
      </c>
      <c r="P153" s="80">
        <v>160</v>
      </c>
      <c r="Q153" s="80">
        <f t="shared" si="23"/>
        <v>195</v>
      </c>
      <c r="R153" s="80">
        <f t="shared" si="24"/>
        <v>100</v>
      </c>
      <c r="S153" s="77">
        <f t="shared" si="25"/>
        <v>695</v>
      </c>
      <c r="T153" s="77">
        <f>0</f>
        <v>0</v>
      </c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pans="1:30" ht="15.75" x14ac:dyDescent="0.25">
      <c r="A154" s="13">
        <v>45597</v>
      </c>
      <c r="B154" s="91">
        <v>30</v>
      </c>
      <c r="C154" s="77">
        <f>122.58</f>
        <v>122.58</v>
      </c>
      <c r="D154" s="77">
        <f>297.941</f>
        <v>297.94099999999997</v>
      </c>
      <c r="E154" s="86">
        <f>89.177</f>
        <v>89.177000000000007</v>
      </c>
      <c r="F154" s="77">
        <f>240.302-40-60-100</f>
        <v>40.301999999999992</v>
      </c>
      <c r="G154" s="80">
        <v>40</v>
      </c>
      <c r="H154" s="77">
        <f>60+100</f>
        <v>160</v>
      </c>
      <c r="I154" s="77">
        <f t="shared" si="18"/>
        <v>0</v>
      </c>
      <c r="J154" s="80">
        <v>100</v>
      </c>
      <c r="K154" s="80">
        <v>300</v>
      </c>
      <c r="L154" s="77">
        <f t="shared" si="22"/>
        <v>1150</v>
      </c>
      <c r="M154" s="88">
        <v>600</v>
      </c>
      <c r="N154" s="77">
        <f>100</f>
        <v>100</v>
      </c>
      <c r="O154" s="80">
        <v>240</v>
      </c>
      <c r="P154" s="80">
        <v>40</v>
      </c>
      <c r="Q154" s="80">
        <f t="shared" si="23"/>
        <v>315</v>
      </c>
      <c r="R154" s="80">
        <f t="shared" si="24"/>
        <v>100</v>
      </c>
      <c r="S154" s="77">
        <f t="shared" si="25"/>
        <v>695</v>
      </c>
      <c r="T154" s="77">
        <f>50</f>
        <v>50</v>
      </c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pans="1:30" ht="15.75" x14ac:dyDescent="0.25">
      <c r="A155" s="13">
        <v>45627</v>
      </c>
      <c r="B155" s="91">
        <v>31</v>
      </c>
      <c r="C155" s="77">
        <f>122.58</f>
        <v>122.58</v>
      </c>
      <c r="D155" s="77">
        <f>297.941</f>
        <v>297.94099999999997</v>
      </c>
      <c r="E155" s="86">
        <f>89.177</f>
        <v>89.177000000000007</v>
      </c>
      <c r="F155" s="77">
        <f>240.302-40-60-100</f>
        <v>40.301999999999992</v>
      </c>
      <c r="G155" s="80">
        <v>40</v>
      </c>
      <c r="H155" s="77">
        <f>60+100</f>
        <v>160</v>
      </c>
      <c r="I155" s="77">
        <f t="shared" si="18"/>
        <v>0</v>
      </c>
      <c r="J155" s="80">
        <v>100</v>
      </c>
      <c r="K155" s="80">
        <v>300</v>
      </c>
      <c r="L155" s="77">
        <f t="shared" si="22"/>
        <v>1150</v>
      </c>
      <c r="M155" s="88">
        <v>600</v>
      </c>
      <c r="N155" s="77">
        <f>100</f>
        <v>100</v>
      </c>
      <c r="O155" s="80">
        <v>240</v>
      </c>
      <c r="P155" s="80">
        <v>40</v>
      </c>
      <c r="Q155" s="80">
        <f t="shared" si="23"/>
        <v>315</v>
      </c>
      <c r="R155" s="80">
        <f t="shared" si="24"/>
        <v>100</v>
      </c>
      <c r="S155" s="77">
        <f t="shared" si="25"/>
        <v>695</v>
      </c>
      <c r="T155" s="77">
        <f>50</f>
        <v>50</v>
      </c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pans="1:30" ht="15.75" x14ac:dyDescent="0.25">
      <c r="A156" s="13">
        <v>45658</v>
      </c>
      <c r="B156" s="91">
        <v>31</v>
      </c>
      <c r="C156" s="77">
        <f>122.58</f>
        <v>122.58</v>
      </c>
      <c r="D156" s="77">
        <f>297.941</f>
        <v>297.94099999999997</v>
      </c>
      <c r="E156" s="86">
        <f>89.177</f>
        <v>89.177000000000007</v>
      </c>
      <c r="F156" s="77">
        <f>240.302-40-60-100</f>
        <v>40.301999999999992</v>
      </c>
      <c r="G156" s="80">
        <v>40</v>
      </c>
      <c r="H156" s="77">
        <f>60+100</f>
        <v>160</v>
      </c>
      <c r="I156" s="77">
        <f t="shared" si="18"/>
        <v>0</v>
      </c>
      <c r="J156" s="80">
        <v>100</v>
      </c>
      <c r="K156" s="80">
        <v>300</v>
      </c>
      <c r="L156" s="77">
        <f t="shared" si="22"/>
        <v>1150</v>
      </c>
      <c r="M156" s="88">
        <v>600</v>
      </c>
      <c r="N156" s="77">
        <f>100</f>
        <v>100</v>
      </c>
      <c r="O156" s="80">
        <v>240</v>
      </c>
      <c r="P156" s="80">
        <v>40</v>
      </c>
      <c r="Q156" s="80">
        <f t="shared" si="23"/>
        <v>315</v>
      </c>
      <c r="R156" s="80">
        <f t="shared" si="24"/>
        <v>100</v>
      </c>
      <c r="S156" s="77">
        <f t="shared" si="25"/>
        <v>695</v>
      </c>
      <c r="T156" s="77">
        <f>50</f>
        <v>50</v>
      </c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pans="1:30" ht="15.75" x14ac:dyDescent="0.25">
      <c r="A157" s="13">
        <v>45689</v>
      </c>
      <c r="B157" s="91">
        <v>28</v>
      </c>
      <c r="C157" s="77">
        <f>122.58</f>
        <v>122.58</v>
      </c>
      <c r="D157" s="77">
        <f>297.941</f>
        <v>297.94099999999997</v>
      </c>
      <c r="E157" s="86">
        <f>89.177</f>
        <v>89.177000000000007</v>
      </c>
      <c r="F157" s="77">
        <f>240.302-40-60-100</f>
        <v>40.301999999999992</v>
      </c>
      <c r="G157" s="80">
        <v>40</v>
      </c>
      <c r="H157" s="77">
        <f>60+100</f>
        <v>160</v>
      </c>
      <c r="I157" s="77">
        <f t="shared" si="18"/>
        <v>0</v>
      </c>
      <c r="J157" s="80">
        <v>100</v>
      </c>
      <c r="K157" s="80">
        <v>300</v>
      </c>
      <c r="L157" s="77">
        <f t="shared" si="22"/>
        <v>1150</v>
      </c>
      <c r="M157" s="88">
        <v>600</v>
      </c>
      <c r="N157" s="77">
        <f>100</f>
        <v>100</v>
      </c>
      <c r="O157" s="80">
        <v>240</v>
      </c>
      <c r="P157" s="80">
        <v>40</v>
      </c>
      <c r="Q157" s="80">
        <f t="shared" si="23"/>
        <v>315</v>
      </c>
      <c r="R157" s="80">
        <f t="shared" si="24"/>
        <v>100</v>
      </c>
      <c r="S157" s="77">
        <f t="shared" si="25"/>
        <v>695</v>
      </c>
      <c r="T157" s="77">
        <f>50</f>
        <v>50</v>
      </c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pans="1:30" ht="15.75" x14ac:dyDescent="0.25">
      <c r="A158" s="13">
        <v>45717</v>
      </c>
      <c r="B158" s="91">
        <v>31</v>
      </c>
      <c r="C158" s="77">
        <f>122.58</f>
        <v>122.58</v>
      </c>
      <c r="D158" s="77">
        <f>297.941</f>
        <v>297.94099999999997</v>
      </c>
      <c r="E158" s="86">
        <f>89.177</f>
        <v>89.177000000000007</v>
      </c>
      <c r="F158" s="77">
        <f>240.302-40-60-100</f>
        <v>40.301999999999992</v>
      </c>
      <c r="G158" s="80">
        <v>40</v>
      </c>
      <c r="H158" s="77">
        <f>60+100</f>
        <v>160</v>
      </c>
      <c r="I158" s="77">
        <f t="shared" si="18"/>
        <v>0</v>
      </c>
      <c r="J158" s="80">
        <v>100</v>
      </c>
      <c r="K158" s="80">
        <v>300</v>
      </c>
      <c r="L158" s="77">
        <f t="shared" si="22"/>
        <v>1150</v>
      </c>
      <c r="M158" s="88">
        <v>600</v>
      </c>
      <c r="N158" s="77">
        <f>100</f>
        <v>100</v>
      </c>
      <c r="O158" s="80">
        <v>240</v>
      </c>
      <c r="P158" s="80">
        <v>40</v>
      </c>
      <c r="Q158" s="80">
        <f t="shared" si="23"/>
        <v>315</v>
      </c>
      <c r="R158" s="80">
        <f t="shared" si="24"/>
        <v>100</v>
      </c>
      <c r="S158" s="77">
        <f t="shared" si="25"/>
        <v>695</v>
      </c>
      <c r="T158" s="77">
        <f>50</f>
        <v>50</v>
      </c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pans="1:30" ht="15.75" x14ac:dyDescent="0.25">
      <c r="A159" s="13">
        <v>45748</v>
      </c>
      <c r="B159" s="91">
        <v>30</v>
      </c>
      <c r="C159" s="77">
        <f>141.293</f>
        <v>141.29300000000001</v>
      </c>
      <c r="D159" s="77">
        <f>267.993</f>
        <v>267.99299999999999</v>
      </c>
      <c r="E159" s="86">
        <f>115.016</f>
        <v>115.01600000000001</v>
      </c>
      <c r="F159" s="77">
        <f>314.698-40-25-60-100</f>
        <v>89.697999999999979</v>
      </c>
      <c r="G159" s="80">
        <v>40</v>
      </c>
      <c r="H159" s="77">
        <f t="shared" ref="H159:H165" si="26">25+60+100</f>
        <v>185</v>
      </c>
      <c r="I159" s="77">
        <f t="shared" si="18"/>
        <v>0</v>
      </c>
      <c r="J159" s="80">
        <v>100</v>
      </c>
      <c r="K159" s="80">
        <v>300</v>
      </c>
      <c r="L159" s="77">
        <f t="shared" si="22"/>
        <v>1239</v>
      </c>
      <c r="M159" s="88">
        <v>600</v>
      </c>
      <c r="N159" s="77">
        <f>100</f>
        <v>100</v>
      </c>
      <c r="O159" s="80">
        <v>240</v>
      </c>
      <c r="P159" s="80">
        <v>160</v>
      </c>
      <c r="Q159" s="80">
        <f t="shared" si="23"/>
        <v>195</v>
      </c>
      <c r="R159" s="80">
        <f t="shared" si="24"/>
        <v>100</v>
      </c>
      <c r="S159" s="77">
        <f t="shared" si="25"/>
        <v>695</v>
      </c>
      <c r="T159" s="77">
        <f>50</f>
        <v>50</v>
      </c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pans="1:30" ht="15.75" x14ac:dyDescent="0.25">
      <c r="A160" s="13">
        <v>45778</v>
      </c>
      <c r="B160" s="91">
        <v>31</v>
      </c>
      <c r="C160" s="77">
        <f>194.205</f>
        <v>194.20500000000001</v>
      </c>
      <c r="D160" s="77">
        <f>267.466</f>
        <v>267.46600000000001</v>
      </c>
      <c r="E160" s="86">
        <f>133.845</f>
        <v>133.845</v>
      </c>
      <c r="F160" s="77">
        <f>278.484-40-25-60-100</f>
        <v>53.48399999999998</v>
      </c>
      <c r="G160" s="80">
        <v>40</v>
      </c>
      <c r="H160" s="77">
        <f t="shared" si="26"/>
        <v>185</v>
      </c>
      <c r="I160" s="77">
        <f t="shared" si="18"/>
        <v>0</v>
      </c>
      <c r="J160" s="80">
        <v>100</v>
      </c>
      <c r="K160" s="80">
        <v>300</v>
      </c>
      <c r="L160" s="77">
        <f t="shared" si="22"/>
        <v>1274</v>
      </c>
      <c r="M160" s="88">
        <v>600</v>
      </c>
      <c r="N160" s="77">
        <f>75</f>
        <v>75</v>
      </c>
      <c r="O160" s="80">
        <v>240</v>
      </c>
      <c r="P160" s="80">
        <v>160</v>
      </c>
      <c r="Q160" s="80">
        <f t="shared" si="23"/>
        <v>195</v>
      </c>
      <c r="R160" s="80">
        <f t="shared" si="24"/>
        <v>100</v>
      </c>
      <c r="S160" s="77">
        <f t="shared" si="25"/>
        <v>695</v>
      </c>
      <c r="T160" s="77">
        <f>50</f>
        <v>50</v>
      </c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pans="1:30" ht="15.75" x14ac:dyDescent="0.25">
      <c r="A161" s="13">
        <v>45809</v>
      </c>
      <c r="B161" s="91">
        <v>30</v>
      </c>
      <c r="C161" s="77">
        <f>194.205</f>
        <v>194.20500000000001</v>
      </c>
      <c r="D161" s="77">
        <f>267.466</f>
        <v>267.46600000000001</v>
      </c>
      <c r="E161" s="86">
        <f>133.845</f>
        <v>133.845</v>
      </c>
      <c r="F161" s="77">
        <f>278.484-40-25-60-100</f>
        <v>53.48399999999998</v>
      </c>
      <c r="G161" s="80">
        <v>40</v>
      </c>
      <c r="H161" s="77">
        <f t="shared" si="26"/>
        <v>185</v>
      </c>
      <c r="I161" s="77">
        <f t="shared" si="18"/>
        <v>0</v>
      </c>
      <c r="J161" s="80">
        <v>100</v>
      </c>
      <c r="K161" s="80">
        <v>300</v>
      </c>
      <c r="L161" s="77">
        <f t="shared" si="22"/>
        <v>1274</v>
      </c>
      <c r="M161" s="88">
        <v>600</v>
      </c>
      <c r="N161" s="77">
        <f>30</f>
        <v>30</v>
      </c>
      <c r="O161" s="80">
        <v>240</v>
      </c>
      <c r="P161" s="80">
        <v>160</v>
      </c>
      <c r="Q161" s="80">
        <f t="shared" si="23"/>
        <v>195</v>
      </c>
      <c r="R161" s="80">
        <f t="shared" si="24"/>
        <v>100</v>
      </c>
      <c r="S161" s="77">
        <f t="shared" si="25"/>
        <v>695</v>
      </c>
      <c r="T161" s="77">
        <f>50</f>
        <v>50</v>
      </c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pans="1:30" ht="15.75" x14ac:dyDescent="0.25">
      <c r="A162" s="13">
        <v>45839</v>
      </c>
      <c r="B162" s="91">
        <v>31</v>
      </c>
      <c r="C162" s="77">
        <f>194.205</f>
        <v>194.20500000000001</v>
      </c>
      <c r="D162" s="77">
        <f>267.466</f>
        <v>267.46600000000001</v>
      </c>
      <c r="E162" s="86">
        <f>133.845</f>
        <v>133.845</v>
      </c>
      <c r="F162" s="77">
        <f>278.484-40-25-60-100</f>
        <v>53.48399999999998</v>
      </c>
      <c r="G162" s="80">
        <v>40</v>
      </c>
      <c r="H162" s="77">
        <f t="shared" si="26"/>
        <v>185</v>
      </c>
      <c r="I162" s="77">
        <f t="shared" si="18"/>
        <v>0</v>
      </c>
      <c r="J162" s="80">
        <v>100</v>
      </c>
      <c r="K162" s="80">
        <v>300</v>
      </c>
      <c r="L162" s="77">
        <f t="shared" si="22"/>
        <v>1274</v>
      </c>
      <c r="M162" s="88">
        <v>600</v>
      </c>
      <c r="N162" s="77">
        <f>30</f>
        <v>30</v>
      </c>
      <c r="O162" s="80">
        <v>240</v>
      </c>
      <c r="P162" s="80">
        <v>160</v>
      </c>
      <c r="Q162" s="80">
        <f t="shared" si="23"/>
        <v>195</v>
      </c>
      <c r="R162" s="80">
        <f t="shared" si="24"/>
        <v>100</v>
      </c>
      <c r="S162" s="77">
        <f t="shared" si="25"/>
        <v>695</v>
      </c>
      <c r="T162" s="77">
        <f>0</f>
        <v>0</v>
      </c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pans="1:30" ht="15.75" x14ac:dyDescent="0.25">
      <c r="A163" s="13">
        <v>45870</v>
      </c>
      <c r="B163" s="91">
        <v>31</v>
      </c>
      <c r="C163" s="77">
        <f>194.205</f>
        <v>194.20500000000001</v>
      </c>
      <c r="D163" s="77">
        <f>267.466</f>
        <v>267.46600000000001</v>
      </c>
      <c r="E163" s="86">
        <f>133.845</f>
        <v>133.845</v>
      </c>
      <c r="F163" s="77">
        <f>278.484-40-25-60-100</f>
        <v>53.48399999999998</v>
      </c>
      <c r="G163" s="80">
        <v>40</v>
      </c>
      <c r="H163" s="77">
        <f t="shared" si="26"/>
        <v>185</v>
      </c>
      <c r="I163" s="77">
        <f t="shared" si="18"/>
        <v>0</v>
      </c>
      <c r="J163" s="80">
        <v>100</v>
      </c>
      <c r="K163" s="80">
        <v>300</v>
      </c>
      <c r="L163" s="77">
        <f t="shared" si="22"/>
        <v>1274</v>
      </c>
      <c r="M163" s="88">
        <v>600</v>
      </c>
      <c r="N163" s="77">
        <f>30</f>
        <v>30</v>
      </c>
      <c r="O163" s="80">
        <v>240</v>
      </c>
      <c r="P163" s="80">
        <v>160</v>
      </c>
      <c r="Q163" s="80">
        <f t="shared" si="23"/>
        <v>195</v>
      </c>
      <c r="R163" s="80">
        <f t="shared" si="24"/>
        <v>100</v>
      </c>
      <c r="S163" s="77">
        <f t="shared" si="25"/>
        <v>695</v>
      </c>
      <c r="T163" s="77">
        <f>0</f>
        <v>0</v>
      </c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pans="1:30" ht="15.75" x14ac:dyDescent="0.25">
      <c r="A164" s="13">
        <v>45901</v>
      </c>
      <c r="B164" s="91">
        <v>30</v>
      </c>
      <c r="C164" s="77">
        <f>194.205</f>
        <v>194.20500000000001</v>
      </c>
      <c r="D164" s="77">
        <f>267.466</f>
        <v>267.46600000000001</v>
      </c>
      <c r="E164" s="86">
        <f>133.845</f>
        <v>133.845</v>
      </c>
      <c r="F164" s="77">
        <f>278.484-40-25-60-100</f>
        <v>53.48399999999998</v>
      </c>
      <c r="G164" s="80">
        <v>40</v>
      </c>
      <c r="H164" s="77">
        <f t="shared" si="26"/>
        <v>185</v>
      </c>
      <c r="I164" s="77">
        <f t="shared" si="18"/>
        <v>0</v>
      </c>
      <c r="J164" s="80">
        <v>100</v>
      </c>
      <c r="K164" s="80">
        <v>300</v>
      </c>
      <c r="L164" s="77">
        <f t="shared" si="22"/>
        <v>1274</v>
      </c>
      <c r="M164" s="88">
        <v>600</v>
      </c>
      <c r="N164" s="77">
        <f>30</f>
        <v>30</v>
      </c>
      <c r="O164" s="80">
        <v>240</v>
      </c>
      <c r="P164" s="80">
        <v>160</v>
      </c>
      <c r="Q164" s="80">
        <f t="shared" si="23"/>
        <v>195</v>
      </c>
      <c r="R164" s="80">
        <f t="shared" si="24"/>
        <v>100</v>
      </c>
      <c r="S164" s="77">
        <f t="shared" si="25"/>
        <v>695</v>
      </c>
      <c r="T164" s="77">
        <f>0</f>
        <v>0</v>
      </c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pans="1:30" ht="15.75" x14ac:dyDescent="0.25">
      <c r="A165" s="13">
        <v>45931</v>
      </c>
      <c r="B165" s="91">
        <v>31</v>
      </c>
      <c r="C165" s="77">
        <f>131.881</f>
        <v>131.881</v>
      </c>
      <c r="D165" s="77">
        <f>277.167</f>
        <v>277.16699999999997</v>
      </c>
      <c r="E165" s="86">
        <f>79.08</f>
        <v>79.08</v>
      </c>
      <c r="F165" s="77">
        <f>350.872-40-25-60-100</f>
        <v>125.87200000000001</v>
      </c>
      <c r="G165" s="80">
        <v>40</v>
      </c>
      <c r="H165" s="77">
        <f t="shared" si="26"/>
        <v>185</v>
      </c>
      <c r="I165" s="77">
        <f t="shared" si="18"/>
        <v>0</v>
      </c>
      <c r="J165" s="80">
        <v>100</v>
      </c>
      <c r="K165" s="80">
        <v>300</v>
      </c>
      <c r="L165" s="77">
        <f t="shared" si="22"/>
        <v>1239</v>
      </c>
      <c r="M165" s="88">
        <v>600</v>
      </c>
      <c r="N165" s="77">
        <f>75</f>
        <v>75</v>
      </c>
      <c r="O165" s="80">
        <v>240</v>
      </c>
      <c r="P165" s="80">
        <v>160</v>
      </c>
      <c r="Q165" s="80">
        <f t="shared" si="23"/>
        <v>195</v>
      </c>
      <c r="R165" s="80">
        <f t="shared" si="24"/>
        <v>100</v>
      </c>
      <c r="S165" s="77">
        <f t="shared" si="25"/>
        <v>695</v>
      </c>
      <c r="T165" s="77">
        <f>0</f>
        <v>0</v>
      </c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pans="1:30" ht="15.75" x14ac:dyDescent="0.25">
      <c r="A166" s="13">
        <v>45962</v>
      </c>
      <c r="B166" s="91">
        <v>30</v>
      </c>
      <c r="C166" s="77">
        <f>122.58</f>
        <v>122.58</v>
      </c>
      <c r="D166" s="77">
        <f>297.941</f>
        <v>297.94099999999997</v>
      </c>
      <c r="E166" s="86">
        <f>89.177</f>
        <v>89.177000000000007</v>
      </c>
      <c r="F166" s="77">
        <f>240.302-40-60-100</f>
        <v>40.301999999999992</v>
      </c>
      <c r="G166" s="80">
        <v>40</v>
      </c>
      <c r="H166" s="77">
        <f>60+100</f>
        <v>160</v>
      </c>
      <c r="I166" s="77">
        <f t="shared" si="18"/>
        <v>0</v>
      </c>
      <c r="J166" s="80">
        <v>100</v>
      </c>
      <c r="K166" s="80">
        <v>300</v>
      </c>
      <c r="L166" s="77">
        <f t="shared" si="22"/>
        <v>1150</v>
      </c>
      <c r="M166" s="88">
        <v>600</v>
      </c>
      <c r="N166" s="77">
        <f>100</f>
        <v>100</v>
      </c>
      <c r="O166" s="80">
        <v>240</v>
      </c>
      <c r="P166" s="80">
        <v>40</v>
      </c>
      <c r="Q166" s="80">
        <f t="shared" si="23"/>
        <v>315</v>
      </c>
      <c r="R166" s="80">
        <f t="shared" si="24"/>
        <v>100</v>
      </c>
      <c r="S166" s="77">
        <f t="shared" si="25"/>
        <v>695</v>
      </c>
      <c r="T166" s="77">
        <f>50</f>
        <v>50</v>
      </c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pans="1:30" ht="15.75" x14ac:dyDescent="0.25">
      <c r="A167" s="13">
        <v>45992</v>
      </c>
      <c r="B167" s="91">
        <v>31</v>
      </c>
      <c r="C167" s="77">
        <f>122.58</f>
        <v>122.58</v>
      </c>
      <c r="D167" s="77">
        <f>297.941</f>
        <v>297.94099999999997</v>
      </c>
      <c r="E167" s="86">
        <f>89.177</f>
        <v>89.177000000000007</v>
      </c>
      <c r="F167" s="77">
        <f>240.302-40-60-100</f>
        <v>40.301999999999992</v>
      </c>
      <c r="G167" s="80">
        <v>40</v>
      </c>
      <c r="H167" s="77">
        <f>60+100</f>
        <v>160</v>
      </c>
      <c r="I167" s="77">
        <f t="shared" si="18"/>
        <v>0</v>
      </c>
      <c r="J167" s="80">
        <v>100</v>
      </c>
      <c r="K167" s="80">
        <v>300</v>
      </c>
      <c r="L167" s="77">
        <f t="shared" si="22"/>
        <v>1150</v>
      </c>
      <c r="M167" s="88">
        <v>600</v>
      </c>
      <c r="N167" s="77">
        <f>100</f>
        <v>100</v>
      </c>
      <c r="O167" s="80">
        <v>240</v>
      </c>
      <c r="P167" s="80">
        <v>40</v>
      </c>
      <c r="Q167" s="80">
        <f t="shared" si="23"/>
        <v>315</v>
      </c>
      <c r="R167" s="80">
        <f t="shared" si="24"/>
        <v>100</v>
      </c>
      <c r="S167" s="77">
        <f t="shared" si="25"/>
        <v>695</v>
      </c>
      <c r="T167" s="77">
        <f>50</f>
        <v>50</v>
      </c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</row>
    <row r="168" spans="1:30" ht="15.75" x14ac:dyDescent="0.25">
      <c r="A168" s="13">
        <v>46023</v>
      </c>
      <c r="B168" s="91">
        <v>31</v>
      </c>
      <c r="C168" s="77">
        <f>122.58</f>
        <v>122.58</v>
      </c>
      <c r="D168" s="77">
        <f>297.941</f>
        <v>297.94099999999997</v>
      </c>
      <c r="E168" s="86">
        <f>89.177</f>
        <v>89.177000000000007</v>
      </c>
      <c r="F168" s="77">
        <f>240.302-40-60-100</f>
        <v>40.301999999999992</v>
      </c>
      <c r="G168" s="80">
        <v>40</v>
      </c>
      <c r="H168" s="77">
        <f>60+100</f>
        <v>160</v>
      </c>
      <c r="I168" s="77">
        <f t="shared" si="18"/>
        <v>0</v>
      </c>
      <c r="J168" s="80">
        <v>100</v>
      </c>
      <c r="K168" s="80">
        <v>300</v>
      </c>
      <c r="L168" s="77">
        <f t="shared" si="22"/>
        <v>1150</v>
      </c>
      <c r="M168" s="88">
        <v>600</v>
      </c>
      <c r="N168" s="77">
        <f>100</f>
        <v>100</v>
      </c>
      <c r="O168" s="80">
        <v>240</v>
      </c>
      <c r="P168" s="80">
        <v>40</v>
      </c>
      <c r="Q168" s="80">
        <f t="shared" si="23"/>
        <v>315</v>
      </c>
      <c r="R168" s="80">
        <f t="shared" si="24"/>
        <v>100</v>
      </c>
      <c r="S168" s="77">
        <f t="shared" si="25"/>
        <v>695</v>
      </c>
      <c r="T168" s="77">
        <f>50</f>
        <v>50</v>
      </c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</row>
    <row r="169" spans="1:30" ht="15.75" x14ac:dyDescent="0.25">
      <c r="A169" s="13">
        <v>46054</v>
      </c>
      <c r="B169" s="91">
        <v>28</v>
      </c>
      <c r="C169" s="77">
        <f>122.58</f>
        <v>122.58</v>
      </c>
      <c r="D169" s="77">
        <f>297.941</f>
        <v>297.94099999999997</v>
      </c>
      <c r="E169" s="86">
        <f>89.177</f>
        <v>89.177000000000007</v>
      </c>
      <c r="F169" s="77">
        <f>240.302-40-60-100</f>
        <v>40.301999999999992</v>
      </c>
      <c r="G169" s="80">
        <v>40</v>
      </c>
      <c r="H169" s="77">
        <f>60+100</f>
        <v>160</v>
      </c>
      <c r="I169" s="77">
        <f t="shared" si="18"/>
        <v>0</v>
      </c>
      <c r="J169" s="80">
        <v>100</v>
      </c>
      <c r="K169" s="80">
        <v>300</v>
      </c>
      <c r="L169" s="77">
        <f t="shared" si="22"/>
        <v>1150</v>
      </c>
      <c r="M169" s="88">
        <v>600</v>
      </c>
      <c r="N169" s="77">
        <f>100</f>
        <v>100</v>
      </c>
      <c r="O169" s="80">
        <v>240</v>
      </c>
      <c r="P169" s="80">
        <v>40</v>
      </c>
      <c r="Q169" s="80">
        <f t="shared" si="23"/>
        <v>315</v>
      </c>
      <c r="R169" s="80">
        <f t="shared" si="24"/>
        <v>100</v>
      </c>
      <c r="S169" s="77">
        <f t="shared" si="25"/>
        <v>695</v>
      </c>
      <c r="T169" s="77">
        <f>50</f>
        <v>50</v>
      </c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</row>
    <row r="170" spans="1:30" ht="15.75" x14ac:dyDescent="0.25">
      <c r="A170" s="13">
        <v>46082</v>
      </c>
      <c r="B170" s="91">
        <v>31</v>
      </c>
      <c r="C170" s="77">
        <f>122.58</f>
        <v>122.58</v>
      </c>
      <c r="D170" s="77">
        <f>297.941</f>
        <v>297.94099999999997</v>
      </c>
      <c r="E170" s="86">
        <f>89.177</f>
        <v>89.177000000000007</v>
      </c>
      <c r="F170" s="77">
        <f>240.302-40-60-100</f>
        <v>40.301999999999992</v>
      </c>
      <c r="G170" s="80">
        <v>40</v>
      </c>
      <c r="H170" s="77">
        <f>60+100</f>
        <v>160</v>
      </c>
      <c r="I170" s="77">
        <f t="shared" si="18"/>
        <v>0</v>
      </c>
      <c r="J170" s="80">
        <v>100</v>
      </c>
      <c r="K170" s="80">
        <v>300</v>
      </c>
      <c r="L170" s="77">
        <f t="shared" si="22"/>
        <v>1150</v>
      </c>
      <c r="M170" s="88">
        <v>600</v>
      </c>
      <c r="N170" s="77">
        <f>100</f>
        <v>100</v>
      </c>
      <c r="O170" s="80">
        <v>240</v>
      </c>
      <c r="P170" s="80">
        <v>40</v>
      </c>
      <c r="Q170" s="80">
        <f t="shared" si="23"/>
        <v>315</v>
      </c>
      <c r="R170" s="80">
        <f t="shared" si="24"/>
        <v>100</v>
      </c>
      <c r="S170" s="77">
        <f t="shared" si="25"/>
        <v>695</v>
      </c>
      <c r="T170" s="77">
        <f>50</f>
        <v>50</v>
      </c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</row>
    <row r="171" spans="1:30" ht="15.75" x14ac:dyDescent="0.25">
      <c r="A171" s="13">
        <v>46113</v>
      </c>
      <c r="B171" s="91">
        <v>30</v>
      </c>
      <c r="C171" s="77">
        <f>141.293</f>
        <v>141.29300000000001</v>
      </c>
      <c r="D171" s="77">
        <f>267.993</f>
        <v>267.99299999999999</v>
      </c>
      <c r="E171" s="86">
        <f>115.016</f>
        <v>115.01600000000001</v>
      </c>
      <c r="F171" s="77">
        <f>314.698-40-25-60-100</f>
        <v>89.697999999999979</v>
      </c>
      <c r="G171" s="80">
        <v>40</v>
      </c>
      <c r="H171" s="77">
        <f t="shared" ref="H171:H177" si="27">25+60+100</f>
        <v>185</v>
      </c>
      <c r="I171" s="77">
        <f t="shared" si="18"/>
        <v>0</v>
      </c>
      <c r="J171" s="80">
        <v>100</v>
      </c>
      <c r="K171" s="80">
        <v>300</v>
      </c>
      <c r="L171" s="77">
        <f t="shared" si="22"/>
        <v>1239</v>
      </c>
      <c r="M171" s="88">
        <v>600</v>
      </c>
      <c r="N171" s="77">
        <f>100</f>
        <v>100</v>
      </c>
      <c r="O171" s="80">
        <v>240</v>
      </c>
      <c r="P171" s="80">
        <v>160</v>
      </c>
      <c r="Q171" s="80">
        <f t="shared" si="23"/>
        <v>195</v>
      </c>
      <c r="R171" s="80">
        <f t="shared" si="24"/>
        <v>100</v>
      </c>
      <c r="S171" s="77">
        <f t="shared" si="25"/>
        <v>695</v>
      </c>
      <c r="T171" s="77">
        <f>50</f>
        <v>50</v>
      </c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</row>
    <row r="172" spans="1:30" ht="15.75" x14ac:dyDescent="0.25">
      <c r="A172" s="13">
        <v>46143</v>
      </c>
      <c r="B172" s="91">
        <v>31</v>
      </c>
      <c r="C172" s="77">
        <f>194.205</f>
        <v>194.20500000000001</v>
      </c>
      <c r="D172" s="77">
        <f>267.466</f>
        <v>267.46600000000001</v>
      </c>
      <c r="E172" s="86">
        <f>133.845</f>
        <v>133.845</v>
      </c>
      <c r="F172" s="77">
        <f>278.484-40-25-60-100</f>
        <v>53.48399999999998</v>
      </c>
      <c r="G172" s="80">
        <v>40</v>
      </c>
      <c r="H172" s="77">
        <f t="shared" si="27"/>
        <v>185</v>
      </c>
      <c r="I172" s="77">
        <f t="shared" si="18"/>
        <v>0</v>
      </c>
      <c r="J172" s="80">
        <v>100</v>
      </c>
      <c r="K172" s="80">
        <v>300</v>
      </c>
      <c r="L172" s="77">
        <f t="shared" si="22"/>
        <v>1274</v>
      </c>
      <c r="M172" s="88">
        <v>600</v>
      </c>
      <c r="N172" s="77">
        <f>75</f>
        <v>75</v>
      </c>
      <c r="O172" s="80">
        <v>240</v>
      </c>
      <c r="P172" s="80">
        <v>160</v>
      </c>
      <c r="Q172" s="80">
        <f t="shared" si="23"/>
        <v>195</v>
      </c>
      <c r="R172" s="80">
        <f t="shared" si="24"/>
        <v>100</v>
      </c>
      <c r="S172" s="77">
        <f t="shared" si="25"/>
        <v>695</v>
      </c>
      <c r="T172" s="77">
        <f>50</f>
        <v>50</v>
      </c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</row>
    <row r="173" spans="1:30" ht="15.75" x14ac:dyDescent="0.25">
      <c r="A173" s="13">
        <v>46174</v>
      </c>
      <c r="B173" s="91">
        <v>30</v>
      </c>
      <c r="C173" s="77">
        <f>194.205</f>
        <v>194.20500000000001</v>
      </c>
      <c r="D173" s="77">
        <f>267.466</f>
        <v>267.46600000000001</v>
      </c>
      <c r="E173" s="86">
        <f>133.845</f>
        <v>133.845</v>
      </c>
      <c r="F173" s="77">
        <f>278.484-40-25-60-100</f>
        <v>53.48399999999998</v>
      </c>
      <c r="G173" s="80">
        <v>40</v>
      </c>
      <c r="H173" s="77">
        <f t="shared" si="27"/>
        <v>185</v>
      </c>
      <c r="I173" s="77">
        <f t="shared" si="18"/>
        <v>0</v>
      </c>
      <c r="J173" s="80">
        <v>100</v>
      </c>
      <c r="K173" s="80">
        <v>300</v>
      </c>
      <c r="L173" s="77">
        <f t="shared" si="22"/>
        <v>1274</v>
      </c>
      <c r="M173" s="88">
        <v>600</v>
      </c>
      <c r="N173" s="77">
        <f>30</f>
        <v>30</v>
      </c>
      <c r="O173" s="80">
        <v>240</v>
      </c>
      <c r="P173" s="80">
        <v>160</v>
      </c>
      <c r="Q173" s="80">
        <f t="shared" si="23"/>
        <v>195</v>
      </c>
      <c r="R173" s="80">
        <f t="shared" si="24"/>
        <v>100</v>
      </c>
      <c r="S173" s="77">
        <f t="shared" si="25"/>
        <v>695</v>
      </c>
      <c r="T173" s="77">
        <f>50</f>
        <v>50</v>
      </c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</row>
    <row r="174" spans="1:30" ht="15.75" x14ac:dyDescent="0.25">
      <c r="A174" s="13">
        <v>46204</v>
      </c>
      <c r="B174" s="91">
        <v>31</v>
      </c>
      <c r="C174" s="77">
        <f>194.205</f>
        <v>194.20500000000001</v>
      </c>
      <c r="D174" s="77">
        <f>267.466</f>
        <v>267.46600000000001</v>
      </c>
      <c r="E174" s="86">
        <f>133.845</f>
        <v>133.845</v>
      </c>
      <c r="F174" s="77">
        <f>278.484-40-25-60-100</f>
        <v>53.48399999999998</v>
      </c>
      <c r="G174" s="80">
        <v>40</v>
      </c>
      <c r="H174" s="77">
        <f t="shared" si="27"/>
        <v>185</v>
      </c>
      <c r="I174" s="77">
        <f t="shared" si="18"/>
        <v>0</v>
      </c>
      <c r="J174" s="80">
        <v>100</v>
      </c>
      <c r="K174" s="80">
        <v>300</v>
      </c>
      <c r="L174" s="77">
        <f t="shared" si="22"/>
        <v>1274</v>
      </c>
      <c r="M174" s="88">
        <v>600</v>
      </c>
      <c r="N174" s="77">
        <f>30</f>
        <v>30</v>
      </c>
      <c r="O174" s="80">
        <v>240</v>
      </c>
      <c r="P174" s="80">
        <v>160</v>
      </c>
      <c r="Q174" s="80">
        <f t="shared" si="23"/>
        <v>195</v>
      </c>
      <c r="R174" s="80">
        <f t="shared" si="24"/>
        <v>100</v>
      </c>
      <c r="S174" s="77">
        <f t="shared" si="25"/>
        <v>695</v>
      </c>
      <c r="T174" s="77">
        <f>0</f>
        <v>0</v>
      </c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</row>
    <row r="175" spans="1:30" ht="15.75" x14ac:dyDescent="0.25">
      <c r="A175" s="13">
        <v>46235</v>
      </c>
      <c r="B175" s="91">
        <v>31</v>
      </c>
      <c r="C175" s="77">
        <f>194.205</f>
        <v>194.20500000000001</v>
      </c>
      <c r="D175" s="77">
        <f>267.466</f>
        <v>267.46600000000001</v>
      </c>
      <c r="E175" s="86">
        <f>133.845</f>
        <v>133.845</v>
      </c>
      <c r="F175" s="77">
        <f>278.484-40-25-60-100</f>
        <v>53.48399999999998</v>
      </c>
      <c r="G175" s="80">
        <v>40</v>
      </c>
      <c r="H175" s="77">
        <f t="shared" si="27"/>
        <v>185</v>
      </c>
      <c r="I175" s="77">
        <f t="shared" si="18"/>
        <v>0</v>
      </c>
      <c r="J175" s="80">
        <v>100</v>
      </c>
      <c r="K175" s="80">
        <v>300</v>
      </c>
      <c r="L175" s="77">
        <f t="shared" si="22"/>
        <v>1274</v>
      </c>
      <c r="M175" s="88">
        <v>600</v>
      </c>
      <c r="N175" s="77">
        <f>30</f>
        <v>30</v>
      </c>
      <c r="O175" s="80">
        <v>240</v>
      </c>
      <c r="P175" s="80">
        <v>160</v>
      </c>
      <c r="Q175" s="80">
        <f t="shared" si="23"/>
        <v>195</v>
      </c>
      <c r="R175" s="80">
        <f t="shared" si="24"/>
        <v>100</v>
      </c>
      <c r="S175" s="77">
        <f t="shared" si="25"/>
        <v>695</v>
      </c>
      <c r="T175" s="77">
        <f>0</f>
        <v>0</v>
      </c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</row>
    <row r="176" spans="1:30" ht="15.75" x14ac:dyDescent="0.25">
      <c r="A176" s="13">
        <v>46266</v>
      </c>
      <c r="B176" s="91">
        <v>30</v>
      </c>
      <c r="C176" s="77">
        <f>194.205</f>
        <v>194.20500000000001</v>
      </c>
      <c r="D176" s="77">
        <f>267.466</f>
        <v>267.46600000000001</v>
      </c>
      <c r="E176" s="86">
        <f>133.845</f>
        <v>133.845</v>
      </c>
      <c r="F176" s="77">
        <f>278.484-40-25-60-100</f>
        <v>53.48399999999998</v>
      </c>
      <c r="G176" s="80">
        <v>40</v>
      </c>
      <c r="H176" s="77">
        <f t="shared" si="27"/>
        <v>185</v>
      </c>
      <c r="I176" s="77">
        <f t="shared" si="18"/>
        <v>0</v>
      </c>
      <c r="J176" s="80">
        <v>100</v>
      </c>
      <c r="K176" s="80">
        <v>300</v>
      </c>
      <c r="L176" s="77">
        <f t="shared" si="22"/>
        <v>1274</v>
      </c>
      <c r="M176" s="88">
        <v>600</v>
      </c>
      <c r="N176" s="77">
        <f>30</f>
        <v>30</v>
      </c>
      <c r="O176" s="80">
        <v>240</v>
      </c>
      <c r="P176" s="80">
        <v>160</v>
      </c>
      <c r="Q176" s="80">
        <f t="shared" si="23"/>
        <v>195</v>
      </c>
      <c r="R176" s="80">
        <f t="shared" si="24"/>
        <v>100</v>
      </c>
      <c r="S176" s="77">
        <f t="shared" si="25"/>
        <v>695</v>
      </c>
      <c r="T176" s="77">
        <f>0</f>
        <v>0</v>
      </c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</row>
    <row r="177" spans="1:30" ht="15.75" x14ac:dyDescent="0.25">
      <c r="A177" s="13">
        <v>46296</v>
      </c>
      <c r="B177" s="91">
        <v>31</v>
      </c>
      <c r="C177" s="77">
        <f>131.881</f>
        <v>131.881</v>
      </c>
      <c r="D177" s="77">
        <f>277.167</f>
        <v>277.16699999999997</v>
      </c>
      <c r="E177" s="86">
        <f>79.08</f>
        <v>79.08</v>
      </c>
      <c r="F177" s="77">
        <f>350.872-40-25-60-100</f>
        <v>125.87200000000001</v>
      </c>
      <c r="G177" s="80">
        <v>40</v>
      </c>
      <c r="H177" s="77">
        <f t="shared" si="27"/>
        <v>185</v>
      </c>
      <c r="I177" s="77">
        <f t="shared" si="18"/>
        <v>0</v>
      </c>
      <c r="J177" s="80">
        <v>100</v>
      </c>
      <c r="K177" s="80">
        <v>300</v>
      </c>
      <c r="L177" s="77">
        <f t="shared" si="22"/>
        <v>1239</v>
      </c>
      <c r="M177" s="88">
        <v>600</v>
      </c>
      <c r="N177" s="77">
        <f>75</f>
        <v>75</v>
      </c>
      <c r="O177" s="80">
        <v>240</v>
      </c>
      <c r="P177" s="80">
        <v>160</v>
      </c>
      <c r="Q177" s="80">
        <f t="shared" si="23"/>
        <v>195</v>
      </c>
      <c r="R177" s="80">
        <f t="shared" si="24"/>
        <v>100</v>
      </c>
      <c r="S177" s="77">
        <f t="shared" si="25"/>
        <v>695</v>
      </c>
      <c r="T177" s="77">
        <f>0</f>
        <v>0</v>
      </c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</row>
    <row r="178" spans="1:30" ht="15.75" x14ac:dyDescent="0.25">
      <c r="A178" s="13">
        <v>46327</v>
      </c>
      <c r="B178" s="91">
        <v>30</v>
      </c>
      <c r="C178" s="77">
        <f>122.58</f>
        <v>122.58</v>
      </c>
      <c r="D178" s="77">
        <f>297.941</f>
        <v>297.94099999999997</v>
      </c>
      <c r="E178" s="86">
        <f>89.177</f>
        <v>89.177000000000007</v>
      </c>
      <c r="F178" s="77">
        <f>240.302-40-60-100</f>
        <v>40.301999999999992</v>
      </c>
      <c r="G178" s="80">
        <v>40</v>
      </c>
      <c r="H178" s="77">
        <f>60+100</f>
        <v>160</v>
      </c>
      <c r="I178" s="77">
        <f t="shared" si="18"/>
        <v>0</v>
      </c>
      <c r="J178" s="80">
        <v>100</v>
      </c>
      <c r="K178" s="80">
        <v>300</v>
      </c>
      <c r="L178" s="77">
        <f t="shared" si="22"/>
        <v>1150</v>
      </c>
      <c r="M178" s="88">
        <v>600</v>
      </c>
      <c r="N178" s="77">
        <f>100</f>
        <v>100</v>
      </c>
      <c r="O178" s="80">
        <v>240</v>
      </c>
      <c r="P178" s="80">
        <v>40</v>
      </c>
      <c r="Q178" s="80">
        <f t="shared" si="23"/>
        <v>315</v>
      </c>
      <c r="R178" s="80">
        <f t="shared" si="24"/>
        <v>100</v>
      </c>
      <c r="S178" s="77">
        <f t="shared" si="25"/>
        <v>695</v>
      </c>
      <c r="T178" s="77">
        <f>50</f>
        <v>50</v>
      </c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</row>
    <row r="179" spans="1:30" ht="15.75" x14ac:dyDescent="0.25">
      <c r="A179" s="13">
        <v>46357</v>
      </c>
      <c r="B179" s="91">
        <v>31</v>
      </c>
      <c r="C179" s="77">
        <f>122.58</f>
        <v>122.58</v>
      </c>
      <c r="D179" s="77">
        <f>297.941</f>
        <v>297.94099999999997</v>
      </c>
      <c r="E179" s="86">
        <f>89.177</f>
        <v>89.177000000000007</v>
      </c>
      <c r="F179" s="77">
        <f>240.302-40-60-100</f>
        <v>40.301999999999992</v>
      </c>
      <c r="G179" s="80">
        <v>40</v>
      </c>
      <c r="H179" s="77">
        <f>60+100</f>
        <v>160</v>
      </c>
      <c r="I179" s="77">
        <f t="shared" si="18"/>
        <v>0</v>
      </c>
      <c r="J179" s="80">
        <v>100</v>
      </c>
      <c r="K179" s="80">
        <v>300</v>
      </c>
      <c r="L179" s="77">
        <f t="shared" si="22"/>
        <v>1150</v>
      </c>
      <c r="M179" s="88">
        <v>600</v>
      </c>
      <c r="N179" s="77">
        <f>100</f>
        <v>100</v>
      </c>
      <c r="O179" s="80">
        <v>240</v>
      </c>
      <c r="P179" s="80">
        <v>40</v>
      </c>
      <c r="Q179" s="80">
        <f t="shared" si="23"/>
        <v>315</v>
      </c>
      <c r="R179" s="80">
        <f t="shared" si="24"/>
        <v>100</v>
      </c>
      <c r="S179" s="77">
        <f t="shared" si="25"/>
        <v>695</v>
      </c>
      <c r="T179" s="77">
        <f>50</f>
        <v>50</v>
      </c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</row>
    <row r="180" spans="1:30" ht="15.75" x14ac:dyDescent="0.25">
      <c r="A180" s="13">
        <v>46388</v>
      </c>
      <c r="B180" s="91">
        <v>31</v>
      </c>
      <c r="C180" s="77">
        <f>122.58</f>
        <v>122.58</v>
      </c>
      <c r="D180" s="77">
        <f>297.941</f>
        <v>297.94099999999997</v>
      </c>
      <c r="E180" s="86">
        <f>89.177</f>
        <v>89.177000000000007</v>
      </c>
      <c r="F180" s="77">
        <f>240.302-40-60-100</f>
        <v>40.301999999999992</v>
      </c>
      <c r="G180" s="80">
        <v>40</v>
      </c>
      <c r="H180" s="77">
        <f>60+100</f>
        <v>160</v>
      </c>
      <c r="I180" s="77">
        <f t="shared" ref="I180:I243" si="28">400-J180-K180</f>
        <v>0</v>
      </c>
      <c r="J180" s="80">
        <v>100</v>
      </c>
      <c r="K180" s="80">
        <v>300</v>
      </c>
      <c r="L180" s="77">
        <f t="shared" si="22"/>
        <v>1150</v>
      </c>
      <c r="M180" s="88">
        <v>600</v>
      </c>
      <c r="N180" s="77">
        <f>100</f>
        <v>100</v>
      </c>
      <c r="O180" s="80">
        <v>240</v>
      </c>
      <c r="P180" s="80">
        <v>40</v>
      </c>
      <c r="Q180" s="80">
        <f t="shared" si="23"/>
        <v>315</v>
      </c>
      <c r="R180" s="80">
        <f t="shared" si="24"/>
        <v>100</v>
      </c>
      <c r="S180" s="77">
        <f t="shared" si="25"/>
        <v>695</v>
      </c>
      <c r="T180" s="77">
        <f>50</f>
        <v>50</v>
      </c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</row>
    <row r="181" spans="1:30" ht="15.75" x14ac:dyDescent="0.25">
      <c r="A181" s="13">
        <v>46419</v>
      </c>
      <c r="B181" s="91">
        <v>28</v>
      </c>
      <c r="C181" s="77">
        <f>122.58</f>
        <v>122.58</v>
      </c>
      <c r="D181" s="77">
        <f>297.941</f>
        <v>297.94099999999997</v>
      </c>
      <c r="E181" s="86">
        <f>89.177</f>
        <v>89.177000000000007</v>
      </c>
      <c r="F181" s="77">
        <f>240.302-40-60-100</f>
        <v>40.301999999999992</v>
      </c>
      <c r="G181" s="80">
        <v>40</v>
      </c>
      <c r="H181" s="77">
        <f>60+100</f>
        <v>160</v>
      </c>
      <c r="I181" s="77">
        <f t="shared" si="28"/>
        <v>0</v>
      </c>
      <c r="J181" s="80">
        <v>100</v>
      </c>
      <c r="K181" s="80">
        <v>300</v>
      </c>
      <c r="L181" s="77">
        <f t="shared" si="22"/>
        <v>1150</v>
      </c>
      <c r="M181" s="88">
        <v>600</v>
      </c>
      <c r="N181" s="77">
        <f>100</f>
        <v>100</v>
      </c>
      <c r="O181" s="80">
        <v>240</v>
      </c>
      <c r="P181" s="80">
        <v>40</v>
      </c>
      <c r="Q181" s="80">
        <f t="shared" si="23"/>
        <v>315</v>
      </c>
      <c r="R181" s="80">
        <f t="shared" si="24"/>
        <v>100</v>
      </c>
      <c r="S181" s="77">
        <f t="shared" si="25"/>
        <v>695</v>
      </c>
      <c r="T181" s="77">
        <f>50</f>
        <v>50</v>
      </c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</row>
    <row r="182" spans="1:30" ht="15.75" x14ac:dyDescent="0.25">
      <c r="A182" s="13">
        <v>46447</v>
      </c>
      <c r="B182" s="91">
        <v>31</v>
      </c>
      <c r="C182" s="77">
        <f>122.58</f>
        <v>122.58</v>
      </c>
      <c r="D182" s="77">
        <f>297.941</f>
        <v>297.94099999999997</v>
      </c>
      <c r="E182" s="86">
        <f>89.177</f>
        <v>89.177000000000007</v>
      </c>
      <c r="F182" s="77">
        <f>240.302-40-60-100</f>
        <v>40.301999999999992</v>
      </c>
      <c r="G182" s="80">
        <v>40</v>
      </c>
      <c r="H182" s="77">
        <f>60+100</f>
        <v>160</v>
      </c>
      <c r="I182" s="77">
        <f t="shared" si="28"/>
        <v>0</v>
      </c>
      <c r="J182" s="80">
        <v>100</v>
      </c>
      <c r="K182" s="80">
        <v>300</v>
      </c>
      <c r="L182" s="77">
        <f t="shared" si="22"/>
        <v>1150</v>
      </c>
      <c r="M182" s="88">
        <v>600</v>
      </c>
      <c r="N182" s="77">
        <f>100</f>
        <v>100</v>
      </c>
      <c r="O182" s="80">
        <v>240</v>
      </c>
      <c r="P182" s="80">
        <v>40</v>
      </c>
      <c r="Q182" s="80">
        <f t="shared" si="23"/>
        <v>315</v>
      </c>
      <c r="R182" s="80">
        <f t="shared" si="24"/>
        <v>100</v>
      </c>
      <c r="S182" s="77">
        <f t="shared" si="25"/>
        <v>695</v>
      </c>
      <c r="T182" s="77">
        <f>50</f>
        <v>50</v>
      </c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</row>
    <row r="183" spans="1:30" ht="15.75" x14ac:dyDescent="0.25">
      <c r="A183" s="13">
        <v>46478</v>
      </c>
      <c r="B183" s="91">
        <v>30</v>
      </c>
      <c r="C183" s="77">
        <f>141.293</f>
        <v>141.29300000000001</v>
      </c>
      <c r="D183" s="77">
        <f>267.993</f>
        <v>267.99299999999999</v>
      </c>
      <c r="E183" s="86">
        <f>115.016</f>
        <v>115.01600000000001</v>
      </c>
      <c r="F183" s="77">
        <f>314.698-40-25-60-100</f>
        <v>89.697999999999979</v>
      </c>
      <c r="G183" s="80">
        <v>40</v>
      </c>
      <c r="H183" s="77">
        <f t="shared" ref="H183:H189" si="29">25+60+100</f>
        <v>185</v>
      </c>
      <c r="I183" s="77">
        <f t="shared" si="28"/>
        <v>0</v>
      </c>
      <c r="J183" s="80">
        <v>100</v>
      </c>
      <c r="K183" s="80">
        <v>300</v>
      </c>
      <c r="L183" s="77">
        <f t="shared" si="22"/>
        <v>1239</v>
      </c>
      <c r="M183" s="88">
        <v>600</v>
      </c>
      <c r="N183" s="77">
        <f>100</f>
        <v>100</v>
      </c>
      <c r="O183" s="80">
        <v>240</v>
      </c>
      <c r="P183" s="80">
        <v>160</v>
      </c>
      <c r="Q183" s="80">
        <f t="shared" si="23"/>
        <v>195</v>
      </c>
      <c r="R183" s="80">
        <f t="shared" si="24"/>
        <v>100</v>
      </c>
      <c r="S183" s="77">
        <f t="shared" si="25"/>
        <v>695</v>
      </c>
      <c r="T183" s="77">
        <f>50</f>
        <v>50</v>
      </c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</row>
    <row r="184" spans="1:30" ht="15.75" x14ac:dyDescent="0.25">
      <c r="A184" s="13">
        <v>46508</v>
      </c>
      <c r="B184" s="91">
        <v>31</v>
      </c>
      <c r="C184" s="77">
        <f>194.205</f>
        <v>194.20500000000001</v>
      </c>
      <c r="D184" s="77">
        <f>267.466</f>
        <v>267.46600000000001</v>
      </c>
      <c r="E184" s="86">
        <f>133.845</f>
        <v>133.845</v>
      </c>
      <c r="F184" s="77">
        <f>278.484-40-25-60-100</f>
        <v>53.48399999999998</v>
      </c>
      <c r="G184" s="80">
        <v>40</v>
      </c>
      <c r="H184" s="77">
        <f t="shared" si="29"/>
        <v>185</v>
      </c>
      <c r="I184" s="77">
        <f t="shared" si="28"/>
        <v>0</v>
      </c>
      <c r="J184" s="80">
        <v>100</v>
      </c>
      <c r="K184" s="80">
        <v>300</v>
      </c>
      <c r="L184" s="77">
        <f t="shared" si="22"/>
        <v>1274</v>
      </c>
      <c r="M184" s="88">
        <v>600</v>
      </c>
      <c r="N184" s="77">
        <f>75</f>
        <v>75</v>
      </c>
      <c r="O184" s="80">
        <v>240</v>
      </c>
      <c r="P184" s="80">
        <v>160</v>
      </c>
      <c r="Q184" s="80">
        <f t="shared" si="23"/>
        <v>195</v>
      </c>
      <c r="R184" s="80">
        <f t="shared" si="24"/>
        <v>100</v>
      </c>
      <c r="S184" s="77">
        <f t="shared" si="25"/>
        <v>695</v>
      </c>
      <c r="T184" s="77">
        <f>50</f>
        <v>50</v>
      </c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</row>
    <row r="185" spans="1:30" ht="15.75" x14ac:dyDescent="0.25">
      <c r="A185" s="13">
        <v>46539</v>
      </c>
      <c r="B185" s="91">
        <v>30</v>
      </c>
      <c r="C185" s="77">
        <f>194.205</f>
        <v>194.20500000000001</v>
      </c>
      <c r="D185" s="77">
        <f>267.466</f>
        <v>267.46600000000001</v>
      </c>
      <c r="E185" s="86">
        <f>133.845</f>
        <v>133.845</v>
      </c>
      <c r="F185" s="77">
        <f>278.484-40-25-60-100</f>
        <v>53.48399999999998</v>
      </c>
      <c r="G185" s="80">
        <v>40</v>
      </c>
      <c r="H185" s="77">
        <f t="shared" si="29"/>
        <v>185</v>
      </c>
      <c r="I185" s="77">
        <f t="shared" si="28"/>
        <v>0</v>
      </c>
      <c r="J185" s="80">
        <v>100</v>
      </c>
      <c r="K185" s="80">
        <v>300</v>
      </c>
      <c r="L185" s="77">
        <f t="shared" si="22"/>
        <v>1274</v>
      </c>
      <c r="M185" s="88">
        <v>600</v>
      </c>
      <c r="N185" s="77">
        <f>30</f>
        <v>30</v>
      </c>
      <c r="O185" s="80">
        <v>240</v>
      </c>
      <c r="P185" s="80">
        <v>160</v>
      </c>
      <c r="Q185" s="80">
        <f t="shared" si="23"/>
        <v>195</v>
      </c>
      <c r="R185" s="80">
        <f t="shared" si="24"/>
        <v>100</v>
      </c>
      <c r="S185" s="77">
        <f t="shared" si="25"/>
        <v>695</v>
      </c>
      <c r="T185" s="77">
        <f>50</f>
        <v>50</v>
      </c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</row>
    <row r="186" spans="1:30" ht="15.75" x14ac:dyDescent="0.25">
      <c r="A186" s="13">
        <v>46569</v>
      </c>
      <c r="B186" s="91">
        <v>31</v>
      </c>
      <c r="C186" s="77">
        <f>194.205</f>
        <v>194.20500000000001</v>
      </c>
      <c r="D186" s="77">
        <f>267.466</f>
        <v>267.46600000000001</v>
      </c>
      <c r="E186" s="86">
        <f>133.845</f>
        <v>133.845</v>
      </c>
      <c r="F186" s="77">
        <f>278.484-40-25-60-100</f>
        <v>53.48399999999998</v>
      </c>
      <c r="G186" s="80">
        <v>40</v>
      </c>
      <c r="H186" s="77">
        <f t="shared" si="29"/>
        <v>185</v>
      </c>
      <c r="I186" s="77">
        <f t="shared" si="28"/>
        <v>0</v>
      </c>
      <c r="J186" s="80">
        <v>100</v>
      </c>
      <c r="K186" s="80">
        <v>300</v>
      </c>
      <c r="L186" s="77">
        <f t="shared" si="22"/>
        <v>1274</v>
      </c>
      <c r="M186" s="88">
        <v>600</v>
      </c>
      <c r="N186" s="77">
        <f>30</f>
        <v>30</v>
      </c>
      <c r="O186" s="80">
        <v>240</v>
      </c>
      <c r="P186" s="80">
        <v>160</v>
      </c>
      <c r="Q186" s="80">
        <f t="shared" si="23"/>
        <v>195</v>
      </c>
      <c r="R186" s="80">
        <f t="shared" si="24"/>
        <v>100</v>
      </c>
      <c r="S186" s="77">
        <f t="shared" si="25"/>
        <v>695</v>
      </c>
      <c r="T186" s="77">
        <f>0</f>
        <v>0</v>
      </c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</row>
    <row r="187" spans="1:30" ht="15.75" x14ac:dyDescent="0.25">
      <c r="A187" s="13">
        <v>46600</v>
      </c>
      <c r="B187" s="91">
        <v>31</v>
      </c>
      <c r="C187" s="77">
        <f>194.205</f>
        <v>194.20500000000001</v>
      </c>
      <c r="D187" s="77">
        <f>267.466</f>
        <v>267.46600000000001</v>
      </c>
      <c r="E187" s="86">
        <f>133.845</f>
        <v>133.845</v>
      </c>
      <c r="F187" s="77">
        <f>278.484-40-25-60-100</f>
        <v>53.48399999999998</v>
      </c>
      <c r="G187" s="80">
        <v>40</v>
      </c>
      <c r="H187" s="77">
        <f t="shared" si="29"/>
        <v>185</v>
      </c>
      <c r="I187" s="77">
        <f t="shared" si="28"/>
        <v>0</v>
      </c>
      <c r="J187" s="80">
        <v>100</v>
      </c>
      <c r="K187" s="80">
        <v>300</v>
      </c>
      <c r="L187" s="77">
        <f t="shared" si="22"/>
        <v>1274</v>
      </c>
      <c r="M187" s="88">
        <v>600</v>
      </c>
      <c r="N187" s="77">
        <f>30</f>
        <v>30</v>
      </c>
      <c r="O187" s="80">
        <v>240</v>
      </c>
      <c r="P187" s="80">
        <v>160</v>
      </c>
      <c r="Q187" s="80">
        <f t="shared" si="23"/>
        <v>195</v>
      </c>
      <c r="R187" s="80">
        <f t="shared" si="24"/>
        <v>100</v>
      </c>
      <c r="S187" s="77">
        <f t="shared" si="25"/>
        <v>695</v>
      </c>
      <c r="T187" s="77">
        <f>0</f>
        <v>0</v>
      </c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</row>
    <row r="188" spans="1:30" ht="15.75" x14ac:dyDescent="0.25">
      <c r="A188" s="13">
        <v>46631</v>
      </c>
      <c r="B188" s="91">
        <v>30</v>
      </c>
      <c r="C188" s="77">
        <f>194.205</f>
        <v>194.20500000000001</v>
      </c>
      <c r="D188" s="77">
        <f>267.466</f>
        <v>267.46600000000001</v>
      </c>
      <c r="E188" s="86">
        <f>133.845</f>
        <v>133.845</v>
      </c>
      <c r="F188" s="77">
        <f>278.484-40-25-60-100</f>
        <v>53.48399999999998</v>
      </c>
      <c r="G188" s="80">
        <v>40</v>
      </c>
      <c r="H188" s="77">
        <f t="shared" si="29"/>
        <v>185</v>
      </c>
      <c r="I188" s="77">
        <f t="shared" si="28"/>
        <v>0</v>
      </c>
      <c r="J188" s="80">
        <v>100</v>
      </c>
      <c r="K188" s="80">
        <v>300</v>
      </c>
      <c r="L188" s="77">
        <f t="shared" si="22"/>
        <v>1274</v>
      </c>
      <c r="M188" s="88">
        <v>600</v>
      </c>
      <c r="N188" s="77">
        <f>30</f>
        <v>30</v>
      </c>
      <c r="O188" s="80">
        <v>240</v>
      </c>
      <c r="P188" s="80">
        <v>160</v>
      </c>
      <c r="Q188" s="80">
        <f t="shared" si="23"/>
        <v>195</v>
      </c>
      <c r="R188" s="80">
        <f t="shared" si="24"/>
        <v>100</v>
      </c>
      <c r="S188" s="77">
        <f t="shared" si="25"/>
        <v>695</v>
      </c>
      <c r="T188" s="77">
        <f>0</f>
        <v>0</v>
      </c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</row>
    <row r="189" spans="1:30" ht="15.75" x14ac:dyDescent="0.25">
      <c r="A189" s="13">
        <v>46661</v>
      </c>
      <c r="B189" s="91">
        <v>31</v>
      </c>
      <c r="C189" s="77">
        <f>131.881</f>
        <v>131.881</v>
      </c>
      <c r="D189" s="77">
        <f>277.167</f>
        <v>277.16699999999997</v>
      </c>
      <c r="E189" s="86">
        <f>79.08</f>
        <v>79.08</v>
      </c>
      <c r="F189" s="77">
        <f>350.872-40-25-60-100</f>
        <v>125.87200000000001</v>
      </c>
      <c r="G189" s="80">
        <v>40</v>
      </c>
      <c r="H189" s="77">
        <f t="shared" si="29"/>
        <v>185</v>
      </c>
      <c r="I189" s="77">
        <f t="shared" si="28"/>
        <v>0</v>
      </c>
      <c r="J189" s="80">
        <v>100</v>
      </c>
      <c r="K189" s="80">
        <v>300</v>
      </c>
      <c r="L189" s="77">
        <f t="shared" si="22"/>
        <v>1239</v>
      </c>
      <c r="M189" s="88">
        <v>600</v>
      </c>
      <c r="N189" s="77">
        <f>75</f>
        <v>75</v>
      </c>
      <c r="O189" s="80">
        <v>240</v>
      </c>
      <c r="P189" s="80">
        <v>160</v>
      </c>
      <c r="Q189" s="80">
        <f t="shared" si="23"/>
        <v>195</v>
      </c>
      <c r="R189" s="80">
        <f t="shared" si="24"/>
        <v>100</v>
      </c>
      <c r="S189" s="77">
        <f t="shared" si="25"/>
        <v>695</v>
      </c>
      <c r="T189" s="77">
        <f>0</f>
        <v>0</v>
      </c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</row>
    <row r="190" spans="1:30" ht="15.75" x14ac:dyDescent="0.25">
      <c r="A190" s="13">
        <v>46692</v>
      </c>
      <c r="B190" s="91">
        <v>30</v>
      </c>
      <c r="C190" s="77">
        <f>122.58</f>
        <v>122.58</v>
      </c>
      <c r="D190" s="77">
        <f>297.941</f>
        <v>297.94099999999997</v>
      </c>
      <c r="E190" s="86">
        <f>89.177</f>
        <v>89.177000000000007</v>
      </c>
      <c r="F190" s="77">
        <f>240.302-40-60-100</f>
        <v>40.301999999999992</v>
      </c>
      <c r="G190" s="80">
        <v>40</v>
      </c>
      <c r="H190" s="77">
        <f>60+100</f>
        <v>160</v>
      </c>
      <c r="I190" s="77">
        <f t="shared" si="28"/>
        <v>0</v>
      </c>
      <c r="J190" s="80">
        <v>100</v>
      </c>
      <c r="K190" s="80">
        <v>300</v>
      </c>
      <c r="L190" s="77">
        <f t="shared" si="22"/>
        <v>1150</v>
      </c>
      <c r="M190" s="88">
        <v>600</v>
      </c>
      <c r="N190" s="77">
        <f>100</f>
        <v>100</v>
      </c>
      <c r="O190" s="80">
        <v>240</v>
      </c>
      <c r="P190" s="80">
        <v>40</v>
      </c>
      <c r="Q190" s="80">
        <f t="shared" si="23"/>
        <v>315</v>
      </c>
      <c r="R190" s="80">
        <f t="shared" si="24"/>
        <v>100</v>
      </c>
      <c r="S190" s="77">
        <f t="shared" si="25"/>
        <v>695</v>
      </c>
      <c r="T190" s="77">
        <f>50</f>
        <v>50</v>
      </c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</row>
    <row r="191" spans="1:30" ht="15.75" x14ac:dyDescent="0.25">
      <c r="A191" s="13">
        <v>46722</v>
      </c>
      <c r="B191" s="91">
        <v>31</v>
      </c>
      <c r="C191" s="77">
        <f>122.58</f>
        <v>122.58</v>
      </c>
      <c r="D191" s="77">
        <f>297.941</f>
        <v>297.94099999999997</v>
      </c>
      <c r="E191" s="86">
        <f>89.177</f>
        <v>89.177000000000007</v>
      </c>
      <c r="F191" s="77">
        <f>240.302-40-60-100</f>
        <v>40.301999999999992</v>
      </c>
      <c r="G191" s="80">
        <v>40</v>
      </c>
      <c r="H191" s="77">
        <f>60+100</f>
        <v>160</v>
      </c>
      <c r="I191" s="77">
        <f t="shared" si="28"/>
        <v>0</v>
      </c>
      <c r="J191" s="80">
        <v>100</v>
      </c>
      <c r="K191" s="80">
        <v>300</v>
      </c>
      <c r="L191" s="77">
        <f t="shared" si="22"/>
        <v>1150</v>
      </c>
      <c r="M191" s="88">
        <v>600</v>
      </c>
      <c r="N191" s="77">
        <f>100</f>
        <v>100</v>
      </c>
      <c r="O191" s="80">
        <v>240</v>
      </c>
      <c r="P191" s="80">
        <v>40</v>
      </c>
      <c r="Q191" s="80">
        <f t="shared" si="23"/>
        <v>315</v>
      </c>
      <c r="R191" s="80">
        <f t="shared" si="24"/>
        <v>100</v>
      </c>
      <c r="S191" s="77">
        <f t="shared" si="25"/>
        <v>695</v>
      </c>
      <c r="T191" s="77">
        <f>50</f>
        <v>50</v>
      </c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</row>
    <row r="192" spans="1:30" ht="15.75" x14ac:dyDescent="0.25">
      <c r="A192" s="13">
        <v>46753</v>
      </c>
      <c r="B192" s="91">
        <v>31</v>
      </c>
      <c r="C192" s="77">
        <f>122.58</f>
        <v>122.58</v>
      </c>
      <c r="D192" s="77">
        <f>297.941</f>
        <v>297.94099999999997</v>
      </c>
      <c r="E192" s="86">
        <f>89.177</f>
        <v>89.177000000000007</v>
      </c>
      <c r="F192" s="77">
        <f>240.302-40-60-100</f>
        <v>40.301999999999992</v>
      </c>
      <c r="G192" s="80">
        <v>40</v>
      </c>
      <c r="H192" s="77">
        <f>60+100</f>
        <v>160</v>
      </c>
      <c r="I192" s="77">
        <f t="shared" si="28"/>
        <v>0</v>
      </c>
      <c r="J192" s="80">
        <v>100</v>
      </c>
      <c r="K192" s="80">
        <v>300</v>
      </c>
      <c r="L192" s="77">
        <f t="shared" si="22"/>
        <v>1150</v>
      </c>
      <c r="M192" s="88">
        <v>600</v>
      </c>
      <c r="N192" s="77">
        <f>100</f>
        <v>100</v>
      </c>
      <c r="O192" s="80">
        <v>240</v>
      </c>
      <c r="P192" s="80">
        <v>40</v>
      </c>
      <c r="Q192" s="80">
        <f t="shared" si="23"/>
        <v>315</v>
      </c>
      <c r="R192" s="80">
        <f t="shared" si="24"/>
        <v>100</v>
      </c>
      <c r="S192" s="77">
        <f t="shared" si="25"/>
        <v>695</v>
      </c>
      <c r="T192" s="77">
        <f>50</f>
        <v>50</v>
      </c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</row>
    <row r="193" spans="1:30" ht="15.75" x14ac:dyDescent="0.25">
      <c r="A193" s="13">
        <v>46784</v>
      </c>
      <c r="B193" s="91">
        <v>29</v>
      </c>
      <c r="C193" s="77">
        <f>122.58</f>
        <v>122.58</v>
      </c>
      <c r="D193" s="77">
        <f>297.941</f>
        <v>297.94099999999997</v>
      </c>
      <c r="E193" s="86">
        <f>89.177</f>
        <v>89.177000000000007</v>
      </c>
      <c r="F193" s="77">
        <f>240.302-40-60-100</f>
        <v>40.301999999999992</v>
      </c>
      <c r="G193" s="80">
        <v>40</v>
      </c>
      <c r="H193" s="77">
        <f>60+100</f>
        <v>160</v>
      </c>
      <c r="I193" s="77">
        <f t="shared" si="28"/>
        <v>0</v>
      </c>
      <c r="J193" s="80">
        <v>100</v>
      </c>
      <c r="K193" s="80">
        <v>300</v>
      </c>
      <c r="L193" s="77">
        <f t="shared" si="22"/>
        <v>1150</v>
      </c>
      <c r="M193" s="88">
        <v>600</v>
      </c>
      <c r="N193" s="77">
        <f>100</f>
        <v>100</v>
      </c>
      <c r="O193" s="80">
        <v>240</v>
      </c>
      <c r="P193" s="80">
        <v>40</v>
      </c>
      <c r="Q193" s="80">
        <f t="shared" si="23"/>
        <v>315</v>
      </c>
      <c r="R193" s="80">
        <f t="shared" si="24"/>
        <v>100</v>
      </c>
      <c r="S193" s="77">
        <f t="shared" si="25"/>
        <v>695</v>
      </c>
      <c r="T193" s="77">
        <f>50</f>
        <v>50</v>
      </c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</row>
    <row r="194" spans="1:30" ht="15.75" x14ac:dyDescent="0.25">
      <c r="A194" s="13">
        <v>46813</v>
      </c>
      <c r="B194" s="91">
        <v>31</v>
      </c>
      <c r="C194" s="77">
        <f>122.58</f>
        <v>122.58</v>
      </c>
      <c r="D194" s="77">
        <f>297.941</f>
        <v>297.94099999999997</v>
      </c>
      <c r="E194" s="86">
        <f>89.177</f>
        <v>89.177000000000007</v>
      </c>
      <c r="F194" s="77">
        <f>240.302-40-60-100</f>
        <v>40.301999999999992</v>
      </c>
      <c r="G194" s="80">
        <v>40</v>
      </c>
      <c r="H194" s="77">
        <f>60+100</f>
        <v>160</v>
      </c>
      <c r="I194" s="77">
        <f t="shared" si="28"/>
        <v>0</v>
      </c>
      <c r="J194" s="80">
        <v>100</v>
      </c>
      <c r="K194" s="80">
        <v>300</v>
      </c>
      <c r="L194" s="77">
        <f t="shared" si="22"/>
        <v>1150</v>
      </c>
      <c r="M194" s="88">
        <v>600</v>
      </c>
      <c r="N194" s="77">
        <f>100</f>
        <v>100</v>
      </c>
      <c r="O194" s="80">
        <v>240</v>
      </c>
      <c r="P194" s="80">
        <v>40</v>
      </c>
      <c r="Q194" s="80">
        <f t="shared" si="23"/>
        <v>315</v>
      </c>
      <c r="R194" s="80">
        <f t="shared" si="24"/>
        <v>100</v>
      </c>
      <c r="S194" s="77">
        <f t="shared" si="25"/>
        <v>695</v>
      </c>
      <c r="T194" s="77">
        <f>50</f>
        <v>50</v>
      </c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</row>
    <row r="195" spans="1:30" ht="15.75" x14ac:dyDescent="0.25">
      <c r="A195" s="13">
        <v>46844</v>
      </c>
      <c r="B195" s="91">
        <v>30</v>
      </c>
      <c r="C195" s="77">
        <f>141.293</f>
        <v>141.29300000000001</v>
      </c>
      <c r="D195" s="77">
        <f>267.993</f>
        <v>267.99299999999999</v>
      </c>
      <c r="E195" s="86">
        <f>115.016</f>
        <v>115.01600000000001</v>
      </c>
      <c r="F195" s="77">
        <f>314.698-40-25-60-100</f>
        <v>89.697999999999979</v>
      </c>
      <c r="G195" s="80">
        <v>40</v>
      </c>
      <c r="H195" s="77">
        <f t="shared" ref="H195:H201" si="30">25+60+100</f>
        <v>185</v>
      </c>
      <c r="I195" s="77">
        <f t="shared" si="28"/>
        <v>0</v>
      </c>
      <c r="J195" s="80">
        <v>100</v>
      </c>
      <c r="K195" s="80">
        <v>300</v>
      </c>
      <c r="L195" s="77">
        <f t="shared" si="22"/>
        <v>1239</v>
      </c>
      <c r="M195" s="88">
        <v>600</v>
      </c>
      <c r="N195" s="77">
        <f>100</f>
        <v>100</v>
      </c>
      <c r="O195" s="80">
        <v>240</v>
      </c>
      <c r="P195" s="80">
        <v>160</v>
      </c>
      <c r="Q195" s="80">
        <f t="shared" si="23"/>
        <v>195</v>
      </c>
      <c r="R195" s="80">
        <f t="shared" si="24"/>
        <v>100</v>
      </c>
      <c r="S195" s="77">
        <f t="shared" si="25"/>
        <v>695</v>
      </c>
      <c r="T195" s="77">
        <f>50</f>
        <v>50</v>
      </c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</row>
    <row r="196" spans="1:30" ht="15.75" x14ac:dyDescent="0.25">
      <c r="A196" s="13">
        <v>46874</v>
      </c>
      <c r="B196" s="91">
        <v>31</v>
      </c>
      <c r="C196" s="77">
        <f>194.205</f>
        <v>194.20500000000001</v>
      </c>
      <c r="D196" s="77">
        <f>267.466</f>
        <v>267.46600000000001</v>
      </c>
      <c r="E196" s="86">
        <f>133.845</f>
        <v>133.845</v>
      </c>
      <c r="F196" s="77">
        <f>278.484-40-25-60-100</f>
        <v>53.48399999999998</v>
      </c>
      <c r="G196" s="80">
        <v>40</v>
      </c>
      <c r="H196" s="77">
        <f t="shared" si="30"/>
        <v>185</v>
      </c>
      <c r="I196" s="77">
        <f t="shared" si="28"/>
        <v>0</v>
      </c>
      <c r="J196" s="80">
        <v>100</v>
      </c>
      <c r="K196" s="80">
        <v>300</v>
      </c>
      <c r="L196" s="77">
        <f t="shared" si="22"/>
        <v>1274</v>
      </c>
      <c r="M196" s="88">
        <v>600</v>
      </c>
      <c r="N196" s="77">
        <f>75</f>
        <v>75</v>
      </c>
      <c r="O196" s="80">
        <v>240</v>
      </c>
      <c r="P196" s="80">
        <v>160</v>
      </c>
      <c r="Q196" s="80">
        <f t="shared" si="23"/>
        <v>195</v>
      </c>
      <c r="R196" s="80">
        <f t="shared" si="24"/>
        <v>100</v>
      </c>
      <c r="S196" s="77">
        <f t="shared" si="25"/>
        <v>695</v>
      </c>
      <c r="T196" s="77">
        <f>50</f>
        <v>50</v>
      </c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</row>
    <row r="197" spans="1:30" ht="15.75" x14ac:dyDescent="0.25">
      <c r="A197" s="13">
        <v>46905</v>
      </c>
      <c r="B197" s="91">
        <v>30</v>
      </c>
      <c r="C197" s="77">
        <f>194.205</f>
        <v>194.20500000000001</v>
      </c>
      <c r="D197" s="77">
        <f>267.466</f>
        <v>267.46600000000001</v>
      </c>
      <c r="E197" s="86">
        <f>133.845</f>
        <v>133.845</v>
      </c>
      <c r="F197" s="77">
        <f>278.484-40-25-60-100</f>
        <v>53.48399999999998</v>
      </c>
      <c r="G197" s="80">
        <v>40</v>
      </c>
      <c r="H197" s="77">
        <f t="shared" si="30"/>
        <v>185</v>
      </c>
      <c r="I197" s="77">
        <f t="shared" si="28"/>
        <v>0</v>
      </c>
      <c r="J197" s="80">
        <v>100</v>
      </c>
      <c r="K197" s="80">
        <v>300</v>
      </c>
      <c r="L197" s="77">
        <f t="shared" si="22"/>
        <v>1274</v>
      </c>
      <c r="M197" s="88">
        <v>600</v>
      </c>
      <c r="N197" s="77">
        <f>30</f>
        <v>30</v>
      </c>
      <c r="O197" s="80">
        <v>240</v>
      </c>
      <c r="P197" s="80">
        <v>160</v>
      </c>
      <c r="Q197" s="80">
        <f t="shared" si="23"/>
        <v>195</v>
      </c>
      <c r="R197" s="80">
        <f t="shared" si="24"/>
        <v>100</v>
      </c>
      <c r="S197" s="77">
        <f t="shared" si="25"/>
        <v>695</v>
      </c>
      <c r="T197" s="77">
        <f>50</f>
        <v>50</v>
      </c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</row>
    <row r="198" spans="1:30" ht="15.75" x14ac:dyDescent="0.25">
      <c r="A198" s="13">
        <v>46935</v>
      </c>
      <c r="B198" s="91">
        <v>31</v>
      </c>
      <c r="C198" s="77">
        <f>194.205</f>
        <v>194.20500000000001</v>
      </c>
      <c r="D198" s="77">
        <f>267.466</f>
        <v>267.46600000000001</v>
      </c>
      <c r="E198" s="86">
        <f>133.845</f>
        <v>133.845</v>
      </c>
      <c r="F198" s="77">
        <f>278.484-40-25-60-100</f>
        <v>53.48399999999998</v>
      </c>
      <c r="G198" s="80">
        <v>40</v>
      </c>
      <c r="H198" s="77">
        <f t="shared" si="30"/>
        <v>185</v>
      </c>
      <c r="I198" s="77">
        <f t="shared" si="28"/>
        <v>0</v>
      </c>
      <c r="J198" s="80">
        <v>100</v>
      </c>
      <c r="K198" s="80">
        <v>300</v>
      </c>
      <c r="L198" s="77">
        <f t="shared" si="22"/>
        <v>1274</v>
      </c>
      <c r="M198" s="88">
        <v>600</v>
      </c>
      <c r="N198" s="77">
        <f>30</f>
        <v>30</v>
      </c>
      <c r="O198" s="80">
        <v>240</v>
      </c>
      <c r="P198" s="80">
        <v>160</v>
      </c>
      <c r="Q198" s="80">
        <f t="shared" si="23"/>
        <v>195</v>
      </c>
      <c r="R198" s="80">
        <f t="shared" si="24"/>
        <v>100</v>
      </c>
      <c r="S198" s="77">
        <f t="shared" si="25"/>
        <v>695</v>
      </c>
      <c r="T198" s="77">
        <f>0</f>
        <v>0</v>
      </c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</row>
    <row r="199" spans="1:30" ht="15.75" x14ac:dyDescent="0.25">
      <c r="A199" s="13">
        <v>46966</v>
      </c>
      <c r="B199" s="91">
        <v>31</v>
      </c>
      <c r="C199" s="77">
        <f>194.205</f>
        <v>194.20500000000001</v>
      </c>
      <c r="D199" s="77">
        <f>267.466</f>
        <v>267.46600000000001</v>
      </c>
      <c r="E199" s="86">
        <f>133.845</f>
        <v>133.845</v>
      </c>
      <c r="F199" s="77">
        <f>278.484-40-25-60-100</f>
        <v>53.48399999999998</v>
      </c>
      <c r="G199" s="80">
        <v>40</v>
      </c>
      <c r="H199" s="77">
        <f t="shared" si="30"/>
        <v>185</v>
      </c>
      <c r="I199" s="77">
        <f t="shared" si="28"/>
        <v>0</v>
      </c>
      <c r="J199" s="80">
        <v>100</v>
      </c>
      <c r="K199" s="80">
        <v>300</v>
      </c>
      <c r="L199" s="77">
        <f t="shared" si="22"/>
        <v>1274</v>
      </c>
      <c r="M199" s="88">
        <v>600</v>
      </c>
      <c r="N199" s="77">
        <f>30</f>
        <v>30</v>
      </c>
      <c r="O199" s="80">
        <v>240</v>
      </c>
      <c r="P199" s="80">
        <v>160</v>
      </c>
      <c r="Q199" s="80">
        <f t="shared" si="23"/>
        <v>195</v>
      </c>
      <c r="R199" s="80">
        <f t="shared" si="24"/>
        <v>100</v>
      </c>
      <c r="S199" s="77">
        <f t="shared" si="25"/>
        <v>695</v>
      </c>
      <c r="T199" s="77">
        <f>0</f>
        <v>0</v>
      </c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</row>
    <row r="200" spans="1:30" ht="15.75" x14ac:dyDescent="0.25">
      <c r="A200" s="13">
        <v>46997</v>
      </c>
      <c r="B200" s="91">
        <v>30</v>
      </c>
      <c r="C200" s="77">
        <f>194.205</f>
        <v>194.20500000000001</v>
      </c>
      <c r="D200" s="77">
        <f>267.466</f>
        <v>267.46600000000001</v>
      </c>
      <c r="E200" s="86">
        <f>133.845</f>
        <v>133.845</v>
      </c>
      <c r="F200" s="77">
        <f>278.484-40-25-60-100</f>
        <v>53.48399999999998</v>
      </c>
      <c r="G200" s="80">
        <v>40</v>
      </c>
      <c r="H200" s="77">
        <f t="shared" si="30"/>
        <v>185</v>
      </c>
      <c r="I200" s="77">
        <f t="shared" si="28"/>
        <v>0</v>
      </c>
      <c r="J200" s="80">
        <v>100</v>
      </c>
      <c r="K200" s="80">
        <v>300</v>
      </c>
      <c r="L200" s="77">
        <f t="shared" si="22"/>
        <v>1274</v>
      </c>
      <c r="M200" s="88">
        <v>600</v>
      </c>
      <c r="N200" s="77">
        <f>30</f>
        <v>30</v>
      </c>
      <c r="O200" s="80">
        <v>240</v>
      </c>
      <c r="P200" s="80">
        <v>160</v>
      </c>
      <c r="Q200" s="80">
        <f t="shared" si="23"/>
        <v>195</v>
      </c>
      <c r="R200" s="80">
        <f t="shared" si="24"/>
        <v>100</v>
      </c>
      <c r="S200" s="77">
        <f t="shared" si="25"/>
        <v>695</v>
      </c>
      <c r="T200" s="77">
        <f>0</f>
        <v>0</v>
      </c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</row>
    <row r="201" spans="1:30" ht="15.75" x14ac:dyDescent="0.25">
      <c r="A201" s="13">
        <v>47027</v>
      </c>
      <c r="B201" s="91">
        <v>31</v>
      </c>
      <c r="C201" s="77">
        <f>131.881</f>
        <v>131.881</v>
      </c>
      <c r="D201" s="77">
        <f>277.167</f>
        <v>277.16699999999997</v>
      </c>
      <c r="E201" s="86">
        <f>79.08</f>
        <v>79.08</v>
      </c>
      <c r="F201" s="77">
        <f>350.872-40-25-60-100</f>
        <v>125.87200000000001</v>
      </c>
      <c r="G201" s="80">
        <v>40</v>
      </c>
      <c r="H201" s="77">
        <f t="shared" si="30"/>
        <v>185</v>
      </c>
      <c r="I201" s="77">
        <f t="shared" si="28"/>
        <v>0</v>
      </c>
      <c r="J201" s="80">
        <v>100</v>
      </c>
      <c r="K201" s="80">
        <v>300</v>
      </c>
      <c r="L201" s="77">
        <f t="shared" si="22"/>
        <v>1239</v>
      </c>
      <c r="M201" s="88">
        <v>600</v>
      </c>
      <c r="N201" s="77">
        <f>75</f>
        <v>75</v>
      </c>
      <c r="O201" s="80">
        <v>240</v>
      </c>
      <c r="P201" s="80">
        <v>160</v>
      </c>
      <c r="Q201" s="80">
        <f t="shared" si="23"/>
        <v>195</v>
      </c>
      <c r="R201" s="80">
        <f t="shared" si="24"/>
        <v>100</v>
      </c>
      <c r="S201" s="77">
        <f t="shared" si="25"/>
        <v>695</v>
      </c>
      <c r="T201" s="77">
        <f>0</f>
        <v>0</v>
      </c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</row>
    <row r="202" spans="1:30" ht="15.75" x14ac:dyDescent="0.25">
      <c r="A202" s="13">
        <v>47058</v>
      </c>
      <c r="B202" s="91">
        <v>30</v>
      </c>
      <c r="C202" s="77">
        <f>122.58</f>
        <v>122.58</v>
      </c>
      <c r="D202" s="77">
        <f>297.941</f>
        <v>297.94099999999997</v>
      </c>
      <c r="E202" s="86">
        <f>89.177</f>
        <v>89.177000000000007</v>
      </c>
      <c r="F202" s="77">
        <f>240.302-40-60-100</f>
        <v>40.301999999999992</v>
      </c>
      <c r="G202" s="80">
        <v>40</v>
      </c>
      <c r="H202" s="77">
        <f>60+100</f>
        <v>160</v>
      </c>
      <c r="I202" s="77">
        <f t="shared" si="28"/>
        <v>0</v>
      </c>
      <c r="J202" s="80">
        <v>100</v>
      </c>
      <c r="K202" s="80">
        <v>300</v>
      </c>
      <c r="L202" s="77">
        <f t="shared" si="22"/>
        <v>1150</v>
      </c>
      <c r="M202" s="88">
        <v>600</v>
      </c>
      <c r="N202" s="77">
        <f>100</f>
        <v>100</v>
      </c>
      <c r="O202" s="80">
        <v>240</v>
      </c>
      <c r="P202" s="80">
        <v>40</v>
      </c>
      <c r="Q202" s="80">
        <f t="shared" si="23"/>
        <v>315</v>
      </c>
      <c r="R202" s="80">
        <f t="shared" si="24"/>
        <v>100</v>
      </c>
      <c r="S202" s="77">
        <f t="shared" si="25"/>
        <v>695</v>
      </c>
      <c r="T202" s="77">
        <f>50</f>
        <v>50</v>
      </c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</row>
    <row r="203" spans="1:30" ht="15.75" x14ac:dyDescent="0.25">
      <c r="A203" s="13">
        <v>47088</v>
      </c>
      <c r="B203" s="91">
        <v>31</v>
      </c>
      <c r="C203" s="77">
        <f>122.58</f>
        <v>122.58</v>
      </c>
      <c r="D203" s="77">
        <f>297.941</f>
        <v>297.94099999999997</v>
      </c>
      <c r="E203" s="86">
        <f>89.177</f>
        <v>89.177000000000007</v>
      </c>
      <c r="F203" s="77">
        <f>240.302-40-60-100</f>
        <v>40.301999999999992</v>
      </c>
      <c r="G203" s="80">
        <v>40</v>
      </c>
      <c r="H203" s="77">
        <f>60+100</f>
        <v>160</v>
      </c>
      <c r="I203" s="77">
        <f t="shared" si="28"/>
        <v>0</v>
      </c>
      <c r="J203" s="80">
        <v>100</v>
      </c>
      <c r="K203" s="80">
        <v>300</v>
      </c>
      <c r="L203" s="77">
        <f t="shared" si="22"/>
        <v>1150</v>
      </c>
      <c r="M203" s="88">
        <v>600</v>
      </c>
      <c r="N203" s="77">
        <f>100</f>
        <v>100</v>
      </c>
      <c r="O203" s="80">
        <v>240</v>
      </c>
      <c r="P203" s="80">
        <v>40</v>
      </c>
      <c r="Q203" s="80">
        <f t="shared" si="23"/>
        <v>315</v>
      </c>
      <c r="R203" s="80">
        <f t="shared" si="24"/>
        <v>100</v>
      </c>
      <c r="S203" s="77">
        <f t="shared" si="25"/>
        <v>695</v>
      </c>
      <c r="T203" s="77">
        <f>50</f>
        <v>50</v>
      </c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</row>
    <row r="204" spans="1:30" ht="15.75" x14ac:dyDescent="0.25">
      <c r="A204" s="13">
        <v>47119</v>
      </c>
      <c r="B204" s="91">
        <v>31</v>
      </c>
      <c r="C204" s="77">
        <f>122.58</f>
        <v>122.58</v>
      </c>
      <c r="D204" s="77">
        <f>297.941</f>
        <v>297.94099999999997</v>
      </c>
      <c r="E204" s="86">
        <f>89.177</f>
        <v>89.177000000000007</v>
      </c>
      <c r="F204" s="77">
        <f>240.302-40-60-100</f>
        <v>40.301999999999992</v>
      </c>
      <c r="G204" s="80">
        <v>40</v>
      </c>
      <c r="H204" s="77">
        <f>60+100</f>
        <v>160</v>
      </c>
      <c r="I204" s="77">
        <f t="shared" si="28"/>
        <v>0</v>
      </c>
      <c r="J204" s="80">
        <v>100</v>
      </c>
      <c r="K204" s="80">
        <v>300</v>
      </c>
      <c r="L204" s="77">
        <f t="shared" si="22"/>
        <v>1150</v>
      </c>
      <c r="M204" s="88">
        <v>600</v>
      </c>
      <c r="N204" s="77">
        <f>100</f>
        <v>100</v>
      </c>
      <c r="O204" s="80">
        <v>240</v>
      </c>
      <c r="P204" s="80">
        <v>40</v>
      </c>
      <c r="Q204" s="80">
        <f t="shared" si="23"/>
        <v>315</v>
      </c>
      <c r="R204" s="80">
        <f t="shared" si="24"/>
        <v>100</v>
      </c>
      <c r="S204" s="77">
        <f t="shared" si="25"/>
        <v>695</v>
      </c>
      <c r="T204" s="77">
        <f>50</f>
        <v>50</v>
      </c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</row>
    <row r="205" spans="1:30" ht="15.75" x14ac:dyDescent="0.25">
      <c r="A205" s="13">
        <v>47150</v>
      </c>
      <c r="B205" s="91">
        <v>28</v>
      </c>
      <c r="C205" s="77">
        <f>122.58</f>
        <v>122.58</v>
      </c>
      <c r="D205" s="77">
        <f>297.941</f>
        <v>297.94099999999997</v>
      </c>
      <c r="E205" s="86">
        <f>89.177</f>
        <v>89.177000000000007</v>
      </c>
      <c r="F205" s="77">
        <f>240.302-40-60-100</f>
        <v>40.301999999999992</v>
      </c>
      <c r="G205" s="80">
        <v>40</v>
      </c>
      <c r="H205" s="77">
        <f>60+100</f>
        <v>160</v>
      </c>
      <c r="I205" s="77">
        <f t="shared" si="28"/>
        <v>0</v>
      </c>
      <c r="J205" s="80">
        <v>100</v>
      </c>
      <c r="K205" s="80">
        <v>300</v>
      </c>
      <c r="L205" s="77">
        <f t="shared" si="22"/>
        <v>1150</v>
      </c>
      <c r="M205" s="88">
        <v>600</v>
      </c>
      <c r="N205" s="77">
        <f>100</f>
        <v>100</v>
      </c>
      <c r="O205" s="80">
        <v>240</v>
      </c>
      <c r="P205" s="80">
        <v>40</v>
      </c>
      <c r="Q205" s="80">
        <f t="shared" si="23"/>
        <v>315</v>
      </c>
      <c r="R205" s="80">
        <f t="shared" si="24"/>
        <v>100</v>
      </c>
      <c r="S205" s="77">
        <f t="shared" si="25"/>
        <v>695</v>
      </c>
      <c r="T205" s="77">
        <f>50</f>
        <v>50</v>
      </c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</row>
    <row r="206" spans="1:30" ht="15.75" x14ac:dyDescent="0.25">
      <c r="A206" s="13">
        <v>47178</v>
      </c>
      <c r="B206" s="91">
        <v>31</v>
      </c>
      <c r="C206" s="77">
        <f>122.58</f>
        <v>122.58</v>
      </c>
      <c r="D206" s="77">
        <f>297.941</f>
        <v>297.94099999999997</v>
      </c>
      <c r="E206" s="86">
        <f>89.177</f>
        <v>89.177000000000007</v>
      </c>
      <c r="F206" s="77">
        <f>240.302-40-60-100</f>
        <v>40.301999999999992</v>
      </c>
      <c r="G206" s="80">
        <v>40</v>
      </c>
      <c r="H206" s="77">
        <f>60+100</f>
        <v>160</v>
      </c>
      <c r="I206" s="77">
        <f t="shared" si="28"/>
        <v>0</v>
      </c>
      <c r="J206" s="80">
        <v>100</v>
      </c>
      <c r="K206" s="80">
        <v>300</v>
      </c>
      <c r="L206" s="77">
        <f t="shared" si="22"/>
        <v>1150</v>
      </c>
      <c r="M206" s="88">
        <v>600</v>
      </c>
      <c r="N206" s="77">
        <f>100</f>
        <v>100</v>
      </c>
      <c r="O206" s="80">
        <v>240</v>
      </c>
      <c r="P206" s="80">
        <v>40</v>
      </c>
      <c r="Q206" s="80">
        <f t="shared" si="23"/>
        <v>315</v>
      </c>
      <c r="R206" s="80">
        <f t="shared" si="24"/>
        <v>100</v>
      </c>
      <c r="S206" s="77">
        <f t="shared" si="25"/>
        <v>695</v>
      </c>
      <c r="T206" s="77">
        <f>50</f>
        <v>50</v>
      </c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</row>
    <row r="207" spans="1:30" ht="15.75" x14ac:dyDescent="0.25">
      <c r="A207" s="13">
        <v>47209</v>
      </c>
      <c r="B207" s="91">
        <v>30</v>
      </c>
      <c r="C207" s="77">
        <f>141.293</f>
        <v>141.29300000000001</v>
      </c>
      <c r="D207" s="77">
        <f>267.993</f>
        <v>267.99299999999999</v>
      </c>
      <c r="E207" s="86">
        <f>115.016</f>
        <v>115.01600000000001</v>
      </c>
      <c r="F207" s="77">
        <f>314.698-40-25-60-100</f>
        <v>89.697999999999979</v>
      </c>
      <c r="G207" s="80">
        <v>40</v>
      </c>
      <c r="H207" s="77">
        <f t="shared" ref="H207:H213" si="31">25+60+100</f>
        <v>185</v>
      </c>
      <c r="I207" s="77">
        <f t="shared" si="28"/>
        <v>0</v>
      </c>
      <c r="J207" s="80">
        <v>100</v>
      </c>
      <c r="K207" s="80">
        <v>300</v>
      </c>
      <c r="L207" s="77">
        <f t="shared" si="22"/>
        <v>1239</v>
      </c>
      <c r="M207" s="88">
        <v>600</v>
      </c>
      <c r="N207" s="77">
        <f>100</f>
        <v>100</v>
      </c>
      <c r="O207" s="80">
        <v>240</v>
      </c>
      <c r="P207" s="80">
        <v>160</v>
      </c>
      <c r="Q207" s="80">
        <f t="shared" si="23"/>
        <v>195</v>
      </c>
      <c r="R207" s="80">
        <f t="shared" si="24"/>
        <v>100</v>
      </c>
      <c r="S207" s="77">
        <f t="shared" si="25"/>
        <v>695</v>
      </c>
      <c r="T207" s="77">
        <f>50</f>
        <v>50</v>
      </c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</row>
    <row r="208" spans="1:30" ht="15.75" x14ac:dyDescent="0.25">
      <c r="A208" s="13">
        <v>47239</v>
      </c>
      <c r="B208" s="91">
        <v>31</v>
      </c>
      <c r="C208" s="77">
        <f>194.205</f>
        <v>194.20500000000001</v>
      </c>
      <c r="D208" s="77">
        <f>267.466</f>
        <v>267.46600000000001</v>
      </c>
      <c r="E208" s="86">
        <f>133.845</f>
        <v>133.845</v>
      </c>
      <c r="F208" s="77">
        <f>278.484-40-25-60-100</f>
        <v>53.48399999999998</v>
      </c>
      <c r="G208" s="80">
        <v>40</v>
      </c>
      <c r="H208" s="77">
        <f t="shared" si="31"/>
        <v>185</v>
      </c>
      <c r="I208" s="77">
        <f t="shared" si="28"/>
        <v>0</v>
      </c>
      <c r="J208" s="80">
        <v>100</v>
      </c>
      <c r="K208" s="80">
        <v>300</v>
      </c>
      <c r="L208" s="77">
        <f t="shared" si="22"/>
        <v>1274</v>
      </c>
      <c r="M208" s="88">
        <v>600</v>
      </c>
      <c r="N208" s="77">
        <f>75</f>
        <v>75</v>
      </c>
      <c r="O208" s="80">
        <v>240</v>
      </c>
      <c r="P208" s="80">
        <v>160</v>
      </c>
      <c r="Q208" s="80">
        <f t="shared" si="23"/>
        <v>195</v>
      </c>
      <c r="R208" s="80">
        <f t="shared" si="24"/>
        <v>100</v>
      </c>
      <c r="S208" s="77">
        <f t="shared" si="25"/>
        <v>695</v>
      </c>
      <c r="T208" s="77">
        <f>50</f>
        <v>50</v>
      </c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</row>
    <row r="209" spans="1:30" ht="15.75" x14ac:dyDescent="0.25">
      <c r="A209" s="13">
        <v>47270</v>
      </c>
      <c r="B209" s="91">
        <v>30</v>
      </c>
      <c r="C209" s="77">
        <f>194.205</f>
        <v>194.20500000000001</v>
      </c>
      <c r="D209" s="77">
        <f>267.466</f>
        <v>267.46600000000001</v>
      </c>
      <c r="E209" s="86">
        <f>133.845</f>
        <v>133.845</v>
      </c>
      <c r="F209" s="77">
        <f>278.484-40-25-60-100</f>
        <v>53.48399999999998</v>
      </c>
      <c r="G209" s="80">
        <v>40</v>
      </c>
      <c r="H209" s="77">
        <f t="shared" si="31"/>
        <v>185</v>
      </c>
      <c r="I209" s="77">
        <f t="shared" si="28"/>
        <v>0</v>
      </c>
      <c r="J209" s="80">
        <v>100</v>
      </c>
      <c r="K209" s="80">
        <v>300</v>
      </c>
      <c r="L209" s="77">
        <f t="shared" si="22"/>
        <v>1274</v>
      </c>
      <c r="M209" s="88">
        <v>600</v>
      </c>
      <c r="N209" s="77">
        <f>30</f>
        <v>30</v>
      </c>
      <c r="O209" s="80">
        <v>240</v>
      </c>
      <c r="P209" s="80">
        <v>160</v>
      </c>
      <c r="Q209" s="80">
        <f t="shared" si="23"/>
        <v>195</v>
      </c>
      <c r="R209" s="80">
        <f t="shared" si="24"/>
        <v>100</v>
      </c>
      <c r="S209" s="77">
        <f t="shared" si="25"/>
        <v>695</v>
      </c>
      <c r="T209" s="77">
        <f>50</f>
        <v>50</v>
      </c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</row>
    <row r="210" spans="1:30" ht="15.75" x14ac:dyDescent="0.25">
      <c r="A210" s="13">
        <v>47300</v>
      </c>
      <c r="B210" s="91">
        <v>31</v>
      </c>
      <c r="C210" s="77">
        <f>194.205</f>
        <v>194.20500000000001</v>
      </c>
      <c r="D210" s="77">
        <f>267.466</f>
        <v>267.46600000000001</v>
      </c>
      <c r="E210" s="86">
        <f>133.845</f>
        <v>133.845</v>
      </c>
      <c r="F210" s="77">
        <f>278.484-40-25-60-100</f>
        <v>53.48399999999998</v>
      </c>
      <c r="G210" s="80">
        <v>40</v>
      </c>
      <c r="H210" s="77">
        <f t="shared" si="31"/>
        <v>185</v>
      </c>
      <c r="I210" s="77">
        <f t="shared" si="28"/>
        <v>0</v>
      </c>
      <c r="J210" s="80">
        <v>100</v>
      </c>
      <c r="K210" s="80">
        <v>300</v>
      </c>
      <c r="L210" s="77">
        <f t="shared" si="22"/>
        <v>1274</v>
      </c>
      <c r="M210" s="88">
        <v>600</v>
      </c>
      <c r="N210" s="77">
        <f>30</f>
        <v>30</v>
      </c>
      <c r="O210" s="80">
        <v>240</v>
      </c>
      <c r="P210" s="80">
        <v>160</v>
      </c>
      <c r="Q210" s="80">
        <f t="shared" si="23"/>
        <v>195</v>
      </c>
      <c r="R210" s="80">
        <f t="shared" si="24"/>
        <v>100</v>
      </c>
      <c r="S210" s="77">
        <f t="shared" si="25"/>
        <v>695</v>
      </c>
      <c r="T210" s="77">
        <f>0</f>
        <v>0</v>
      </c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</row>
    <row r="211" spans="1:30" ht="15.75" x14ac:dyDescent="0.25">
      <c r="A211" s="13">
        <v>47331</v>
      </c>
      <c r="B211" s="91">
        <v>31</v>
      </c>
      <c r="C211" s="77">
        <f>194.205</f>
        <v>194.20500000000001</v>
      </c>
      <c r="D211" s="77">
        <f>267.466</f>
        <v>267.46600000000001</v>
      </c>
      <c r="E211" s="86">
        <f>133.845</f>
        <v>133.845</v>
      </c>
      <c r="F211" s="77">
        <f>278.484-40-25-60-100</f>
        <v>53.48399999999998</v>
      </c>
      <c r="G211" s="80">
        <v>40</v>
      </c>
      <c r="H211" s="77">
        <f t="shared" si="31"/>
        <v>185</v>
      </c>
      <c r="I211" s="77">
        <f t="shared" si="28"/>
        <v>0</v>
      </c>
      <c r="J211" s="80">
        <v>100</v>
      </c>
      <c r="K211" s="80">
        <v>300</v>
      </c>
      <c r="L211" s="77">
        <f t="shared" ref="L211:L274" si="32">SUM(C211:K211)</f>
        <v>1274</v>
      </c>
      <c r="M211" s="88">
        <v>600</v>
      </c>
      <c r="N211" s="77">
        <f>30</f>
        <v>30</v>
      </c>
      <c r="O211" s="80">
        <v>240</v>
      </c>
      <c r="P211" s="80">
        <v>160</v>
      </c>
      <c r="Q211" s="80">
        <f t="shared" ref="Q211:Q274" si="33">695-R211-O211-P211</f>
        <v>195</v>
      </c>
      <c r="R211" s="80">
        <f t="shared" ref="R211:R274" si="34">200-J211</f>
        <v>100</v>
      </c>
      <c r="S211" s="77">
        <f t="shared" ref="S211:S274" si="35">SUM(O211:R211)</f>
        <v>695</v>
      </c>
      <c r="T211" s="77">
        <f>0</f>
        <v>0</v>
      </c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</row>
    <row r="212" spans="1:30" ht="15.75" x14ac:dyDescent="0.25">
      <c r="A212" s="13">
        <v>47362</v>
      </c>
      <c r="B212" s="91">
        <v>30</v>
      </c>
      <c r="C212" s="77">
        <f>194.205</f>
        <v>194.20500000000001</v>
      </c>
      <c r="D212" s="77">
        <f>267.466</f>
        <v>267.46600000000001</v>
      </c>
      <c r="E212" s="86">
        <f>133.845</f>
        <v>133.845</v>
      </c>
      <c r="F212" s="77">
        <f>278.484-40-25-60-100</f>
        <v>53.48399999999998</v>
      </c>
      <c r="G212" s="80">
        <v>40</v>
      </c>
      <c r="H212" s="77">
        <f t="shared" si="31"/>
        <v>185</v>
      </c>
      <c r="I212" s="77">
        <f t="shared" si="28"/>
        <v>0</v>
      </c>
      <c r="J212" s="80">
        <v>100</v>
      </c>
      <c r="K212" s="80">
        <v>300</v>
      </c>
      <c r="L212" s="77">
        <f t="shared" si="32"/>
        <v>1274</v>
      </c>
      <c r="M212" s="88">
        <v>600</v>
      </c>
      <c r="N212" s="77">
        <f>30</f>
        <v>30</v>
      </c>
      <c r="O212" s="80">
        <v>240</v>
      </c>
      <c r="P212" s="80">
        <v>160</v>
      </c>
      <c r="Q212" s="80">
        <f t="shared" si="33"/>
        <v>195</v>
      </c>
      <c r="R212" s="80">
        <f t="shared" si="34"/>
        <v>100</v>
      </c>
      <c r="S212" s="77">
        <f t="shared" si="35"/>
        <v>695</v>
      </c>
      <c r="T212" s="77">
        <f>0</f>
        <v>0</v>
      </c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</row>
    <row r="213" spans="1:30" ht="15.75" x14ac:dyDescent="0.25">
      <c r="A213" s="13">
        <v>47392</v>
      </c>
      <c r="B213" s="91">
        <v>31</v>
      </c>
      <c r="C213" s="77">
        <f>131.881</f>
        <v>131.881</v>
      </c>
      <c r="D213" s="77">
        <f>277.167</f>
        <v>277.16699999999997</v>
      </c>
      <c r="E213" s="86">
        <f>79.08</f>
        <v>79.08</v>
      </c>
      <c r="F213" s="77">
        <f>350.872-40-25-60-100</f>
        <v>125.87200000000001</v>
      </c>
      <c r="G213" s="80">
        <v>40</v>
      </c>
      <c r="H213" s="77">
        <f t="shared" si="31"/>
        <v>185</v>
      </c>
      <c r="I213" s="77">
        <f t="shared" si="28"/>
        <v>0</v>
      </c>
      <c r="J213" s="80">
        <v>100</v>
      </c>
      <c r="K213" s="80">
        <v>300</v>
      </c>
      <c r="L213" s="77">
        <f t="shared" si="32"/>
        <v>1239</v>
      </c>
      <c r="M213" s="88">
        <v>600</v>
      </c>
      <c r="N213" s="77">
        <f>75</f>
        <v>75</v>
      </c>
      <c r="O213" s="80">
        <v>240</v>
      </c>
      <c r="P213" s="80">
        <v>160</v>
      </c>
      <c r="Q213" s="80">
        <f t="shared" si="33"/>
        <v>195</v>
      </c>
      <c r="R213" s="80">
        <f t="shared" si="34"/>
        <v>100</v>
      </c>
      <c r="S213" s="77">
        <f t="shared" si="35"/>
        <v>695</v>
      </c>
      <c r="T213" s="77">
        <f>0</f>
        <v>0</v>
      </c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</row>
    <row r="214" spans="1:30" ht="15.75" x14ac:dyDescent="0.25">
      <c r="A214" s="13">
        <v>47423</v>
      </c>
      <c r="B214" s="91">
        <v>30</v>
      </c>
      <c r="C214" s="77">
        <f>122.58</f>
        <v>122.58</v>
      </c>
      <c r="D214" s="77">
        <f>297.941</f>
        <v>297.94099999999997</v>
      </c>
      <c r="E214" s="86">
        <f>89.177</f>
        <v>89.177000000000007</v>
      </c>
      <c r="F214" s="77">
        <f>240.302-40-60-100</f>
        <v>40.301999999999992</v>
      </c>
      <c r="G214" s="80">
        <v>40</v>
      </c>
      <c r="H214" s="77">
        <f>60+100</f>
        <v>160</v>
      </c>
      <c r="I214" s="77">
        <f t="shared" si="28"/>
        <v>0</v>
      </c>
      <c r="J214" s="80">
        <v>100</v>
      </c>
      <c r="K214" s="80">
        <v>300</v>
      </c>
      <c r="L214" s="77">
        <f t="shared" si="32"/>
        <v>1150</v>
      </c>
      <c r="M214" s="88">
        <v>600</v>
      </c>
      <c r="N214" s="77">
        <f>100</f>
        <v>100</v>
      </c>
      <c r="O214" s="80">
        <v>240</v>
      </c>
      <c r="P214" s="80">
        <v>40</v>
      </c>
      <c r="Q214" s="80">
        <f t="shared" si="33"/>
        <v>315</v>
      </c>
      <c r="R214" s="80">
        <f t="shared" si="34"/>
        <v>100</v>
      </c>
      <c r="S214" s="77">
        <f t="shared" si="35"/>
        <v>695</v>
      </c>
      <c r="T214" s="77">
        <f>50</f>
        <v>50</v>
      </c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</row>
    <row r="215" spans="1:30" ht="15.75" x14ac:dyDescent="0.25">
      <c r="A215" s="13">
        <v>47453</v>
      </c>
      <c r="B215" s="91">
        <v>31</v>
      </c>
      <c r="C215" s="77">
        <f>122.58</f>
        <v>122.58</v>
      </c>
      <c r="D215" s="77">
        <f>297.941</f>
        <v>297.94099999999997</v>
      </c>
      <c r="E215" s="86">
        <f>89.177</f>
        <v>89.177000000000007</v>
      </c>
      <c r="F215" s="77">
        <f>240.302-40-60-100</f>
        <v>40.301999999999992</v>
      </c>
      <c r="G215" s="80">
        <v>40</v>
      </c>
      <c r="H215" s="77">
        <f>60+100</f>
        <v>160</v>
      </c>
      <c r="I215" s="77">
        <f t="shared" si="28"/>
        <v>0</v>
      </c>
      <c r="J215" s="80">
        <v>100</v>
      </c>
      <c r="K215" s="80">
        <v>300</v>
      </c>
      <c r="L215" s="77">
        <f t="shared" si="32"/>
        <v>1150</v>
      </c>
      <c r="M215" s="88">
        <v>600</v>
      </c>
      <c r="N215" s="77">
        <f>100</f>
        <v>100</v>
      </c>
      <c r="O215" s="80">
        <v>240</v>
      </c>
      <c r="P215" s="80">
        <v>40</v>
      </c>
      <c r="Q215" s="80">
        <f t="shared" si="33"/>
        <v>315</v>
      </c>
      <c r="R215" s="80">
        <f t="shared" si="34"/>
        <v>100</v>
      </c>
      <c r="S215" s="77">
        <f t="shared" si="35"/>
        <v>695</v>
      </c>
      <c r="T215" s="77">
        <f>50</f>
        <v>50</v>
      </c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</row>
    <row r="216" spans="1:30" ht="15.75" x14ac:dyDescent="0.25">
      <c r="A216" s="13">
        <v>47484</v>
      </c>
      <c r="B216" s="91">
        <v>31</v>
      </c>
      <c r="C216" s="77">
        <f>122.58</f>
        <v>122.58</v>
      </c>
      <c r="D216" s="77">
        <f>297.941</f>
        <v>297.94099999999997</v>
      </c>
      <c r="E216" s="86">
        <f>89.177</f>
        <v>89.177000000000007</v>
      </c>
      <c r="F216" s="77">
        <f>240.302-40-60-100</f>
        <v>40.301999999999992</v>
      </c>
      <c r="G216" s="80">
        <v>40</v>
      </c>
      <c r="H216" s="77">
        <f>60+100</f>
        <v>160</v>
      </c>
      <c r="I216" s="77">
        <f t="shared" si="28"/>
        <v>0</v>
      </c>
      <c r="J216" s="80">
        <v>100</v>
      </c>
      <c r="K216" s="80">
        <v>300</v>
      </c>
      <c r="L216" s="77">
        <f t="shared" si="32"/>
        <v>1150</v>
      </c>
      <c r="M216" s="88">
        <v>600</v>
      </c>
      <c r="N216" s="77">
        <f>100</f>
        <v>100</v>
      </c>
      <c r="O216" s="80">
        <v>240</v>
      </c>
      <c r="P216" s="80">
        <v>40</v>
      </c>
      <c r="Q216" s="80">
        <f t="shared" si="33"/>
        <v>315</v>
      </c>
      <c r="R216" s="80">
        <f t="shared" si="34"/>
        <v>100</v>
      </c>
      <c r="S216" s="77">
        <f t="shared" si="35"/>
        <v>695</v>
      </c>
      <c r="T216" s="77">
        <f>50</f>
        <v>50</v>
      </c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</row>
    <row r="217" spans="1:30" ht="15.75" x14ac:dyDescent="0.25">
      <c r="A217" s="13">
        <v>47515</v>
      </c>
      <c r="B217" s="91">
        <v>28</v>
      </c>
      <c r="C217" s="77">
        <f>122.58</f>
        <v>122.58</v>
      </c>
      <c r="D217" s="77">
        <f>297.941</f>
        <v>297.94099999999997</v>
      </c>
      <c r="E217" s="86">
        <f>89.177</f>
        <v>89.177000000000007</v>
      </c>
      <c r="F217" s="77">
        <f>240.302-40-60-100</f>
        <v>40.301999999999992</v>
      </c>
      <c r="G217" s="80">
        <v>40</v>
      </c>
      <c r="H217" s="77">
        <f>60+100</f>
        <v>160</v>
      </c>
      <c r="I217" s="77">
        <f t="shared" si="28"/>
        <v>0</v>
      </c>
      <c r="J217" s="80">
        <v>100</v>
      </c>
      <c r="K217" s="80">
        <v>300</v>
      </c>
      <c r="L217" s="77">
        <f t="shared" si="32"/>
        <v>1150</v>
      </c>
      <c r="M217" s="88">
        <v>600</v>
      </c>
      <c r="N217" s="77">
        <f>100</f>
        <v>100</v>
      </c>
      <c r="O217" s="80">
        <v>240</v>
      </c>
      <c r="P217" s="80">
        <v>40</v>
      </c>
      <c r="Q217" s="80">
        <f t="shared" si="33"/>
        <v>315</v>
      </c>
      <c r="R217" s="80">
        <f t="shared" si="34"/>
        <v>100</v>
      </c>
      <c r="S217" s="77">
        <f t="shared" si="35"/>
        <v>695</v>
      </c>
      <c r="T217" s="77">
        <f>50</f>
        <v>50</v>
      </c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</row>
    <row r="218" spans="1:30" ht="15.75" x14ac:dyDescent="0.25">
      <c r="A218" s="13">
        <v>47543</v>
      </c>
      <c r="B218" s="91">
        <v>31</v>
      </c>
      <c r="C218" s="77">
        <f>122.58</f>
        <v>122.58</v>
      </c>
      <c r="D218" s="77">
        <f>297.941</f>
        <v>297.94099999999997</v>
      </c>
      <c r="E218" s="86">
        <f>89.177</f>
        <v>89.177000000000007</v>
      </c>
      <c r="F218" s="77">
        <f>240.302-40-60-100</f>
        <v>40.301999999999992</v>
      </c>
      <c r="G218" s="80">
        <v>40</v>
      </c>
      <c r="H218" s="77">
        <f>60+100</f>
        <v>160</v>
      </c>
      <c r="I218" s="77">
        <f t="shared" si="28"/>
        <v>0</v>
      </c>
      <c r="J218" s="80">
        <v>100</v>
      </c>
      <c r="K218" s="80">
        <v>300</v>
      </c>
      <c r="L218" s="77">
        <f t="shared" si="32"/>
        <v>1150</v>
      </c>
      <c r="M218" s="88">
        <v>600</v>
      </c>
      <c r="N218" s="77">
        <f>100</f>
        <v>100</v>
      </c>
      <c r="O218" s="80">
        <v>240</v>
      </c>
      <c r="P218" s="80">
        <v>40</v>
      </c>
      <c r="Q218" s="80">
        <f t="shared" si="33"/>
        <v>315</v>
      </c>
      <c r="R218" s="80">
        <f t="shared" si="34"/>
        <v>100</v>
      </c>
      <c r="S218" s="77">
        <f t="shared" si="35"/>
        <v>695</v>
      </c>
      <c r="T218" s="77">
        <f>50</f>
        <v>50</v>
      </c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</row>
    <row r="219" spans="1:30" ht="15.75" x14ac:dyDescent="0.25">
      <c r="A219" s="13">
        <v>47574</v>
      </c>
      <c r="B219" s="91">
        <v>30</v>
      </c>
      <c r="C219" s="77">
        <f>141.293</f>
        <v>141.29300000000001</v>
      </c>
      <c r="D219" s="77">
        <f>267.993</f>
        <v>267.99299999999999</v>
      </c>
      <c r="E219" s="86">
        <f>115.016</f>
        <v>115.01600000000001</v>
      </c>
      <c r="F219" s="77">
        <f>314.698-40-25-60-100</f>
        <v>89.697999999999979</v>
      </c>
      <c r="G219" s="80">
        <v>40</v>
      </c>
      <c r="H219" s="77">
        <f t="shared" ref="H219:H225" si="36">25+60+100</f>
        <v>185</v>
      </c>
      <c r="I219" s="77">
        <f t="shared" si="28"/>
        <v>0</v>
      </c>
      <c r="J219" s="80">
        <v>100</v>
      </c>
      <c r="K219" s="80">
        <v>300</v>
      </c>
      <c r="L219" s="77">
        <f t="shared" si="32"/>
        <v>1239</v>
      </c>
      <c r="M219" s="88">
        <v>600</v>
      </c>
      <c r="N219" s="77">
        <f>100</f>
        <v>100</v>
      </c>
      <c r="O219" s="80">
        <v>240</v>
      </c>
      <c r="P219" s="80">
        <v>160</v>
      </c>
      <c r="Q219" s="80">
        <f t="shared" si="33"/>
        <v>195</v>
      </c>
      <c r="R219" s="80">
        <f t="shared" si="34"/>
        <v>100</v>
      </c>
      <c r="S219" s="77">
        <f t="shared" si="35"/>
        <v>695</v>
      </c>
      <c r="T219" s="77">
        <f>50</f>
        <v>50</v>
      </c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</row>
    <row r="220" spans="1:30" ht="15.75" x14ac:dyDescent="0.25">
      <c r="A220" s="13">
        <v>47604</v>
      </c>
      <c r="B220" s="91">
        <v>31</v>
      </c>
      <c r="C220" s="77">
        <f>194.205</f>
        <v>194.20500000000001</v>
      </c>
      <c r="D220" s="77">
        <f>267.466</f>
        <v>267.46600000000001</v>
      </c>
      <c r="E220" s="86">
        <f>133.845</f>
        <v>133.845</v>
      </c>
      <c r="F220" s="77">
        <f>278.484-40-25-60-100</f>
        <v>53.48399999999998</v>
      </c>
      <c r="G220" s="80">
        <v>40</v>
      </c>
      <c r="H220" s="77">
        <f t="shared" si="36"/>
        <v>185</v>
      </c>
      <c r="I220" s="77">
        <f t="shared" si="28"/>
        <v>0</v>
      </c>
      <c r="J220" s="80">
        <v>100</v>
      </c>
      <c r="K220" s="80">
        <v>300</v>
      </c>
      <c r="L220" s="77">
        <f t="shared" si="32"/>
        <v>1274</v>
      </c>
      <c r="M220" s="88">
        <v>600</v>
      </c>
      <c r="N220" s="77">
        <f>75</f>
        <v>75</v>
      </c>
      <c r="O220" s="80">
        <v>240</v>
      </c>
      <c r="P220" s="80">
        <v>160</v>
      </c>
      <c r="Q220" s="80">
        <f t="shared" si="33"/>
        <v>195</v>
      </c>
      <c r="R220" s="80">
        <f t="shared" si="34"/>
        <v>100</v>
      </c>
      <c r="S220" s="77">
        <f t="shared" si="35"/>
        <v>695</v>
      </c>
      <c r="T220" s="77">
        <f>50</f>
        <v>50</v>
      </c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</row>
    <row r="221" spans="1:30" ht="15.75" x14ac:dyDescent="0.25">
      <c r="A221" s="13">
        <v>47635</v>
      </c>
      <c r="B221" s="91">
        <v>30</v>
      </c>
      <c r="C221" s="77">
        <f>194.205</f>
        <v>194.20500000000001</v>
      </c>
      <c r="D221" s="77">
        <f>267.466</f>
        <v>267.46600000000001</v>
      </c>
      <c r="E221" s="86">
        <f>133.845</f>
        <v>133.845</v>
      </c>
      <c r="F221" s="77">
        <f>278.484-40-25-60-100</f>
        <v>53.48399999999998</v>
      </c>
      <c r="G221" s="80">
        <v>40</v>
      </c>
      <c r="H221" s="77">
        <f t="shared" si="36"/>
        <v>185</v>
      </c>
      <c r="I221" s="77">
        <f t="shared" si="28"/>
        <v>0</v>
      </c>
      <c r="J221" s="80">
        <v>100</v>
      </c>
      <c r="K221" s="80">
        <v>300</v>
      </c>
      <c r="L221" s="77">
        <f t="shared" si="32"/>
        <v>1274</v>
      </c>
      <c r="M221" s="88">
        <v>600</v>
      </c>
      <c r="N221" s="77">
        <f>30</f>
        <v>30</v>
      </c>
      <c r="O221" s="80">
        <v>240</v>
      </c>
      <c r="P221" s="80">
        <v>160</v>
      </c>
      <c r="Q221" s="80">
        <f t="shared" si="33"/>
        <v>195</v>
      </c>
      <c r="R221" s="80">
        <f t="shared" si="34"/>
        <v>100</v>
      </c>
      <c r="S221" s="77">
        <f t="shared" si="35"/>
        <v>695</v>
      </c>
      <c r="T221" s="77">
        <f>50</f>
        <v>50</v>
      </c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</row>
    <row r="222" spans="1:30" ht="15.75" x14ac:dyDescent="0.25">
      <c r="A222" s="13">
        <v>47665</v>
      </c>
      <c r="B222" s="91">
        <v>31</v>
      </c>
      <c r="C222" s="77">
        <f>194.205</f>
        <v>194.20500000000001</v>
      </c>
      <c r="D222" s="77">
        <f>267.466</f>
        <v>267.46600000000001</v>
      </c>
      <c r="E222" s="86">
        <f>133.845</f>
        <v>133.845</v>
      </c>
      <c r="F222" s="77">
        <f>278.484-40-25-60-100</f>
        <v>53.48399999999998</v>
      </c>
      <c r="G222" s="80">
        <v>40</v>
      </c>
      <c r="H222" s="77">
        <f t="shared" si="36"/>
        <v>185</v>
      </c>
      <c r="I222" s="77">
        <f t="shared" si="28"/>
        <v>0</v>
      </c>
      <c r="J222" s="80">
        <v>100</v>
      </c>
      <c r="K222" s="80">
        <v>300</v>
      </c>
      <c r="L222" s="77">
        <f t="shared" si="32"/>
        <v>1274</v>
      </c>
      <c r="M222" s="88">
        <v>600</v>
      </c>
      <c r="N222" s="77">
        <f>30</f>
        <v>30</v>
      </c>
      <c r="O222" s="80">
        <v>240</v>
      </c>
      <c r="P222" s="80">
        <v>160</v>
      </c>
      <c r="Q222" s="80">
        <f t="shared" si="33"/>
        <v>195</v>
      </c>
      <c r="R222" s="80">
        <f t="shared" si="34"/>
        <v>100</v>
      </c>
      <c r="S222" s="77">
        <f t="shared" si="35"/>
        <v>695</v>
      </c>
      <c r="T222" s="77">
        <f>0</f>
        <v>0</v>
      </c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</row>
    <row r="223" spans="1:30" ht="15.75" x14ac:dyDescent="0.25">
      <c r="A223" s="13">
        <v>47696</v>
      </c>
      <c r="B223" s="91">
        <v>31</v>
      </c>
      <c r="C223" s="77">
        <f>194.205</f>
        <v>194.20500000000001</v>
      </c>
      <c r="D223" s="77">
        <f>267.466</f>
        <v>267.46600000000001</v>
      </c>
      <c r="E223" s="86">
        <f>133.845</f>
        <v>133.845</v>
      </c>
      <c r="F223" s="77">
        <f>278.484-40-25-60-100</f>
        <v>53.48399999999998</v>
      </c>
      <c r="G223" s="80">
        <v>40</v>
      </c>
      <c r="H223" s="77">
        <f t="shared" si="36"/>
        <v>185</v>
      </c>
      <c r="I223" s="77">
        <f t="shared" si="28"/>
        <v>0</v>
      </c>
      <c r="J223" s="80">
        <v>100</v>
      </c>
      <c r="K223" s="80">
        <v>300</v>
      </c>
      <c r="L223" s="77">
        <f t="shared" si="32"/>
        <v>1274</v>
      </c>
      <c r="M223" s="88">
        <v>600</v>
      </c>
      <c r="N223" s="77">
        <f>30</f>
        <v>30</v>
      </c>
      <c r="O223" s="80">
        <v>240</v>
      </c>
      <c r="P223" s="80">
        <v>160</v>
      </c>
      <c r="Q223" s="80">
        <f t="shared" si="33"/>
        <v>195</v>
      </c>
      <c r="R223" s="80">
        <f t="shared" si="34"/>
        <v>100</v>
      </c>
      <c r="S223" s="77">
        <f t="shared" si="35"/>
        <v>695</v>
      </c>
      <c r="T223" s="77">
        <f>0</f>
        <v>0</v>
      </c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</row>
    <row r="224" spans="1:30" ht="15.75" x14ac:dyDescent="0.25">
      <c r="A224" s="13">
        <v>47727</v>
      </c>
      <c r="B224" s="91">
        <v>30</v>
      </c>
      <c r="C224" s="77">
        <f>194.205</f>
        <v>194.20500000000001</v>
      </c>
      <c r="D224" s="77">
        <f>267.466</f>
        <v>267.46600000000001</v>
      </c>
      <c r="E224" s="86">
        <f>133.845</f>
        <v>133.845</v>
      </c>
      <c r="F224" s="77">
        <f>278.484-40-25-60-100</f>
        <v>53.48399999999998</v>
      </c>
      <c r="G224" s="80">
        <v>40</v>
      </c>
      <c r="H224" s="77">
        <f t="shared" si="36"/>
        <v>185</v>
      </c>
      <c r="I224" s="77">
        <f t="shared" si="28"/>
        <v>0</v>
      </c>
      <c r="J224" s="80">
        <v>100</v>
      </c>
      <c r="K224" s="80">
        <v>300</v>
      </c>
      <c r="L224" s="77">
        <f t="shared" si="32"/>
        <v>1274</v>
      </c>
      <c r="M224" s="88">
        <v>600</v>
      </c>
      <c r="N224" s="77">
        <f>30</f>
        <v>30</v>
      </c>
      <c r="O224" s="80">
        <v>240</v>
      </c>
      <c r="P224" s="80">
        <v>160</v>
      </c>
      <c r="Q224" s="80">
        <f t="shared" si="33"/>
        <v>195</v>
      </c>
      <c r="R224" s="80">
        <f t="shared" si="34"/>
        <v>100</v>
      </c>
      <c r="S224" s="77">
        <f t="shared" si="35"/>
        <v>695</v>
      </c>
      <c r="T224" s="77">
        <f>0</f>
        <v>0</v>
      </c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</row>
    <row r="225" spans="1:30" ht="15.75" x14ac:dyDescent="0.25">
      <c r="A225" s="13">
        <v>47757</v>
      </c>
      <c r="B225" s="91">
        <v>31</v>
      </c>
      <c r="C225" s="77">
        <f>131.881</f>
        <v>131.881</v>
      </c>
      <c r="D225" s="77">
        <f>277.167</f>
        <v>277.16699999999997</v>
      </c>
      <c r="E225" s="86">
        <f>79.08</f>
        <v>79.08</v>
      </c>
      <c r="F225" s="77">
        <f>350.872-40-25-60-100</f>
        <v>125.87200000000001</v>
      </c>
      <c r="G225" s="80">
        <v>40</v>
      </c>
      <c r="H225" s="77">
        <f t="shared" si="36"/>
        <v>185</v>
      </c>
      <c r="I225" s="77">
        <f t="shared" si="28"/>
        <v>0</v>
      </c>
      <c r="J225" s="80">
        <v>100</v>
      </c>
      <c r="K225" s="80">
        <v>300</v>
      </c>
      <c r="L225" s="77">
        <f t="shared" si="32"/>
        <v>1239</v>
      </c>
      <c r="M225" s="88">
        <v>600</v>
      </c>
      <c r="N225" s="77">
        <f>75</f>
        <v>75</v>
      </c>
      <c r="O225" s="80">
        <v>240</v>
      </c>
      <c r="P225" s="80">
        <v>160</v>
      </c>
      <c r="Q225" s="80">
        <f t="shared" si="33"/>
        <v>195</v>
      </c>
      <c r="R225" s="80">
        <f t="shared" si="34"/>
        <v>100</v>
      </c>
      <c r="S225" s="77">
        <f t="shared" si="35"/>
        <v>695</v>
      </c>
      <c r="T225" s="77">
        <f>0</f>
        <v>0</v>
      </c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</row>
    <row r="226" spans="1:30" ht="15.75" x14ac:dyDescent="0.25">
      <c r="A226" s="13">
        <v>47788</v>
      </c>
      <c r="B226" s="91">
        <v>30</v>
      </c>
      <c r="C226" s="77">
        <f>122.58</f>
        <v>122.58</v>
      </c>
      <c r="D226" s="77">
        <f>297.941</f>
        <v>297.94099999999997</v>
      </c>
      <c r="E226" s="86">
        <f>89.177</f>
        <v>89.177000000000007</v>
      </c>
      <c r="F226" s="77">
        <f>240.302-40-60-100</f>
        <v>40.301999999999992</v>
      </c>
      <c r="G226" s="80">
        <v>40</v>
      </c>
      <c r="H226" s="77">
        <f>60+100</f>
        <v>160</v>
      </c>
      <c r="I226" s="77">
        <f t="shared" si="28"/>
        <v>0</v>
      </c>
      <c r="J226" s="80">
        <v>100</v>
      </c>
      <c r="K226" s="80">
        <v>300</v>
      </c>
      <c r="L226" s="77">
        <f t="shared" si="32"/>
        <v>1150</v>
      </c>
      <c r="M226" s="88">
        <v>600</v>
      </c>
      <c r="N226" s="77">
        <f>100</f>
        <v>100</v>
      </c>
      <c r="O226" s="80">
        <v>240</v>
      </c>
      <c r="P226" s="80">
        <v>40</v>
      </c>
      <c r="Q226" s="80">
        <f t="shared" si="33"/>
        <v>315</v>
      </c>
      <c r="R226" s="80">
        <f t="shared" si="34"/>
        <v>100</v>
      </c>
      <c r="S226" s="77">
        <f t="shared" si="35"/>
        <v>695</v>
      </c>
      <c r="T226" s="77">
        <f>50</f>
        <v>50</v>
      </c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</row>
    <row r="227" spans="1:30" ht="15.75" x14ac:dyDescent="0.25">
      <c r="A227" s="13">
        <v>47818</v>
      </c>
      <c r="B227" s="91">
        <v>31</v>
      </c>
      <c r="C227" s="77">
        <f>122.58</f>
        <v>122.58</v>
      </c>
      <c r="D227" s="77">
        <f>297.941</f>
        <v>297.94099999999997</v>
      </c>
      <c r="E227" s="86">
        <f>89.177</f>
        <v>89.177000000000007</v>
      </c>
      <c r="F227" s="77">
        <f>240.302-40-60-100</f>
        <v>40.301999999999992</v>
      </c>
      <c r="G227" s="80">
        <v>40</v>
      </c>
      <c r="H227" s="77">
        <f>60+100</f>
        <v>160</v>
      </c>
      <c r="I227" s="77">
        <f t="shared" si="28"/>
        <v>0</v>
      </c>
      <c r="J227" s="80">
        <v>100</v>
      </c>
      <c r="K227" s="80">
        <v>300</v>
      </c>
      <c r="L227" s="77">
        <f t="shared" si="32"/>
        <v>1150</v>
      </c>
      <c r="M227" s="88">
        <v>600</v>
      </c>
      <c r="N227" s="77">
        <f>100</f>
        <v>100</v>
      </c>
      <c r="O227" s="80">
        <v>240</v>
      </c>
      <c r="P227" s="80">
        <v>40</v>
      </c>
      <c r="Q227" s="80">
        <f t="shared" si="33"/>
        <v>315</v>
      </c>
      <c r="R227" s="80">
        <f t="shared" si="34"/>
        <v>100</v>
      </c>
      <c r="S227" s="77">
        <f t="shared" si="35"/>
        <v>695</v>
      </c>
      <c r="T227" s="77">
        <f>50</f>
        <v>50</v>
      </c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</row>
    <row r="228" spans="1:30" ht="15.75" x14ac:dyDescent="0.25">
      <c r="A228" s="13">
        <v>47849</v>
      </c>
      <c r="B228" s="91">
        <v>31</v>
      </c>
      <c r="C228" s="77">
        <f>122.58</f>
        <v>122.58</v>
      </c>
      <c r="D228" s="77">
        <f>297.941</f>
        <v>297.94099999999997</v>
      </c>
      <c r="E228" s="86">
        <f>89.177</f>
        <v>89.177000000000007</v>
      </c>
      <c r="F228" s="77">
        <f>240.302-40-60-100</f>
        <v>40.301999999999992</v>
      </c>
      <c r="G228" s="80">
        <v>40</v>
      </c>
      <c r="H228" s="77">
        <f>60+100</f>
        <v>160</v>
      </c>
      <c r="I228" s="77">
        <f t="shared" si="28"/>
        <v>0</v>
      </c>
      <c r="J228" s="80">
        <v>100</v>
      </c>
      <c r="K228" s="80">
        <v>300</v>
      </c>
      <c r="L228" s="77">
        <f t="shared" si="32"/>
        <v>1150</v>
      </c>
      <c r="M228" s="88">
        <v>600</v>
      </c>
      <c r="N228" s="77">
        <f>100</f>
        <v>100</v>
      </c>
      <c r="O228" s="80">
        <v>240</v>
      </c>
      <c r="P228" s="80">
        <v>40</v>
      </c>
      <c r="Q228" s="80">
        <f t="shared" si="33"/>
        <v>315</v>
      </c>
      <c r="R228" s="80">
        <f t="shared" si="34"/>
        <v>100</v>
      </c>
      <c r="S228" s="77">
        <f t="shared" si="35"/>
        <v>695</v>
      </c>
      <c r="T228" s="77">
        <f>50</f>
        <v>50</v>
      </c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</row>
    <row r="229" spans="1:30" ht="15.75" x14ac:dyDescent="0.25">
      <c r="A229" s="13">
        <v>47880</v>
      </c>
      <c r="B229" s="91">
        <v>28</v>
      </c>
      <c r="C229" s="77">
        <f>122.58</f>
        <v>122.58</v>
      </c>
      <c r="D229" s="77">
        <f>297.941</f>
        <v>297.94099999999997</v>
      </c>
      <c r="E229" s="86">
        <f>89.177</f>
        <v>89.177000000000007</v>
      </c>
      <c r="F229" s="77">
        <f>240.302-40-60-100</f>
        <v>40.301999999999992</v>
      </c>
      <c r="G229" s="80">
        <v>40</v>
      </c>
      <c r="H229" s="77">
        <f>60+100</f>
        <v>160</v>
      </c>
      <c r="I229" s="77">
        <f t="shared" si="28"/>
        <v>0</v>
      </c>
      <c r="J229" s="80">
        <v>100</v>
      </c>
      <c r="K229" s="80">
        <v>300</v>
      </c>
      <c r="L229" s="77">
        <f t="shared" si="32"/>
        <v>1150</v>
      </c>
      <c r="M229" s="88">
        <v>600</v>
      </c>
      <c r="N229" s="77">
        <f>100</f>
        <v>100</v>
      </c>
      <c r="O229" s="80">
        <v>240</v>
      </c>
      <c r="P229" s="80">
        <v>40</v>
      </c>
      <c r="Q229" s="80">
        <f t="shared" si="33"/>
        <v>315</v>
      </c>
      <c r="R229" s="80">
        <f t="shared" si="34"/>
        <v>100</v>
      </c>
      <c r="S229" s="77">
        <f t="shared" si="35"/>
        <v>695</v>
      </c>
      <c r="T229" s="77">
        <f>50</f>
        <v>50</v>
      </c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</row>
    <row r="230" spans="1:30" ht="15.75" x14ac:dyDescent="0.25">
      <c r="A230" s="13">
        <v>47908</v>
      </c>
      <c r="B230" s="91">
        <v>31</v>
      </c>
      <c r="C230" s="77">
        <f>122.58</f>
        <v>122.58</v>
      </c>
      <c r="D230" s="77">
        <f>297.941</f>
        <v>297.94099999999997</v>
      </c>
      <c r="E230" s="86">
        <f>89.177</f>
        <v>89.177000000000007</v>
      </c>
      <c r="F230" s="77">
        <f>240.302-40-60-100</f>
        <v>40.301999999999992</v>
      </c>
      <c r="G230" s="80">
        <v>40</v>
      </c>
      <c r="H230" s="77">
        <f>60+100</f>
        <v>160</v>
      </c>
      <c r="I230" s="77">
        <f t="shared" si="28"/>
        <v>0</v>
      </c>
      <c r="J230" s="80">
        <v>100</v>
      </c>
      <c r="K230" s="80">
        <v>300</v>
      </c>
      <c r="L230" s="77">
        <f t="shared" si="32"/>
        <v>1150</v>
      </c>
      <c r="M230" s="88">
        <v>600</v>
      </c>
      <c r="N230" s="77">
        <f>100</f>
        <v>100</v>
      </c>
      <c r="O230" s="80">
        <v>240</v>
      </c>
      <c r="P230" s="80">
        <v>40</v>
      </c>
      <c r="Q230" s="80">
        <f t="shared" si="33"/>
        <v>315</v>
      </c>
      <c r="R230" s="80">
        <f t="shared" si="34"/>
        <v>100</v>
      </c>
      <c r="S230" s="77">
        <f t="shared" si="35"/>
        <v>695</v>
      </c>
      <c r="T230" s="77">
        <f>50</f>
        <v>50</v>
      </c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</row>
    <row r="231" spans="1:30" ht="15.75" x14ac:dyDescent="0.25">
      <c r="A231" s="13">
        <v>47939</v>
      </c>
      <c r="B231" s="91">
        <v>30</v>
      </c>
      <c r="C231" s="77">
        <f>141.293</f>
        <v>141.29300000000001</v>
      </c>
      <c r="D231" s="77">
        <f>267.993</f>
        <v>267.99299999999999</v>
      </c>
      <c r="E231" s="86">
        <f>115.016</f>
        <v>115.01600000000001</v>
      </c>
      <c r="F231" s="77">
        <f>314.698-40-25-60-100</f>
        <v>89.697999999999979</v>
      </c>
      <c r="G231" s="80">
        <v>40</v>
      </c>
      <c r="H231" s="77">
        <f t="shared" ref="H231:H237" si="37">25+60+100</f>
        <v>185</v>
      </c>
      <c r="I231" s="77">
        <f t="shared" si="28"/>
        <v>0</v>
      </c>
      <c r="J231" s="80">
        <v>100</v>
      </c>
      <c r="K231" s="80">
        <v>300</v>
      </c>
      <c r="L231" s="77">
        <f t="shared" si="32"/>
        <v>1239</v>
      </c>
      <c r="M231" s="88">
        <v>600</v>
      </c>
      <c r="N231" s="77">
        <f>100</f>
        <v>100</v>
      </c>
      <c r="O231" s="80">
        <v>240</v>
      </c>
      <c r="P231" s="80">
        <v>160</v>
      </c>
      <c r="Q231" s="80">
        <f t="shared" si="33"/>
        <v>195</v>
      </c>
      <c r="R231" s="80">
        <f t="shared" si="34"/>
        <v>100</v>
      </c>
      <c r="S231" s="77">
        <f t="shared" si="35"/>
        <v>695</v>
      </c>
      <c r="T231" s="77">
        <f>50</f>
        <v>50</v>
      </c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</row>
    <row r="232" spans="1:30" ht="15.75" x14ac:dyDescent="0.25">
      <c r="A232" s="13">
        <v>47969</v>
      </c>
      <c r="B232" s="91">
        <v>31</v>
      </c>
      <c r="C232" s="77">
        <f>194.205</f>
        <v>194.20500000000001</v>
      </c>
      <c r="D232" s="77">
        <f>267.466</f>
        <v>267.46600000000001</v>
      </c>
      <c r="E232" s="86">
        <f>133.845</f>
        <v>133.845</v>
      </c>
      <c r="F232" s="77">
        <f>278.484-40-25-60-100</f>
        <v>53.48399999999998</v>
      </c>
      <c r="G232" s="80">
        <v>40</v>
      </c>
      <c r="H232" s="77">
        <f t="shared" si="37"/>
        <v>185</v>
      </c>
      <c r="I232" s="77">
        <f t="shared" si="28"/>
        <v>0</v>
      </c>
      <c r="J232" s="80">
        <v>100</v>
      </c>
      <c r="K232" s="80">
        <v>300</v>
      </c>
      <c r="L232" s="77">
        <f t="shared" si="32"/>
        <v>1274</v>
      </c>
      <c r="M232" s="88">
        <v>600</v>
      </c>
      <c r="N232" s="77">
        <f>75</f>
        <v>75</v>
      </c>
      <c r="O232" s="80">
        <v>240</v>
      </c>
      <c r="P232" s="80">
        <v>160</v>
      </c>
      <c r="Q232" s="80">
        <f t="shared" si="33"/>
        <v>195</v>
      </c>
      <c r="R232" s="80">
        <f t="shared" si="34"/>
        <v>100</v>
      </c>
      <c r="S232" s="77">
        <f t="shared" si="35"/>
        <v>695</v>
      </c>
      <c r="T232" s="77">
        <f>50</f>
        <v>50</v>
      </c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</row>
    <row r="233" spans="1:30" ht="15.75" x14ac:dyDescent="0.25">
      <c r="A233" s="13">
        <v>48000</v>
      </c>
      <c r="B233" s="91">
        <v>30</v>
      </c>
      <c r="C233" s="77">
        <f>194.205</f>
        <v>194.20500000000001</v>
      </c>
      <c r="D233" s="77">
        <f>267.466</f>
        <v>267.46600000000001</v>
      </c>
      <c r="E233" s="86">
        <f>133.845</f>
        <v>133.845</v>
      </c>
      <c r="F233" s="77">
        <f>278.484-40-25-60-100</f>
        <v>53.48399999999998</v>
      </c>
      <c r="G233" s="80">
        <v>40</v>
      </c>
      <c r="H233" s="77">
        <f t="shared" si="37"/>
        <v>185</v>
      </c>
      <c r="I233" s="77">
        <f t="shared" si="28"/>
        <v>0</v>
      </c>
      <c r="J233" s="80">
        <v>100</v>
      </c>
      <c r="K233" s="80">
        <v>300</v>
      </c>
      <c r="L233" s="77">
        <f t="shared" si="32"/>
        <v>1274</v>
      </c>
      <c r="M233" s="88">
        <v>600</v>
      </c>
      <c r="N233" s="77">
        <f>30</f>
        <v>30</v>
      </c>
      <c r="O233" s="80">
        <v>240</v>
      </c>
      <c r="P233" s="80">
        <v>160</v>
      </c>
      <c r="Q233" s="80">
        <f t="shared" si="33"/>
        <v>195</v>
      </c>
      <c r="R233" s="80">
        <f t="shared" si="34"/>
        <v>100</v>
      </c>
      <c r="S233" s="77">
        <f t="shared" si="35"/>
        <v>695</v>
      </c>
      <c r="T233" s="77">
        <f>50</f>
        <v>50</v>
      </c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</row>
    <row r="234" spans="1:30" ht="15.75" x14ac:dyDescent="0.25">
      <c r="A234" s="13">
        <v>48030</v>
      </c>
      <c r="B234" s="91">
        <v>31</v>
      </c>
      <c r="C234" s="77">
        <f>194.205</f>
        <v>194.20500000000001</v>
      </c>
      <c r="D234" s="77">
        <f>267.466</f>
        <v>267.46600000000001</v>
      </c>
      <c r="E234" s="86">
        <f>133.845</f>
        <v>133.845</v>
      </c>
      <c r="F234" s="77">
        <f>278.484-40-25-60-100</f>
        <v>53.48399999999998</v>
      </c>
      <c r="G234" s="80">
        <v>40</v>
      </c>
      <c r="H234" s="77">
        <f t="shared" si="37"/>
        <v>185</v>
      </c>
      <c r="I234" s="77">
        <f t="shared" si="28"/>
        <v>0</v>
      </c>
      <c r="J234" s="80">
        <v>100</v>
      </c>
      <c r="K234" s="80">
        <v>300</v>
      </c>
      <c r="L234" s="77">
        <f t="shared" si="32"/>
        <v>1274</v>
      </c>
      <c r="M234" s="88">
        <v>600</v>
      </c>
      <c r="N234" s="77">
        <f>30</f>
        <v>30</v>
      </c>
      <c r="O234" s="80">
        <v>240</v>
      </c>
      <c r="P234" s="80">
        <v>160</v>
      </c>
      <c r="Q234" s="80">
        <f t="shared" si="33"/>
        <v>195</v>
      </c>
      <c r="R234" s="80">
        <f t="shared" si="34"/>
        <v>100</v>
      </c>
      <c r="S234" s="77">
        <f t="shared" si="35"/>
        <v>695</v>
      </c>
      <c r="T234" s="77">
        <f>0</f>
        <v>0</v>
      </c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</row>
    <row r="235" spans="1:30" ht="15.75" x14ac:dyDescent="0.25">
      <c r="A235" s="13">
        <v>48061</v>
      </c>
      <c r="B235" s="91">
        <v>31</v>
      </c>
      <c r="C235" s="77">
        <f>194.205</f>
        <v>194.20500000000001</v>
      </c>
      <c r="D235" s="77">
        <f>267.466</f>
        <v>267.46600000000001</v>
      </c>
      <c r="E235" s="86">
        <f>133.845</f>
        <v>133.845</v>
      </c>
      <c r="F235" s="77">
        <f>278.484-40-25-60-100</f>
        <v>53.48399999999998</v>
      </c>
      <c r="G235" s="80">
        <v>40</v>
      </c>
      <c r="H235" s="77">
        <f t="shared" si="37"/>
        <v>185</v>
      </c>
      <c r="I235" s="77">
        <f t="shared" si="28"/>
        <v>0</v>
      </c>
      <c r="J235" s="80">
        <v>100</v>
      </c>
      <c r="K235" s="80">
        <v>300</v>
      </c>
      <c r="L235" s="77">
        <f t="shared" si="32"/>
        <v>1274</v>
      </c>
      <c r="M235" s="88">
        <v>600</v>
      </c>
      <c r="N235" s="77">
        <f>30</f>
        <v>30</v>
      </c>
      <c r="O235" s="80">
        <v>240</v>
      </c>
      <c r="P235" s="80">
        <v>160</v>
      </c>
      <c r="Q235" s="80">
        <f t="shared" si="33"/>
        <v>195</v>
      </c>
      <c r="R235" s="80">
        <f t="shared" si="34"/>
        <v>100</v>
      </c>
      <c r="S235" s="77">
        <f t="shared" si="35"/>
        <v>695</v>
      </c>
      <c r="T235" s="77">
        <f>0</f>
        <v>0</v>
      </c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</row>
    <row r="236" spans="1:30" ht="15.75" x14ac:dyDescent="0.25">
      <c r="A236" s="13">
        <v>48092</v>
      </c>
      <c r="B236" s="91">
        <v>30</v>
      </c>
      <c r="C236" s="77">
        <f>194.205</f>
        <v>194.20500000000001</v>
      </c>
      <c r="D236" s="77">
        <f>267.466</f>
        <v>267.46600000000001</v>
      </c>
      <c r="E236" s="86">
        <f>133.845</f>
        <v>133.845</v>
      </c>
      <c r="F236" s="77">
        <f>278.484-40-25-60-100</f>
        <v>53.48399999999998</v>
      </c>
      <c r="G236" s="80">
        <v>40</v>
      </c>
      <c r="H236" s="77">
        <f t="shared" si="37"/>
        <v>185</v>
      </c>
      <c r="I236" s="77">
        <f t="shared" si="28"/>
        <v>0</v>
      </c>
      <c r="J236" s="80">
        <v>100</v>
      </c>
      <c r="K236" s="80">
        <v>300</v>
      </c>
      <c r="L236" s="77">
        <f t="shared" si="32"/>
        <v>1274</v>
      </c>
      <c r="M236" s="88">
        <v>600</v>
      </c>
      <c r="N236" s="77">
        <f>30</f>
        <v>30</v>
      </c>
      <c r="O236" s="80">
        <v>240</v>
      </c>
      <c r="P236" s="80">
        <v>160</v>
      </c>
      <c r="Q236" s="80">
        <f t="shared" si="33"/>
        <v>195</v>
      </c>
      <c r="R236" s="80">
        <f t="shared" si="34"/>
        <v>100</v>
      </c>
      <c r="S236" s="77">
        <f t="shared" si="35"/>
        <v>695</v>
      </c>
      <c r="T236" s="77">
        <f>0</f>
        <v>0</v>
      </c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</row>
    <row r="237" spans="1:30" ht="15.75" x14ac:dyDescent="0.25">
      <c r="A237" s="13">
        <v>48122</v>
      </c>
      <c r="B237" s="91">
        <v>31</v>
      </c>
      <c r="C237" s="77">
        <f>131.881</f>
        <v>131.881</v>
      </c>
      <c r="D237" s="77">
        <f>277.167</f>
        <v>277.16699999999997</v>
      </c>
      <c r="E237" s="86">
        <f>79.08</f>
        <v>79.08</v>
      </c>
      <c r="F237" s="77">
        <f>350.872-40-25-60-100</f>
        <v>125.87200000000001</v>
      </c>
      <c r="G237" s="80">
        <v>40</v>
      </c>
      <c r="H237" s="77">
        <f t="shared" si="37"/>
        <v>185</v>
      </c>
      <c r="I237" s="77">
        <f t="shared" si="28"/>
        <v>0</v>
      </c>
      <c r="J237" s="80">
        <v>100</v>
      </c>
      <c r="K237" s="80">
        <v>300</v>
      </c>
      <c r="L237" s="77">
        <f t="shared" si="32"/>
        <v>1239</v>
      </c>
      <c r="M237" s="88">
        <v>600</v>
      </c>
      <c r="N237" s="77">
        <f>75</f>
        <v>75</v>
      </c>
      <c r="O237" s="80">
        <v>240</v>
      </c>
      <c r="P237" s="80">
        <v>160</v>
      </c>
      <c r="Q237" s="80">
        <f t="shared" si="33"/>
        <v>195</v>
      </c>
      <c r="R237" s="80">
        <f t="shared" si="34"/>
        <v>100</v>
      </c>
      <c r="S237" s="77">
        <f t="shared" si="35"/>
        <v>695</v>
      </c>
      <c r="T237" s="77">
        <f>0</f>
        <v>0</v>
      </c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</row>
    <row r="238" spans="1:30" ht="15.75" x14ac:dyDescent="0.25">
      <c r="A238" s="13">
        <v>48153</v>
      </c>
      <c r="B238" s="91">
        <v>30</v>
      </c>
      <c r="C238" s="77">
        <f>122.58</f>
        <v>122.58</v>
      </c>
      <c r="D238" s="77">
        <f>297.941</f>
        <v>297.94099999999997</v>
      </c>
      <c r="E238" s="86">
        <f>89.177</f>
        <v>89.177000000000007</v>
      </c>
      <c r="F238" s="77">
        <f>240.302-40-60-100</f>
        <v>40.301999999999992</v>
      </c>
      <c r="G238" s="80">
        <v>40</v>
      </c>
      <c r="H238" s="77">
        <f>60+100</f>
        <v>160</v>
      </c>
      <c r="I238" s="77">
        <f t="shared" si="28"/>
        <v>0</v>
      </c>
      <c r="J238" s="80">
        <v>100</v>
      </c>
      <c r="K238" s="80">
        <v>300</v>
      </c>
      <c r="L238" s="77">
        <f t="shared" si="32"/>
        <v>1150</v>
      </c>
      <c r="M238" s="88">
        <v>600</v>
      </c>
      <c r="N238" s="77">
        <f>100</f>
        <v>100</v>
      </c>
      <c r="O238" s="80">
        <v>240</v>
      </c>
      <c r="P238" s="80">
        <v>40</v>
      </c>
      <c r="Q238" s="80">
        <f t="shared" si="33"/>
        <v>315</v>
      </c>
      <c r="R238" s="80">
        <f t="shared" si="34"/>
        <v>100</v>
      </c>
      <c r="S238" s="77">
        <f t="shared" si="35"/>
        <v>695</v>
      </c>
      <c r="T238" s="77">
        <f>50</f>
        <v>50</v>
      </c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</row>
    <row r="239" spans="1:30" ht="15.75" x14ac:dyDescent="0.25">
      <c r="A239" s="13">
        <v>48183</v>
      </c>
      <c r="B239" s="91">
        <v>31</v>
      </c>
      <c r="C239" s="77">
        <f>122.58</f>
        <v>122.58</v>
      </c>
      <c r="D239" s="77">
        <f>297.941</f>
        <v>297.94099999999997</v>
      </c>
      <c r="E239" s="86">
        <f>89.177</f>
        <v>89.177000000000007</v>
      </c>
      <c r="F239" s="77">
        <f>240.302-40-60-100</f>
        <v>40.301999999999992</v>
      </c>
      <c r="G239" s="80">
        <v>40</v>
      </c>
      <c r="H239" s="77">
        <f>60+100</f>
        <v>160</v>
      </c>
      <c r="I239" s="77">
        <f t="shared" si="28"/>
        <v>0</v>
      </c>
      <c r="J239" s="80">
        <v>100</v>
      </c>
      <c r="K239" s="80">
        <v>300</v>
      </c>
      <c r="L239" s="77">
        <f t="shared" si="32"/>
        <v>1150</v>
      </c>
      <c r="M239" s="88">
        <v>600</v>
      </c>
      <c r="N239" s="77">
        <f>100</f>
        <v>100</v>
      </c>
      <c r="O239" s="80">
        <v>240</v>
      </c>
      <c r="P239" s="80">
        <v>40</v>
      </c>
      <c r="Q239" s="80">
        <f t="shared" si="33"/>
        <v>315</v>
      </c>
      <c r="R239" s="80">
        <f t="shared" si="34"/>
        <v>100</v>
      </c>
      <c r="S239" s="77">
        <f t="shared" si="35"/>
        <v>695</v>
      </c>
      <c r="T239" s="77">
        <f>50</f>
        <v>50</v>
      </c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</row>
    <row r="240" spans="1:30" ht="15.75" x14ac:dyDescent="0.25">
      <c r="A240" s="13">
        <v>48214</v>
      </c>
      <c r="B240" s="91">
        <v>31</v>
      </c>
      <c r="C240" s="77">
        <f>122.58</f>
        <v>122.58</v>
      </c>
      <c r="D240" s="77">
        <f>297.941</f>
        <v>297.94099999999997</v>
      </c>
      <c r="E240" s="86">
        <f>89.177</f>
        <v>89.177000000000007</v>
      </c>
      <c r="F240" s="77">
        <f>240.302-40-60-100</f>
        <v>40.301999999999992</v>
      </c>
      <c r="G240" s="80">
        <v>40</v>
      </c>
      <c r="H240" s="77">
        <f>60+100</f>
        <v>160</v>
      </c>
      <c r="I240" s="77">
        <f t="shared" si="28"/>
        <v>0</v>
      </c>
      <c r="J240" s="80">
        <v>100</v>
      </c>
      <c r="K240" s="80">
        <v>300</v>
      </c>
      <c r="L240" s="77">
        <f t="shared" si="32"/>
        <v>1150</v>
      </c>
      <c r="M240" s="88">
        <v>600</v>
      </c>
      <c r="N240" s="77">
        <f>100</f>
        <v>100</v>
      </c>
      <c r="O240" s="80">
        <v>240</v>
      </c>
      <c r="P240" s="80">
        <v>40</v>
      </c>
      <c r="Q240" s="80">
        <f t="shared" si="33"/>
        <v>315</v>
      </c>
      <c r="R240" s="80">
        <f t="shared" si="34"/>
        <v>100</v>
      </c>
      <c r="S240" s="77">
        <f t="shared" si="35"/>
        <v>695</v>
      </c>
      <c r="T240" s="77">
        <f>50</f>
        <v>50</v>
      </c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</row>
    <row r="241" spans="1:30" ht="15.75" x14ac:dyDescent="0.25">
      <c r="A241" s="13">
        <v>48245</v>
      </c>
      <c r="B241" s="91">
        <v>29</v>
      </c>
      <c r="C241" s="77">
        <f>122.58</f>
        <v>122.58</v>
      </c>
      <c r="D241" s="77">
        <f>297.941</f>
        <v>297.94099999999997</v>
      </c>
      <c r="E241" s="86">
        <f>89.177</f>
        <v>89.177000000000007</v>
      </c>
      <c r="F241" s="77">
        <f>240.302-40-60-100</f>
        <v>40.301999999999992</v>
      </c>
      <c r="G241" s="80">
        <v>40</v>
      </c>
      <c r="H241" s="77">
        <f>60+100</f>
        <v>160</v>
      </c>
      <c r="I241" s="77">
        <f t="shared" si="28"/>
        <v>0</v>
      </c>
      <c r="J241" s="80">
        <v>100</v>
      </c>
      <c r="K241" s="80">
        <v>300</v>
      </c>
      <c r="L241" s="77">
        <f t="shared" si="32"/>
        <v>1150</v>
      </c>
      <c r="M241" s="88">
        <v>600</v>
      </c>
      <c r="N241" s="77">
        <f>100</f>
        <v>100</v>
      </c>
      <c r="O241" s="80">
        <v>240</v>
      </c>
      <c r="P241" s="80">
        <v>40</v>
      </c>
      <c r="Q241" s="80">
        <f t="shared" si="33"/>
        <v>315</v>
      </c>
      <c r="R241" s="80">
        <f t="shared" si="34"/>
        <v>100</v>
      </c>
      <c r="S241" s="77">
        <f t="shared" si="35"/>
        <v>695</v>
      </c>
      <c r="T241" s="77">
        <f>50</f>
        <v>50</v>
      </c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</row>
    <row r="242" spans="1:30" ht="15.75" x14ac:dyDescent="0.25">
      <c r="A242" s="13">
        <v>48274</v>
      </c>
      <c r="B242" s="91">
        <v>31</v>
      </c>
      <c r="C242" s="77">
        <f>122.58</f>
        <v>122.58</v>
      </c>
      <c r="D242" s="77">
        <f>297.941</f>
        <v>297.94099999999997</v>
      </c>
      <c r="E242" s="86">
        <f>89.177</f>
        <v>89.177000000000007</v>
      </c>
      <c r="F242" s="77">
        <f>240.302-40-60-100</f>
        <v>40.301999999999992</v>
      </c>
      <c r="G242" s="80">
        <v>40</v>
      </c>
      <c r="H242" s="77">
        <f>60+100</f>
        <v>160</v>
      </c>
      <c r="I242" s="77">
        <f t="shared" si="28"/>
        <v>0</v>
      </c>
      <c r="J242" s="80">
        <v>100</v>
      </c>
      <c r="K242" s="80">
        <v>300</v>
      </c>
      <c r="L242" s="77">
        <f t="shared" si="32"/>
        <v>1150</v>
      </c>
      <c r="M242" s="88">
        <v>600</v>
      </c>
      <c r="N242" s="77">
        <f>100</f>
        <v>100</v>
      </c>
      <c r="O242" s="80">
        <v>240</v>
      </c>
      <c r="P242" s="80">
        <v>40</v>
      </c>
      <c r="Q242" s="80">
        <f t="shared" si="33"/>
        <v>315</v>
      </c>
      <c r="R242" s="80">
        <f t="shared" si="34"/>
        <v>100</v>
      </c>
      <c r="S242" s="77">
        <f t="shared" si="35"/>
        <v>695</v>
      </c>
      <c r="T242" s="77">
        <f>50</f>
        <v>50</v>
      </c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</row>
    <row r="243" spans="1:30" ht="15.75" x14ac:dyDescent="0.25">
      <c r="A243" s="13">
        <v>48305</v>
      </c>
      <c r="B243" s="91">
        <v>30</v>
      </c>
      <c r="C243" s="77">
        <f>141.293</f>
        <v>141.29300000000001</v>
      </c>
      <c r="D243" s="77">
        <f>267.993</f>
        <v>267.99299999999999</v>
      </c>
      <c r="E243" s="86">
        <f>115.016</f>
        <v>115.01600000000001</v>
      </c>
      <c r="F243" s="77">
        <f>314.698-40-25-60-100</f>
        <v>89.697999999999979</v>
      </c>
      <c r="G243" s="80">
        <v>40</v>
      </c>
      <c r="H243" s="77">
        <f t="shared" ref="H243:H249" si="38">25+60+100</f>
        <v>185</v>
      </c>
      <c r="I243" s="77">
        <f t="shared" si="28"/>
        <v>0</v>
      </c>
      <c r="J243" s="80">
        <v>100</v>
      </c>
      <c r="K243" s="80">
        <v>300</v>
      </c>
      <c r="L243" s="77">
        <f t="shared" si="32"/>
        <v>1239</v>
      </c>
      <c r="M243" s="88">
        <v>600</v>
      </c>
      <c r="N243" s="77">
        <f>100</f>
        <v>100</v>
      </c>
      <c r="O243" s="80">
        <v>240</v>
      </c>
      <c r="P243" s="80">
        <v>160</v>
      </c>
      <c r="Q243" s="80">
        <f t="shared" si="33"/>
        <v>195</v>
      </c>
      <c r="R243" s="80">
        <f t="shared" si="34"/>
        <v>100</v>
      </c>
      <c r="S243" s="77">
        <f t="shared" si="35"/>
        <v>695</v>
      </c>
      <c r="T243" s="77">
        <f>50</f>
        <v>50</v>
      </c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</row>
    <row r="244" spans="1:30" ht="15.75" x14ac:dyDescent="0.25">
      <c r="A244" s="13">
        <v>48335</v>
      </c>
      <c r="B244" s="91">
        <v>31</v>
      </c>
      <c r="C244" s="77">
        <f>194.205</f>
        <v>194.20500000000001</v>
      </c>
      <c r="D244" s="77">
        <f>267.466</f>
        <v>267.46600000000001</v>
      </c>
      <c r="E244" s="86">
        <f>133.845</f>
        <v>133.845</v>
      </c>
      <c r="F244" s="77">
        <f>278.484-40-25-60-100</f>
        <v>53.48399999999998</v>
      </c>
      <c r="G244" s="80">
        <v>40</v>
      </c>
      <c r="H244" s="77">
        <f t="shared" si="38"/>
        <v>185</v>
      </c>
      <c r="I244" s="77">
        <f t="shared" ref="I244:I307" si="39">400-J244-K244</f>
        <v>0</v>
      </c>
      <c r="J244" s="80">
        <v>100</v>
      </c>
      <c r="K244" s="80">
        <v>300</v>
      </c>
      <c r="L244" s="77">
        <f t="shared" si="32"/>
        <v>1274</v>
      </c>
      <c r="M244" s="88">
        <v>600</v>
      </c>
      <c r="N244" s="77">
        <f>75</f>
        <v>75</v>
      </c>
      <c r="O244" s="80">
        <v>240</v>
      </c>
      <c r="P244" s="80">
        <v>160</v>
      </c>
      <c r="Q244" s="80">
        <f t="shared" si="33"/>
        <v>195</v>
      </c>
      <c r="R244" s="80">
        <f t="shared" si="34"/>
        <v>100</v>
      </c>
      <c r="S244" s="77">
        <f t="shared" si="35"/>
        <v>695</v>
      </c>
      <c r="T244" s="77">
        <f>50</f>
        <v>50</v>
      </c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</row>
    <row r="245" spans="1:30" ht="15.75" x14ac:dyDescent="0.25">
      <c r="A245" s="13">
        <v>48366</v>
      </c>
      <c r="B245" s="91">
        <v>30</v>
      </c>
      <c r="C245" s="77">
        <f>194.205</f>
        <v>194.20500000000001</v>
      </c>
      <c r="D245" s="77">
        <f>267.466</f>
        <v>267.46600000000001</v>
      </c>
      <c r="E245" s="86">
        <f>133.845</f>
        <v>133.845</v>
      </c>
      <c r="F245" s="77">
        <f>278.484-40-25-60-100</f>
        <v>53.48399999999998</v>
      </c>
      <c r="G245" s="80">
        <v>40</v>
      </c>
      <c r="H245" s="77">
        <f t="shared" si="38"/>
        <v>185</v>
      </c>
      <c r="I245" s="77">
        <f t="shared" si="39"/>
        <v>0</v>
      </c>
      <c r="J245" s="80">
        <v>100</v>
      </c>
      <c r="K245" s="80">
        <v>300</v>
      </c>
      <c r="L245" s="77">
        <f t="shared" si="32"/>
        <v>1274</v>
      </c>
      <c r="M245" s="88">
        <v>600</v>
      </c>
      <c r="N245" s="77">
        <f>30</f>
        <v>30</v>
      </c>
      <c r="O245" s="80">
        <v>240</v>
      </c>
      <c r="P245" s="80">
        <v>160</v>
      </c>
      <c r="Q245" s="80">
        <f t="shared" si="33"/>
        <v>195</v>
      </c>
      <c r="R245" s="80">
        <f t="shared" si="34"/>
        <v>100</v>
      </c>
      <c r="S245" s="77">
        <f t="shared" si="35"/>
        <v>695</v>
      </c>
      <c r="T245" s="77">
        <f>50</f>
        <v>50</v>
      </c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</row>
    <row r="246" spans="1:30" ht="15.75" x14ac:dyDescent="0.25">
      <c r="A246" s="13">
        <v>48396</v>
      </c>
      <c r="B246" s="91">
        <v>31</v>
      </c>
      <c r="C246" s="77">
        <f>194.205</f>
        <v>194.20500000000001</v>
      </c>
      <c r="D246" s="77">
        <f>267.466</f>
        <v>267.46600000000001</v>
      </c>
      <c r="E246" s="86">
        <f>133.845</f>
        <v>133.845</v>
      </c>
      <c r="F246" s="77">
        <f>278.484-40-25-60-100</f>
        <v>53.48399999999998</v>
      </c>
      <c r="G246" s="80">
        <v>40</v>
      </c>
      <c r="H246" s="77">
        <f t="shared" si="38"/>
        <v>185</v>
      </c>
      <c r="I246" s="77">
        <f t="shared" si="39"/>
        <v>0</v>
      </c>
      <c r="J246" s="80">
        <v>100</v>
      </c>
      <c r="K246" s="80">
        <v>300</v>
      </c>
      <c r="L246" s="77">
        <f t="shared" si="32"/>
        <v>1274</v>
      </c>
      <c r="M246" s="88">
        <v>600</v>
      </c>
      <c r="N246" s="77">
        <f>30</f>
        <v>30</v>
      </c>
      <c r="O246" s="80">
        <v>240</v>
      </c>
      <c r="P246" s="80">
        <v>160</v>
      </c>
      <c r="Q246" s="80">
        <f t="shared" si="33"/>
        <v>195</v>
      </c>
      <c r="R246" s="80">
        <f t="shared" si="34"/>
        <v>100</v>
      </c>
      <c r="S246" s="77">
        <f t="shared" si="35"/>
        <v>695</v>
      </c>
      <c r="T246" s="77">
        <f>0</f>
        <v>0</v>
      </c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</row>
    <row r="247" spans="1:30" ht="15.75" x14ac:dyDescent="0.25">
      <c r="A247" s="13">
        <v>48427</v>
      </c>
      <c r="B247" s="91">
        <v>31</v>
      </c>
      <c r="C247" s="77">
        <f>194.205</f>
        <v>194.20500000000001</v>
      </c>
      <c r="D247" s="77">
        <f>267.466</f>
        <v>267.46600000000001</v>
      </c>
      <c r="E247" s="86">
        <f>133.845</f>
        <v>133.845</v>
      </c>
      <c r="F247" s="77">
        <f>278.484-40-25-60-100</f>
        <v>53.48399999999998</v>
      </c>
      <c r="G247" s="80">
        <v>40</v>
      </c>
      <c r="H247" s="77">
        <f t="shared" si="38"/>
        <v>185</v>
      </c>
      <c r="I247" s="77">
        <f t="shared" si="39"/>
        <v>0</v>
      </c>
      <c r="J247" s="80">
        <v>100</v>
      </c>
      <c r="K247" s="80">
        <v>300</v>
      </c>
      <c r="L247" s="77">
        <f t="shared" si="32"/>
        <v>1274</v>
      </c>
      <c r="M247" s="88">
        <v>600</v>
      </c>
      <c r="N247" s="77">
        <f>30</f>
        <v>30</v>
      </c>
      <c r="O247" s="80">
        <v>240</v>
      </c>
      <c r="P247" s="80">
        <v>160</v>
      </c>
      <c r="Q247" s="80">
        <f t="shared" si="33"/>
        <v>195</v>
      </c>
      <c r="R247" s="80">
        <f t="shared" si="34"/>
        <v>100</v>
      </c>
      <c r="S247" s="77">
        <f t="shared" si="35"/>
        <v>695</v>
      </c>
      <c r="T247" s="77">
        <f>0</f>
        <v>0</v>
      </c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</row>
    <row r="248" spans="1:30" ht="15.75" x14ac:dyDescent="0.25">
      <c r="A248" s="13">
        <v>48458</v>
      </c>
      <c r="B248" s="91">
        <v>30</v>
      </c>
      <c r="C248" s="77">
        <f>194.205</f>
        <v>194.20500000000001</v>
      </c>
      <c r="D248" s="77">
        <f>267.466</f>
        <v>267.46600000000001</v>
      </c>
      <c r="E248" s="86">
        <f>133.845</f>
        <v>133.845</v>
      </c>
      <c r="F248" s="77">
        <f>278.484-40-25-60-100</f>
        <v>53.48399999999998</v>
      </c>
      <c r="G248" s="80">
        <v>40</v>
      </c>
      <c r="H248" s="77">
        <f t="shared" si="38"/>
        <v>185</v>
      </c>
      <c r="I248" s="77">
        <f t="shared" si="39"/>
        <v>0</v>
      </c>
      <c r="J248" s="80">
        <v>100</v>
      </c>
      <c r="K248" s="80">
        <v>300</v>
      </c>
      <c r="L248" s="77">
        <f t="shared" si="32"/>
        <v>1274</v>
      </c>
      <c r="M248" s="88">
        <v>600</v>
      </c>
      <c r="N248" s="77">
        <f>30</f>
        <v>30</v>
      </c>
      <c r="O248" s="80">
        <v>240</v>
      </c>
      <c r="P248" s="80">
        <v>160</v>
      </c>
      <c r="Q248" s="80">
        <f t="shared" si="33"/>
        <v>195</v>
      </c>
      <c r="R248" s="80">
        <f t="shared" si="34"/>
        <v>100</v>
      </c>
      <c r="S248" s="77">
        <f t="shared" si="35"/>
        <v>695</v>
      </c>
      <c r="T248" s="77">
        <f>0</f>
        <v>0</v>
      </c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</row>
    <row r="249" spans="1:30" ht="15.75" x14ac:dyDescent="0.25">
      <c r="A249" s="13">
        <v>48488</v>
      </c>
      <c r="B249" s="91">
        <v>31</v>
      </c>
      <c r="C249" s="77">
        <f>131.881</f>
        <v>131.881</v>
      </c>
      <c r="D249" s="77">
        <f>277.167</f>
        <v>277.16699999999997</v>
      </c>
      <c r="E249" s="86">
        <f>79.08</f>
        <v>79.08</v>
      </c>
      <c r="F249" s="77">
        <f>350.872-40-25-60-100</f>
        <v>125.87200000000001</v>
      </c>
      <c r="G249" s="80">
        <v>40</v>
      </c>
      <c r="H249" s="77">
        <f t="shared" si="38"/>
        <v>185</v>
      </c>
      <c r="I249" s="77">
        <f t="shared" si="39"/>
        <v>0</v>
      </c>
      <c r="J249" s="80">
        <v>100</v>
      </c>
      <c r="K249" s="80">
        <v>300</v>
      </c>
      <c r="L249" s="77">
        <f t="shared" si="32"/>
        <v>1239</v>
      </c>
      <c r="M249" s="88">
        <v>600</v>
      </c>
      <c r="N249" s="77">
        <f>75</f>
        <v>75</v>
      </c>
      <c r="O249" s="80">
        <v>240</v>
      </c>
      <c r="P249" s="80">
        <v>160</v>
      </c>
      <c r="Q249" s="80">
        <f t="shared" si="33"/>
        <v>195</v>
      </c>
      <c r="R249" s="80">
        <f t="shared" si="34"/>
        <v>100</v>
      </c>
      <c r="S249" s="77">
        <f t="shared" si="35"/>
        <v>695</v>
      </c>
      <c r="T249" s="77">
        <f>0</f>
        <v>0</v>
      </c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</row>
    <row r="250" spans="1:30" ht="15.75" x14ac:dyDescent="0.25">
      <c r="A250" s="13">
        <v>48519</v>
      </c>
      <c r="B250" s="91">
        <v>30</v>
      </c>
      <c r="C250" s="77">
        <f>122.58</f>
        <v>122.58</v>
      </c>
      <c r="D250" s="77">
        <f>297.941</f>
        <v>297.94099999999997</v>
      </c>
      <c r="E250" s="86">
        <f>89.177</f>
        <v>89.177000000000007</v>
      </c>
      <c r="F250" s="77">
        <f>240.302-40-60-100</f>
        <v>40.301999999999992</v>
      </c>
      <c r="G250" s="80">
        <v>40</v>
      </c>
      <c r="H250" s="77">
        <f>60+100</f>
        <v>160</v>
      </c>
      <c r="I250" s="77">
        <f t="shared" si="39"/>
        <v>0</v>
      </c>
      <c r="J250" s="80">
        <v>100</v>
      </c>
      <c r="K250" s="80">
        <v>300</v>
      </c>
      <c r="L250" s="77">
        <f t="shared" si="32"/>
        <v>1150</v>
      </c>
      <c r="M250" s="88">
        <v>600</v>
      </c>
      <c r="N250" s="77">
        <f>100</f>
        <v>100</v>
      </c>
      <c r="O250" s="80">
        <v>240</v>
      </c>
      <c r="P250" s="80">
        <v>40</v>
      </c>
      <c r="Q250" s="80">
        <f t="shared" si="33"/>
        <v>315</v>
      </c>
      <c r="R250" s="80">
        <f t="shared" si="34"/>
        <v>100</v>
      </c>
      <c r="S250" s="77">
        <f t="shared" si="35"/>
        <v>695</v>
      </c>
      <c r="T250" s="77">
        <f>50</f>
        <v>50</v>
      </c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</row>
    <row r="251" spans="1:30" ht="15.75" x14ac:dyDescent="0.25">
      <c r="A251" s="13">
        <v>48549</v>
      </c>
      <c r="B251" s="91">
        <v>31</v>
      </c>
      <c r="C251" s="77">
        <f>122.58</f>
        <v>122.58</v>
      </c>
      <c r="D251" s="77">
        <f>297.941</f>
        <v>297.94099999999997</v>
      </c>
      <c r="E251" s="86">
        <f>89.177</f>
        <v>89.177000000000007</v>
      </c>
      <c r="F251" s="77">
        <f>240.302-40-60-100</f>
        <v>40.301999999999992</v>
      </c>
      <c r="G251" s="80">
        <v>40</v>
      </c>
      <c r="H251" s="77">
        <f>60+100</f>
        <v>160</v>
      </c>
      <c r="I251" s="77">
        <f t="shared" si="39"/>
        <v>0</v>
      </c>
      <c r="J251" s="80">
        <v>100</v>
      </c>
      <c r="K251" s="80">
        <v>300</v>
      </c>
      <c r="L251" s="77">
        <f t="shared" si="32"/>
        <v>1150</v>
      </c>
      <c r="M251" s="88">
        <v>600</v>
      </c>
      <c r="N251" s="77">
        <f>100</f>
        <v>100</v>
      </c>
      <c r="O251" s="80">
        <v>240</v>
      </c>
      <c r="P251" s="80">
        <v>40</v>
      </c>
      <c r="Q251" s="80">
        <f t="shared" si="33"/>
        <v>315</v>
      </c>
      <c r="R251" s="80">
        <f t="shared" si="34"/>
        <v>100</v>
      </c>
      <c r="S251" s="77">
        <f t="shared" si="35"/>
        <v>695</v>
      </c>
      <c r="T251" s="77">
        <f>50</f>
        <v>50</v>
      </c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</row>
    <row r="252" spans="1:30" ht="15.75" x14ac:dyDescent="0.25">
      <c r="A252" s="13">
        <v>48580</v>
      </c>
      <c r="B252" s="91">
        <v>31</v>
      </c>
      <c r="C252" s="77">
        <f>122.58</f>
        <v>122.58</v>
      </c>
      <c r="D252" s="77">
        <f>297.941</f>
        <v>297.94099999999997</v>
      </c>
      <c r="E252" s="86">
        <f>89.177</f>
        <v>89.177000000000007</v>
      </c>
      <c r="F252" s="77">
        <f>240.302-40-60-100</f>
        <v>40.301999999999992</v>
      </c>
      <c r="G252" s="80">
        <v>40</v>
      </c>
      <c r="H252" s="77">
        <f>60+100</f>
        <v>160</v>
      </c>
      <c r="I252" s="77">
        <f t="shared" si="39"/>
        <v>0</v>
      </c>
      <c r="J252" s="80">
        <v>100</v>
      </c>
      <c r="K252" s="80">
        <v>300</v>
      </c>
      <c r="L252" s="77">
        <f t="shared" si="32"/>
        <v>1150</v>
      </c>
      <c r="M252" s="88">
        <v>600</v>
      </c>
      <c r="N252" s="77">
        <f>100</f>
        <v>100</v>
      </c>
      <c r="O252" s="80">
        <v>240</v>
      </c>
      <c r="P252" s="80">
        <v>40</v>
      </c>
      <c r="Q252" s="80">
        <f t="shared" si="33"/>
        <v>315</v>
      </c>
      <c r="R252" s="80">
        <f t="shared" si="34"/>
        <v>100</v>
      </c>
      <c r="S252" s="77">
        <f t="shared" si="35"/>
        <v>695</v>
      </c>
      <c r="T252" s="77">
        <f>50</f>
        <v>50</v>
      </c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</row>
    <row r="253" spans="1:30" ht="15.75" x14ac:dyDescent="0.25">
      <c r="A253" s="13">
        <v>48611</v>
      </c>
      <c r="B253" s="91">
        <v>28</v>
      </c>
      <c r="C253" s="77">
        <f>122.58</f>
        <v>122.58</v>
      </c>
      <c r="D253" s="77">
        <f>297.941</f>
        <v>297.94099999999997</v>
      </c>
      <c r="E253" s="86">
        <f>89.177</f>
        <v>89.177000000000007</v>
      </c>
      <c r="F253" s="77">
        <f>240.302-40-60-100</f>
        <v>40.301999999999992</v>
      </c>
      <c r="G253" s="80">
        <v>40</v>
      </c>
      <c r="H253" s="77">
        <f>60+100</f>
        <v>160</v>
      </c>
      <c r="I253" s="77">
        <f t="shared" si="39"/>
        <v>0</v>
      </c>
      <c r="J253" s="80">
        <v>100</v>
      </c>
      <c r="K253" s="80">
        <v>300</v>
      </c>
      <c r="L253" s="77">
        <f t="shared" si="32"/>
        <v>1150</v>
      </c>
      <c r="M253" s="88">
        <v>600</v>
      </c>
      <c r="N253" s="77">
        <f>100</f>
        <v>100</v>
      </c>
      <c r="O253" s="80">
        <v>240</v>
      </c>
      <c r="P253" s="80">
        <v>40</v>
      </c>
      <c r="Q253" s="80">
        <f t="shared" si="33"/>
        <v>315</v>
      </c>
      <c r="R253" s="80">
        <f t="shared" si="34"/>
        <v>100</v>
      </c>
      <c r="S253" s="77">
        <f t="shared" si="35"/>
        <v>695</v>
      </c>
      <c r="T253" s="77">
        <f>50</f>
        <v>50</v>
      </c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</row>
    <row r="254" spans="1:30" ht="15.75" x14ac:dyDescent="0.25">
      <c r="A254" s="13">
        <v>48639</v>
      </c>
      <c r="B254" s="91">
        <v>31</v>
      </c>
      <c r="C254" s="77">
        <f>122.58</f>
        <v>122.58</v>
      </c>
      <c r="D254" s="77">
        <f>297.941</f>
        <v>297.94099999999997</v>
      </c>
      <c r="E254" s="86">
        <f>89.177</f>
        <v>89.177000000000007</v>
      </c>
      <c r="F254" s="77">
        <f>240.302-40-60-100</f>
        <v>40.301999999999992</v>
      </c>
      <c r="G254" s="80">
        <v>40</v>
      </c>
      <c r="H254" s="77">
        <f>60+100</f>
        <v>160</v>
      </c>
      <c r="I254" s="77">
        <f t="shared" si="39"/>
        <v>0</v>
      </c>
      <c r="J254" s="80">
        <v>100</v>
      </c>
      <c r="K254" s="80">
        <v>300</v>
      </c>
      <c r="L254" s="77">
        <f t="shared" si="32"/>
        <v>1150</v>
      </c>
      <c r="M254" s="88">
        <v>600</v>
      </c>
      <c r="N254" s="77">
        <f>100</f>
        <v>100</v>
      </c>
      <c r="O254" s="80">
        <v>240</v>
      </c>
      <c r="P254" s="80">
        <v>40</v>
      </c>
      <c r="Q254" s="80">
        <f t="shared" si="33"/>
        <v>315</v>
      </c>
      <c r="R254" s="80">
        <f t="shared" si="34"/>
        <v>100</v>
      </c>
      <c r="S254" s="77">
        <f t="shared" si="35"/>
        <v>695</v>
      </c>
      <c r="T254" s="77">
        <f>50</f>
        <v>50</v>
      </c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</row>
    <row r="255" spans="1:30" ht="15.75" x14ac:dyDescent="0.25">
      <c r="A255" s="13">
        <v>48670</v>
      </c>
      <c r="B255" s="91">
        <v>30</v>
      </c>
      <c r="C255" s="77">
        <f>141.293</f>
        <v>141.29300000000001</v>
      </c>
      <c r="D255" s="77">
        <f>267.993</f>
        <v>267.99299999999999</v>
      </c>
      <c r="E255" s="86">
        <f>115.016</f>
        <v>115.01600000000001</v>
      </c>
      <c r="F255" s="77">
        <f>314.698-40-25-60-100</f>
        <v>89.697999999999979</v>
      </c>
      <c r="G255" s="80">
        <v>40</v>
      </c>
      <c r="H255" s="77">
        <f t="shared" ref="H255:H261" si="40">25+60+100</f>
        <v>185</v>
      </c>
      <c r="I255" s="77">
        <f t="shared" si="39"/>
        <v>0</v>
      </c>
      <c r="J255" s="80">
        <v>100</v>
      </c>
      <c r="K255" s="80">
        <v>300</v>
      </c>
      <c r="L255" s="77">
        <f t="shared" si="32"/>
        <v>1239</v>
      </c>
      <c r="M255" s="88">
        <v>600</v>
      </c>
      <c r="N255" s="77">
        <f>100</f>
        <v>100</v>
      </c>
      <c r="O255" s="80">
        <v>240</v>
      </c>
      <c r="P255" s="80">
        <v>160</v>
      </c>
      <c r="Q255" s="80">
        <f t="shared" si="33"/>
        <v>195</v>
      </c>
      <c r="R255" s="80">
        <f t="shared" si="34"/>
        <v>100</v>
      </c>
      <c r="S255" s="77">
        <f t="shared" si="35"/>
        <v>695</v>
      </c>
      <c r="T255" s="77">
        <f>50</f>
        <v>50</v>
      </c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</row>
    <row r="256" spans="1:30" ht="15.75" x14ac:dyDescent="0.25">
      <c r="A256" s="13">
        <v>48700</v>
      </c>
      <c r="B256" s="91">
        <v>31</v>
      </c>
      <c r="C256" s="77">
        <f>194.205</f>
        <v>194.20500000000001</v>
      </c>
      <c r="D256" s="77">
        <f>267.466</f>
        <v>267.46600000000001</v>
      </c>
      <c r="E256" s="86">
        <f>133.845</f>
        <v>133.845</v>
      </c>
      <c r="F256" s="77">
        <f>278.484-40-25-60-100</f>
        <v>53.48399999999998</v>
      </c>
      <c r="G256" s="80">
        <v>40</v>
      </c>
      <c r="H256" s="77">
        <f t="shared" si="40"/>
        <v>185</v>
      </c>
      <c r="I256" s="77">
        <f t="shared" si="39"/>
        <v>0</v>
      </c>
      <c r="J256" s="80">
        <v>100</v>
      </c>
      <c r="K256" s="80">
        <v>300</v>
      </c>
      <c r="L256" s="77">
        <f t="shared" si="32"/>
        <v>1274</v>
      </c>
      <c r="M256" s="88">
        <v>600</v>
      </c>
      <c r="N256" s="77">
        <f>75</f>
        <v>75</v>
      </c>
      <c r="O256" s="80">
        <v>240</v>
      </c>
      <c r="P256" s="80">
        <v>160</v>
      </c>
      <c r="Q256" s="80">
        <f t="shared" si="33"/>
        <v>195</v>
      </c>
      <c r="R256" s="80">
        <f t="shared" si="34"/>
        <v>100</v>
      </c>
      <c r="S256" s="77">
        <f t="shared" si="35"/>
        <v>695</v>
      </c>
      <c r="T256" s="77">
        <f>50</f>
        <v>50</v>
      </c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</row>
    <row r="257" spans="1:30" ht="15.75" x14ac:dyDescent="0.25">
      <c r="A257" s="13">
        <v>48731</v>
      </c>
      <c r="B257" s="91">
        <v>30</v>
      </c>
      <c r="C257" s="77">
        <f>194.205</f>
        <v>194.20500000000001</v>
      </c>
      <c r="D257" s="77">
        <f>267.466</f>
        <v>267.46600000000001</v>
      </c>
      <c r="E257" s="86">
        <f>133.845</f>
        <v>133.845</v>
      </c>
      <c r="F257" s="77">
        <f>278.484-40-25-60-100</f>
        <v>53.48399999999998</v>
      </c>
      <c r="G257" s="80">
        <v>40</v>
      </c>
      <c r="H257" s="77">
        <f t="shared" si="40"/>
        <v>185</v>
      </c>
      <c r="I257" s="77">
        <f t="shared" si="39"/>
        <v>0</v>
      </c>
      <c r="J257" s="80">
        <v>100</v>
      </c>
      <c r="K257" s="80">
        <v>300</v>
      </c>
      <c r="L257" s="77">
        <f t="shared" si="32"/>
        <v>1274</v>
      </c>
      <c r="M257" s="88">
        <v>600</v>
      </c>
      <c r="N257" s="77">
        <f>30</f>
        <v>30</v>
      </c>
      <c r="O257" s="80">
        <v>240</v>
      </c>
      <c r="P257" s="80">
        <v>160</v>
      </c>
      <c r="Q257" s="80">
        <f t="shared" si="33"/>
        <v>195</v>
      </c>
      <c r="R257" s="80">
        <f t="shared" si="34"/>
        <v>100</v>
      </c>
      <c r="S257" s="77">
        <f t="shared" si="35"/>
        <v>695</v>
      </c>
      <c r="T257" s="77">
        <f>50</f>
        <v>50</v>
      </c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</row>
    <row r="258" spans="1:30" ht="15.75" x14ac:dyDescent="0.25">
      <c r="A258" s="13">
        <v>48761</v>
      </c>
      <c r="B258" s="91">
        <v>31</v>
      </c>
      <c r="C258" s="77">
        <f>194.205</f>
        <v>194.20500000000001</v>
      </c>
      <c r="D258" s="77">
        <f>267.466</f>
        <v>267.46600000000001</v>
      </c>
      <c r="E258" s="86">
        <f>133.845</f>
        <v>133.845</v>
      </c>
      <c r="F258" s="77">
        <f>278.484-40-25-60-100</f>
        <v>53.48399999999998</v>
      </c>
      <c r="G258" s="80">
        <v>40</v>
      </c>
      <c r="H258" s="77">
        <f t="shared" si="40"/>
        <v>185</v>
      </c>
      <c r="I258" s="77">
        <f t="shared" si="39"/>
        <v>0</v>
      </c>
      <c r="J258" s="80">
        <v>100</v>
      </c>
      <c r="K258" s="80">
        <v>300</v>
      </c>
      <c r="L258" s="77">
        <f t="shared" si="32"/>
        <v>1274</v>
      </c>
      <c r="M258" s="88">
        <v>600</v>
      </c>
      <c r="N258" s="77">
        <f>30</f>
        <v>30</v>
      </c>
      <c r="O258" s="80">
        <v>240</v>
      </c>
      <c r="P258" s="80">
        <v>160</v>
      </c>
      <c r="Q258" s="80">
        <f t="shared" si="33"/>
        <v>195</v>
      </c>
      <c r="R258" s="80">
        <f t="shared" si="34"/>
        <v>100</v>
      </c>
      <c r="S258" s="77">
        <f t="shared" si="35"/>
        <v>695</v>
      </c>
      <c r="T258" s="77">
        <f>0</f>
        <v>0</v>
      </c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</row>
    <row r="259" spans="1:30" ht="15.75" x14ac:dyDescent="0.25">
      <c r="A259" s="13">
        <v>48792</v>
      </c>
      <c r="B259" s="91">
        <v>31</v>
      </c>
      <c r="C259" s="77">
        <f>194.205</f>
        <v>194.20500000000001</v>
      </c>
      <c r="D259" s="77">
        <f>267.466</f>
        <v>267.46600000000001</v>
      </c>
      <c r="E259" s="86">
        <f>133.845</f>
        <v>133.845</v>
      </c>
      <c r="F259" s="77">
        <f>278.484-40-25-60-100</f>
        <v>53.48399999999998</v>
      </c>
      <c r="G259" s="80">
        <v>40</v>
      </c>
      <c r="H259" s="77">
        <f t="shared" si="40"/>
        <v>185</v>
      </c>
      <c r="I259" s="77">
        <f t="shared" si="39"/>
        <v>0</v>
      </c>
      <c r="J259" s="80">
        <v>100</v>
      </c>
      <c r="K259" s="80">
        <v>300</v>
      </c>
      <c r="L259" s="77">
        <f t="shared" si="32"/>
        <v>1274</v>
      </c>
      <c r="M259" s="88">
        <v>600</v>
      </c>
      <c r="N259" s="77">
        <f>30</f>
        <v>30</v>
      </c>
      <c r="O259" s="80">
        <v>240</v>
      </c>
      <c r="P259" s="80">
        <v>160</v>
      </c>
      <c r="Q259" s="80">
        <f t="shared" si="33"/>
        <v>195</v>
      </c>
      <c r="R259" s="80">
        <f t="shared" si="34"/>
        <v>100</v>
      </c>
      <c r="S259" s="77">
        <f t="shared" si="35"/>
        <v>695</v>
      </c>
      <c r="T259" s="77">
        <f>0</f>
        <v>0</v>
      </c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</row>
    <row r="260" spans="1:30" ht="15.75" x14ac:dyDescent="0.25">
      <c r="A260" s="13">
        <v>48823</v>
      </c>
      <c r="B260" s="91">
        <v>30</v>
      </c>
      <c r="C260" s="77">
        <f>194.205</f>
        <v>194.20500000000001</v>
      </c>
      <c r="D260" s="77">
        <f>267.466</f>
        <v>267.46600000000001</v>
      </c>
      <c r="E260" s="86">
        <f>133.845</f>
        <v>133.845</v>
      </c>
      <c r="F260" s="77">
        <f>278.484-40-25-60-100</f>
        <v>53.48399999999998</v>
      </c>
      <c r="G260" s="80">
        <v>40</v>
      </c>
      <c r="H260" s="77">
        <f t="shared" si="40"/>
        <v>185</v>
      </c>
      <c r="I260" s="77">
        <f t="shared" si="39"/>
        <v>0</v>
      </c>
      <c r="J260" s="80">
        <v>100</v>
      </c>
      <c r="K260" s="80">
        <v>300</v>
      </c>
      <c r="L260" s="77">
        <f t="shared" si="32"/>
        <v>1274</v>
      </c>
      <c r="M260" s="88">
        <v>600</v>
      </c>
      <c r="N260" s="77">
        <f>30</f>
        <v>30</v>
      </c>
      <c r="O260" s="80">
        <v>240</v>
      </c>
      <c r="P260" s="80">
        <v>160</v>
      </c>
      <c r="Q260" s="80">
        <f t="shared" si="33"/>
        <v>195</v>
      </c>
      <c r="R260" s="80">
        <f t="shared" si="34"/>
        <v>100</v>
      </c>
      <c r="S260" s="77">
        <f t="shared" si="35"/>
        <v>695</v>
      </c>
      <c r="T260" s="77">
        <f>0</f>
        <v>0</v>
      </c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</row>
    <row r="261" spans="1:30" ht="15.75" x14ac:dyDescent="0.25">
      <c r="A261" s="13">
        <v>48853</v>
      </c>
      <c r="B261" s="91">
        <v>31</v>
      </c>
      <c r="C261" s="77">
        <f>131.881</f>
        <v>131.881</v>
      </c>
      <c r="D261" s="77">
        <f>277.167</f>
        <v>277.16699999999997</v>
      </c>
      <c r="E261" s="86">
        <f>79.08</f>
        <v>79.08</v>
      </c>
      <c r="F261" s="77">
        <f>350.872-40-25-60-100</f>
        <v>125.87200000000001</v>
      </c>
      <c r="G261" s="80">
        <v>40</v>
      </c>
      <c r="H261" s="77">
        <f t="shared" si="40"/>
        <v>185</v>
      </c>
      <c r="I261" s="77">
        <f t="shared" si="39"/>
        <v>0</v>
      </c>
      <c r="J261" s="80">
        <v>100</v>
      </c>
      <c r="K261" s="80">
        <v>300</v>
      </c>
      <c r="L261" s="77">
        <f t="shared" si="32"/>
        <v>1239</v>
      </c>
      <c r="M261" s="88">
        <v>600</v>
      </c>
      <c r="N261" s="77">
        <f>75</f>
        <v>75</v>
      </c>
      <c r="O261" s="80">
        <v>240</v>
      </c>
      <c r="P261" s="80">
        <v>160</v>
      </c>
      <c r="Q261" s="80">
        <f t="shared" si="33"/>
        <v>195</v>
      </c>
      <c r="R261" s="80">
        <f t="shared" si="34"/>
        <v>100</v>
      </c>
      <c r="S261" s="77">
        <f t="shared" si="35"/>
        <v>695</v>
      </c>
      <c r="T261" s="77">
        <f>0</f>
        <v>0</v>
      </c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</row>
    <row r="262" spans="1:30" ht="15.75" x14ac:dyDescent="0.25">
      <c r="A262" s="13">
        <v>48884</v>
      </c>
      <c r="B262" s="91">
        <v>30</v>
      </c>
      <c r="C262" s="77">
        <f>122.58</f>
        <v>122.58</v>
      </c>
      <c r="D262" s="77">
        <f>297.941</f>
        <v>297.94099999999997</v>
      </c>
      <c r="E262" s="86">
        <f>89.177</f>
        <v>89.177000000000007</v>
      </c>
      <c r="F262" s="77">
        <f>240.302-40-60-100</f>
        <v>40.301999999999992</v>
      </c>
      <c r="G262" s="80">
        <v>40</v>
      </c>
      <c r="H262" s="77">
        <f>60+100</f>
        <v>160</v>
      </c>
      <c r="I262" s="77">
        <f t="shared" si="39"/>
        <v>0</v>
      </c>
      <c r="J262" s="80">
        <v>100</v>
      </c>
      <c r="K262" s="80">
        <v>300</v>
      </c>
      <c r="L262" s="77">
        <f t="shared" si="32"/>
        <v>1150</v>
      </c>
      <c r="M262" s="88">
        <v>600</v>
      </c>
      <c r="N262" s="77">
        <f>100</f>
        <v>100</v>
      </c>
      <c r="O262" s="80">
        <v>240</v>
      </c>
      <c r="P262" s="80">
        <v>40</v>
      </c>
      <c r="Q262" s="80">
        <f t="shared" si="33"/>
        <v>315</v>
      </c>
      <c r="R262" s="80">
        <f t="shared" si="34"/>
        <v>100</v>
      </c>
      <c r="S262" s="77">
        <f t="shared" si="35"/>
        <v>695</v>
      </c>
      <c r="T262" s="77">
        <f>50</f>
        <v>50</v>
      </c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</row>
    <row r="263" spans="1:30" ht="15.75" x14ac:dyDescent="0.25">
      <c r="A263" s="13">
        <v>48914</v>
      </c>
      <c r="B263" s="91">
        <v>31</v>
      </c>
      <c r="C263" s="77">
        <f>122.58</f>
        <v>122.58</v>
      </c>
      <c r="D263" s="77">
        <f>297.941</f>
        <v>297.94099999999997</v>
      </c>
      <c r="E263" s="86">
        <f>89.177</f>
        <v>89.177000000000007</v>
      </c>
      <c r="F263" s="77">
        <f>240.302-40-60-100</f>
        <v>40.301999999999992</v>
      </c>
      <c r="G263" s="80">
        <v>40</v>
      </c>
      <c r="H263" s="77">
        <f>60+100</f>
        <v>160</v>
      </c>
      <c r="I263" s="77">
        <f t="shared" si="39"/>
        <v>0</v>
      </c>
      <c r="J263" s="80">
        <v>100</v>
      </c>
      <c r="K263" s="80">
        <v>300</v>
      </c>
      <c r="L263" s="77">
        <f t="shared" si="32"/>
        <v>1150</v>
      </c>
      <c r="M263" s="88">
        <v>600</v>
      </c>
      <c r="N263" s="77">
        <f>100</f>
        <v>100</v>
      </c>
      <c r="O263" s="80">
        <v>240</v>
      </c>
      <c r="P263" s="80">
        <v>40</v>
      </c>
      <c r="Q263" s="80">
        <f t="shared" si="33"/>
        <v>315</v>
      </c>
      <c r="R263" s="80">
        <f t="shared" si="34"/>
        <v>100</v>
      </c>
      <c r="S263" s="77">
        <f t="shared" si="35"/>
        <v>695</v>
      </c>
      <c r="T263" s="77">
        <f>50</f>
        <v>50</v>
      </c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</row>
    <row r="264" spans="1:30" ht="15.75" x14ac:dyDescent="0.25">
      <c r="A264" s="13">
        <v>48945</v>
      </c>
      <c r="B264" s="91">
        <v>31</v>
      </c>
      <c r="C264" s="77">
        <f>122.58</f>
        <v>122.58</v>
      </c>
      <c r="D264" s="77">
        <f>297.941</f>
        <v>297.94099999999997</v>
      </c>
      <c r="E264" s="86">
        <f>89.177</f>
        <v>89.177000000000007</v>
      </c>
      <c r="F264" s="77">
        <f>240.302-40-60-100</f>
        <v>40.301999999999992</v>
      </c>
      <c r="G264" s="80">
        <v>40</v>
      </c>
      <c r="H264" s="77">
        <f>60+100</f>
        <v>160</v>
      </c>
      <c r="I264" s="77">
        <f t="shared" si="39"/>
        <v>0</v>
      </c>
      <c r="J264" s="80">
        <v>100</v>
      </c>
      <c r="K264" s="80">
        <v>300</v>
      </c>
      <c r="L264" s="77">
        <f t="shared" si="32"/>
        <v>1150</v>
      </c>
      <c r="M264" s="88">
        <v>600</v>
      </c>
      <c r="N264" s="77">
        <f>100</f>
        <v>100</v>
      </c>
      <c r="O264" s="80">
        <v>240</v>
      </c>
      <c r="P264" s="80">
        <v>40</v>
      </c>
      <c r="Q264" s="80">
        <f t="shared" si="33"/>
        <v>315</v>
      </c>
      <c r="R264" s="80">
        <f t="shared" si="34"/>
        <v>100</v>
      </c>
      <c r="S264" s="77">
        <f t="shared" si="35"/>
        <v>695</v>
      </c>
      <c r="T264" s="77">
        <f>50</f>
        <v>50</v>
      </c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</row>
    <row r="265" spans="1:30" ht="15.75" x14ac:dyDescent="0.25">
      <c r="A265" s="13">
        <v>48976</v>
      </c>
      <c r="B265" s="91">
        <v>28</v>
      </c>
      <c r="C265" s="77">
        <f>122.58</f>
        <v>122.58</v>
      </c>
      <c r="D265" s="77">
        <f>297.941</f>
        <v>297.94099999999997</v>
      </c>
      <c r="E265" s="86">
        <f>89.177</f>
        <v>89.177000000000007</v>
      </c>
      <c r="F265" s="77">
        <f>240.302-40-60-100</f>
        <v>40.301999999999992</v>
      </c>
      <c r="G265" s="80">
        <v>40</v>
      </c>
      <c r="H265" s="77">
        <f>60+100</f>
        <v>160</v>
      </c>
      <c r="I265" s="77">
        <f t="shared" si="39"/>
        <v>0</v>
      </c>
      <c r="J265" s="80">
        <v>100</v>
      </c>
      <c r="K265" s="80">
        <v>300</v>
      </c>
      <c r="L265" s="77">
        <f t="shared" si="32"/>
        <v>1150</v>
      </c>
      <c r="M265" s="88">
        <v>600</v>
      </c>
      <c r="N265" s="77">
        <f>100</f>
        <v>100</v>
      </c>
      <c r="O265" s="80">
        <v>240</v>
      </c>
      <c r="P265" s="80">
        <v>40</v>
      </c>
      <c r="Q265" s="80">
        <f t="shared" si="33"/>
        <v>315</v>
      </c>
      <c r="R265" s="80">
        <f t="shared" si="34"/>
        <v>100</v>
      </c>
      <c r="S265" s="77">
        <f t="shared" si="35"/>
        <v>695</v>
      </c>
      <c r="T265" s="77">
        <f>50</f>
        <v>50</v>
      </c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</row>
    <row r="266" spans="1:30" ht="15.75" x14ac:dyDescent="0.25">
      <c r="A266" s="13">
        <v>49004</v>
      </c>
      <c r="B266" s="91">
        <v>31</v>
      </c>
      <c r="C266" s="77">
        <f>122.58</f>
        <v>122.58</v>
      </c>
      <c r="D266" s="77">
        <f>297.941</f>
        <v>297.94099999999997</v>
      </c>
      <c r="E266" s="86">
        <f>89.177</f>
        <v>89.177000000000007</v>
      </c>
      <c r="F266" s="77">
        <f>240.302-40-60-100</f>
        <v>40.301999999999992</v>
      </c>
      <c r="G266" s="80">
        <v>40</v>
      </c>
      <c r="H266" s="77">
        <f>60+100</f>
        <v>160</v>
      </c>
      <c r="I266" s="77">
        <f t="shared" si="39"/>
        <v>0</v>
      </c>
      <c r="J266" s="80">
        <v>100</v>
      </c>
      <c r="K266" s="80">
        <v>300</v>
      </c>
      <c r="L266" s="77">
        <f t="shared" si="32"/>
        <v>1150</v>
      </c>
      <c r="M266" s="88">
        <v>600</v>
      </c>
      <c r="N266" s="77">
        <f>100</f>
        <v>100</v>
      </c>
      <c r="O266" s="80">
        <v>240</v>
      </c>
      <c r="P266" s="80">
        <v>40</v>
      </c>
      <c r="Q266" s="80">
        <f t="shared" si="33"/>
        <v>315</v>
      </c>
      <c r="R266" s="80">
        <f t="shared" si="34"/>
        <v>100</v>
      </c>
      <c r="S266" s="77">
        <f t="shared" si="35"/>
        <v>695</v>
      </c>
      <c r="T266" s="77">
        <f>50</f>
        <v>50</v>
      </c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</row>
    <row r="267" spans="1:30" ht="15.75" x14ac:dyDescent="0.25">
      <c r="A267" s="13">
        <v>49035</v>
      </c>
      <c r="B267" s="91">
        <v>30</v>
      </c>
      <c r="C267" s="77">
        <f>141.293</f>
        <v>141.29300000000001</v>
      </c>
      <c r="D267" s="77">
        <f>267.993</f>
        <v>267.99299999999999</v>
      </c>
      <c r="E267" s="86">
        <f>115.016</f>
        <v>115.01600000000001</v>
      </c>
      <c r="F267" s="77">
        <f>314.698-40-25-60-100</f>
        <v>89.697999999999979</v>
      </c>
      <c r="G267" s="80">
        <v>40</v>
      </c>
      <c r="H267" s="77">
        <f t="shared" ref="H267:H273" si="41">25+60+100</f>
        <v>185</v>
      </c>
      <c r="I267" s="77">
        <f t="shared" si="39"/>
        <v>0</v>
      </c>
      <c r="J267" s="80">
        <v>100</v>
      </c>
      <c r="K267" s="80">
        <v>300</v>
      </c>
      <c r="L267" s="77">
        <f t="shared" si="32"/>
        <v>1239</v>
      </c>
      <c r="M267" s="88">
        <v>600</v>
      </c>
      <c r="N267" s="77">
        <f>100</f>
        <v>100</v>
      </c>
      <c r="O267" s="80">
        <v>240</v>
      </c>
      <c r="P267" s="80">
        <v>160</v>
      </c>
      <c r="Q267" s="80">
        <f t="shared" si="33"/>
        <v>195</v>
      </c>
      <c r="R267" s="80">
        <f t="shared" si="34"/>
        <v>100</v>
      </c>
      <c r="S267" s="77">
        <f t="shared" si="35"/>
        <v>695</v>
      </c>
      <c r="T267" s="77">
        <f>50</f>
        <v>50</v>
      </c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</row>
    <row r="268" spans="1:30" ht="15.75" x14ac:dyDescent="0.25">
      <c r="A268" s="13">
        <v>49065</v>
      </c>
      <c r="B268" s="91">
        <v>31</v>
      </c>
      <c r="C268" s="77">
        <f>194.205</f>
        <v>194.20500000000001</v>
      </c>
      <c r="D268" s="77">
        <f>267.466</f>
        <v>267.46600000000001</v>
      </c>
      <c r="E268" s="86">
        <f>133.845</f>
        <v>133.845</v>
      </c>
      <c r="F268" s="77">
        <f>278.484-40-25-60-100</f>
        <v>53.48399999999998</v>
      </c>
      <c r="G268" s="80">
        <v>40</v>
      </c>
      <c r="H268" s="77">
        <f t="shared" si="41"/>
        <v>185</v>
      </c>
      <c r="I268" s="77">
        <f t="shared" si="39"/>
        <v>0</v>
      </c>
      <c r="J268" s="80">
        <v>100</v>
      </c>
      <c r="K268" s="80">
        <v>300</v>
      </c>
      <c r="L268" s="77">
        <f t="shared" si="32"/>
        <v>1274</v>
      </c>
      <c r="M268" s="88">
        <v>600</v>
      </c>
      <c r="N268" s="77">
        <f>75</f>
        <v>75</v>
      </c>
      <c r="O268" s="80">
        <v>240</v>
      </c>
      <c r="P268" s="80">
        <v>160</v>
      </c>
      <c r="Q268" s="80">
        <f t="shared" si="33"/>
        <v>195</v>
      </c>
      <c r="R268" s="80">
        <f t="shared" si="34"/>
        <v>100</v>
      </c>
      <c r="S268" s="77">
        <f t="shared" si="35"/>
        <v>695</v>
      </c>
      <c r="T268" s="77">
        <f>50</f>
        <v>50</v>
      </c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</row>
    <row r="269" spans="1:30" ht="15.75" x14ac:dyDescent="0.25">
      <c r="A269" s="13">
        <v>49096</v>
      </c>
      <c r="B269" s="91">
        <v>30</v>
      </c>
      <c r="C269" s="77">
        <f>194.205</f>
        <v>194.20500000000001</v>
      </c>
      <c r="D269" s="77">
        <f>267.466</f>
        <v>267.46600000000001</v>
      </c>
      <c r="E269" s="86">
        <f>133.845</f>
        <v>133.845</v>
      </c>
      <c r="F269" s="77">
        <f>278.484-40-25-60-100</f>
        <v>53.48399999999998</v>
      </c>
      <c r="G269" s="80">
        <v>40</v>
      </c>
      <c r="H269" s="77">
        <f t="shared" si="41"/>
        <v>185</v>
      </c>
      <c r="I269" s="77">
        <f t="shared" si="39"/>
        <v>0</v>
      </c>
      <c r="J269" s="80">
        <v>100</v>
      </c>
      <c r="K269" s="80">
        <v>300</v>
      </c>
      <c r="L269" s="77">
        <f t="shared" si="32"/>
        <v>1274</v>
      </c>
      <c r="M269" s="88">
        <v>600</v>
      </c>
      <c r="N269" s="77">
        <f>30</f>
        <v>30</v>
      </c>
      <c r="O269" s="80">
        <v>240</v>
      </c>
      <c r="P269" s="80">
        <v>160</v>
      </c>
      <c r="Q269" s="80">
        <f t="shared" si="33"/>
        <v>195</v>
      </c>
      <c r="R269" s="80">
        <f t="shared" si="34"/>
        <v>100</v>
      </c>
      <c r="S269" s="77">
        <f t="shared" si="35"/>
        <v>695</v>
      </c>
      <c r="T269" s="77">
        <f>50</f>
        <v>50</v>
      </c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</row>
    <row r="270" spans="1:30" ht="15.75" x14ac:dyDescent="0.25">
      <c r="A270" s="13">
        <v>49126</v>
      </c>
      <c r="B270" s="91">
        <v>31</v>
      </c>
      <c r="C270" s="77">
        <f>194.205</f>
        <v>194.20500000000001</v>
      </c>
      <c r="D270" s="77">
        <f>267.466</f>
        <v>267.46600000000001</v>
      </c>
      <c r="E270" s="86">
        <f>133.845</f>
        <v>133.845</v>
      </c>
      <c r="F270" s="77">
        <f>278.484-40-25-60-100</f>
        <v>53.48399999999998</v>
      </c>
      <c r="G270" s="80">
        <v>40</v>
      </c>
      <c r="H270" s="77">
        <f t="shared" si="41"/>
        <v>185</v>
      </c>
      <c r="I270" s="77">
        <f t="shared" si="39"/>
        <v>0</v>
      </c>
      <c r="J270" s="80">
        <v>100</v>
      </c>
      <c r="K270" s="80">
        <v>300</v>
      </c>
      <c r="L270" s="77">
        <f t="shared" si="32"/>
        <v>1274</v>
      </c>
      <c r="M270" s="88">
        <v>600</v>
      </c>
      <c r="N270" s="77">
        <f>30</f>
        <v>30</v>
      </c>
      <c r="O270" s="80">
        <v>240</v>
      </c>
      <c r="P270" s="80">
        <v>160</v>
      </c>
      <c r="Q270" s="80">
        <f t="shared" si="33"/>
        <v>195</v>
      </c>
      <c r="R270" s="80">
        <f t="shared" si="34"/>
        <v>100</v>
      </c>
      <c r="S270" s="77">
        <f t="shared" si="35"/>
        <v>695</v>
      </c>
      <c r="T270" s="77">
        <f>0</f>
        <v>0</v>
      </c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</row>
    <row r="271" spans="1:30" ht="15.75" x14ac:dyDescent="0.25">
      <c r="A271" s="13">
        <v>49157</v>
      </c>
      <c r="B271" s="91">
        <v>31</v>
      </c>
      <c r="C271" s="77">
        <f>194.205</f>
        <v>194.20500000000001</v>
      </c>
      <c r="D271" s="77">
        <f>267.466</f>
        <v>267.46600000000001</v>
      </c>
      <c r="E271" s="86">
        <f>133.845</f>
        <v>133.845</v>
      </c>
      <c r="F271" s="77">
        <f>278.484-40-25-60-100</f>
        <v>53.48399999999998</v>
      </c>
      <c r="G271" s="80">
        <v>40</v>
      </c>
      <c r="H271" s="77">
        <f t="shared" si="41"/>
        <v>185</v>
      </c>
      <c r="I271" s="77">
        <f t="shared" si="39"/>
        <v>0</v>
      </c>
      <c r="J271" s="80">
        <v>100</v>
      </c>
      <c r="K271" s="80">
        <v>300</v>
      </c>
      <c r="L271" s="77">
        <f t="shared" si="32"/>
        <v>1274</v>
      </c>
      <c r="M271" s="88">
        <v>600</v>
      </c>
      <c r="N271" s="77">
        <f>30</f>
        <v>30</v>
      </c>
      <c r="O271" s="80">
        <v>240</v>
      </c>
      <c r="P271" s="80">
        <v>160</v>
      </c>
      <c r="Q271" s="80">
        <f t="shared" si="33"/>
        <v>195</v>
      </c>
      <c r="R271" s="80">
        <f t="shared" si="34"/>
        <v>100</v>
      </c>
      <c r="S271" s="77">
        <f t="shared" si="35"/>
        <v>695</v>
      </c>
      <c r="T271" s="77">
        <f>0</f>
        <v>0</v>
      </c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</row>
    <row r="272" spans="1:30" ht="15.75" x14ac:dyDescent="0.25">
      <c r="A272" s="13">
        <v>49188</v>
      </c>
      <c r="B272" s="91">
        <v>30</v>
      </c>
      <c r="C272" s="77">
        <f>194.205</f>
        <v>194.20500000000001</v>
      </c>
      <c r="D272" s="77">
        <f>267.466</f>
        <v>267.46600000000001</v>
      </c>
      <c r="E272" s="86">
        <f>133.845</f>
        <v>133.845</v>
      </c>
      <c r="F272" s="77">
        <f>278.484-40-25-60-100</f>
        <v>53.48399999999998</v>
      </c>
      <c r="G272" s="80">
        <v>40</v>
      </c>
      <c r="H272" s="77">
        <f t="shared" si="41"/>
        <v>185</v>
      </c>
      <c r="I272" s="77">
        <f t="shared" si="39"/>
        <v>0</v>
      </c>
      <c r="J272" s="80">
        <v>100</v>
      </c>
      <c r="K272" s="80">
        <v>300</v>
      </c>
      <c r="L272" s="77">
        <f t="shared" si="32"/>
        <v>1274</v>
      </c>
      <c r="M272" s="88">
        <v>600</v>
      </c>
      <c r="N272" s="77">
        <f>30</f>
        <v>30</v>
      </c>
      <c r="O272" s="80">
        <v>240</v>
      </c>
      <c r="P272" s="80">
        <v>160</v>
      </c>
      <c r="Q272" s="80">
        <f t="shared" si="33"/>
        <v>195</v>
      </c>
      <c r="R272" s="80">
        <f t="shared" si="34"/>
        <v>100</v>
      </c>
      <c r="S272" s="77">
        <f t="shared" si="35"/>
        <v>695</v>
      </c>
      <c r="T272" s="77">
        <f>0</f>
        <v>0</v>
      </c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</row>
    <row r="273" spans="1:30" ht="15.75" x14ac:dyDescent="0.25">
      <c r="A273" s="13">
        <v>49218</v>
      </c>
      <c r="B273" s="91">
        <v>31</v>
      </c>
      <c r="C273" s="77">
        <f>131.881</f>
        <v>131.881</v>
      </c>
      <c r="D273" s="77">
        <f>277.167</f>
        <v>277.16699999999997</v>
      </c>
      <c r="E273" s="86">
        <f>79.08</f>
        <v>79.08</v>
      </c>
      <c r="F273" s="77">
        <f>350.872-40-25-60-100</f>
        <v>125.87200000000001</v>
      </c>
      <c r="G273" s="80">
        <v>40</v>
      </c>
      <c r="H273" s="77">
        <f t="shared" si="41"/>
        <v>185</v>
      </c>
      <c r="I273" s="77">
        <f t="shared" si="39"/>
        <v>0</v>
      </c>
      <c r="J273" s="80">
        <v>100</v>
      </c>
      <c r="K273" s="80">
        <v>300</v>
      </c>
      <c r="L273" s="77">
        <f t="shared" si="32"/>
        <v>1239</v>
      </c>
      <c r="M273" s="88">
        <v>600</v>
      </c>
      <c r="N273" s="77">
        <f>75</f>
        <v>75</v>
      </c>
      <c r="O273" s="80">
        <v>240</v>
      </c>
      <c r="P273" s="80">
        <v>160</v>
      </c>
      <c r="Q273" s="80">
        <f t="shared" si="33"/>
        <v>195</v>
      </c>
      <c r="R273" s="80">
        <f t="shared" si="34"/>
        <v>100</v>
      </c>
      <c r="S273" s="77">
        <f t="shared" si="35"/>
        <v>695</v>
      </c>
      <c r="T273" s="77">
        <f>0</f>
        <v>0</v>
      </c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</row>
    <row r="274" spans="1:30" ht="15.75" x14ac:dyDescent="0.25">
      <c r="A274" s="13">
        <v>49249</v>
      </c>
      <c r="B274" s="91">
        <v>30</v>
      </c>
      <c r="C274" s="77">
        <f>122.58</f>
        <v>122.58</v>
      </c>
      <c r="D274" s="77">
        <f>297.941</f>
        <v>297.94099999999997</v>
      </c>
      <c r="E274" s="86">
        <f>89.177</f>
        <v>89.177000000000007</v>
      </c>
      <c r="F274" s="77">
        <f>240.302-40-60-100</f>
        <v>40.301999999999992</v>
      </c>
      <c r="G274" s="80">
        <v>40</v>
      </c>
      <c r="H274" s="77">
        <f>60+100</f>
        <v>160</v>
      </c>
      <c r="I274" s="77">
        <f t="shared" si="39"/>
        <v>0</v>
      </c>
      <c r="J274" s="80">
        <v>100</v>
      </c>
      <c r="K274" s="80">
        <v>300</v>
      </c>
      <c r="L274" s="77">
        <f t="shared" si="32"/>
        <v>1150</v>
      </c>
      <c r="M274" s="88">
        <v>600</v>
      </c>
      <c r="N274" s="77">
        <f>100</f>
        <v>100</v>
      </c>
      <c r="O274" s="80">
        <v>240</v>
      </c>
      <c r="P274" s="80">
        <v>40</v>
      </c>
      <c r="Q274" s="80">
        <f t="shared" si="33"/>
        <v>315</v>
      </c>
      <c r="R274" s="80">
        <f t="shared" si="34"/>
        <v>100</v>
      </c>
      <c r="S274" s="77">
        <f t="shared" si="35"/>
        <v>695</v>
      </c>
      <c r="T274" s="77">
        <f>50</f>
        <v>50</v>
      </c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</row>
    <row r="275" spans="1:30" ht="15.75" x14ac:dyDescent="0.25">
      <c r="A275" s="13">
        <v>49279</v>
      </c>
      <c r="B275" s="91">
        <v>31</v>
      </c>
      <c r="C275" s="77">
        <f>122.58</f>
        <v>122.58</v>
      </c>
      <c r="D275" s="77">
        <f>297.941</f>
        <v>297.94099999999997</v>
      </c>
      <c r="E275" s="86">
        <f>89.177</f>
        <v>89.177000000000007</v>
      </c>
      <c r="F275" s="77">
        <f>240.302-40-60-100</f>
        <v>40.301999999999992</v>
      </c>
      <c r="G275" s="80">
        <v>40</v>
      </c>
      <c r="H275" s="77">
        <f>60+100</f>
        <v>160</v>
      </c>
      <c r="I275" s="77">
        <f t="shared" si="39"/>
        <v>0</v>
      </c>
      <c r="J275" s="80">
        <v>100</v>
      </c>
      <c r="K275" s="80">
        <v>300</v>
      </c>
      <c r="L275" s="77">
        <f t="shared" ref="L275:L338" si="42">SUM(C275:K275)</f>
        <v>1150</v>
      </c>
      <c r="M275" s="88">
        <v>600</v>
      </c>
      <c r="N275" s="77">
        <f>100</f>
        <v>100</v>
      </c>
      <c r="O275" s="80">
        <v>240</v>
      </c>
      <c r="P275" s="80">
        <v>40</v>
      </c>
      <c r="Q275" s="80">
        <f t="shared" ref="Q275:Q338" si="43">695-R275-O275-P275</f>
        <v>315</v>
      </c>
      <c r="R275" s="80">
        <f t="shared" ref="R275:R338" si="44">200-J275</f>
        <v>100</v>
      </c>
      <c r="S275" s="77">
        <f t="shared" ref="S275:S338" si="45">SUM(O275:R275)</f>
        <v>695</v>
      </c>
      <c r="T275" s="77">
        <f>50</f>
        <v>50</v>
      </c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</row>
    <row r="276" spans="1:30" ht="15.75" x14ac:dyDescent="0.25">
      <c r="A276" s="13">
        <v>49310</v>
      </c>
      <c r="B276" s="91">
        <v>31</v>
      </c>
      <c r="C276" s="77">
        <f>122.58</f>
        <v>122.58</v>
      </c>
      <c r="D276" s="77">
        <f>297.941</f>
        <v>297.94099999999997</v>
      </c>
      <c r="E276" s="86">
        <f>89.177</f>
        <v>89.177000000000007</v>
      </c>
      <c r="F276" s="77">
        <f>240.302-40-60-100</f>
        <v>40.301999999999992</v>
      </c>
      <c r="G276" s="80">
        <v>40</v>
      </c>
      <c r="H276" s="77">
        <f>60+100</f>
        <v>160</v>
      </c>
      <c r="I276" s="77">
        <f t="shared" si="39"/>
        <v>0</v>
      </c>
      <c r="J276" s="80">
        <v>100</v>
      </c>
      <c r="K276" s="80">
        <v>300</v>
      </c>
      <c r="L276" s="77">
        <f t="shared" si="42"/>
        <v>1150</v>
      </c>
      <c r="M276" s="88">
        <v>600</v>
      </c>
      <c r="N276" s="77">
        <f>100</f>
        <v>100</v>
      </c>
      <c r="O276" s="80">
        <v>240</v>
      </c>
      <c r="P276" s="80">
        <v>40</v>
      </c>
      <c r="Q276" s="80">
        <f t="shared" si="43"/>
        <v>315</v>
      </c>
      <c r="R276" s="80">
        <f t="shared" si="44"/>
        <v>100</v>
      </c>
      <c r="S276" s="77">
        <f t="shared" si="45"/>
        <v>695</v>
      </c>
      <c r="T276" s="77">
        <f>50</f>
        <v>50</v>
      </c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</row>
    <row r="277" spans="1:30" ht="15.75" x14ac:dyDescent="0.25">
      <c r="A277" s="13">
        <v>49341</v>
      </c>
      <c r="B277" s="91">
        <v>28</v>
      </c>
      <c r="C277" s="77">
        <f>122.58</f>
        <v>122.58</v>
      </c>
      <c r="D277" s="77">
        <f>297.941</f>
        <v>297.94099999999997</v>
      </c>
      <c r="E277" s="86">
        <f>89.177</f>
        <v>89.177000000000007</v>
      </c>
      <c r="F277" s="77">
        <f>240.302-40-60-100</f>
        <v>40.301999999999992</v>
      </c>
      <c r="G277" s="80">
        <v>40</v>
      </c>
      <c r="H277" s="77">
        <f>60+100</f>
        <v>160</v>
      </c>
      <c r="I277" s="77">
        <f t="shared" si="39"/>
        <v>0</v>
      </c>
      <c r="J277" s="80">
        <v>100</v>
      </c>
      <c r="K277" s="80">
        <v>300</v>
      </c>
      <c r="L277" s="77">
        <f t="shared" si="42"/>
        <v>1150</v>
      </c>
      <c r="M277" s="88">
        <v>600</v>
      </c>
      <c r="N277" s="77">
        <f>100</f>
        <v>100</v>
      </c>
      <c r="O277" s="80">
        <v>240</v>
      </c>
      <c r="P277" s="80">
        <v>40</v>
      </c>
      <c r="Q277" s="80">
        <f t="shared" si="43"/>
        <v>315</v>
      </c>
      <c r="R277" s="80">
        <f t="shared" si="44"/>
        <v>100</v>
      </c>
      <c r="S277" s="77">
        <f t="shared" si="45"/>
        <v>695</v>
      </c>
      <c r="T277" s="77">
        <f>50</f>
        <v>50</v>
      </c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</row>
    <row r="278" spans="1:30" ht="15.75" x14ac:dyDescent="0.25">
      <c r="A278" s="13">
        <v>49369</v>
      </c>
      <c r="B278" s="91">
        <v>31</v>
      </c>
      <c r="C278" s="77">
        <f>122.58</f>
        <v>122.58</v>
      </c>
      <c r="D278" s="77">
        <f>297.941</f>
        <v>297.94099999999997</v>
      </c>
      <c r="E278" s="86">
        <f>89.177</f>
        <v>89.177000000000007</v>
      </c>
      <c r="F278" s="77">
        <f>240.302-40-60-100</f>
        <v>40.301999999999992</v>
      </c>
      <c r="G278" s="80">
        <v>40</v>
      </c>
      <c r="H278" s="77">
        <f>60+100</f>
        <v>160</v>
      </c>
      <c r="I278" s="77">
        <f t="shared" si="39"/>
        <v>0</v>
      </c>
      <c r="J278" s="80">
        <v>100</v>
      </c>
      <c r="K278" s="80">
        <v>300</v>
      </c>
      <c r="L278" s="77">
        <f t="shared" si="42"/>
        <v>1150</v>
      </c>
      <c r="M278" s="88">
        <v>600</v>
      </c>
      <c r="N278" s="77">
        <f>100</f>
        <v>100</v>
      </c>
      <c r="O278" s="80">
        <v>240</v>
      </c>
      <c r="P278" s="80">
        <v>40</v>
      </c>
      <c r="Q278" s="80">
        <f t="shared" si="43"/>
        <v>315</v>
      </c>
      <c r="R278" s="80">
        <f t="shared" si="44"/>
        <v>100</v>
      </c>
      <c r="S278" s="77">
        <f t="shared" si="45"/>
        <v>695</v>
      </c>
      <c r="T278" s="77">
        <f>50</f>
        <v>50</v>
      </c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</row>
    <row r="279" spans="1:30" ht="15.75" x14ac:dyDescent="0.25">
      <c r="A279" s="13">
        <v>49400</v>
      </c>
      <c r="B279" s="91">
        <v>30</v>
      </c>
      <c r="C279" s="77">
        <f>141.293</f>
        <v>141.29300000000001</v>
      </c>
      <c r="D279" s="77">
        <f>267.993</f>
        <v>267.99299999999999</v>
      </c>
      <c r="E279" s="86">
        <f>115.016</f>
        <v>115.01600000000001</v>
      </c>
      <c r="F279" s="77">
        <f>314.698-40-25-60-100</f>
        <v>89.697999999999979</v>
      </c>
      <c r="G279" s="80">
        <v>40</v>
      </c>
      <c r="H279" s="77">
        <f t="shared" ref="H279:H285" si="46">25+60+100</f>
        <v>185</v>
      </c>
      <c r="I279" s="77">
        <f t="shared" si="39"/>
        <v>0</v>
      </c>
      <c r="J279" s="80">
        <v>100</v>
      </c>
      <c r="K279" s="80">
        <v>300</v>
      </c>
      <c r="L279" s="77">
        <f t="shared" si="42"/>
        <v>1239</v>
      </c>
      <c r="M279" s="88">
        <v>600</v>
      </c>
      <c r="N279" s="77">
        <f>100</f>
        <v>100</v>
      </c>
      <c r="O279" s="80">
        <v>240</v>
      </c>
      <c r="P279" s="80">
        <v>160</v>
      </c>
      <c r="Q279" s="80">
        <f t="shared" si="43"/>
        <v>195</v>
      </c>
      <c r="R279" s="80">
        <f t="shared" si="44"/>
        <v>100</v>
      </c>
      <c r="S279" s="77">
        <f t="shared" si="45"/>
        <v>695</v>
      </c>
      <c r="T279" s="77">
        <f>50</f>
        <v>50</v>
      </c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</row>
    <row r="280" spans="1:30" ht="15.75" x14ac:dyDescent="0.25">
      <c r="A280" s="13">
        <v>49430</v>
      </c>
      <c r="B280" s="91">
        <v>31</v>
      </c>
      <c r="C280" s="77">
        <f>194.205</f>
        <v>194.20500000000001</v>
      </c>
      <c r="D280" s="77">
        <f>267.466</f>
        <v>267.46600000000001</v>
      </c>
      <c r="E280" s="86">
        <f>133.845</f>
        <v>133.845</v>
      </c>
      <c r="F280" s="77">
        <f>278.484-40-25-60-100</f>
        <v>53.48399999999998</v>
      </c>
      <c r="G280" s="80">
        <v>40</v>
      </c>
      <c r="H280" s="77">
        <f t="shared" si="46"/>
        <v>185</v>
      </c>
      <c r="I280" s="77">
        <f t="shared" si="39"/>
        <v>0</v>
      </c>
      <c r="J280" s="80">
        <v>100</v>
      </c>
      <c r="K280" s="80">
        <v>300</v>
      </c>
      <c r="L280" s="77">
        <f t="shared" si="42"/>
        <v>1274</v>
      </c>
      <c r="M280" s="88">
        <v>600</v>
      </c>
      <c r="N280" s="77">
        <f>75</f>
        <v>75</v>
      </c>
      <c r="O280" s="80">
        <v>240</v>
      </c>
      <c r="P280" s="80">
        <v>160</v>
      </c>
      <c r="Q280" s="80">
        <f t="shared" si="43"/>
        <v>195</v>
      </c>
      <c r="R280" s="80">
        <f t="shared" si="44"/>
        <v>100</v>
      </c>
      <c r="S280" s="77">
        <f t="shared" si="45"/>
        <v>695</v>
      </c>
      <c r="T280" s="77">
        <f>50</f>
        <v>50</v>
      </c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</row>
    <row r="281" spans="1:30" ht="15.75" x14ac:dyDescent="0.25">
      <c r="A281" s="34">
        <v>49461</v>
      </c>
      <c r="B281" s="91">
        <v>30</v>
      </c>
      <c r="C281" s="77">
        <f>194.205</f>
        <v>194.20500000000001</v>
      </c>
      <c r="D281" s="77">
        <f>267.466</f>
        <v>267.46600000000001</v>
      </c>
      <c r="E281" s="86">
        <f>133.845</f>
        <v>133.845</v>
      </c>
      <c r="F281" s="77">
        <f>278.484-40-25-60-100</f>
        <v>53.48399999999998</v>
      </c>
      <c r="G281" s="80">
        <v>40</v>
      </c>
      <c r="H281" s="77">
        <f t="shared" si="46"/>
        <v>185</v>
      </c>
      <c r="I281" s="77">
        <f t="shared" si="39"/>
        <v>0</v>
      </c>
      <c r="J281" s="80">
        <v>100</v>
      </c>
      <c r="K281" s="80">
        <v>300</v>
      </c>
      <c r="L281" s="77">
        <f t="shared" si="42"/>
        <v>1274</v>
      </c>
      <c r="M281" s="88">
        <v>600</v>
      </c>
      <c r="N281" s="77">
        <f>30</f>
        <v>30</v>
      </c>
      <c r="O281" s="80">
        <v>240</v>
      </c>
      <c r="P281" s="80">
        <v>160</v>
      </c>
      <c r="Q281" s="80">
        <f t="shared" si="43"/>
        <v>195</v>
      </c>
      <c r="R281" s="80">
        <f t="shared" si="44"/>
        <v>100</v>
      </c>
      <c r="S281" s="77">
        <f t="shared" si="45"/>
        <v>695</v>
      </c>
      <c r="T281" s="77">
        <f>50</f>
        <v>50</v>
      </c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</row>
    <row r="282" spans="1:30" ht="15.75" x14ac:dyDescent="0.25">
      <c r="A282" s="34">
        <v>49491</v>
      </c>
      <c r="B282" s="91">
        <v>31</v>
      </c>
      <c r="C282" s="77">
        <f>194.205</f>
        <v>194.20500000000001</v>
      </c>
      <c r="D282" s="77">
        <f>267.466</f>
        <v>267.46600000000001</v>
      </c>
      <c r="E282" s="86">
        <f>133.845</f>
        <v>133.845</v>
      </c>
      <c r="F282" s="77">
        <f>278.484-40-25-60-100</f>
        <v>53.48399999999998</v>
      </c>
      <c r="G282" s="80">
        <v>40</v>
      </c>
      <c r="H282" s="77">
        <f t="shared" si="46"/>
        <v>185</v>
      </c>
      <c r="I282" s="77">
        <f t="shared" si="39"/>
        <v>0</v>
      </c>
      <c r="J282" s="80">
        <v>100</v>
      </c>
      <c r="K282" s="80">
        <v>300</v>
      </c>
      <c r="L282" s="77">
        <f t="shared" si="42"/>
        <v>1274</v>
      </c>
      <c r="M282" s="88">
        <v>600</v>
      </c>
      <c r="N282" s="77">
        <f>30</f>
        <v>30</v>
      </c>
      <c r="O282" s="80">
        <v>240</v>
      </c>
      <c r="P282" s="80">
        <v>160</v>
      </c>
      <c r="Q282" s="80">
        <f t="shared" si="43"/>
        <v>195</v>
      </c>
      <c r="R282" s="80">
        <f t="shared" si="44"/>
        <v>100</v>
      </c>
      <c r="S282" s="77">
        <f t="shared" si="45"/>
        <v>695</v>
      </c>
      <c r="T282" s="77">
        <f>0</f>
        <v>0</v>
      </c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</row>
    <row r="283" spans="1:30" ht="15.75" x14ac:dyDescent="0.25">
      <c r="A283" s="34">
        <v>49522</v>
      </c>
      <c r="B283" s="91">
        <v>31</v>
      </c>
      <c r="C283" s="77">
        <f>194.205</f>
        <v>194.20500000000001</v>
      </c>
      <c r="D283" s="77">
        <f>267.466</f>
        <v>267.46600000000001</v>
      </c>
      <c r="E283" s="86">
        <f>133.845</f>
        <v>133.845</v>
      </c>
      <c r="F283" s="77">
        <f>278.484-40-25-60-100</f>
        <v>53.48399999999998</v>
      </c>
      <c r="G283" s="80">
        <v>40</v>
      </c>
      <c r="H283" s="77">
        <f t="shared" si="46"/>
        <v>185</v>
      </c>
      <c r="I283" s="77">
        <f t="shared" si="39"/>
        <v>0</v>
      </c>
      <c r="J283" s="80">
        <v>100</v>
      </c>
      <c r="K283" s="80">
        <v>300</v>
      </c>
      <c r="L283" s="77">
        <f t="shared" si="42"/>
        <v>1274</v>
      </c>
      <c r="M283" s="88">
        <v>600</v>
      </c>
      <c r="N283" s="77">
        <f>30</f>
        <v>30</v>
      </c>
      <c r="O283" s="80">
        <v>240</v>
      </c>
      <c r="P283" s="80">
        <v>160</v>
      </c>
      <c r="Q283" s="80">
        <f t="shared" si="43"/>
        <v>195</v>
      </c>
      <c r="R283" s="80">
        <f t="shared" si="44"/>
        <v>100</v>
      </c>
      <c r="S283" s="77">
        <f t="shared" si="45"/>
        <v>695</v>
      </c>
      <c r="T283" s="77">
        <f>0</f>
        <v>0</v>
      </c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</row>
    <row r="284" spans="1:30" ht="15.75" x14ac:dyDescent="0.25">
      <c r="A284" s="34">
        <v>49553</v>
      </c>
      <c r="B284" s="91">
        <v>30</v>
      </c>
      <c r="C284" s="77">
        <f>194.205</f>
        <v>194.20500000000001</v>
      </c>
      <c r="D284" s="77">
        <f>267.466</f>
        <v>267.46600000000001</v>
      </c>
      <c r="E284" s="86">
        <f>133.845</f>
        <v>133.845</v>
      </c>
      <c r="F284" s="77">
        <f>278.484-40-25-60-100</f>
        <v>53.48399999999998</v>
      </c>
      <c r="G284" s="80">
        <v>40</v>
      </c>
      <c r="H284" s="77">
        <f t="shared" si="46"/>
        <v>185</v>
      </c>
      <c r="I284" s="77">
        <f t="shared" si="39"/>
        <v>0</v>
      </c>
      <c r="J284" s="80">
        <v>100</v>
      </c>
      <c r="K284" s="80">
        <v>300</v>
      </c>
      <c r="L284" s="77">
        <f t="shared" si="42"/>
        <v>1274</v>
      </c>
      <c r="M284" s="88">
        <v>600</v>
      </c>
      <c r="N284" s="77">
        <f>30</f>
        <v>30</v>
      </c>
      <c r="O284" s="80">
        <v>240</v>
      </c>
      <c r="P284" s="80">
        <v>160</v>
      </c>
      <c r="Q284" s="80">
        <f t="shared" si="43"/>
        <v>195</v>
      </c>
      <c r="R284" s="80">
        <f t="shared" si="44"/>
        <v>100</v>
      </c>
      <c r="S284" s="77">
        <f t="shared" si="45"/>
        <v>695</v>
      </c>
      <c r="T284" s="77">
        <f>0</f>
        <v>0</v>
      </c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</row>
    <row r="285" spans="1:30" ht="15.75" x14ac:dyDescent="0.25">
      <c r="A285" s="34">
        <v>49583</v>
      </c>
      <c r="B285" s="91">
        <v>31</v>
      </c>
      <c r="C285" s="77">
        <f>131.881</f>
        <v>131.881</v>
      </c>
      <c r="D285" s="77">
        <f>277.167</f>
        <v>277.16699999999997</v>
      </c>
      <c r="E285" s="86">
        <f>79.08</f>
        <v>79.08</v>
      </c>
      <c r="F285" s="77">
        <f>350.872-40-25-60-100</f>
        <v>125.87200000000001</v>
      </c>
      <c r="G285" s="80">
        <v>40</v>
      </c>
      <c r="H285" s="77">
        <f t="shared" si="46"/>
        <v>185</v>
      </c>
      <c r="I285" s="77">
        <f t="shared" si="39"/>
        <v>0</v>
      </c>
      <c r="J285" s="80">
        <v>100</v>
      </c>
      <c r="K285" s="80">
        <v>300</v>
      </c>
      <c r="L285" s="77">
        <f t="shared" si="42"/>
        <v>1239</v>
      </c>
      <c r="M285" s="88">
        <v>600</v>
      </c>
      <c r="N285" s="77">
        <f>75</f>
        <v>75</v>
      </c>
      <c r="O285" s="80">
        <v>240</v>
      </c>
      <c r="P285" s="80">
        <v>160</v>
      </c>
      <c r="Q285" s="80">
        <f t="shared" si="43"/>
        <v>195</v>
      </c>
      <c r="R285" s="80">
        <f t="shared" si="44"/>
        <v>100</v>
      </c>
      <c r="S285" s="77">
        <f t="shared" si="45"/>
        <v>695</v>
      </c>
      <c r="T285" s="77">
        <f>0</f>
        <v>0</v>
      </c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</row>
    <row r="286" spans="1:30" ht="15.75" x14ac:dyDescent="0.25">
      <c r="A286" s="34">
        <v>49614</v>
      </c>
      <c r="B286" s="91">
        <v>30</v>
      </c>
      <c r="C286" s="77">
        <f>122.58</f>
        <v>122.58</v>
      </c>
      <c r="D286" s="77">
        <f>297.941</f>
        <v>297.94099999999997</v>
      </c>
      <c r="E286" s="86">
        <f>89.177</f>
        <v>89.177000000000007</v>
      </c>
      <c r="F286" s="77">
        <f>240.302-40-60-100</f>
        <v>40.301999999999992</v>
      </c>
      <c r="G286" s="80">
        <v>40</v>
      </c>
      <c r="H286" s="77">
        <f>60+100</f>
        <v>160</v>
      </c>
      <c r="I286" s="77">
        <f t="shared" si="39"/>
        <v>0</v>
      </c>
      <c r="J286" s="80">
        <v>100</v>
      </c>
      <c r="K286" s="80">
        <v>300</v>
      </c>
      <c r="L286" s="77">
        <f t="shared" si="42"/>
        <v>1150</v>
      </c>
      <c r="M286" s="88">
        <v>600</v>
      </c>
      <c r="N286" s="77">
        <f>100</f>
        <v>100</v>
      </c>
      <c r="O286" s="80">
        <v>240</v>
      </c>
      <c r="P286" s="80">
        <v>40</v>
      </c>
      <c r="Q286" s="80">
        <f t="shared" si="43"/>
        <v>315</v>
      </c>
      <c r="R286" s="80">
        <f t="shared" si="44"/>
        <v>100</v>
      </c>
      <c r="S286" s="77">
        <f t="shared" si="45"/>
        <v>695</v>
      </c>
      <c r="T286" s="77">
        <f>50</f>
        <v>50</v>
      </c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</row>
    <row r="287" spans="1:30" ht="15.75" x14ac:dyDescent="0.25">
      <c r="A287" s="34">
        <v>49644</v>
      </c>
      <c r="B287" s="91">
        <v>31</v>
      </c>
      <c r="C287" s="77">
        <f>122.58</f>
        <v>122.58</v>
      </c>
      <c r="D287" s="77">
        <f>297.941</f>
        <v>297.94099999999997</v>
      </c>
      <c r="E287" s="86">
        <f>89.177</f>
        <v>89.177000000000007</v>
      </c>
      <c r="F287" s="77">
        <f>240.302-40-60-100</f>
        <v>40.301999999999992</v>
      </c>
      <c r="G287" s="80">
        <v>40</v>
      </c>
      <c r="H287" s="77">
        <f>60+100</f>
        <v>160</v>
      </c>
      <c r="I287" s="77">
        <f t="shared" si="39"/>
        <v>0</v>
      </c>
      <c r="J287" s="80">
        <v>100</v>
      </c>
      <c r="K287" s="80">
        <v>300</v>
      </c>
      <c r="L287" s="77">
        <f t="shared" si="42"/>
        <v>1150</v>
      </c>
      <c r="M287" s="88">
        <v>600</v>
      </c>
      <c r="N287" s="77">
        <f>100</f>
        <v>100</v>
      </c>
      <c r="O287" s="80">
        <v>240</v>
      </c>
      <c r="P287" s="80">
        <v>40</v>
      </c>
      <c r="Q287" s="80">
        <f t="shared" si="43"/>
        <v>315</v>
      </c>
      <c r="R287" s="80">
        <f t="shared" si="44"/>
        <v>100</v>
      </c>
      <c r="S287" s="77">
        <f t="shared" si="45"/>
        <v>695</v>
      </c>
      <c r="T287" s="77">
        <f>50</f>
        <v>50</v>
      </c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</row>
    <row r="288" spans="1:30" ht="15.75" x14ac:dyDescent="0.25">
      <c r="A288" s="34">
        <v>49675</v>
      </c>
      <c r="B288" s="91">
        <v>31</v>
      </c>
      <c r="C288" s="77">
        <f>122.58</f>
        <v>122.58</v>
      </c>
      <c r="D288" s="77">
        <f>297.941</f>
        <v>297.94099999999997</v>
      </c>
      <c r="E288" s="86">
        <f>89.177</f>
        <v>89.177000000000007</v>
      </c>
      <c r="F288" s="77">
        <f>240.302-40-60-100</f>
        <v>40.301999999999992</v>
      </c>
      <c r="G288" s="80">
        <v>40</v>
      </c>
      <c r="H288" s="77">
        <f>60+100</f>
        <v>160</v>
      </c>
      <c r="I288" s="77">
        <f t="shared" si="39"/>
        <v>0</v>
      </c>
      <c r="J288" s="80">
        <v>100</v>
      </c>
      <c r="K288" s="80">
        <v>300</v>
      </c>
      <c r="L288" s="77">
        <f t="shared" si="42"/>
        <v>1150</v>
      </c>
      <c r="M288" s="88">
        <v>600</v>
      </c>
      <c r="N288" s="77">
        <f>100</f>
        <v>100</v>
      </c>
      <c r="O288" s="80">
        <v>240</v>
      </c>
      <c r="P288" s="80">
        <v>40</v>
      </c>
      <c r="Q288" s="80">
        <f t="shared" si="43"/>
        <v>315</v>
      </c>
      <c r="R288" s="80">
        <f t="shared" si="44"/>
        <v>100</v>
      </c>
      <c r="S288" s="77">
        <f t="shared" si="45"/>
        <v>695</v>
      </c>
      <c r="T288" s="77">
        <f>50</f>
        <v>50</v>
      </c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</row>
    <row r="289" spans="1:30" ht="15.75" x14ac:dyDescent="0.25">
      <c r="A289" s="34">
        <v>49706</v>
      </c>
      <c r="B289" s="91">
        <v>29</v>
      </c>
      <c r="C289" s="77">
        <f>122.58</f>
        <v>122.58</v>
      </c>
      <c r="D289" s="77">
        <f>297.941</f>
        <v>297.94099999999997</v>
      </c>
      <c r="E289" s="86">
        <f>89.177</f>
        <v>89.177000000000007</v>
      </c>
      <c r="F289" s="77">
        <f>240.302-40-60-100</f>
        <v>40.301999999999992</v>
      </c>
      <c r="G289" s="80">
        <v>40</v>
      </c>
      <c r="H289" s="77">
        <f>60+100</f>
        <v>160</v>
      </c>
      <c r="I289" s="77">
        <f t="shared" si="39"/>
        <v>0</v>
      </c>
      <c r="J289" s="80">
        <v>100</v>
      </c>
      <c r="K289" s="80">
        <v>300</v>
      </c>
      <c r="L289" s="77">
        <f t="shared" si="42"/>
        <v>1150</v>
      </c>
      <c r="M289" s="88">
        <v>600</v>
      </c>
      <c r="N289" s="77">
        <f>100</f>
        <v>100</v>
      </c>
      <c r="O289" s="80">
        <v>240</v>
      </c>
      <c r="P289" s="80">
        <v>40</v>
      </c>
      <c r="Q289" s="80">
        <f t="shared" si="43"/>
        <v>315</v>
      </c>
      <c r="R289" s="80">
        <f t="shared" si="44"/>
        <v>100</v>
      </c>
      <c r="S289" s="77">
        <f t="shared" si="45"/>
        <v>695</v>
      </c>
      <c r="T289" s="77">
        <f>50</f>
        <v>50</v>
      </c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</row>
    <row r="290" spans="1:30" ht="15.75" x14ac:dyDescent="0.25">
      <c r="A290" s="34">
        <v>49735</v>
      </c>
      <c r="B290" s="91">
        <v>31</v>
      </c>
      <c r="C290" s="77">
        <f>122.58</f>
        <v>122.58</v>
      </c>
      <c r="D290" s="77">
        <f>297.941</f>
        <v>297.94099999999997</v>
      </c>
      <c r="E290" s="86">
        <f>89.177</f>
        <v>89.177000000000007</v>
      </c>
      <c r="F290" s="77">
        <f>240.302-40-60-100</f>
        <v>40.301999999999992</v>
      </c>
      <c r="G290" s="80">
        <v>40</v>
      </c>
      <c r="H290" s="77">
        <f>60+100</f>
        <v>160</v>
      </c>
      <c r="I290" s="77">
        <f t="shared" si="39"/>
        <v>0</v>
      </c>
      <c r="J290" s="80">
        <v>100</v>
      </c>
      <c r="K290" s="80">
        <v>300</v>
      </c>
      <c r="L290" s="77">
        <f t="shared" si="42"/>
        <v>1150</v>
      </c>
      <c r="M290" s="88">
        <v>600</v>
      </c>
      <c r="N290" s="77">
        <f>100</f>
        <v>100</v>
      </c>
      <c r="O290" s="80">
        <v>240</v>
      </c>
      <c r="P290" s="80">
        <v>40</v>
      </c>
      <c r="Q290" s="80">
        <f t="shared" si="43"/>
        <v>315</v>
      </c>
      <c r="R290" s="80">
        <f t="shared" si="44"/>
        <v>100</v>
      </c>
      <c r="S290" s="77">
        <f t="shared" si="45"/>
        <v>695</v>
      </c>
      <c r="T290" s="77">
        <f>50</f>
        <v>50</v>
      </c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</row>
    <row r="291" spans="1:30" ht="15.75" x14ac:dyDescent="0.25">
      <c r="A291" s="34">
        <v>49766</v>
      </c>
      <c r="B291" s="91">
        <v>30</v>
      </c>
      <c r="C291" s="77">
        <f>141.293</f>
        <v>141.29300000000001</v>
      </c>
      <c r="D291" s="77">
        <f>267.993</f>
        <v>267.99299999999999</v>
      </c>
      <c r="E291" s="86">
        <f>115.016</f>
        <v>115.01600000000001</v>
      </c>
      <c r="F291" s="77">
        <f>314.698-40-25-60-100</f>
        <v>89.697999999999979</v>
      </c>
      <c r="G291" s="80">
        <v>40</v>
      </c>
      <c r="H291" s="77">
        <f t="shared" ref="H291:H297" si="47">25+60+100</f>
        <v>185</v>
      </c>
      <c r="I291" s="77">
        <f t="shared" si="39"/>
        <v>0</v>
      </c>
      <c r="J291" s="80">
        <v>100</v>
      </c>
      <c r="K291" s="80">
        <v>300</v>
      </c>
      <c r="L291" s="77">
        <f t="shared" si="42"/>
        <v>1239</v>
      </c>
      <c r="M291" s="88">
        <v>600</v>
      </c>
      <c r="N291" s="77">
        <f>100</f>
        <v>100</v>
      </c>
      <c r="O291" s="80">
        <v>240</v>
      </c>
      <c r="P291" s="80">
        <v>160</v>
      </c>
      <c r="Q291" s="80">
        <f t="shared" si="43"/>
        <v>195</v>
      </c>
      <c r="R291" s="80">
        <f t="shared" si="44"/>
        <v>100</v>
      </c>
      <c r="S291" s="77">
        <f t="shared" si="45"/>
        <v>695</v>
      </c>
      <c r="T291" s="77">
        <f>50</f>
        <v>50</v>
      </c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</row>
    <row r="292" spans="1:30" ht="15.75" x14ac:dyDescent="0.25">
      <c r="A292" s="34">
        <v>49796</v>
      </c>
      <c r="B292" s="91">
        <v>31</v>
      </c>
      <c r="C292" s="77">
        <f>194.205</f>
        <v>194.20500000000001</v>
      </c>
      <c r="D292" s="77">
        <f>267.466</f>
        <v>267.46600000000001</v>
      </c>
      <c r="E292" s="86">
        <f>133.845</f>
        <v>133.845</v>
      </c>
      <c r="F292" s="77">
        <f>278.484-40-25-60-100</f>
        <v>53.48399999999998</v>
      </c>
      <c r="G292" s="80">
        <v>40</v>
      </c>
      <c r="H292" s="77">
        <f t="shared" si="47"/>
        <v>185</v>
      </c>
      <c r="I292" s="77">
        <f t="shared" si="39"/>
        <v>0</v>
      </c>
      <c r="J292" s="80">
        <v>100</v>
      </c>
      <c r="K292" s="80">
        <v>300</v>
      </c>
      <c r="L292" s="77">
        <f t="shared" si="42"/>
        <v>1274</v>
      </c>
      <c r="M292" s="88">
        <v>600</v>
      </c>
      <c r="N292" s="77">
        <f>75</f>
        <v>75</v>
      </c>
      <c r="O292" s="80">
        <v>240</v>
      </c>
      <c r="P292" s="80">
        <v>160</v>
      </c>
      <c r="Q292" s="80">
        <f t="shared" si="43"/>
        <v>195</v>
      </c>
      <c r="R292" s="80">
        <f t="shared" si="44"/>
        <v>100</v>
      </c>
      <c r="S292" s="77">
        <f t="shared" si="45"/>
        <v>695</v>
      </c>
      <c r="T292" s="77">
        <f>50</f>
        <v>50</v>
      </c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</row>
    <row r="293" spans="1:30" ht="15.75" x14ac:dyDescent="0.25">
      <c r="A293" s="34">
        <v>49827</v>
      </c>
      <c r="B293" s="91">
        <v>30</v>
      </c>
      <c r="C293" s="77">
        <f>194.205</f>
        <v>194.20500000000001</v>
      </c>
      <c r="D293" s="77">
        <f>267.466</f>
        <v>267.46600000000001</v>
      </c>
      <c r="E293" s="86">
        <f>133.845</f>
        <v>133.845</v>
      </c>
      <c r="F293" s="77">
        <f>278.484-40-25-60-100</f>
        <v>53.48399999999998</v>
      </c>
      <c r="G293" s="80">
        <v>40</v>
      </c>
      <c r="H293" s="77">
        <f t="shared" si="47"/>
        <v>185</v>
      </c>
      <c r="I293" s="77">
        <f t="shared" si="39"/>
        <v>0</v>
      </c>
      <c r="J293" s="80">
        <v>100</v>
      </c>
      <c r="K293" s="80">
        <v>300</v>
      </c>
      <c r="L293" s="77">
        <f t="shared" si="42"/>
        <v>1274</v>
      </c>
      <c r="M293" s="88">
        <v>600</v>
      </c>
      <c r="N293" s="77">
        <f>30</f>
        <v>30</v>
      </c>
      <c r="O293" s="80">
        <v>240</v>
      </c>
      <c r="P293" s="80">
        <v>160</v>
      </c>
      <c r="Q293" s="80">
        <f t="shared" si="43"/>
        <v>195</v>
      </c>
      <c r="R293" s="80">
        <f t="shared" si="44"/>
        <v>100</v>
      </c>
      <c r="S293" s="77">
        <f t="shared" si="45"/>
        <v>695</v>
      </c>
      <c r="T293" s="77">
        <f>50</f>
        <v>50</v>
      </c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</row>
    <row r="294" spans="1:30" ht="15.75" x14ac:dyDescent="0.25">
      <c r="A294" s="34">
        <v>49857</v>
      </c>
      <c r="B294" s="91">
        <v>31</v>
      </c>
      <c r="C294" s="77">
        <f>194.205</f>
        <v>194.20500000000001</v>
      </c>
      <c r="D294" s="77">
        <f>267.466</f>
        <v>267.46600000000001</v>
      </c>
      <c r="E294" s="86">
        <f>133.845</f>
        <v>133.845</v>
      </c>
      <c r="F294" s="77">
        <f>278.484-40-25-60-100</f>
        <v>53.48399999999998</v>
      </c>
      <c r="G294" s="80">
        <v>40</v>
      </c>
      <c r="H294" s="77">
        <f t="shared" si="47"/>
        <v>185</v>
      </c>
      <c r="I294" s="77">
        <f t="shared" si="39"/>
        <v>0</v>
      </c>
      <c r="J294" s="80">
        <v>100</v>
      </c>
      <c r="K294" s="80">
        <v>300</v>
      </c>
      <c r="L294" s="77">
        <f t="shared" si="42"/>
        <v>1274</v>
      </c>
      <c r="M294" s="88">
        <v>600</v>
      </c>
      <c r="N294" s="77">
        <f>30</f>
        <v>30</v>
      </c>
      <c r="O294" s="80">
        <v>240</v>
      </c>
      <c r="P294" s="80">
        <v>160</v>
      </c>
      <c r="Q294" s="80">
        <f t="shared" si="43"/>
        <v>195</v>
      </c>
      <c r="R294" s="80">
        <f t="shared" si="44"/>
        <v>100</v>
      </c>
      <c r="S294" s="77">
        <f t="shared" si="45"/>
        <v>695</v>
      </c>
      <c r="T294" s="77">
        <f>0</f>
        <v>0</v>
      </c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</row>
    <row r="295" spans="1:30" ht="15.75" x14ac:dyDescent="0.25">
      <c r="A295" s="34">
        <v>49888</v>
      </c>
      <c r="B295" s="91">
        <v>31</v>
      </c>
      <c r="C295" s="77">
        <f>194.205</f>
        <v>194.20500000000001</v>
      </c>
      <c r="D295" s="77">
        <f>267.466</f>
        <v>267.46600000000001</v>
      </c>
      <c r="E295" s="86">
        <f>133.845</f>
        <v>133.845</v>
      </c>
      <c r="F295" s="77">
        <f>278.484-40-25-60-100</f>
        <v>53.48399999999998</v>
      </c>
      <c r="G295" s="80">
        <v>40</v>
      </c>
      <c r="H295" s="77">
        <f t="shared" si="47"/>
        <v>185</v>
      </c>
      <c r="I295" s="77">
        <f t="shared" si="39"/>
        <v>0</v>
      </c>
      <c r="J295" s="80">
        <v>100</v>
      </c>
      <c r="K295" s="80">
        <v>300</v>
      </c>
      <c r="L295" s="77">
        <f t="shared" si="42"/>
        <v>1274</v>
      </c>
      <c r="M295" s="88">
        <v>600</v>
      </c>
      <c r="N295" s="77">
        <f>30</f>
        <v>30</v>
      </c>
      <c r="O295" s="80">
        <v>240</v>
      </c>
      <c r="P295" s="80">
        <v>160</v>
      </c>
      <c r="Q295" s="80">
        <f t="shared" si="43"/>
        <v>195</v>
      </c>
      <c r="R295" s="80">
        <f t="shared" si="44"/>
        <v>100</v>
      </c>
      <c r="S295" s="77">
        <f t="shared" si="45"/>
        <v>695</v>
      </c>
      <c r="T295" s="77">
        <f>0</f>
        <v>0</v>
      </c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</row>
    <row r="296" spans="1:30" ht="15.75" x14ac:dyDescent="0.25">
      <c r="A296" s="34">
        <v>49919</v>
      </c>
      <c r="B296" s="91">
        <v>30</v>
      </c>
      <c r="C296" s="77">
        <f>194.205</f>
        <v>194.20500000000001</v>
      </c>
      <c r="D296" s="77">
        <f>267.466</f>
        <v>267.46600000000001</v>
      </c>
      <c r="E296" s="86">
        <f>133.845</f>
        <v>133.845</v>
      </c>
      <c r="F296" s="77">
        <f>278.484-40-25-60-100</f>
        <v>53.48399999999998</v>
      </c>
      <c r="G296" s="80">
        <v>40</v>
      </c>
      <c r="H296" s="77">
        <f t="shared" si="47"/>
        <v>185</v>
      </c>
      <c r="I296" s="77">
        <f t="shared" si="39"/>
        <v>0</v>
      </c>
      <c r="J296" s="80">
        <v>100</v>
      </c>
      <c r="K296" s="80">
        <v>300</v>
      </c>
      <c r="L296" s="77">
        <f t="shared" si="42"/>
        <v>1274</v>
      </c>
      <c r="M296" s="88">
        <v>600</v>
      </c>
      <c r="N296" s="77">
        <f>30</f>
        <v>30</v>
      </c>
      <c r="O296" s="80">
        <v>240</v>
      </c>
      <c r="P296" s="80">
        <v>160</v>
      </c>
      <c r="Q296" s="80">
        <f t="shared" si="43"/>
        <v>195</v>
      </c>
      <c r="R296" s="80">
        <f t="shared" si="44"/>
        <v>100</v>
      </c>
      <c r="S296" s="77">
        <f t="shared" si="45"/>
        <v>695</v>
      </c>
      <c r="T296" s="77">
        <f>0</f>
        <v>0</v>
      </c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</row>
    <row r="297" spans="1:30" ht="15.75" x14ac:dyDescent="0.25">
      <c r="A297" s="34">
        <v>49949</v>
      </c>
      <c r="B297" s="91">
        <v>31</v>
      </c>
      <c r="C297" s="77">
        <f>131.881</f>
        <v>131.881</v>
      </c>
      <c r="D297" s="77">
        <f>277.167</f>
        <v>277.16699999999997</v>
      </c>
      <c r="E297" s="86">
        <f>79.08</f>
        <v>79.08</v>
      </c>
      <c r="F297" s="77">
        <f>350.872-40-25-60-100</f>
        <v>125.87200000000001</v>
      </c>
      <c r="G297" s="80">
        <v>40</v>
      </c>
      <c r="H297" s="77">
        <f t="shared" si="47"/>
        <v>185</v>
      </c>
      <c r="I297" s="77">
        <f t="shared" si="39"/>
        <v>0</v>
      </c>
      <c r="J297" s="80">
        <v>100</v>
      </c>
      <c r="K297" s="80">
        <v>300</v>
      </c>
      <c r="L297" s="77">
        <f t="shared" si="42"/>
        <v>1239</v>
      </c>
      <c r="M297" s="88">
        <v>600</v>
      </c>
      <c r="N297" s="77">
        <f>75</f>
        <v>75</v>
      </c>
      <c r="O297" s="80">
        <v>240</v>
      </c>
      <c r="P297" s="80">
        <v>160</v>
      </c>
      <c r="Q297" s="80">
        <f t="shared" si="43"/>
        <v>195</v>
      </c>
      <c r="R297" s="80">
        <f t="shared" si="44"/>
        <v>100</v>
      </c>
      <c r="S297" s="77">
        <f t="shared" si="45"/>
        <v>695</v>
      </c>
      <c r="T297" s="77">
        <f>0</f>
        <v>0</v>
      </c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</row>
    <row r="298" spans="1:30" ht="15.75" x14ac:dyDescent="0.25">
      <c r="A298" s="34">
        <v>49980</v>
      </c>
      <c r="B298" s="91">
        <v>30</v>
      </c>
      <c r="C298" s="77">
        <f>122.58</f>
        <v>122.58</v>
      </c>
      <c r="D298" s="77">
        <f>297.941</f>
        <v>297.94099999999997</v>
      </c>
      <c r="E298" s="86">
        <f>89.177</f>
        <v>89.177000000000007</v>
      </c>
      <c r="F298" s="77">
        <f>240.302-40-60-100</f>
        <v>40.301999999999992</v>
      </c>
      <c r="G298" s="80">
        <v>40</v>
      </c>
      <c r="H298" s="77">
        <f>60+100</f>
        <v>160</v>
      </c>
      <c r="I298" s="77">
        <f t="shared" si="39"/>
        <v>0</v>
      </c>
      <c r="J298" s="80">
        <v>100</v>
      </c>
      <c r="K298" s="80">
        <v>300</v>
      </c>
      <c r="L298" s="77">
        <f t="shared" si="42"/>
        <v>1150</v>
      </c>
      <c r="M298" s="88">
        <v>600</v>
      </c>
      <c r="N298" s="77">
        <f>100</f>
        <v>100</v>
      </c>
      <c r="O298" s="80">
        <v>240</v>
      </c>
      <c r="P298" s="80">
        <v>40</v>
      </c>
      <c r="Q298" s="80">
        <f t="shared" si="43"/>
        <v>315</v>
      </c>
      <c r="R298" s="80">
        <f t="shared" si="44"/>
        <v>100</v>
      </c>
      <c r="S298" s="77">
        <f t="shared" si="45"/>
        <v>695</v>
      </c>
      <c r="T298" s="77">
        <f>50</f>
        <v>50</v>
      </c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</row>
    <row r="299" spans="1:30" ht="15.75" x14ac:dyDescent="0.25">
      <c r="A299" s="34">
        <v>50010</v>
      </c>
      <c r="B299" s="91">
        <v>31</v>
      </c>
      <c r="C299" s="77">
        <f>122.58</f>
        <v>122.58</v>
      </c>
      <c r="D299" s="77">
        <f>297.941</f>
        <v>297.94099999999997</v>
      </c>
      <c r="E299" s="86">
        <f>89.177</f>
        <v>89.177000000000007</v>
      </c>
      <c r="F299" s="77">
        <f>240.302-40-60-100</f>
        <v>40.301999999999992</v>
      </c>
      <c r="G299" s="80">
        <v>40</v>
      </c>
      <c r="H299" s="77">
        <f>60+100</f>
        <v>160</v>
      </c>
      <c r="I299" s="77">
        <f t="shared" si="39"/>
        <v>0</v>
      </c>
      <c r="J299" s="80">
        <v>100</v>
      </c>
      <c r="K299" s="80">
        <v>300</v>
      </c>
      <c r="L299" s="77">
        <f t="shared" si="42"/>
        <v>1150</v>
      </c>
      <c r="M299" s="88">
        <v>600</v>
      </c>
      <c r="N299" s="77">
        <f>100</f>
        <v>100</v>
      </c>
      <c r="O299" s="80">
        <v>240</v>
      </c>
      <c r="P299" s="80">
        <v>40</v>
      </c>
      <c r="Q299" s="80">
        <f t="shared" si="43"/>
        <v>315</v>
      </c>
      <c r="R299" s="80">
        <f t="shared" si="44"/>
        <v>100</v>
      </c>
      <c r="S299" s="77">
        <f t="shared" si="45"/>
        <v>695</v>
      </c>
      <c r="T299" s="77">
        <f>50</f>
        <v>50</v>
      </c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</row>
    <row r="300" spans="1:30" ht="15.75" x14ac:dyDescent="0.25">
      <c r="A300" s="34">
        <v>50041</v>
      </c>
      <c r="B300" s="91">
        <v>31</v>
      </c>
      <c r="C300" s="77">
        <f>122.58</f>
        <v>122.58</v>
      </c>
      <c r="D300" s="77">
        <f>297.941</f>
        <v>297.94099999999997</v>
      </c>
      <c r="E300" s="86">
        <f>89.177</f>
        <v>89.177000000000007</v>
      </c>
      <c r="F300" s="77">
        <f>240.302-40-60-100</f>
        <v>40.301999999999992</v>
      </c>
      <c r="G300" s="80">
        <v>40</v>
      </c>
      <c r="H300" s="77">
        <f>60+100</f>
        <v>160</v>
      </c>
      <c r="I300" s="77">
        <f t="shared" si="39"/>
        <v>0</v>
      </c>
      <c r="J300" s="80">
        <v>100</v>
      </c>
      <c r="K300" s="80">
        <v>300</v>
      </c>
      <c r="L300" s="77">
        <f t="shared" si="42"/>
        <v>1150</v>
      </c>
      <c r="M300" s="88">
        <v>600</v>
      </c>
      <c r="N300" s="77">
        <f>100</f>
        <v>100</v>
      </c>
      <c r="O300" s="80">
        <v>240</v>
      </c>
      <c r="P300" s="80">
        <v>40</v>
      </c>
      <c r="Q300" s="80">
        <f t="shared" si="43"/>
        <v>315</v>
      </c>
      <c r="R300" s="80">
        <f t="shared" si="44"/>
        <v>100</v>
      </c>
      <c r="S300" s="77">
        <f t="shared" si="45"/>
        <v>695</v>
      </c>
      <c r="T300" s="77">
        <f>50</f>
        <v>50</v>
      </c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</row>
    <row r="301" spans="1:30" ht="15.75" x14ac:dyDescent="0.25">
      <c r="A301" s="34">
        <v>50072</v>
      </c>
      <c r="B301" s="91">
        <v>28</v>
      </c>
      <c r="C301" s="77">
        <f>122.58</f>
        <v>122.58</v>
      </c>
      <c r="D301" s="77">
        <f>297.941</f>
        <v>297.94099999999997</v>
      </c>
      <c r="E301" s="86">
        <f>89.177</f>
        <v>89.177000000000007</v>
      </c>
      <c r="F301" s="77">
        <f>240.302-40-60-100</f>
        <v>40.301999999999992</v>
      </c>
      <c r="G301" s="80">
        <v>40</v>
      </c>
      <c r="H301" s="77">
        <f>60+100</f>
        <v>160</v>
      </c>
      <c r="I301" s="77">
        <f t="shared" si="39"/>
        <v>0</v>
      </c>
      <c r="J301" s="80">
        <v>100</v>
      </c>
      <c r="K301" s="80">
        <v>300</v>
      </c>
      <c r="L301" s="77">
        <f t="shared" si="42"/>
        <v>1150</v>
      </c>
      <c r="M301" s="88">
        <v>600</v>
      </c>
      <c r="N301" s="77">
        <f>100</f>
        <v>100</v>
      </c>
      <c r="O301" s="80">
        <v>240</v>
      </c>
      <c r="P301" s="80">
        <v>40</v>
      </c>
      <c r="Q301" s="80">
        <f t="shared" si="43"/>
        <v>315</v>
      </c>
      <c r="R301" s="80">
        <f t="shared" si="44"/>
        <v>100</v>
      </c>
      <c r="S301" s="77">
        <f t="shared" si="45"/>
        <v>695</v>
      </c>
      <c r="T301" s="77">
        <f>50</f>
        <v>50</v>
      </c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</row>
    <row r="302" spans="1:30" ht="15.75" x14ac:dyDescent="0.25">
      <c r="A302" s="34">
        <v>50100</v>
      </c>
      <c r="B302" s="91">
        <v>31</v>
      </c>
      <c r="C302" s="77">
        <f>122.58</f>
        <v>122.58</v>
      </c>
      <c r="D302" s="77">
        <f>297.941</f>
        <v>297.94099999999997</v>
      </c>
      <c r="E302" s="86">
        <f>89.177</f>
        <v>89.177000000000007</v>
      </c>
      <c r="F302" s="77">
        <f>240.302-40-60-100</f>
        <v>40.301999999999992</v>
      </c>
      <c r="G302" s="80">
        <v>40</v>
      </c>
      <c r="H302" s="77">
        <f>60+100</f>
        <v>160</v>
      </c>
      <c r="I302" s="77">
        <f t="shared" si="39"/>
        <v>0</v>
      </c>
      <c r="J302" s="80">
        <v>100</v>
      </c>
      <c r="K302" s="80">
        <v>300</v>
      </c>
      <c r="L302" s="77">
        <f t="shared" si="42"/>
        <v>1150</v>
      </c>
      <c r="M302" s="88">
        <v>600</v>
      </c>
      <c r="N302" s="77">
        <f>100</f>
        <v>100</v>
      </c>
      <c r="O302" s="80">
        <v>240</v>
      </c>
      <c r="P302" s="80">
        <v>40</v>
      </c>
      <c r="Q302" s="80">
        <f t="shared" si="43"/>
        <v>315</v>
      </c>
      <c r="R302" s="80">
        <f t="shared" si="44"/>
        <v>100</v>
      </c>
      <c r="S302" s="77">
        <f t="shared" si="45"/>
        <v>695</v>
      </c>
      <c r="T302" s="77">
        <f>50</f>
        <v>50</v>
      </c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</row>
    <row r="303" spans="1:30" ht="15.75" x14ac:dyDescent="0.25">
      <c r="A303" s="34">
        <v>50131</v>
      </c>
      <c r="B303" s="91">
        <v>30</v>
      </c>
      <c r="C303" s="77">
        <f>141.293</f>
        <v>141.29300000000001</v>
      </c>
      <c r="D303" s="77">
        <f>267.993</f>
        <v>267.99299999999999</v>
      </c>
      <c r="E303" s="86">
        <f>115.016</f>
        <v>115.01600000000001</v>
      </c>
      <c r="F303" s="77">
        <f>314.698-40-25-60-100</f>
        <v>89.697999999999979</v>
      </c>
      <c r="G303" s="80">
        <v>40</v>
      </c>
      <c r="H303" s="77">
        <f t="shared" ref="H303:H309" si="48">25+60+100</f>
        <v>185</v>
      </c>
      <c r="I303" s="77">
        <f t="shared" si="39"/>
        <v>0</v>
      </c>
      <c r="J303" s="80">
        <v>100</v>
      </c>
      <c r="K303" s="80">
        <v>300</v>
      </c>
      <c r="L303" s="77">
        <f t="shared" si="42"/>
        <v>1239</v>
      </c>
      <c r="M303" s="88">
        <v>600</v>
      </c>
      <c r="N303" s="77">
        <f>100</f>
        <v>100</v>
      </c>
      <c r="O303" s="80">
        <v>240</v>
      </c>
      <c r="P303" s="80">
        <v>160</v>
      </c>
      <c r="Q303" s="80">
        <f t="shared" si="43"/>
        <v>195</v>
      </c>
      <c r="R303" s="80">
        <f t="shared" si="44"/>
        <v>100</v>
      </c>
      <c r="S303" s="77">
        <f t="shared" si="45"/>
        <v>695</v>
      </c>
      <c r="T303" s="77">
        <f>50</f>
        <v>50</v>
      </c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</row>
    <row r="304" spans="1:30" ht="15.75" x14ac:dyDescent="0.25">
      <c r="A304" s="34">
        <v>50161</v>
      </c>
      <c r="B304" s="91">
        <v>31</v>
      </c>
      <c r="C304" s="77">
        <f>194.205</f>
        <v>194.20500000000001</v>
      </c>
      <c r="D304" s="77">
        <f>267.466</f>
        <v>267.46600000000001</v>
      </c>
      <c r="E304" s="86">
        <f>133.845</f>
        <v>133.845</v>
      </c>
      <c r="F304" s="77">
        <f>278.484-40-25-60-100</f>
        <v>53.48399999999998</v>
      </c>
      <c r="G304" s="80">
        <v>40</v>
      </c>
      <c r="H304" s="77">
        <f t="shared" si="48"/>
        <v>185</v>
      </c>
      <c r="I304" s="77">
        <f t="shared" si="39"/>
        <v>0</v>
      </c>
      <c r="J304" s="80">
        <v>100</v>
      </c>
      <c r="K304" s="80">
        <v>300</v>
      </c>
      <c r="L304" s="77">
        <f t="shared" si="42"/>
        <v>1274</v>
      </c>
      <c r="M304" s="88">
        <v>600</v>
      </c>
      <c r="N304" s="77">
        <f>75</f>
        <v>75</v>
      </c>
      <c r="O304" s="80">
        <v>240</v>
      </c>
      <c r="P304" s="80">
        <v>160</v>
      </c>
      <c r="Q304" s="80">
        <f t="shared" si="43"/>
        <v>195</v>
      </c>
      <c r="R304" s="80">
        <f t="shared" si="44"/>
        <v>100</v>
      </c>
      <c r="S304" s="77">
        <f t="shared" si="45"/>
        <v>695</v>
      </c>
      <c r="T304" s="77">
        <f>50</f>
        <v>50</v>
      </c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</row>
    <row r="305" spans="1:30" ht="15.75" x14ac:dyDescent="0.25">
      <c r="A305" s="34">
        <v>50192</v>
      </c>
      <c r="B305" s="91">
        <v>30</v>
      </c>
      <c r="C305" s="77">
        <f>194.205</f>
        <v>194.20500000000001</v>
      </c>
      <c r="D305" s="77">
        <f>267.466</f>
        <v>267.46600000000001</v>
      </c>
      <c r="E305" s="86">
        <f>133.845</f>
        <v>133.845</v>
      </c>
      <c r="F305" s="77">
        <f>278.484-40-25-60-100</f>
        <v>53.48399999999998</v>
      </c>
      <c r="G305" s="80">
        <v>40</v>
      </c>
      <c r="H305" s="77">
        <f t="shared" si="48"/>
        <v>185</v>
      </c>
      <c r="I305" s="77">
        <f t="shared" si="39"/>
        <v>0</v>
      </c>
      <c r="J305" s="80">
        <v>100</v>
      </c>
      <c r="K305" s="80">
        <v>300</v>
      </c>
      <c r="L305" s="77">
        <f t="shared" si="42"/>
        <v>1274</v>
      </c>
      <c r="M305" s="88">
        <v>600</v>
      </c>
      <c r="N305" s="77">
        <f>30</f>
        <v>30</v>
      </c>
      <c r="O305" s="80">
        <v>240</v>
      </c>
      <c r="P305" s="80">
        <v>160</v>
      </c>
      <c r="Q305" s="80">
        <f t="shared" si="43"/>
        <v>195</v>
      </c>
      <c r="R305" s="80">
        <f t="shared" si="44"/>
        <v>100</v>
      </c>
      <c r="S305" s="77">
        <f t="shared" si="45"/>
        <v>695</v>
      </c>
      <c r="T305" s="77">
        <f>50</f>
        <v>50</v>
      </c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</row>
    <row r="306" spans="1:30" ht="15.75" x14ac:dyDescent="0.25">
      <c r="A306" s="34">
        <v>50222</v>
      </c>
      <c r="B306" s="91">
        <v>31</v>
      </c>
      <c r="C306" s="77">
        <f>194.205</f>
        <v>194.20500000000001</v>
      </c>
      <c r="D306" s="77">
        <f>267.466</f>
        <v>267.46600000000001</v>
      </c>
      <c r="E306" s="86">
        <f>133.845</f>
        <v>133.845</v>
      </c>
      <c r="F306" s="77">
        <f>278.484-40-25-60-100</f>
        <v>53.48399999999998</v>
      </c>
      <c r="G306" s="80">
        <v>40</v>
      </c>
      <c r="H306" s="77">
        <f t="shared" si="48"/>
        <v>185</v>
      </c>
      <c r="I306" s="77">
        <f t="shared" si="39"/>
        <v>0</v>
      </c>
      <c r="J306" s="80">
        <v>100</v>
      </c>
      <c r="K306" s="80">
        <v>300</v>
      </c>
      <c r="L306" s="77">
        <f t="shared" si="42"/>
        <v>1274</v>
      </c>
      <c r="M306" s="88">
        <v>600</v>
      </c>
      <c r="N306" s="77">
        <f>30</f>
        <v>30</v>
      </c>
      <c r="O306" s="80">
        <v>240</v>
      </c>
      <c r="P306" s="80">
        <v>160</v>
      </c>
      <c r="Q306" s="80">
        <f t="shared" si="43"/>
        <v>195</v>
      </c>
      <c r="R306" s="80">
        <f t="shared" si="44"/>
        <v>100</v>
      </c>
      <c r="S306" s="77">
        <f t="shared" si="45"/>
        <v>695</v>
      </c>
      <c r="T306" s="77">
        <f>0</f>
        <v>0</v>
      </c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</row>
    <row r="307" spans="1:30" ht="15.75" x14ac:dyDescent="0.25">
      <c r="A307" s="34">
        <v>50253</v>
      </c>
      <c r="B307" s="91">
        <v>31</v>
      </c>
      <c r="C307" s="77">
        <f>194.205</f>
        <v>194.20500000000001</v>
      </c>
      <c r="D307" s="77">
        <f>267.466</f>
        <v>267.46600000000001</v>
      </c>
      <c r="E307" s="86">
        <f>133.845</f>
        <v>133.845</v>
      </c>
      <c r="F307" s="77">
        <f>278.484-40-25-60-100</f>
        <v>53.48399999999998</v>
      </c>
      <c r="G307" s="80">
        <v>40</v>
      </c>
      <c r="H307" s="77">
        <f t="shared" si="48"/>
        <v>185</v>
      </c>
      <c r="I307" s="77">
        <f t="shared" si="39"/>
        <v>0</v>
      </c>
      <c r="J307" s="80">
        <v>100</v>
      </c>
      <c r="K307" s="80">
        <v>300</v>
      </c>
      <c r="L307" s="77">
        <f t="shared" si="42"/>
        <v>1274</v>
      </c>
      <c r="M307" s="88">
        <v>600</v>
      </c>
      <c r="N307" s="77">
        <f>30</f>
        <v>30</v>
      </c>
      <c r="O307" s="80">
        <v>240</v>
      </c>
      <c r="P307" s="80">
        <v>160</v>
      </c>
      <c r="Q307" s="80">
        <f t="shared" si="43"/>
        <v>195</v>
      </c>
      <c r="R307" s="80">
        <f t="shared" si="44"/>
        <v>100</v>
      </c>
      <c r="S307" s="77">
        <f t="shared" si="45"/>
        <v>695</v>
      </c>
      <c r="T307" s="77">
        <f>0</f>
        <v>0</v>
      </c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</row>
    <row r="308" spans="1:30" ht="15.75" x14ac:dyDescent="0.25">
      <c r="A308" s="34">
        <v>50284</v>
      </c>
      <c r="B308" s="91">
        <v>30</v>
      </c>
      <c r="C308" s="77">
        <f>194.205</f>
        <v>194.20500000000001</v>
      </c>
      <c r="D308" s="77">
        <f>267.466</f>
        <v>267.46600000000001</v>
      </c>
      <c r="E308" s="86">
        <f>133.845</f>
        <v>133.845</v>
      </c>
      <c r="F308" s="77">
        <f>278.484-40-25-60-100</f>
        <v>53.48399999999998</v>
      </c>
      <c r="G308" s="80">
        <v>40</v>
      </c>
      <c r="H308" s="77">
        <f t="shared" si="48"/>
        <v>185</v>
      </c>
      <c r="I308" s="77">
        <f t="shared" ref="I308:I371" si="49">400-J308-K308</f>
        <v>0</v>
      </c>
      <c r="J308" s="80">
        <v>100</v>
      </c>
      <c r="K308" s="80">
        <v>300</v>
      </c>
      <c r="L308" s="77">
        <f t="shared" si="42"/>
        <v>1274</v>
      </c>
      <c r="M308" s="88">
        <v>600</v>
      </c>
      <c r="N308" s="77">
        <f>30</f>
        <v>30</v>
      </c>
      <c r="O308" s="80">
        <v>240</v>
      </c>
      <c r="P308" s="80">
        <v>160</v>
      </c>
      <c r="Q308" s="80">
        <f t="shared" si="43"/>
        <v>195</v>
      </c>
      <c r="R308" s="80">
        <f t="shared" si="44"/>
        <v>100</v>
      </c>
      <c r="S308" s="77">
        <f t="shared" si="45"/>
        <v>695</v>
      </c>
      <c r="T308" s="77">
        <f>0</f>
        <v>0</v>
      </c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</row>
    <row r="309" spans="1:30" ht="15.75" x14ac:dyDescent="0.25">
      <c r="A309" s="34">
        <v>50314</v>
      </c>
      <c r="B309" s="91">
        <v>31</v>
      </c>
      <c r="C309" s="77">
        <f>131.881</f>
        <v>131.881</v>
      </c>
      <c r="D309" s="77">
        <f>277.167</f>
        <v>277.16699999999997</v>
      </c>
      <c r="E309" s="86">
        <f>79.08</f>
        <v>79.08</v>
      </c>
      <c r="F309" s="77">
        <f>350.872-40-25-60-100</f>
        <v>125.87200000000001</v>
      </c>
      <c r="G309" s="80">
        <v>40</v>
      </c>
      <c r="H309" s="77">
        <f t="shared" si="48"/>
        <v>185</v>
      </c>
      <c r="I309" s="77">
        <f t="shared" si="49"/>
        <v>0</v>
      </c>
      <c r="J309" s="80">
        <v>100</v>
      </c>
      <c r="K309" s="80">
        <v>300</v>
      </c>
      <c r="L309" s="77">
        <f t="shared" si="42"/>
        <v>1239</v>
      </c>
      <c r="M309" s="88">
        <v>600</v>
      </c>
      <c r="N309" s="77">
        <f>75</f>
        <v>75</v>
      </c>
      <c r="O309" s="80">
        <v>240</v>
      </c>
      <c r="P309" s="80">
        <v>160</v>
      </c>
      <c r="Q309" s="80">
        <f t="shared" si="43"/>
        <v>195</v>
      </c>
      <c r="R309" s="80">
        <f t="shared" si="44"/>
        <v>100</v>
      </c>
      <c r="S309" s="77">
        <f t="shared" si="45"/>
        <v>695</v>
      </c>
      <c r="T309" s="77">
        <f>0</f>
        <v>0</v>
      </c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</row>
    <row r="310" spans="1:30" ht="15.75" x14ac:dyDescent="0.25">
      <c r="A310" s="34">
        <v>50345</v>
      </c>
      <c r="B310" s="91">
        <v>30</v>
      </c>
      <c r="C310" s="77">
        <f>122.58</f>
        <v>122.58</v>
      </c>
      <c r="D310" s="77">
        <f>297.941</f>
        <v>297.94099999999997</v>
      </c>
      <c r="E310" s="86">
        <f>89.177</f>
        <v>89.177000000000007</v>
      </c>
      <c r="F310" s="77">
        <f>240.302-40-60-100</f>
        <v>40.301999999999992</v>
      </c>
      <c r="G310" s="80">
        <v>40</v>
      </c>
      <c r="H310" s="77">
        <f>60+100</f>
        <v>160</v>
      </c>
      <c r="I310" s="77">
        <f t="shared" si="49"/>
        <v>0</v>
      </c>
      <c r="J310" s="80">
        <v>100</v>
      </c>
      <c r="K310" s="80">
        <v>300</v>
      </c>
      <c r="L310" s="77">
        <f t="shared" si="42"/>
        <v>1150</v>
      </c>
      <c r="M310" s="88">
        <v>600</v>
      </c>
      <c r="N310" s="77">
        <f>100</f>
        <v>100</v>
      </c>
      <c r="O310" s="80">
        <v>240</v>
      </c>
      <c r="P310" s="80">
        <v>40</v>
      </c>
      <c r="Q310" s="80">
        <f t="shared" si="43"/>
        <v>315</v>
      </c>
      <c r="R310" s="80">
        <f t="shared" si="44"/>
        <v>100</v>
      </c>
      <c r="S310" s="77">
        <f t="shared" si="45"/>
        <v>695</v>
      </c>
      <c r="T310" s="77">
        <f>50</f>
        <v>50</v>
      </c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</row>
    <row r="311" spans="1:30" ht="15.75" x14ac:dyDescent="0.25">
      <c r="A311" s="34">
        <v>50375</v>
      </c>
      <c r="B311" s="91">
        <v>31</v>
      </c>
      <c r="C311" s="77">
        <f>122.58</f>
        <v>122.58</v>
      </c>
      <c r="D311" s="77">
        <f>297.941</f>
        <v>297.94099999999997</v>
      </c>
      <c r="E311" s="86">
        <f>89.177</f>
        <v>89.177000000000007</v>
      </c>
      <c r="F311" s="77">
        <f>240.302-40-60-100</f>
        <v>40.301999999999992</v>
      </c>
      <c r="G311" s="80">
        <v>40</v>
      </c>
      <c r="H311" s="77">
        <f>60+100</f>
        <v>160</v>
      </c>
      <c r="I311" s="77">
        <f t="shared" si="49"/>
        <v>0</v>
      </c>
      <c r="J311" s="80">
        <v>100</v>
      </c>
      <c r="K311" s="80">
        <v>300</v>
      </c>
      <c r="L311" s="77">
        <f t="shared" si="42"/>
        <v>1150</v>
      </c>
      <c r="M311" s="88">
        <v>600</v>
      </c>
      <c r="N311" s="77">
        <f>100</f>
        <v>100</v>
      </c>
      <c r="O311" s="80">
        <v>240</v>
      </c>
      <c r="P311" s="80">
        <v>40</v>
      </c>
      <c r="Q311" s="80">
        <f t="shared" si="43"/>
        <v>315</v>
      </c>
      <c r="R311" s="80">
        <f t="shared" si="44"/>
        <v>100</v>
      </c>
      <c r="S311" s="77">
        <f t="shared" si="45"/>
        <v>695</v>
      </c>
      <c r="T311" s="77">
        <f>50</f>
        <v>50</v>
      </c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</row>
    <row r="312" spans="1:30" ht="15.75" x14ac:dyDescent="0.25">
      <c r="A312" s="33">
        <v>50436</v>
      </c>
      <c r="B312" s="90">
        <v>31</v>
      </c>
      <c r="C312" s="77">
        <f>122.58</f>
        <v>122.58</v>
      </c>
      <c r="D312" s="77">
        <f>297.941</f>
        <v>297.94099999999997</v>
      </c>
      <c r="E312" s="86">
        <f>89.177</f>
        <v>89.177000000000007</v>
      </c>
      <c r="F312" s="77">
        <f>240.302-40-60-100</f>
        <v>40.301999999999992</v>
      </c>
      <c r="G312" s="80">
        <v>40</v>
      </c>
      <c r="H312" s="77">
        <f>60+100</f>
        <v>160</v>
      </c>
      <c r="I312" s="77">
        <f t="shared" si="49"/>
        <v>0</v>
      </c>
      <c r="J312" s="80">
        <v>100</v>
      </c>
      <c r="K312" s="80">
        <v>300</v>
      </c>
      <c r="L312" s="77">
        <f t="shared" si="42"/>
        <v>1150</v>
      </c>
      <c r="M312" s="88">
        <v>600</v>
      </c>
      <c r="N312" s="77">
        <f>100</f>
        <v>100</v>
      </c>
      <c r="O312" s="80">
        <v>240</v>
      </c>
      <c r="P312" s="80">
        <v>40</v>
      </c>
      <c r="Q312" s="80">
        <f t="shared" si="43"/>
        <v>315</v>
      </c>
      <c r="R312" s="80">
        <f t="shared" si="44"/>
        <v>100</v>
      </c>
      <c r="S312" s="77">
        <f t="shared" si="45"/>
        <v>695</v>
      </c>
      <c r="T312" s="77">
        <f>50</f>
        <v>50</v>
      </c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</row>
    <row r="313" spans="1:30" ht="15.75" x14ac:dyDescent="0.25">
      <c r="A313" s="33">
        <v>50464</v>
      </c>
      <c r="B313" s="90">
        <v>28</v>
      </c>
      <c r="C313" s="77">
        <f>122.58</f>
        <v>122.58</v>
      </c>
      <c r="D313" s="77">
        <f>297.941</f>
        <v>297.94099999999997</v>
      </c>
      <c r="E313" s="86">
        <f>89.177</f>
        <v>89.177000000000007</v>
      </c>
      <c r="F313" s="77">
        <f>240.302-40-60-100</f>
        <v>40.301999999999992</v>
      </c>
      <c r="G313" s="80">
        <v>40</v>
      </c>
      <c r="H313" s="77">
        <f>60+100</f>
        <v>160</v>
      </c>
      <c r="I313" s="77">
        <f t="shared" si="49"/>
        <v>0</v>
      </c>
      <c r="J313" s="80">
        <v>100</v>
      </c>
      <c r="K313" s="80">
        <v>300</v>
      </c>
      <c r="L313" s="77">
        <f t="shared" si="42"/>
        <v>1150</v>
      </c>
      <c r="M313" s="88">
        <v>600</v>
      </c>
      <c r="N313" s="77">
        <f>100</f>
        <v>100</v>
      </c>
      <c r="O313" s="80">
        <v>240</v>
      </c>
      <c r="P313" s="80">
        <v>40</v>
      </c>
      <c r="Q313" s="80">
        <f t="shared" si="43"/>
        <v>315</v>
      </c>
      <c r="R313" s="80">
        <f t="shared" si="44"/>
        <v>100</v>
      </c>
      <c r="S313" s="77">
        <f t="shared" si="45"/>
        <v>695</v>
      </c>
      <c r="T313" s="77">
        <f>50</f>
        <v>50</v>
      </c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</row>
    <row r="314" spans="1:30" ht="15.75" x14ac:dyDescent="0.25">
      <c r="A314" s="33">
        <v>50495</v>
      </c>
      <c r="B314" s="90">
        <v>31</v>
      </c>
      <c r="C314" s="77">
        <f>122.58</f>
        <v>122.58</v>
      </c>
      <c r="D314" s="77">
        <f>297.941</f>
        <v>297.94099999999997</v>
      </c>
      <c r="E314" s="86">
        <f>89.177</f>
        <v>89.177000000000007</v>
      </c>
      <c r="F314" s="77">
        <f>240.302-40-60-100</f>
        <v>40.301999999999992</v>
      </c>
      <c r="G314" s="80">
        <v>40</v>
      </c>
      <c r="H314" s="77">
        <f>60+100</f>
        <v>160</v>
      </c>
      <c r="I314" s="77">
        <f t="shared" si="49"/>
        <v>0</v>
      </c>
      <c r="J314" s="80">
        <v>100</v>
      </c>
      <c r="K314" s="80">
        <v>300</v>
      </c>
      <c r="L314" s="77">
        <f t="shared" si="42"/>
        <v>1150</v>
      </c>
      <c r="M314" s="88">
        <v>600</v>
      </c>
      <c r="N314" s="77">
        <f>100</f>
        <v>100</v>
      </c>
      <c r="O314" s="80">
        <v>240</v>
      </c>
      <c r="P314" s="80">
        <v>40</v>
      </c>
      <c r="Q314" s="80">
        <f t="shared" si="43"/>
        <v>315</v>
      </c>
      <c r="R314" s="80">
        <f t="shared" si="44"/>
        <v>100</v>
      </c>
      <c r="S314" s="77">
        <f t="shared" si="45"/>
        <v>695</v>
      </c>
      <c r="T314" s="77">
        <f>50</f>
        <v>50</v>
      </c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</row>
    <row r="315" spans="1:30" ht="15.75" x14ac:dyDescent="0.25">
      <c r="A315" s="33">
        <v>50525</v>
      </c>
      <c r="B315" s="90">
        <v>30</v>
      </c>
      <c r="C315" s="77">
        <f>141.293</f>
        <v>141.29300000000001</v>
      </c>
      <c r="D315" s="77">
        <f>267.993</f>
        <v>267.99299999999999</v>
      </c>
      <c r="E315" s="86">
        <f>115.016</f>
        <v>115.01600000000001</v>
      </c>
      <c r="F315" s="77">
        <f>314.698-40-25-60-100</f>
        <v>89.697999999999979</v>
      </c>
      <c r="G315" s="80">
        <v>40</v>
      </c>
      <c r="H315" s="77">
        <f t="shared" ref="H315:H321" si="50">25+60+100</f>
        <v>185</v>
      </c>
      <c r="I315" s="77">
        <f t="shared" si="49"/>
        <v>0</v>
      </c>
      <c r="J315" s="80">
        <v>100</v>
      </c>
      <c r="K315" s="80">
        <v>300</v>
      </c>
      <c r="L315" s="77">
        <f t="shared" si="42"/>
        <v>1239</v>
      </c>
      <c r="M315" s="88">
        <v>600</v>
      </c>
      <c r="N315" s="77">
        <f>100</f>
        <v>100</v>
      </c>
      <c r="O315" s="80">
        <v>240</v>
      </c>
      <c r="P315" s="80">
        <v>160</v>
      </c>
      <c r="Q315" s="80">
        <f t="shared" si="43"/>
        <v>195</v>
      </c>
      <c r="R315" s="80">
        <f t="shared" si="44"/>
        <v>100</v>
      </c>
      <c r="S315" s="77">
        <f t="shared" si="45"/>
        <v>695</v>
      </c>
      <c r="T315" s="77">
        <f>50</f>
        <v>50</v>
      </c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</row>
    <row r="316" spans="1:30" ht="15.75" x14ac:dyDescent="0.25">
      <c r="A316" s="33">
        <v>50556</v>
      </c>
      <c r="B316" s="90">
        <v>31</v>
      </c>
      <c r="C316" s="77">
        <f>194.205</f>
        <v>194.20500000000001</v>
      </c>
      <c r="D316" s="77">
        <f>267.466</f>
        <v>267.46600000000001</v>
      </c>
      <c r="E316" s="86">
        <f>133.845</f>
        <v>133.845</v>
      </c>
      <c r="F316" s="77">
        <f>278.484-40-25-60-100</f>
        <v>53.48399999999998</v>
      </c>
      <c r="G316" s="80">
        <v>40</v>
      </c>
      <c r="H316" s="77">
        <f t="shared" si="50"/>
        <v>185</v>
      </c>
      <c r="I316" s="77">
        <f t="shared" si="49"/>
        <v>0</v>
      </c>
      <c r="J316" s="80">
        <v>100</v>
      </c>
      <c r="K316" s="80">
        <v>300</v>
      </c>
      <c r="L316" s="77">
        <f t="shared" si="42"/>
        <v>1274</v>
      </c>
      <c r="M316" s="88">
        <v>600</v>
      </c>
      <c r="N316" s="77">
        <f>75</f>
        <v>75</v>
      </c>
      <c r="O316" s="80">
        <v>240</v>
      </c>
      <c r="P316" s="80">
        <v>160</v>
      </c>
      <c r="Q316" s="80">
        <f t="shared" si="43"/>
        <v>195</v>
      </c>
      <c r="R316" s="80">
        <f t="shared" si="44"/>
        <v>100</v>
      </c>
      <c r="S316" s="77">
        <f t="shared" si="45"/>
        <v>695</v>
      </c>
      <c r="T316" s="77">
        <f>50</f>
        <v>50</v>
      </c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</row>
    <row r="317" spans="1:30" ht="15.75" x14ac:dyDescent="0.25">
      <c r="A317" s="33">
        <v>50586</v>
      </c>
      <c r="B317" s="90">
        <v>30</v>
      </c>
      <c r="C317" s="77">
        <f>194.205</f>
        <v>194.20500000000001</v>
      </c>
      <c r="D317" s="77">
        <f>267.466</f>
        <v>267.46600000000001</v>
      </c>
      <c r="E317" s="86">
        <f>133.845</f>
        <v>133.845</v>
      </c>
      <c r="F317" s="77">
        <f>278.484-40-25-60-100</f>
        <v>53.48399999999998</v>
      </c>
      <c r="G317" s="80">
        <v>40</v>
      </c>
      <c r="H317" s="77">
        <f t="shared" si="50"/>
        <v>185</v>
      </c>
      <c r="I317" s="77">
        <f t="shared" si="49"/>
        <v>0</v>
      </c>
      <c r="J317" s="80">
        <v>100</v>
      </c>
      <c r="K317" s="80">
        <v>300</v>
      </c>
      <c r="L317" s="77">
        <f t="shared" si="42"/>
        <v>1274</v>
      </c>
      <c r="M317" s="88">
        <v>600</v>
      </c>
      <c r="N317" s="77">
        <f>30</f>
        <v>30</v>
      </c>
      <c r="O317" s="80">
        <v>240</v>
      </c>
      <c r="P317" s="80">
        <v>160</v>
      </c>
      <c r="Q317" s="80">
        <f t="shared" si="43"/>
        <v>195</v>
      </c>
      <c r="R317" s="80">
        <f t="shared" si="44"/>
        <v>100</v>
      </c>
      <c r="S317" s="77">
        <f t="shared" si="45"/>
        <v>695</v>
      </c>
      <c r="T317" s="77">
        <f>50</f>
        <v>50</v>
      </c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</row>
    <row r="318" spans="1:30" ht="15.75" x14ac:dyDescent="0.25">
      <c r="A318" s="33">
        <v>50617</v>
      </c>
      <c r="B318" s="90">
        <v>31</v>
      </c>
      <c r="C318" s="77">
        <f>194.205</f>
        <v>194.20500000000001</v>
      </c>
      <c r="D318" s="77">
        <f>267.466</f>
        <v>267.46600000000001</v>
      </c>
      <c r="E318" s="86">
        <f>133.845</f>
        <v>133.845</v>
      </c>
      <c r="F318" s="77">
        <f>278.484-40-25-60-100</f>
        <v>53.48399999999998</v>
      </c>
      <c r="G318" s="80">
        <v>40</v>
      </c>
      <c r="H318" s="77">
        <f t="shared" si="50"/>
        <v>185</v>
      </c>
      <c r="I318" s="77">
        <f t="shared" si="49"/>
        <v>0</v>
      </c>
      <c r="J318" s="80">
        <v>100</v>
      </c>
      <c r="K318" s="80">
        <v>300</v>
      </c>
      <c r="L318" s="77">
        <f t="shared" si="42"/>
        <v>1274</v>
      </c>
      <c r="M318" s="88">
        <v>600</v>
      </c>
      <c r="N318" s="77">
        <f>30</f>
        <v>30</v>
      </c>
      <c r="O318" s="80">
        <v>240</v>
      </c>
      <c r="P318" s="80">
        <v>160</v>
      </c>
      <c r="Q318" s="80">
        <f t="shared" si="43"/>
        <v>195</v>
      </c>
      <c r="R318" s="80">
        <f t="shared" si="44"/>
        <v>100</v>
      </c>
      <c r="S318" s="77">
        <f t="shared" si="45"/>
        <v>695</v>
      </c>
      <c r="T318" s="77">
        <f>0</f>
        <v>0</v>
      </c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</row>
    <row r="319" spans="1:30" ht="15.75" x14ac:dyDescent="0.25">
      <c r="A319" s="33">
        <v>50648</v>
      </c>
      <c r="B319" s="90">
        <v>31</v>
      </c>
      <c r="C319" s="77">
        <f>194.205</f>
        <v>194.20500000000001</v>
      </c>
      <c r="D319" s="77">
        <f>267.466</f>
        <v>267.46600000000001</v>
      </c>
      <c r="E319" s="86">
        <f>133.845</f>
        <v>133.845</v>
      </c>
      <c r="F319" s="77">
        <f>278.484-40-25-60-100</f>
        <v>53.48399999999998</v>
      </c>
      <c r="G319" s="80">
        <v>40</v>
      </c>
      <c r="H319" s="77">
        <f t="shared" si="50"/>
        <v>185</v>
      </c>
      <c r="I319" s="77">
        <f t="shared" si="49"/>
        <v>0</v>
      </c>
      <c r="J319" s="80">
        <v>100</v>
      </c>
      <c r="K319" s="80">
        <v>300</v>
      </c>
      <c r="L319" s="77">
        <f t="shared" si="42"/>
        <v>1274</v>
      </c>
      <c r="M319" s="88">
        <v>600</v>
      </c>
      <c r="N319" s="77">
        <f>30</f>
        <v>30</v>
      </c>
      <c r="O319" s="80">
        <v>240</v>
      </c>
      <c r="P319" s="80">
        <v>160</v>
      </c>
      <c r="Q319" s="80">
        <f t="shared" si="43"/>
        <v>195</v>
      </c>
      <c r="R319" s="80">
        <f t="shared" si="44"/>
        <v>100</v>
      </c>
      <c r="S319" s="77">
        <f t="shared" si="45"/>
        <v>695</v>
      </c>
      <c r="T319" s="77">
        <f>0</f>
        <v>0</v>
      </c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</row>
    <row r="320" spans="1:30" ht="15.75" x14ac:dyDescent="0.25">
      <c r="A320" s="33">
        <v>50678</v>
      </c>
      <c r="B320" s="90">
        <v>30</v>
      </c>
      <c r="C320" s="77">
        <f>194.205</f>
        <v>194.20500000000001</v>
      </c>
      <c r="D320" s="77">
        <f>267.466</f>
        <v>267.46600000000001</v>
      </c>
      <c r="E320" s="86">
        <f>133.845</f>
        <v>133.845</v>
      </c>
      <c r="F320" s="77">
        <f>278.484-40-25-60-100</f>
        <v>53.48399999999998</v>
      </c>
      <c r="G320" s="80">
        <v>40</v>
      </c>
      <c r="H320" s="77">
        <f t="shared" si="50"/>
        <v>185</v>
      </c>
      <c r="I320" s="77">
        <f t="shared" si="49"/>
        <v>0</v>
      </c>
      <c r="J320" s="80">
        <v>100</v>
      </c>
      <c r="K320" s="80">
        <v>300</v>
      </c>
      <c r="L320" s="77">
        <f t="shared" si="42"/>
        <v>1274</v>
      </c>
      <c r="M320" s="88">
        <v>600</v>
      </c>
      <c r="N320" s="77">
        <f>30</f>
        <v>30</v>
      </c>
      <c r="O320" s="80">
        <v>240</v>
      </c>
      <c r="P320" s="80">
        <v>160</v>
      </c>
      <c r="Q320" s="80">
        <f t="shared" si="43"/>
        <v>195</v>
      </c>
      <c r="R320" s="80">
        <f t="shared" si="44"/>
        <v>100</v>
      </c>
      <c r="S320" s="77">
        <f t="shared" si="45"/>
        <v>695</v>
      </c>
      <c r="T320" s="77">
        <f>0</f>
        <v>0</v>
      </c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</row>
    <row r="321" spans="1:30" ht="15.75" x14ac:dyDescent="0.25">
      <c r="A321" s="33">
        <v>50709</v>
      </c>
      <c r="B321" s="90">
        <v>31</v>
      </c>
      <c r="C321" s="77">
        <f>131.881</f>
        <v>131.881</v>
      </c>
      <c r="D321" s="77">
        <f>277.167</f>
        <v>277.16699999999997</v>
      </c>
      <c r="E321" s="86">
        <f>79.08</f>
        <v>79.08</v>
      </c>
      <c r="F321" s="77">
        <f>350.872-40-25-60-100</f>
        <v>125.87200000000001</v>
      </c>
      <c r="G321" s="80">
        <v>40</v>
      </c>
      <c r="H321" s="77">
        <f t="shared" si="50"/>
        <v>185</v>
      </c>
      <c r="I321" s="77">
        <f t="shared" si="49"/>
        <v>0</v>
      </c>
      <c r="J321" s="80">
        <v>100</v>
      </c>
      <c r="K321" s="80">
        <v>300</v>
      </c>
      <c r="L321" s="77">
        <f t="shared" si="42"/>
        <v>1239</v>
      </c>
      <c r="M321" s="88">
        <v>600</v>
      </c>
      <c r="N321" s="77">
        <f>75</f>
        <v>75</v>
      </c>
      <c r="O321" s="80">
        <v>240</v>
      </c>
      <c r="P321" s="80">
        <v>160</v>
      </c>
      <c r="Q321" s="80">
        <f t="shared" si="43"/>
        <v>195</v>
      </c>
      <c r="R321" s="80">
        <f t="shared" si="44"/>
        <v>100</v>
      </c>
      <c r="S321" s="77">
        <f t="shared" si="45"/>
        <v>695</v>
      </c>
      <c r="T321" s="77">
        <f>0</f>
        <v>0</v>
      </c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</row>
    <row r="322" spans="1:30" ht="15.75" x14ac:dyDescent="0.25">
      <c r="A322" s="33">
        <v>50739</v>
      </c>
      <c r="B322" s="90">
        <v>30</v>
      </c>
      <c r="C322" s="77">
        <f>122.58</f>
        <v>122.58</v>
      </c>
      <c r="D322" s="77">
        <f>297.941</f>
        <v>297.94099999999997</v>
      </c>
      <c r="E322" s="86">
        <f>89.177</f>
        <v>89.177000000000007</v>
      </c>
      <c r="F322" s="77">
        <f>240.302-40-60-100</f>
        <v>40.301999999999992</v>
      </c>
      <c r="G322" s="80">
        <v>40</v>
      </c>
      <c r="H322" s="77">
        <f>60+100</f>
        <v>160</v>
      </c>
      <c r="I322" s="77">
        <f t="shared" si="49"/>
        <v>0</v>
      </c>
      <c r="J322" s="80">
        <v>100</v>
      </c>
      <c r="K322" s="80">
        <v>300</v>
      </c>
      <c r="L322" s="77">
        <f t="shared" si="42"/>
        <v>1150</v>
      </c>
      <c r="M322" s="88">
        <v>600</v>
      </c>
      <c r="N322" s="77">
        <f>100</f>
        <v>100</v>
      </c>
      <c r="O322" s="80">
        <v>240</v>
      </c>
      <c r="P322" s="80">
        <v>40</v>
      </c>
      <c r="Q322" s="80">
        <f t="shared" si="43"/>
        <v>315</v>
      </c>
      <c r="R322" s="80">
        <f t="shared" si="44"/>
        <v>100</v>
      </c>
      <c r="S322" s="77">
        <f t="shared" si="45"/>
        <v>695</v>
      </c>
      <c r="T322" s="77">
        <f>50</f>
        <v>50</v>
      </c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</row>
    <row r="323" spans="1:30" ht="15.75" x14ac:dyDescent="0.25">
      <c r="A323" s="33">
        <v>50770</v>
      </c>
      <c r="B323" s="90">
        <v>31</v>
      </c>
      <c r="C323" s="77">
        <f>122.58</f>
        <v>122.58</v>
      </c>
      <c r="D323" s="77">
        <f>297.941</f>
        <v>297.94099999999997</v>
      </c>
      <c r="E323" s="86">
        <f>89.177</f>
        <v>89.177000000000007</v>
      </c>
      <c r="F323" s="77">
        <f>240.302-40-60-100</f>
        <v>40.301999999999992</v>
      </c>
      <c r="G323" s="80">
        <v>40</v>
      </c>
      <c r="H323" s="77">
        <f>60+100</f>
        <v>160</v>
      </c>
      <c r="I323" s="77">
        <f t="shared" si="49"/>
        <v>0</v>
      </c>
      <c r="J323" s="80">
        <v>100</v>
      </c>
      <c r="K323" s="80">
        <v>300</v>
      </c>
      <c r="L323" s="77">
        <f t="shared" si="42"/>
        <v>1150</v>
      </c>
      <c r="M323" s="88">
        <v>600</v>
      </c>
      <c r="N323" s="77">
        <f>100</f>
        <v>100</v>
      </c>
      <c r="O323" s="80">
        <v>240</v>
      </c>
      <c r="P323" s="80">
        <v>40</v>
      </c>
      <c r="Q323" s="80">
        <f t="shared" si="43"/>
        <v>315</v>
      </c>
      <c r="R323" s="80">
        <f t="shared" si="44"/>
        <v>100</v>
      </c>
      <c r="S323" s="77">
        <f t="shared" si="45"/>
        <v>695</v>
      </c>
      <c r="T323" s="77">
        <f>50</f>
        <v>50</v>
      </c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</row>
    <row r="324" spans="1:30" ht="15.75" x14ac:dyDescent="0.25">
      <c r="A324" s="33">
        <v>50801</v>
      </c>
      <c r="B324" s="90">
        <v>31</v>
      </c>
      <c r="C324" s="77">
        <f>122.58</f>
        <v>122.58</v>
      </c>
      <c r="D324" s="77">
        <f>297.941</f>
        <v>297.94099999999997</v>
      </c>
      <c r="E324" s="86">
        <f>89.177</f>
        <v>89.177000000000007</v>
      </c>
      <c r="F324" s="77">
        <f>240.302-40-60-100</f>
        <v>40.301999999999992</v>
      </c>
      <c r="G324" s="80">
        <v>40</v>
      </c>
      <c r="H324" s="77">
        <f>60+100</f>
        <v>160</v>
      </c>
      <c r="I324" s="77">
        <f t="shared" si="49"/>
        <v>0</v>
      </c>
      <c r="J324" s="80">
        <v>100</v>
      </c>
      <c r="K324" s="80">
        <v>300</v>
      </c>
      <c r="L324" s="77">
        <f t="shared" si="42"/>
        <v>1150</v>
      </c>
      <c r="M324" s="88">
        <v>600</v>
      </c>
      <c r="N324" s="77">
        <f>100</f>
        <v>100</v>
      </c>
      <c r="O324" s="80">
        <v>240</v>
      </c>
      <c r="P324" s="80">
        <v>40</v>
      </c>
      <c r="Q324" s="80">
        <f t="shared" si="43"/>
        <v>315</v>
      </c>
      <c r="R324" s="80">
        <f t="shared" si="44"/>
        <v>100</v>
      </c>
      <c r="S324" s="77">
        <f t="shared" si="45"/>
        <v>695</v>
      </c>
      <c r="T324" s="77">
        <f>50</f>
        <v>50</v>
      </c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</row>
    <row r="325" spans="1:30" ht="15.75" x14ac:dyDescent="0.25">
      <c r="A325" s="33">
        <v>50829</v>
      </c>
      <c r="B325" s="90">
        <v>28</v>
      </c>
      <c r="C325" s="77">
        <f>122.58</f>
        <v>122.58</v>
      </c>
      <c r="D325" s="77">
        <f>297.941</f>
        <v>297.94099999999997</v>
      </c>
      <c r="E325" s="86">
        <f>89.177</f>
        <v>89.177000000000007</v>
      </c>
      <c r="F325" s="77">
        <f>240.302-40-60-100</f>
        <v>40.301999999999992</v>
      </c>
      <c r="G325" s="80">
        <v>40</v>
      </c>
      <c r="H325" s="77">
        <f>60+100</f>
        <v>160</v>
      </c>
      <c r="I325" s="77">
        <f t="shared" si="49"/>
        <v>0</v>
      </c>
      <c r="J325" s="80">
        <v>100</v>
      </c>
      <c r="K325" s="80">
        <v>300</v>
      </c>
      <c r="L325" s="77">
        <f t="shared" si="42"/>
        <v>1150</v>
      </c>
      <c r="M325" s="88">
        <v>600</v>
      </c>
      <c r="N325" s="77">
        <f>100</f>
        <v>100</v>
      </c>
      <c r="O325" s="80">
        <v>240</v>
      </c>
      <c r="P325" s="80">
        <v>40</v>
      </c>
      <c r="Q325" s="80">
        <f t="shared" si="43"/>
        <v>315</v>
      </c>
      <c r="R325" s="80">
        <f t="shared" si="44"/>
        <v>100</v>
      </c>
      <c r="S325" s="77">
        <f t="shared" si="45"/>
        <v>695</v>
      </c>
      <c r="T325" s="77">
        <f>50</f>
        <v>50</v>
      </c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</row>
    <row r="326" spans="1:30" ht="15.75" x14ac:dyDescent="0.25">
      <c r="A326" s="33">
        <v>50860</v>
      </c>
      <c r="B326" s="90">
        <v>31</v>
      </c>
      <c r="C326" s="77">
        <f>122.58</f>
        <v>122.58</v>
      </c>
      <c r="D326" s="77">
        <f>297.941</f>
        <v>297.94099999999997</v>
      </c>
      <c r="E326" s="86">
        <f>89.177</f>
        <v>89.177000000000007</v>
      </c>
      <c r="F326" s="77">
        <f>240.302-40-60-100</f>
        <v>40.301999999999992</v>
      </c>
      <c r="G326" s="80">
        <v>40</v>
      </c>
      <c r="H326" s="77">
        <f>60+100</f>
        <v>160</v>
      </c>
      <c r="I326" s="77">
        <f t="shared" si="49"/>
        <v>0</v>
      </c>
      <c r="J326" s="80">
        <v>100</v>
      </c>
      <c r="K326" s="80">
        <v>300</v>
      </c>
      <c r="L326" s="77">
        <f t="shared" si="42"/>
        <v>1150</v>
      </c>
      <c r="M326" s="88">
        <v>600</v>
      </c>
      <c r="N326" s="77">
        <f>100</f>
        <v>100</v>
      </c>
      <c r="O326" s="80">
        <v>240</v>
      </c>
      <c r="P326" s="80">
        <v>40</v>
      </c>
      <c r="Q326" s="80">
        <f t="shared" si="43"/>
        <v>315</v>
      </c>
      <c r="R326" s="80">
        <f t="shared" si="44"/>
        <v>100</v>
      </c>
      <c r="S326" s="77">
        <f t="shared" si="45"/>
        <v>695</v>
      </c>
      <c r="T326" s="77">
        <f>50</f>
        <v>50</v>
      </c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</row>
    <row r="327" spans="1:30" ht="15.75" x14ac:dyDescent="0.25">
      <c r="A327" s="33">
        <v>50890</v>
      </c>
      <c r="B327" s="90">
        <v>30</v>
      </c>
      <c r="C327" s="77">
        <f>141.293</f>
        <v>141.29300000000001</v>
      </c>
      <c r="D327" s="77">
        <f>267.993</f>
        <v>267.99299999999999</v>
      </c>
      <c r="E327" s="86">
        <f>115.016</f>
        <v>115.01600000000001</v>
      </c>
      <c r="F327" s="77">
        <f>314.698-40-25-60-100</f>
        <v>89.697999999999979</v>
      </c>
      <c r="G327" s="80">
        <v>40</v>
      </c>
      <c r="H327" s="77">
        <f t="shared" ref="H327:H333" si="51">25+60+100</f>
        <v>185</v>
      </c>
      <c r="I327" s="77">
        <f t="shared" si="49"/>
        <v>0</v>
      </c>
      <c r="J327" s="80">
        <v>100</v>
      </c>
      <c r="K327" s="80">
        <v>300</v>
      </c>
      <c r="L327" s="77">
        <f t="shared" si="42"/>
        <v>1239</v>
      </c>
      <c r="M327" s="88">
        <v>600</v>
      </c>
      <c r="N327" s="77">
        <f>100</f>
        <v>100</v>
      </c>
      <c r="O327" s="80">
        <v>240</v>
      </c>
      <c r="P327" s="80">
        <v>160</v>
      </c>
      <c r="Q327" s="80">
        <f t="shared" si="43"/>
        <v>195</v>
      </c>
      <c r="R327" s="80">
        <f t="shared" si="44"/>
        <v>100</v>
      </c>
      <c r="S327" s="77">
        <f t="shared" si="45"/>
        <v>695</v>
      </c>
      <c r="T327" s="77">
        <f>50</f>
        <v>50</v>
      </c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</row>
    <row r="328" spans="1:30" ht="15.75" x14ac:dyDescent="0.25">
      <c r="A328" s="33">
        <v>50921</v>
      </c>
      <c r="B328" s="90">
        <v>31</v>
      </c>
      <c r="C328" s="77">
        <f>194.205</f>
        <v>194.20500000000001</v>
      </c>
      <c r="D328" s="77">
        <f>267.466</f>
        <v>267.46600000000001</v>
      </c>
      <c r="E328" s="86">
        <f>133.845</f>
        <v>133.845</v>
      </c>
      <c r="F328" s="77">
        <f>278.484-40-25-60-100</f>
        <v>53.48399999999998</v>
      </c>
      <c r="G328" s="80">
        <v>40</v>
      </c>
      <c r="H328" s="77">
        <f t="shared" si="51"/>
        <v>185</v>
      </c>
      <c r="I328" s="77">
        <f t="shared" si="49"/>
        <v>0</v>
      </c>
      <c r="J328" s="80">
        <v>100</v>
      </c>
      <c r="K328" s="80">
        <v>300</v>
      </c>
      <c r="L328" s="77">
        <f t="shared" si="42"/>
        <v>1274</v>
      </c>
      <c r="M328" s="88">
        <v>600</v>
      </c>
      <c r="N328" s="77">
        <f>75</f>
        <v>75</v>
      </c>
      <c r="O328" s="80">
        <v>240</v>
      </c>
      <c r="P328" s="80">
        <v>160</v>
      </c>
      <c r="Q328" s="80">
        <f t="shared" si="43"/>
        <v>195</v>
      </c>
      <c r="R328" s="80">
        <f t="shared" si="44"/>
        <v>100</v>
      </c>
      <c r="S328" s="77">
        <f t="shared" si="45"/>
        <v>695</v>
      </c>
      <c r="T328" s="77">
        <f>50</f>
        <v>50</v>
      </c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</row>
    <row r="329" spans="1:30" ht="15.75" x14ac:dyDescent="0.25">
      <c r="A329" s="33">
        <v>50951</v>
      </c>
      <c r="B329" s="90">
        <v>30</v>
      </c>
      <c r="C329" s="77">
        <f>194.205</f>
        <v>194.20500000000001</v>
      </c>
      <c r="D329" s="77">
        <f>267.466</f>
        <v>267.46600000000001</v>
      </c>
      <c r="E329" s="86">
        <f>133.845</f>
        <v>133.845</v>
      </c>
      <c r="F329" s="77">
        <f>278.484-40-25-60-100</f>
        <v>53.48399999999998</v>
      </c>
      <c r="G329" s="80">
        <v>40</v>
      </c>
      <c r="H329" s="77">
        <f t="shared" si="51"/>
        <v>185</v>
      </c>
      <c r="I329" s="77">
        <f t="shared" si="49"/>
        <v>0</v>
      </c>
      <c r="J329" s="80">
        <v>100</v>
      </c>
      <c r="K329" s="80">
        <v>300</v>
      </c>
      <c r="L329" s="77">
        <f t="shared" si="42"/>
        <v>1274</v>
      </c>
      <c r="M329" s="88">
        <v>600</v>
      </c>
      <c r="N329" s="77">
        <f>30</f>
        <v>30</v>
      </c>
      <c r="O329" s="80">
        <v>240</v>
      </c>
      <c r="P329" s="80">
        <v>160</v>
      </c>
      <c r="Q329" s="80">
        <f t="shared" si="43"/>
        <v>195</v>
      </c>
      <c r="R329" s="80">
        <f t="shared" si="44"/>
        <v>100</v>
      </c>
      <c r="S329" s="77">
        <f t="shared" si="45"/>
        <v>695</v>
      </c>
      <c r="T329" s="77">
        <f>50</f>
        <v>50</v>
      </c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</row>
    <row r="330" spans="1:30" ht="15.75" x14ac:dyDescent="0.25">
      <c r="A330" s="33">
        <v>50982</v>
      </c>
      <c r="B330" s="90">
        <v>31</v>
      </c>
      <c r="C330" s="77">
        <f>194.205</f>
        <v>194.20500000000001</v>
      </c>
      <c r="D330" s="77">
        <f>267.466</f>
        <v>267.46600000000001</v>
      </c>
      <c r="E330" s="86">
        <f>133.845</f>
        <v>133.845</v>
      </c>
      <c r="F330" s="77">
        <f>278.484-40-25-60-100</f>
        <v>53.48399999999998</v>
      </c>
      <c r="G330" s="80">
        <v>40</v>
      </c>
      <c r="H330" s="77">
        <f t="shared" si="51"/>
        <v>185</v>
      </c>
      <c r="I330" s="77">
        <f t="shared" si="49"/>
        <v>0</v>
      </c>
      <c r="J330" s="80">
        <v>100</v>
      </c>
      <c r="K330" s="80">
        <v>300</v>
      </c>
      <c r="L330" s="77">
        <f t="shared" si="42"/>
        <v>1274</v>
      </c>
      <c r="M330" s="88">
        <v>600</v>
      </c>
      <c r="N330" s="77">
        <f>30</f>
        <v>30</v>
      </c>
      <c r="O330" s="80">
        <v>240</v>
      </c>
      <c r="P330" s="80">
        <v>160</v>
      </c>
      <c r="Q330" s="80">
        <f t="shared" si="43"/>
        <v>195</v>
      </c>
      <c r="R330" s="80">
        <f t="shared" si="44"/>
        <v>100</v>
      </c>
      <c r="S330" s="77">
        <f t="shared" si="45"/>
        <v>695</v>
      </c>
      <c r="T330" s="77">
        <f>0</f>
        <v>0</v>
      </c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</row>
    <row r="331" spans="1:30" ht="15.75" x14ac:dyDescent="0.25">
      <c r="A331" s="33">
        <v>51013</v>
      </c>
      <c r="B331" s="90">
        <v>31</v>
      </c>
      <c r="C331" s="77">
        <f>194.205</f>
        <v>194.20500000000001</v>
      </c>
      <c r="D331" s="77">
        <f>267.466</f>
        <v>267.46600000000001</v>
      </c>
      <c r="E331" s="86">
        <f>133.845</f>
        <v>133.845</v>
      </c>
      <c r="F331" s="77">
        <f>278.484-40-25-60-100</f>
        <v>53.48399999999998</v>
      </c>
      <c r="G331" s="80">
        <v>40</v>
      </c>
      <c r="H331" s="77">
        <f t="shared" si="51"/>
        <v>185</v>
      </c>
      <c r="I331" s="77">
        <f t="shared" si="49"/>
        <v>0</v>
      </c>
      <c r="J331" s="80">
        <v>100</v>
      </c>
      <c r="K331" s="80">
        <v>300</v>
      </c>
      <c r="L331" s="77">
        <f t="shared" si="42"/>
        <v>1274</v>
      </c>
      <c r="M331" s="88">
        <v>600</v>
      </c>
      <c r="N331" s="77">
        <f>30</f>
        <v>30</v>
      </c>
      <c r="O331" s="80">
        <v>240</v>
      </c>
      <c r="P331" s="80">
        <v>160</v>
      </c>
      <c r="Q331" s="80">
        <f t="shared" si="43"/>
        <v>195</v>
      </c>
      <c r="R331" s="80">
        <f t="shared" si="44"/>
        <v>100</v>
      </c>
      <c r="S331" s="77">
        <f t="shared" si="45"/>
        <v>695</v>
      </c>
      <c r="T331" s="77">
        <f>0</f>
        <v>0</v>
      </c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</row>
    <row r="332" spans="1:30" ht="15.75" x14ac:dyDescent="0.25">
      <c r="A332" s="33">
        <v>51043</v>
      </c>
      <c r="B332" s="90">
        <v>30</v>
      </c>
      <c r="C332" s="77">
        <f>194.205</f>
        <v>194.20500000000001</v>
      </c>
      <c r="D332" s="77">
        <f>267.466</f>
        <v>267.46600000000001</v>
      </c>
      <c r="E332" s="86">
        <f>133.845</f>
        <v>133.845</v>
      </c>
      <c r="F332" s="77">
        <f>278.484-40-25-60-100</f>
        <v>53.48399999999998</v>
      </c>
      <c r="G332" s="80">
        <v>40</v>
      </c>
      <c r="H332" s="77">
        <f t="shared" si="51"/>
        <v>185</v>
      </c>
      <c r="I332" s="77">
        <f t="shared" si="49"/>
        <v>0</v>
      </c>
      <c r="J332" s="80">
        <v>100</v>
      </c>
      <c r="K332" s="80">
        <v>300</v>
      </c>
      <c r="L332" s="77">
        <f t="shared" si="42"/>
        <v>1274</v>
      </c>
      <c r="M332" s="88">
        <v>600</v>
      </c>
      <c r="N332" s="77">
        <f>30</f>
        <v>30</v>
      </c>
      <c r="O332" s="80">
        <v>240</v>
      </c>
      <c r="P332" s="80">
        <v>160</v>
      </c>
      <c r="Q332" s="80">
        <f t="shared" si="43"/>
        <v>195</v>
      </c>
      <c r="R332" s="80">
        <f t="shared" si="44"/>
        <v>100</v>
      </c>
      <c r="S332" s="77">
        <f t="shared" si="45"/>
        <v>695</v>
      </c>
      <c r="T332" s="77">
        <f>0</f>
        <v>0</v>
      </c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</row>
    <row r="333" spans="1:30" ht="15.75" x14ac:dyDescent="0.25">
      <c r="A333" s="33">
        <v>51074</v>
      </c>
      <c r="B333" s="90">
        <v>31</v>
      </c>
      <c r="C333" s="77">
        <f>131.881</f>
        <v>131.881</v>
      </c>
      <c r="D333" s="77">
        <f>277.167</f>
        <v>277.16699999999997</v>
      </c>
      <c r="E333" s="86">
        <f>79.08</f>
        <v>79.08</v>
      </c>
      <c r="F333" s="77">
        <f>350.872-40-25-60-100</f>
        <v>125.87200000000001</v>
      </c>
      <c r="G333" s="80">
        <v>40</v>
      </c>
      <c r="H333" s="77">
        <f t="shared" si="51"/>
        <v>185</v>
      </c>
      <c r="I333" s="77">
        <f t="shared" si="49"/>
        <v>0</v>
      </c>
      <c r="J333" s="80">
        <v>100</v>
      </c>
      <c r="K333" s="80">
        <v>300</v>
      </c>
      <c r="L333" s="77">
        <f t="shared" si="42"/>
        <v>1239</v>
      </c>
      <c r="M333" s="88">
        <v>600</v>
      </c>
      <c r="N333" s="77">
        <f>75</f>
        <v>75</v>
      </c>
      <c r="O333" s="80">
        <v>240</v>
      </c>
      <c r="P333" s="80">
        <v>160</v>
      </c>
      <c r="Q333" s="80">
        <f t="shared" si="43"/>
        <v>195</v>
      </c>
      <c r="R333" s="80">
        <f t="shared" si="44"/>
        <v>100</v>
      </c>
      <c r="S333" s="77">
        <f t="shared" si="45"/>
        <v>695</v>
      </c>
      <c r="T333" s="77">
        <f>0</f>
        <v>0</v>
      </c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</row>
    <row r="334" spans="1:30" ht="15.75" x14ac:dyDescent="0.25">
      <c r="A334" s="33">
        <v>51104</v>
      </c>
      <c r="B334" s="90">
        <v>30</v>
      </c>
      <c r="C334" s="77">
        <f>122.58</f>
        <v>122.58</v>
      </c>
      <c r="D334" s="77">
        <f>297.941</f>
        <v>297.94099999999997</v>
      </c>
      <c r="E334" s="86">
        <f>89.177</f>
        <v>89.177000000000007</v>
      </c>
      <c r="F334" s="77">
        <f>240.302-40-60-100</f>
        <v>40.301999999999992</v>
      </c>
      <c r="G334" s="80">
        <v>40</v>
      </c>
      <c r="H334" s="77">
        <f>60+100</f>
        <v>160</v>
      </c>
      <c r="I334" s="77">
        <f t="shared" si="49"/>
        <v>0</v>
      </c>
      <c r="J334" s="80">
        <v>100</v>
      </c>
      <c r="K334" s="80">
        <v>300</v>
      </c>
      <c r="L334" s="77">
        <f t="shared" si="42"/>
        <v>1150</v>
      </c>
      <c r="M334" s="88">
        <v>600</v>
      </c>
      <c r="N334" s="77">
        <f>100</f>
        <v>100</v>
      </c>
      <c r="O334" s="80">
        <v>240</v>
      </c>
      <c r="P334" s="80">
        <v>40</v>
      </c>
      <c r="Q334" s="80">
        <f t="shared" si="43"/>
        <v>315</v>
      </c>
      <c r="R334" s="80">
        <f t="shared" si="44"/>
        <v>100</v>
      </c>
      <c r="S334" s="77">
        <f t="shared" si="45"/>
        <v>695</v>
      </c>
      <c r="T334" s="77">
        <f>50</f>
        <v>50</v>
      </c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</row>
    <row r="335" spans="1:30" ht="15.75" x14ac:dyDescent="0.25">
      <c r="A335" s="33">
        <v>51135</v>
      </c>
      <c r="B335" s="90">
        <v>31</v>
      </c>
      <c r="C335" s="77">
        <f>122.58</f>
        <v>122.58</v>
      </c>
      <c r="D335" s="77">
        <f>297.941</f>
        <v>297.94099999999997</v>
      </c>
      <c r="E335" s="86">
        <f>89.177</f>
        <v>89.177000000000007</v>
      </c>
      <c r="F335" s="77">
        <f>240.302-40-60-100</f>
        <v>40.301999999999992</v>
      </c>
      <c r="G335" s="80">
        <v>40</v>
      </c>
      <c r="H335" s="77">
        <f>60+100</f>
        <v>160</v>
      </c>
      <c r="I335" s="77">
        <f t="shared" si="49"/>
        <v>0</v>
      </c>
      <c r="J335" s="80">
        <v>100</v>
      </c>
      <c r="K335" s="80">
        <v>300</v>
      </c>
      <c r="L335" s="77">
        <f t="shared" si="42"/>
        <v>1150</v>
      </c>
      <c r="M335" s="88">
        <v>600</v>
      </c>
      <c r="N335" s="77">
        <f>100</f>
        <v>100</v>
      </c>
      <c r="O335" s="80">
        <v>240</v>
      </c>
      <c r="P335" s="80">
        <v>40</v>
      </c>
      <c r="Q335" s="80">
        <f t="shared" si="43"/>
        <v>315</v>
      </c>
      <c r="R335" s="80">
        <f t="shared" si="44"/>
        <v>100</v>
      </c>
      <c r="S335" s="77">
        <f t="shared" si="45"/>
        <v>695</v>
      </c>
      <c r="T335" s="77">
        <f>50</f>
        <v>50</v>
      </c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</row>
    <row r="336" spans="1:30" ht="15.75" x14ac:dyDescent="0.25">
      <c r="A336" s="33">
        <v>51166</v>
      </c>
      <c r="B336" s="90">
        <v>31</v>
      </c>
      <c r="C336" s="77">
        <f>122.58</f>
        <v>122.58</v>
      </c>
      <c r="D336" s="77">
        <f>297.941</f>
        <v>297.94099999999997</v>
      </c>
      <c r="E336" s="86">
        <f>89.177</f>
        <v>89.177000000000007</v>
      </c>
      <c r="F336" s="77">
        <f>240.302-40-60-100</f>
        <v>40.301999999999992</v>
      </c>
      <c r="G336" s="80">
        <v>40</v>
      </c>
      <c r="H336" s="77">
        <f>60+100</f>
        <v>160</v>
      </c>
      <c r="I336" s="77">
        <f t="shared" si="49"/>
        <v>0</v>
      </c>
      <c r="J336" s="80">
        <v>100</v>
      </c>
      <c r="K336" s="80">
        <v>300</v>
      </c>
      <c r="L336" s="77">
        <f t="shared" si="42"/>
        <v>1150</v>
      </c>
      <c r="M336" s="88">
        <v>600</v>
      </c>
      <c r="N336" s="77">
        <f>100</f>
        <v>100</v>
      </c>
      <c r="O336" s="80">
        <v>240</v>
      </c>
      <c r="P336" s="80">
        <v>40</v>
      </c>
      <c r="Q336" s="80">
        <f t="shared" si="43"/>
        <v>315</v>
      </c>
      <c r="R336" s="80">
        <f t="shared" si="44"/>
        <v>100</v>
      </c>
      <c r="S336" s="77">
        <f t="shared" si="45"/>
        <v>695</v>
      </c>
      <c r="T336" s="77">
        <f>50</f>
        <v>50</v>
      </c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</row>
    <row r="337" spans="1:30" ht="15.75" x14ac:dyDescent="0.25">
      <c r="A337" s="33">
        <v>51194</v>
      </c>
      <c r="B337" s="90">
        <v>29</v>
      </c>
      <c r="C337" s="77">
        <f>122.58</f>
        <v>122.58</v>
      </c>
      <c r="D337" s="77">
        <f>297.941</f>
        <v>297.94099999999997</v>
      </c>
      <c r="E337" s="86">
        <f>89.177</f>
        <v>89.177000000000007</v>
      </c>
      <c r="F337" s="77">
        <f>240.302-40-60-100</f>
        <v>40.301999999999992</v>
      </c>
      <c r="G337" s="80">
        <v>40</v>
      </c>
      <c r="H337" s="77">
        <f>60+100</f>
        <v>160</v>
      </c>
      <c r="I337" s="77">
        <f t="shared" si="49"/>
        <v>0</v>
      </c>
      <c r="J337" s="80">
        <v>100</v>
      </c>
      <c r="K337" s="80">
        <v>300</v>
      </c>
      <c r="L337" s="77">
        <f t="shared" si="42"/>
        <v>1150</v>
      </c>
      <c r="M337" s="88">
        <v>600</v>
      </c>
      <c r="N337" s="77">
        <f>100</f>
        <v>100</v>
      </c>
      <c r="O337" s="80">
        <v>240</v>
      </c>
      <c r="P337" s="80">
        <v>40</v>
      </c>
      <c r="Q337" s="80">
        <f t="shared" si="43"/>
        <v>315</v>
      </c>
      <c r="R337" s="80">
        <f t="shared" si="44"/>
        <v>100</v>
      </c>
      <c r="S337" s="77">
        <f t="shared" si="45"/>
        <v>695</v>
      </c>
      <c r="T337" s="77">
        <f>50</f>
        <v>50</v>
      </c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</row>
    <row r="338" spans="1:30" ht="15.75" x14ac:dyDescent="0.25">
      <c r="A338" s="33">
        <v>51226</v>
      </c>
      <c r="B338" s="90">
        <v>31</v>
      </c>
      <c r="C338" s="77">
        <f>122.58</f>
        <v>122.58</v>
      </c>
      <c r="D338" s="77">
        <f>297.941</f>
        <v>297.94099999999997</v>
      </c>
      <c r="E338" s="86">
        <f>89.177</f>
        <v>89.177000000000007</v>
      </c>
      <c r="F338" s="77">
        <f>240.302-40-60-100</f>
        <v>40.301999999999992</v>
      </c>
      <c r="G338" s="80">
        <v>40</v>
      </c>
      <c r="H338" s="77">
        <f>60+100</f>
        <v>160</v>
      </c>
      <c r="I338" s="77">
        <f t="shared" si="49"/>
        <v>0</v>
      </c>
      <c r="J338" s="80">
        <v>100</v>
      </c>
      <c r="K338" s="80">
        <v>300</v>
      </c>
      <c r="L338" s="77">
        <f t="shared" si="42"/>
        <v>1150</v>
      </c>
      <c r="M338" s="88">
        <v>600</v>
      </c>
      <c r="N338" s="77">
        <f>100</f>
        <v>100</v>
      </c>
      <c r="O338" s="80">
        <v>240</v>
      </c>
      <c r="P338" s="80">
        <v>40</v>
      </c>
      <c r="Q338" s="80">
        <f t="shared" si="43"/>
        <v>315</v>
      </c>
      <c r="R338" s="80">
        <f t="shared" si="44"/>
        <v>100</v>
      </c>
      <c r="S338" s="77">
        <f t="shared" si="45"/>
        <v>695</v>
      </c>
      <c r="T338" s="77">
        <f>50</f>
        <v>50</v>
      </c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</row>
    <row r="339" spans="1:30" ht="15.75" x14ac:dyDescent="0.25">
      <c r="A339" s="33">
        <v>51256</v>
      </c>
      <c r="B339" s="90">
        <v>30</v>
      </c>
      <c r="C339" s="77">
        <f>141.293</f>
        <v>141.29300000000001</v>
      </c>
      <c r="D339" s="77">
        <f>267.993</f>
        <v>267.99299999999999</v>
      </c>
      <c r="E339" s="86">
        <f>115.016</f>
        <v>115.01600000000001</v>
      </c>
      <c r="F339" s="77">
        <f>314.698-40-25-60-100</f>
        <v>89.697999999999979</v>
      </c>
      <c r="G339" s="80">
        <v>40</v>
      </c>
      <c r="H339" s="77">
        <f t="shared" ref="H339:H345" si="52">25+60+100</f>
        <v>185</v>
      </c>
      <c r="I339" s="77">
        <f t="shared" si="49"/>
        <v>0</v>
      </c>
      <c r="J339" s="80">
        <v>100</v>
      </c>
      <c r="K339" s="80">
        <v>300</v>
      </c>
      <c r="L339" s="77">
        <f t="shared" ref="L339:L402" si="53">SUM(C339:K339)</f>
        <v>1239</v>
      </c>
      <c r="M339" s="88">
        <v>600</v>
      </c>
      <c r="N339" s="77">
        <f>100</f>
        <v>100</v>
      </c>
      <c r="O339" s="80">
        <v>240</v>
      </c>
      <c r="P339" s="80">
        <v>160</v>
      </c>
      <c r="Q339" s="80">
        <f t="shared" ref="Q339:Q402" si="54">695-R339-O339-P339</f>
        <v>195</v>
      </c>
      <c r="R339" s="80">
        <f t="shared" ref="R339:R402" si="55">200-J339</f>
        <v>100</v>
      </c>
      <c r="S339" s="77">
        <f t="shared" ref="S339:S402" si="56">SUM(O339:R339)</f>
        <v>695</v>
      </c>
      <c r="T339" s="77">
        <f>50</f>
        <v>50</v>
      </c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</row>
    <row r="340" spans="1:30" ht="15.75" x14ac:dyDescent="0.25">
      <c r="A340" s="33">
        <v>51287</v>
      </c>
      <c r="B340" s="90">
        <v>31</v>
      </c>
      <c r="C340" s="77">
        <f>194.205</f>
        <v>194.20500000000001</v>
      </c>
      <c r="D340" s="77">
        <f>267.466</f>
        <v>267.46600000000001</v>
      </c>
      <c r="E340" s="86">
        <f>133.845</f>
        <v>133.845</v>
      </c>
      <c r="F340" s="77">
        <f>278.484-40-25-60-100</f>
        <v>53.48399999999998</v>
      </c>
      <c r="G340" s="80">
        <v>40</v>
      </c>
      <c r="H340" s="77">
        <f t="shared" si="52"/>
        <v>185</v>
      </c>
      <c r="I340" s="77">
        <f t="shared" si="49"/>
        <v>0</v>
      </c>
      <c r="J340" s="80">
        <v>100</v>
      </c>
      <c r="K340" s="80">
        <v>300</v>
      </c>
      <c r="L340" s="77">
        <f t="shared" si="53"/>
        <v>1274</v>
      </c>
      <c r="M340" s="88">
        <v>600</v>
      </c>
      <c r="N340" s="77">
        <f>75</f>
        <v>75</v>
      </c>
      <c r="O340" s="80">
        <v>240</v>
      </c>
      <c r="P340" s="80">
        <v>160</v>
      </c>
      <c r="Q340" s="80">
        <f t="shared" si="54"/>
        <v>195</v>
      </c>
      <c r="R340" s="80">
        <f t="shared" si="55"/>
        <v>100</v>
      </c>
      <c r="S340" s="77">
        <f t="shared" si="56"/>
        <v>695</v>
      </c>
      <c r="T340" s="77">
        <f>50</f>
        <v>50</v>
      </c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</row>
    <row r="341" spans="1:30" ht="15.75" x14ac:dyDescent="0.25">
      <c r="A341" s="33">
        <v>51317</v>
      </c>
      <c r="B341" s="90">
        <v>30</v>
      </c>
      <c r="C341" s="77">
        <f>194.205</f>
        <v>194.20500000000001</v>
      </c>
      <c r="D341" s="77">
        <f>267.466</f>
        <v>267.46600000000001</v>
      </c>
      <c r="E341" s="86">
        <f>133.845</f>
        <v>133.845</v>
      </c>
      <c r="F341" s="77">
        <f>278.484-40-25-60-100</f>
        <v>53.48399999999998</v>
      </c>
      <c r="G341" s="80">
        <v>40</v>
      </c>
      <c r="H341" s="77">
        <f t="shared" si="52"/>
        <v>185</v>
      </c>
      <c r="I341" s="77">
        <f t="shared" si="49"/>
        <v>0</v>
      </c>
      <c r="J341" s="80">
        <v>100</v>
      </c>
      <c r="K341" s="80">
        <v>300</v>
      </c>
      <c r="L341" s="77">
        <f t="shared" si="53"/>
        <v>1274</v>
      </c>
      <c r="M341" s="88">
        <v>600</v>
      </c>
      <c r="N341" s="77">
        <f>30</f>
        <v>30</v>
      </c>
      <c r="O341" s="80">
        <v>240</v>
      </c>
      <c r="P341" s="80">
        <v>160</v>
      </c>
      <c r="Q341" s="80">
        <f t="shared" si="54"/>
        <v>195</v>
      </c>
      <c r="R341" s="80">
        <f t="shared" si="55"/>
        <v>100</v>
      </c>
      <c r="S341" s="77">
        <f t="shared" si="56"/>
        <v>695</v>
      </c>
      <c r="T341" s="77">
        <f>50</f>
        <v>50</v>
      </c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</row>
    <row r="342" spans="1:30" ht="15.75" x14ac:dyDescent="0.25">
      <c r="A342" s="33">
        <v>51348</v>
      </c>
      <c r="B342" s="90">
        <v>31</v>
      </c>
      <c r="C342" s="77">
        <f>194.205</f>
        <v>194.20500000000001</v>
      </c>
      <c r="D342" s="77">
        <f>267.466</f>
        <v>267.46600000000001</v>
      </c>
      <c r="E342" s="86">
        <f>133.845</f>
        <v>133.845</v>
      </c>
      <c r="F342" s="77">
        <f>278.484-40-25-60-100</f>
        <v>53.48399999999998</v>
      </c>
      <c r="G342" s="80">
        <v>40</v>
      </c>
      <c r="H342" s="77">
        <f t="shared" si="52"/>
        <v>185</v>
      </c>
      <c r="I342" s="77">
        <f t="shared" si="49"/>
        <v>0</v>
      </c>
      <c r="J342" s="80">
        <v>100</v>
      </c>
      <c r="K342" s="80">
        <v>300</v>
      </c>
      <c r="L342" s="77">
        <f t="shared" si="53"/>
        <v>1274</v>
      </c>
      <c r="M342" s="88">
        <v>600</v>
      </c>
      <c r="N342" s="77">
        <f>30</f>
        <v>30</v>
      </c>
      <c r="O342" s="80">
        <v>240</v>
      </c>
      <c r="P342" s="80">
        <v>160</v>
      </c>
      <c r="Q342" s="80">
        <f t="shared" si="54"/>
        <v>195</v>
      </c>
      <c r="R342" s="80">
        <f t="shared" si="55"/>
        <v>100</v>
      </c>
      <c r="S342" s="77">
        <f t="shared" si="56"/>
        <v>695</v>
      </c>
      <c r="T342" s="77">
        <f>0</f>
        <v>0</v>
      </c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</row>
    <row r="343" spans="1:30" ht="15.75" x14ac:dyDescent="0.25">
      <c r="A343" s="33">
        <v>51379</v>
      </c>
      <c r="B343" s="90">
        <v>31</v>
      </c>
      <c r="C343" s="77">
        <f>194.205</f>
        <v>194.20500000000001</v>
      </c>
      <c r="D343" s="77">
        <f>267.466</f>
        <v>267.46600000000001</v>
      </c>
      <c r="E343" s="86">
        <f>133.845</f>
        <v>133.845</v>
      </c>
      <c r="F343" s="77">
        <f>278.484-40-25-60-100</f>
        <v>53.48399999999998</v>
      </c>
      <c r="G343" s="80">
        <v>40</v>
      </c>
      <c r="H343" s="77">
        <f t="shared" si="52"/>
        <v>185</v>
      </c>
      <c r="I343" s="77">
        <f t="shared" si="49"/>
        <v>0</v>
      </c>
      <c r="J343" s="80">
        <v>100</v>
      </c>
      <c r="K343" s="80">
        <v>300</v>
      </c>
      <c r="L343" s="77">
        <f t="shared" si="53"/>
        <v>1274</v>
      </c>
      <c r="M343" s="88">
        <v>600</v>
      </c>
      <c r="N343" s="77">
        <f>30</f>
        <v>30</v>
      </c>
      <c r="O343" s="80">
        <v>240</v>
      </c>
      <c r="P343" s="80">
        <v>160</v>
      </c>
      <c r="Q343" s="80">
        <f t="shared" si="54"/>
        <v>195</v>
      </c>
      <c r="R343" s="80">
        <f t="shared" si="55"/>
        <v>100</v>
      </c>
      <c r="S343" s="77">
        <f t="shared" si="56"/>
        <v>695</v>
      </c>
      <c r="T343" s="77">
        <f>0</f>
        <v>0</v>
      </c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</row>
    <row r="344" spans="1:30" ht="15.75" x14ac:dyDescent="0.25">
      <c r="A344" s="33">
        <v>51409</v>
      </c>
      <c r="B344" s="90">
        <v>30</v>
      </c>
      <c r="C344" s="77">
        <f>194.205</f>
        <v>194.20500000000001</v>
      </c>
      <c r="D344" s="77">
        <f>267.466</f>
        <v>267.46600000000001</v>
      </c>
      <c r="E344" s="86">
        <f>133.845</f>
        <v>133.845</v>
      </c>
      <c r="F344" s="77">
        <f>278.484-40-25-60-100</f>
        <v>53.48399999999998</v>
      </c>
      <c r="G344" s="80">
        <v>40</v>
      </c>
      <c r="H344" s="77">
        <f t="shared" si="52"/>
        <v>185</v>
      </c>
      <c r="I344" s="77">
        <f t="shared" si="49"/>
        <v>0</v>
      </c>
      <c r="J344" s="80">
        <v>100</v>
      </c>
      <c r="K344" s="80">
        <v>300</v>
      </c>
      <c r="L344" s="77">
        <f t="shared" si="53"/>
        <v>1274</v>
      </c>
      <c r="M344" s="88">
        <v>600</v>
      </c>
      <c r="N344" s="77">
        <f>30</f>
        <v>30</v>
      </c>
      <c r="O344" s="80">
        <v>240</v>
      </c>
      <c r="P344" s="80">
        <v>160</v>
      </c>
      <c r="Q344" s="80">
        <f t="shared" si="54"/>
        <v>195</v>
      </c>
      <c r="R344" s="80">
        <f t="shared" si="55"/>
        <v>100</v>
      </c>
      <c r="S344" s="77">
        <f t="shared" si="56"/>
        <v>695</v>
      </c>
      <c r="T344" s="77">
        <f>0</f>
        <v>0</v>
      </c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</row>
    <row r="345" spans="1:30" ht="15.75" x14ac:dyDescent="0.25">
      <c r="A345" s="33">
        <v>51440</v>
      </c>
      <c r="B345" s="90">
        <v>31</v>
      </c>
      <c r="C345" s="77">
        <f>131.881</f>
        <v>131.881</v>
      </c>
      <c r="D345" s="77">
        <f>277.167</f>
        <v>277.16699999999997</v>
      </c>
      <c r="E345" s="86">
        <f>79.08</f>
        <v>79.08</v>
      </c>
      <c r="F345" s="77">
        <f>350.872-40-25-60-100</f>
        <v>125.87200000000001</v>
      </c>
      <c r="G345" s="80">
        <v>40</v>
      </c>
      <c r="H345" s="77">
        <f t="shared" si="52"/>
        <v>185</v>
      </c>
      <c r="I345" s="77">
        <f t="shared" si="49"/>
        <v>0</v>
      </c>
      <c r="J345" s="80">
        <v>100</v>
      </c>
      <c r="K345" s="80">
        <v>300</v>
      </c>
      <c r="L345" s="77">
        <f t="shared" si="53"/>
        <v>1239</v>
      </c>
      <c r="M345" s="88">
        <v>600</v>
      </c>
      <c r="N345" s="77">
        <f>75</f>
        <v>75</v>
      </c>
      <c r="O345" s="80">
        <v>240</v>
      </c>
      <c r="P345" s="80">
        <v>160</v>
      </c>
      <c r="Q345" s="80">
        <f t="shared" si="54"/>
        <v>195</v>
      </c>
      <c r="R345" s="80">
        <f t="shared" si="55"/>
        <v>100</v>
      </c>
      <c r="S345" s="77">
        <f t="shared" si="56"/>
        <v>695</v>
      </c>
      <c r="T345" s="77">
        <f>0</f>
        <v>0</v>
      </c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</row>
    <row r="346" spans="1:30" ht="15.75" x14ac:dyDescent="0.25">
      <c r="A346" s="33">
        <v>51470</v>
      </c>
      <c r="B346" s="90">
        <v>30</v>
      </c>
      <c r="C346" s="77">
        <f>122.58</f>
        <v>122.58</v>
      </c>
      <c r="D346" s="77">
        <f>297.941</f>
        <v>297.94099999999997</v>
      </c>
      <c r="E346" s="86">
        <f>89.177</f>
        <v>89.177000000000007</v>
      </c>
      <c r="F346" s="77">
        <f>240.302-40-60-100</f>
        <v>40.301999999999992</v>
      </c>
      <c r="G346" s="80">
        <v>40</v>
      </c>
      <c r="H346" s="77">
        <f>60+100</f>
        <v>160</v>
      </c>
      <c r="I346" s="77">
        <f t="shared" si="49"/>
        <v>0</v>
      </c>
      <c r="J346" s="80">
        <v>100</v>
      </c>
      <c r="K346" s="80">
        <v>300</v>
      </c>
      <c r="L346" s="77">
        <f t="shared" si="53"/>
        <v>1150</v>
      </c>
      <c r="M346" s="88">
        <v>600</v>
      </c>
      <c r="N346" s="77">
        <f>100</f>
        <v>100</v>
      </c>
      <c r="O346" s="80">
        <v>240</v>
      </c>
      <c r="P346" s="80">
        <v>40</v>
      </c>
      <c r="Q346" s="80">
        <f t="shared" si="54"/>
        <v>315</v>
      </c>
      <c r="R346" s="80">
        <f t="shared" si="55"/>
        <v>100</v>
      </c>
      <c r="S346" s="77">
        <f t="shared" si="56"/>
        <v>695</v>
      </c>
      <c r="T346" s="77">
        <f>50</f>
        <v>50</v>
      </c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</row>
    <row r="347" spans="1:30" ht="15.75" x14ac:dyDescent="0.25">
      <c r="A347" s="33">
        <v>51501</v>
      </c>
      <c r="B347" s="90">
        <v>31</v>
      </c>
      <c r="C347" s="77">
        <f>122.58</f>
        <v>122.58</v>
      </c>
      <c r="D347" s="77">
        <f>297.941</f>
        <v>297.94099999999997</v>
      </c>
      <c r="E347" s="86">
        <f>89.177</f>
        <v>89.177000000000007</v>
      </c>
      <c r="F347" s="77">
        <f>240.302-40-60-100</f>
        <v>40.301999999999992</v>
      </c>
      <c r="G347" s="80">
        <v>40</v>
      </c>
      <c r="H347" s="77">
        <f>60+100</f>
        <v>160</v>
      </c>
      <c r="I347" s="77">
        <f t="shared" si="49"/>
        <v>0</v>
      </c>
      <c r="J347" s="80">
        <v>100</v>
      </c>
      <c r="K347" s="80">
        <v>300</v>
      </c>
      <c r="L347" s="77">
        <f t="shared" si="53"/>
        <v>1150</v>
      </c>
      <c r="M347" s="88">
        <v>600</v>
      </c>
      <c r="N347" s="77">
        <f>100</f>
        <v>100</v>
      </c>
      <c r="O347" s="80">
        <v>240</v>
      </c>
      <c r="P347" s="80">
        <v>40</v>
      </c>
      <c r="Q347" s="80">
        <f t="shared" si="54"/>
        <v>315</v>
      </c>
      <c r="R347" s="80">
        <f t="shared" si="55"/>
        <v>100</v>
      </c>
      <c r="S347" s="77">
        <f t="shared" si="56"/>
        <v>695</v>
      </c>
      <c r="T347" s="77">
        <f>50</f>
        <v>50</v>
      </c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</row>
    <row r="348" spans="1:30" ht="15.75" x14ac:dyDescent="0.25">
      <c r="A348" s="33">
        <v>51532</v>
      </c>
      <c r="B348" s="90">
        <v>31</v>
      </c>
      <c r="C348" s="77">
        <f>122.58</f>
        <v>122.58</v>
      </c>
      <c r="D348" s="77">
        <f>297.941</f>
        <v>297.94099999999997</v>
      </c>
      <c r="E348" s="86">
        <f>89.177</f>
        <v>89.177000000000007</v>
      </c>
      <c r="F348" s="77">
        <f>240.302-40-60-100</f>
        <v>40.301999999999992</v>
      </c>
      <c r="G348" s="80">
        <v>40</v>
      </c>
      <c r="H348" s="77">
        <f>60+100</f>
        <v>160</v>
      </c>
      <c r="I348" s="77">
        <f t="shared" si="49"/>
        <v>0</v>
      </c>
      <c r="J348" s="80">
        <v>100</v>
      </c>
      <c r="K348" s="80">
        <v>300</v>
      </c>
      <c r="L348" s="77">
        <f t="shared" si="53"/>
        <v>1150</v>
      </c>
      <c r="M348" s="88">
        <v>600</v>
      </c>
      <c r="N348" s="77">
        <f>100</f>
        <v>100</v>
      </c>
      <c r="O348" s="80">
        <v>240</v>
      </c>
      <c r="P348" s="80">
        <v>40</v>
      </c>
      <c r="Q348" s="80">
        <f t="shared" si="54"/>
        <v>315</v>
      </c>
      <c r="R348" s="80">
        <f t="shared" si="55"/>
        <v>100</v>
      </c>
      <c r="S348" s="77">
        <f t="shared" si="56"/>
        <v>695</v>
      </c>
      <c r="T348" s="77">
        <f>50</f>
        <v>50</v>
      </c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</row>
    <row r="349" spans="1:30" ht="15.75" x14ac:dyDescent="0.25">
      <c r="A349" s="33">
        <v>51560</v>
      </c>
      <c r="B349" s="90">
        <v>28</v>
      </c>
      <c r="C349" s="77">
        <f>122.58</f>
        <v>122.58</v>
      </c>
      <c r="D349" s="77">
        <f>297.941</f>
        <v>297.94099999999997</v>
      </c>
      <c r="E349" s="86">
        <f>89.177</f>
        <v>89.177000000000007</v>
      </c>
      <c r="F349" s="77">
        <f>240.302-40-60-100</f>
        <v>40.301999999999992</v>
      </c>
      <c r="G349" s="80">
        <v>40</v>
      </c>
      <c r="H349" s="77">
        <f>60+100</f>
        <v>160</v>
      </c>
      <c r="I349" s="77">
        <f t="shared" si="49"/>
        <v>0</v>
      </c>
      <c r="J349" s="80">
        <v>100</v>
      </c>
      <c r="K349" s="80">
        <v>300</v>
      </c>
      <c r="L349" s="77">
        <f t="shared" si="53"/>
        <v>1150</v>
      </c>
      <c r="M349" s="88">
        <v>600</v>
      </c>
      <c r="N349" s="77">
        <f>100</f>
        <v>100</v>
      </c>
      <c r="O349" s="80">
        <v>240</v>
      </c>
      <c r="P349" s="80">
        <v>40</v>
      </c>
      <c r="Q349" s="80">
        <f t="shared" si="54"/>
        <v>315</v>
      </c>
      <c r="R349" s="80">
        <f t="shared" si="55"/>
        <v>100</v>
      </c>
      <c r="S349" s="77">
        <f t="shared" si="56"/>
        <v>695</v>
      </c>
      <c r="T349" s="77">
        <f>50</f>
        <v>50</v>
      </c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</row>
    <row r="350" spans="1:30" ht="15.75" x14ac:dyDescent="0.25">
      <c r="A350" s="33">
        <v>51591</v>
      </c>
      <c r="B350" s="90">
        <v>31</v>
      </c>
      <c r="C350" s="77">
        <f>122.58</f>
        <v>122.58</v>
      </c>
      <c r="D350" s="77">
        <f>297.941</f>
        <v>297.94099999999997</v>
      </c>
      <c r="E350" s="86">
        <f>89.177</f>
        <v>89.177000000000007</v>
      </c>
      <c r="F350" s="77">
        <f>240.302-40-60-100</f>
        <v>40.301999999999992</v>
      </c>
      <c r="G350" s="80">
        <v>40</v>
      </c>
      <c r="H350" s="77">
        <f>60+100</f>
        <v>160</v>
      </c>
      <c r="I350" s="77">
        <f t="shared" si="49"/>
        <v>0</v>
      </c>
      <c r="J350" s="80">
        <v>100</v>
      </c>
      <c r="K350" s="80">
        <v>300</v>
      </c>
      <c r="L350" s="77">
        <f t="shared" si="53"/>
        <v>1150</v>
      </c>
      <c r="M350" s="88">
        <v>600</v>
      </c>
      <c r="N350" s="77">
        <f>100</f>
        <v>100</v>
      </c>
      <c r="O350" s="80">
        <v>240</v>
      </c>
      <c r="P350" s="80">
        <v>40</v>
      </c>
      <c r="Q350" s="80">
        <f t="shared" si="54"/>
        <v>315</v>
      </c>
      <c r="R350" s="80">
        <f t="shared" si="55"/>
        <v>100</v>
      </c>
      <c r="S350" s="77">
        <f t="shared" si="56"/>
        <v>695</v>
      </c>
      <c r="T350" s="77">
        <f>50</f>
        <v>50</v>
      </c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</row>
    <row r="351" spans="1:30" ht="15.75" x14ac:dyDescent="0.25">
      <c r="A351" s="33">
        <v>51621</v>
      </c>
      <c r="B351" s="90">
        <v>30</v>
      </c>
      <c r="C351" s="77">
        <f>141.293</f>
        <v>141.29300000000001</v>
      </c>
      <c r="D351" s="77">
        <f>267.993</f>
        <v>267.99299999999999</v>
      </c>
      <c r="E351" s="86">
        <f>115.016</f>
        <v>115.01600000000001</v>
      </c>
      <c r="F351" s="77">
        <f>314.698-40-25-60-100</f>
        <v>89.697999999999979</v>
      </c>
      <c r="G351" s="80">
        <v>40</v>
      </c>
      <c r="H351" s="77">
        <f t="shared" ref="H351:H357" si="57">25+60+100</f>
        <v>185</v>
      </c>
      <c r="I351" s="77">
        <f t="shared" si="49"/>
        <v>0</v>
      </c>
      <c r="J351" s="80">
        <v>100</v>
      </c>
      <c r="K351" s="80">
        <v>300</v>
      </c>
      <c r="L351" s="77">
        <f t="shared" si="53"/>
        <v>1239</v>
      </c>
      <c r="M351" s="88">
        <v>600</v>
      </c>
      <c r="N351" s="77">
        <f>100</f>
        <v>100</v>
      </c>
      <c r="O351" s="80">
        <v>240</v>
      </c>
      <c r="P351" s="80">
        <v>160</v>
      </c>
      <c r="Q351" s="80">
        <f t="shared" si="54"/>
        <v>195</v>
      </c>
      <c r="R351" s="80">
        <f t="shared" si="55"/>
        <v>100</v>
      </c>
      <c r="S351" s="77">
        <f t="shared" si="56"/>
        <v>695</v>
      </c>
      <c r="T351" s="77">
        <f>50</f>
        <v>50</v>
      </c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</row>
    <row r="352" spans="1:30" ht="15.75" x14ac:dyDescent="0.25">
      <c r="A352" s="33">
        <v>51652</v>
      </c>
      <c r="B352" s="90">
        <v>31</v>
      </c>
      <c r="C352" s="77">
        <f>194.205</f>
        <v>194.20500000000001</v>
      </c>
      <c r="D352" s="77">
        <f>267.466</f>
        <v>267.46600000000001</v>
      </c>
      <c r="E352" s="86">
        <f>133.845</f>
        <v>133.845</v>
      </c>
      <c r="F352" s="77">
        <f>278.484-40-25-60-100</f>
        <v>53.48399999999998</v>
      </c>
      <c r="G352" s="80">
        <v>40</v>
      </c>
      <c r="H352" s="77">
        <f t="shared" si="57"/>
        <v>185</v>
      </c>
      <c r="I352" s="77">
        <f t="shared" si="49"/>
        <v>0</v>
      </c>
      <c r="J352" s="80">
        <v>100</v>
      </c>
      <c r="K352" s="80">
        <v>300</v>
      </c>
      <c r="L352" s="77">
        <f t="shared" si="53"/>
        <v>1274</v>
      </c>
      <c r="M352" s="88">
        <v>600</v>
      </c>
      <c r="N352" s="77">
        <f>75</f>
        <v>75</v>
      </c>
      <c r="O352" s="80">
        <v>240</v>
      </c>
      <c r="P352" s="80">
        <v>160</v>
      </c>
      <c r="Q352" s="80">
        <f t="shared" si="54"/>
        <v>195</v>
      </c>
      <c r="R352" s="80">
        <f t="shared" si="55"/>
        <v>100</v>
      </c>
      <c r="S352" s="77">
        <f t="shared" si="56"/>
        <v>695</v>
      </c>
      <c r="T352" s="77">
        <f>50</f>
        <v>50</v>
      </c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</row>
    <row r="353" spans="1:30" ht="15.75" x14ac:dyDescent="0.25">
      <c r="A353" s="33">
        <v>51682</v>
      </c>
      <c r="B353" s="90">
        <v>30</v>
      </c>
      <c r="C353" s="77">
        <f>194.205</f>
        <v>194.20500000000001</v>
      </c>
      <c r="D353" s="77">
        <f>267.466</f>
        <v>267.46600000000001</v>
      </c>
      <c r="E353" s="86">
        <f>133.845</f>
        <v>133.845</v>
      </c>
      <c r="F353" s="77">
        <f>278.484-40-25-60-100</f>
        <v>53.48399999999998</v>
      </c>
      <c r="G353" s="80">
        <v>40</v>
      </c>
      <c r="H353" s="77">
        <f t="shared" si="57"/>
        <v>185</v>
      </c>
      <c r="I353" s="77">
        <f t="shared" si="49"/>
        <v>0</v>
      </c>
      <c r="J353" s="80">
        <v>100</v>
      </c>
      <c r="K353" s="80">
        <v>300</v>
      </c>
      <c r="L353" s="77">
        <f t="shared" si="53"/>
        <v>1274</v>
      </c>
      <c r="M353" s="88">
        <v>600</v>
      </c>
      <c r="N353" s="77">
        <f>30</f>
        <v>30</v>
      </c>
      <c r="O353" s="80">
        <v>240</v>
      </c>
      <c r="P353" s="80">
        <v>160</v>
      </c>
      <c r="Q353" s="80">
        <f t="shared" si="54"/>
        <v>195</v>
      </c>
      <c r="R353" s="80">
        <f t="shared" si="55"/>
        <v>100</v>
      </c>
      <c r="S353" s="77">
        <f t="shared" si="56"/>
        <v>695</v>
      </c>
      <c r="T353" s="77">
        <f>50</f>
        <v>50</v>
      </c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</row>
    <row r="354" spans="1:30" ht="15.75" x14ac:dyDescent="0.25">
      <c r="A354" s="33">
        <v>51713</v>
      </c>
      <c r="B354" s="90">
        <v>31</v>
      </c>
      <c r="C354" s="77">
        <f>194.205</f>
        <v>194.20500000000001</v>
      </c>
      <c r="D354" s="77">
        <f>267.466</f>
        <v>267.46600000000001</v>
      </c>
      <c r="E354" s="86">
        <f>133.845</f>
        <v>133.845</v>
      </c>
      <c r="F354" s="77">
        <f>278.484-40-25-60-100</f>
        <v>53.48399999999998</v>
      </c>
      <c r="G354" s="80">
        <v>40</v>
      </c>
      <c r="H354" s="77">
        <f t="shared" si="57"/>
        <v>185</v>
      </c>
      <c r="I354" s="77">
        <f t="shared" si="49"/>
        <v>0</v>
      </c>
      <c r="J354" s="80">
        <v>100</v>
      </c>
      <c r="K354" s="80">
        <v>300</v>
      </c>
      <c r="L354" s="77">
        <f t="shared" si="53"/>
        <v>1274</v>
      </c>
      <c r="M354" s="88">
        <v>600</v>
      </c>
      <c r="N354" s="77">
        <f>30</f>
        <v>30</v>
      </c>
      <c r="O354" s="80">
        <v>240</v>
      </c>
      <c r="P354" s="80">
        <v>160</v>
      </c>
      <c r="Q354" s="80">
        <f t="shared" si="54"/>
        <v>195</v>
      </c>
      <c r="R354" s="80">
        <f t="shared" si="55"/>
        <v>100</v>
      </c>
      <c r="S354" s="77">
        <f t="shared" si="56"/>
        <v>695</v>
      </c>
      <c r="T354" s="77">
        <f>0</f>
        <v>0</v>
      </c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</row>
    <row r="355" spans="1:30" ht="15.75" x14ac:dyDescent="0.25">
      <c r="A355" s="33">
        <v>51744</v>
      </c>
      <c r="B355" s="90">
        <v>31</v>
      </c>
      <c r="C355" s="77">
        <f>194.205</f>
        <v>194.20500000000001</v>
      </c>
      <c r="D355" s="77">
        <f>267.466</f>
        <v>267.46600000000001</v>
      </c>
      <c r="E355" s="86">
        <f>133.845</f>
        <v>133.845</v>
      </c>
      <c r="F355" s="77">
        <f>278.484-40-25-60-100</f>
        <v>53.48399999999998</v>
      </c>
      <c r="G355" s="80">
        <v>40</v>
      </c>
      <c r="H355" s="77">
        <f t="shared" si="57"/>
        <v>185</v>
      </c>
      <c r="I355" s="77">
        <f t="shared" si="49"/>
        <v>0</v>
      </c>
      <c r="J355" s="80">
        <v>100</v>
      </c>
      <c r="K355" s="80">
        <v>300</v>
      </c>
      <c r="L355" s="77">
        <f t="shared" si="53"/>
        <v>1274</v>
      </c>
      <c r="M355" s="88">
        <v>600</v>
      </c>
      <c r="N355" s="77">
        <f>30</f>
        <v>30</v>
      </c>
      <c r="O355" s="80">
        <v>240</v>
      </c>
      <c r="P355" s="80">
        <v>160</v>
      </c>
      <c r="Q355" s="80">
        <f t="shared" si="54"/>
        <v>195</v>
      </c>
      <c r="R355" s="80">
        <f t="shared" si="55"/>
        <v>100</v>
      </c>
      <c r="S355" s="77">
        <f t="shared" si="56"/>
        <v>695</v>
      </c>
      <c r="T355" s="77">
        <f>0</f>
        <v>0</v>
      </c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</row>
    <row r="356" spans="1:30" ht="15.75" x14ac:dyDescent="0.25">
      <c r="A356" s="33">
        <v>51774</v>
      </c>
      <c r="B356" s="90">
        <v>30</v>
      </c>
      <c r="C356" s="77">
        <f>194.205</f>
        <v>194.20500000000001</v>
      </c>
      <c r="D356" s="77">
        <f>267.466</f>
        <v>267.46600000000001</v>
      </c>
      <c r="E356" s="86">
        <f>133.845</f>
        <v>133.845</v>
      </c>
      <c r="F356" s="77">
        <f>278.484-40-25-60-100</f>
        <v>53.48399999999998</v>
      </c>
      <c r="G356" s="80">
        <v>40</v>
      </c>
      <c r="H356" s="77">
        <f t="shared" si="57"/>
        <v>185</v>
      </c>
      <c r="I356" s="77">
        <f t="shared" si="49"/>
        <v>0</v>
      </c>
      <c r="J356" s="80">
        <v>100</v>
      </c>
      <c r="K356" s="80">
        <v>300</v>
      </c>
      <c r="L356" s="77">
        <f t="shared" si="53"/>
        <v>1274</v>
      </c>
      <c r="M356" s="88">
        <v>600</v>
      </c>
      <c r="N356" s="77">
        <f>30</f>
        <v>30</v>
      </c>
      <c r="O356" s="80">
        <v>240</v>
      </c>
      <c r="P356" s="80">
        <v>160</v>
      </c>
      <c r="Q356" s="80">
        <f t="shared" si="54"/>
        <v>195</v>
      </c>
      <c r="R356" s="80">
        <f t="shared" si="55"/>
        <v>100</v>
      </c>
      <c r="S356" s="77">
        <f t="shared" si="56"/>
        <v>695</v>
      </c>
      <c r="T356" s="77">
        <f>0</f>
        <v>0</v>
      </c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</row>
    <row r="357" spans="1:30" ht="15.75" x14ac:dyDescent="0.25">
      <c r="A357" s="33">
        <v>51805</v>
      </c>
      <c r="B357" s="90">
        <v>31</v>
      </c>
      <c r="C357" s="77">
        <f>131.881</f>
        <v>131.881</v>
      </c>
      <c r="D357" s="77">
        <f>277.167</f>
        <v>277.16699999999997</v>
      </c>
      <c r="E357" s="86">
        <f>79.08</f>
        <v>79.08</v>
      </c>
      <c r="F357" s="77">
        <f>350.872-40-25-60-100</f>
        <v>125.87200000000001</v>
      </c>
      <c r="G357" s="80">
        <v>40</v>
      </c>
      <c r="H357" s="77">
        <f t="shared" si="57"/>
        <v>185</v>
      </c>
      <c r="I357" s="77">
        <f t="shared" si="49"/>
        <v>0</v>
      </c>
      <c r="J357" s="80">
        <v>100</v>
      </c>
      <c r="K357" s="80">
        <v>300</v>
      </c>
      <c r="L357" s="77">
        <f t="shared" si="53"/>
        <v>1239</v>
      </c>
      <c r="M357" s="88">
        <v>600</v>
      </c>
      <c r="N357" s="77">
        <f>75</f>
        <v>75</v>
      </c>
      <c r="O357" s="80">
        <v>240</v>
      </c>
      <c r="P357" s="80">
        <v>160</v>
      </c>
      <c r="Q357" s="80">
        <f t="shared" si="54"/>
        <v>195</v>
      </c>
      <c r="R357" s="80">
        <f t="shared" si="55"/>
        <v>100</v>
      </c>
      <c r="S357" s="77">
        <f t="shared" si="56"/>
        <v>695</v>
      </c>
      <c r="T357" s="77">
        <f>0</f>
        <v>0</v>
      </c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</row>
    <row r="358" spans="1:30" ht="15.75" x14ac:dyDescent="0.25">
      <c r="A358" s="33">
        <v>51835</v>
      </c>
      <c r="B358" s="90">
        <v>30</v>
      </c>
      <c r="C358" s="77">
        <f>122.58</f>
        <v>122.58</v>
      </c>
      <c r="D358" s="77">
        <f>297.941</f>
        <v>297.94099999999997</v>
      </c>
      <c r="E358" s="86">
        <f>89.177</f>
        <v>89.177000000000007</v>
      </c>
      <c r="F358" s="77">
        <f>240.302-40-60-100</f>
        <v>40.301999999999992</v>
      </c>
      <c r="G358" s="80">
        <v>40</v>
      </c>
      <c r="H358" s="77">
        <f>60+100</f>
        <v>160</v>
      </c>
      <c r="I358" s="77">
        <f t="shared" si="49"/>
        <v>0</v>
      </c>
      <c r="J358" s="80">
        <v>100</v>
      </c>
      <c r="K358" s="80">
        <v>300</v>
      </c>
      <c r="L358" s="77">
        <f t="shared" si="53"/>
        <v>1150</v>
      </c>
      <c r="M358" s="88">
        <v>600</v>
      </c>
      <c r="N358" s="77">
        <f>100</f>
        <v>100</v>
      </c>
      <c r="O358" s="80">
        <v>240</v>
      </c>
      <c r="P358" s="80">
        <v>40</v>
      </c>
      <c r="Q358" s="80">
        <f t="shared" si="54"/>
        <v>315</v>
      </c>
      <c r="R358" s="80">
        <f t="shared" si="55"/>
        <v>100</v>
      </c>
      <c r="S358" s="77">
        <f t="shared" si="56"/>
        <v>695</v>
      </c>
      <c r="T358" s="77">
        <f>50</f>
        <v>50</v>
      </c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</row>
    <row r="359" spans="1:30" ht="15.75" x14ac:dyDescent="0.25">
      <c r="A359" s="33">
        <v>51866</v>
      </c>
      <c r="B359" s="90">
        <v>31</v>
      </c>
      <c r="C359" s="77">
        <f>122.58</f>
        <v>122.58</v>
      </c>
      <c r="D359" s="77">
        <f>297.941</f>
        <v>297.94099999999997</v>
      </c>
      <c r="E359" s="86">
        <f>89.177</f>
        <v>89.177000000000007</v>
      </c>
      <c r="F359" s="77">
        <f>240.302-40-60-100</f>
        <v>40.301999999999992</v>
      </c>
      <c r="G359" s="80">
        <v>40</v>
      </c>
      <c r="H359" s="77">
        <f>60+100</f>
        <v>160</v>
      </c>
      <c r="I359" s="77">
        <f t="shared" si="49"/>
        <v>0</v>
      </c>
      <c r="J359" s="80">
        <v>100</v>
      </c>
      <c r="K359" s="80">
        <v>300</v>
      </c>
      <c r="L359" s="77">
        <f t="shared" si="53"/>
        <v>1150</v>
      </c>
      <c r="M359" s="88">
        <v>600</v>
      </c>
      <c r="N359" s="77">
        <f>100</f>
        <v>100</v>
      </c>
      <c r="O359" s="80">
        <v>240</v>
      </c>
      <c r="P359" s="80">
        <v>40</v>
      </c>
      <c r="Q359" s="80">
        <f t="shared" si="54"/>
        <v>315</v>
      </c>
      <c r="R359" s="80">
        <f t="shared" si="55"/>
        <v>100</v>
      </c>
      <c r="S359" s="77">
        <f t="shared" si="56"/>
        <v>695</v>
      </c>
      <c r="T359" s="77">
        <f>50</f>
        <v>50</v>
      </c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</row>
    <row r="360" spans="1:30" ht="15.75" x14ac:dyDescent="0.25">
      <c r="A360" s="33">
        <v>51897</v>
      </c>
      <c r="B360" s="90">
        <v>31</v>
      </c>
      <c r="C360" s="77">
        <f>122.58</f>
        <v>122.58</v>
      </c>
      <c r="D360" s="77">
        <f>297.941</f>
        <v>297.94099999999997</v>
      </c>
      <c r="E360" s="86">
        <f>89.177</f>
        <v>89.177000000000007</v>
      </c>
      <c r="F360" s="77">
        <f>240.302-40-60-100</f>
        <v>40.301999999999992</v>
      </c>
      <c r="G360" s="80">
        <v>40</v>
      </c>
      <c r="H360" s="77">
        <f>60+100</f>
        <v>160</v>
      </c>
      <c r="I360" s="77">
        <f t="shared" si="49"/>
        <v>0</v>
      </c>
      <c r="J360" s="80">
        <v>100</v>
      </c>
      <c r="K360" s="80">
        <v>300</v>
      </c>
      <c r="L360" s="77">
        <f t="shared" si="53"/>
        <v>1150</v>
      </c>
      <c r="M360" s="88">
        <v>600</v>
      </c>
      <c r="N360" s="77">
        <f>100</f>
        <v>100</v>
      </c>
      <c r="O360" s="80">
        <v>240</v>
      </c>
      <c r="P360" s="80">
        <v>40</v>
      </c>
      <c r="Q360" s="80">
        <f t="shared" si="54"/>
        <v>315</v>
      </c>
      <c r="R360" s="80">
        <f t="shared" si="55"/>
        <v>100</v>
      </c>
      <c r="S360" s="77">
        <f t="shared" si="56"/>
        <v>695</v>
      </c>
      <c r="T360" s="77">
        <f>50</f>
        <v>50</v>
      </c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</row>
    <row r="361" spans="1:30" ht="15.75" x14ac:dyDescent="0.25">
      <c r="A361" s="33">
        <v>51925</v>
      </c>
      <c r="B361" s="90">
        <v>28</v>
      </c>
      <c r="C361" s="77">
        <f>122.58</f>
        <v>122.58</v>
      </c>
      <c r="D361" s="77">
        <f>297.941</f>
        <v>297.94099999999997</v>
      </c>
      <c r="E361" s="86">
        <f>89.177</f>
        <v>89.177000000000007</v>
      </c>
      <c r="F361" s="77">
        <f>240.302-40-60-100</f>
        <v>40.301999999999992</v>
      </c>
      <c r="G361" s="80">
        <v>40</v>
      </c>
      <c r="H361" s="77">
        <f>60+100</f>
        <v>160</v>
      </c>
      <c r="I361" s="77">
        <f t="shared" si="49"/>
        <v>0</v>
      </c>
      <c r="J361" s="80">
        <v>100</v>
      </c>
      <c r="K361" s="80">
        <v>300</v>
      </c>
      <c r="L361" s="77">
        <f t="shared" si="53"/>
        <v>1150</v>
      </c>
      <c r="M361" s="88">
        <v>600</v>
      </c>
      <c r="N361" s="77">
        <f>100</f>
        <v>100</v>
      </c>
      <c r="O361" s="80">
        <v>240</v>
      </c>
      <c r="P361" s="80">
        <v>40</v>
      </c>
      <c r="Q361" s="80">
        <f t="shared" si="54"/>
        <v>315</v>
      </c>
      <c r="R361" s="80">
        <f t="shared" si="55"/>
        <v>100</v>
      </c>
      <c r="S361" s="77">
        <f t="shared" si="56"/>
        <v>695</v>
      </c>
      <c r="T361" s="77">
        <f>50</f>
        <v>50</v>
      </c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</row>
    <row r="362" spans="1:30" ht="15.75" x14ac:dyDescent="0.25">
      <c r="A362" s="33">
        <v>51956</v>
      </c>
      <c r="B362" s="90">
        <v>31</v>
      </c>
      <c r="C362" s="77">
        <f>122.58</f>
        <v>122.58</v>
      </c>
      <c r="D362" s="77">
        <f>297.941</f>
        <v>297.94099999999997</v>
      </c>
      <c r="E362" s="86">
        <f>89.177</f>
        <v>89.177000000000007</v>
      </c>
      <c r="F362" s="77">
        <f>240.302-40-60-100</f>
        <v>40.301999999999992</v>
      </c>
      <c r="G362" s="80">
        <v>40</v>
      </c>
      <c r="H362" s="77">
        <f>60+100</f>
        <v>160</v>
      </c>
      <c r="I362" s="77">
        <f t="shared" si="49"/>
        <v>0</v>
      </c>
      <c r="J362" s="80">
        <v>100</v>
      </c>
      <c r="K362" s="80">
        <v>300</v>
      </c>
      <c r="L362" s="77">
        <f t="shared" si="53"/>
        <v>1150</v>
      </c>
      <c r="M362" s="88">
        <v>600</v>
      </c>
      <c r="N362" s="77">
        <f>100</f>
        <v>100</v>
      </c>
      <c r="O362" s="80">
        <v>240</v>
      </c>
      <c r="P362" s="80">
        <v>40</v>
      </c>
      <c r="Q362" s="80">
        <f t="shared" si="54"/>
        <v>315</v>
      </c>
      <c r="R362" s="80">
        <f t="shared" si="55"/>
        <v>100</v>
      </c>
      <c r="S362" s="77">
        <f t="shared" si="56"/>
        <v>695</v>
      </c>
      <c r="T362" s="77">
        <f>50</f>
        <v>50</v>
      </c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</row>
    <row r="363" spans="1:30" ht="15.75" x14ac:dyDescent="0.25">
      <c r="A363" s="33">
        <v>51986</v>
      </c>
      <c r="B363" s="90">
        <v>30</v>
      </c>
      <c r="C363" s="77">
        <f>141.293</f>
        <v>141.29300000000001</v>
      </c>
      <c r="D363" s="77">
        <f>267.993</f>
        <v>267.99299999999999</v>
      </c>
      <c r="E363" s="86">
        <f>115.016</f>
        <v>115.01600000000001</v>
      </c>
      <c r="F363" s="77">
        <f>314.698-40-25-60-100</f>
        <v>89.697999999999979</v>
      </c>
      <c r="G363" s="80">
        <v>40</v>
      </c>
      <c r="H363" s="77">
        <f t="shared" ref="H363:H369" si="58">25+60+100</f>
        <v>185</v>
      </c>
      <c r="I363" s="77">
        <f t="shared" si="49"/>
        <v>0</v>
      </c>
      <c r="J363" s="80">
        <v>100</v>
      </c>
      <c r="K363" s="80">
        <v>300</v>
      </c>
      <c r="L363" s="77">
        <f t="shared" si="53"/>
        <v>1239</v>
      </c>
      <c r="M363" s="88">
        <v>600</v>
      </c>
      <c r="N363" s="77">
        <f>100</f>
        <v>100</v>
      </c>
      <c r="O363" s="80">
        <v>240</v>
      </c>
      <c r="P363" s="80">
        <v>160</v>
      </c>
      <c r="Q363" s="80">
        <f t="shared" si="54"/>
        <v>195</v>
      </c>
      <c r="R363" s="80">
        <f t="shared" si="55"/>
        <v>100</v>
      </c>
      <c r="S363" s="77">
        <f t="shared" si="56"/>
        <v>695</v>
      </c>
      <c r="T363" s="77">
        <f>50</f>
        <v>50</v>
      </c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</row>
    <row r="364" spans="1:30" ht="15.75" x14ac:dyDescent="0.25">
      <c r="A364" s="33">
        <v>52017</v>
      </c>
      <c r="B364" s="90">
        <v>31</v>
      </c>
      <c r="C364" s="77">
        <f>194.205</f>
        <v>194.20500000000001</v>
      </c>
      <c r="D364" s="77">
        <f>267.466</f>
        <v>267.46600000000001</v>
      </c>
      <c r="E364" s="86">
        <f>133.845</f>
        <v>133.845</v>
      </c>
      <c r="F364" s="77">
        <f>278.484-40-25-60-100</f>
        <v>53.48399999999998</v>
      </c>
      <c r="G364" s="80">
        <v>40</v>
      </c>
      <c r="H364" s="77">
        <f t="shared" si="58"/>
        <v>185</v>
      </c>
      <c r="I364" s="77">
        <f t="shared" si="49"/>
        <v>0</v>
      </c>
      <c r="J364" s="80">
        <v>100</v>
      </c>
      <c r="K364" s="80">
        <v>300</v>
      </c>
      <c r="L364" s="77">
        <f t="shared" si="53"/>
        <v>1274</v>
      </c>
      <c r="M364" s="88">
        <v>600</v>
      </c>
      <c r="N364" s="77">
        <f>75</f>
        <v>75</v>
      </c>
      <c r="O364" s="80">
        <v>240</v>
      </c>
      <c r="P364" s="80">
        <v>160</v>
      </c>
      <c r="Q364" s="80">
        <f t="shared" si="54"/>
        <v>195</v>
      </c>
      <c r="R364" s="80">
        <f t="shared" si="55"/>
        <v>100</v>
      </c>
      <c r="S364" s="77">
        <f t="shared" si="56"/>
        <v>695</v>
      </c>
      <c r="T364" s="77">
        <f>50</f>
        <v>50</v>
      </c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</row>
    <row r="365" spans="1:30" ht="15.75" x14ac:dyDescent="0.25">
      <c r="A365" s="33">
        <v>52047</v>
      </c>
      <c r="B365" s="90">
        <v>30</v>
      </c>
      <c r="C365" s="77">
        <f>194.205</f>
        <v>194.20500000000001</v>
      </c>
      <c r="D365" s="77">
        <f>267.466</f>
        <v>267.46600000000001</v>
      </c>
      <c r="E365" s="86">
        <f>133.845</f>
        <v>133.845</v>
      </c>
      <c r="F365" s="77">
        <f>278.484-40-25-60-100</f>
        <v>53.48399999999998</v>
      </c>
      <c r="G365" s="80">
        <v>40</v>
      </c>
      <c r="H365" s="77">
        <f t="shared" si="58"/>
        <v>185</v>
      </c>
      <c r="I365" s="77">
        <f t="shared" si="49"/>
        <v>0</v>
      </c>
      <c r="J365" s="80">
        <v>100</v>
      </c>
      <c r="K365" s="80">
        <v>300</v>
      </c>
      <c r="L365" s="77">
        <f t="shared" si="53"/>
        <v>1274</v>
      </c>
      <c r="M365" s="88">
        <v>600</v>
      </c>
      <c r="N365" s="77">
        <f>30</f>
        <v>30</v>
      </c>
      <c r="O365" s="80">
        <v>240</v>
      </c>
      <c r="P365" s="80">
        <v>160</v>
      </c>
      <c r="Q365" s="80">
        <f t="shared" si="54"/>
        <v>195</v>
      </c>
      <c r="R365" s="80">
        <f t="shared" si="55"/>
        <v>100</v>
      </c>
      <c r="S365" s="77">
        <f t="shared" si="56"/>
        <v>695</v>
      </c>
      <c r="T365" s="77">
        <f>50</f>
        <v>50</v>
      </c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</row>
    <row r="366" spans="1:30" ht="15.75" x14ac:dyDescent="0.25">
      <c r="A366" s="33">
        <v>52078</v>
      </c>
      <c r="B366" s="90">
        <v>31</v>
      </c>
      <c r="C366" s="77">
        <f>194.205</f>
        <v>194.20500000000001</v>
      </c>
      <c r="D366" s="77">
        <f>267.466</f>
        <v>267.46600000000001</v>
      </c>
      <c r="E366" s="86">
        <f>133.845</f>
        <v>133.845</v>
      </c>
      <c r="F366" s="77">
        <f>278.484-40-25-60-100</f>
        <v>53.48399999999998</v>
      </c>
      <c r="G366" s="80">
        <v>40</v>
      </c>
      <c r="H366" s="77">
        <f t="shared" si="58"/>
        <v>185</v>
      </c>
      <c r="I366" s="77">
        <f t="shared" si="49"/>
        <v>0</v>
      </c>
      <c r="J366" s="80">
        <v>100</v>
      </c>
      <c r="K366" s="80">
        <v>300</v>
      </c>
      <c r="L366" s="77">
        <f t="shared" si="53"/>
        <v>1274</v>
      </c>
      <c r="M366" s="88">
        <v>600</v>
      </c>
      <c r="N366" s="77">
        <f>30</f>
        <v>30</v>
      </c>
      <c r="O366" s="80">
        <v>240</v>
      </c>
      <c r="P366" s="80">
        <v>160</v>
      </c>
      <c r="Q366" s="80">
        <f t="shared" si="54"/>
        <v>195</v>
      </c>
      <c r="R366" s="80">
        <f t="shared" si="55"/>
        <v>100</v>
      </c>
      <c r="S366" s="77">
        <f t="shared" si="56"/>
        <v>695</v>
      </c>
      <c r="T366" s="77">
        <f>0</f>
        <v>0</v>
      </c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</row>
    <row r="367" spans="1:30" ht="15.75" x14ac:dyDescent="0.25">
      <c r="A367" s="33">
        <v>52109</v>
      </c>
      <c r="B367" s="90">
        <v>31</v>
      </c>
      <c r="C367" s="77">
        <f>194.205</f>
        <v>194.20500000000001</v>
      </c>
      <c r="D367" s="77">
        <f>267.466</f>
        <v>267.46600000000001</v>
      </c>
      <c r="E367" s="86">
        <f>133.845</f>
        <v>133.845</v>
      </c>
      <c r="F367" s="77">
        <f>278.484-40-25-60-100</f>
        <v>53.48399999999998</v>
      </c>
      <c r="G367" s="80">
        <v>40</v>
      </c>
      <c r="H367" s="77">
        <f t="shared" si="58"/>
        <v>185</v>
      </c>
      <c r="I367" s="77">
        <f t="shared" si="49"/>
        <v>0</v>
      </c>
      <c r="J367" s="80">
        <v>100</v>
      </c>
      <c r="K367" s="80">
        <v>300</v>
      </c>
      <c r="L367" s="77">
        <f t="shared" si="53"/>
        <v>1274</v>
      </c>
      <c r="M367" s="88">
        <v>600</v>
      </c>
      <c r="N367" s="77">
        <f>30</f>
        <v>30</v>
      </c>
      <c r="O367" s="80">
        <v>240</v>
      </c>
      <c r="P367" s="80">
        <v>160</v>
      </c>
      <c r="Q367" s="80">
        <f t="shared" si="54"/>
        <v>195</v>
      </c>
      <c r="R367" s="80">
        <f t="shared" si="55"/>
        <v>100</v>
      </c>
      <c r="S367" s="77">
        <f t="shared" si="56"/>
        <v>695</v>
      </c>
      <c r="T367" s="77">
        <f>0</f>
        <v>0</v>
      </c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</row>
    <row r="368" spans="1:30" ht="15.75" x14ac:dyDescent="0.25">
      <c r="A368" s="33">
        <v>52139</v>
      </c>
      <c r="B368" s="90">
        <v>30</v>
      </c>
      <c r="C368" s="77">
        <f>194.205</f>
        <v>194.20500000000001</v>
      </c>
      <c r="D368" s="77">
        <f>267.466</f>
        <v>267.46600000000001</v>
      </c>
      <c r="E368" s="86">
        <f>133.845</f>
        <v>133.845</v>
      </c>
      <c r="F368" s="77">
        <f>278.484-40-25-60-100</f>
        <v>53.48399999999998</v>
      </c>
      <c r="G368" s="80">
        <v>40</v>
      </c>
      <c r="H368" s="77">
        <f t="shared" si="58"/>
        <v>185</v>
      </c>
      <c r="I368" s="77">
        <f t="shared" si="49"/>
        <v>0</v>
      </c>
      <c r="J368" s="80">
        <v>100</v>
      </c>
      <c r="K368" s="80">
        <v>300</v>
      </c>
      <c r="L368" s="77">
        <f t="shared" si="53"/>
        <v>1274</v>
      </c>
      <c r="M368" s="88">
        <v>600</v>
      </c>
      <c r="N368" s="77">
        <f>30</f>
        <v>30</v>
      </c>
      <c r="O368" s="80">
        <v>240</v>
      </c>
      <c r="P368" s="80">
        <v>160</v>
      </c>
      <c r="Q368" s="80">
        <f t="shared" si="54"/>
        <v>195</v>
      </c>
      <c r="R368" s="80">
        <f t="shared" si="55"/>
        <v>100</v>
      </c>
      <c r="S368" s="77">
        <f t="shared" si="56"/>
        <v>695</v>
      </c>
      <c r="T368" s="77">
        <f>0</f>
        <v>0</v>
      </c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</row>
    <row r="369" spans="1:30" ht="15.75" x14ac:dyDescent="0.25">
      <c r="A369" s="33">
        <v>52170</v>
      </c>
      <c r="B369" s="90">
        <v>31</v>
      </c>
      <c r="C369" s="77">
        <f>131.881</f>
        <v>131.881</v>
      </c>
      <c r="D369" s="77">
        <f>277.167</f>
        <v>277.16699999999997</v>
      </c>
      <c r="E369" s="86">
        <f>79.08</f>
        <v>79.08</v>
      </c>
      <c r="F369" s="77">
        <f>350.872-40-25-60-100</f>
        <v>125.87200000000001</v>
      </c>
      <c r="G369" s="80">
        <v>40</v>
      </c>
      <c r="H369" s="77">
        <f t="shared" si="58"/>
        <v>185</v>
      </c>
      <c r="I369" s="77">
        <f t="shared" si="49"/>
        <v>0</v>
      </c>
      <c r="J369" s="80">
        <v>100</v>
      </c>
      <c r="K369" s="80">
        <v>300</v>
      </c>
      <c r="L369" s="77">
        <f t="shared" si="53"/>
        <v>1239</v>
      </c>
      <c r="M369" s="88">
        <v>600</v>
      </c>
      <c r="N369" s="77">
        <f>75</f>
        <v>75</v>
      </c>
      <c r="O369" s="80">
        <v>240</v>
      </c>
      <c r="P369" s="80">
        <v>160</v>
      </c>
      <c r="Q369" s="80">
        <f t="shared" si="54"/>
        <v>195</v>
      </c>
      <c r="R369" s="80">
        <f t="shared" si="55"/>
        <v>100</v>
      </c>
      <c r="S369" s="77">
        <f t="shared" si="56"/>
        <v>695</v>
      </c>
      <c r="T369" s="77">
        <f>0</f>
        <v>0</v>
      </c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</row>
    <row r="370" spans="1:30" ht="15.75" x14ac:dyDescent="0.25">
      <c r="A370" s="33">
        <v>52200</v>
      </c>
      <c r="B370" s="90">
        <v>30</v>
      </c>
      <c r="C370" s="77">
        <f>122.58</f>
        <v>122.58</v>
      </c>
      <c r="D370" s="77">
        <f>297.941</f>
        <v>297.94099999999997</v>
      </c>
      <c r="E370" s="86">
        <f>89.177</f>
        <v>89.177000000000007</v>
      </c>
      <c r="F370" s="77">
        <f>240.302-40-60-100</f>
        <v>40.301999999999992</v>
      </c>
      <c r="G370" s="80">
        <v>40</v>
      </c>
      <c r="H370" s="77">
        <f>60+100</f>
        <v>160</v>
      </c>
      <c r="I370" s="77">
        <f t="shared" si="49"/>
        <v>0</v>
      </c>
      <c r="J370" s="80">
        <v>100</v>
      </c>
      <c r="K370" s="80">
        <v>300</v>
      </c>
      <c r="L370" s="77">
        <f t="shared" si="53"/>
        <v>1150</v>
      </c>
      <c r="M370" s="88">
        <v>600</v>
      </c>
      <c r="N370" s="77">
        <f>100</f>
        <v>100</v>
      </c>
      <c r="O370" s="80">
        <v>240</v>
      </c>
      <c r="P370" s="80">
        <v>40</v>
      </c>
      <c r="Q370" s="80">
        <f t="shared" si="54"/>
        <v>315</v>
      </c>
      <c r="R370" s="80">
        <f t="shared" si="55"/>
        <v>100</v>
      </c>
      <c r="S370" s="77">
        <f t="shared" si="56"/>
        <v>695</v>
      </c>
      <c r="T370" s="77">
        <f>50</f>
        <v>50</v>
      </c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</row>
    <row r="371" spans="1:30" ht="15.75" x14ac:dyDescent="0.25">
      <c r="A371" s="33">
        <v>52231</v>
      </c>
      <c r="B371" s="90">
        <v>31</v>
      </c>
      <c r="C371" s="77">
        <f>122.58</f>
        <v>122.58</v>
      </c>
      <c r="D371" s="77">
        <f>297.941</f>
        <v>297.94099999999997</v>
      </c>
      <c r="E371" s="86">
        <f>89.177</f>
        <v>89.177000000000007</v>
      </c>
      <c r="F371" s="77">
        <f>240.302-40-60-100</f>
        <v>40.301999999999992</v>
      </c>
      <c r="G371" s="80">
        <v>40</v>
      </c>
      <c r="H371" s="77">
        <f>60+100</f>
        <v>160</v>
      </c>
      <c r="I371" s="77">
        <f t="shared" si="49"/>
        <v>0</v>
      </c>
      <c r="J371" s="80">
        <v>100</v>
      </c>
      <c r="K371" s="80">
        <v>300</v>
      </c>
      <c r="L371" s="77">
        <f t="shared" si="53"/>
        <v>1150</v>
      </c>
      <c r="M371" s="88">
        <v>600</v>
      </c>
      <c r="N371" s="77">
        <f>100</f>
        <v>100</v>
      </c>
      <c r="O371" s="80">
        <v>240</v>
      </c>
      <c r="P371" s="80">
        <v>40</v>
      </c>
      <c r="Q371" s="80">
        <f t="shared" si="54"/>
        <v>315</v>
      </c>
      <c r="R371" s="80">
        <f t="shared" si="55"/>
        <v>100</v>
      </c>
      <c r="S371" s="77">
        <f t="shared" si="56"/>
        <v>695</v>
      </c>
      <c r="T371" s="77">
        <f>50</f>
        <v>50</v>
      </c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</row>
    <row r="372" spans="1:30" ht="15.75" x14ac:dyDescent="0.25">
      <c r="A372" s="33">
        <v>52262</v>
      </c>
      <c r="B372" s="90">
        <v>31</v>
      </c>
      <c r="C372" s="77">
        <f>122.58</f>
        <v>122.58</v>
      </c>
      <c r="D372" s="77">
        <f>297.941</f>
        <v>297.94099999999997</v>
      </c>
      <c r="E372" s="86">
        <f>89.177</f>
        <v>89.177000000000007</v>
      </c>
      <c r="F372" s="77">
        <f>240.302-40-60-100</f>
        <v>40.301999999999992</v>
      </c>
      <c r="G372" s="80">
        <v>40</v>
      </c>
      <c r="H372" s="77">
        <f>60+100</f>
        <v>160</v>
      </c>
      <c r="I372" s="77">
        <f t="shared" ref="I372:I435" si="59">400-J372-K372</f>
        <v>0</v>
      </c>
      <c r="J372" s="80">
        <v>100</v>
      </c>
      <c r="K372" s="80">
        <v>300</v>
      </c>
      <c r="L372" s="77">
        <f t="shared" si="53"/>
        <v>1150</v>
      </c>
      <c r="M372" s="88">
        <v>600</v>
      </c>
      <c r="N372" s="77">
        <f>100</f>
        <v>100</v>
      </c>
      <c r="O372" s="80">
        <v>240</v>
      </c>
      <c r="P372" s="80">
        <v>40</v>
      </c>
      <c r="Q372" s="80">
        <f t="shared" si="54"/>
        <v>315</v>
      </c>
      <c r="R372" s="80">
        <f t="shared" si="55"/>
        <v>100</v>
      </c>
      <c r="S372" s="77">
        <f t="shared" si="56"/>
        <v>695</v>
      </c>
      <c r="T372" s="77">
        <f>50</f>
        <v>50</v>
      </c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</row>
    <row r="373" spans="1:30" ht="15.75" x14ac:dyDescent="0.25">
      <c r="A373" s="33">
        <v>52290</v>
      </c>
      <c r="B373" s="90">
        <v>28</v>
      </c>
      <c r="C373" s="77">
        <f>122.58</f>
        <v>122.58</v>
      </c>
      <c r="D373" s="77">
        <f>297.941</f>
        <v>297.94099999999997</v>
      </c>
      <c r="E373" s="86">
        <f>89.177</f>
        <v>89.177000000000007</v>
      </c>
      <c r="F373" s="77">
        <f>240.302-40-60-100</f>
        <v>40.301999999999992</v>
      </c>
      <c r="G373" s="80">
        <v>40</v>
      </c>
      <c r="H373" s="77">
        <f>60+100</f>
        <v>160</v>
      </c>
      <c r="I373" s="77">
        <f t="shared" si="59"/>
        <v>0</v>
      </c>
      <c r="J373" s="80">
        <v>100</v>
      </c>
      <c r="K373" s="80">
        <v>300</v>
      </c>
      <c r="L373" s="77">
        <f t="shared" si="53"/>
        <v>1150</v>
      </c>
      <c r="M373" s="88">
        <v>600</v>
      </c>
      <c r="N373" s="77">
        <f>100</f>
        <v>100</v>
      </c>
      <c r="O373" s="80">
        <v>240</v>
      </c>
      <c r="P373" s="80">
        <v>40</v>
      </c>
      <c r="Q373" s="80">
        <f t="shared" si="54"/>
        <v>315</v>
      </c>
      <c r="R373" s="80">
        <f t="shared" si="55"/>
        <v>100</v>
      </c>
      <c r="S373" s="77">
        <f t="shared" si="56"/>
        <v>695</v>
      </c>
      <c r="T373" s="77">
        <f>50</f>
        <v>50</v>
      </c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</row>
    <row r="374" spans="1:30" ht="15.75" x14ac:dyDescent="0.25">
      <c r="A374" s="33">
        <v>52321</v>
      </c>
      <c r="B374" s="90">
        <v>31</v>
      </c>
      <c r="C374" s="77">
        <f>122.58</f>
        <v>122.58</v>
      </c>
      <c r="D374" s="77">
        <f>297.941</f>
        <v>297.94099999999997</v>
      </c>
      <c r="E374" s="86">
        <f>89.177</f>
        <v>89.177000000000007</v>
      </c>
      <c r="F374" s="77">
        <f>240.302-40-60-100</f>
        <v>40.301999999999992</v>
      </c>
      <c r="G374" s="80">
        <v>40</v>
      </c>
      <c r="H374" s="77">
        <f>60+100</f>
        <v>160</v>
      </c>
      <c r="I374" s="77">
        <f t="shared" si="59"/>
        <v>0</v>
      </c>
      <c r="J374" s="80">
        <v>100</v>
      </c>
      <c r="K374" s="80">
        <v>300</v>
      </c>
      <c r="L374" s="77">
        <f t="shared" si="53"/>
        <v>1150</v>
      </c>
      <c r="M374" s="88">
        <v>600</v>
      </c>
      <c r="N374" s="77">
        <f>100</f>
        <v>100</v>
      </c>
      <c r="O374" s="80">
        <v>240</v>
      </c>
      <c r="P374" s="80">
        <v>40</v>
      </c>
      <c r="Q374" s="80">
        <f t="shared" si="54"/>
        <v>315</v>
      </c>
      <c r="R374" s="80">
        <f t="shared" si="55"/>
        <v>100</v>
      </c>
      <c r="S374" s="77">
        <f t="shared" si="56"/>
        <v>695</v>
      </c>
      <c r="T374" s="77">
        <f>50</f>
        <v>50</v>
      </c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</row>
    <row r="375" spans="1:30" ht="15.75" x14ac:dyDescent="0.25">
      <c r="A375" s="33">
        <v>52351</v>
      </c>
      <c r="B375" s="90">
        <v>30</v>
      </c>
      <c r="C375" s="77">
        <f>141.293</f>
        <v>141.29300000000001</v>
      </c>
      <c r="D375" s="77">
        <f>267.993</f>
        <v>267.99299999999999</v>
      </c>
      <c r="E375" s="86">
        <f>115.016</f>
        <v>115.01600000000001</v>
      </c>
      <c r="F375" s="77">
        <f>314.698-40-25-60-100</f>
        <v>89.697999999999979</v>
      </c>
      <c r="G375" s="80">
        <v>40</v>
      </c>
      <c r="H375" s="77">
        <f t="shared" ref="H375:H381" si="60">25+60+100</f>
        <v>185</v>
      </c>
      <c r="I375" s="77">
        <f t="shared" si="59"/>
        <v>0</v>
      </c>
      <c r="J375" s="80">
        <v>100</v>
      </c>
      <c r="K375" s="80">
        <v>300</v>
      </c>
      <c r="L375" s="77">
        <f t="shared" si="53"/>
        <v>1239</v>
      </c>
      <c r="M375" s="88">
        <v>600</v>
      </c>
      <c r="N375" s="77">
        <f>100</f>
        <v>100</v>
      </c>
      <c r="O375" s="80">
        <v>240</v>
      </c>
      <c r="P375" s="80">
        <v>160</v>
      </c>
      <c r="Q375" s="80">
        <f t="shared" si="54"/>
        <v>195</v>
      </c>
      <c r="R375" s="80">
        <f t="shared" si="55"/>
        <v>100</v>
      </c>
      <c r="S375" s="77">
        <f t="shared" si="56"/>
        <v>695</v>
      </c>
      <c r="T375" s="77">
        <f>50</f>
        <v>50</v>
      </c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</row>
    <row r="376" spans="1:30" ht="15.75" x14ac:dyDescent="0.25">
      <c r="A376" s="33">
        <v>52382</v>
      </c>
      <c r="B376" s="90">
        <v>31</v>
      </c>
      <c r="C376" s="77">
        <f>194.205</f>
        <v>194.20500000000001</v>
      </c>
      <c r="D376" s="77">
        <f>267.466</f>
        <v>267.46600000000001</v>
      </c>
      <c r="E376" s="86">
        <f>133.845</f>
        <v>133.845</v>
      </c>
      <c r="F376" s="77">
        <f>278.484-40-25-60-100</f>
        <v>53.48399999999998</v>
      </c>
      <c r="G376" s="80">
        <v>40</v>
      </c>
      <c r="H376" s="77">
        <f t="shared" si="60"/>
        <v>185</v>
      </c>
      <c r="I376" s="77">
        <f t="shared" si="59"/>
        <v>0</v>
      </c>
      <c r="J376" s="80">
        <v>100</v>
      </c>
      <c r="K376" s="80">
        <v>300</v>
      </c>
      <c r="L376" s="77">
        <f t="shared" si="53"/>
        <v>1274</v>
      </c>
      <c r="M376" s="88">
        <v>600</v>
      </c>
      <c r="N376" s="77">
        <f>75</f>
        <v>75</v>
      </c>
      <c r="O376" s="80">
        <v>240</v>
      </c>
      <c r="P376" s="80">
        <v>160</v>
      </c>
      <c r="Q376" s="80">
        <f t="shared" si="54"/>
        <v>195</v>
      </c>
      <c r="R376" s="80">
        <f t="shared" si="55"/>
        <v>100</v>
      </c>
      <c r="S376" s="77">
        <f t="shared" si="56"/>
        <v>695</v>
      </c>
      <c r="T376" s="77">
        <f>50</f>
        <v>50</v>
      </c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</row>
    <row r="377" spans="1:30" ht="15.75" x14ac:dyDescent="0.25">
      <c r="A377" s="33">
        <v>52412</v>
      </c>
      <c r="B377" s="90">
        <v>30</v>
      </c>
      <c r="C377" s="77">
        <f>194.205</f>
        <v>194.20500000000001</v>
      </c>
      <c r="D377" s="77">
        <f>267.466</f>
        <v>267.46600000000001</v>
      </c>
      <c r="E377" s="86">
        <f>133.845</f>
        <v>133.845</v>
      </c>
      <c r="F377" s="77">
        <f>278.484-40-25-60-100</f>
        <v>53.48399999999998</v>
      </c>
      <c r="G377" s="80">
        <v>40</v>
      </c>
      <c r="H377" s="77">
        <f t="shared" si="60"/>
        <v>185</v>
      </c>
      <c r="I377" s="77">
        <f t="shared" si="59"/>
        <v>0</v>
      </c>
      <c r="J377" s="80">
        <v>100</v>
      </c>
      <c r="K377" s="80">
        <v>300</v>
      </c>
      <c r="L377" s="77">
        <f t="shared" si="53"/>
        <v>1274</v>
      </c>
      <c r="M377" s="88">
        <v>600</v>
      </c>
      <c r="N377" s="77">
        <f>30</f>
        <v>30</v>
      </c>
      <c r="O377" s="80">
        <v>240</v>
      </c>
      <c r="P377" s="80">
        <v>160</v>
      </c>
      <c r="Q377" s="80">
        <f t="shared" si="54"/>
        <v>195</v>
      </c>
      <c r="R377" s="80">
        <f t="shared" si="55"/>
        <v>100</v>
      </c>
      <c r="S377" s="77">
        <f t="shared" si="56"/>
        <v>695</v>
      </c>
      <c r="T377" s="77">
        <f>50</f>
        <v>50</v>
      </c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</row>
    <row r="378" spans="1:30" ht="15.75" x14ac:dyDescent="0.25">
      <c r="A378" s="33">
        <v>52443</v>
      </c>
      <c r="B378" s="90">
        <v>31</v>
      </c>
      <c r="C378" s="77">
        <f>194.205</f>
        <v>194.20500000000001</v>
      </c>
      <c r="D378" s="77">
        <f>267.466</f>
        <v>267.46600000000001</v>
      </c>
      <c r="E378" s="86">
        <f>133.845</f>
        <v>133.845</v>
      </c>
      <c r="F378" s="77">
        <f>278.484-40-25-60-100</f>
        <v>53.48399999999998</v>
      </c>
      <c r="G378" s="80">
        <v>40</v>
      </c>
      <c r="H378" s="77">
        <f t="shared" si="60"/>
        <v>185</v>
      </c>
      <c r="I378" s="77">
        <f t="shared" si="59"/>
        <v>0</v>
      </c>
      <c r="J378" s="80">
        <v>100</v>
      </c>
      <c r="K378" s="80">
        <v>300</v>
      </c>
      <c r="L378" s="77">
        <f t="shared" si="53"/>
        <v>1274</v>
      </c>
      <c r="M378" s="88">
        <v>600</v>
      </c>
      <c r="N378" s="77">
        <f>30</f>
        <v>30</v>
      </c>
      <c r="O378" s="80">
        <v>240</v>
      </c>
      <c r="P378" s="80">
        <v>160</v>
      </c>
      <c r="Q378" s="80">
        <f t="shared" si="54"/>
        <v>195</v>
      </c>
      <c r="R378" s="80">
        <f t="shared" si="55"/>
        <v>100</v>
      </c>
      <c r="S378" s="77">
        <f t="shared" si="56"/>
        <v>695</v>
      </c>
      <c r="T378" s="77">
        <f>0</f>
        <v>0</v>
      </c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</row>
    <row r="379" spans="1:30" ht="15.75" x14ac:dyDescent="0.25">
      <c r="A379" s="33">
        <v>52474</v>
      </c>
      <c r="B379" s="90">
        <v>31</v>
      </c>
      <c r="C379" s="77">
        <f>194.205</f>
        <v>194.20500000000001</v>
      </c>
      <c r="D379" s="77">
        <f>267.466</f>
        <v>267.46600000000001</v>
      </c>
      <c r="E379" s="86">
        <f>133.845</f>
        <v>133.845</v>
      </c>
      <c r="F379" s="77">
        <f>278.484-40-25-60-100</f>
        <v>53.48399999999998</v>
      </c>
      <c r="G379" s="80">
        <v>40</v>
      </c>
      <c r="H379" s="77">
        <f t="shared" si="60"/>
        <v>185</v>
      </c>
      <c r="I379" s="77">
        <f t="shared" si="59"/>
        <v>0</v>
      </c>
      <c r="J379" s="80">
        <v>100</v>
      </c>
      <c r="K379" s="80">
        <v>300</v>
      </c>
      <c r="L379" s="77">
        <f t="shared" si="53"/>
        <v>1274</v>
      </c>
      <c r="M379" s="88">
        <v>600</v>
      </c>
      <c r="N379" s="77">
        <f>30</f>
        <v>30</v>
      </c>
      <c r="O379" s="80">
        <v>240</v>
      </c>
      <c r="P379" s="80">
        <v>160</v>
      </c>
      <c r="Q379" s="80">
        <f t="shared" si="54"/>
        <v>195</v>
      </c>
      <c r="R379" s="80">
        <f t="shared" si="55"/>
        <v>100</v>
      </c>
      <c r="S379" s="77">
        <f t="shared" si="56"/>
        <v>695</v>
      </c>
      <c r="T379" s="77">
        <f>0</f>
        <v>0</v>
      </c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</row>
    <row r="380" spans="1:30" ht="15.75" x14ac:dyDescent="0.25">
      <c r="A380" s="33">
        <v>52504</v>
      </c>
      <c r="B380" s="90">
        <v>30</v>
      </c>
      <c r="C380" s="77">
        <f>194.205</f>
        <v>194.20500000000001</v>
      </c>
      <c r="D380" s="77">
        <f>267.466</f>
        <v>267.46600000000001</v>
      </c>
      <c r="E380" s="86">
        <f>133.845</f>
        <v>133.845</v>
      </c>
      <c r="F380" s="77">
        <f>278.484-40-25-60-100</f>
        <v>53.48399999999998</v>
      </c>
      <c r="G380" s="80">
        <v>40</v>
      </c>
      <c r="H380" s="77">
        <f t="shared" si="60"/>
        <v>185</v>
      </c>
      <c r="I380" s="77">
        <f t="shared" si="59"/>
        <v>0</v>
      </c>
      <c r="J380" s="80">
        <v>100</v>
      </c>
      <c r="K380" s="80">
        <v>300</v>
      </c>
      <c r="L380" s="77">
        <f t="shared" si="53"/>
        <v>1274</v>
      </c>
      <c r="M380" s="88">
        <v>600</v>
      </c>
      <c r="N380" s="77">
        <f>30</f>
        <v>30</v>
      </c>
      <c r="O380" s="80">
        <v>240</v>
      </c>
      <c r="P380" s="80">
        <v>160</v>
      </c>
      <c r="Q380" s="80">
        <f t="shared" si="54"/>
        <v>195</v>
      </c>
      <c r="R380" s="80">
        <f t="shared" si="55"/>
        <v>100</v>
      </c>
      <c r="S380" s="77">
        <f t="shared" si="56"/>
        <v>695</v>
      </c>
      <c r="T380" s="77">
        <f>0</f>
        <v>0</v>
      </c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</row>
    <row r="381" spans="1:30" ht="15.75" x14ac:dyDescent="0.25">
      <c r="A381" s="33">
        <v>52535</v>
      </c>
      <c r="B381" s="90">
        <v>31</v>
      </c>
      <c r="C381" s="77">
        <f>131.881</f>
        <v>131.881</v>
      </c>
      <c r="D381" s="77">
        <f>277.167</f>
        <v>277.16699999999997</v>
      </c>
      <c r="E381" s="86">
        <f>79.08</f>
        <v>79.08</v>
      </c>
      <c r="F381" s="77">
        <f>350.872-40-25-60-100</f>
        <v>125.87200000000001</v>
      </c>
      <c r="G381" s="80">
        <v>40</v>
      </c>
      <c r="H381" s="77">
        <f t="shared" si="60"/>
        <v>185</v>
      </c>
      <c r="I381" s="77">
        <f t="shared" si="59"/>
        <v>0</v>
      </c>
      <c r="J381" s="80">
        <v>100</v>
      </c>
      <c r="K381" s="80">
        <v>300</v>
      </c>
      <c r="L381" s="77">
        <f t="shared" si="53"/>
        <v>1239</v>
      </c>
      <c r="M381" s="88">
        <v>600</v>
      </c>
      <c r="N381" s="77">
        <f>75</f>
        <v>75</v>
      </c>
      <c r="O381" s="80">
        <v>240</v>
      </c>
      <c r="P381" s="80">
        <v>160</v>
      </c>
      <c r="Q381" s="80">
        <f t="shared" si="54"/>
        <v>195</v>
      </c>
      <c r="R381" s="80">
        <f t="shared" si="55"/>
        <v>100</v>
      </c>
      <c r="S381" s="77">
        <f t="shared" si="56"/>
        <v>695</v>
      </c>
      <c r="T381" s="77">
        <f>0</f>
        <v>0</v>
      </c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</row>
    <row r="382" spans="1:30" ht="15.75" x14ac:dyDescent="0.25">
      <c r="A382" s="33">
        <v>52565</v>
      </c>
      <c r="B382" s="90">
        <v>30</v>
      </c>
      <c r="C382" s="77">
        <f>122.58</f>
        <v>122.58</v>
      </c>
      <c r="D382" s="77">
        <f>297.941</f>
        <v>297.94099999999997</v>
      </c>
      <c r="E382" s="86">
        <f>89.177</f>
        <v>89.177000000000007</v>
      </c>
      <c r="F382" s="77">
        <f>240.302-40-60-100</f>
        <v>40.301999999999992</v>
      </c>
      <c r="G382" s="80">
        <v>40</v>
      </c>
      <c r="H382" s="77">
        <f>60+100</f>
        <v>160</v>
      </c>
      <c r="I382" s="77">
        <f t="shared" si="59"/>
        <v>0</v>
      </c>
      <c r="J382" s="80">
        <v>100</v>
      </c>
      <c r="K382" s="80">
        <v>300</v>
      </c>
      <c r="L382" s="77">
        <f t="shared" si="53"/>
        <v>1150</v>
      </c>
      <c r="M382" s="88">
        <v>600</v>
      </c>
      <c r="N382" s="77">
        <f>100</f>
        <v>100</v>
      </c>
      <c r="O382" s="80">
        <v>240</v>
      </c>
      <c r="P382" s="80">
        <v>40</v>
      </c>
      <c r="Q382" s="80">
        <f t="shared" si="54"/>
        <v>315</v>
      </c>
      <c r="R382" s="80">
        <f t="shared" si="55"/>
        <v>100</v>
      </c>
      <c r="S382" s="77">
        <f t="shared" si="56"/>
        <v>695</v>
      </c>
      <c r="T382" s="77">
        <f>50</f>
        <v>50</v>
      </c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</row>
    <row r="383" spans="1:30" ht="15.75" x14ac:dyDescent="0.25">
      <c r="A383" s="33">
        <v>52596</v>
      </c>
      <c r="B383" s="90">
        <v>31</v>
      </c>
      <c r="C383" s="77">
        <f>122.58</f>
        <v>122.58</v>
      </c>
      <c r="D383" s="77">
        <f>297.941</f>
        <v>297.94099999999997</v>
      </c>
      <c r="E383" s="86">
        <f>89.177</f>
        <v>89.177000000000007</v>
      </c>
      <c r="F383" s="77">
        <f>240.302-40-60-100</f>
        <v>40.301999999999992</v>
      </c>
      <c r="G383" s="80">
        <v>40</v>
      </c>
      <c r="H383" s="77">
        <f>60+100</f>
        <v>160</v>
      </c>
      <c r="I383" s="77">
        <f t="shared" si="59"/>
        <v>0</v>
      </c>
      <c r="J383" s="80">
        <v>100</v>
      </c>
      <c r="K383" s="80">
        <v>300</v>
      </c>
      <c r="L383" s="77">
        <f t="shared" si="53"/>
        <v>1150</v>
      </c>
      <c r="M383" s="88">
        <v>600</v>
      </c>
      <c r="N383" s="77">
        <f>100</f>
        <v>100</v>
      </c>
      <c r="O383" s="80">
        <v>240</v>
      </c>
      <c r="P383" s="80">
        <v>40</v>
      </c>
      <c r="Q383" s="80">
        <f t="shared" si="54"/>
        <v>315</v>
      </c>
      <c r="R383" s="80">
        <f t="shared" si="55"/>
        <v>100</v>
      </c>
      <c r="S383" s="77">
        <f t="shared" si="56"/>
        <v>695</v>
      </c>
      <c r="T383" s="77">
        <f>50</f>
        <v>50</v>
      </c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</row>
    <row r="384" spans="1:30" ht="15.75" x14ac:dyDescent="0.25">
      <c r="A384" s="33">
        <v>52627</v>
      </c>
      <c r="B384" s="90">
        <v>31</v>
      </c>
      <c r="C384" s="77">
        <f>122.58</f>
        <v>122.58</v>
      </c>
      <c r="D384" s="77">
        <f>297.941</f>
        <v>297.94099999999997</v>
      </c>
      <c r="E384" s="86">
        <f>89.177</f>
        <v>89.177000000000007</v>
      </c>
      <c r="F384" s="77">
        <f>240.302-40-60-100</f>
        <v>40.301999999999992</v>
      </c>
      <c r="G384" s="80">
        <v>40</v>
      </c>
      <c r="H384" s="77">
        <f>60+100</f>
        <v>160</v>
      </c>
      <c r="I384" s="77">
        <f t="shared" si="59"/>
        <v>0</v>
      </c>
      <c r="J384" s="80">
        <v>100</v>
      </c>
      <c r="K384" s="80">
        <v>300</v>
      </c>
      <c r="L384" s="77">
        <f t="shared" si="53"/>
        <v>1150</v>
      </c>
      <c r="M384" s="88">
        <v>600</v>
      </c>
      <c r="N384" s="77">
        <f>100</f>
        <v>100</v>
      </c>
      <c r="O384" s="80">
        <v>240</v>
      </c>
      <c r="P384" s="80">
        <v>40</v>
      </c>
      <c r="Q384" s="80">
        <f t="shared" si="54"/>
        <v>315</v>
      </c>
      <c r="R384" s="80">
        <f t="shared" si="55"/>
        <v>100</v>
      </c>
      <c r="S384" s="77">
        <f t="shared" si="56"/>
        <v>695</v>
      </c>
      <c r="T384" s="77">
        <f>50</f>
        <v>50</v>
      </c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</row>
    <row r="385" spans="1:30" ht="15.75" x14ac:dyDescent="0.25">
      <c r="A385" s="33">
        <v>52655</v>
      </c>
      <c r="B385" s="90">
        <v>29</v>
      </c>
      <c r="C385" s="77">
        <f>122.58</f>
        <v>122.58</v>
      </c>
      <c r="D385" s="77">
        <f>297.941</f>
        <v>297.94099999999997</v>
      </c>
      <c r="E385" s="86">
        <f>89.177</f>
        <v>89.177000000000007</v>
      </c>
      <c r="F385" s="77">
        <f>240.302-40-60-100</f>
        <v>40.301999999999992</v>
      </c>
      <c r="G385" s="80">
        <v>40</v>
      </c>
      <c r="H385" s="77">
        <f>60+100</f>
        <v>160</v>
      </c>
      <c r="I385" s="77">
        <f t="shared" si="59"/>
        <v>0</v>
      </c>
      <c r="J385" s="80">
        <v>100</v>
      </c>
      <c r="K385" s="80">
        <v>300</v>
      </c>
      <c r="L385" s="77">
        <f t="shared" si="53"/>
        <v>1150</v>
      </c>
      <c r="M385" s="88">
        <v>600</v>
      </c>
      <c r="N385" s="77">
        <f>100</f>
        <v>100</v>
      </c>
      <c r="O385" s="80">
        <v>240</v>
      </c>
      <c r="P385" s="80">
        <v>40</v>
      </c>
      <c r="Q385" s="80">
        <f t="shared" si="54"/>
        <v>315</v>
      </c>
      <c r="R385" s="80">
        <f t="shared" si="55"/>
        <v>100</v>
      </c>
      <c r="S385" s="77">
        <f t="shared" si="56"/>
        <v>695</v>
      </c>
      <c r="T385" s="77">
        <f>50</f>
        <v>50</v>
      </c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</row>
    <row r="386" spans="1:30" ht="15.75" x14ac:dyDescent="0.25">
      <c r="A386" s="33">
        <v>52687</v>
      </c>
      <c r="B386" s="90">
        <v>31</v>
      </c>
      <c r="C386" s="77">
        <f>122.58</f>
        <v>122.58</v>
      </c>
      <c r="D386" s="77">
        <f>297.941</f>
        <v>297.94099999999997</v>
      </c>
      <c r="E386" s="86">
        <f>89.177</f>
        <v>89.177000000000007</v>
      </c>
      <c r="F386" s="77">
        <f>240.302-40-60-100</f>
        <v>40.301999999999992</v>
      </c>
      <c r="G386" s="80">
        <v>40</v>
      </c>
      <c r="H386" s="77">
        <f>60+100</f>
        <v>160</v>
      </c>
      <c r="I386" s="77">
        <f t="shared" si="59"/>
        <v>0</v>
      </c>
      <c r="J386" s="80">
        <v>100</v>
      </c>
      <c r="K386" s="80">
        <v>300</v>
      </c>
      <c r="L386" s="77">
        <f t="shared" si="53"/>
        <v>1150</v>
      </c>
      <c r="M386" s="88">
        <v>600</v>
      </c>
      <c r="N386" s="77">
        <f>100</f>
        <v>100</v>
      </c>
      <c r="O386" s="80">
        <v>240</v>
      </c>
      <c r="P386" s="80">
        <v>40</v>
      </c>
      <c r="Q386" s="80">
        <f t="shared" si="54"/>
        <v>315</v>
      </c>
      <c r="R386" s="80">
        <f t="shared" si="55"/>
        <v>100</v>
      </c>
      <c r="S386" s="77">
        <f t="shared" si="56"/>
        <v>695</v>
      </c>
      <c r="T386" s="77">
        <f>50</f>
        <v>50</v>
      </c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</row>
    <row r="387" spans="1:30" ht="15.75" x14ac:dyDescent="0.25">
      <c r="A387" s="33">
        <v>52717</v>
      </c>
      <c r="B387" s="90">
        <v>30</v>
      </c>
      <c r="C387" s="77">
        <f>141.293</f>
        <v>141.29300000000001</v>
      </c>
      <c r="D387" s="77">
        <f>267.993</f>
        <v>267.99299999999999</v>
      </c>
      <c r="E387" s="86">
        <f>115.016</f>
        <v>115.01600000000001</v>
      </c>
      <c r="F387" s="77">
        <f>314.698-40-25-60-100</f>
        <v>89.697999999999979</v>
      </c>
      <c r="G387" s="80">
        <v>40</v>
      </c>
      <c r="H387" s="77">
        <f t="shared" ref="H387:H393" si="61">25+60+100</f>
        <v>185</v>
      </c>
      <c r="I387" s="77">
        <f t="shared" si="59"/>
        <v>0</v>
      </c>
      <c r="J387" s="80">
        <v>100</v>
      </c>
      <c r="K387" s="80">
        <v>300</v>
      </c>
      <c r="L387" s="77">
        <f t="shared" si="53"/>
        <v>1239</v>
      </c>
      <c r="M387" s="88">
        <v>600</v>
      </c>
      <c r="N387" s="77">
        <f>100</f>
        <v>100</v>
      </c>
      <c r="O387" s="80">
        <v>240</v>
      </c>
      <c r="P387" s="80">
        <v>160</v>
      </c>
      <c r="Q387" s="80">
        <f t="shared" si="54"/>
        <v>195</v>
      </c>
      <c r="R387" s="80">
        <f t="shared" si="55"/>
        <v>100</v>
      </c>
      <c r="S387" s="77">
        <f t="shared" si="56"/>
        <v>695</v>
      </c>
      <c r="T387" s="77">
        <f>50</f>
        <v>50</v>
      </c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</row>
    <row r="388" spans="1:30" ht="15.75" x14ac:dyDescent="0.25">
      <c r="A388" s="33">
        <v>52748</v>
      </c>
      <c r="B388" s="90">
        <v>31</v>
      </c>
      <c r="C388" s="77">
        <f>194.205</f>
        <v>194.20500000000001</v>
      </c>
      <c r="D388" s="77">
        <f>267.466</f>
        <v>267.46600000000001</v>
      </c>
      <c r="E388" s="86">
        <f>133.845</f>
        <v>133.845</v>
      </c>
      <c r="F388" s="77">
        <f>278.484-40-25-60-100</f>
        <v>53.48399999999998</v>
      </c>
      <c r="G388" s="80">
        <v>40</v>
      </c>
      <c r="H388" s="77">
        <f t="shared" si="61"/>
        <v>185</v>
      </c>
      <c r="I388" s="77">
        <f t="shared" si="59"/>
        <v>0</v>
      </c>
      <c r="J388" s="80">
        <v>100</v>
      </c>
      <c r="K388" s="80">
        <v>300</v>
      </c>
      <c r="L388" s="77">
        <f t="shared" si="53"/>
        <v>1274</v>
      </c>
      <c r="M388" s="88">
        <v>600</v>
      </c>
      <c r="N388" s="77">
        <f>75</f>
        <v>75</v>
      </c>
      <c r="O388" s="80">
        <v>240</v>
      </c>
      <c r="P388" s="80">
        <v>160</v>
      </c>
      <c r="Q388" s="80">
        <f t="shared" si="54"/>
        <v>195</v>
      </c>
      <c r="R388" s="80">
        <f t="shared" si="55"/>
        <v>100</v>
      </c>
      <c r="S388" s="77">
        <f t="shared" si="56"/>
        <v>695</v>
      </c>
      <c r="T388" s="77">
        <f>50</f>
        <v>50</v>
      </c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</row>
    <row r="389" spans="1:30" ht="15.75" x14ac:dyDescent="0.25">
      <c r="A389" s="33">
        <v>52778</v>
      </c>
      <c r="B389" s="90">
        <v>30</v>
      </c>
      <c r="C389" s="77">
        <f>194.205</f>
        <v>194.20500000000001</v>
      </c>
      <c r="D389" s="77">
        <f>267.466</f>
        <v>267.46600000000001</v>
      </c>
      <c r="E389" s="86">
        <f>133.845</f>
        <v>133.845</v>
      </c>
      <c r="F389" s="77">
        <f>278.484-40-25-60-100</f>
        <v>53.48399999999998</v>
      </c>
      <c r="G389" s="80">
        <v>40</v>
      </c>
      <c r="H389" s="77">
        <f t="shared" si="61"/>
        <v>185</v>
      </c>
      <c r="I389" s="77">
        <f t="shared" si="59"/>
        <v>0</v>
      </c>
      <c r="J389" s="80">
        <v>100</v>
      </c>
      <c r="K389" s="80">
        <v>300</v>
      </c>
      <c r="L389" s="77">
        <f t="shared" si="53"/>
        <v>1274</v>
      </c>
      <c r="M389" s="88">
        <v>600</v>
      </c>
      <c r="N389" s="77">
        <f>30</f>
        <v>30</v>
      </c>
      <c r="O389" s="80">
        <v>240</v>
      </c>
      <c r="P389" s="80">
        <v>160</v>
      </c>
      <c r="Q389" s="80">
        <f t="shared" si="54"/>
        <v>195</v>
      </c>
      <c r="R389" s="80">
        <f t="shared" si="55"/>
        <v>100</v>
      </c>
      <c r="S389" s="77">
        <f t="shared" si="56"/>
        <v>695</v>
      </c>
      <c r="T389" s="77">
        <f>50</f>
        <v>50</v>
      </c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</row>
    <row r="390" spans="1:30" ht="15.75" x14ac:dyDescent="0.25">
      <c r="A390" s="33">
        <v>52809</v>
      </c>
      <c r="B390" s="90">
        <v>31</v>
      </c>
      <c r="C390" s="77">
        <f>194.205</f>
        <v>194.20500000000001</v>
      </c>
      <c r="D390" s="77">
        <f>267.466</f>
        <v>267.46600000000001</v>
      </c>
      <c r="E390" s="86">
        <f>133.845</f>
        <v>133.845</v>
      </c>
      <c r="F390" s="77">
        <f>278.484-40-25-60-100</f>
        <v>53.48399999999998</v>
      </c>
      <c r="G390" s="80">
        <v>40</v>
      </c>
      <c r="H390" s="77">
        <f t="shared" si="61"/>
        <v>185</v>
      </c>
      <c r="I390" s="77">
        <f t="shared" si="59"/>
        <v>0</v>
      </c>
      <c r="J390" s="80">
        <v>100</v>
      </c>
      <c r="K390" s="80">
        <v>300</v>
      </c>
      <c r="L390" s="77">
        <f t="shared" si="53"/>
        <v>1274</v>
      </c>
      <c r="M390" s="88">
        <v>600</v>
      </c>
      <c r="N390" s="77">
        <f>30</f>
        <v>30</v>
      </c>
      <c r="O390" s="80">
        <v>240</v>
      </c>
      <c r="P390" s="80">
        <v>160</v>
      </c>
      <c r="Q390" s="80">
        <f t="shared" si="54"/>
        <v>195</v>
      </c>
      <c r="R390" s="80">
        <f t="shared" si="55"/>
        <v>100</v>
      </c>
      <c r="S390" s="77">
        <f t="shared" si="56"/>
        <v>695</v>
      </c>
      <c r="T390" s="77">
        <f>0</f>
        <v>0</v>
      </c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</row>
    <row r="391" spans="1:30" ht="15.75" x14ac:dyDescent="0.25">
      <c r="A391" s="33">
        <v>52840</v>
      </c>
      <c r="B391" s="90">
        <v>31</v>
      </c>
      <c r="C391" s="77">
        <f>194.205</f>
        <v>194.20500000000001</v>
      </c>
      <c r="D391" s="77">
        <f>267.466</f>
        <v>267.46600000000001</v>
      </c>
      <c r="E391" s="86">
        <f>133.845</f>
        <v>133.845</v>
      </c>
      <c r="F391" s="77">
        <f>278.484-40-25-60-100</f>
        <v>53.48399999999998</v>
      </c>
      <c r="G391" s="80">
        <v>40</v>
      </c>
      <c r="H391" s="77">
        <f t="shared" si="61"/>
        <v>185</v>
      </c>
      <c r="I391" s="77">
        <f t="shared" si="59"/>
        <v>0</v>
      </c>
      <c r="J391" s="80">
        <v>100</v>
      </c>
      <c r="K391" s="80">
        <v>300</v>
      </c>
      <c r="L391" s="77">
        <f t="shared" si="53"/>
        <v>1274</v>
      </c>
      <c r="M391" s="88">
        <v>600</v>
      </c>
      <c r="N391" s="77">
        <f>30</f>
        <v>30</v>
      </c>
      <c r="O391" s="80">
        <v>240</v>
      </c>
      <c r="P391" s="80">
        <v>160</v>
      </c>
      <c r="Q391" s="80">
        <f t="shared" si="54"/>
        <v>195</v>
      </c>
      <c r="R391" s="80">
        <f t="shared" si="55"/>
        <v>100</v>
      </c>
      <c r="S391" s="77">
        <f t="shared" si="56"/>
        <v>695</v>
      </c>
      <c r="T391" s="77">
        <f>0</f>
        <v>0</v>
      </c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</row>
    <row r="392" spans="1:30" ht="15.75" x14ac:dyDescent="0.25">
      <c r="A392" s="33">
        <v>52870</v>
      </c>
      <c r="B392" s="90">
        <v>30</v>
      </c>
      <c r="C392" s="77">
        <f>194.205</f>
        <v>194.20500000000001</v>
      </c>
      <c r="D392" s="77">
        <f>267.466</f>
        <v>267.46600000000001</v>
      </c>
      <c r="E392" s="86">
        <f>133.845</f>
        <v>133.845</v>
      </c>
      <c r="F392" s="77">
        <f>278.484-40-25-60-100</f>
        <v>53.48399999999998</v>
      </c>
      <c r="G392" s="80">
        <v>40</v>
      </c>
      <c r="H392" s="77">
        <f t="shared" si="61"/>
        <v>185</v>
      </c>
      <c r="I392" s="77">
        <f t="shared" si="59"/>
        <v>0</v>
      </c>
      <c r="J392" s="80">
        <v>100</v>
      </c>
      <c r="K392" s="80">
        <v>300</v>
      </c>
      <c r="L392" s="77">
        <f t="shared" si="53"/>
        <v>1274</v>
      </c>
      <c r="M392" s="88">
        <v>600</v>
      </c>
      <c r="N392" s="77">
        <f>30</f>
        <v>30</v>
      </c>
      <c r="O392" s="80">
        <v>240</v>
      </c>
      <c r="P392" s="80">
        <v>160</v>
      </c>
      <c r="Q392" s="80">
        <f t="shared" si="54"/>
        <v>195</v>
      </c>
      <c r="R392" s="80">
        <f t="shared" si="55"/>
        <v>100</v>
      </c>
      <c r="S392" s="77">
        <f t="shared" si="56"/>
        <v>695</v>
      </c>
      <c r="T392" s="77">
        <f>0</f>
        <v>0</v>
      </c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</row>
    <row r="393" spans="1:30" ht="15.75" x14ac:dyDescent="0.25">
      <c r="A393" s="33">
        <v>52901</v>
      </c>
      <c r="B393" s="90">
        <v>31</v>
      </c>
      <c r="C393" s="77">
        <f>131.881</f>
        <v>131.881</v>
      </c>
      <c r="D393" s="77">
        <f>277.167</f>
        <v>277.16699999999997</v>
      </c>
      <c r="E393" s="86">
        <f>79.08</f>
        <v>79.08</v>
      </c>
      <c r="F393" s="77">
        <f>350.872-40-25-60-100</f>
        <v>125.87200000000001</v>
      </c>
      <c r="G393" s="80">
        <v>40</v>
      </c>
      <c r="H393" s="77">
        <f t="shared" si="61"/>
        <v>185</v>
      </c>
      <c r="I393" s="77">
        <f t="shared" si="59"/>
        <v>0</v>
      </c>
      <c r="J393" s="80">
        <v>100</v>
      </c>
      <c r="K393" s="80">
        <v>300</v>
      </c>
      <c r="L393" s="77">
        <f t="shared" si="53"/>
        <v>1239</v>
      </c>
      <c r="M393" s="88">
        <v>600</v>
      </c>
      <c r="N393" s="77">
        <f>75</f>
        <v>75</v>
      </c>
      <c r="O393" s="80">
        <v>240</v>
      </c>
      <c r="P393" s="80">
        <v>160</v>
      </c>
      <c r="Q393" s="80">
        <f t="shared" si="54"/>
        <v>195</v>
      </c>
      <c r="R393" s="80">
        <f t="shared" si="55"/>
        <v>100</v>
      </c>
      <c r="S393" s="77">
        <f t="shared" si="56"/>
        <v>695</v>
      </c>
      <c r="T393" s="77">
        <f>0</f>
        <v>0</v>
      </c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</row>
    <row r="394" spans="1:30" ht="15.75" x14ac:dyDescent="0.25">
      <c r="A394" s="33">
        <v>52931</v>
      </c>
      <c r="B394" s="90">
        <v>30</v>
      </c>
      <c r="C394" s="77">
        <f>122.58</f>
        <v>122.58</v>
      </c>
      <c r="D394" s="77">
        <f>297.941</f>
        <v>297.94099999999997</v>
      </c>
      <c r="E394" s="86">
        <f>89.177</f>
        <v>89.177000000000007</v>
      </c>
      <c r="F394" s="77">
        <f>240.302-40-60-100</f>
        <v>40.301999999999992</v>
      </c>
      <c r="G394" s="80">
        <v>40</v>
      </c>
      <c r="H394" s="77">
        <f>60+100</f>
        <v>160</v>
      </c>
      <c r="I394" s="77">
        <f t="shared" si="59"/>
        <v>0</v>
      </c>
      <c r="J394" s="80">
        <v>100</v>
      </c>
      <c r="K394" s="80">
        <v>300</v>
      </c>
      <c r="L394" s="77">
        <f t="shared" si="53"/>
        <v>1150</v>
      </c>
      <c r="M394" s="88">
        <v>600</v>
      </c>
      <c r="N394" s="77">
        <f>100</f>
        <v>100</v>
      </c>
      <c r="O394" s="80">
        <v>240</v>
      </c>
      <c r="P394" s="80">
        <v>40</v>
      </c>
      <c r="Q394" s="80">
        <f t="shared" si="54"/>
        <v>315</v>
      </c>
      <c r="R394" s="80">
        <f t="shared" si="55"/>
        <v>100</v>
      </c>
      <c r="S394" s="77">
        <f t="shared" si="56"/>
        <v>695</v>
      </c>
      <c r="T394" s="77">
        <f>50</f>
        <v>50</v>
      </c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</row>
    <row r="395" spans="1:30" ht="15.75" x14ac:dyDescent="0.25">
      <c r="A395" s="33">
        <v>52962</v>
      </c>
      <c r="B395" s="90">
        <v>31</v>
      </c>
      <c r="C395" s="77">
        <f>122.58</f>
        <v>122.58</v>
      </c>
      <c r="D395" s="77">
        <f>297.941</f>
        <v>297.94099999999997</v>
      </c>
      <c r="E395" s="86">
        <f>89.177</f>
        <v>89.177000000000007</v>
      </c>
      <c r="F395" s="77">
        <f>240.302-40-60-100</f>
        <v>40.301999999999992</v>
      </c>
      <c r="G395" s="80">
        <v>40</v>
      </c>
      <c r="H395" s="77">
        <f>60+100</f>
        <v>160</v>
      </c>
      <c r="I395" s="77">
        <f t="shared" si="59"/>
        <v>0</v>
      </c>
      <c r="J395" s="80">
        <v>100</v>
      </c>
      <c r="K395" s="80">
        <v>300</v>
      </c>
      <c r="L395" s="77">
        <f t="shared" si="53"/>
        <v>1150</v>
      </c>
      <c r="M395" s="88">
        <v>600</v>
      </c>
      <c r="N395" s="77">
        <f>100</f>
        <v>100</v>
      </c>
      <c r="O395" s="80">
        <v>240</v>
      </c>
      <c r="P395" s="80">
        <v>40</v>
      </c>
      <c r="Q395" s="80">
        <f t="shared" si="54"/>
        <v>315</v>
      </c>
      <c r="R395" s="80">
        <f t="shared" si="55"/>
        <v>100</v>
      </c>
      <c r="S395" s="77">
        <f t="shared" si="56"/>
        <v>695</v>
      </c>
      <c r="T395" s="77">
        <f>50</f>
        <v>50</v>
      </c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</row>
    <row r="396" spans="1:30" ht="15.75" x14ac:dyDescent="0.25">
      <c r="A396" s="33">
        <v>52993</v>
      </c>
      <c r="B396" s="90">
        <v>31</v>
      </c>
      <c r="C396" s="77">
        <f>122.58</f>
        <v>122.58</v>
      </c>
      <c r="D396" s="77">
        <f>297.941</f>
        <v>297.94099999999997</v>
      </c>
      <c r="E396" s="86">
        <f>89.177</f>
        <v>89.177000000000007</v>
      </c>
      <c r="F396" s="77">
        <f>240.302-40-60-100</f>
        <v>40.301999999999992</v>
      </c>
      <c r="G396" s="80">
        <v>40</v>
      </c>
      <c r="H396" s="77">
        <f>60+100</f>
        <v>160</v>
      </c>
      <c r="I396" s="77">
        <f t="shared" si="59"/>
        <v>0</v>
      </c>
      <c r="J396" s="80">
        <v>100</v>
      </c>
      <c r="K396" s="80">
        <v>300</v>
      </c>
      <c r="L396" s="77">
        <f t="shared" si="53"/>
        <v>1150</v>
      </c>
      <c r="M396" s="88">
        <v>600</v>
      </c>
      <c r="N396" s="77">
        <f>100</f>
        <v>100</v>
      </c>
      <c r="O396" s="80">
        <v>240</v>
      </c>
      <c r="P396" s="80">
        <v>40</v>
      </c>
      <c r="Q396" s="80">
        <f t="shared" si="54"/>
        <v>315</v>
      </c>
      <c r="R396" s="80">
        <f t="shared" si="55"/>
        <v>100</v>
      </c>
      <c r="S396" s="77">
        <f t="shared" si="56"/>
        <v>695</v>
      </c>
      <c r="T396" s="77">
        <f>50</f>
        <v>50</v>
      </c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</row>
    <row r="397" spans="1:30" ht="15.75" x14ac:dyDescent="0.25">
      <c r="A397" s="33">
        <v>53021</v>
      </c>
      <c r="B397" s="90">
        <v>28</v>
      </c>
      <c r="C397" s="77">
        <f>122.58</f>
        <v>122.58</v>
      </c>
      <c r="D397" s="77">
        <f>297.941</f>
        <v>297.94099999999997</v>
      </c>
      <c r="E397" s="86">
        <f>89.177</f>
        <v>89.177000000000007</v>
      </c>
      <c r="F397" s="77">
        <f>240.302-40-60-100</f>
        <v>40.301999999999992</v>
      </c>
      <c r="G397" s="80">
        <v>40</v>
      </c>
      <c r="H397" s="77">
        <f>60+100</f>
        <v>160</v>
      </c>
      <c r="I397" s="77">
        <f t="shared" si="59"/>
        <v>0</v>
      </c>
      <c r="J397" s="80">
        <v>100</v>
      </c>
      <c r="K397" s="80">
        <v>300</v>
      </c>
      <c r="L397" s="77">
        <f t="shared" si="53"/>
        <v>1150</v>
      </c>
      <c r="M397" s="88">
        <v>600</v>
      </c>
      <c r="N397" s="77">
        <f>100</f>
        <v>100</v>
      </c>
      <c r="O397" s="80">
        <v>240</v>
      </c>
      <c r="P397" s="80">
        <v>40</v>
      </c>
      <c r="Q397" s="80">
        <f t="shared" si="54"/>
        <v>315</v>
      </c>
      <c r="R397" s="80">
        <f t="shared" si="55"/>
        <v>100</v>
      </c>
      <c r="S397" s="77">
        <f t="shared" si="56"/>
        <v>695</v>
      </c>
      <c r="T397" s="77">
        <f>50</f>
        <v>50</v>
      </c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</row>
    <row r="398" spans="1:30" ht="15.75" x14ac:dyDescent="0.25">
      <c r="A398" s="33">
        <v>53052</v>
      </c>
      <c r="B398" s="90">
        <v>31</v>
      </c>
      <c r="C398" s="77">
        <f>122.58</f>
        <v>122.58</v>
      </c>
      <c r="D398" s="77">
        <f>297.941</f>
        <v>297.94099999999997</v>
      </c>
      <c r="E398" s="86">
        <f>89.177</f>
        <v>89.177000000000007</v>
      </c>
      <c r="F398" s="77">
        <f>240.302-40-60-100</f>
        <v>40.301999999999992</v>
      </c>
      <c r="G398" s="80">
        <v>40</v>
      </c>
      <c r="H398" s="77">
        <f>60+100</f>
        <v>160</v>
      </c>
      <c r="I398" s="77">
        <f t="shared" si="59"/>
        <v>0</v>
      </c>
      <c r="J398" s="80">
        <v>100</v>
      </c>
      <c r="K398" s="80">
        <v>300</v>
      </c>
      <c r="L398" s="77">
        <f t="shared" si="53"/>
        <v>1150</v>
      </c>
      <c r="M398" s="88">
        <v>600</v>
      </c>
      <c r="N398" s="77">
        <f>100</f>
        <v>100</v>
      </c>
      <c r="O398" s="80">
        <v>240</v>
      </c>
      <c r="P398" s="80">
        <v>40</v>
      </c>
      <c r="Q398" s="80">
        <f t="shared" si="54"/>
        <v>315</v>
      </c>
      <c r="R398" s="80">
        <f t="shared" si="55"/>
        <v>100</v>
      </c>
      <c r="S398" s="77">
        <f t="shared" si="56"/>
        <v>695</v>
      </c>
      <c r="T398" s="77">
        <f>50</f>
        <v>50</v>
      </c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</row>
    <row r="399" spans="1:30" ht="15.75" x14ac:dyDescent="0.25">
      <c r="A399" s="33">
        <v>53082</v>
      </c>
      <c r="B399" s="90">
        <v>30</v>
      </c>
      <c r="C399" s="77">
        <f>141.293</f>
        <v>141.29300000000001</v>
      </c>
      <c r="D399" s="77">
        <f>267.993</f>
        <v>267.99299999999999</v>
      </c>
      <c r="E399" s="86">
        <f>115.016</f>
        <v>115.01600000000001</v>
      </c>
      <c r="F399" s="77">
        <f>314.698-40-25-60-100</f>
        <v>89.697999999999979</v>
      </c>
      <c r="G399" s="80">
        <v>40</v>
      </c>
      <c r="H399" s="77">
        <f t="shared" ref="H399:H405" si="62">25+60+100</f>
        <v>185</v>
      </c>
      <c r="I399" s="77">
        <f t="shared" si="59"/>
        <v>0</v>
      </c>
      <c r="J399" s="80">
        <v>100</v>
      </c>
      <c r="K399" s="80">
        <v>300</v>
      </c>
      <c r="L399" s="77">
        <f t="shared" si="53"/>
        <v>1239</v>
      </c>
      <c r="M399" s="88">
        <v>600</v>
      </c>
      <c r="N399" s="77">
        <f>100</f>
        <v>100</v>
      </c>
      <c r="O399" s="80">
        <v>240</v>
      </c>
      <c r="P399" s="80">
        <v>160</v>
      </c>
      <c r="Q399" s="80">
        <f t="shared" si="54"/>
        <v>195</v>
      </c>
      <c r="R399" s="80">
        <f t="shared" si="55"/>
        <v>100</v>
      </c>
      <c r="S399" s="77">
        <f t="shared" si="56"/>
        <v>695</v>
      </c>
      <c r="T399" s="77">
        <f>50</f>
        <v>50</v>
      </c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</row>
    <row r="400" spans="1:30" ht="15.75" x14ac:dyDescent="0.25">
      <c r="A400" s="33">
        <v>53113</v>
      </c>
      <c r="B400" s="90">
        <v>31</v>
      </c>
      <c r="C400" s="77">
        <f>194.205</f>
        <v>194.20500000000001</v>
      </c>
      <c r="D400" s="77">
        <f>267.466</f>
        <v>267.46600000000001</v>
      </c>
      <c r="E400" s="86">
        <f>133.845</f>
        <v>133.845</v>
      </c>
      <c r="F400" s="77">
        <f>278.484-40-25-60-100</f>
        <v>53.48399999999998</v>
      </c>
      <c r="G400" s="80">
        <v>40</v>
      </c>
      <c r="H400" s="77">
        <f t="shared" si="62"/>
        <v>185</v>
      </c>
      <c r="I400" s="77">
        <f t="shared" si="59"/>
        <v>0</v>
      </c>
      <c r="J400" s="80">
        <v>100</v>
      </c>
      <c r="K400" s="80">
        <v>300</v>
      </c>
      <c r="L400" s="77">
        <f t="shared" si="53"/>
        <v>1274</v>
      </c>
      <c r="M400" s="88">
        <v>600</v>
      </c>
      <c r="N400" s="77">
        <f>75</f>
        <v>75</v>
      </c>
      <c r="O400" s="80">
        <v>240</v>
      </c>
      <c r="P400" s="80">
        <v>160</v>
      </c>
      <c r="Q400" s="80">
        <f t="shared" si="54"/>
        <v>195</v>
      </c>
      <c r="R400" s="80">
        <f t="shared" si="55"/>
        <v>100</v>
      </c>
      <c r="S400" s="77">
        <f t="shared" si="56"/>
        <v>695</v>
      </c>
      <c r="T400" s="77">
        <f>50</f>
        <v>50</v>
      </c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</row>
    <row r="401" spans="1:30" ht="15.75" x14ac:dyDescent="0.25">
      <c r="A401" s="33">
        <v>53143</v>
      </c>
      <c r="B401" s="90">
        <v>30</v>
      </c>
      <c r="C401" s="77">
        <f>194.205</f>
        <v>194.20500000000001</v>
      </c>
      <c r="D401" s="77">
        <f>267.466</f>
        <v>267.46600000000001</v>
      </c>
      <c r="E401" s="86">
        <f>133.845</f>
        <v>133.845</v>
      </c>
      <c r="F401" s="77">
        <f>278.484-40-25-60-100</f>
        <v>53.48399999999998</v>
      </c>
      <c r="G401" s="80">
        <v>40</v>
      </c>
      <c r="H401" s="77">
        <f t="shared" si="62"/>
        <v>185</v>
      </c>
      <c r="I401" s="77">
        <f t="shared" si="59"/>
        <v>0</v>
      </c>
      <c r="J401" s="80">
        <v>100</v>
      </c>
      <c r="K401" s="80">
        <v>300</v>
      </c>
      <c r="L401" s="77">
        <f t="shared" si="53"/>
        <v>1274</v>
      </c>
      <c r="M401" s="88">
        <v>600</v>
      </c>
      <c r="N401" s="77">
        <f>30</f>
        <v>30</v>
      </c>
      <c r="O401" s="80">
        <v>240</v>
      </c>
      <c r="P401" s="80">
        <v>160</v>
      </c>
      <c r="Q401" s="80">
        <f t="shared" si="54"/>
        <v>195</v>
      </c>
      <c r="R401" s="80">
        <f t="shared" si="55"/>
        <v>100</v>
      </c>
      <c r="S401" s="77">
        <f t="shared" si="56"/>
        <v>695</v>
      </c>
      <c r="T401" s="77">
        <f>50</f>
        <v>50</v>
      </c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</row>
    <row r="402" spans="1:30" ht="15.75" x14ac:dyDescent="0.25">
      <c r="A402" s="33">
        <v>53174</v>
      </c>
      <c r="B402" s="90">
        <v>31</v>
      </c>
      <c r="C402" s="77">
        <f>194.205</f>
        <v>194.20500000000001</v>
      </c>
      <c r="D402" s="77">
        <f>267.466</f>
        <v>267.46600000000001</v>
      </c>
      <c r="E402" s="86">
        <f>133.845</f>
        <v>133.845</v>
      </c>
      <c r="F402" s="77">
        <f>278.484-40-25-60-100</f>
        <v>53.48399999999998</v>
      </c>
      <c r="G402" s="80">
        <v>40</v>
      </c>
      <c r="H402" s="77">
        <f t="shared" si="62"/>
        <v>185</v>
      </c>
      <c r="I402" s="77">
        <f t="shared" si="59"/>
        <v>0</v>
      </c>
      <c r="J402" s="80">
        <v>100</v>
      </c>
      <c r="K402" s="80">
        <v>300</v>
      </c>
      <c r="L402" s="77">
        <f t="shared" si="53"/>
        <v>1274</v>
      </c>
      <c r="M402" s="88">
        <v>600</v>
      </c>
      <c r="N402" s="77">
        <f>30</f>
        <v>30</v>
      </c>
      <c r="O402" s="80">
        <v>240</v>
      </c>
      <c r="P402" s="80">
        <v>160</v>
      </c>
      <c r="Q402" s="80">
        <f t="shared" si="54"/>
        <v>195</v>
      </c>
      <c r="R402" s="80">
        <f t="shared" si="55"/>
        <v>100</v>
      </c>
      <c r="S402" s="77">
        <f t="shared" si="56"/>
        <v>695</v>
      </c>
      <c r="T402" s="77">
        <f>0</f>
        <v>0</v>
      </c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</row>
    <row r="403" spans="1:30" ht="15.75" x14ac:dyDescent="0.25">
      <c r="A403" s="33">
        <v>53205</v>
      </c>
      <c r="B403" s="90">
        <v>31</v>
      </c>
      <c r="C403" s="77">
        <f>194.205</f>
        <v>194.20500000000001</v>
      </c>
      <c r="D403" s="77">
        <f>267.466</f>
        <v>267.46600000000001</v>
      </c>
      <c r="E403" s="86">
        <f>133.845</f>
        <v>133.845</v>
      </c>
      <c r="F403" s="77">
        <f>278.484-40-25-60-100</f>
        <v>53.48399999999998</v>
      </c>
      <c r="G403" s="80">
        <v>40</v>
      </c>
      <c r="H403" s="77">
        <f t="shared" si="62"/>
        <v>185</v>
      </c>
      <c r="I403" s="77">
        <f t="shared" si="59"/>
        <v>0</v>
      </c>
      <c r="J403" s="80">
        <v>100</v>
      </c>
      <c r="K403" s="80">
        <v>300</v>
      </c>
      <c r="L403" s="77">
        <f t="shared" ref="L403:L466" si="63">SUM(C403:K403)</f>
        <v>1274</v>
      </c>
      <c r="M403" s="88">
        <v>600</v>
      </c>
      <c r="N403" s="77">
        <f>30</f>
        <v>30</v>
      </c>
      <c r="O403" s="80">
        <v>240</v>
      </c>
      <c r="P403" s="80">
        <v>160</v>
      </c>
      <c r="Q403" s="80">
        <f t="shared" ref="Q403:Q466" si="64">695-R403-O403-P403</f>
        <v>195</v>
      </c>
      <c r="R403" s="80">
        <f t="shared" ref="R403:R466" si="65">200-J403</f>
        <v>100</v>
      </c>
      <c r="S403" s="77">
        <f t="shared" ref="S403:S466" si="66">SUM(O403:R403)</f>
        <v>695</v>
      </c>
      <c r="T403" s="77">
        <f>0</f>
        <v>0</v>
      </c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</row>
    <row r="404" spans="1:30" ht="15.75" x14ac:dyDescent="0.25">
      <c r="A404" s="33">
        <v>53235</v>
      </c>
      <c r="B404" s="90">
        <v>30</v>
      </c>
      <c r="C404" s="77">
        <f>194.205</f>
        <v>194.20500000000001</v>
      </c>
      <c r="D404" s="77">
        <f>267.466</f>
        <v>267.46600000000001</v>
      </c>
      <c r="E404" s="86">
        <f>133.845</f>
        <v>133.845</v>
      </c>
      <c r="F404" s="77">
        <f>278.484-40-25-60-100</f>
        <v>53.48399999999998</v>
      </c>
      <c r="G404" s="80">
        <v>40</v>
      </c>
      <c r="H404" s="77">
        <f t="shared" si="62"/>
        <v>185</v>
      </c>
      <c r="I404" s="77">
        <f t="shared" si="59"/>
        <v>0</v>
      </c>
      <c r="J404" s="80">
        <v>100</v>
      </c>
      <c r="K404" s="80">
        <v>300</v>
      </c>
      <c r="L404" s="77">
        <f t="shared" si="63"/>
        <v>1274</v>
      </c>
      <c r="M404" s="88">
        <v>600</v>
      </c>
      <c r="N404" s="77">
        <f>30</f>
        <v>30</v>
      </c>
      <c r="O404" s="80">
        <v>240</v>
      </c>
      <c r="P404" s="80">
        <v>160</v>
      </c>
      <c r="Q404" s="80">
        <f t="shared" si="64"/>
        <v>195</v>
      </c>
      <c r="R404" s="80">
        <f t="shared" si="65"/>
        <v>100</v>
      </c>
      <c r="S404" s="77">
        <f t="shared" si="66"/>
        <v>695</v>
      </c>
      <c r="T404" s="77">
        <f>0</f>
        <v>0</v>
      </c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</row>
    <row r="405" spans="1:30" ht="15.75" x14ac:dyDescent="0.25">
      <c r="A405" s="33">
        <v>53266</v>
      </c>
      <c r="B405" s="90">
        <v>31</v>
      </c>
      <c r="C405" s="77">
        <f>131.881</f>
        <v>131.881</v>
      </c>
      <c r="D405" s="77">
        <f>277.167</f>
        <v>277.16699999999997</v>
      </c>
      <c r="E405" s="86">
        <f>79.08</f>
        <v>79.08</v>
      </c>
      <c r="F405" s="77">
        <f>350.872-40-25-60-100</f>
        <v>125.87200000000001</v>
      </c>
      <c r="G405" s="80">
        <v>40</v>
      </c>
      <c r="H405" s="77">
        <f t="shared" si="62"/>
        <v>185</v>
      </c>
      <c r="I405" s="77">
        <f t="shared" si="59"/>
        <v>0</v>
      </c>
      <c r="J405" s="80">
        <v>100</v>
      </c>
      <c r="K405" s="80">
        <v>300</v>
      </c>
      <c r="L405" s="77">
        <f t="shared" si="63"/>
        <v>1239</v>
      </c>
      <c r="M405" s="88">
        <v>600</v>
      </c>
      <c r="N405" s="77">
        <f>75</f>
        <v>75</v>
      </c>
      <c r="O405" s="80">
        <v>240</v>
      </c>
      <c r="P405" s="80">
        <v>160</v>
      </c>
      <c r="Q405" s="80">
        <f t="shared" si="64"/>
        <v>195</v>
      </c>
      <c r="R405" s="80">
        <f t="shared" si="65"/>
        <v>100</v>
      </c>
      <c r="S405" s="77">
        <f t="shared" si="66"/>
        <v>695</v>
      </c>
      <c r="T405" s="77">
        <f>0</f>
        <v>0</v>
      </c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</row>
    <row r="406" spans="1:30" ht="15.75" x14ac:dyDescent="0.25">
      <c r="A406" s="33">
        <v>53296</v>
      </c>
      <c r="B406" s="90">
        <v>30</v>
      </c>
      <c r="C406" s="77">
        <f>122.58</f>
        <v>122.58</v>
      </c>
      <c r="D406" s="77">
        <f>297.941</f>
        <v>297.94099999999997</v>
      </c>
      <c r="E406" s="86">
        <f>89.177</f>
        <v>89.177000000000007</v>
      </c>
      <c r="F406" s="77">
        <f>240.302-40-60-100</f>
        <v>40.301999999999992</v>
      </c>
      <c r="G406" s="80">
        <v>40</v>
      </c>
      <c r="H406" s="77">
        <f>60+100</f>
        <v>160</v>
      </c>
      <c r="I406" s="77">
        <f t="shared" si="59"/>
        <v>0</v>
      </c>
      <c r="J406" s="80">
        <v>100</v>
      </c>
      <c r="K406" s="80">
        <v>300</v>
      </c>
      <c r="L406" s="77">
        <f t="shared" si="63"/>
        <v>1150</v>
      </c>
      <c r="M406" s="88">
        <v>600</v>
      </c>
      <c r="N406" s="77">
        <f>100</f>
        <v>100</v>
      </c>
      <c r="O406" s="80">
        <v>240</v>
      </c>
      <c r="P406" s="80">
        <v>40</v>
      </c>
      <c r="Q406" s="80">
        <f t="shared" si="64"/>
        <v>315</v>
      </c>
      <c r="R406" s="80">
        <f t="shared" si="65"/>
        <v>100</v>
      </c>
      <c r="S406" s="77">
        <f t="shared" si="66"/>
        <v>695</v>
      </c>
      <c r="T406" s="77">
        <f>50</f>
        <v>50</v>
      </c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</row>
    <row r="407" spans="1:30" ht="15.75" x14ac:dyDescent="0.25">
      <c r="A407" s="33">
        <v>53327</v>
      </c>
      <c r="B407" s="90">
        <v>31</v>
      </c>
      <c r="C407" s="77">
        <f>122.58</f>
        <v>122.58</v>
      </c>
      <c r="D407" s="77">
        <f>297.941</f>
        <v>297.94099999999997</v>
      </c>
      <c r="E407" s="86">
        <f>89.177</f>
        <v>89.177000000000007</v>
      </c>
      <c r="F407" s="77">
        <f>240.302-40-60-100</f>
        <v>40.301999999999992</v>
      </c>
      <c r="G407" s="80">
        <v>40</v>
      </c>
      <c r="H407" s="77">
        <f>60+100</f>
        <v>160</v>
      </c>
      <c r="I407" s="77">
        <f t="shared" si="59"/>
        <v>0</v>
      </c>
      <c r="J407" s="80">
        <v>100</v>
      </c>
      <c r="K407" s="80">
        <v>300</v>
      </c>
      <c r="L407" s="77">
        <f t="shared" si="63"/>
        <v>1150</v>
      </c>
      <c r="M407" s="88">
        <v>600</v>
      </c>
      <c r="N407" s="77">
        <f>100</f>
        <v>100</v>
      </c>
      <c r="O407" s="80">
        <v>240</v>
      </c>
      <c r="P407" s="80">
        <v>40</v>
      </c>
      <c r="Q407" s="80">
        <f t="shared" si="64"/>
        <v>315</v>
      </c>
      <c r="R407" s="80">
        <f t="shared" si="65"/>
        <v>100</v>
      </c>
      <c r="S407" s="77">
        <f t="shared" si="66"/>
        <v>695</v>
      </c>
      <c r="T407" s="77">
        <f>50</f>
        <v>50</v>
      </c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</row>
    <row r="408" spans="1:30" ht="15.75" x14ac:dyDescent="0.25">
      <c r="A408" s="33">
        <v>53358</v>
      </c>
      <c r="B408" s="90">
        <v>31</v>
      </c>
      <c r="C408" s="77">
        <f>122.58</f>
        <v>122.58</v>
      </c>
      <c r="D408" s="77">
        <f>297.941</f>
        <v>297.94099999999997</v>
      </c>
      <c r="E408" s="86">
        <f>89.177</f>
        <v>89.177000000000007</v>
      </c>
      <c r="F408" s="77">
        <f>240.302-40-60-100</f>
        <v>40.301999999999992</v>
      </c>
      <c r="G408" s="80">
        <v>40</v>
      </c>
      <c r="H408" s="77">
        <f>60+100</f>
        <v>160</v>
      </c>
      <c r="I408" s="77">
        <f t="shared" si="59"/>
        <v>0</v>
      </c>
      <c r="J408" s="80">
        <v>100</v>
      </c>
      <c r="K408" s="80">
        <v>300</v>
      </c>
      <c r="L408" s="77">
        <f t="shared" si="63"/>
        <v>1150</v>
      </c>
      <c r="M408" s="88">
        <v>600</v>
      </c>
      <c r="N408" s="77">
        <f>100</f>
        <v>100</v>
      </c>
      <c r="O408" s="80">
        <v>240</v>
      </c>
      <c r="P408" s="80">
        <v>40</v>
      </c>
      <c r="Q408" s="80">
        <f t="shared" si="64"/>
        <v>315</v>
      </c>
      <c r="R408" s="80">
        <f t="shared" si="65"/>
        <v>100</v>
      </c>
      <c r="S408" s="77">
        <f t="shared" si="66"/>
        <v>695</v>
      </c>
      <c r="T408" s="77">
        <f>50</f>
        <v>50</v>
      </c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</row>
    <row r="409" spans="1:30" ht="15.75" x14ac:dyDescent="0.25">
      <c r="A409" s="33">
        <v>53386</v>
      </c>
      <c r="B409" s="90">
        <v>28</v>
      </c>
      <c r="C409" s="77">
        <f>122.58</f>
        <v>122.58</v>
      </c>
      <c r="D409" s="77">
        <f>297.941</f>
        <v>297.94099999999997</v>
      </c>
      <c r="E409" s="86">
        <f>89.177</f>
        <v>89.177000000000007</v>
      </c>
      <c r="F409" s="77">
        <f>240.302-40-60-100</f>
        <v>40.301999999999992</v>
      </c>
      <c r="G409" s="80">
        <v>40</v>
      </c>
      <c r="H409" s="77">
        <f>60+100</f>
        <v>160</v>
      </c>
      <c r="I409" s="77">
        <f t="shared" si="59"/>
        <v>0</v>
      </c>
      <c r="J409" s="80">
        <v>100</v>
      </c>
      <c r="K409" s="80">
        <v>300</v>
      </c>
      <c r="L409" s="77">
        <f t="shared" si="63"/>
        <v>1150</v>
      </c>
      <c r="M409" s="88">
        <v>600</v>
      </c>
      <c r="N409" s="77">
        <f>100</f>
        <v>100</v>
      </c>
      <c r="O409" s="80">
        <v>240</v>
      </c>
      <c r="P409" s="80">
        <v>40</v>
      </c>
      <c r="Q409" s="80">
        <f t="shared" si="64"/>
        <v>315</v>
      </c>
      <c r="R409" s="80">
        <f t="shared" si="65"/>
        <v>100</v>
      </c>
      <c r="S409" s="77">
        <f t="shared" si="66"/>
        <v>695</v>
      </c>
      <c r="T409" s="77">
        <f>50</f>
        <v>50</v>
      </c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</row>
    <row r="410" spans="1:30" ht="15.75" x14ac:dyDescent="0.25">
      <c r="A410" s="33">
        <v>53417</v>
      </c>
      <c r="B410" s="90">
        <v>31</v>
      </c>
      <c r="C410" s="77">
        <f>122.58</f>
        <v>122.58</v>
      </c>
      <c r="D410" s="77">
        <f>297.941</f>
        <v>297.94099999999997</v>
      </c>
      <c r="E410" s="86">
        <f>89.177</f>
        <v>89.177000000000007</v>
      </c>
      <c r="F410" s="77">
        <f>240.302-40-60-100</f>
        <v>40.301999999999992</v>
      </c>
      <c r="G410" s="80">
        <v>40</v>
      </c>
      <c r="H410" s="77">
        <f>60+100</f>
        <v>160</v>
      </c>
      <c r="I410" s="77">
        <f t="shared" si="59"/>
        <v>0</v>
      </c>
      <c r="J410" s="80">
        <v>100</v>
      </c>
      <c r="K410" s="80">
        <v>300</v>
      </c>
      <c r="L410" s="77">
        <f t="shared" si="63"/>
        <v>1150</v>
      </c>
      <c r="M410" s="88">
        <v>600</v>
      </c>
      <c r="N410" s="77">
        <f>100</f>
        <v>100</v>
      </c>
      <c r="O410" s="80">
        <v>240</v>
      </c>
      <c r="P410" s="80">
        <v>40</v>
      </c>
      <c r="Q410" s="80">
        <f t="shared" si="64"/>
        <v>315</v>
      </c>
      <c r="R410" s="80">
        <f t="shared" si="65"/>
        <v>100</v>
      </c>
      <c r="S410" s="77">
        <f t="shared" si="66"/>
        <v>695</v>
      </c>
      <c r="T410" s="77">
        <f>50</f>
        <v>50</v>
      </c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</row>
    <row r="411" spans="1:30" ht="15.75" x14ac:dyDescent="0.25">
      <c r="A411" s="33">
        <v>53447</v>
      </c>
      <c r="B411" s="90">
        <v>30</v>
      </c>
      <c r="C411" s="77">
        <f>141.293</f>
        <v>141.29300000000001</v>
      </c>
      <c r="D411" s="77">
        <f>267.993</f>
        <v>267.99299999999999</v>
      </c>
      <c r="E411" s="86">
        <f>115.016</f>
        <v>115.01600000000001</v>
      </c>
      <c r="F411" s="77">
        <f>314.698-40-25-60-100</f>
        <v>89.697999999999979</v>
      </c>
      <c r="G411" s="80">
        <v>40</v>
      </c>
      <c r="H411" s="77">
        <f t="shared" ref="H411:H417" si="67">25+60+100</f>
        <v>185</v>
      </c>
      <c r="I411" s="77">
        <f t="shared" si="59"/>
        <v>0</v>
      </c>
      <c r="J411" s="80">
        <v>100</v>
      </c>
      <c r="K411" s="80">
        <v>300</v>
      </c>
      <c r="L411" s="77">
        <f t="shared" si="63"/>
        <v>1239</v>
      </c>
      <c r="M411" s="88">
        <v>600</v>
      </c>
      <c r="N411" s="77">
        <f>100</f>
        <v>100</v>
      </c>
      <c r="O411" s="80">
        <v>240</v>
      </c>
      <c r="P411" s="80">
        <v>160</v>
      </c>
      <c r="Q411" s="80">
        <f t="shared" si="64"/>
        <v>195</v>
      </c>
      <c r="R411" s="80">
        <f t="shared" si="65"/>
        <v>100</v>
      </c>
      <c r="S411" s="77">
        <f t="shared" si="66"/>
        <v>695</v>
      </c>
      <c r="T411" s="77">
        <f>50</f>
        <v>50</v>
      </c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</row>
    <row r="412" spans="1:30" ht="15.75" x14ac:dyDescent="0.25">
      <c r="A412" s="33">
        <v>53478</v>
      </c>
      <c r="B412" s="90">
        <v>31</v>
      </c>
      <c r="C412" s="77">
        <f>194.205</f>
        <v>194.20500000000001</v>
      </c>
      <c r="D412" s="77">
        <f>267.466</f>
        <v>267.46600000000001</v>
      </c>
      <c r="E412" s="86">
        <f>133.845</f>
        <v>133.845</v>
      </c>
      <c r="F412" s="77">
        <f>278.484-40-25-60-100</f>
        <v>53.48399999999998</v>
      </c>
      <c r="G412" s="80">
        <v>40</v>
      </c>
      <c r="H412" s="77">
        <f t="shared" si="67"/>
        <v>185</v>
      </c>
      <c r="I412" s="77">
        <f t="shared" si="59"/>
        <v>0</v>
      </c>
      <c r="J412" s="80">
        <v>100</v>
      </c>
      <c r="K412" s="80">
        <v>300</v>
      </c>
      <c r="L412" s="77">
        <f t="shared" si="63"/>
        <v>1274</v>
      </c>
      <c r="M412" s="88">
        <v>600</v>
      </c>
      <c r="N412" s="77">
        <f>75</f>
        <v>75</v>
      </c>
      <c r="O412" s="80">
        <v>240</v>
      </c>
      <c r="P412" s="80">
        <v>160</v>
      </c>
      <c r="Q412" s="80">
        <f t="shared" si="64"/>
        <v>195</v>
      </c>
      <c r="R412" s="80">
        <f t="shared" si="65"/>
        <v>100</v>
      </c>
      <c r="S412" s="77">
        <f t="shared" si="66"/>
        <v>695</v>
      </c>
      <c r="T412" s="77">
        <f>50</f>
        <v>50</v>
      </c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</row>
    <row r="413" spans="1:30" ht="15.75" x14ac:dyDescent="0.25">
      <c r="A413" s="33">
        <v>53508</v>
      </c>
      <c r="B413" s="90">
        <v>30</v>
      </c>
      <c r="C413" s="77">
        <f>194.205</f>
        <v>194.20500000000001</v>
      </c>
      <c r="D413" s="77">
        <f>267.466</f>
        <v>267.46600000000001</v>
      </c>
      <c r="E413" s="86">
        <f>133.845</f>
        <v>133.845</v>
      </c>
      <c r="F413" s="77">
        <f>278.484-40-25-60-100</f>
        <v>53.48399999999998</v>
      </c>
      <c r="G413" s="80">
        <v>40</v>
      </c>
      <c r="H413" s="77">
        <f t="shared" si="67"/>
        <v>185</v>
      </c>
      <c r="I413" s="77">
        <f t="shared" si="59"/>
        <v>0</v>
      </c>
      <c r="J413" s="80">
        <v>100</v>
      </c>
      <c r="K413" s="80">
        <v>300</v>
      </c>
      <c r="L413" s="77">
        <f t="shared" si="63"/>
        <v>1274</v>
      </c>
      <c r="M413" s="88">
        <v>600</v>
      </c>
      <c r="N413" s="77">
        <f>30</f>
        <v>30</v>
      </c>
      <c r="O413" s="80">
        <v>240</v>
      </c>
      <c r="P413" s="80">
        <v>160</v>
      </c>
      <c r="Q413" s="80">
        <f t="shared" si="64"/>
        <v>195</v>
      </c>
      <c r="R413" s="80">
        <f t="shared" si="65"/>
        <v>100</v>
      </c>
      <c r="S413" s="77">
        <f t="shared" si="66"/>
        <v>695</v>
      </c>
      <c r="T413" s="77">
        <f>50</f>
        <v>50</v>
      </c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</row>
    <row r="414" spans="1:30" ht="15.75" x14ac:dyDescent="0.25">
      <c r="A414" s="33">
        <v>53539</v>
      </c>
      <c r="B414" s="90">
        <v>31</v>
      </c>
      <c r="C414" s="77">
        <f>194.205</f>
        <v>194.20500000000001</v>
      </c>
      <c r="D414" s="77">
        <f>267.466</f>
        <v>267.46600000000001</v>
      </c>
      <c r="E414" s="86">
        <f>133.845</f>
        <v>133.845</v>
      </c>
      <c r="F414" s="77">
        <f>278.484-40-25-60-100</f>
        <v>53.48399999999998</v>
      </c>
      <c r="G414" s="80">
        <v>40</v>
      </c>
      <c r="H414" s="77">
        <f t="shared" si="67"/>
        <v>185</v>
      </c>
      <c r="I414" s="77">
        <f t="shared" si="59"/>
        <v>0</v>
      </c>
      <c r="J414" s="80">
        <v>100</v>
      </c>
      <c r="K414" s="80">
        <v>300</v>
      </c>
      <c r="L414" s="77">
        <f t="shared" si="63"/>
        <v>1274</v>
      </c>
      <c r="M414" s="88">
        <v>600</v>
      </c>
      <c r="N414" s="77">
        <f>30</f>
        <v>30</v>
      </c>
      <c r="O414" s="80">
        <v>240</v>
      </c>
      <c r="P414" s="80">
        <v>160</v>
      </c>
      <c r="Q414" s="80">
        <f t="shared" si="64"/>
        <v>195</v>
      </c>
      <c r="R414" s="80">
        <f t="shared" si="65"/>
        <v>100</v>
      </c>
      <c r="S414" s="77">
        <f t="shared" si="66"/>
        <v>695</v>
      </c>
      <c r="T414" s="77">
        <f>0</f>
        <v>0</v>
      </c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</row>
    <row r="415" spans="1:30" ht="15.75" x14ac:dyDescent="0.25">
      <c r="A415" s="33">
        <v>53570</v>
      </c>
      <c r="B415" s="90">
        <v>31</v>
      </c>
      <c r="C415" s="77">
        <f>194.205</f>
        <v>194.20500000000001</v>
      </c>
      <c r="D415" s="77">
        <f>267.466</f>
        <v>267.46600000000001</v>
      </c>
      <c r="E415" s="86">
        <f>133.845</f>
        <v>133.845</v>
      </c>
      <c r="F415" s="77">
        <f>278.484-40-25-60-100</f>
        <v>53.48399999999998</v>
      </c>
      <c r="G415" s="80">
        <v>40</v>
      </c>
      <c r="H415" s="77">
        <f t="shared" si="67"/>
        <v>185</v>
      </c>
      <c r="I415" s="77">
        <f t="shared" si="59"/>
        <v>0</v>
      </c>
      <c r="J415" s="80">
        <v>100</v>
      </c>
      <c r="K415" s="80">
        <v>300</v>
      </c>
      <c r="L415" s="77">
        <f t="shared" si="63"/>
        <v>1274</v>
      </c>
      <c r="M415" s="88">
        <v>600</v>
      </c>
      <c r="N415" s="77">
        <f>30</f>
        <v>30</v>
      </c>
      <c r="O415" s="80">
        <v>240</v>
      </c>
      <c r="P415" s="80">
        <v>160</v>
      </c>
      <c r="Q415" s="80">
        <f t="shared" si="64"/>
        <v>195</v>
      </c>
      <c r="R415" s="80">
        <f t="shared" si="65"/>
        <v>100</v>
      </c>
      <c r="S415" s="77">
        <f t="shared" si="66"/>
        <v>695</v>
      </c>
      <c r="T415" s="77">
        <f>0</f>
        <v>0</v>
      </c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</row>
    <row r="416" spans="1:30" ht="15.75" x14ac:dyDescent="0.25">
      <c r="A416" s="33">
        <v>53600</v>
      </c>
      <c r="B416" s="90">
        <v>30</v>
      </c>
      <c r="C416" s="77">
        <f>194.205</f>
        <v>194.20500000000001</v>
      </c>
      <c r="D416" s="77">
        <f>267.466</f>
        <v>267.46600000000001</v>
      </c>
      <c r="E416" s="86">
        <f>133.845</f>
        <v>133.845</v>
      </c>
      <c r="F416" s="77">
        <f>278.484-40-25-60-100</f>
        <v>53.48399999999998</v>
      </c>
      <c r="G416" s="80">
        <v>40</v>
      </c>
      <c r="H416" s="77">
        <f t="shared" si="67"/>
        <v>185</v>
      </c>
      <c r="I416" s="77">
        <f t="shared" si="59"/>
        <v>0</v>
      </c>
      <c r="J416" s="80">
        <v>100</v>
      </c>
      <c r="K416" s="80">
        <v>300</v>
      </c>
      <c r="L416" s="77">
        <f t="shared" si="63"/>
        <v>1274</v>
      </c>
      <c r="M416" s="88">
        <v>600</v>
      </c>
      <c r="N416" s="77">
        <f>30</f>
        <v>30</v>
      </c>
      <c r="O416" s="80">
        <v>240</v>
      </c>
      <c r="P416" s="80">
        <v>160</v>
      </c>
      <c r="Q416" s="80">
        <f t="shared" si="64"/>
        <v>195</v>
      </c>
      <c r="R416" s="80">
        <f t="shared" si="65"/>
        <v>100</v>
      </c>
      <c r="S416" s="77">
        <f t="shared" si="66"/>
        <v>695</v>
      </c>
      <c r="T416" s="77">
        <f>0</f>
        <v>0</v>
      </c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</row>
    <row r="417" spans="1:30" ht="15.75" x14ac:dyDescent="0.25">
      <c r="A417" s="33">
        <v>53631</v>
      </c>
      <c r="B417" s="90">
        <v>31</v>
      </c>
      <c r="C417" s="77">
        <f>131.881</f>
        <v>131.881</v>
      </c>
      <c r="D417" s="77">
        <f>277.167</f>
        <v>277.16699999999997</v>
      </c>
      <c r="E417" s="86">
        <f>79.08</f>
        <v>79.08</v>
      </c>
      <c r="F417" s="77">
        <f>350.872-40-25-60-100</f>
        <v>125.87200000000001</v>
      </c>
      <c r="G417" s="80">
        <v>40</v>
      </c>
      <c r="H417" s="77">
        <f t="shared" si="67"/>
        <v>185</v>
      </c>
      <c r="I417" s="77">
        <f t="shared" si="59"/>
        <v>0</v>
      </c>
      <c r="J417" s="80">
        <v>100</v>
      </c>
      <c r="K417" s="80">
        <v>300</v>
      </c>
      <c r="L417" s="77">
        <f t="shared" si="63"/>
        <v>1239</v>
      </c>
      <c r="M417" s="88">
        <v>600</v>
      </c>
      <c r="N417" s="77">
        <f>75</f>
        <v>75</v>
      </c>
      <c r="O417" s="80">
        <v>240</v>
      </c>
      <c r="P417" s="80">
        <v>160</v>
      </c>
      <c r="Q417" s="80">
        <f t="shared" si="64"/>
        <v>195</v>
      </c>
      <c r="R417" s="80">
        <f t="shared" si="65"/>
        <v>100</v>
      </c>
      <c r="S417" s="77">
        <f t="shared" si="66"/>
        <v>695</v>
      </c>
      <c r="T417" s="77">
        <f>0</f>
        <v>0</v>
      </c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</row>
    <row r="418" spans="1:30" ht="15.75" x14ac:dyDescent="0.25">
      <c r="A418" s="33">
        <v>53661</v>
      </c>
      <c r="B418" s="90">
        <v>30</v>
      </c>
      <c r="C418" s="77">
        <f>122.58</f>
        <v>122.58</v>
      </c>
      <c r="D418" s="77">
        <f>297.941</f>
        <v>297.94099999999997</v>
      </c>
      <c r="E418" s="86">
        <f>89.177</f>
        <v>89.177000000000007</v>
      </c>
      <c r="F418" s="77">
        <f>240.302-40-60-100</f>
        <v>40.301999999999992</v>
      </c>
      <c r="G418" s="80">
        <v>40</v>
      </c>
      <c r="H418" s="77">
        <f>60+100</f>
        <v>160</v>
      </c>
      <c r="I418" s="77">
        <f t="shared" si="59"/>
        <v>0</v>
      </c>
      <c r="J418" s="80">
        <v>100</v>
      </c>
      <c r="K418" s="80">
        <v>300</v>
      </c>
      <c r="L418" s="77">
        <f t="shared" si="63"/>
        <v>1150</v>
      </c>
      <c r="M418" s="88">
        <v>600</v>
      </c>
      <c r="N418" s="77">
        <f>100</f>
        <v>100</v>
      </c>
      <c r="O418" s="80">
        <v>240</v>
      </c>
      <c r="P418" s="80">
        <v>40</v>
      </c>
      <c r="Q418" s="80">
        <f t="shared" si="64"/>
        <v>315</v>
      </c>
      <c r="R418" s="80">
        <f t="shared" si="65"/>
        <v>100</v>
      </c>
      <c r="S418" s="77">
        <f t="shared" si="66"/>
        <v>695</v>
      </c>
      <c r="T418" s="77">
        <f>50</f>
        <v>50</v>
      </c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</row>
    <row r="419" spans="1:30" ht="15.75" x14ac:dyDescent="0.25">
      <c r="A419" s="33">
        <v>53692</v>
      </c>
      <c r="B419" s="90">
        <v>31</v>
      </c>
      <c r="C419" s="77">
        <f>122.58</f>
        <v>122.58</v>
      </c>
      <c r="D419" s="77">
        <f>297.941</f>
        <v>297.94099999999997</v>
      </c>
      <c r="E419" s="86">
        <f>89.177</f>
        <v>89.177000000000007</v>
      </c>
      <c r="F419" s="77">
        <f>240.302-40-60-100</f>
        <v>40.301999999999992</v>
      </c>
      <c r="G419" s="80">
        <v>40</v>
      </c>
      <c r="H419" s="77">
        <f>60+100</f>
        <v>160</v>
      </c>
      <c r="I419" s="77">
        <f t="shared" si="59"/>
        <v>0</v>
      </c>
      <c r="J419" s="80">
        <v>100</v>
      </c>
      <c r="K419" s="80">
        <v>300</v>
      </c>
      <c r="L419" s="77">
        <f t="shared" si="63"/>
        <v>1150</v>
      </c>
      <c r="M419" s="88">
        <v>600</v>
      </c>
      <c r="N419" s="77">
        <f>100</f>
        <v>100</v>
      </c>
      <c r="O419" s="80">
        <v>240</v>
      </c>
      <c r="P419" s="80">
        <v>40</v>
      </c>
      <c r="Q419" s="80">
        <f t="shared" si="64"/>
        <v>315</v>
      </c>
      <c r="R419" s="80">
        <f t="shared" si="65"/>
        <v>100</v>
      </c>
      <c r="S419" s="77">
        <f t="shared" si="66"/>
        <v>695</v>
      </c>
      <c r="T419" s="77">
        <f>50</f>
        <v>50</v>
      </c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</row>
    <row r="420" spans="1:30" ht="15.75" x14ac:dyDescent="0.25">
      <c r="A420" s="33">
        <v>53723</v>
      </c>
      <c r="B420" s="90">
        <v>31</v>
      </c>
      <c r="C420" s="77">
        <f>122.58</f>
        <v>122.58</v>
      </c>
      <c r="D420" s="77">
        <f>297.941</f>
        <v>297.94099999999997</v>
      </c>
      <c r="E420" s="86">
        <f>89.177</f>
        <v>89.177000000000007</v>
      </c>
      <c r="F420" s="77">
        <f>240.302-40-60-100</f>
        <v>40.301999999999992</v>
      </c>
      <c r="G420" s="80">
        <v>40</v>
      </c>
      <c r="H420" s="77">
        <f>60+100</f>
        <v>160</v>
      </c>
      <c r="I420" s="77">
        <f t="shared" si="59"/>
        <v>0</v>
      </c>
      <c r="J420" s="80">
        <v>100</v>
      </c>
      <c r="K420" s="80">
        <v>300</v>
      </c>
      <c r="L420" s="77">
        <f t="shared" si="63"/>
        <v>1150</v>
      </c>
      <c r="M420" s="88">
        <v>600</v>
      </c>
      <c r="N420" s="77">
        <f>100</f>
        <v>100</v>
      </c>
      <c r="O420" s="80">
        <v>240</v>
      </c>
      <c r="P420" s="80">
        <v>40</v>
      </c>
      <c r="Q420" s="80">
        <f t="shared" si="64"/>
        <v>315</v>
      </c>
      <c r="R420" s="80">
        <f t="shared" si="65"/>
        <v>100</v>
      </c>
      <c r="S420" s="77">
        <f t="shared" si="66"/>
        <v>695</v>
      </c>
      <c r="T420" s="77">
        <f>50</f>
        <v>50</v>
      </c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</row>
    <row r="421" spans="1:30" ht="15.75" x14ac:dyDescent="0.25">
      <c r="A421" s="33">
        <v>53751</v>
      </c>
      <c r="B421" s="90">
        <v>28</v>
      </c>
      <c r="C421" s="77">
        <f>122.58</f>
        <v>122.58</v>
      </c>
      <c r="D421" s="77">
        <f>297.941</f>
        <v>297.94099999999997</v>
      </c>
      <c r="E421" s="86">
        <f>89.177</f>
        <v>89.177000000000007</v>
      </c>
      <c r="F421" s="77">
        <f>240.302-40-60-100</f>
        <v>40.301999999999992</v>
      </c>
      <c r="G421" s="80">
        <v>40</v>
      </c>
      <c r="H421" s="77">
        <f>60+100</f>
        <v>160</v>
      </c>
      <c r="I421" s="77">
        <f t="shared" si="59"/>
        <v>0</v>
      </c>
      <c r="J421" s="80">
        <v>100</v>
      </c>
      <c r="K421" s="80">
        <v>300</v>
      </c>
      <c r="L421" s="77">
        <f t="shared" si="63"/>
        <v>1150</v>
      </c>
      <c r="M421" s="88">
        <v>600</v>
      </c>
      <c r="N421" s="77">
        <f>100</f>
        <v>100</v>
      </c>
      <c r="O421" s="80">
        <v>240</v>
      </c>
      <c r="P421" s="80">
        <v>40</v>
      </c>
      <c r="Q421" s="80">
        <f t="shared" si="64"/>
        <v>315</v>
      </c>
      <c r="R421" s="80">
        <f t="shared" si="65"/>
        <v>100</v>
      </c>
      <c r="S421" s="77">
        <f t="shared" si="66"/>
        <v>695</v>
      </c>
      <c r="T421" s="77">
        <f>50</f>
        <v>50</v>
      </c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</row>
    <row r="422" spans="1:30" ht="15.75" x14ac:dyDescent="0.25">
      <c r="A422" s="33">
        <v>53782</v>
      </c>
      <c r="B422" s="90">
        <v>31</v>
      </c>
      <c r="C422" s="77">
        <f>122.58</f>
        <v>122.58</v>
      </c>
      <c r="D422" s="77">
        <f>297.941</f>
        <v>297.94099999999997</v>
      </c>
      <c r="E422" s="86">
        <f>89.177</f>
        <v>89.177000000000007</v>
      </c>
      <c r="F422" s="77">
        <f>240.302-40-60-100</f>
        <v>40.301999999999992</v>
      </c>
      <c r="G422" s="80">
        <v>40</v>
      </c>
      <c r="H422" s="77">
        <f>60+100</f>
        <v>160</v>
      </c>
      <c r="I422" s="77">
        <f t="shared" si="59"/>
        <v>0</v>
      </c>
      <c r="J422" s="80">
        <v>100</v>
      </c>
      <c r="K422" s="80">
        <v>300</v>
      </c>
      <c r="L422" s="77">
        <f t="shared" si="63"/>
        <v>1150</v>
      </c>
      <c r="M422" s="88">
        <v>600</v>
      </c>
      <c r="N422" s="77">
        <f>100</f>
        <v>100</v>
      </c>
      <c r="O422" s="80">
        <v>240</v>
      </c>
      <c r="P422" s="80">
        <v>40</v>
      </c>
      <c r="Q422" s="80">
        <f t="shared" si="64"/>
        <v>315</v>
      </c>
      <c r="R422" s="80">
        <f t="shared" si="65"/>
        <v>100</v>
      </c>
      <c r="S422" s="77">
        <f t="shared" si="66"/>
        <v>695</v>
      </c>
      <c r="T422" s="77">
        <f>50</f>
        <v>50</v>
      </c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</row>
    <row r="423" spans="1:30" ht="15.75" x14ac:dyDescent="0.25">
      <c r="A423" s="33">
        <v>53812</v>
      </c>
      <c r="B423" s="90">
        <v>30</v>
      </c>
      <c r="C423" s="77">
        <f>141.293</f>
        <v>141.29300000000001</v>
      </c>
      <c r="D423" s="77">
        <f>267.993</f>
        <v>267.99299999999999</v>
      </c>
      <c r="E423" s="86">
        <f>115.016</f>
        <v>115.01600000000001</v>
      </c>
      <c r="F423" s="77">
        <f>314.698-40-25-60-100</f>
        <v>89.697999999999979</v>
      </c>
      <c r="G423" s="80">
        <v>40</v>
      </c>
      <c r="H423" s="77">
        <f t="shared" ref="H423:H429" si="68">25+60+100</f>
        <v>185</v>
      </c>
      <c r="I423" s="77">
        <f t="shared" si="59"/>
        <v>0</v>
      </c>
      <c r="J423" s="80">
        <v>100</v>
      </c>
      <c r="K423" s="80">
        <v>300</v>
      </c>
      <c r="L423" s="77">
        <f t="shared" si="63"/>
        <v>1239</v>
      </c>
      <c r="M423" s="88">
        <v>600</v>
      </c>
      <c r="N423" s="77">
        <f>100</f>
        <v>100</v>
      </c>
      <c r="O423" s="80">
        <v>240</v>
      </c>
      <c r="P423" s="80">
        <v>160</v>
      </c>
      <c r="Q423" s="80">
        <f t="shared" si="64"/>
        <v>195</v>
      </c>
      <c r="R423" s="80">
        <f t="shared" si="65"/>
        <v>100</v>
      </c>
      <c r="S423" s="77">
        <f t="shared" si="66"/>
        <v>695</v>
      </c>
      <c r="T423" s="77">
        <f>50</f>
        <v>50</v>
      </c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</row>
    <row r="424" spans="1:30" ht="15.75" x14ac:dyDescent="0.25">
      <c r="A424" s="33">
        <v>53843</v>
      </c>
      <c r="B424" s="90">
        <v>31</v>
      </c>
      <c r="C424" s="77">
        <f>194.205</f>
        <v>194.20500000000001</v>
      </c>
      <c r="D424" s="77">
        <f>267.466</f>
        <v>267.46600000000001</v>
      </c>
      <c r="E424" s="86">
        <f>133.845</f>
        <v>133.845</v>
      </c>
      <c r="F424" s="77">
        <f>278.484-40-25-60-100</f>
        <v>53.48399999999998</v>
      </c>
      <c r="G424" s="80">
        <v>40</v>
      </c>
      <c r="H424" s="77">
        <f t="shared" si="68"/>
        <v>185</v>
      </c>
      <c r="I424" s="77">
        <f t="shared" si="59"/>
        <v>0</v>
      </c>
      <c r="J424" s="80">
        <v>100</v>
      </c>
      <c r="K424" s="80">
        <v>300</v>
      </c>
      <c r="L424" s="77">
        <f t="shared" si="63"/>
        <v>1274</v>
      </c>
      <c r="M424" s="88">
        <v>600</v>
      </c>
      <c r="N424" s="77">
        <f>75</f>
        <v>75</v>
      </c>
      <c r="O424" s="80">
        <v>240</v>
      </c>
      <c r="P424" s="80">
        <v>160</v>
      </c>
      <c r="Q424" s="80">
        <f t="shared" si="64"/>
        <v>195</v>
      </c>
      <c r="R424" s="80">
        <f t="shared" si="65"/>
        <v>100</v>
      </c>
      <c r="S424" s="77">
        <f t="shared" si="66"/>
        <v>695</v>
      </c>
      <c r="T424" s="77">
        <f>50</f>
        <v>50</v>
      </c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</row>
    <row r="425" spans="1:30" ht="15.75" x14ac:dyDescent="0.25">
      <c r="A425" s="33">
        <v>53873</v>
      </c>
      <c r="B425" s="90">
        <v>30</v>
      </c>
      <c r="C425" s="77">
        <f>194.205</f>
        <v>194.20500000000001</v>
      </c>
      <c r="D425" s="77">
        <f>267.466</f>
        <v>267.46600000000001</v>
      </c>
      <c r="E425" s="86">
        <f>133.845</f>
        <v>133.845</v>
      </c>
      <c r="F425" s="77">
        <f>278.484-40-25-60-100</f>
        <v>53.48399999999998</v>
      </c>
      <c r="G425" s="80">
        <v>40</v>
      </c>
      <c r="H425" s="77">
        <f t="shared" si="68"/>
        <v>185</v>
      </c>
      <c r="I425" s="77">
        <f t="shared" si="59"/>
        <v>0</v>
      </c>
      <c r="J425" s="80">
        <v>100</v>
      </c>
      <c r="K425" s="80">
        <v>300</v>
      </c>
      <c r="L425" s="77">
        <f t="shared" si="63"/>
        <v>1274</v>
      </c>
      <c r="M425" s="88">
        <v>600</v>
      </c>
      <c r="N425" s="77">
        <f>30</f>
        <v>30</v>
      </c>
      <c r="O425" s="80">
        <v>240</v>
      </c>
      <c r="P425" s="80">
        <v>160</v>
      </c>
      <c r="Q425" s="80">
        <f t="shared" si="64"/>
        <v>195</v>
      </c>
      <c r="R425" s="80">
        <f t="shared" si="65"/>
        <v>100</v>
      </c>
      <c r="S425" s="77">
        <f t="shared" si="66"/>
        <v>695</v>
      </c>
      <c r="T425" s="77">
        <f>50</f>
        <v>50</v>
      </c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</row>
    <row r="426" spans="1:30" ht="15.75" x14ac:dyDescent="0.25">
      <c r="A426" s="33">
        <v>53904</v>
      </c>
      <c r="B426" s="90">
        <v>31</v>
      </c>
      <c r="C426" s="77">
        <f>194.205</f>
        <v>194.20500000000001</v>
      </c>
      <c r="D426" s="77">
        <f>267.466</f>
        <v>267.46600000000001</v>
      </c>
      <c r="E426" s="86">
        <f>133.845</f>
        <v>133.845</v>
      </c>
      <c r="F426" s="77">
        <f>278.484-40-25-60-100</f>
        <v>53.48399999999998</v>
      </c>
      <c r="G426" s="80">
        <v>40</v>
      </c>
      <c r="H426" s="77">
        <f t="shared" si="68"/>
        <v>185</v>
      </c>
      <c r="I426" s="77">
        <f t="shared" si="59"/>
        <v>0</v>
      </c>
      <c r="J426" s="80">
        <v>100</v>
      </c>
      <c r="K426" s="80">
        <v>300</v>
      </c>
      <c r="L426" s="77">
        <f t="shared" si="63"/>
        <v>1274</v>
      </c>
      <c r="M426" s="88">
        <v>600</v>
      </c>
      <c r="N426" s="77">
        <f>30</f>
        <v>30</v>
      </c>
      <c r="O426" s="80">
        <v>240</v>
      </c>
      <c r="P426" s="80">
        <v>160</v>
      </c>
      <c r="Q426" s="80">
        <f t="shared" si="64"/>
        <v>195</v>
      </c>
      <c r="R426" s="80">
        <f t="shared" si="65"/>
        <v>100</v>
      </c>
      <c r="S426" s="77">
        <f t="shared" si="66"/>
        <v>695</v>
      </c>
      <c r="T426" s="77">
        <f>0</f>
        <v>0</v>
      </c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</row>
    <row r="427" spans="1:30" ht="15.75" x14ac:dyDescent="0.25">
      <c r="A427" s="33">
        <v>53935</v>
      </c>
      <c r="B427" s="90">
        <v>31</v>
      </c>
      <c r="C427" s="77">
        <f>194.205</f>
        <v>194.20500000000001</v>
      </c>
      <c r="D427" s="77">
        <f>267.466</f>
        <v>267.46600000000001</v>
      </c>
      <c r="E427" s="86">
        <f>133.845</f>
        <v>133.845</v>
      </c>
      <c r="F427" s="77">
        <f>278.484-40-25-60-100</f>
        <v>53.48399999999998</v>
      </c>
      <c r="G427" s="80">
        <v>40</v>
      </c>
      <c r="H427" s="77">
        <f t="shared" si="68"/>
        <v>185</v>
      </c>
      <c r="I427" s="77">
        <f t="shared" si="59"/>
        <v>0</v>
      </c>
      <c r="J427" s="80">
        <v>100</v>
      </c>
      <c r="K427" s="80">
        <v>300</v>
      </c>
      <c r="L427" s="77">
        <f t="shared" si="63"/>
        <v>1274</v>
      </c>
      <c r="M427" s="88">
        <v>600</v>
      </c>
      <c r="N427" s="77">
        <f>30</f>
        <v>30</v>
      </c>
      <c r="O427" s="80">
        <v>240</v>
      </c>
      <c r="P427" s="80">
        <v>160</v>
      </c>
      <c r="Q427" s="80">
        <f t="shared" si="64"/>
        <v>195</v>
      </c>
      <c r="R427" s="80">
        <f t="shared" si="65"/>
        <v>100</v>
      </c>
      <c r="S427" s="77">
        <f t="shared" si="66"/>
        <v>695</v>
      </c>
      <c r="T427" s="77">
        <f>0</f>
        <v>0</v>
      </c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</row>
    <row r="428" spans="1:30" ht="15.75" x14ac:dyDescent="0.25">
      <c r="A428" s="33">
        <v>53965</v>
      </c>
      <c r="B428" s="90">
        <v>30</v>
      </c>
      <c r="C428" s="77">
        <f>194.205</f>
        <v>194.20500000000001</v>
      </c>
      <c r="D428" s="77">
        <f>267.466</f>
        <v>267.46600000000001</v>
      </c>
      <c r="E428" s="86">
        <f>133.845</f>
        <v>133.845</v>
      </c>
      <c r="F428" s="77">
        <f>278.484-40-25-60-100</f>
        <v>53.48399999999998</v>
      </c>
      <c r="G428" s="80">
        <v>40</v>
      </c>
      <c r="H428" s="77">
        <f t="shared" si="68"/>
        <v>185</v>
      </c>
      <c r="I428" s="77">
        <f t="shared" si="59"/>
        <v>0</v>
      </c>
      <c r="J428" s="80">
        <v>100</v>
      </c>
      <c r="K428" s="80">
        <v>300</v>
      </c>
      <c r="L428" s="77">
        <f t="shared" si="63"/>
        <v>1274</v>
      </c>
      <c r="M428" s="88">
        <v>600</v>
      </c>
      <c r="N428" s="77">
        <f>30</f>
        <v>30</v>
      </c>
      <c r="O428" s="80">
        <v>240</v>
      </c>
      <c r="P428" s="80">
        <v>160</v>
      </c>
      <c r="Q428" s="80">
        <f t="shared" si="64"/>
        <v>195</v>
      </c>
      <c r="R428" s="80">
        <f t="shared" si="65"/>
        <v>100</v>
      </c>
      <c r="S428" s="77">
        <f t="shared" si="66"/>
        <v>695</v>
      </c>
      <c r="T428" s="77">
        <f>0</f>
        <v>0</v>
      </c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</row>
    <row r="429" spans="1:30" ht="15.75" x14ac:dyDescent="0.25">
      <c r="A429" s="33">
        <v>53996</v>
      </c>
      <c r="B429" s="90">
        <v>31</v>
      </c>
      <c r="C429" s="77">
        <f>131.881</f>
        <v>131.881</v>
      </c>
      <c r="D429" s="77">
        <f>277.167</f>
        <v>277.16699999999997</v>
      </c>
      <c r="E429" s="86">
        <f>79.08</f>
        <v>79.08</v>
      </c>
      <c r="F429" s="77">
        <f>350.872-40-25-60-100</f>
        <v>125.87200000000001</v>
      </c>
      <c r="G429" s="80">
        <v>40</v>
      </c>
      <c r="H429" s="77">
        <f t="shared" si="68"/>
        <v>185</v>
      </c>
      <c r="I429" s="77">
        <f t="shared" si="59"/>
        <v>0</v>
      </c>
      <c r="J429" s="80">
        <v>100</v>
      </c>
      <c r="K429" s="80">
        <v>300</v>
      </c>
      <c r="L429" s="77">
        <f t="shared" si="63"/>
        <v>1239</v>
      </c>
      <c r="M429" s="88">
        <v>600</v>
      </c>
      <c r="N429" s="77">
        <f>75</f>
        <v>75</v>
      </c>
      <c r="O429" s="80">
        <v>240</v>
      </c>
      <c r="P429" s="80">
        <v>160</v>
      </c>
      <c r="Q429" s="80">
        <f t="shared" si="64"/>
        <v>195</v>
      </c>
      <c r="R429" s="80">
        <f t="shared" si="65"/>
        <v>100</v>
      </c>
      <c r="S429" s="77">
        <f t="shared" si="66"/>
        <v>695</v>
      </c>
      <c r="T429" s="77">
        <f>0</f>
        <v>0</v>
      </c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</row>
    <row r="430" spans="1:30" ht="15.75" x14ac:dyDescent="0.25">
      <c r="A430" s="33">
        <v>54026</v>
      </c>
      <c r="B430" s="90">
        <v>30</v>
      </c>
      <c r="C430" s="77">
        <f>122.58</f>
        <v>122.58</v>
      </c>
      <c r="D430" s="77">
        <f>297.941</f>
        <v>297.94099999999997</v>
      </c>
      <c r="E430" s="86">
        <f>89.177</f>
        <v>89.177000000000007</v>
      </c>
      <c r="F430" s="77">
        <f>240.302-40-60-100</f>
        <v>40.301999999999992</v>
      </c>
      <c r="G430" s="80">
        <v>40</v>
      </c>
      <c r="H430" s="77">
        <f>60+100</f>
        <v>160</v>
      </c>
      <c r="I430" s="77">
        <f t="shared" si="59"/>
        <v>0</v>
      </c>
      <c r="J430" s="80">
        <v>100</v>
      </c>
      <c r="K430" s="80">
        <v>300</v>
      </c>
      <c r="L430" s="77">
        <f t="shared" si="63"/>
        <v>1150</v>
      </c>
      <c r="M430" s="88">
        <v>600</v>
      </c>
      <c r="N430" s="77">
        <f>100</f>
        <v>100</v>
      </c>
      <c r="O430" s="80">
        <v>240</v>
      </c>
      <c r="P430" s="80">
        <v>40</v>
      </c>
      <c r="Q430" s="80">
        <f t="shared" si="64"/>
        <v>315</v>
      </c>
      <c r="R430" s="80">
        <f t="shared" si="65"/>
        <v>100</v>
      </c>
      <c r="S430" s="77">
        <f t="shared" si="66"/>
        <v>695</v>
      </c>
      <c r="T430" s="77">
        <f>50</f>
        <v>50</v>
      </c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</row>
    <row r="431" spans="1:30" ht="15.75" x14ac:dyDescent="0.25">
      <c r="A431" s="33">
        <v>54057</v>
      </c>
      <c r="B431" s="90">
        <v>31</v>
      </c>
      <c r="C431" s="77">
        <f>122.58</f>
        <v>122.58</v>
      </c>
      <c r="D431" s="77">
        <f>297.941</f>
        <v>297.94099999999997</v>
      </c>
      <c r="E431" s="86">
        <f>89.177</f>
        <v>89.177000000000007</v>
      </c>
      <c r="F431" s="77">
        <f>240.302-40-60-100</f>
        <v>40.301999999999992</v>
      </c>
      <c r="G431" s="80">
        <v>40</v>
      </c>
      <c r="H431" s="77">
        <f>60+100</f>
        <v>160</v>
      </c>
      <c r="I431" s="77">
        <f t="shared" si="59"/>
        <v>0</v>
      </c>
      <c r="J431" s="80">
        <v>100</v>
      </c>
      <c r="K431" s="80">
        <v>300</v>
      </c>
      <c r="L431" s="77">
        <f t="shared" si="63"/>
        <v>1150</v>
      </c>
      <c r="M431" s="88">
        <v>600</v>
      </c>
      <c r="N431" s="77">
        <f>100</f>
        <v>100</v>
      </c>
      <c r="O431" s="80">
        <v>240</v>
      </c>
      <c r="P431" s="80">
        <v>40</v>
      </c>
      <c r="Q431" s="80">
        <f t="shared" si="64"/>
        <v>315</v>
      </c>
      <c r="R431" s="80">
        <f t="shared" si="65"/>
        <v>100</v>
      </c>
      <c r="S431" s="77">
        <f t="shared" si="66"/>
        <v>695</v>
      </c>
      <c r="T431" s="77">
        <f>50</f>
        <v>50</v>
      </c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</row>
    <row r="432" spans="1:30" ht="15.75" x14ac:dyDescent="0.25">
      <c r="A432" s="33">
        <v>54088</v>
      </c>
      <c r="B432" s="90">
        <v>31</v>
      </c>
      <c r="C432" s="77">
        <f>122.58</f>
        <v>122.58</v>
      </c>
      <c r="D432" s="77">
        <f>297.941</f>
        <v>297.94099999999997</v>
      </c>
      <c r="E432" s="86">
        <f>89.177</f>
        <v>89.177000000000007</v>
      </c>
      <c r="F432" s="77">
        <f>240.302-40-60-100</f>
        <v>40.301999999999992</v>
      </c>
      <c r="G432" s="80">
        <v>40</v>
      </c>
      <c r="H432" s="77">
        <f>60+100</f>
        <v>160</v>
      </c>
      <c r="I432" s="77">
        <f t="shared" si="59"/>
        <v>0</v>
      </c>
      <c r="J432" s="80">
        <v>100</v>
      </c>
      <c r="K432" s="80">
        <v>300</v>
      </c>
      <c r="L432" s="77">
        <f t="shared" si="63"/>
        <v>1150</v>
      </c>
      <c r="M432" s="88">
        <v>600</v>
      </c>
      <c r="N432" s="77">
        <f>100</f>
        <v>100</v>
      </c>
      <c r="O432" s="80">
        <v>240</v>
      </c>
      <c r="P432" s="80">
        <v>40</v>
      </c>
      <c r="Q432" s="80">
        <f t="shared" si="64"/>
        <v>315</v>
      </c>
      <c r="R432" s="80">
        <f t="shared" si="65"/>
        <v>100</v>
      </c>
      <c r="S432" s="77">
        <f t="shared" si="66"/>
        <v>695</v>
      </c>
      <c r="T432" s="77">
        <f>50</f>
        <v>50</v>
      </c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</row>
    <row r="433" spans="1:30" ht="15.75" x14ac:dyDescent="0.25">
      <c r="A433" s="33">
        <v>54116</v>
      </c>
      <c r="B433" s="90">
        <v>29</v>
      </c>
      <c r="C433" s="77">
        <f>122.58</f>
        <v>122.58</v>
      </c>
      <c r="D433" s="77">
        <f>297.941</f>
        <v>297.94099999999997</v>
      </c>
      <c r="E433" s="86">
        <f>89.177</f>
        <v>89.177000000000007</v>
      </c>
      <c r="F433" s="77">
        <f>240.302-40-60-100</f>
        <v>40.301999999999992</v>
      </c>
      <c r="G433" s="80">
        <v>40</v>
      </c>
      <c r="H433" s="77">
        <f>60+100</f>
        <v>160</v>
      </c>
      <c r="I433" s="77">
        <f t="shared" si="59"/>
        <v>0</v>
      </c>
      <c r="J433" s="80">
        <v>100</v>
      </c>
      <c r="K433" s="80">
        <v>300</v>
      </c>
      <c r="L433" s="77">
        <f t="shared" si="63"/>
        <v>1150</v>
      </c>
      <c r="M433" s="88">
        <v>600</v>
      </c>
      <c r="N433" s="77">
        <f>100</f>
        <v>100</v>
      </c>
      <c r="O433" s="80">
        <v>240</v>
      </c>
      <c r="P433" s="80">
        <v>40</v>
      </c>
      <c r="Q433" s="80">
        <f t="shared" si="64"/>
        <v>315</v>
      </c>
      <c r="R433" s="80">
        <f t="shared" si="65"/>
        <v>100</v>
      </c>
      <c r="S433" s="77">
        <f t="shared" si="66"/>
        <v>695</v>
      </c>
      <c r="T433" s="77">
        <f>50</f>
        <v>50</v>
      </c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</row>
    <row r="434" spans="1:30" ht="15.75" x14ac:dyDescent="0.25">
      <c r="A434" s="33">
        <v>54148</v>
      </c>
      <c r="B434" s="90">
        <v>31</v>
      </c>
      <c r="C434" s="77">
        <f>122.58</f>
        <v>122.58</v>
      </c>
      <c r="D434" s="77">
        <f>297.941</f>
        <v>297.94099999999997</v>
      </c>
      <c r="E434" s="86">
        <f>89.177</f>
        <v>89.177000000000007</v>
      </c>
      <c r="F434" s="77">
        <f>240.302-40-60-100</f>
        <v>40.301999999999992</v>
      </c>
      <c r="G434" s="80">
        <v>40</v>
      </c>
      <c r="H434" s="77">
        <f>60+100</f>
        <v>160</v>
      </c>
      <c r="I434" s="77">
        <f t="shared" si="59"/>
        <v>0</v>
      </c>
      <c r="J434" s="80">
        <v>100</v>
      </c>
      <c r="K434" s="80">
        <v>300</v>
      </c>
      <c r="L434" s="77">
        <f t="shared" si="63"/>
        <v>1150</v>
      </c>
      <c r="M434" s="88">
        <v>600</v>
      </c>
      <c r="N434" s="77">
        <f>100</f>
        <v>100</v>
      </c>
      <c r="O434" s="80">
        <v>240</v>
      </c>
      <c r="P434" s="80">
        <v>40</v>
      </c>
      <c r="Q434" s="80">
        <f t="shared" si="64"/>
        <v>315</v>
      </c>
      <c r="R434" s="80">
        <f t="shared" si="65"/>
        <v>100</v>
      </c>
      <c r="S434" s="77">
        <f t="shared" si="66"/>
        <v>695</v>
      </c>
      <c r="T434" s="77">
        <f>50</f>
        <v>50</v>
      </c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</row>
    <row r="435" spans="1:30" ht="15.75" x14ac:dyDescent="0.25">
      <c r="A435" s="33">
        <v>54178</v>
      </c>
      <c r="B435" s="90">
        <v>30</v>
      </c>
      <c r="C435" s="77">
        <f>141.293</f>
        <v>141.29300000000001</v>
      </c>
      <c r="D435" s="77">
        <f>267.993</f>
        <v>267.99299999999999</v>
      </c>
      <c r="E435" s="86">
        <f>115.016</f>
        <v>115.01600000000001</v>
      </c>
      <c r="F435" s="77">
        <f>314.698-40-25-60-100</f>
        <v>89.697999999999979</v>
      </c>
      <c r="G435" s="80">
        <v>40</v>
      </c>
      <c r="H435" s="77">
        <f t="shared" ref="H435:H441" si="69">25+60+100</f>
        <v>185</v>
      </c>
      <c r="I435" s="77">
        <f t="shared" si="59"/>
        <v>0</v>
      </c>
      <c r="J435" s="80">
        <v>100</v>
      </c>
      <c r="K435" s="80">
        <v>300</v>
      </c>
      <c r="L435" s="77">
        <f t="shared" si="63"/>
        <v>1239</v>
      </c>
      <c r="M435" s="88">
        <v>600</v>
      </c>
      <c r="N435" s="77">
        <f>100</f>
        <v>100</v>
      </c>
      <c r="O435" s="80">
        <v>240</v>
      </c>
      <c r="P435" s="80">
        <v>160</v>
      </c>
      <c r="Q435" s="80">
        <f t="shared" si="64"/>
        <v>195</v>
      </c>
      <c r="R435" s="80">
        <f t="shared" si="65"/>
        <v>100</v>
      </c>
      <c r="S435" s="77">
        <f t="shared" si="66"/>
        <v>695</v>
      </c>
      <c r="T435" s="77">
        <f>50</f>
        <v>50</v>
      </c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</row>
    <row r="436" spans="1:30" ht="15.75" x14ac:dyDescent="0.25">
      <c r="A436" s="33">
        <v>54209</v>
      </c>
      <c r="B436" s="90">
        <v>31</v>
      </c>
      <c r="C436" s="77">
        <f>194.205</f>
        <v>194.20500000000001</v>
      </c>
      <c r="D436" s="77">
        <f>267.466</f>
        <v>267.46600000000001</v>
      </c>
      <c r="E436" s="86">
        <f>133.845</f>
        <v>133.845</v>
      </c>
      <c r="F436" s="77">
        <f>278.484-40-25-60-100</f>
        <v>53.48399999999998</v>
      </c>
      <c r="G436" s="80">
        <v>40</v>
      </c>
      <c r="H436" s="77">
        <f t="shared" si="69"/>
        <v>185</v>
      </c>
      <c r="I436" s="77">
        <f t="shared" ref="I436:I499" si="70">400-J436-K436</f>
        <v>0</v>
      </c>
      <c r="J436" s="80">
        <v>100</v>
      </c>
      <c r="K436" s="80">
        <v>300</v>
      </c>
      <c r="L436" s="77">
        <f t="shared" si="63"/>
        <v>1274</v>
      </c>
      <c r="M436" s="88">
        <v>600</v>
      </c>
      <c r="N436" s="77">
        <f>75</f>
        <v>75</v>
      </c>
      <c r="O436" s="80">
        <v>240</v>
      </c>
      <c r="P436" s="80">
        <v>160</v>
      </c>
      <c r="Q436" s="80">
        <f t="shared" si="64"/>
        <v>195</v>
      </c>
      <c r="R436" s="80">
        <f t="shared" si="65"/>
        <v>100</v>
      </c>
      <c r="S436" s="77">
        <f t="shared" si="66"/>
        <v>695</v>
      </c>
      <c r="T436" s="77">
        <f>50</f>
        <v>50</v>
      </c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</row>
    <row r="437" spans="1:30" ht="15.75" x14ac:dyDescent="0.25">
      <c r="A437" s="33">
        <v>54239</v>
      </c>
      <c r="B437" s="90">
        <v>30</v>
      </c>
      <c r="C437" s="77">
        <f>194.205</f>
        <v>194.20500000000001</v>
      </c>
      <c r="D437" s="77">
        <f>267.466</f>
        <v>267.46600000000001</v>
      </c>
      <c r="E437" s="86">
        <f>133.845</f>
        <v>133.845</v>
      </c>
      <c r="F437" s="77">
        <f>278.484-40-25-60-100</f>
        <v>53.48399999999998</v>
      </c>
      <c r="G437" s="80">
        <v>40</v>
      </c>
      <c r="H437" s="77">
        <f t="shared" si="69"/>
        <v>185</v>
      </c>
      <c r="I437" s="77">
        <f t="shared" si="70"/>
        <v>0</v>
      </c>
      <c r="J437" s="80">
        <v>100</v>
      </c>
      <c r="K437" s="80">
        <v>300</v>
      </c>
      <c r="L437" s="77">
        <f t="shared" si="63"/>
        <v>1274</v>
      </c>
      <c r="M437" s="88">
        <v>600</v>
      </c>
      <c r="N437" s="77">
        <f>30</f>
        <v>30</v>
      </c>
      <c r="O437" s="80">
        <v>240</v>
      </c>
      <c r="P437" s="80">
        <v>160</v>
      </c>
      <c r="Q437" s="80">
        <f t="shared" si="64"/>
        <v>195</v>
      </c>
      <c r="R437" s="80">
        <f t="shared" si="65"/>
        <v>100</v>
      </c>
      <c r="S437" s="77">
        <f t="shared" si="66"/>
        <v>695</v>
      </c>
      <c r="T437" s="77">
        <f>50</f>
        <v>50</v>
      </c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</row>
    <row r="438" spans="1:30" ht="15.75" x14ac:dyDescent="0.25">
      <c r="A438" s="33">
        <v>54270</v>
      </c>
      <c r="B438" s="90">
        <v>31</v>
      </c>
      <c r="C438" s="77">
        <f>194.205</f>
        <v>194.20500000000001</v>
      </c>
      <c r="D438" s="77">
        <f>267.466</f>
        <v>267.46600000000001</v>
      </c>
      <c r="E438" s="86">
        <f>133.845</f>
        <v>133.845</v>
      </c>
      <c r="F438" s="77">
        <f>278.484-40-25-60-100</f>
        <v>53.48399999999998</v>
      </c>
      <c r="G438" s="80">
        <v>40</v>
      </c>
      <c r="H438" s="77">
        <f t="shared" si="69"/>
        <v>185</v>
      </c>
      <c r="I438" s="77">
        <f t="shared" si="70"/>
        <v>0</v>
      </c>
      <c r="J438" s="80">
        <v>100</v>
      </c>
      <c r="K438" s="80">
        <v>300</v>
      </c>
      <c r="L438" s="77">
        <f t="shared" si="63"/>
        <v>1274</v>
      </c>
      <c r="M438" s="88">
        <v>600</v>
      </c>
      <c r="N438" s="77">
        <f>30</f>
        <v>30</v>
      </c>
      <c r="O438" s="80">
        <v>240</v>
      </c>
      <c r="P438" s="80">
        <v>160</v>
      </c>
      <c r="Q438" s="80">
        <f t="shared" si="64"/>
        <v>195</v>
      </c>
      <c r="R438" s="80">
        <f t="shared" si="65"/>
        <v>100</v>
      </c>
      <c r="S438" s="77">
        <f t="shared" si="66"/>
        <v>695</v>
      </c>
      <c r="T438" s="77">
        <f>0</f>
        <v>0</v>
      </c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</row>
    <row r="439" spans="1:30" ht="15.75" x14ac:dyDescent="0.25">
      <c r="A439" s="33">
        <v>54301</v>
      </c>
      <c r="B439" s="90">
        <v>31</v>
      </c>
      <c r="C439" s="77">
        <f>194.205</f>
        <v>194.20500000000001</v>
      </c>
      <c r="D439" s="77">
        <f>267.466</f>
        <v>267.46600000000001</v>
      </c>
      <c r="E439" s="86">
        <f>133.845</f>
        <v>133.845</v>
      </c>
      <c r="F439" s="77">
        <f>278.484-40-25-60-100</f>
        <v>53.48399999999998</v>
      </c>
      <c r="G439" s="80">
        <v>40</v>
      </c>
      <c r="H439" s="77">
        <f t="shared" si="69"/>
        <v>185</v>
      </c>
      <c r="I439" s="77">
        <f t="shared" si="70"/>
        <v>0</v>
      </c>
      <c r="J439" s="80">
        <v>100</v>
      </c>
      <c r="K439" s="80">
        <v>300</v>
      </c>
      <c r="L439" s="77">
        <f t="shared" si="63"/>
        <v>1274</v>
      </c>
      <c r="M439" s="88">
        <v>600</v>
      </c>
      <c r="N439" s="77">
        <f>30</f>
        <v>30</v>
      </c>
      <c r="O439" s="80">
        <v>240</v>
      </c>
      <c r="P439" s="80">
        <v>160</v>
      </c>
      <c r="Q439" s="80">
        <f t="shared" si="64"/>
        <v>195</v>
      </c>
      <c r="R439" s="80">
        <f t="shared" si="65"/>
        <v>100</v>
      </c>
      <c r="S439" s="77">
        <f t="shared" si="66"/>
        <v>695</v>
      </c>
      <c r="T439" s="77">
        <f>0</f>
        <v>0</v>
      </c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</row>
    <row r="440" spans="1:30" ht="15.75" x14ac:dyDescent="0.25">
      <c r="A440" s="33">
        <v>54331</v>
      </c>
      <c r="B440" s="90">
        <v>30</v>
      </c>
      <c r="C440" s="77">
        <f>194.205</f>
        <v>194.20500000000001</v>
      </c>
      <c r="D440" s="77">
        <f>267.466</f>
        <v>267.46600000000001</v>
      </c>
      <c r="E440" s="86">
        <f>133.845</f>
        <v>133.845</v>
      </c>
      <c r="F440" s="77">
        <f>278.484-40-25-60-100</f>
        <v>53.48399999999998</v>
      </c>
      <c r="G440" s="80">
        <v>40</v>
      </c>
      <c r="H440" s="77">
        <f t="shared" si="69"/>
        <v>185</v>
      </c>
      <c r="I440" s="77">
        <f t="shared" si="70"/>
        <v>0</v>
      </c>
      <c r="J440" s="80">
        <v>100</v>
      </c>
      <c r="K440" s="80">
        <v>300</v>
      </c>
      <c r="L440" s="77">
        <f t="shared" si="63"/>
        <v>1274</v>
      </c>
      <c r="M440" s="88">
        <v>600</v>
      </c>
      <c r="N440" s="77">
        <f>30</f>
        <v>30</v>
      </c>
      <c r="O440" s="80">
        <v>240</v>
      </c>
      <c r="P440" s="80">
        <v>160</v>
      </c>
      <c r="Q440" s="80">
        <f t="shared" si="64"/>
        <v>195</v>
      </c>
      <c r="R440" s="80">
        <f t="shared" si="65"/>
        <v>100</v>
      </c>
      <c r="S440" s="77">
        <f t="shared" si="66"/>
        <v>695</v>
      </c>
      <c r="T440" s="77">
        <f>0</f>
        <v>0</v>
      </c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</row>
    <row r="441" spans="1:30" ht="15.75" x14ac:dyDescent="0.25">
      <c r="A441" s="33">
        <v>54362</v>
      </c>
      <c r="B441" s="90">
        <v>31</v>
      </c>
      <c r="C441" s="77">
        <f>131.881</f>
        <v>131.881</v>
      </c>
      <c r="D441" s="77">
        <f>277.167</f>
        <v>277.16699999999997</v>
      </c>
      <c r="E441" s="86">
        <f>79.08</f>
        <v>79.08</v>
      </c>
      <c r="F441" s="77">
        <f>350.872-40-25-60-100</f>
        <v>125.87200000000001</v>
      </c>
      <c r="G441" s="80">
        <v>40</v>
      </c>
      <c r="H441" s="77">
        <f t="shared" si="69"/>
        <v>185</v>
      </c>
      <c r="I441" s="77">
        <f t="shared" si="70"/>
        <v>0</v>
      </c>
      <c r="J441" s="80">
        <v>100</v>
      </c>
      <c r="K441" s="80">
        <v>300</v>
      </c>
      <c r="L441" s="77">
        <f t="shared" si="63"/>
        <v>1239</v>
      </c>
      <c r="M441" s="88">
        <v>600</v>
      </c>
      <c r="N441" s="77">
        <f>75</f>
        <v>75</v>
      </c>
      <c r="O441" s="80">
        <v>240</v>
      </c>
      <c r="P441" s="80">
        <v>160</v>
      </c>
      <c r="Q441" s="80">
        <f t="shared" si="64"/>
        <v>195</v>
      </c>
      <c r="R441" s="80">
        <f t="shared" si="65"/>
        <v>100</v>
      </c>
      <c r="S441" s="77">
        <f t="shared" si="66"/>
        <v>695</v>
      </c>
      <c r="T441" s="77">
        <f>0</f>
        <v>0</v>
      </c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</row>
    <row r="442" spans="1:30" ht="15.75" x14ac:dyDescent="0.25">
      <c r="A442" s="33">
        <v>54392</v>
      </c>
      <c r="B442" s="90">
        <v>30</v>
      </c>
      <c r="C442" s="77">
        <f>122.58</f>
        <v>122.58</v>
      </c>
      <c r="D442" s="77">
        <f>297.941</f>
        <v>297.94099999999997</v>
      </c>
      <c r="E442" s="86">
        <f>89.177</f>
        <v>89.177000000000007</v>
      </c>
      <c r="F442" s="77">
        <f>240.302-40-60-100</f>
        <v>40.301999999999992</v>
      </c>
      <c r="G442" s="80">
        <v>40</v>
      </c>
      <c r="H442" s="77">
        <f>60+100</f>
        <v>160</v>
      </c>
      <c r="I442" s="77">
        <f t="shared" si="70"/>
        <v>0</v>
      </c>
      <c r="J442" s="80">
        <v>100</v>
      </c>
      <c r="K442" s="80">
        <v>300</v>
      </c>
      <c r="L442" s="77">
        <f t="shared" si="63"/>
        <v>1150</v>
      </c>
      <c r="M442" s="88">
        <v>600</v>
      </c>
      <c r="N442" s="77">
        <f>100</f>
        <v>100</v>
      </c>
      <c r="O442" s="80">
        <v>240</v>
      </c>
      <c r="P442" s="80">
        <v>40</v>
      </c>
      <c r="Q442" s="80">
        <f t="shared" si="64"/>
        <v>315</v>
      </c>
      <c r="R442" s="80">
        <f t="shared" si="65"/>
        <v>100</v>
      </c>
      <c r="S442" s="77">
        <f t="shared" si="66"/>
        <v>695</v>
      </c>
      <c r="T442" s="77">
        <f>50</f>
        <v>50</v>
      </c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</row>
    <row r="443" spans="1:30" ht="15.75" x14ac:dyDescent="0.25">
      <c r="A443" s="33">
        <v>54423</v>
      </c>
      <c r="B443" s="90">
        <v>31</v>
      </c>
      <c r="C443" s="77">
        <f>122.58</f>
        <v>122.58</v>
      </c>
      <c r="D443" s="77">
        <f>297.941</f>
        <v>297.94099999999997</v>
      </c>
      <c r="E443" s="86">
        <f>89.177</f>
        <v>89.177000000000007</v>
      </c>
      <c r="F443" s="77">
        <f>240.302-40-60-100</f>
        <v>40.301999999999992</v>
      </c>
      <c r="G443" s="80">
        <v>40</v>
      </c>
      <c r="H443" s="77">
        <f>60+100</f>
        <v>160</v>
      </c>
      <c r="I443" s="77">
        <f t="shared" si="70"/>
        <v>0</v>
      </c>
      <c r="J443" s="80">
        <v>100</v>
      </c>
      <c r="K443" s="80">
        <v>300</v>
      </c>
      <c r="L443" s="77">
        <f t="shared" si="63"/>
        <v>1150</v>
      </c>
      <c r="M443" s="88">
        <v>600</v>
      </c>
      <c r="N443" s="77">
        <f>100</f>
        <v>100</v>
      </c>
      <c r="O443" s="80">
        <v>240</v>
      </c>
      <c r="P443" s="80">
        <v>40</v>
      </c>
      <c r="Q443" s="80">
        <f t="shared" si="64"/>
        <v>315</v>
      </c>
      <c r="R443" s="80">
        <f t="shared" si="65"/>
        <v>100</v>
      </c>
      <c r="S443" s="77">
        <f t="shared" si="66"/>
        <v>695</v>
      </c>
      <c r="T443" s="77">
        <f>50</f>
        <v>50</v>
      </c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</row>
    <row r="444" spans="1:30" ht="15.75" x14ac:dyDescent="0.25">
      <c r="A444" s="33">
        <v>54454</v>
      </c>
      <c r="B444" s="90">
        <v>31</v>
      </c>
      <c r="C444" s="77">
        <f>122.58</f>
        <v>122.58</v>
      </c>
      <c r="D444" s="77">
        <f>297.941</f>
        <v>297.94099999999997</v>
      </c>
      <c r="E444" s="86">
        <f>89.177</f>
        <v>89.177000000000007</v>
      </c>
      <c r="F444" s="77">
        <f>240.302-40-60-100</f>
        <v>40.301999999999992</v>
      </c>
      <c r="G444" s="80">
        <v>40</v>
      </c>
      <c r="H444" s="77">
        <f>60+100</f>
        <v>160</v>
      </c>
      <c r="I444" s="77">
        <f t="shared" si="70"/>
        <v>0</v>
      </c>
      <c r="J444" s="80">
        <v>100</v>
      </c>
      <c r="K444" s="80">
        <v>300</v>
      </c>
      <c r="L444" s="77">
        <f t="shared" si="63"/>
        <v>1150</v>
      </c>
      <c r="M444" s="88">
        <v>600</v>
      </c>
      <c r="N444" s="77">
        <f>100</f>
        <v>100</v>
      </c>
      <c r="O444" s="80">
        <v>240</v>
      </c>
      <c r="P444" s="80">
        <v>40</v>
      </c>
      <c r="Q444" s="80">
        <f t="shared" si="64"/>
        <v>315</v>
      </c>
      <c r="R444" s="80">
        <f t="shared" si="65"/>
        <v>100</v>
      </c>
      <c r="S444" s="77">
        <f t="shared" si="66"/>
        <v>695</v>
      </c>
      <c r="T444" s="77">
        <f>50</f>
        <v>50</v>
      </c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</row>
    <row r="445" spans="1:30" ht="15.75" x14ac:dyDescent="0.25">
      <c r="A445" s="33">
        <v>54482</v>
      </c>
      <c r="B445" s="90">
        <v>28</v>
      </c>
      <c r="C445" s="77">
        <f>122.58</f>
        <v>122.58</v>
      </c>
      <c r="D445" s="77">
        <f>297.941</f>
        <v>297.94099999999997</v>
      </c>
      <c r="E445" s="86">
        <f>89.177</f>
        <v>89.177000000000007</v>
      </c>
      <c r="F445" s="77">
        <f>240.302-40-60-100</f>
        <v>40.301999999999992</v>
      </c>
      <c r="G445" s="80">
        <v>40</v>
      </c>
      <c r="H445" s="77">
        <f>60+100</f>
        <v>160</v>
      </c>
      <c r="I445" s="77">
        <f t="shared" si="70"/>
        <v>0</v>
      </c>
      <c r="J445" s="80">
        <v>100</v>
      </c>
      <c r="K445" s="80">
        <v>300</v>
      </c>
      <c r="L445" s="77">
        <f t="shared" si="63"/>
        <v>1150</v>
      </c>
      <c r="M445" s="88">
        <v>600</v>
      </c>
      <c r="N445" s="77">
        <f>100</f>
        <v>100</v>
      </c>
      <c r="O445" s="80">
        <v>240</v>
      </c>
      <c r="P445" s="80">
        <v>40</v>
      </c>
      <c r="Q445" s="80">
        <f t="shared" si="64"/>
        <v>315</v>
      </c>
      <c r="R445" s="80">
        <f t="shared" si="65"/>
        <v>100</v>
      </c>
      <c r="S445" s="77">
        <f t="shared" si="66"/>
        <v>695</v>
      </c>
      <c r="T445" s="77">
        <f>50</f>
        <v>50</v>
      </c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</row>
    <row r="446" spans="1:30" ht="15.75" x14ac:dyDescent="0.25">
      <c r="A446" s="33">
        <v>54513</v>
      </c>
      <c r="B446" s="90">
        <v>31</v>
      </c>
      <c r="C446" s="77">
        <f>122.58</f>
        <v>122.58</v>
      </c>
      <c r="D446" s="77">
        <f>297.941</f>
        <v>297.94099999999997</v>
      </c>
      <c r="E446" s="86">
        <f>89.177</f>
        <v>89.177000000000007</v>
      </c>
      <c r="F446" s="77">
        <f>240.302-40-60-100</f>
        <v>40.301999999999992</v>
      </c>
      <c r="G446" s="80">
        <v>40</v>
      </c>
      <c r="H446" s="77">
        <f>60+100</f>
        <v>160</v>
      </c>
      <c r="I446" s="77">
        <f t="shared" si="70"/>
        <v>0</v>
      </c>
      <c r="J446" s="80">
        <v>100</v>
      </c>
      <c r="K446" s="80">
        <v>300</v>
      </c>
      <c r="L446" s="77">
        <f t="shared" si="63"/>
        <v>1150</v>
      </c>
      <c r="M446" s="88">
        <v>600</v>
      </c>
      <c r="N446" s="77">
        <f>100</f>
        <v>100</v>
      </c>
      <c r="O446" s="80">
        <v>240</v>
      </c>
      <c r="P446" s="80">
        <v>40</v>
      </c>
      <c r="Q446" s="80">
        <f t="shared" si="64"/>
        <v>315</v>
      </c>
      <c r="R446" s="80">
        <f t="shared" si="65"/>
        <v>100</v>
      </c>
      <c r="S446" s="77">
        <f t="shared" si="66"/>
        <v>695</v>
      </c>
      <c r="T446" s="77">
        <f>50</f>
        <v>50</v>
      </c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</row>
    <row r="447" spans="1:30" ht="15.75" x14ac:dyDescent="0.25">
      <c r="A447" s="33">
        <v>54543</v>
      </c>
      <c r="B447" s="90">
        <v>30</v>
      </c>
      <c r="C447" s="77">
        <f>141.293</f>
        <v>141.29300000000001</v>
      </c>
      <c r="D447" s="77">
        <f>267.993</f>
        <v>267.99299999999999</v>
      </c>
      <c r="E447" s="86">
        <f>115.016</f>
        <v>115.01600000000001</v>
      </c>
      <c r="F447" s="77">
        <f>314.698-40-25-60-100</f>
        <v>89.697999999999979</v>
      </c>
      <c r="G447" s="80">
        <v>40</v>
      </c>
      <c r="H447" s="77">
        <f t="shared" ref="H447:H453" si="71">25+60+100</f>
        <v>185</v>
      </c>
      <c r="I447" s="77">
        <f t="shared" si="70"/>
        <v>0</v>
      </c>
      <c r="J447" s="80">
        <v>100</v>
      </c>
      <c r="K447" s="80">
        <v>300</v>
      </c>
      <c r="L447" s="77">
        <f t="shared" si="63"/>
        <v>1239</v>
      </c>
      <c r="M447" s="88">
        <v>600</v>
      </c>
      <c r="N447" s="77">
        <f>100</f>
        <v>100</v>
      </c>
      <c r="O447" s="80">
        <v>240</v>
      </c>
      <c r="P447" s="80">
        <v>160</v>
      </c>
      <c r="Q447" s="80">
        <f t="shared" si="64"/>
        <v>195</v>
      </c>
      <c r="R447" s="80">
        <f t="shared" si="65"/>
        <v>100</v>
      </c>
      <c r="S447" s="77">
        <f t="shared" si="66"/>
        <v>695</v>
      </c>
      <c r="T447" s="77">
        <f>50</f>
        <v>50</v>
      </c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</row>
    <row r="448" spans="1:30" ht="15.75" x14ac:dyDescent="0.25">
      <c r="A448" s="33">
        <v>54574</v>
      </c>
      <c r="B448" s="90">
        <v>31</v>
      </c>
      <c r="C448" s="77">
        <f>194.205</f>
        <v>194.20500000000001</v>
      </c>
      <c r="D448" s="77">
        <f>267.466</f>
        <v>267.46600000000001</v>
      </c>
      <c r="E448" s="86">
        <f>133.845</f>
        <v>133.845</v>
      </c>
      <c r="F448" s="77">
        <f>278.484-40-25-60-100</f>
        <v>53.48399999999998</v>
      </c>
      <c r="G448" s="80">
        <v>40</v>
      </c>
      <c r="H448" s="77">
        <f t="shared" si="71"/>
        <v>185</v>
      </c>
      <c r="I448" s="77">
        <f t="shared" si="70"/>
        <v>0</v>
      </c>
      <c r="J448" s="80">
        <v>100</v>
      </c>
      <c r="K448" s="80">
        <v>300</v>
      </c>
      <c r="L448" s="77">
        <f t="shared" si="63"/>
        <v>1274</v>
      </c>
      <c r="M448" s="88">
        <v>600</v>
      </c>
      <c r="N448" s="77">
        <f>75</f>
        <v>75</v>
      </c>
      <c r="O448" s="80">
        <v>240</v>
      </c>
      <c r="P448" s="80">
        <v>160</v>
      </c>
      <c r="Q448" s="80">
        <f t="shared" si="64"/>
        <v>195</v>
      </c>
      <c r="R448" s="80">
        <f t="shared" si="65"/>
        <v>100</v>
      </c>
      <c r="S448" s="77">
        <f t="shared" si="66"/>
        <v>695</v>
      </c>
      <c r="T448" s="77">
        <f>50</f>
        <v>50</v>
      </c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</row>
    <row r="449" spans="1:30" ht="15.75" x14ac:dyDescent="0.25">
      <c r="A449" s="33">
        <v>54604</v>
      </c>
      <c r="B449" s="90">
        <v>30</v>
      </c>
      <c r="C449" s="77">
        <f>194.205</f>
        <v>194.20500000000001</v>
      </c>
      <c r="D449" s="77">
        <f>267.466</f>
        <v>267.46600000000001</v>
      </c>
      <c r="E449" s="86">
        <f>133.845</f>
        <v>133.845</v>
      </c>
      <c r="F449" s="77">
        <f>278.484-40-25-60-100</f>
        <v>53.48399999999998</v>
      </c>
      <c r="G449" s="80">
        <v>40</v>
      </c>
      <c r="H449" s="77">
        <f t="shared" si="71"/>
        <v>185</v>
      </c>
      <c r="I449" s="77">
        <f t="shared" si="70"/>
        <v>0</v>
      </c>
      <c r="J449" s="80">
        <v>100</v>
      </c>
      <c r="K449" s="80">
        <v>300</v>
      </c>
      <c r="L449" s="77">
        <f t="shared" si="63"/>
        <v>1274</v>
      </c>
      <c r="M449" s="88">
        <v>600</v>
      </c>
      <c r="N449" s="77">
        <f>30</f>
        <v>30</v>
      </c>
      <c r="O449" s="80">
        <v>240</v>
      </c>
      <c r="P449" s="80">
        <v>160</v>
      </c>
      <c r="Q449" s="80">
        <f t="shared" si="64"/>
        <v>195</v>
      </c>
      <c r="R449" s="80">
        <f t="shared" si="65"/>
        <v>100</v>
      </c>
      <c r="S449" s="77">
        <f t="shared" si="66"/>
        <v>695</v>
      </c>
      <c r="T449" s="77">
        <f>50</f>
        <v>50</v>
      </c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</row>
    <row r="450" spans="1:30" ht="15.75" x14ac:dyDescent="0.25">
      <c r="A450" s="33">
        <v>54635</v>
      </c>
      <c r="B450" s="90">
        <v>31</v>
      </c>
      <c r="C450" s="77">
        <f>194.205</f>
        <v>194.20500000000001</v>
      </c>
      <c r="D450" s="77">
        <f>267.466</f>
        <v>267.46600000000001</v>
      </c>
      <c r="E450" s="86">
        <f>133.845</f>
        <v>133.845</v>
      </c>
      <c r="F450" s="77">
        <f>278.484-40-25-60-100</f>
        <v>53.48399999999998</v>
      </c>
      <c r="G450" s="80">
        <v>40</v>
      </c>
      <c r="H450" s="77">
        <f t="shared" si="71"/>
        <v>185</v>
      </c>
      <c r="I450" s="77">
        <f t="shared" si="70"/>
        <v>0</v>
      </c>
      <c r="J450" s="80">
        <v>100</v>
      </c>
      <c r="K450" s="80">
        <v>300</v>
      </c>
      <c r="L450" s="77">
        <f t="shared" si="63"/>
        <v>1274</v>
      </c>
      <c r="M450" s="88">
        <v>600</v>
      </c>
      <c r="N450" s="77">
        <f>30</f>
        <v>30</v>
      </c>
      <c r="O450" s="80">
        <v>240</v>
      </c>
      <c r="P450" s="80">
        <v>160</v>
      </c>
      <c r="Q450" s="80">
        <f t="shared" si="64"/>
        <v>195</v>
      </c>
      <c r="R450" s="80">
        <f t="shared" si="65"/>
        <v>100</v>
      </c>
      <c r="S450" s="77">
        <f t="shared" si="66"/>
        <v>695</v>
      </c>
      <c r="T450" s="77">
        <f>0</f>
        <v>0</v>
      </c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</row>
    <row r="451" spans="1:30" ht="15.75" x14ac:dyDescent="0.25">
      <c r="A451" s="33">
        <v>54666</v>
      </c>
      <c r="B451" s="90">
        <v>31</v>
      </c>
      <c r="C451" s="77">
        <f>194.205</f>
        <v>194.20500000000001</v>
      </c>
      <c r="D451" s="77">
        <f>267.466</f>
        <v>267.46600000000001</v>
      </c>
      <c r="E451" s="86">
        <f>133.845</f>
        <v>133.845</v>
      </c>
      <c r="F451" s="77">
        <f>278.484-40-25-60-100</f>
        <v>53.48399999999998</v>
      </c>
      <c r="G451" s="80">
        <v>40</v>
      </c>
      <c r="H451" s="77">
        <f t="shared" si="71"/>
        <v>185</v>
      </c>
      <c r="I451" s="77">
        <f t="shared" si="70"/>
        <v>0</v>
      </c>
      <c r="J451" s="80">
        <v>100</v>
      </c>
      <c r="K451" s="80">
        <v>300</v>
      </c>
      <c r="L451" s="77">
        <f t="shared" si="63"/>
        <v>1274</v>
      </c>
      <c r="M451" s="88">
        <v>600</v>
      </c>
      <c r="N451" s="77">
        <f>30</f>
        <v>30</v>
      </c>
      <c r="O451" s="80">
        <v>240</v>
      </c>
      <c r="P451" s="80">
        <v>160</v>
      </c>
      <c r="Q451" s="80">
        <f t="shared" si="64"/>
        <v>195</v>
      </c>
      <c r="R451" s="80">
        <f t="shared" si="65"/>
        <v>100</v>
      </c>
      <c r="S451" s="77">
        <f t="shared" si="66"/>
        <v>695</v>
      </c>
      <c r="T451" s="77">
        <f>0</f>
        <v>0</v>
      </c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</row>
    <row r="452" spans="1:30" ht="15.75" x14ac:dyDescent="0.25">
      <c r="A452" s="33">
        <v>54696</v>
      </c>
      <c r="B452" s="90">
        <v>30</v>
      </c>
      <c r="C452" s="77">
        <f>194.205</f>
        <v>194.20500000000001</v>
      </c>
      <c r="D452" s="77">
        <f>267.466</f>
        <v>267.46600000000001</v>
      </c>
      <c r="E452" s="86">
        <f>133.845</f>
        <v>133.845</v>
      </c>
      <c r="F452" s="77">
        <f>278.484-40-25-60-100</f>
        <v>53.48399999999998</v>
      </c>
      <c r="G452" s="80">
        <v>40</v>
      </c>
      <c r="H452" s="77">
        <f t="shared" si="71"/>
        <v>185</v>
      </c>
      <c r="I452" s="77">
        <f t="shared" si="70"/>
        <v>0</v>
      </c>
      <c r="J452" s="80">
        <v>100</v>
      </c>
      <c r="K452" s="80">
        <v>300</v>
      </c>
      <c r="L452" s="77">
        <f t="shared" si="63"/>
        <v>1274</v>
      </c>
      <c r="M452" s="88">
        <v>600</v>
      </c>
      <c r="N452" s="77">
        <f>30</f>
        <v>30</v>
      </c>
      <c r="O452" s="80">
        <v>240</v>
      </c>
      <c r="P452" s="80">
        <v>160</v>
      </c>
      <c r="Q452" s="80">
        <f t="shared" si="64"/>
        <v>195</v>
      </c>
      <c r="R452" s="80">
        <f t="shared" si="65"/>
        <v>100</v>
      </c>
      <c r="S452" s="77">
        <f t="shared" si="66"/>
        <v>695</v>
      </c>
      <c r="T452" s="77">
        <f>0</f>
        <v>0</v>
      </c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</row>
    <row r="453" spans="1:30" ht="15.75" x14ac:dyDescent="0.25">
      <c r="A453" s="33">
        <v>54727</v>
      </c>
      <c r="B453" s="90">
        <v>31</v>
      </c>
      <c r="C453" s="77">
        <f>131.881</f>
        <v>131.881</v>
      </c>
      <c r="D453" s="77">
        <f>277.167</f>
        <v>277.16699999999997</v>
      </c>
      <c r="E453" s="86">
        <f>79.08</f>
        <v>79.08</v>
      </c>
      <c r="F453" s="77">
        <f>350.872-40-25-60-100</f>
        <v>125.87200000000001</v>
      </c>
      <c r="G453" s="80">
        <v>40</v>
      </c>
      <c r="H453" s="77">
        <f t="shared" si="71"/>
        <v>185</v>
      </c>
      <c r="I453" s="77">
        <f t="shared" si="70"/>
        <v>0</v>
      </c>
      <c r="J453" s="80">
        <v>100</v>
      </c>
      <c r="K453" s="80">
        <v>300</v>
      </c>
      <c r="L453" s="77">
        <f t="shared" si="63"/>
        <v>1239</v>
      </c>
      <c r="M453" s="88">
        <v>600</v>
      </c>
      <c r="N453" s="77">
        <f>75</f>
        <v>75</v>
      </c>
      <c r="O453" s="80">
        <v>240</v>
      </c>
      <c r="P453" s="80">
        <v>160</v>
      </c>
      <c r="Q453" s="80">
        <f t="shared" si="64"/>
        <v>195</v>
      </c>
      <c r="R453" s="80">
        <f t="shared" si="65"/>
        <v>100</v>
      </c>
      <c r="S453" s="77">
        <f t="shared" si="66"/>
        <v>695</v>
      </c>
      <c r="T453" s="77">
        <f>0</f>
        <v>0</v>
      </c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</row>
    <row r="454" spans="1:30" ht="15.75" x14ac:dyDescent="0.25">
      <c r="A454" s="33">
        <v>54757</v>
      </c>
      <c r="B454" s="90">
        <v>30</v>
      </c>
      <c r="C454" s="77">
        <f>122.58</f>
        <v>122.58</v>
      </c>
      <c r="D454" s="77">
        <f>297.941</f>
        <v>297.94099999999997</v>
      </c>
      <c r="E454" s="86">
        <f>89.177</f>
        <v>89.177000000000007</v>
      </c>
      <c r="F454" s="77">
        <f>240.302-40-60-100</f>
        <v>40.301999999999992</v>
      </c>
      <c r="G454" s="80">
        <v>40</v>
      </c>
      <c r="H454" s="77">
        <f>60+100</f>
        <v>160</v>
      </c>
      <c r="I454" s="77">
        <f t="shared" si="70"/>
        <v>0</v>
      </c>
      <c r="J454" s="80">
        <v>100</v>
      </c>
      <c r="K454" s="80">
        <v>300</v>
      </c>
      <c r="L454" s="77">
        <f t="shared" si="63"/>
        <v>1150</v>
      </c>
      <c r="M454" s="88">
        <v>600</v>
      </c>
      <c r="N454" s="77">
        <f>100</f>
        <v>100</v>
      </c>
      <c r="O454" s="80">
        <v>240</v>
      </c>
      <c r="P454" s="80">
        <v>40</v>
      </c>
      <c r="Q454" s="80">
        <f t="shared" si="64"/>
        <v>315</v>
      </c>
      <c r="R454" s="80">
        <f t="shared" si="65"/>
        <v>100</v>
      </c>
      <c r="S454" s="77">
        <f t="shared" si="66"/>
        <v>695</v>
      </c>
      <c r="T454" s="77">
        <f>50</f>
        <v>50</v>
      </c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</row>
    <row r="455" spans="1:30" ht="15.75" x14ac:dyDescent="0.25">
      <c r="A455" s="33">
        <v>54788</v>
      </c>
      <c r="B455" s="90">
        <v>31</v>
      </c>
      <c r="C455" s="77">
        <f>122.58</f>
        <v>122.58</v>
      </c>
      <c r="D455" s="77">
        <f>297.941</f>
        <v>297.94099999999997</v>
      </c>
      <c r="E455" s="86">
        <f>89.177</f>
        <v>89.177000000000007</v>
      </c>
      <c r="F455" s="77">
        <f>240.302-40-60-100</f>
        <v>40.301999999999992</v>
      </c>
      <c r="G455" s="80">
        <v>40</v>
      </c>
      <c r="H455" s="77">
        <f>60+100</f>
        <v>160</v>
      </c>
      <c r="I455" s="77">
        <f t="shared" si="70"/>
        <v>0</v>
      </c>
      <c r="J455" s="80">
        <v>100</v>
      </c>
      <c r="K455" s="80">
        <v>300</v>
      </c>
      <c r="L455" s="77">
        <f t="shared" si="63"/>
        <v>1150</v>
      </c>
      <c r="M455" s="88">
        <v>600</v>
      </c>
      <c r="N455" s="77">
        <f>100</f>
        <v>100</v>
      </c>
      <c r="O455" s="80">
        <v>240</v>
      </c>
      <c r="P455" s="80">
        <v>40</v>
      </c>
      <c r="Q455" s="80">
        <f t="shared" si="64"/>
        <v>315</v>
      </c>
      <c r="R455" s="80">
        <f t="shared" si="65"/>
        <v>100</v>
      </c>
      <c r="S455" s="77">
        <f t="shared" si="66"/>
        <v>695</v>
      </c>
      <c r="T455" s="77">
        <f>50</f>
        <v>50</v>
      </c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</row>
    <row r="456" spans="1:30" ht="15.75" x14ac:dyDescent="0.25">
      <c r="A456" s="33">
        <v>54819</v>
      </c>
      <c r="B456" s="90">
        <v>31</v>
      </c>
      <c r="C456" s="77">
        <f>122.58</f>
        <v>122.58</v>
      </c>
      <c r="D456" s="77">
        <f>297.941</f>
        <v>297.94099999999997</v>
      </c>
      <c r="E456" s="86">
        <f>89.177</f>
        <v>89.177000000000007</v>
      </c>
      <c r="F456" s="77">
        <f>240.302-40-60-100</f>
        <v>40.301999999999992</v>
      </c>
      <c r="G456" s="80">
        <v>40</v>
      </c>
      <c r="H456" s="77">
        <f>60+100</f>
        <v>160</v>
      </c>
      <c r="I456" s="77">
        <f t="shared" si="70"/>
        <v>0</v>
      </c>
      <c r="J456" s="80">
        <v>100</v>
      </c>
      <c r="K456" s="80">
        <v>300</v>
      </c>
      <c r="L456" s="77">
        <f t="shared" si="63"/>
        <v>1150</v>
      </c>
      <c r="M456" s="88">
        <v>600</v>
      </c>
      <c r="N456" s="77">
        <f>100</f>
        <v>100</v>
      </c>
      <c r="O456" s="80">
        <v>240</v>
      </c>
      <c r="P456" s="80">
        <v>40</v>
      </c>
      <c r="Q456" s="80">
        <f t="shared" si="64"/>
        <v>315</v>
      </c>
      <c r="R456" s="80">
        <f t="shared" si="65"/>
        <v>100</v>
      </c>
      <c r="S456" s="77">
        <f t="shared" si="66"/>
        <v>695</v>
      </c>
      <c r="T456" s="77">
        <f>50</f>
        <v>50</v>
      </c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</row>
    <row r="457" spans="1:30" ht="15.75" x14ac:dyDescent="0.25">
      <c r="A457" s="33">
        <v>54847</v>
      </c>
      <c r="B457" s="90">
        <v>28</v>
      </c>
      <c r="C457" s="77">
        <f>122.58</f>
        <v>122.58</v>
      </c>
      <c r="D457" s="77">
        <f>297.941</f>
        <v>297.94099999999997</v>
      </c>
      <c r="E457" s="86">
        <f>89.177</f>
        <v>89.177000000000007</v>
      </c>
      <c r="F457" s="77">
        <f>240.302-40-60-100</f>
        <v>40.301999999999992</v>
      </c>
      <c r="G457" s="80">
        <v>40</v>
      </c>
      <c r="H457" s="77">
        <f>60+100</f>
        <v>160</v>
      </c>
      <c r="I457" s="77">
        <f t="shared" si="70"/>
        <v>0</v>
      </c>
      <c r="J457" s="80">
        <v>100</v>
      </c>
      <c r="K457" s="80">
        <v>300</v>
      </c>
      <c r="L457" s="77">
        <f t="shared" si="63"/>
        <v>1150</v>
      </c>
      <c r="M457" s="88">
        <v>600</v>
      </c>
      <c r="N457" s="77">
        <f>100</f>
        <v>100</v>
      </c>
      <c r="O457" s="80">
        <v>240</v>
      </c>
      <c r="P457" s="80">
        <v>40</v>
      </c>
      <c r="Q457" s="80">
        <f t="shared" si="64"/>
        <v>315</v>
      </c>
      <c r="R457" s="80">
        <f t="shared" si="65"/>
        <v>100</v>
      </c>
      <c r="S457" s="77">
        <f t="shared" si="66"/>
        <v>695</v>
      </c>
      <c r="T457" s="77">
        <f>50</f>
        <v>50</v>
      </c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</row>
    <row r="458" spans="1:30" ht="15.75" x14ac:dyDescent="0.25">
      <c r="A458" s="33">
        <v>54878</v>
      </c>
      <c r="B458" s="90">
        <v>31</v>
      </c>
      <c r="C458" s="77">
        <f>122.58</f>
        <v>122.58</v>
      </c>
      <c r="D458" s="77">
        <f>297.941</f>
        <v>297.94099999999997</v>
      </c>
      <c r="E458" s="86">
        <f>89.177</f>
        <v>89.177000000000007</v>
      </c>
      <c r="F458" s="77">
        <f>240.302-40-60-100</f>
        <v>40.301999999999992</v>
      </c>
      <c r="G458" s="80">
        <v>40</v>
      </c>
      <c r="H458" s="77">
        <f>60+100</f>
        <v>160</v>
      </c>
      <c r="I458" s="77">
        <f t="shared" si="70"/>
        <v>0</v>
      </c>
      <c r="J458" s="80">
        <v>100</v>
      </c>
      <c r="K458" s="80">
        <v>300</v>
      </c>
      <c r="L458" s="77">
        <f t="shared" si="63"/>
        <v>1150</v>
      </c>
      <c r="M458" s="88">
        <v>600</v>
      </c>
      <c r="N458" s="77">
        <f>100</f>
        <v>100</v>
      </c>
      <c r="O458" s="80">
        <v>240</v>
      </c>
      <c r="P458" s="80">
        <v>40</v>
      </c>
      <c r="Q458" s="80">
        <f t="shared" si="64"/>
        <v>315</v>
      </c>
      <c r="R458" s="80">
        <f t="shared" si="65"/>
        <v>100</v>
      </c>
      <c r="S458" s="77">
        <f t="shared" si="66"/>
        <v>695</v>
      </c>
      <c r="T458" s="77">
        <f>50</f>
        <v>50</v>
      </c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</row>
    <row r="459" spans="1:30" ht="15.75" x14ac:dyDescent="0.25">
      <c r="A459" s="33">
        <v>54908</v>
      </c>
      <c r="B459" s="90">
        <v>30</v>
      </c>
      <c r="C459" s="77">
        <f>141.293</f>
        <v>141.29300000000001</v>
      </c>
      <c r="D459" s="77">
        <f>267.993</f>
        <v>267.99299999999999</v>
      </c>
      <c r="E459" s="86">
        <f>115.016</f>
        <v>115.01600000000001</v>
      </c>
      <c r="F459" s="77">
        <f>314.698-40-25-60-100</f>
        <v>89.697999999999979</v>
      </c>
      <c r="G459" s="80">
        <v>40</v>
      </c>
      <c r="H459" s="77">
        <f t="shared" ref="H459:H465" si="72">25+60+100</f>
        <v>185</v>
      </c>
      <c r="I459" s="77">
        <f t="shared" si="70"/>
        <v>0</v>
      </c>
      <c r="J459" s="80">
        <v>100</v>
      </c>
      <c r="K459" s="80">
        <v>300</v>
      </c>
      <c r="L459" s="77">
        <f t="shared" si="63"/>
        <v>1239</v>
      </c>
      <c r="M459" s="88">
        <v>600</v>
      </c>
      <c r="N459" s="77">
        <f>100</f>
        <v>100</v>
      </c>
      <c r="O459" s="80">
        <v>240</v>
      </c>
      <c r="P459" s="80">
        <v>160</v>
      </c>
      <c r="Q459" s="80">
        <f t="shared" si="64"/>
        <v>195</v>
      </c>
      <c r="R459" s="80">
        <f t="shared" si="65"/>
        <v>100</v>
      </c>
      <c r="S459" s="77">
        <f t="shared" si="66"/>
        <v>695</v>
      </c>
      <c r="T459" s="77">
        <f>50</f>
        <v>50</v>
      </c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</row>
    <row r="460" spans="1:30" ht="15.75" x14ac:dyDescent="0.25">
      <c r="A460" s="33">
        <v>54939</v>
      </c>
      <c r="B460" s="90">
        <v>31</v>
      </c>
      <c r="C460" s="77">
        <f>194.205</f>
        <v>194.20500000000001</v>
      </c>
      <c r="D460" s="77">
        <f>267.466</f>
        <v>267.46600000000001</v>
      </c>
      <c r="E460" s="86">
        <f>133.845</f>
        <v>133.845</v>
      </c>
      <c r="F460" s="77">
        <f>278.484-40-25-60-100</f>
        <v>53.48399999999998</v>
      </c>
      <c r="G460" s="80">
        <v>40</v>
      </c>
      <c r="H460" s="77">
        <f t="shared" si="72"/>
        <v>185</v>
      </c>
      <c r="I460" s="77">
        <f t="shared" si="70"/>
        <v>0</v>
      </c>
      <c r="J460" s="80">
        <v>100</v>
      </c>
      <c r="K460" s="80">
        <v>300</v>
      </c>
      <c r="L460" s="77">
        <f t="shared" si="63"/>
        <v>1274</v>
      </c>
      <c r="M460" s="88">
        <v>600</v>
      </c>
      <c r="N460" s="77">
        <f>75</f>
        <v>75</v>
      </c>
      <c r="O460" s="80">
        <v>240</v>
      </c>
      <c r="P460" s="80">
        <v>160</v>
      </c>
      <c r="Q460" s="80">
        <f t="shared" si="64"/>
        <v>195</v>
      </c>
      <c r="R460" s="80">
        <f t="shared" si="65"/>
        <v>100</v>
      </c>
      <c r="S460" s="77">
        <f t="shared" si="66"/>
        <v>695</v>
      </c>
      <c r="T460" s="77">
        <f>50</f>
        <v>50</v>
      </c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</row>
    <row r="461" spans="1:30" ht="15.75" x14ac:dyDescent="0.25">
      <c r="A461" s="33">
        <v>54969</v>
      </c>
      <c r="B461" s="90">
        <v>30</v>
      </c>
      <c r="C461" s="77">
        <f>194.205</f>
        <v>194.20500000000001</v>
      </c>
      <c r="D461" s="77">
        <f>267.466</f>
        <v>267.46600000000001</v>
      </c>
      <c r="E461" s="86">
        <f>133.845</f>
        <v>133.845</v>
      </c>
      <c r="F461" s="77">
        <f>278.484-40-25-60-100</f>
        <v>53.48399999999998</v>
      </c>
      <c r="G461" s="80">
        <v>40</v>
      </c>
      <c r="H461" s="77">
        <f t="shared" si="72"/>
        <v>185</v>
      </c>
      <c r="I461" s="77">
        <f t="shared" si="70"/>
        <v>0</v>
      </c>
      <c r="J461" s="80">
        <v>100</v>
      </c>
      <c r="K461" s="80">
        <v>300</v>
      </c>
      <c r="L461" s="77">
        <f t="shared" si="63"/>
        <v>1274</v>
      </c>
      <c r="M461" s="88">
        <v>600</v>
      </c>
      <c r="N461" s="77">
        <f>30</f>
        <v>30</v>
      </c>
      <c r="O461" s="80">
        <v>240</v>
      </c>
      <c r="P461" s="80">
        <v>160</v>
      </c>
      <c r="Q461" s="80">
        <f t="shared" si="64"/>
        <v>195</v>
      </c>
      <c r="R461" s="80">
        <f t="shared" si="65"/>
        <v>100</v>
      </c>
      <c r="S461" s="77">
        <f t="shared" si="66"/>
        <v>695</v>
      </c>
      <c r="T461" s="77">
        <f>50</f>
        <v>50</v>
      </c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</row>
    <row r="462" spans="1:30" ht="15.75" x14ac:dyDescent="0.25">
      <c r="A462" s="33">
        <v>55000</v>
      </c>
      <c r="B462" s="90">
        <v>31</v>
      </c>
      <c r="C462" s="77">
        <f>194.205</f>
        <v>194.20500000000001</v>
      </c>
      <c r="D462" s="77">
        <f>267.466</f>
        <v>267.46600000000001</v>
      </c>
      <c r="E462" s="86">
        <f>133.845</f>
        <v>133.845</v>
      </c>
      <c r="F462" s="77">
        <f>278.484-40-25-60-100</f>
        <v>53.48399999999998</v>
      </c>
      <c r="G462" s="80">
        <v>40</v>
      </c>
      <c r="H462" s="77">
        <f t="shared" si="72"/>
        <v>185</v>
      </c>
      <c r="I462" s="77">
        <f t="shared" si="70"/>
        <v>0</v>
      </c>
      <c r="J462" s="80">
        <v>100</v>
      </c>
      <c r="K462" s="80">
        <v>300</v>
      </c>
      <c r="L462" s="77">
        <f t="shared" si="63"/>
        <v>1274</v>
      </c>
      <c r="M462" s="88">
        <v>600</v>
      </c>
      <c r="N462" s="77">
        <f>30</f>
        <v>30</v>
      </c>
      <c r="O462" s="80">
        <v>240</v>
      </c>
      <c r="P462" s="80">
        <v>160</v>
      </c>
      <c r="Q462" s="80">
        <f t="shared" si="64"/>
        <v>195</v>
      </c>
      <c r="R462" s="80">
        <f t="shared" si="65"/>
        <v>100</v>
      </c>
      <c r="S462" s="77">
        <f t="shared" si="66"/>
        <v>695</v>
      </c>
      <c r="T462" s="77">
        <f>0</f>
        <v>0</v>
      </c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</row>
    <row r="463" spans="1:30" ht="15.75" x14ac:dyDescent="0.25">
      <c r="A463" s="33">
        <v>55031</v>
      </c>
      <c r="B463" s="90">
        <v>31</v>
      </c>
      <c r="C463" s="77">
        <f>194.205</f>
        <v>194.20500000000001</v>
      </c>
      <c r="D463" s="77">
        <f>267.466</f>
        <v>267.46600000000001</v>
      </c>
      <c r="E463" s="86">
        <f>133.845</f>
        <v>133.845</v>
      </c>
      <c r="F463" s="77">
        <f>278.484-40-25-60-100</f>
        <v>53.48399999999998</v>
      </c>
      <c r="G463" s="80">
        <v>40</v>
      </c>
      <c r="H463" s="77">
        <f t="shared" si="72"/>
        <v>185</v>
      </c>
      <c r="I463" s="77">
        <f t="shared" si="70"/>
        <v>0</v>
      </c>
      <c r="J463" s="80">
        <v>100</v>
      </c>
      <c r="K463" s="80">
        <v>300</v>
      </c>
      <c r="L463" s="77">
        <f t="shared" si="63"/>
        <v>1274</v>
      </c>
      <c r="M463" s="88">
        <v>600</v>
      </c>
      <c r="N463" s="77">
        <f>30</f>
        <v>30</v>
      </c>
      <c r="O463" s="80">
        <v>240</v>
      </c>
      <c r="P463" s="80">
        <v>160</v>
      </c>
      <c r="Q463" s="80">
        <f t="shared" si="64"/>
        <v>195</v>
      </c>
      <c r="R463" s="80">
        <f t="shared" si="65"/>
        <v>100</v>
      </c>
      <c r="S463" s="77">
        <f t="shared" si="66"/>
        <v>695</v>
      </c>
      <c r="T463" s="77">
        <f>0</f>
        <v>0</v>
      </c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</row>
    <row r="464" spans="1:30" ht="15.75" x14ac:dyDescent="0.25">
      <c r="A464" s="33">
        <v>55061</v>
      </c>
      <c r="B464" s="90">
        <v>30</v>
      </c>
      <c r="C464" s="77">
        <f>194.205</f>
        <v>194.20500000000001</v>
      </c>
      <c r="D464" s="77">
        <f>267.466</f>
        <v>267.46600000000001</v>
      </c>
      <c r="E464" s="86">
        <f>133.845</f>
        <v>133.845</v>
      </c>
      <c r="F464" s="77">
        <f>278.484-40-25-60-100</f>
        <v>53.48399999999998</v>
      </c>
      <c r="G464" s="80">
        <v>40</v>
      </c>
      <c r="H464" s="77">
        <f t="shared" si="72"/>
        <v>185</v>
      </c>
      <c r="I464" s="77">
        <f t="shared" si="70"/>
        <v>0</v>
      </c>
      <c r="J464" s="80">
        <v>100</v>
      </c>
      <c r="K464" s="80">
        <v>300</v>
      </c>
      <c r="L464" s="77">
        <f t="shared" si="63"/>
        <v>1274</v>
      </c>
      <c r="M464" s="88">
        <v>600</v>
      </c>
      <c r="N464" s="77">
        <f>30</f>
        <v>30</v>
      </c>
      <c r="O464" s="80">
        <v>240</v>
      </c>
      <c r="P464" s="80">
        <v>160</v>
      </c>
      <c r="Q464" s="80">
        <f t="shared" si="64"/>
        <v>195</v>
      </c>
      <c r="R464" s="80">
        <f t="shared" si="65"/>
        <v>100</v>
      </c>
      <c r="S464" s="77">
        <f t="shared" si="66"/>
        <v>695</v>
      </c>
      <c r="T464" s="77">
        <f>0</f>
        <v>0</v>
      </c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</row>
    <row r="465" spans="1:30" ht="15.75" x14ac:dyDescent="0.25">
      <c r="A465" s="33">
        <v>55092</v>
      </c>
      <c r="B465" s="90">
        <v>31</v>
      </c>
      <c r="C465" s="77">
        <f>131.881</f>
        <v>131.881</v>
      </c>
      <c r="D465" s="77">
        <f>277.167</f>
        <v>277.16699999999997</v>
      </c>
      <c r="E465" s="86">
        <f>79.08</f>
        <v>79.08</v>
      </c>
      <c r="F465" s="77">
        <f>350.872-40-25-60-100</f>
        <v>125.87200000000001</v>
      </c>
      <c r="G465" s="80">
        <v>40</v>
      </c>
      <c r="H465" s="77">
        <f t="shared" si="72"/>
        <v>185</v>
      </c>
      <c r="I465" s="77">
        <f t="shared" si="70"/>
        <v>0</v>
      </c>
      <c r="J465" s="80">
        <v>100</v>
      </c>
      <c r="K465" s="80">
        <v>300</v>
      </c>
      <c r="L465" s="77">
        <f t="shared" si="63"/>
        <v>1239</v>
      </c>
      <c r="M465" s="88">
        <v>600</v>
      </c>
      <c r="N465" s="77">
        <f>75</f>
        <v>75</v>
      </c>
      <c r="O465" s="80">
        <v>240</v>
      </c>
      <c r="P465" s="80">
        <v>160</v>
      </c>
      <c r="Q465" s="80">
        <f t="shared" si="64"/>
        <v>195</v>
      </c>
      <c r="R465" s="80">
        <f t="shared" si="65"/>
        <v>100</v>
      </c>
      <c r="S465" s="77">
        <f t="shared" si="66"/>
        <v>695</v>
      </c>
      <c r="T465" s="77">
        <f>0</f>
        <v>0</v>
      </c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</row>
    <row r="466" spans="1:30" ht="15.75" x14ac:dyDescent="0.25">
      <c r="A466" s="33">
        <v>55122</v>
      </c>
      <c r="B466" s="90">
        <v>30</v>
      </c>
      <c r="C466" s="77">
        <f>122.58</f>
        <v>122.58</v>
      </c>
      <c r="D466" s="77">
        <f>297.941</f>
        <v>297.94099999999997</v>
      </c>
      <c r="E466" s="86">
        <f>89.177</f>
        <v>89.177000000000007</v>
      </c>
      <c r="F466" s="77">
        <f>240.302-40-60-100</f>
        <v>40.301999999999992</v>
      </c>
      <c r="G466" s="80">
        <v>40</v>
      </c>
      <c r="H466" s="77">
        <f>60+100</f>
        <v>160</v>
      </c>
      <c r="I466" s="77">
        <f t="shared" si="70"/>
        <v>0</v>
      </c>
      <c r="J466" s="80">
        <v>100</v>
      </c>
      <c r="K466" s="80">
        <v>300</v>
      </c>
      <c r="L466" s="77">
        <f t="shared" si="63"/>
        <v>1150</v>
      </c>
      <c r="M466" s="88">
        <v>600</v>
      </c>
      <c r="N466" s="77">
        <f>100</f>
        <v>100</v>
      </c>
      <c r="O466" s="80">
        <v>240</v>
      </c>
      <c r="P466" s="80">
        <v>40</v>
      </c>
      <c r="Q466" s="80">
        <f t="shared" si="64"/>
        <v>315</v>
      </c>
      <c r="R466" s="80">
        <f t="shared" si="65"/>
        <v>100</v>
      </c>
      <c r="S466" s="77">
        <f t="shared" si="66"/>
        <v>695</v>
      </c>
      <c r="T466" s="77">
        <f>50</f>
        <v>50</v>
      </c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</row>
    <row r="467" spans="1:30" ht="15.75" x14ac:dyDescent="0.25">
      <c r="A467" s="33">
        <v>55153</v>
      </c>
      <c r="B467" s="90">
        <v>31</v>
      </c>
      <c r="C467" s="77">
        <f>122.58</f>
        <v>122.58</v>
      </c>
      <c r="D467" s="77">
        <f>297.941</f>
        <v>297.94099999999997</v>
      </c>
      <c r="E467" s="86">
        <f>89.177</f>
        <v>89.177000000000007</v>
      </c>
      <c r="F467" s="77">
        <f>240.302-40-60-100</f>
        <v>40.301999999999992</v>
      </c>
      <c r="G467" s="80">
        <v>40</v>
      </c>
      <c r="H467" s="77">
        <f>60+100</f>
        <v>160</v>
      </c>
      <c r="I467" s="77">
        <f t="shared" si="70"/>
        <v>0</v>
      </c>
      <c r="J467" s="80">
        <v>100</v>
      </c>
      <c r="K467" s="80">
        <v>300</v>
      </c>
      <c r="L467" s="77">
        <f t="shared" ref="L467:L530" si="73">SUM(C467:K467)</f>
        <v>1150</v>
      </c>
      <c r="M467" s="88">
        <v>600</v>
      </c>
      <c r="N467" s="77">
        <f>100</f>
        <v>100</v>
      </c>
      <c r="O467" s="80">
        <v>240</v>
      </c>
      <c r="P467" s="80">
        <v>40</v>
      </c>
      <c r="Q467" s="80">
        <f t="shared" ref="Q467:Q530" si="74">695-R467-O467-P467</f>
        <v>315</v>
      </c>
      <c r="R467" s="80">
        <f t="shared" ref="R467:R530" si="75">200-J467</f>
        <v>100</v>
      </c>
      <c r="S467" s="77">
        <f t="shared" ref="S467:S530" si="76">SUM(O467:R467)</f>
        <v>695</v>
      </c>
      <c r="T467" s="77">
        <f>50</f>
        <v>50</v>
      </c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</row>
    <row r="468" spans="1:30" ht="15.75" x14ac:dyDescent="0.25">
      <c r="A468" s="33">
        <v>55184</v>
      </c>
      <c r="B468" s="90">
        <v>31</v>
      </c>
      <c r="C468" s="77">
        <f>122.58</f>
        <v>122.58</v>
      </c>
      <c r="D468" s="77">
        <f>297.941</f>
        <v>297.94099999999997</v>
      </c>
      <c r="E468" s="86">
        <f>89.177</f>
        <v>89.177000000000007</v>
      </c>
      <c r="F468" s="77">
        <f>240.302-40-60-100</f>
        <v>40.301999999999992</v>
      </c>
      <c r="G468" s="80">
        <v>40</v>
      </c>
      <c r="H468" s="77">
        <f>60+100</f>
        <v>160</v>
      </c>
      <c r="I468" s="77">
        <f t="shared" si="70"/>
        <v>0</v>
      </c>
      <c r="J468" s="80">
        <v>100</v>
      </c>
      <c r="K468" s="80">
        <v>300</v>
      </c>
      <c r="L468" s="77">
        <f t="shared" si="73"/>
        <v>1150</v>
      </c>
      <c r="M468" s="88">
        <v>600</v>
      </c>
      <c r="N468" s="77">
        <f>100</f>
        <v>100</v>
      </c>
      <c r="O468" s="80">
        <v>240</v>
      </c>
      <c r="P468" s="80">
        <v>40</v>
      </c>
      <c r="Q468" s="80">
        <f t="shared" si="74"/>
        <v>315</v>
      </c>
      <c r="R468" s="80">
        <f t="shared" si="75"/>
        <v>100</v>
      </c>
      <c r="S468" s="77">
        <f t="shared" si="76"/>
        <v>695</v>
      </c>
      <c r="T468" s="77">
        <f>50</f>
        <v>50</v>
      </c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</row>
    <row r="469" spans="1:30" ht="15.75" x14ac:dyDescent="0.25">
      <c r="A469" s="33">
        <v>55212</v>
      </c>
      <c r="B469" s="90">
        <v>28</v>
      </c>
      <c r="C469" s="77">
        <f>122.58</f>
        <v>122.58</v>
      </c>
      <c r="D469" s="77">
        <f>297.941</f>
        <v>297.94099999999997</v>
      </c>
      <c r="E469" s="86">
        <f>89.177</f>
        <v>89.177000000000007</v>
      </c>
      <c r="F469" s="77">
        <f>240.302-40-60-100</f>
        <v>40.301999999999992</v>
      </c>
      <c r="G469" s="80">
        <v>40</v>
      </c>
      <c r="H469" s="77">
        <f>60+100</f>
        <v>160</v>
      </c>
      <c r="I469" s="77">
        <f t="shared" si="70"/>
        <v>0</v>
      </c>
      <c r="J469" s="80">
        <v>100</v>
      </c>
      <c r="K469" s="80">
        <v>300</v>
      </c>
      <c r="L469" s="77">
        <f t="shared" si="73"/>
        <v>1150</v>
      </c>
      <c r="M469" s="88">
        <v>600</v>
      </c>
      <c r="N469" s="77">
        <f>100</f>
        <v>100</v>
      </c>
      <c r="O469" s="80">
        <v>240</v>
      </c>
      <c r="P469" s="80">
        <v>40</v>
      </c>
      <c r="Q469" s="80">
        <f t="shared" si="74"/>
        <v>315</v>
      </c>
      <c r="R469" s="80">
        <f t="shared" si="75"/>
        <v>100</v>
      </c>
      <c r="S469" s="77">
        <f t="shared" si="76"/>
        <v>695</v>
      </c>
      <c r="T469" s="77">
        <f>50</f>
        <v>50</v>
      </c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</row>
    <row r="470" spans="1:30" ht="15.75" x14ac:dyDescent="0.25">
      <c r="A470" s="33">
        <v>55243</v>
      </c>
      <c r="B470" s="90">
        <v>31</v>
      </c>
      <c r="C470" s="77">
        <f>122.58</f>
        <v>122.58</v>
      </c>
      <c r="D470" s="77">
        <f>297.941</f>
        <v>297.94099999999997</v>
      </c>
      <c r="E470" s="86">
        <f>89.177</f>
        <v>89.177000000000007</v>
      </c>
      <c r="F470" s="77">
        <f>240.302-40-60-100</f>
        <v>40.301999999999992</v>
      </c>
      <c r="G470" s="80">
        <v>40</v>
      </c>
      <c r="H470" s="77">
        <f>60+100</f>
        <v>160</v>
      </c>
      <c r="I470" s="77">
        <f t="shared" si="70"/>
        <v>0</v>
      </c>
      <c r="J470" s="80">
        <v>100</v>
      </c>
      <c r="K470" s="80">
        <v>300</v>
      </c>
      <c r="L470" s="77">
        <f t="shared" si="73"/>
        <v>1150</v>
      </c>
      <c r="M470" s="88">
        <v>600</v>
      </c>
      <c r="N470" s="77">
        <f>100</f>
        <v>100</v>
      </c>
      <c r="O470" s="80">
        <v>240</v>
      </c>
      <c r="P470" s="80">
        <v>40</v>
      </c>
      <c r="Q470" s="80">
        <f t="shared" si="74"/>
        <v>315</v>
      </c>
      <c r="R470" s="80">
        <f t="shared" si="75"/>
        <v>100</v>
      </c>
      <c r="S470" s="77">
        <f t="shared" si="76"/>
        <v>695</v>
      </c>
      <c r="T470" s="77">
        <f>50</f>
        <v>50</v>
      </c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</row>
    <row r="471" spans="1:30" ht="15.75" x14ac:dyDescent="0.25">
      <c r="A471" s="33">
        <v>55273</v>
      </c>
      <c r="B471" s="90">
        <v>30</v>
      </c>
      <c r="C471" s="77">
        <f>141.293</f>
        <v>141.29300000000001</v>
      </c>
      <c r="D471" s="77">
        <f>267.993</f>
        <v>267.99299999999999</v>
      </c>
      <c r="E471" s="86">
        <f>115.016</f>
        <v>115.01600000000001</v>
      </c>
      <c r="F471" s="77">
        <f>314.698-40-25-60-100</f>
        <v>89.697999999999979</v>
      </c>
      <c r="G471" s="80">
        <v>40</v>
      </c>
      <c r="H471" s="77">
        <f t="shared" ref="H471:H477" si="77">25+60+100</f>
        <v>185</v>
      </c>
      <c r="I471" s="77">
        <f t="shared" si="70"/>
        <v>0</v>
      </c>
      <c r="J471" s="80">
        <v>100</v>
      </c>
      <c r="K471" s="80">
        <v>300</v>
      </c>
      <c r="L471" s="77">
        <f t="shared" si="73"/>
        <v>1239</v>
      </c>
      <c r="M471" s="88">
        <v>600</v>
      </c>
      <c r="N471" s="77">
        <f>100</f>
        <v>100</v>
      </c>
      <c r="O471" s="80">
        <v>240</v>
      </c>
      <c r="P471" s="80">
        <v>160</v>
      </c>
      <c r="Q471" s="80">
        <f t="shared" si="74"/>
        <v>195</v>
      </c>
      <c r="R471" s="80">
        <f t="shared" si="75"/>
        <v>100</v>
      </c>
      <c r="S471" s="77">
        <f t="shared" si="76"/>
        <v>695</v>
      </c>
      <c r="T471" s="77">
        <f>50</f>
        <v>50</v>
      </c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</row>
    <row r="472" spans="1:30" ht="15.75" x14ac:dyDescent="0.25">
      <c r="A472" s="33">
        <v>55304</v>
      </c>
      <c r="B472" s="90">
        <v>31</v>
      </c>
      <c r="C472" s="77">
        <f>194.205</f>
        <v>194.20500000000001</v>
      </c>
      <c r="D472" s="77">
        <f>267.466</f>
        <v>267.46600000000001</v>
      </c>
      <c r="E472" s="86">
        <f>133.845</f>
        <v>133.845</v>
      </c>
      <c r="F472" s="77">
        <f>278.484-40-25-60-100</f>
        <v>53.48399999999998</v>
      </c>
      <c r="G472" s="80">
        <v>40</v>
      </c>
      <c r="H472" s="77">
        <f t="shared" si="77"/>
        <v>185</v>
      </c>
      <c r="I472" s="77">
        <f t="shared" si="70"/>
        <v>0</v>
      </c>
      <c r="J472" s="80">
        <v>100</v>
      </c>
      <c r="K472" s="80">
        <v>300</v>
      </c>
      <c r="L472" s="77">
        <f t="shared" si="73"/>
        <v>1274</v>
      </c>
      <c r="M472" s="88">
        <v>600</v>
      </c>
      <c r="N472" s="77">
        <f>75</f>
        <v>75</v>
      </c>
      <c r="O472" s="80">
        <v>240</v>
      </c>
      <c r="P472" s="80">
        <v>160</v>
      </c>
      <c r="Q472" s="80">
        <f t="shared" si="74"/>
        <v>195</v>
      </c>
      <c r="R472" s="80">
        <f t="shared" si="75"/>
        <v>100</v>
      </c>
      <c r="S472" s="77">
        <f t="shared" si="76"/>
        <v>695</v>
      </c>
      <c r="T472" s="77">
        <f>50</f>
        <v>50</v>
      </c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</row>
    <row r="473" spans="1:30" ht="15.75" x14ac:dyDescent="0.25">
      <c r="A473" s="33">
        <v>55334</v>
      </c>
      <c r="B473" s="90">
        <v>30</v>
      </c>
      <c r="C473" s="77">
        <f>194.205</f>
        <v>194.20500000000001</v>
      </c>
      <c r="D473" s="77">
        <f>267.466</f>
        <v>267.46600000000001</v>
      </c>
      <c r="E473" s="86">
        <f>133.845</f>
        <v>133.845</v>
      </c>
      <c r="F473" s="77">
        <f>278.484-40-25-60-100</f>
        <v>53.48399999999998</v>
      </c>
      <c r="G473" s="80">
        <v>40</v>
      </c>
      <c r="H473" s="77">
        <f t="shared" si="77"/>
        <v>185</v>
      </c>
      <c r="I473" s="77">
        <f t="shared" si="70"/>
        <v>0</v>
      </c>
      <c r="J473" s="80">
        <v>100</v>
      </c>
      <c r="K473" s="80">
        <v>300</v>
      </c>
      <c r="L473" s="77">
        <f t="shared" si="73"/>
        <v>1274</v>
      </c>
      <c r="M473" s="88">
        <v>600</v>
      </c>
      <c r="N473" s="77">
        <f>30</f>
        <v>30</v>
      </c>
      <c r="O473" s="80">
        <v>240</v>
      </c>
      <c r="P473" s="80">
        <v>160</v>
      </c>
      <c r="Q473" s="80">
        <f t="shared" si="74"/>
        <v>195</v>
      </c>
      <c r="R473" s="80">
        <f t="shared" si="75"/>
        <v>100</v>
      </c>
      <c r="S473" s="77">
        <f t="shared" si="76"/>
        <v>695</v>
      </c>
      <c r="T473" s="77">
        <f>50</f>
        <v>50</v>
      </c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</row>
    <row r="474" spans="1:30" ht="15.75" x14ac:dyDescent="0.25">
      <c r="A474" s="33">
        <v>55365</v>
      </c>
      <c r="B474" s="90">
        <v>31</v>
      </c>
      <c r="C474" s="77">
        <f>194.205</f>
        <v>194.20500000000001</v>
      </c>
      <c r="D474" s="77">
        <f>267.466</f>
        <v>267.46600000000001</v>
      </c>
      <c r="E474" s="86">
        <f>133.845</f>
        <v>133.845</v>
      </c>
      <c r="F474" s="77">
        <f>278.484-40-25-60-100</f>
        <v>53.48399999999998</v>
      </c>
      <c r="G474" s="80">
        <v>40</v>
      </c>
      <c r="H474" s="77">
        <f t="shared" si="77"/>
        <v>185</v>
      </c>
      <c r="I474" s="77">
        <f t="shared" si="70"/>
        <v>0</v>
      </c>
      <c r="J474" s="80">
        <v>100</v>
      </c>
      <c r="K474" s="80">
        <v>300</v>
      </c>
      <c r="L474" s="77">
        <f t="shared" si="73"/>
        <v>1274</v>
      </c>
      <c r="M474" s="88">
        <v>600</v>
      </c>
      <c r="N474" s="77">
        <f>30</f>
        <v>30</v>
      </c>
      <c r="O474" s="80">
        <v>240</v>
      </c>
      <c r="P474" s="80">
        <v>160</v>
      </c>
      <c r="Q474" s="80">
        <f t="shared" si="74"/>
        <v>195</v>
      </c>
      <c r="R474" s="80">
        <f t="shared" si="75"/>
        <v>100</v>
      </c>
      <c r="S474" s="77">
        <f t="shared" si="76"/>
        <v>695</v>
      </c>
      <c r="T474" s="77">
        <f>0</f>
        <v>0</v>
      </c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</row>
    <row r="475" spans="1:30" ht="15.75" x14ac:dyDescent="0.25">
      <c r="A475" s="33">
        <v>55396</v>
      </c>
      <c r="B475" s="90">
        <v>31</v>
      </c>
      <c r="C475" s="77">
        <f>194.205</f>
        <v>194.20500000000001</v>
      </c>
      <c r="D475" s="77">
        <f>267.466</f>
        <v>267.46600000000001</v>
      </c>
      <c r="E475" s="86">
        <f>133.845</f>
        <v>133.845</v>
      </c>
      <c r="F475" s="77">
        <f>278.484-40-25-60-100</f>
        <v>53.48399999999998</v>
      </c>
      <c r="G475" s="80">
        <v>40</v>
      </c>
      <c r="H475" s="77">
        <f t="shared" si="77"/>
        <v>185</v>
      </c>
      <c r="I475" s="77">
        <f t="shared" si="70"/>
        <v>0</v>
      </c>
      <c r="J475" s="80">
        <v>100</v>
      </c>
      <c r="K475" s="80">
        <v>300</v>
      </c>
      <c r="L475" s="77">
        <f t="shared" si="73"/>
        <v>1274</v>
      </c>
      <c r="M475" s="88">
        <v>600</v>
      </c>
      <c r="N475" s="77">
        <f>30</f>
        <v>30</v>
      </c>
      <c r="O475" s="80">
        <v>240</v>
      </c>
      <c r="P475" s="80">
        <v>160</v>
      </c>
      <c r="Q475" s="80">
        <f t="shared" si="74"/>
        <v>195</v>
      </c>
      <c r="R475" s="80">
        <f t="shared" si="75"/>
        <v>100</v>
      </c>
      <c r="S475" s="77">
        <f t="shared" si="76"/>
        <v>695</v>
      </c>
      <c r="T475" s="77">
        <f>0</f>
        <v>0</v>
      </c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</row>
    <row r="476" spans="1:30" ht="15.75" x14ac:dyDescent="0.25">
      <c r="A476" s="33">
        <v>55426</v>
      </c>
      <c r="B476" s="90">
        <v>30</v>
      </c>
      <c r="C476" s="77">
        <f>194.205</f>
        <v>194.20500000000001</v>
      </c>
      <c r="D476" s="77">
        <f>267.466</f>
        <v>267.46600000000001</v>
      </c>
      <c r="E476" s="86">
        <f>133.845</f>
        <v>133.845</v>
      </c>
      <c r="F476" s="77">
        <f>278.484-40-25-60-100</f>
        <v>53.48399999999998</v>
      </c>
      <c r="G476" s="80">
        <v>40</v>
      </c>
      <c r="H476" s="77">
        <f t="shared" si="77"/>
        <v>185</v>
      </c>
      <c r="I476" s="77">
        <f t="shared" si="70"/>
        <v>0</v>
      </c>
      <c r="J476" s="80">
        <v>100</v>
      </c>
      <c r="K476" s="80">
        <v>300</v>
      </c>
      <c r="L476" s="77">
        <f t="shared" si="73"/>
        <v>1274</v>
      </c>
      <c r="M476" s="88">
        <v>600</v>
      </c>
      <c r="N476" s="77">
        <f>30</f>
        <v>30</v>
      </c>
      <c r="O476" s="80">
        <v>240</v>
      </c>
      <c r="P476" s="80">
        <v>160</v>
      </c>
      <c r="Q476" s="80">
        <f t="shared" si="74"/>
        <v>195</v>
      </c>
      <c r="R476" s="80">
        <f t="shared" si="75"/>
        <v>100</v>
      </c>
      <c r="S476" s="77">
        <f t="shared" si="76"/>
        <v>695</v>
      </c>
      <c r="T476" s="77">
        <f>0</f>
        <v>0</v>
      </c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</row>
    <row r="477" spans="1:30" ht="15.75" x14ac:dyDescent="0.25">
      <c r="A477" s="33">
        <v>55457</v>
      </c>
      <c r="B477" s="90">
        <v>31</v>
      </c>
      <c r="C477" s="77">
        <f>131.881</f>
        <v>131.881</v>
      </c>
      <c r="D477" s="77">
        <f>277.167</f>
        <v>277.16699999999997</v>
      </c>
      <c r="E477" s="86">
        <f>79.08</f>
        <v>79.08</v>
      </c>
      <c r="F477" s="77">
        <f>350.872-40-25-60-100</f>
        <v>125.87200000000001</v>
      </c>
      <c r="G477" s="80">
        <v>40</v>
      </c>
      <c r="H477" s="77">
        <f t="shared" si="77"/>
        <v>185</v>
      </c>
      <c r="I477" s="77">
        <f t="shared" si="70"/>
        <v>0</v>
      </c>
      <c r="J477" s="80">
        <v>100</v>
      </c>
      <c r="K477" s="80">
        <v>300</v>
      </c>
      <c r="L477" s="77">
        <f t="shared" si="73"/>
        <v>1239</v>
      </c>
      <c r="M477" s="88">
        <v>600</v>
      </c>
      <c r="N477" s="77">
        <f>75</f>
        <v>75</v>
      </c>
      <c r="O477" s="80">
        <v>240</v>
      </c>
      <c r="P477" s="80">
        <v>160</v>
      </c>
      <c r="Q477" s="80">
        <f t="shared" si="74"/>
        <v>195</v>
      </c>
      <c r="R477" s="80">
        <f t="shared" si="75"/>
        <v>100</v>
      </c>
      <c r="S477" s="77">
        <f t="shared" si="76"/>
        <v>695</v>
      </c>
      <c r="T477" s="77">
        <f>0</f>
        <v>0</v>
      </c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</row>
    <row r="478" spans="1:30" ht="15.75" x14ac:dyDescent="0.25">
      <c r="A478" s="33">
        <v>55487</v>
      </c>
      <c r="B478" s="90">
        <v>30</v>
      </c>
      <c r="C478" s="77">
        <f>122.58</f>
        <v>122.58</v>
      </c>
      <c r="D478" s="77">
        <f>297.941</f>
        <v>297.94099999999997</v>
      </c>
      <c r="E478" s="86">
        <f>89.177</f>
        <v>89.177000000000007</v>
      </c>
      <c r="F478" s="77">
        <f>240.302-40-60-100</f>
        <v>40.301999999999992</v>
      </c>
      <c r="G478" s="80">
        <v>40</v>
      </c>
      <c r="H478" s="77">
        <f>60+100</f>
        <v>160</v>
      </c>
      <c r="I478" s="77">
        <f t="shared" si="70"/>
        <v>0</v>
      </c>
      <c r="J478" s="80">
        <v>100</v>
      </c>
      <c r="K478" s="80">
        <v>300</v>
      </c>
      <c r="L478" s="77">
        <f t="shared" si="73"/>
        <v>1150</v>
      </c>
      <c r="M478" s="88">
        <v>600</v>
      </c>
      <c r="N478" s="77">
        <f>100</f>
        <v>100</v>
      </c>
      <c r="O478" s="80">
        <v>240</v>
      </c>
      <c r="P478" s="80">
        <v>40</v>
      </c>
      <c r="Q478" s="80">
        <f t="shared" si="74"/>
        <v>315</v>
      </c>
      <c r="R478" s="80">
        <f t="shared" si="75"/>
        <v>100</v>
      </c>
      <c r="S478" s="77">
        <f t="shared" si="76"/>
        <v>695</v>
      </c>
      <c r="T478" s="77">
        <f>50</f>
        <v>50</v>
      </c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</row>
    <row r="479" spans="1:30" ht="15.75" x14ac:dyDescent="0.25">
      <c r="A479" s="33">
        <v>55518</v>
      </c>
      <c r="B479" s="90">
        <v>31</v>
      </c>
      <c r="C479" s="77">
        <f>122.58</f>
        <v>122.58</v>
      </c>
      <c r="D479" s="77">
        <f>297.941</f>
        <v>297.94099999999997</v>
      </c>
      <c r="E479" s="86">
        <f>89.177</f>
        <v>89.177000000000007</v>
      </c>
      <c r="F479" s="77">
        <f>240.302-40-60-100</f>
        <v>40.301999999999992</v>
      </c>
      <c r="G479" s="80">
        <v>40</v>
      </c>
      <c r="H479" s="77">
        <f>60+100</f>
        <v>160</v>
      </c>
      <c r="I479" s="77">
        <f t="shared" si="70"/>
        <v>0</v>
      </c>
      <c r="J479" s="80">
        <v>100</v>
      </c>
      <c r="K479" s="80">
        <v>300</v>
      </c>
      <c r="L479" s="77">
        <f t="shared" si="73"/>
        <v>1150</v>
      </c>
      <c r="M479" s="88">
        <v>600</v>
      </c>
      <c r="N479" s="77">
        <f>100</f>
        <v>100</v>
      </c>
      <c r="O479" s="80">
        <v>240</v>
      </c>
      <c r="P479" s="80">
        <v>40</v>
      </c>
      <c r="Q479" s="80">
        <f t="shared" si="74"/>
        <v>315</v>
      </c>
      <c r="R479" s="80">
        <f t="shared" si="75"/>
        <v>100</v>
      </c>
      <c r="S479" s="77">
        <f t="shared" si="76"/>
        <v>695</v>
      </c>
      <c r="T479" s="77">
        <f>50</f>
        <v>50</v>
      </c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</row>
    <row r="480" spans="1:30" ht="15.75" x14ac:dyDescent="0.25">
      <c r="A480" s="33">
        <v>55549</v>
      </c>
      <c r="B480" s="90">
        <v>31</v>
      </c>
      <c r="C480" s="77">
        <f>122.58</f>
        <v>122.58</v>
      </c>
      <c r="D480" s="77">
        <f>297.941</f>
        <v>297.94099999999997</v>
      </c>
      <c r="E480" s="86">
        <f>89.177</f>
        <v>89.177000000000007</v>
      </c>
      <c r="F480" s="77">
        <f>240.302-40-60-100</f>
        <v>40.301999999999992</v>
      </c>
      <c r="G480" s="80">
        <v>40</v>
      </c>
      <c r="H480" s="77">
        <f>60+100</f>
        <v>160</v>
      </c>
      <c r="I480" s="77">
        <f t="shared" si="70"/>
        <v>0</v>
      </c>
      <c r="J480" s="80">
        <v>100</v>
      </c>
      <c r="K480" s="80">
        <v>300</v>
      </c>
      <c r="L480" s="77">
        <f t="shared" si="73"/>
        <v>1150</v>
      </c>
      <c r="M480" s="88">
        <v>600</v>
      </c>
      <c r="N480" s="77">
        <f>100</f>
        <v>100</v>
      </c>
      <c r="O480" s="80">
        <v>240</v>
      </c>
      <c r="P480" s="80">
        <v>40</v>
      </c>
      <c r="Q480" s="80">
        <f t="shared" si="74"/>
        <v>315</v>
      </c>
      <c r="R480" s="80">
        <f t="shared" si="75"/>
        <v>100</v>
      </c>
      <c r="S480" s="77">
        <f t="shared" si="76"/>
        <v>695</v>
      </c>
      <c r="T480" s="77">
        <f>50</f>
        <v>50</v>
      </c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</row>
    <row r="481" spans="1:30" ht="15.75" x14ac:dyDescent="0.25">
      <c r="A481" s="33">
        <v>55577</v>
      </c>
      <c r="B481" s="90">
        <v>29</v>
      </c>
      <c r="C481" s="77">
        <f>122.58</f>
        <v>122.58</v>
      </c>
      <c r="D481" s="77">
        <f>297.941</f>
        <v>297.94099999999997</v>
      </c>
      <c r="E481" s="86">
        <f>89.177</f>
        <v>89.177000000000007</v>
      </c>
      <c r="F481" s="77">
        <f>240.302-40-60-100</f>
        <v>40.301999999999992</v>
      </c>
      <c r="G481" s="80">
        <v>40</v>
      </c>
      <c r="H481" s="77">
        <f>60+100</f>
        <v>160</v>
      </c>
      <c r="I481" s="77">
        <f t="shared" si="70"/>
        <v>0</v>
      </c>
      <c r="J481" s="80">
        <v>100</v>
      </c>
      <c r="K481" s="80">
        <v>300</v>
      </c>
      <c r="L481" s="77">
        <f t="shared" si="73"/>
        <v>1150</v>
      </c>
      <c r="M481" s="88">
        <v>600</v>
      </c>
      <c r="N481" s="77">
        <f>100</f>
        <v>100</v>
      </c>
      <c r="O481" s="80">
        <v>240</v>
      </c>
      <c r="P481" s="80">
        <v>40</v>
      </c>
      <c r="Q481" s="80">
        <f t="shared" si="74"/>
        <v>315</v>
      </c>
      <c r="R481" s="80">
        <f t="shared" si="75"/>
        <v>100</v>
      </c>
      <c r="S481" s="77">
        <f t="shared" si="76"/>
        <v>695</v>
      </c>
      <c r="T481" s="77">
        <f>50</f>
        <v>50</v>
      </c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</row>
    <row r="482" spans="1:30" ht="15.75" x14ac:dyDescent="0.25">
      <c r="A482" s="33">
        <v>55609</v>
      </c>
      <c r="B482" s="90">
        <v>31</v>
      </c>
      <c r="C482" s="77">
        <f>122.58</f>
        <v>122.58</v>
      </c>
      <c r="D482" s="77">
        <f>297.941</f>
        <v>297.94099999999997</v>
      </c>
      <c r="E482" s="86">
        <f>89.177</f>
        <v>89.177000000000007</v>
      </c>
      <c r="F482" s="77">
        <f>240.302-40-60-100</f>
        <v>40.301999999999992</v>
      </c>
      <c r="G482" s="80">
        <v>40</v>
      </c>
      <c r="H482" s="77">
        <f>60+100</f>
        <v>160</v>
      </c>
      <c r="I482" s="77">
        <f t="shared" si="70"/>
        <v>0</v>
      </c>
      <c r="J482" s="80">
        <v>100</v>
      </c>
      <c r="K482" s="80">
        <v>300</v>
      </c>
      <c r="L482" s="77">
        <f t="shared" si="73"/>
        <v>1150</v>
      </c>
      <c r="M482" s="88">
        <v>600</v>
      </c>
      <c r="N482" s="77">
        <f>100</f>
        <v>100</v>
      </c>
      <c r="O482" s="80">
        <v>240</v>
      </c>
      <c r="P482" s="80">
        <v>40</v>
      </c>
      <c r="Q482" s="80">
        <f t="shared" si="74"/>
        <v>315</v>
      </c>
      <c r="R482" s="80">
        <f t="shared" si="75"/>
        <v>100</v>
      </c>
      <c r="S482" s="77">
        <f t="shared" si="76"/>
        <v>695</v>
      </c>
      <c r="T482" s="77">
        <f>50</f>
        <v>50</v>
      </c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</row>
    <row r="483" spans="1:30" ht="15.75" x14ac:dyDescent="0.25">
      <c r="A483" s="33">
        <v>55639</v>
      </c>
      <c r="B483" s="90">
        <v>30</v>
      </c>
      <c r="C483" s="77">
        <f>141.293</f>
        <v>141.29300000000001</v>
      </c>
      <c r="D483" s="77">
        <f>267.993</f>
        <v>267.99299999999999</v>
      </c>
      <c r="E483" s="86">
        <f>115.016</f>
        <v>115.01600000000001</v>
      </c>
      <c r="F483" s="77">
        <f>314.698-40-25-60-100</f>
        <v>89.697999999999979</v>
      </c>
      <c r="G483" s="80">
        <v>40</v>
      </c>
      <c r="H483" s="77">
        <f t="shared" ref="H483:H489" si="78">25+60+100</f>
        <v>185</v>
      </c>
      <c r="I483" s="77">
        <f t="shared" si="70"/>
        <v>0</v>
      </c>
      <c r="J483" s="80">
        <v>100</v>
      </c>
      <c r="K483" s="80">
        <v>300</v>
      </c>
      <c r="L483" s="77">
        <f t="shared" si="73"/>
        <v>1239</v>
      </c>
      <c r="M483" s="88">
        <v>600</v>
      </c>
      <c r="N483" s="77">
        <f>100</f>
        <v>100</v>
      </c>
      <c r="O483" s="80">
        <v>240</v>
      </c>
      <c r="P483" s="80">
        <v>160</v>
      </c>
      <c r="Q483" s="80">
        <f t="shared" si="74"/>
        <v>195</v>
      </c>
      <c r="R483" s="80">
        <f t="shared" si="75"/>
        <v>100</v>
      </c>
      <c r="S483" s="77">
        <f t="shared" si="76"/>
        <v>695</v>
      </c>
      <c r="T483" s="77">
        <f>50</f>
        <v>50</v>
      </c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</row>
    <row r="484" spans="1:30" ht="15.75" x14ac:dyDescent="0.25">
      <c r="A484" s="33">
        <v>55670</v>
      </c>
      <c r="B484" s="90">
        <v>31</v>
      </c>
      <c r="C484" s="77">
        <f>194.205</f>
        <v>194.20500000000001</v>
      </c>
      <c r="D484" s="77">
        <f>267.466</f>
        <v>267.46600000000001</v>
      </c>
      <c r="E484" s="86">
        <f>133.845</f>
        <v>133.845</v>
      </c>
      <c r="F484" s="77">
        <f>278.484-40-25-60-100</f>
        <v>53.48399999999998</v>
      </c>
      <c r="G484" s="80">
        <v>40</v>
      </c>
      <c r="H484" s="77">
        <f t="shared" si="78"/>
        <v>185</v>
      </c>
      <c r="I484" s="77">
        <f t="shared" si="70"/>
        <v>0</v>
      </c>
      <c r="J484" s="80">
        <v>100</v>
      </c>
      <c r="K484" s="80">
        <v>300</v>
      </c>
      <c r="L484" s="77">
        <f t="shared" si="73"/>
        <v>1274</v>
      </c>
      <c r="M484" s="88">
        <v>600</v>
      </c>
      <c r="N484" s="77">
        <f>75</f>
        <v>75</v>
      </c>
      <c r="O484" s="80">
        <v>240</v>
      </c>
      <c r="P484" s="80">
        <v>160</v>
      </c>
      <c r="Q484" s="80">
        <f t="shared" si="74"/>
        <v>195</v>
      </c>
      <c r="R484" s="80">
        <f t="shared" si="75"/>
        <v>100</v>
      </c>
      <c r="S484" s="77">
        <f t="shared" si="76"/>
        <v>695</v>
      </c>
      <c r="T484" s="77">
        <f>50</f>
        <v>50</v>
      </c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</row>
    <row r="485" spans="1:30" ht="15.75" x14ac:dyDescent="0.25">
      <c r="A485" s="33">
        <v>55700</v>
      </c>
      <c r="B485" s="90">
        <v>30</v>
      </c>
      <c r="C485" s="77">
        <f>194.205</f>
        <v>194.20500000000001</v>
      </c>
      <c r="D485" s="77">
        <f>267.466</f>
        <v>267.46600000000001</v>
      </c>
      <c r="E485" s="86">
        <f>133.845</f>
        <v>133.845</v>
      </c>
      <c r="F485" s="77">
        <f>278.484-40-25-60-100</f>
        <v>53.48399999999998</v>
      </c>
      <c r="G485" s="80">
        <v>40</v>
      </c>
      <c r="H485" s="77">
        <f t="shared" si="78"/>
        <v>185</v>
      </c>
      <c r="I485" s="77">
        <f t="shared" si="70"/>
        <v>0</v>
      </c>
      <c r="J485" s="80">
        <v>100</v>
      </c>
      <c r="K485" s="80">
        <v>300</v>
      </c>
      <c r="L485" s="77">
        <f t="shared" si="73"/>
        <v>1274</v>
      </c>
      <c r="M485" s="88">
        <v>600</v>
      </c>
      <c r="N485" s="77">
        <f>30</f>
        <v>30</v>
      </c>
      <c r="O485" s="80">
        <v>240</v>
      </c>
      <c r="P485" s="80">
        <v>160</v>
      </c>
      <c r="Q485" s="80">
        <f t="shared" si="74"/>
        <v>195</v>
      </c>
      <c r="R485" s="80">
        <f t="shared" si="75"/>
        <v>100</v>
      </c>
      <c r="S485" s="77">
        <f t="shared" si="76"/>
        <v>695</v>
      </c>
      <c r="T485" s="77">
        <f>50</f>
        <v>50</v>
      </c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</row>
    <row r="486" spans="1:30" ht="15.75" x14ac:dyDescent="0.25">
      <c r="A486" s="33">
        <v>55731</v>
      </c>
      <c r="B486" s="90">
        <v>31</v>
      </c>
      <c r="C486" s="77">
        <f>194.205</f>
        <v>194.20500000000001</v>
      </c>
      <c r="D486" s="77">
        <f>267.466</f>
        <v>267.46600000000001</v>
      </c>
      <c r="E486" s="86">
        <f>133.845</f>
        <v>133.845</v>
      </c>
      <c r="F486" s="77">
        <f>278.484-40-25-60-100</f>
        <v>53.48399999999998</v>
      </c>
      <c r="G486" s="80">
        <v>40</v>
      </c>
      <c r="H486" s="77">
        <f t="shared" si="78"/>
        <v>185</v>
      </c>
      <c r="I486" s="77">
        <f t="shared" si="70"/>
        <v>0</v>
      </c>
      <c r="J486" s="80">
        <v>100</v>
      </c>
      <c r="K486" s="80">
        <v>300</v>
      </c>
      <c r="L486" s="77">
        <f t="shared" si="73"/>
        <v>1274</v>
      </c>
      <c r="M486" s="88">
        <v>600</v>
      </c>
      <c r="N486" s="77">
        <f>30</f>
        <v>30</v>
      </c>
      <c r="O486" s="80">
        <v>240</v>
      </c>
      <c r="P486" s="80">
        <v>160</v>
      </c>
      <c r="Q486" s="80">
        <f t="shared" si="74"/>
        <v>195</v>
      </c>
      <c r="R486" s="80">
        <f t="shared" si="75"/>
        <v>100</v>
      </c>
      <c r="S486" s="77">
        <f t="shared" si="76"/>
        <v>695</v>
      </c>
      <c r="T486" s="77">
        <f>0</f>
        <v>0</v>
      </c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</row>
    <row r="487" spans="1:30" ht="15.75" x14ac:dyDescent="0.25">
      <c r="A487" s="33">
        <v>55762</v>
      </c>
      <c r="B487" s="90">
        <v>31</v>
      </c>
      <c r="C487" s="77">
        <f>194.205</f>
        <v>194.20500000000001</v>
      </c>
      <c r="D487" s="77">
        <f>267.466</f>
        <v>267.46600000000001</v>
      </c>
      <c r="E487" s="86">
        <f>133.845</f>
        <v>133.845</v>
      </c>
      <c r="F487" s="77">
        <f>278.484-40-25-60-100</f>
        <v>53.48399999999998</v>
      </c>
      <c r="G487" s="80">
        <v>40</v>
      </c>
      <c r="H487" s="77">
        <f t="shared" si="78"/>
        <v>185</v>
      </c>
      <c r="I487" s="77">
        <f t="shared" si="70"/>
        <v>0</v>
      </c>
      <c r="J487" s="80">
        <v>100</v>
      </c>
      <c r="K487" s="80">
        <v>300</v>
      </c>
      <c r="L487" s="77">
        <f t="shared" si="73"/>
        <v>1274</v>
      </c>
      <c r="M487" s="88">
        <v>600</v>
      </c>
      <c r="N487" s="77">
        <f>30</f>
        <v>30</v>
      </c>
      <c r="O487" s="80">
        <v>240</v>
      </c>
      <c r="P487" s="80">
        <v>160</v>
      </c>
      <c r="Q487" s="80">
        <f t="shared" si="74"/>
        <v>195</v>
      </c>
      <c r="R487" s="80">
        <f t="shared" si="75"/>
        <v>100</v>
      </c>
      <c r="S487" s="77">
        <f t="shared" si="76"/>
        <v>695</v>
      </c>
      <c r="T487" s="77">
        <f>0</f>
        <v>0</v>
      </c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</row>
    <row r="488" spans="1:30" ht="15.75" x14ac:dyDescent="0.25">
      <c r="A488" s="33">
        <v>55792</v>
      </c>
      <c r="B488" s="90">
        <v>30</v>
      </c>
      <c r="C488" s="77">
        <f>194.205</f>
        <v>194.20500000000001</v>
      </c>
      <c r="D488" s="77">
        <f>267.466</f>
        <v>267.46600000000001</v>
      </c>
      <c r="E488" s="86">
        <f>133.845</f>
        <v>133.845</v>
      </c>
      <c r="F488" s="77">
        <f>278.484-40-25-60-100</f>
        <v>53.48399999999998</v>
      </c>
      <c r="G488" s="80">
        <v>40</v>
      </c>
      <c r="H488" s="77">
        <f t="shared" si="78"/>
        <v>185</v>
      </c>
      <c r="I488" s="77">
        <f t="shared" si="70"/>
        <v>0</v>
      </c>
      <c r="J488" s="80">
        <v>100</v>
      </c>
      <c r="K488" s="80">
        <v>300</v>
      </c>
      <c r="L488" s="77">
        <f t="shared" si="73"/>
        <v>1274</v>
      </c>
      <c r="M488" s="88">
        <v>600</v>
      </c>
      <c r="N488" s="77">
        <f>30</f>
        <v>30</v>
      </c>
      <c r="O488" s="80">
        <v>240</v>
      </c>
      <c r="P488" s="80">
        <v>160</v>
      </c>
      <c r="Q488" s="80">
        <f t="shared" si="74"/>
        <v>195</v>
      </c>
      <c r="R488" s="80">
        <f t="shared" si="75"/>
        <v>100</v>
      </c>
      <c r="S488" s="77">
        <f t="shared" si="76"/>
        <v>695</v>
      </c>
      <c r="T488" s="77">
        <f>0</f>
        <v>0</v>
      </c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</row>
    <row r="489" spans="1:30" ht="15.75" x14ac:dyDescent="0.25">
      <c r="A489" s="33">
        <v>55823</v>
      </c>
      <c r="B489" s="90">
        <v>31</v>
      </c>
      <c r="C489" s="77">
        <f>131.881</f>
        <v>131.881</v>
      </c>
      <c r="D489" s="77">
        <f>277.167</f>
        <v>277.16699999999997</v>
      </c>
      <c r="E489" s="86">
        <f>79.08</f>
        <v>79.08</v>
      </c>
      <c r="F489" s="77">
        <f>350.872-40-25-60-100</f>
        <v>125.87200000000001</v>
      </c>
      <c r="G489" s="80">
        <v>40</v>
      </c>
      <c r="H489" s="77">
        <f t="shared" si="78"/>
        <v>185</v>
      </c>
      <c r="I489" s="77">
        <f t="shared" si="70"/>
        <v>0</v>
      </c>
      <c r="J489" s="80">
        <v>100</v>
      </c>
      <c r="K489" s="80">
        <v>300</v>
      </c>
      <c r="L489" s="77">
        <f t="shared" si="73"/>
        <v>1239</v>
      </c>
      <c r="M489" s="88">
        <v>600</v>
      </c>
      <c r="N489" s="77">
        <f>75</f>
        <v>75</v>
      </c>
      <c r="O489" s="80">
        <v>240</v>
      </c>
      <c r="P489" s="80">
        <v>160</v>
      </c>
      <c r="Q489" s="80">
        <f t="shared" si="74"/>
        <v>195</v>
      </c>
      <c r="R489" s="80">
        <f t="shared" si="75"/>
        <v>100</v>
      </c>
      <c r="S489" s="77">
        <f t="shared" si="76"/>
        <v>695</v>
      </c>
      <c r="T489" s="77">
        <f>0</f>
        <v>0</v>
      </c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</row>
    <row r="490" spans="1:30" ht="15.75" x14ac:dyDescent="0.25">
      <c r="A490" s="33">
        <v>55853</v>
      </c>
      <c r="B490" s="90">
        <v>30</v>
      </c>
      <c r="C490" s="77">
        <f>122.58</f>
        <v>122.58</v>
      </c>
      <c r="D490" s="77">
        <f>297.941</f>
        <v>297.94099999999997</v>
      </c>
      <c r="E490" s="86">
        <f>89.177</f>
        <v>89.177000000000007</v>
      </c>
      <c r="F490" s="77">
        <f>240.302-40-60-100</f>
        <v>40.301999999999992</v>
      </c>
      <c r="G490" s="80">
        <v>40</v>
      </c>
      <c r="H490" s="77">
        <f>60+100</f>
        <v>160</v>
      </c>
      <c r="I490" s="77">
        <f t="shared" si="70"/>
        <v>0</v>
      </c>
      <c r="J490" s="80">
        <v>100</v>
      </c>
      <c r="K490" s="80">
        <v>300</v>
      </c>
      <c r="L490" s="77">
        <f t="shared" si="73"/>
        <v>1150</v>
      </c>
      <c r="M490" s="88">
        <v>600</v>
      </c>
      <c r="N490" s="77">
        <f>100</f>
        <v>100</v>
      </c>
      <c r="O490" s="80">
        <v>240</v>
      </c>
      <c r="P490" s="80">
        <v>40</v>
      </c>
      <c r="Q490" s="80">
        <f t="shared" si="74"/>
        <v>315</v>
      </c>
      <c r="R490" s="80">
        <f t="shared" si="75"/>
        <v>100</v>
      </c>
      <c r="S490" s="77">
        <f t="shared" si="76"/>
        <v>695</v>
      </c>
      <c r="T490" s="77">
        <f>50</f>
        <v>50</v>
      </c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</row>
    <row r="491" spans="1:30" ht="15.75" x14ac:dyDescent="0.25">
      <c r="A491" s="33">
        <v>55884</v>
      </c>
      <c r="B491" s="90">
        <v>31</v>
      </c>
      <c r="C491" s="77">
        <f>122.58</f>
        <v>122.58</v>
      </c>
      <c r="D491" s="77">
        <f>297.941</f>
        <v>297.94099999999997</v>
      </c>
      <c r="E491" s="86">
        <f>89.177</f>
        <v>89.177000000000007</v>
      </c>
      <c r="F491" s="77">
        <f>240.302-40-60-100</f>
        <v>40.301999999999992</v>
      </c>
      <c r="G491" s="80">
        <v>40</v>
      </c>
      <c r="H491" s="77">
        <f>60+100</f>
        <v>160</v>
      </c>
      <c r="I491" s="77">
        <f t="shared" si="70"/>
        <v>0</v>
      </c>
      <c r="J491" s="80">
        <v>100</v>
      </c>
      <c r="K491" s="80">
        <v>300</v>
      </c>
      <c r="L491" s="77">
        <f t="shared" si="73"/>
        <v>1150</v>
      </c>
      <c r="M491" s="88">
        <v>600</v>
      </c>
      <c r="N491" s="77">
        <f>100</f>
        <v>100</v>
      </c>
      <c r="O491" s="80">
        <v>240</v>
      </c>
      <c r="P491" s="80">
        <v>40</v>
      </c>
      <c r="Q491" s="80">
        <f t="shared" si="74"/>
        <v>315</v>
      </c>
      <c r="R491" s="80">
        <f t="shared" si="75"/>
        <v>100</v>
      </c>
      <c r="S491" s="77">
        <f t="shared" si="76"/>
        <v>695</v>
      </c>
      <c r="T491" s="77">
        <f>50</f>
        <v>50</v>
      </c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</row>
    <row r="492" spans="1:30" ht="15.75" x14ac:dyDescent="0.25">
      <c r="A492" s="33">
        <v>55915</v>
      </c>
      <c r="B492" s="90">
        <v>31</v>
      </c>
      <c r="C492" s="77">
        <f>122.58</f>
        <v>122.58</v>
      </c>
      <c r="D492" s="77">
        <f>297.941</f>
        <v>297.94099999999997</v>
      </c>
      <c r="E492" s="86">
        <f>89.177</f>
        <v>89.177000000000007</v>
      </c>
      <c r="F492" s="77">
        <f>240.302-40-60-100</f>
        <v>40.301999999999992</v>
      </c>
      <c r="G492" s="80">
        <v>40</v>
      </c>
      <c r="H492" s="77">
        <f>60+100</f>
        <v>160</v>
      </c>
      <c r="I492" s="77">
        <f t="shared" si="70"/>
        <v>0</v>
      </c>
      <c r="J492" s="80">
        <v>100</v>
      </c>
      <c r="K492" s="80">
        <v>300</v>
      </c>
      <c r="L492" s="77">
        <f t="shared" si="73"/>
        <v>1150</v>
      </c>
      <c r="M492" s="88">
        <v>600</v>
      </c>
      <c r="N492" s="77">
        <f>100</f>
        <v>100</v>
      </c>
      <c r="O492" s="80">
        <v>240</v>
      </c>
      <c r="P492" s="80">
        <v>40</v>
      </c>
      <c r="Q492" s="80">
        <f t="shared" si="74"/>
        <v>315</v>
      </c>
      <c r="R492" s="80">
        <f t="shared" si="75"/>
        <v>100</v>
      </c>
      <c r="S492" s="77">
        <f t="shared" si="76"/>
        <v>695</v>
      </c>
      <c r="T492" s="77">
        <f>50</f>
        <v>50</v>
      </c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</row>
    <row r="493" spans="1:30" ht="15.75" x14ac:dyDescent="0.25">
      <c r="A493" s="33">
        <v>55943</v>
      </c>
      <c r="B493" s="90">
        <v>28</v>
      </c>
      <c r="C493" s="77">
        <f>122.58</f>
        <v>122.58</v>
      </c>
      <c r="D493" s="77">
        <f>297.941</f>
        <v>297.94099999999997</v>
      </c>
      <c r="E493" s="86">
        <f>89.177</f>
        <v>89.177000000000007</v>
      </c>
      <c r="F493" s="77">
        <f>240.302-40-60-100</f>
        <v>40.301999999999992</v>
      </c>
      <c r="G493" s="80">
        <v>40</v>
      </c>
      <c r="H493" s="77">
        <f>60+100</f>
        <v>160</v>
      </c>
      <c r="I493" s="77">
        <f t="shared" si="70"/>
        <v>0</v>
      </c>
      <c r="J493" s="80">
        <v>100</v>
      </c>
      <c r="K493" s="80">
        <v>300</v>
      </c>
      <c r="L493" s="77">
        <f t="shared" si="73"/>
        <v>1150</v>
      </c>
      <c r="M493" s="88">
        <v>600</v>
      </c>
      <c r="N493" s="77">
        <f>100</f>
        <v>100</v>
      </c>
      <c r="O493" s="80">
        <v>240</v>
      </c>
      <c r="P493" s="80">
        <v>40</v>
      </c>
      <c r="Q493" s="80">
        <f t="shared" si="74"/>
        <v>315</v>
      </c>
      <c r="R493" s="80">
        <f t="shared" si="75"/>
        <v>100</v>
      </c>
      <c r="S493" s="77">
        <f t="shared" si="76"/>
        <v>695</v>
      </c>
      <c r="T493" s="77">
        <f>50</f>
        <v>50</v>
      </c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</row>
    <row r="494" spans="1:30" ht="15.75" x14ac:dyDescent="0.25">
      <c r="A494" s="33">
        <v>55974</v>
      </c>
      <c r="B494" s="90">
        <v>31</v>
      </c>
      <c r="C494" s="77">
        <f>122.58</f>
        <v>122.58</v>
      </c>
      <c r="D494" s="77">
        <f>297.941</f>
        <v>297.94099999999997</v>
      </c>
      <c r="E494" s="86">
        <f>89.177</f>
        <v>89.177000000000007</v>
      </c>
      <c r="F494" s="77">
        <f>240.302-40-60-100</f>
        <v>40.301999999999992</v>
      </c>
      <c r="G494" s="80">
        <v>40</v>
      </c>
      <c r="H494" s="77">
        <f>60+100</f>
        <v>160</v>
      </c>
      <c r="I494" s="77">
        <f t="shared" si="70"/>
        <v>0</v>
      </c>
      <c r="J494" s="80">
        <v>100</v>
      </c>
      <c r="K494" s="80">
        <v>300</v>
      </c>
      <c r="L494" s="77">
        <f t="shared" si="73"/>
        <v>1150</v>
      </c>
      <c r="M494" s="88">
        <v>600</v>
      </c>
      <c r="N494" s="77">
        <f>100</f>
        <v>100</v>
      </c>
      <c r="O494" s="80">
        <v>240</v>
      </c>
      <c r="P494" s="80">
        <v>40</v>
      </c>
      <c r="Q494" s="80">
        <f t="shared" si="74"/>
        <v>315</v>
      </c>
      <c r="R494" s="80">
        <f t="shared" si="75"/>
        <v>100</v>
      </c>
      <c r="S494" s="77">
        <f t="shared" si="76"/>
        <v>695</v>
      </c>
      <c r="T494" s="77">
        <f>50</f>
        <v>50</v>
      </c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</row>
    <row r="495" spans="1:30" ht="15.75" x14ac:dyDescent="0.25">
      <c r="A495" s="33">
        <v>56004</v>
      </c>
      <c r="B495" s="90">
        <v>30</v>
      </c>
      <c r="C495" s="77">
        <f>141.293</f>
        <v>141.29300000000001</v>
      </c>
      <c r="D495" s="77">
        <f>267.993</f>
        <v>267.99299999999999</v>
      </c>
      <c r="E495" s="86">
        <f>115.016</f>
        <v>115.01600000000001</v>
      </c>
      <c r="F495" s="77">
        <f>314.698-40-25-60-100</f>
        <v>89.697999999999979</v>
      </c>
      <c r="G495" s="80">
        <v>40</v>
      </c>
      <c r="H495" s="77">
        <f t="shared" ref="H495:H501" si="79">25+60+100</f>
        <v>185</v>
      </c>
      <c r="I495" s="77">
        <f t="shared" si="70"/>
        <v>0</v>
      </c>
      <c r="J495" s="80">
        <v>100</v>
      </c>
      <c r="K495" s="80">
        <v>300</v>
      </c>
      <c r="L495" s="77">
        <f t="shared" si="73"/>
        <v>1239</v>
      </c>
      <c r="M495" s="88">
        <v>600</v>
      </c>
      <c r="N495" s="77">
        <f>100</f>
        <v>100</v>
      </c>
      <c r="O495" s="80">
        <v>240</v>
      </c>
      <c r="P495" s="80">
        <v>160</v>
      </c>
      <c r="Q495" s="80">
        <f t="shared" si="74"/>
        <v>195</v>
      </c>
      <c r="R495" s="80">
        <f t="shared" si="75"/>
        <v>100</v>
      </c>
      <c r="S495" s="77">
        <f t="shared" si="76"/>
        <v>695</v>
      </c>
      <c r="T495" s="77">
        <f>50</f>
        <v>50</v>
      </c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</row>
    <row r="496" spans="1:30" ht="15.75" x14ac:dyDescent="0.25">
      <c r="A496" s="33">
        <v>56035</v>
      </c>
      <c r="B496" s="90">
        <v>31</v>
      </c>
      <c r="C496" s="77">
        <f>194.205</f>
        <v>194.20500000000001</v>
      </c>
      <c r="D496" s="77">
        <f>267.466</f>
        <v>267.46600000000001</v>
      </c>
      <c r="E496" s="86">
        <f>133.845</f>
        <v>133.845</v>
      </c>
      <c r="F496" s="77">
        <f>278.484-40-25-60-100</f>
        <v>53.48399999999998</v>
      </c>
      <c r="G496" s="80">
        <v>40</v>
      </c>
      <c r="H496" s="77">
        <f t="shared" si="79"/>
        <v>185</v>
      </c>
      <c r="I496" s="77">
        <f t="shared" si="70"/>
        <v>0</v>
      </c>
      <c r="J496" s="80">
        <v>100</v>
      </c>
      <c r="K496" s="80">
        <v>300</v>
      </c>
      <c r="L496" s="77">
        <f t="shared" si="73"/>
        <v>1274</v>
      </c>
      <c r="M496" s="88">
        <v>600</v>
      </c>
      <c r="N496" s="77">
        <f>75</f>
        <v>75</v>
      </c>
      <c r="O496" s="80">
        <v>240</v>
      </c>
      <c r="P496" s="80">
        <v>160</v>
      </c>
      <c r="Q496" s="80">
        <f t="shared" si="74"/>
        <v>195</v>
      </c>
      <c r="R496" s="80">
        <f t="shared" si="75"/>
        <v>100</v>
      </c>
      <c r="S496" s="77">
        <f t="shared" si="76"/>
        <v>695</v>
      </c>
      <c r="T496" s="77">
        <f>50</f>
        <v>50</v>
      </c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</row>
    <row r="497" spans="1:30" ht="15.75" x14ac:dyDescent="0.25">
      <c r="A497" s="33">
        <v>56065</v>
      </c>
      <c r="B497" s="90">
        <v>30</v>
      </c>
      <c r="C497" s="77">
        <f>194.205</f>
        <v>194.20500000000001</v>
      </c>
      <c r="D497" s="77">
        <f>267.466</f>
        <v>267.46600000000001</v>
      </c>
      <c r="E497" s="86">
        <f>133.845</f>
        <v>133.845</v>
      </c>
      <c r="F497" s="77">
        <f>278.484-40-25-60-100</f>
        <v>53.48399999999998</v>
      </c>
      <c r="G497" s="80">
        <v>40</v>
      </c>
      <c r="H497" s="77">
        <f t="shared" si="79"/>
        <v>185</v>
      </c>
      <c r="I497" s="77">
        <f t="shared" si="70"/>
        <v>0</v>
      </c>
      <c r="J497" s="80">
        <v>100</v>
      </c>
      <c r="K497" s="80">
        <v>300</v>
      </c>
      <c r="L497" s="77">
        <f t="shared" si="73"/>
        <v>1274</v>
      </c>
      <c r="M497" s="88">
        <v>600</v>
      </c>
      <c r="N497" s="77">
        <f>30</f>
        <v>30</v>
      </c>
      <c r="O497" s="80">
        <v>240</v>
      </c>
      <c r="P497" s="80">
        <v>160</v>
      </c>
      <c r="Q497" s="80">
        <f t="shared" si="74"/>
        <v>195</v>
      </c>
      <c r="R497" s="80">
        <f t="shared" si="75"/>
        <v>100</v>
      </c>
      <c r="S497" s="77">
        <f t="shared" si="76"/>
        <v>695</v>
      </c>
      <c r="T497" s="77">
        <f>50</f>
        <v>50</v>
      </c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</row>
    <row r="498" spans="1:30" ht="15.75" x14ac:dyDescent="0.25">
      <c r="A498" s="33">
        <v>56096</v>
      </c>
      <c r="B498" s="90">
        <v>31</v>
      </c>
      <c r="C498" s="77">
        <f>194.205</f>
        <v>194.20500000000001</v>
      </c>
      <c r="D498" s="77">
        <f>267.466</f>
        <v>267.46600000000001</v>
      </c>
      <c r="E498" s="86">
        <f>133.845</f>
        <v>133.845</v>
      </c>
      <c r="F498" s="77">
        <f>278.484-40-25-60-100</f>
        <v>53.48399999999998</v>
      </c>
      <c r="G498" s="80">
        <v>40</v>
      </c>
      <c r="H498" s="77">
        <f t="shared" si="79"/>
        <v>185</v>
      </c>
      <c r="I498" s="77">
        <f t="shared" si="70"/>
        <v>0</v>
      </c>
      <c r="J498" s="80">
        <v>100</v>
      </c>
      <c r="K498" s="80">
        <v>300</v>
      </c>
      <c r="L498" s="77">
        <f t="shared" si="73"/>
        <v>1274</v>
      </c>
      <c r="M498" s="88">
        <v>600</v>
      </c>
      <c r="N498" s="77">
        <f>30</f>
        <v>30</v>
      </c>
      <c r="O498" s="80">
        <v>240</v>
      </c>
      <c r="P498" s="80">
        <v>160</v>
      </c>
      <c r="Q498" s="80">
        <f t="shared" si="74"/>
        <v>195</v>
      </c>
      <c r="R498" s="80">
        <f t="shared" si="75"/>
        <v>100</v>
      </c>
      <c r="S498" s="77">
        <f t="shared" si="76"/>
        <v>695</v>
      </c>
      <c r="T498" s="77">
        <f>0</f>
        <v>0</v>
      </c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</row>
    <row r="499" spans="1:30" ht="15.75" x14ac:dyDescent="0.25">
      <c r="A499" s="33">
        <v>56127</v>
      </c>
      <c r="B499" s="90">
        <v>31</v>
      </c>
      <c r="C499" s="77">
        <f>194.205</f>
        <v>194.20500000000001</v>
      </c>
      <c r="D499" s="77">
        <f>267.466</f>
        <v>267.46600000000001</v>
      </c>
      <c r="E499" s="86">
        <f>133.845</f>
        <v>133.845</v>
      </c>
      <c r="F499" s="77">
        <f>278.484-40-25-60-100</f>
        <v>53.48399999999998</v>
      </c>
      <c r="G499" s="80">
        <v>40</v>
      </c>
      <c r="H499" s="77">
        <f t="shared" si="79"/>
        <v>185</v>
      </c>
      <c r="I499" s="77">
        <f t="shared" si="70"/>
        <v>0</v>
      </c>
      <c r="J499" s="80">
        <v>100</v>
      </c>
      <c r="K499" s="80">
        <v>300</v>
      </c>
      <c r="L499" s="77">
        <f t="shared" si="73"/>
        <v>1274</v>
      </c>
      <c r="M499" s="88">
        <v>600</v>
      </c>
      <c r="N499" s="77">
        <f>30</f>
        <v>30</v>
      </c>
      <c r="O499" s="80">
        <v>240</v>
      </c>
      <c r="P499" s="80">
        <v>160</v>
      </c>
      <c r="Q499" s="80">
        <f t="shared" si="74"/>
        <v>195</v>
      </c>
      <c r="R499" s="80">
        <f t="shared" si="75"/>
        <v>100</v>
      </c>
      <c r="S499" s="77">
        <f t="shared" si="76"/>
        <v>695</v>
      </c>
      <c r="T499" s="77">
        <f>0</f>
        <v>0</v>
      </c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</row>
    <row r="500" spans="1:30" ht="15.75" x14ac:dyDescent="0.25">
      <c r="A500" s="33">
        <v>56157</v>
      </c>
      <c r="B500" s="90">
        <v>30</v>
      </c>
      <c r="C500" s="77">
        <f>194.205</f>
        <v>194.20500000000001</v>
      </c>
      <c r="D500" s="77">
        <f>267.466</f>
        <v>267.46600000000001</v>
      </c>
      <c r="E500" s="86">
        <f>133.845</f>
        <v>133.845</v>
      </c>
      <c r="F500" s="77">
        <f>278.484-40-25-60-100</f>
        <v>53.48399999999998</v>
      </c>
      <c r="G500" s="80">
        <v>40</v>
      </c>
      <c r="H500" s="77">
        <f t="shared" si="79"/>
        <v>185</v>
      </c>
      <c r="I500" s="77">
        <f t="shared" ref="I500:I563" si="80">400-J500-K500</f>
        <v>0</v>
      </c>
      <c r="J500" s="80">
        <v>100</v>
      </c>
      <c r="K500" s="80">
        <v>300</v>
      </c>
      <c r="L500" s="77">
        <f t="shared" si="73"/>
        <v>1274</v>
      </c>
      <c r="M500" s="88">
        <v>600</v>
      </c>
      <c r="N500" s="77">
        <f>30</f>
        <v>30</v>
      </c>
      <c r="O500" s="80">
        <v>240</v>
      </c>
      <c r="P500" s="80">
        <v>160</v>
      </c>
      <c r="Q500" s="80">
        <f t="shared" si="74"/>
        <v>195</v>
      </c>
      <c r="R500" s="80">
        <f t="shared" si="75"/>
        <v>100</v>
      </c>
      <c r="S500" s="77">
        <f t="shared" si="76"/>
        <v>695</v>
      </c>
      <c r="T500" s="77">
        <f>0</f>
        <v>0</v>
      </c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</row>
    <row r="501" spans="1:30" ht="15.75" x14ac:dyDescent="0.25">
      <c r="A501" s="33">
        <v>56188</v>
      </c>
      <c r="B501" s="90">
        <v>31</v>
      </c>
      <c r="C501" s="77">
        <f>131.881</f>
        <v>131.881</v>
      </c>
      <c r="D501" s="77">
        <f>277.167</f>
        <v>277.16699999999997</v>
      </c>
      <c r="E501" s="86">
        <f>79.08</f>
        <v>79.08</v>
      </c>
      <c r="F501" s="77">
        <f>350.872-40-25-60-100</f>
        <v>125.87200000000001</v>
      </c>
      <c r="G501" s="80">
        <v>40</v>
      </c>
      <c r="H501" s="77">
        <f t="shared" si="79"/>
        <v>185</v>
      </c>
      <c r="I501" s="77">
        <f t="shared" si="80"/>
        <v>0</v>
      </c>
      <c r="J501" s="80">
        <v>100</v>
      </c>
      <c r="K501" s="80">
        <v>300</v>
      </c>
      <c r="L501" s="77">
        <f t="shared" si="73"/>
        <v>1239</v>
      </c>
      <c r="M501" s="88">
        <v>600</v>
      </c>
      <c r="N501" s="77">
        <f>75</f>
        <v>75</v>
      </c>
      <c r="O501" s="80">
        <v>240</v>
      </c>
      <c r="P501" s="80">
        <v>160</v>
      </c>
      <c r="Q501" s="80">
        <f t="shared" si="74"/>
        <v>195</v>
      </c>
      <c r="R501" s="80">
        <f t="shared" si="75"/>
        <v>100</v>
      </c>
      <c r="S501" s="77">
        <f t="shared" si="76"/>
        <v>695</v>
      </c>
      <c r="T501" s="77">
        <f>0</f>
        <v>0</v>
      </c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</row>
    <row r="502" spans="1:30" ht="15.75" x14ac:dyDescent="0.25">
      <c r="A502" s="33">
        <v>56218</v>
      </c>
      <c r="B502" s="90">
        <v>30</v>
      </c>
      <c r="C502" s="77">
        <f>122.58</f>
        <v>122.58</v>
      </c>
      <c r="D502" s="77">
        <f>297.941</f>
        <v>297.94099999999997</v>
      </c>
      <c r="E502" s="86">
        <f>89.177</f>
        <v>89.177000000000007</v>
      </c>
      <c r="F502" s="77">
        <f>240.302-40-60-100</f>
        <v>40.301999999999992</v>
      </c>
      <c r="G502" s="80">
        <v>40</v>
      </c>
      <c r="H502" s="77">
        <f>60+100</f>
        <v>160</v>
      </c>
      <c r="I502" s="77">
        <f t="shared" si="80"/>
        <v>0</v>
      </c>
      <c r="J502" s="80">
        <v>100</v>
      </c>
      <c r="K502" s="80">
        <v>300</v>
      </c>
      <c r="L502" s="77">
        <f t="shared" si="73"/>
        <v>1150</v>
      </c>
      <c r="M502" s="88">
        <v>600</v>
      </c>
      <c r="N502" s="77">
        <f>100</f>
        <v>100</v>
      </c>
      <c r="O502" s="80">
        <v>240</v>
      </c>
      <c r="P502" s="80">
        <v>40</v>
      </c>
      <c r="Q502" s="80">
        <f t="shared" si="74"/>
        <v>315</v>
      </c>
      <c r="R502" s="80">
        <f t="shared" si="75"/>
        <v>100</v>
      </c>
      <c r="S502" s="77">
        <f t="shared" si="76"/>
        <v>695</v>
      </c>
      <c r="T502" s="77">
        <f>50</f>
        <v>50</v>
      </c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</row>
    <row r="503" spans="1:30" ht="15.75" x14ac:dyDescent="0.25">
      <c r="A503" s="33">
        <v>56249</v>
      </c>
      <c r="B503" s="90">
        <v>31</v>
      </c>
      <c r="C503" s="77">
        <f>122.58</f>
        <v>122.58</v>
      </c>
      <c r="D503" s="77">
        <f>297.941</f>
        <v>297.94099999999997</v>
      </c>
      <c r="E503" s="86">
        <f>89.177</f>
        <v>89.177000000000007</v>
      </c>
      <c r="F503" s="77">
        <f>240.302-40-60-100</f>
        <v>40.301999999999992</v>
      </c>
      <c r="G503" s="80">
        <v>40</v>
      </c>
      <c r="H503" s="77">
        <f>60+100</f>
        <v>160</v>
      </c>
      <c r="I503" s="77">
        <f t="shared" si="80"/>
        <v>0</v>
      </c>
      <c r="J503" s="80">
        <v>100</v>
      </c>
      <c r="K503" s="80">
        <v>300</v>
      </c>
      <c r="L503" s="77">
        <f t="shared" si="73"/>
        <v>1150</v>
      </c>
      <c r="M503" s="88">
        <v>600</v>
      </c>
      <c r="N503" s="77">
        <f>100</f>
        <v>100</v>
      </c>
      <c r="O503" s="80">
        <v>240</v>
      </c>
      <c r="P503" s="80">
        <v>40</v>
      </c>
      <c r="Q503" s="80">
        <f t="shared" si="74"/>
        <v>315</v>
      </c>
      <c r="R503" s="80">
        <f t="shared" si="75"/>
        <v>100</v>
      </c>
      <c r="S503" s="77">
        <f t="shared" si="76"/>
        <v>695</v>
      </c>
      <c r="T503" s="77">
        <f>50</f>
        <v>50</v>
      </c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</row>
    <row r="504" spans="1:30" ht="15.75" x14ac:dyDescent="0.25">
      <c r="A504" s="33">
        <v>56280</v>
      </c>
      <c r="B504" s="90">
        <v>31</v>
      </c>
      <c r="C504" s="77">
        <f>122.58</f>
        <v>122.58</v>
      </c>
      <c r="D504" s="77">
        <f>297.941</f>
        <v>297.94099999999997</v>
      </c>
      <c r="E504" s="86">
        <f>89.177</f>
        <v>89.177000000000007</v>
      </c>
      <c r="F504" s="77">
        <f>240.302-40-60-100</f>
        <v>40.301999999999992</v>
      </c>
      <c r="G504" s="80">
        <v>40</v>
      </c>
      <c r="H504" s="77">
        <f>60+100</f>
        <v>160</v>
      </c>
      <c r="I504" s="77">
        <f t="shared" si="80"/>
        <v>0</v>
      </c>
      <c r="J504" s="80">
        <v>100</v>
      </c>
      <c r="K504" s="80">
        <v>300</v>
      </c>
      <c r="L504" s="77">
        <f t="shared" si="73"/>
        <v>1150</v>
      </c>
      <c r="M504" s="88">
        <v>600</v>
      </c>
      <c r="N504" s="77">
        <f>100</f>
        <v>100</v>
      </c>
      <c r="O504" s="80">
        <v>240</v>
      </c>
      <c r="P504" s="80">
        <v>40</v>
      </c>
      <c r="Q504" s="80">
        <f t="shared" si="74"/>
        <v>315</v>
      </c>
      <c r="R504" s="80">
        <f t="shared" si="75"/>
        <v>100</v>
      </c>
      <c r="S504" s="77">
        <f t="shared" si="76"/>
        <v>695</v>
      </c>
      <c r="T504" s="77">
        <f>50</f>
        <v>50</v>
      </c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</row>
    <row r="505" spans="1:30" ht="15.75" x14ac:dyDescent="0.25">
      <c r="A505" s="33">
        <v>56308</v>
      </c>
      <c r="B505" s="90">
        <v>28</v>
      </c>
      <c r="C505" s="77">
        <f>122.58</f>
        <v>122.58</v>
      </c>
      <c r="D505" s="77">
        <f>297.941</f>
        <v>297.94099999999997</v>
      </c>
      <c r="E505" s="86">
        <f>89.177</f>
        <v>89.177000000000007</v>
      </c>
      <c r="F505" s="77">
        <f>240.302-40-60-100</f>
        <v>40.301999999999992</v>
      </c>
      <c r="G505" s="80">
        <v>40</v>
      </c>
      <c r="H505" s="77">
        <f>60+100</f>
        <v>160</v>
      </c>
      <c r="I505" s="77">
        <f t="shared" si="80"/>
        <v>0</v>
      </c>
      <c r="J505" s="80">
        <v>100</v>
      </c>
      <c r="K505" s="80">
        <v>300</v>
      </c>
      <c r="L505" s="77">
        <f t="shared" si="73"/>
        <v>1150</v>
      </c>
      <c r="M505" s="88">
        <v>600</v>
      </c>
      <c r="N505" s="77">
        <f>100</f>
        <v>100</v>
      </c>
      <c r="O505" s="80">
        <v>240</v>
      </c>
      <c r="P505" s="80">
        <v>40</v>
      </c>
      <c r="Q505" s="80">
        <f t="shared" si="74"/>
        <v>315</v>
      </c>
      <c r="R505" s="80">
        <f t="shared" si="75"/>
        <v>100</v>
      </c>
      <c r="S505" s="77">
        <f t="shared" si="76"/>
        <v>695</v>
      </c>
      <c r="T505" s="77">
        <f>50</f>
        <v>50</v>
      </c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</row>
    <row r="506" spans="1:30" ht="15.75" x14ac:dyDescent="0.25">
      <c r="A506" s="33">
        <v>56339</v>
      </c>
      <c r="B506" s="90">
        <v>31</v>
      </c>
      <c r="C506" s="77">
        <f>122.58</f>
        <v>122.58</v>
      </c>
      <c r="D506" s="77">
        <f>297.941</f>
        <v>297.94099999999997</v>
      </c>
      <c r="E506" s="86">
        <f>89.177</f>
        <v>89.177000000000007</v>
      </c>
      <c r="F506" s="77">
        <f>240.302-40-60-100</f>
        <v>40.301999999999992</v>
      </c>
      <c r="G506" s="80">
        <v>40</v>
      </c>
      <c r="H506" s="77">
        <f>60+100</f>
        <v>160</v>
      </c>
      <c r="I506" s="77">
        <f t="shared" si="80"/>
        <v>0</v>
      </c>
      <c r="J506" s="80">
        <v>100</v>
      </c>
      <c r="K506" s="80">
        <v>300</v>
      </c>
      <c r="L506" s="77">
        <f t="shared" si="73"/>
        <v>1150</v>
      </c>
      <c r="M506" s="88">
        <v>600</v>
      </c>
      <c r="N506" s="77">
        <f>100</f>
        <v>100</v>
      </c>
      <c r="O506" s="80">
        <v>240</v>
      </c>
      <c r="P506" s="80">
        <v>40</v>
      </c>
      <c r="Q506" s="80">
        <f t="shared" si="74"/>
        <v>315</v>
      </c>
      <c r="R506" s="80">
        <f t="shared" si="75"/>
        <v>100</v>
      </c>
      <c r="S506" s="77">
        <f t="shared" si="76"/>
        <v>695</v>
      </c>
      <c r="T506" s="77">
        <f>50</f>
        <v>50</v>
      </c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</row>
    <row r="507" spans="1:30" ht="15.75" x14ac:dyDescent="0.25">
      <c r="A507" s="33">
        <v>56369</v>
      </c>
      <c r="B507" s="90">
        <v>30</v>
      </c>
      <c r="C507" s="77">
        <f>141.293</f>
        <v>141.29300000000001</v>
      </c>
      <c r="D507" s="77">
        <f>267.993</f>
        <v>267.99299999999999</v>
      </c>
      <c r="E507" s="86">
        <f>115.016</f>
        <v>115.01600000000001</v>
      </c>
      <c r="F507" s="77">
        <f>314.698-40-25-60-100</f>
        <v>89.697999999999979</v>
      </c>
      <c r="G507" s="80">
        <v>40</v>
      </c>
      <c r="H507" s="77">
        <f t="shared" ref="H507:H513" si="81">25+60+100</f>
        <v>185</v>
      </c>
      <c r="I507" s="77">
        <f t="shared" si="80"/>
        <v>0</v>
      </c>
      <c r="J507" s="80">
        <v>100</v>
      </c>
      <c r="K507" s="80">
        <v>300</v>
      </c>
      <c r="L507" s="77">
        <f t="shared" si="73"/>
        <v>1239</v>
      </c>
      <c r="M507" s="88">
        <v>600</v>
      </c>
      <c r="N507" s="77">
        <f>100</f>
        <v>100</v>
      </c>
      <c r="O507" s="80">
        <v>240</v>
      </c>
      <c r="P507" s="80">
        <v>160</v>
      </c>
      <c r="Q507" s="80">
        <f t="shared" si="74"/>
        <v>195</v>
      </c>
      <c r="R507" s="80">
        <f t="shared" si="75"/>
        <v>100</v>
      </c>
      <c r="S507" s="77">
        <f t="shared" si="76"/>
        <v>695</v>
      </c>
      <c r="T507" s="77">
        <f>50</f>
        <v>50</v>
      </c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</row>
    <row r="508" spans="1:30" ht="15.75" x14ac:dyDescent="0.25">
      <c r="A508" s="33">
        <v>56400</v>
      </c>
      <c r="B508" s="90">
        <v>31</v>
      </c>
      <c r="C508" s="77">
        <f>194.205</f>
        <v>194.20500000000001</v>
      </c>
      <c r="D508" s="77">
        <f>267.466</f>
        <v>267.46600000000001</v>
      </c>
      <c r="E508" s="86">
        <f>133.845</f>
        <v>133.845</v>
      </c>
      <c r="F508" s="77">
        <f>278.484-40-25-60-100</f>
        <v>53.48399999999998</v>
      </c>
      <c r="G508" s="80">
        <v>40</v>
      </c>
      <c r="H508" s="77">
        <f t="shared" si="81"/>
        <v>185</v>
      </c>
      <c r="I508" s="77">
        <f t="shared" si="80"/>
        <v>0</v>
      </c>
      <c r="J508" s="80">
        <v>100</v>
      </c>
      <c r="K508" s="80">
        <v>300</v>
      </c>
      <c r="L508" s="77">
        <f t="shared" si="73"/>
        <v>1274</v>
      </c>
      <c r="M508" s="88">
        <v>600</v>
      </c>
      <c r="N508" s="77">
        <f>75</f>
        <v>75</v>
      </c>
      <c r="O508" s="80">
        <v>240</v>
      </c>
      <c r="P508" s="80">
        <v>160</v>
      </c>
      <c r="Q508" s="80">
        <f t="shared" si="74"/>
        <v>195</v>
      </c>
      <c r="R508" s="80">
        <f t="shared" si="75"/>
        <v>100</v>
      </c>
      <c r="S508" s="77">
        <f t="shared" si="76"/>
        <v>695</v>
      </c>
      <c r="T508" s="77">
        <f>50</f>
        <v>50</v>
      </c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</row>
    <row r="509" spans="1:30" ht="15.75" x14ac:dyDescent="0.25">
      <c r="A509" s="33">
        <v>56430</v>
      </c>
      <c r="B509" s="90">
        <v>30</v>
      </c>
      <c r="C509" s="77">
        <f>194.205</f>
        <v>194.20500000000001</v>
      </c>
      <c r="D509" s="77">
        <f>267.466</f>
        <v>267.46600000000001</v>
      </c>
      <c r="E509" s="86">
        <f>133.845</f>
        <v>133.845</v>
      </c>
      <c r="F509" s="77">
        <f>278.484-40-25-60-100</f>
        <v>53.48399999999998</v>
      </c>
      <c r="G509" s="80">
        <v>40</v>
      </c>
      <c r="H509" s="77">
        <f t="shared" si="81"/>
        <v>185</v>
      </c>
      <c r="I509" s="77">
        <f t="shared" si="80"/>
        <v>0</v>
      </c>
      <c r="J509" s="80">
        <v>100</v>
      </c>
      <c r="K509" s="80">
        <v>300</v>
      </c>
      <c r="L509" s="77">
        <f t="shared" si="73"/>
        <v>1274</v>
      </c>
      <c r="M509" s="88">
        <v>600</v>
      </c>
      <c r="N509" s="77">
        <f>30</f>
        <v>30</v>
      </c>
      <c r="O509" s="80">
        <v>240</v>
      </c>
      <c r="P509" s="80">
        <v>160</v>
      </c>
      <c r="Q509" s="80">
        <f t="shared" si="74"/>
        <v>195</v>
      </c>
      <c r="R509" s="80">
        <f t="shared" si="75"/>
        <v>100</v>
      </c>
      <c r="S509" s="77">
        <f t="shared" si="76"/>
        <v>695</v>
      </c>
      <c r="T509" s="77">
        <f>50</f>
        <v>50</v>
      </c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</row>
    <row r="510" spans="1:30" ht="15.75" x14ac:dyDescent="0.25">
      <c r="A510" s="33">
        <v>56461</v>
      </c>
      <c r="B510" s="90">
        <v>31</v>
      </c>
      <c r="C510" s="77">
        <f>194.205</f>
        <v>194.20500000000001</v>
      </c>
      <c r="D510" s="77">
        <f>267.466</f>
        <v>267.46600000000001</v>
      </c>
      <c r="E510" s="86">
        <f>133.845</f>
        <v>133.845</v>
      </c>
      <c r="F510" s="77">
        <f>278.484-40-25-60-100</f>
        <v>53.48399999999998</v>
      </c>
      <c r="G510" s="80">
        <v>40</v>
      </c>
      <c r="H510" s="77">
        <f t="shared" si="81"/>
        <v>185</v>
      </c>
      <c r="I510" s="77">
        <f t="shared" si="80"/>
        <v>0</v>
      </c>
      <c r="J510" s="80">
        <v>100</v>
      </c>
      <c r="K510" s="80">
        <v>300</v>
      </c>
      <c r="L510" s="77">
        <f t="shared" si="73"/>
        <v>1274</v>
      </c>
      <c r="M510" s="88">
        <v>600</v>
      </c>
      <c r="N510" s="77">
        <f>30</f>
        <v>30</v>
      </c>
      <c r="O510" s="80">
        <v>240</v>
      </c>
      <c r="P510" s="80">
        <v>160</v>
      </c>
      <c r="Q510" s="80">
        <f t="shared" si="74"/>
        <v>195</v>
      </c>
      <c r="R510" s="80">
        <f t="shared" si="75"/>
        <v>100</v>
      </c>
      <c r="S510" s="77">
        <f t="shared" si="76"/>
        <v>695</v>
      </c>
      <c r="T510" s="77">
        <f>0</f>
        <v>0</v>
      </c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</row>
    <row r="511" spans="1:30" ht="15.75" x14ac:dyDescent="0.25">
      <c r="A511" s="33">
        <v>56492</v>
      </c>
      <c r="B511" s="90">
        <v>31</v>
      </c>
      <c r="C511" s="77">
        <f>194.205</f>
        <v>194.20500000000001</v>
      </c>
      <c r="D511" s="77">
        <f>267.466</f>
        <v>267.46600000000001</v>
      </c>
      <c r="E511" s="86">
        <f>133.845</f>
        <v>133.845</v>
      </c>
      <c r="F511" s="77">
        <f>278.484-40-25-60-100</f>
        <v>53.48399999999998</v>
      </c>
      <c r="G511" s="80">
        <v>40</v>
      </c>
      <c r="H511" s="77">
        <f t="shared" si="81"/>
        <v>185</v>
      </c>
      <c r="I511" s="77">
        <f t="shared" si="80"/>
        <v>0</v>
      </c>
      <c r="J511" s="80">
        <v>100</v>
      </c>
      <c r="K511" s="80">
        <v>300</v>
      </c>
      <c r="L511" s="77">
        <f t="shared" si="73"/>
        <v>1274</v>
      </c>
      <c r="M511" s="88">
        <v>600</v>
      </c>
      <c r="N511" s="77">
        <f>30</f>
        <v>30</v>
      </c>
      <c r="O511" s="80">
        <v>240</v>
      </c>
      <c r="P511" s="80">
        <v>160</v>
      </c>
      <c r="Q511" s="80">
        <f t="shared" si="74"/>
        <v>195</v>
      </c>
      <c r="R511" s="80">
        <f t="shared" si="75"/>
        <v>100</v>
      </c>
      <c r="S511" s="77">
        <f t="shared" si="76"/>
        <v>695</v>
      </c>
      <c r="T511" s="77">
        <f>0</f>
        <v>0</v>
      </c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</row>
    <row r="512" spans="1:30" ht="15.75" x14ac:dyDescent="0.25">
      <c r="A512" s="33">
        <v>56522</v>
      </c>
      <c r="B512" s="90">
        <v>30</v>
      </c>
      <c r="C512" s="77">
        <f>194.205</f>
        <v>194.20500000000001</v>
      </c>
      <c r="D512" s="77">
        <f>267.466</f>
        <v>267.46600000000001</v>
      </c>
      <c r="E512" s="86">
        <f>133.845</f>
        <v>133.845</v>
      </c>
      <c r="F512" s="77">
        <f>278.484-40-25-60-100</f>
        <v>53.48399999999998</v>
      </c>
      <c r="G512" s="80">
        <v>40</v>
      </c>
      <c r="H512" s="77">
        <f t="shared" si="81"/>
        <v>185</v>
      </c>
      <c r="I512" s="77">
        <f t="shared" si="80"/>
        <v>0</v>
      </c>
      <c r="J512" s="80">
        <v>100</v>
      </c>
      <c r="K512" s="80">
        <v>300</v>
      </c>
      <c r="L512" s="77">
        <f t="shared" si="73"/>
        <v>1274</v>
      </c>
      <c r="M512" s="88">
        <v>600</v>
      </c>
      <c r="N512" s="77">
        <f>30</f>
        <v>30</v>
      </c>
      <c r="O512" s="80">
        <v>240</v>
      </c>
      <c r="P512" s="80">
        <v>160</v>
      </c>
      <c r="Q512" s="80">
        <f t="shared" si="74"/>
        <v>195</v>
      </c>
      <c r="R512" s="80">
        <f t="shared" si="75"/>
        <v>100</v>
      </c>
      <c r="S512" s="77">
        <f t="shared" si="76"/>
        <v>695</v>
      </c>
      <c r="T512" s="77">
        <f>0</f>
        <v>0</v>
      </c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</row>
    <row r="513" spans="1:30" ht="15.75" x14ac:dyDescent="0.25">
      <c r="A513" s="33">
        <v>56553</v>
      </c>
      <c r="B513" s="90">
        <v>31</v>
      </c>
      <c r="C513" s="77">
        <f>131.881</f>
        <v>131.881</v>
      </c>
      <c r="D513" s="77">
        <f>277.167</f>
        <v>277.16699999999997</v>
      </c>
      <c r="E513" s="86">
        <f>79.08</f>
        <v>79.08</v>
      </c>
      <c r="F513" s="77">
        <f>350.872-40-25-60-100</f>
        <v>125.87200000000001</v>
      </c>
      <c r="G513" s="80">
        <v>40</v>
      </c>
      <c r="H513" s="77">
        <f t="shared" si="81"/>
        <v>185</v>
      </c>
      <c r="I513" s="77">
        <f t="shared" si="80"/>
        <v>0</v>
      </c>
      <c r="J513" s="80">
        <v>100</v>
      </c>
      <c r="K513" s="80">
        <v>300</v>
      </c>
      <c r="L513" s="77">
        <f t="shared" si="73"/>
        <v>1239</v>
      </c>
      <c r="M513" s="88">
        <v>600</v>
      </c>
      <c r="N513" s="77">
        <f>75</f>
        <v>75</v>
      </c>
      <c r="O513" s="80">
        <v>240</v>
      </c>
      <c r="P513" s="80">
        <v>160</v>
      </c>
      <c r="Q513" s="80">
        <f t="shared" si="74"/>
        <v>195</v>
      </c>
      <c r="R513" s="80">
        <f t="shared" si="75"/>
        <v>100</v>
      </c>
      <c r="S513" s="77">
        <f t="shared" si="76"/>
        <v>695</v>
      </c>
      <c r="T513" s="77">
        <f>0</f>
        <v>0</v>
      </c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</row>
    <row r="514" spans="1:30" ht="15.75" x14ac:dyDescent="0.25">
      <c r="A514" s="33">
        <v>56583</v>
      </c>
      <c r="B514" s="90">
        <v>30</v>
      </c>
      <c r="C514" s="77">
        <f>122.58</f>
        <v>122.58</v>
      </c>
      <c r="D514" s="77">
        <f>297.941</f>
        <v>297.94099999999997</v>
      </c>
      <c r="E514" s="86">
        <f>89.177</f>
        <v>89.177000000000007</v>
      </c>
      <c r="F514" s="77">
        <f>240.302-40-60-100</f>
        <v>40.301999999999992</v>
      </c>
      <c r="G514" s="80">
        <v>40</v>
      </c>
      <c r="H514" s="77">
        <f>60+100</f>
        <v>160</v>
      </c>
      <c r="I514" s="77">
        <f t="shared" si="80"/>
        <v>0</v>
      </c>
      <c r="J514" s="80">
        <v>100</v>
      </c>
      <c r="K514" s="80">
        <v>300</v>
      </c>
      <c r="L514" s="77">
        <f t="shared" si="73"/>
        <v>1150</v>
      </c>
      <c r="M514" s="88">
        <v>600</v>
      </c>
      <c r="N514" s="77">
        <f>100</f>
        <v>100</v>
      </c>
      <c r="O514" s="80">
        <v>240</v>
      </c>
      <c r="P514" s="80">
        <v>40</v>
      </c>
      <c r="Q514" s="80">
        <f t="shared" si="74"/>
        <v>315</v>
      </c>
      <c r="R514" s="80">
        <f t="shared" si="75"/>
        <v>100</v>
      </c>
      <c r="S514" s="77">
        <f t="shared" si="76"/>
        <v>695</v>
      </c>
      <c r="T514" s="77">
        <f>50</f>
        <v>50</v>
      </c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</row>
    <row r="515" spans="1:30" ht="15.75" x14ac:dyDescent="0.25">
      <c r="A515" s="33">
        <v>56614</v>
      </c>
      <c r="B515" s="90">
        <v>31</v>
      </c>
      <c r="C515" s="77">
        <f>122.58</f>
        <v>122.58</v>
      </c>
      <c r="D515" s="77">
        <f>297.941</f>
        <v>297.94099999999997</v>
      </c>
      <c r="E515" s="86">
        <f>89.177</f>
        <v>89.177000000000007</v>
      </c>
      <c r="F515" s="77">
        <f>240.302-40-60-100</f>
        <v>40.301999999999992</v>
      </c>
      <c r="G515" s="80">
        <v>40</v>
      </c>
      <c r="H515" s="77">
        <f>60+100</f>
        <v>160</v>
      </c>
      <c r="I515" s="77">
        <f t="shared" si="80"/>
        <v>0</v>
      </c>
      <c r="J515" s="80">
        <v>100</v>
      </c>
      <c r="K515" s="80">
        <v>300</v>
      </c>
      <c r="L515" s="77">
        <f t="shared" si="73"/>
        <v>1150</v>
      </c>
      <c r="M515" s="88">
        <v>600</v>
      </c>
      <c r="N515" s="77">
        <f>100</f>
        <v>100</v>
      </c>
      <c r="O515" s="80">
        <v>240</v>
      </c>
      <c r="P515" s="80">
        <v>40</v>
      </c>
      <c r="Q515" s="80">
        <f t="shared" si="74"/>
        <v>315</v>
      </c>
      <c r="R515" s="80">
        <f t="shared" si="75"/>
        <v>100</v>
      </c>
      <c r="S515" s="77">
        <f t="shared" si="76"/>
        <v>695</v>
      </c>
      <c r="T515" s="77">
        <f>50</f>
        <v>50</v>
      </c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</row>
    <row r="516" spans="1:30" ht="15.75" x14ac:dyDescent="0.25">
      <c r="A516" s="32">
        <v>56645</v>
      </c>
      <c r="B516" s="89">
        <v>31</v>
      </c>
      <c r="C516" s="77">
        <f>122.58</f>
        <v>122.58</v>
      </c>
      <c r="D516" s="77">
        <f>297.941</f>
        <v>297.94099999999997</v>
      </c>
      <c r="E516" s="86">
        <f>89.177</f>
        <v>89.177000000000007</v>
      </c>
      <c r="F516" s="77">
        <f>240.302-40-60-100</f>
        <v>40.301999999999992</v>
      </c>
      <c r="G516" s="80">
        <v>40</v>
      </c>
      <c r="H516" s="77">
        <f>60+100</f>
        <v>160</v>
      </c>
      <c r="I516" s="77">
        <f t="shared" si="80"/>
        <v>0</v>
      </c>
      <c r="J516" s="80">
        <v>100</v>
      </c>
      <c r="K516" s="80">
        <v>300</v>
      </c>
      <c r="L516" s="77">
        <f t="shared" si="73"/>
        <v>1150</v>
      </c>
      <c r="M516" s="88">
        <v>600</v>
      </c>
      <c r="N516" s="77">
        <f>100</f>
        <v>100</v>
      </c>
      <c r="O516" s="80">
        <v>240</v>
      </c>
      <c r="P516" s="80">
        <v>40</v>
      </c>
      <c r="Q516" s="80">
        <f t="shared" si="74"/>
        <v>315</v>
      </c>
      <c r="R516" s="80">
        <f t="shared" si="75"/>
        <v>100</v>
      </c>
      <c r="S516" s="77">
        <f t="shared" si="76"/>
        <v>695</v>
      </c>
      <c r="T516" s="77">
        <f>50</f>
        <v>50</v>
      </c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</row>
    <row r="517" spans="1:30" ht="15.75" x14ac:dyDescent="0.25">
      <c r="A517" s="32">
        <v>56673</v>
      </c>
      <c r="B517" s="89">
        <v>28</v>
      </c>
      <c r="C517" s="77">
        <f>122.58</f>
        <v>122.58</v>
      </c>
      <c r="D517" s="77">
        <f>297.941</f>
        <v>297.94099999999997</v>
      </c>
      <c r="E517" s="86">
        <f>89.177</f>
        <v>89.177000000000007</v>
      </c>
      <c r="F517" s="77">
        <f>240.302-40-60-100</f>
        <v>40.301999999999992</v>
      </c>
      <c r="G517" s="80">
        <v>40</v>
      </c>
      <c r="H517" s="77">
        <f>60+100</f>
        <v>160</v>
      </c>
      <c r="I517" s="77">
        <f t="shared" si="80"/>
        <v>0</v>
      </c>
      <c r="J517" s="80">
        <v>100</v>
      </c>
      <c r="K517" s="80">
        <v>300</v>
      </c>
      <c r="L517" s="77">
        <f t="shared" si="73"/>
        <v>1150</v>
      </c>
      <c r="M517" s="88">
        <v>600</v>
      </c>
      <c r="N517" s="77">
        <f>100</f>
        <v>100</v>
      </c>
      <c r="O517" s="80">
        <v>240</v>
      </c>
      <c r="P517" s="80">
        <v>40</v>
      </c>
      <c r="Q517" s="80">
        <f t="shared" si="74"/>
        <v>315</v>
      </c>
      <c r="R517" s="80">
        <f t="shared" si="75"/>
        <v>100</v>
      </c>
      <c r="S517" s="77">
        <f t="shared" si="76"/>
        <v>695</v>
      </c>
      <c r="T517" s="77">
        <f>50</f>
        <v>50</v>
      </c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</row>
    <row r="518" spans="1:30" ht="15.75" x14ac:dyDescent="0.25">
      <c r="A518" s="32">
        <v>56704</v>
      </c>
      <c r="B518" s="89">
        <v>31</v>
      </c>
      <c r="C518" s="77">
        <f>122.58</f>
        <v>122.58</v>
      </c>
      <c r="D518" s="77">
        <f>297.941</f>
        <v>297.94099999999997</v>
      </c>
      <c r="E518" s="86">
        <f>89.177</f>
        <v>89.177000000000007</v>
      </c>
      <c r="F518" s="77">
        <f>240.302-40-60-100</f>
        <v>40.301999999999992</v>
      </c>
      <c r="G518" s="80">
        <v>40</v>
      </c>
      <c r="H518" s="77">
        <f>60+100</f>
        <v>160</v>
      </c>
      <c r="I518" s="77">
        <f t="shared" si="80"/>
        <v>0</v>
      </c>
      <c r="J518" s="80">
        <v>100</v>
      </c>
      <c r="K518" s="80">
        <v>300</v>
      </c>
      <c r="L518" s="77">
        <f t="shared" si="73"/>
        <v>1150</v>
      </c>
      <c r="M518" s="88">
        <v>600</v>
      </c>
      <c r="N518" s="77">
        <f>100</f>
        <v>100</v>
      </c>
      <c r="O518" s="80">
        <v>240</v>
      </c>
      <c r="P518" s="80">
        <v>40</v>
      </c>
      <c r="Q518" s="80">
        <f t="shared" si="74"/>
        <v>315</v>
      </c>
      <c r="R518" s="80">
        <f t="shared" si="75"/>
        <v>100</v>
      </c>
      <c r="S518" s="77">
        <f t="shared" si="76"/>
        <v>695</v>
      </c>
      <c r="T518" s="77">
        <f>50</f>
        <v>50</v>
      </c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</row>
    <row r="519" spans="1:30" ht="15.75" x14ac:dyDescent="0.25">
      <c r="A519" s="32">
        <v>56734</v>
      </c>
      <c r="B519" s="89">
        <v>30</v>
      </c>
      <c r="C519" s="77">
        <f>141.293</f>
        <v>141.29300000000001</v>
      </c>
      <c r="D519" s="77">
        <f>267.993</f>
        <v>267.99299999999999</v>
      </c>
      <c r="E519" s="86">
        <f>115.016</f>
        <v>115.01600000000001</v>
      </c>
      <c r="F519" s="77">
        <f>314.698-40-25-60-100</f>
        <v>89.697999999999979</v>
      </c>
      <c r="G519" s="80">
        <v>40</v>
      </c>
      <c r="H519" s="77">
        <f t="shared" ref="H519:H525" si="82">25+60+100</f>
        <v>185</v>
      </c>
      <c r="I519" s="77">
        <f t="shared" si="80"/>
        <v>0</v>
      </c>
      <c r="J519" s="80">
        <v>100</v>
      </c>
      <c r="K519" s="80">
        <v>300</v>
      </c>
      <c r="L519" s="77">
        <f t="shared" si="73"/>
        <v>1239</v>
      </c>
      <c r="M519" s="88">
        <v>600</v>
      </c>
      <c r="N519" s="77">
        <f>100</f>
        <v>100</v>
      </c>
      <c r="O519" s="80">
        <v>240</v>
      </c>
      <c r="P519" s="80">
        <v>160</v>
      </c>
      <c r="Q519" s="80">
        <f t="shared" si="74"/>
        <v>195</v>
      </c>
      <c r="R519" s="80">
        <f t="shared" si="75"/>
        <v>100</v>
      </c>
      <c r="S519" s="77">
        <f t="shared" si="76"/>
        <v>695</v>
      </c>
      <c r="T519" s="77">
        <f>50</f>
        <v>50</v>
      </c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</row>
    <row r="520" spans="1:30" ht="15.75" x14ac:dyDescent="0.25">
      <c r="A520" s="32">
        <v>56765</v>
      </c>
      <c r="B520" s="89">
        <v>31</v>
      </c>
      <c r="C520" s="77">
        <f>194.205</f>
        <v>194.20500000000001</v>
      </c>
      <c r="D520" s="77">
        <f>267.466</f>
        <v>267.46600000000001</v>
      </c>
      <c r="E520" s="86">
        <f>133.845</f>
        <v>133.845</v>
      </c>
      <c r="F520" s="77">
        <f>278.484-40-25-60-100</f>
        <v>53.48399999999998</v>
      </c>
      <c r="G520" s="80">
        <v>40</v>
      </c>
      <c r="H520" s="77">
        <f t="shared" si="82"/>
        <v>185</v>
      </c>
      <c r="I520" s="77">
        <f t="shared" si="80"/>
        <v>0</v>
      </c>
      <c r="J520" s="80">
        <v>100</v>
      </c>
      <c r="K520" s="80">
        <v>300</v>
      </c>
      <c r="L520" s="77">
        <f t="shared" si="73"/>
        <v>1274</v>
      </c>
      <c r="M520" s="88">
        <v>600</v>
      </c>
      <c r="N520" s="77">
        <f>75</f>
        <v>75</v>
      </c>
      <c r="O520" s="80">
        <v>240</v>
      </c>
      <c r="P520" s="80">
        <v>160</v>
      </c>
      <c r="Q520" s="80">
        <f t="shared" si="74"/>
        <v>195</v>
      </c>
      <c r="R520" s="80">
        <f t="shared" si="75"/>
        <v>100</v>
      </c>
      <c r="S520" s="77">
        <f t="shared" si="76"/>
        <v>695</v>
      </c>
      <c r="T520" s="77">
        <f>50</f>
        <v>50</v>
      </c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</row>
    <row r="521" spans="1:30" ht="15.75" x14ac:dyDescent="0.25">
      <c r="A521" s="32">
        <v>56795</v>
      </c>
      <c r="B521" s="89">
        <v>30</v>
      </c>
      <c r="C521" s="77">
        <f>194.205</f>
        <v>194.20500000000001</v>
      </c>
      <c r="D521" s="77">
        <f>267.466</f>
        <v>267.46600000000001</v>
      </c>
      <c r="E521" s="86">
        <f>133.845</f>
        <v>133.845</v>
      </c>
      <c r="F521" s="77">
        <f>278.484-40-25-60-100</f>
        <v>53.48399999999998</v>
      </c>
      <c r="G521" s="80">
        <v>40</v>
      </c>
      <c r="H521" s="77">
        <f t="shared" si="82"/>
        <v>185</v>
      </c>
      <c r="I521" s="77">
        <f t="shared" si="80"/>
        <v>0</v>
      </c>
      <c r="J521" s="80">
        <v>100</v>
      </c>
      <c r="K521" s="80">
        <v>300</v>
      </c>
      <c r="L521" s="77">
        <f t="shared" si="73"/>
        <v>1274</v>
      </c>
      <c r="M521" s="88">
        <v>600</v>
      </c>
      <c r="N521" s="77">
        <f>30</f>
        <v>30</v>
      </c>
      <c r="O521" s="80">
        <v>240</v>
      </c>
      <c r="P521" s="80">
        <v>160</v>
      </c>
      <c r="Q521" s="80">
        <f t="shared" si="74"/>
        <v>195</v>
      </c>
      <c r="R521" s="80">
        <f t="shared" si="75"/>
        <v>100</v>
      </c>
      <c r="S521" s="77">
        <f t="shared" si="76"/>
        <v>695</v>
      </c>
      <c r="T521" s="77">
        <f>50</f>
        <v>50</v>
      </c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</row>
    <row r="522" spans="1:30" ht="15.75" x14ac:dyDescent="0.25">
      <c r="A522" s="32">
        <v>56826</v>
      </c>
      <c r="B522" s="89">
        <v>31</v>
      </c>
      <c r="C522" s="77">
        <f>194.205</f>
        <v>194.20500000000001</v>
      </c>
      <c r="D522" s="77">
        <f>267.466</f>
        <v>267.46600000000001</v>
      </c>
      <c r="E522" s="86">
        <f>133.845</f>
        <v>133.845</v>
      </c>
      <c r="F522" s="77">
        <f>278.484-40-25-60-100</f>
        <v>53.48399999999998</v>
      </c>
      <c r="G522" s="80">
        <v>40</v>
      </c>
      <c r="H522" s="77">
        <f t="shared" si="82"/>
        <v>185</v>
      </c>
      <c r="I522" s="77">
        <f t="shared" si="80"/>
        <v>0</v>
      </c>
      <c r="J522" s="80">
        <v>100</v>
      </c>
      <c r="K522" s="80">
        <v>300</v>
      </c>
      <c r="L522" s="77">
        <f t="shared" si="73"/>
        <v>1274</v>
      </c>
      <c r="M522" s="88">
        <v>600</v>
      </c>
      <c r="N522" s="77">
        <f>30</f>
        <v>30</v>
      </c>
      <c r="O522" s="80">
        <v>240</v>
      </c>
      <c r="P522" s="80">
        <v>160</v>
      </c>
      <c r="Q522" s="80">
        <f t="shared" si="74"/>
        <v>195</v>
      </c>
      <c r="R522" s="80">
        <f t="shared" si="75"/>
        <v>100</v>
      </c>
      <c r="S522" s="77">
        <f t="shared" si="76"/>
        <v>695</v>
      </c>
      <c r="T522" s="77">
        <f>0</f>
        <v>0</v>
      </c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</row>
    <row r="523" spans="1:30" ht="15.75" x14ac:dyDescent="0.25">
      <c r="A523" s="32">
        <v>56857</v>
      </c>
      <c r="B523" s="89">
        <v>31</v>
      </c>
      <c r="C523" s="77">
        <f>194.205</f>
        <v>194.20500000000001</v>
      </c>
      <c r="D523" s="77">
        <f>267.466</f>
        <v>267.46600000000001</v>
      </c>
      <c r="E523" s="86">
        <f>133.845</f>
        <v>133.845</v>
      </c>
      <c r="F523" s="77">
        <f>278.484-40-25-60-100</f>
        <v>53.48399999999998</v>
      </c>
      <c r="G523" s="80">
        <v>40</v>
      </c>
      <c r="H523" s="77">
        <f t="shared" si="82"/>
        <v>185</v>
      </c>
      <c r="I523" s="77">
        <f t="shared" si="80"/>
        <v>0</v>
      </c>
      <c r="J523" s="80">
        <v>100</v>
      </c>
      <c r="K523" s="80">
        <v>300</v>
      </c>
      <c r="L523" s="77">
        <f t="shared" si="73"/>
        <v>1274</v>
      </c>
      <c r="M523" s="88">
        <v>600</v>
      </c>
      <c r="N523" s="77">
        <f>30</f>
        <v>30</v>
      </c>
      <c r="O523" s="80">
        <v>240</v>
      </c>
      <c r="P523" s="80">
        <v>160</v>
      </c>
      <c r="Q523" s="80">
        <f t="shared" si="74"/>
        <v>195</v>
      </c>
      <c r="R523" s="80">
        <f t="shared" si="75"/>
        <v>100</v>
      </c>
      <c r="S523" s="77">
        <f t="shared" si="76"/>
        <v>695</v>
      </c>
      <c r="T523" s="77">
        <f>0</f>
        <v>0</v>
      </c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</row>
    <row r="524" spans="1:30" ht="15.75" x14ac:dyDescent="0.25">
      <c r="A524" s="32">
        <v>56887</v>
      </c>
      <c r="B524" s="89">
        <v>30</v>
      </c>
      <c r="C524" s="77">
        <f>194.205</f>
        <v>194.20500000000001</v>
      </c>
      <c r="D524" s="77">
        <f>267.466</f>
        <v>267.46600000000001</v>
      </c>
      <c r="E524" s="86">
        <f>133.845</f>
        <v>133.845</v>
      </c>
      <c r="F524" s="77">
        <f>278.484-40-25-60-100</f>
        <v>53.48399999999998</v>
      </c>
      <c r="G524" s="80">
        <v>40</v>
      </c>
      <c r="H524" s="77">
        <f t="shared" si="82"/>
        <v>185</v>
      </c>
      <c r="I524" s="77">
        <f t="shared" si="80"/>
        <v>0</v>
      </c>
      <c r="J524" s="80">
        <v>100</v>
      </c>
      <c r="K524" s="80">
        <v>300</v>
      </c>
      <c r="L524" s="77">
        <f t="shared" si="73"/>
        <v>1274</v>
      </c>
      <c r="M524" s="88">
        <v>600</v>
      </c>
      <c r="N524" s="77">
        <f>30</f>
        <v>30</v>
      </c>
      <c r="O524" s="80">
        <v>240</v>
      </c>
      <c r="P524" s="80">
        <v>160</v>
      </c>
      <c r="Q524" s="80">
        <f t="shared" si="74"/>
        <v>195</v>
      </c>
      <c r="R524" s="80">
        <f t="shared" si="75"/>
        <v>100</v>
      </c>
      <c r="S524" s="77">
        <f t="shared" si="76"/>
        <v>695</v>
      </c>
      <c r="T524" s="77">
        <f>0</f>
        <v>0</v>
      </c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</row>
    <row r="525" spans="1:30" ht="15.75" x14ac:dyDescent="0.25">
      <c r="A525" s="32">
        <v>56918</v>
      </c>
      <c r="B525" s="89">
        <v>31</v>
      </c>
      <c r="C525" s="77">
        <f>131.881</f>
        <v>131.881</v>
      </c>
      <c r="D525" s="77">
        <f>277.167</f>
        <v>277.16699999999997</v>
      </c>
      <c r="E525" s="86">
        <f>79.08</f>
        <v>79.08</v>
      </c>
      <c r="F525" s="77">
        <f>350.872-40-25-60-100</f>
        <v>125.87200000000001</v>
      </c>
      <c r="G525" s="80">
        <v>40</v>
      </c>
      <c r="H525" s="77">
        <f t="shared" si="82"/>
        <v>185</v>
      </c>
      <c r="I525" s="77">
        <f t="shared" si="80"/>
        <v>0</v>
      </c>
      <c r="J525" s="80">
        <v>100</v>
      </c>
      <c r="K525" s="80">
        <v>300</v>
      </c>
      <c r="L525" s="77">
        <f t="shared" si="73"/>
        <v>1239</v>
      </c>
      <c r="M525" s="88">
        <v>600</v>
      </c>
      <c r="N525" s="77">
        <f>75</f>
        <v>75</v>
      </c>
      <c r="O525" s="80">
        <v>240</v>
      </c>
      <c r="P525" s="80">
        <v>160</v>
      </c>
      <c r="Q525" s="80">
        <f t="shared" si="74"/>
        <v>195</v>
      </c>
      <c r="R525" s="80">
        <f t="shared" si="75"/>
        <v>100</v>
      </c>
      <c r="S525" s="77">
        <f t="shared" si="76"/>
        <v>695</v>
      </c>
      <c r="T525" s="77">
        <f>0</f>
        <v>0</v>
      </c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</row>
    <row r="526" spans="1:30" ht="15.75" x14ac:dyDescent="0.25">
      <c r="A526" s="32">
        <v>56948</v>
      </c>
      <c r="B526" s="89">
        <v>30</v>
      </c>
      <c r="C526" s="77">
        <f>122.58</f>
        <v>122.58</v>
      </c>
      <c r="D526" s="77">
        <f>297.941</f>
        <v>297.94099999999997</v>
      </c>
      <c r="E526" s="86">
        <f>89.177</f>
        <v>89.177000000000007</v>
      </c>
      <c r="F526" s="77">
        <f>240.302-40-60-100</f>
        <v>40.301999999999992</v>
      </c>
      <c r="G526" s="80">
        <v>40</v>
      </c>
      <c r="H526" s="77">
        <f>60+100</f>
        <v>160</v>
      </c>
      <c r="I526" s="77">
        <f t="shared" si="80"/>
        <v>0</v>
      </c>
      <c r="J526" s="80">
        <v>100</v>
      </c>
      <c r="K526" s="80">
        <v>300</v>
      </c>
      <c r="L526" s="77">
        <f t="shared" si="73"/>
        <v>1150</v>
      </c>
      <c r="M526" s="88">
        <v>600</v>
      </c>
      <c r="N526" s="77">
        <f>100</f>
        <v>100</v>
      </c>
      <c r="O526" s="80">
        <v>240</v>
      </c>
      <c r="P526" s="80">
        <v>40</v>
      </c>
      <c r="Q526" s="80">
        <f t="shared" si="74"/>
        <v>315</v>
      </c>
      <c r="R526" s="80">
        <f t="shared" si="75"/>
        <v>100</v>
      </c>
      <c r="S526" s="77">
        <f t="shared" si="76"/>
        <v>695</v>
      </c>
      <c r="T526" s="77">
        <f>50</f>
        <v>50</v>
      </c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</row>
    <row r="527" spans="1:30" ht="15.75" x14ac:dyDescent="0.25">
      <c r="A527" s="32">
        <v>56979</v>
      </c>
      <c r="B527" s="89">
        <v>31</v>
      </c>
      <c r="C527" s="77">
        <f>122.58</f>
        <v>122.58</v>
      </c>
      <c r="D527" s="77">
        <f>297.941</f>
        <v>297.94099999999997</v>
      </c>
      <c r="E527" s="86">
        <f>89.177</f>
        <v>89.177000000000007</v>
      </c>
      <c r="F527" s="77">
        <f>240.302-40-60-100</f>
        <v>40.301999999999992</v>
      </c>
      <c r="G527" s="80">
        <v>40</v>
      </c>
      <c r="H527" s="77">
        <f>60+100</f>
        <v>160</v>
      </c>
      <c r="I527" s="77">
        <f t="shared" si="80"/>
        <v>0</v>
      </c>
      <c r="J527" s="80">
        <v>100</v>
      </c>
      <c r="K527" s="80">
        <v>300</v>
      </c>
      <c r="L527" s="77">
        <f t="shared" si="73"/>
        <v>1150</v>
      </c>
      <c r="M527" s="88">
        <v>600</v>
      </c>
      <c r="N527" s="77">
        <f>100</f>
        <v>100</v>
      </c>
      <c r="O527" s="80">
        <v>240</v>
      </c>
      <c r="P527" s="80">
        <v>40</v>
      </c>
      <c r="Q527" s="80">
        <f t="shared" si="74"/>
        <v>315</v>
      </c>
      <c r="R527" s="80">
        <f t="shared" si="75"/>
        <v>100</v>
      </c>
      <c r="S527" s="77">
        <f t="shared" si="76"/>
        <v>695</v>
      </c>
      <c r="T527" s="77">
        <f>50</f>
        <v>50</v>
      </c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</row>
    <row r="528" spans="1:30" ht="15.75" x14ac:dyDescent="0.25">
      <c r="A528" s="32">
        <v>57010</v>
      </c>
      <c r="B528" s="89">
        <v>31</v>
      </c>
      <c r="C528" s="77">
        <f>122.58</f>
        <v>122.58</v>
      </c>
      <c r="D528" s="77">
        <f>297.941</f>
        <v>297.94099999999997</v>
      </c>
      <c r="E528" s="86">
        <f>89.177</f>
        <v>89.177000000000007</v>
      </c>
      <c r="F528" s="77">
        <f>240.302-40-60-100</f>
        <v>40.301999999999992</v>
      </c>
      <c r="G528" s="80">
        <v>40</v>
      </c>
      <c r="H528" s="77">
        <f>60+100</f>
        <v>160</v>
      </c>
      <c r="I528" s="77">
        <f t="shared" si="80"/>
        <v>0</v>
      </c>
      <c r="J528" s="80">
        <v>100</v>
      </c>
      <c r="K528" s="80">
        <v>300</v>
      </c>
      <c r="L528" s="77">
        <f t="shared" si="73"/>
        <v>1150</v>
      </c>
      <c r="M528" s="88">
        <v>600</v>
      </c>
      <c r="N528" s="77">
        <f>100</f>
        <v>100</v>
      </c>
      <c r="O528" s="80">
        <v>240</v>
      </c>
      <c r="P528" s="80">
        <v>40</v>
      </c>
      <c r="Q528" s="80">
        <f t="shared" si="74"/>
        <v>315</v>
      </c>
      <c r="R528" s="80">
        <f t="shared" si="75"/>
        <v>100</v>
      </c>
      <c r="S528" s="77">
        <f t="shared" si="76"/>
        <v>695</v>
      </c>
      <c r="T528" s="77">
        <f>50</f>
        <v>50</v>
      </c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</row>
    <row r="529" spans="1:30" ht="15.75" x14ac:dyDescent="0.25">
      <c r="A529" s="32">
        <v>57038</v>
      </c>
      <c r="B529" s="89">
        <v>29</v>
      </c>
      <c r="C529" s="77">
        <f>122.58</f>
        <v>122.58</v>
      </c>
      <c r="D529" s="77">
        <f>297.941</f>
        <v>297.94099999999997</v>
      </c>
      <c r="E529" s="86">
        <f>89.177</f>
        <v>89.177000000000007</v>
      </c>
      <c r="F529" s="77">
        <f>240.302-40-60-100</f>
        <v>40.301999999999992</v>
      </c>
      <c r="G529" s="80">
        <v>40</v>
      </c>
      <c r="H529" s="77">
        <f>60+100</f>
        <v>160</v>
      </c>
      <c r="I529" s="77">
        <f t="shared" si="80"/>
        <v>0</v>
      </c>
      <c r="J529" s="80">
        <v>100</v>
      </c>
      <c r="K529" s="80">
        <v>300</v>
      </c>
      <c r="L529" s="77">
        <f t="shared" si="73"/>
        <v>1150</v>
      </c>
      <c r="M529" s="88">
        <v>600</v>
      </c>
      <c r="N529" s="77">
        <f>100</f>
        <v>100</v>
      </c>
      <c r="O529" s="80">
        <v>240</v>
      </c>
      <c r="P529" s="80">
        <v>40</v>
      </c>
      <c r="Q529" s="80">
        <f t="shared" si="74"/>
        <v>315</v>
      </c>
      <c r="R529" s="80">
        <f t="shared" si="75"/>
        <v>100</v>
      </c>
      <c r="S529" s="77">
        <f t="shared" si="76"/>
        <v>695</v>
      </c>
      <c r="T529" s="77">
        <f>50</f>
        <v>50</v>
      </c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</row>
    <row r="530" spans="1:30" ht="15.75" x14ac:dyDescent="0.25">
      <c r="A530" s="32">
        <v>57070</v>
      </c>
      <c r="B530" s="89">
        <v>31</v>
      </c>
      <c r="C530" s="77">
        <f>122.58</f>
        <v>122.58</v>
      </c>
      <c r="D530" s="77">
        <f>297.941</f>
        <v>297.94099999999997</v>
      </c>
      <c r="E530" s="86">
        <f>89.177</f>
        <v>89.177000000000007</v>
      </c>
      <c r="F530" s="77">
        <f>240.302-40-60-100</f>
        <v>40.301999999999992</v>
      </c>
      <c r="G530" s="80">
        <v>40</v>
      </c>
      <c r="H530" s="77">
        <f>60+100</f>
        <v>160</v>
      </c>
      <c r="I530" s="77">
        <f t="shared" si="80"/>
        <v>0</v>
      </c>
      <c r="J530" s="80">
        <v>100</v>
      </c>
      <c r="K530" s="80">
        <v>300</v>
      </c>
      <c r="L530" s="77">
        <f t="shared" si="73"/>
        <v>1150</v>
      </c>
      <c r="M530" s="88">
        <v>600</v>
      </c>
      <c r="N530" s="77">
        <f>100</f>
        <v>100</v>
      </c>
      <c r="O530" s="80">
        <v>240</v>
      </c>
      <c r="P530" s="80">
        <v>40</v>
      </c>
      <c r="Q530" s="80">
        <f t="shared" si="74"/>
        <v>315</v>
      </c>
      <c r="R530" s="80">
        <f t="shared" si="75"/>
        <v>100</v>
      </c>
      <c r="S530" s="77">
        <f t="shared" si="76"/>
        <v>695</v>
      </c>
      <c r="T530" s="77">
        <f>50</f>
        <v>50</v>
      </c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</row>
    <row r="531" spans="1:30" ht="15.75" x14ac:dyDescent="0.25">
      <c r="A531" s="32">
        <v>57100</v>
      </c>
      <c r="B531" s="89">
        <v>30</v>
      </c>
      <c r="C531" s="77">
        <f>141.293</f>
        <v>141.29300000000001</v>
      </c>
      <c r="D531" s="77">
        <f>267.993</f>
        <v>267.99299999999999</v>
      </c>
      <c r="E531" s="86">
        <f>115.016</f>
        <v>115.01600000000001</v>
      </c>
      <c r="F531" s="77">
        <f>314.698-40-25-60-100</f>
        <v>89.697999999999979</v>
      </c>
      <c r="G531" s="80">
        <v>40</v>
      </c>
      <c r="H531" s="77">
        <f t="shared" ref="H531:H537" si="83">25+60+100</f>
        <v>185</v>
      </c>
      <c r="I531" s="77">
        <f t="shared" si="80"/>
        <v>0</v>
      </c>
      <c r="J531" s="80">
        <v>100</v>
      </c>
      <c r="K531" s="80">
        <v>300</v>
      </c>
      <c r="L531" s="77">
        <f t="shared" ref="L531:L594" si="84">SUM(C531:K531)</f>
        <v>1239</v>
      </c>
      <c r="M531" s="88">
        <v>600</v>
      </c>
      <c r="N531" s="77">
        <f>100</f>
        <v>100</v>
      </c>
      <c r="O531" s="80">
        <v>240</v>
      </c>
      <c r="P531" s="80">
        <v>160</v>
      </c>
      <c r="Q531" s="80">
        <f t="shared" ref="Q531:Q594" si="85">695-R531-O531-P531</f>
        <v>195</v>
      </c>
      <c r="R531" s="80">
        <f t="shared" ref="R531:R594" si="86">200-J531</f>
        <v>100</v>
      </c>
      <c r="S531" s="77">
        <f t="shared" ref="S531:S594" si="87">SUM(O531:R531)</f>
        <v>695</v>
      </c>
      <c r="T531" s="77">
        <f>50</f>
        <v>50</v>
      </c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</row>
    <row r="532" spans="1:30" ht="15.75" x14ac:dyDescent="0.25">
      <c r="A532" s="32">
        <v>57131</v>
      </c>
      <c r="B532" s="89">
        <v>31</v>
      </c>
      <c r="C532" s="77">
        <f>194.205</f>
        <v>194.20500000000001</v>
      </c>
      <c r="D532" s="77">
        <f>267.466</f>
        <v>267.46600000000001</v>
      </c>
      <c r="E532" s="86">
        <f>133.845</f>
        <v>133.845</v>
      </c>
      <c r="F532" s="77">
        <f>278.484-40-25-60-100</f>
        <v>53.48399999999998</v>
      </c>
      <c r="G532" s="80">
        <v>40</v>
      </c>
      <c r="H532" s="77">
        <f t="shared" si="83"/>
        <v>185</v>
      </c>
      <c r="I532" s="77">
        <f t="shared" si="80"/>
        <v>0</v>
      </c>
      <c r="J532" s="80">
        <v>100</v>
      </c>
      <c r="K532" s="80">
        <v>300</v>
      </c>
      <c r="L532" s="77">
        <f t="shared" si="84"/>
        <v>1274</v>
      </c>
      <c r="M532" s="88">
        <v>600</v>
      </c>
      <c r="N532" s="77">
        <f>75</f>
        <v>75</v>
      </c>
      <c r="O532" s="80">
        <v>240</v>
      </c>
      <c r="P532" s="80">
        <v>160</v>
      </c>
      <c r="Q532" s="80">
        <f t="shared" si="85"/>
        <v>195</v>
      </c>
      <c r="R532" s="80">
        <f t="shared" si="86"/>
        <v>100</v>
      </c>
      <c r="S532" s="77">
        <f t="shared" si="87"/>
        <v>695</v>
      </c>
      <c r="T532" s="77">
        <f>50</f>
        <v>50</v>
      </c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</row>
    <row r="533" spans="1:30" ht="15.75" x14ac:dyDescent="0.25">
      <c r="A533" s="32">
        <v>57161</v>
      </c>
      <c r="B533" s="89">
        <v>30</v>
      </c>
      <c r="C533" s="77">
        <f>194.205</f>
        <v>194.20500000000001</v>
      </c>
      <c r="D533" s="77">
        <f>267.466</f>
        <v>267.46600000000001</v>
      </c>
      <c r="E533" s="86">
        <f>133.845</f>
        <v>133.845</v>
      </c>
      <c r="F533" s="77">
        <f>278.484-40-25-60-100</f>
        <v>53.48399999999998</v>
      </c>
      <c r="G533" s="80">
        <v>40</v>
      </c>
      <c r="H533" s="77">
        <f t="shared" si="83"/>
        <v>185</v>
      </c>
      <c r="I533" s="77">
        <f t="shared" si="80"/>
        <v>0</v>
      </c>
      <c r="J533" s="80">
        <v>100</v>
      </c>
      <c r="K533" s="80">
        <v>300</v>
      </c>
      <c r="L533" s="77">
        <f t="shared" si="84"/>
        <v>1274</v>
      </c>
      <c r="M533" s="88">
        <v>600</v>
      </c>
      <c r="N533" s="77">
        <f>30</f>
        <v>30</v>
      </c>
      <c r="O533" s="80">
        <v>240</v>
      </c>
      <c r="P533" s="80">
        <v>160</v>
      </c>
      <c r="Q533" s="80">
        <f t="shared" si="85"/>
        <v>195</v>
      </c>
      <c r="R533" s="80">
        <f t="shared" si="86"/>
        <v>100</v>
      </c>
      <c r="S533" s="77">
        <f t="shared" si="87"/>
        <v>695</v>
      </c>
      <c r="T533" s="77">
        <f>50</f>
        <v>50</v>
      </c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</row>
    <row r="534" spans="1:30" ht="15.75" x14ac:dyDescent="0.25">
      <c r="A534" s="32">
        <v>57192</v>
      </c>
      <c r="B534" s="89">
        <v>31</v>
      </c>
      <c r="C534" s="77">
        <f>194.205</f>
        <v>194.20500000000001</v>
      </c>
      <c r="D534" s="77">
        <f>267.466</f>
        <v>267.46600000000001</v>
      </c>
      <c r="E534" s="86">
        <f>133.845</f>
        <v>133.845</v>
      </c>
      <c r="F534" s="77">
        <f>278.484-40-25-60-100</f>
        <v>53.48399999999998</v>
      </c>
      <c r="G534" s="80">
        <v>40</v>
      </c>
      <c r="H534" s="77">
        <f t="shared" si="83"/>
        <v>185</v>
      </c>
      <c r="I534" s="77">
        <f t="shared" si="80"/>
        <v>0</v>
      </c>
      <c r="J534" s="80">
        <v>100</v>
      </c>
      <c r="K534" s="80">
        <v>300</v>
      </c>
      <c r="L534" s="77">
        <f t="shared" si="84"/>
        <v>1274</v>
      </c>
      <c r="M534" s="88">
        <v>600</v>
      </c>
      <c r="N534" s="77">
        <f>30</f>
        <v>30</v>
      </c>
      <c r="O534" s="80">
        <v>240</v>
      </c>
      <c r="P534" s="80">
        <v>160</v>
      </c>
      <c r="Q534" s="80">
        <f t="shared" si="85"/>
        <v>195</v>
      </c>
      <c r="R534" s="80">
        <f t="shared" si="86"/>
        <v>100</v>
      </c>
      <c r="S534" s="77">
        <f t="shared" si="87"/>
        <v>695</v>
      </c>
      <c r="T534" s="77">
        <f>0</f>
        <v>0</v>
      </c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</row>
    <row r="535" spans="1:30" ht="15.75" x14ac:dyDescent="0.25">
      <c r="A535" s="32">
        <v>57223</v>
      </c>
      <c r="B535" s="89">
        <v>31</v>
      </c>
      <c r="C535" s="77">
        <f>194.205</f>
        <v>194.20500000000001</v>
      </c>
      <c r="D535" s="77">
        <f>267.466</f>
        <v>267.46600000000001</v>
      </c>
      <c r="E535" s="86">
        <f>133.845</f>
        <v>133.845</v>
      </c>
      <c r="F535" s="77">
        <f>278.484-40-25-60-100</f>
        <v>53.48399999999998</v>
      </c>
      <c r="G535" s="80">
        <v>40</v>
      </c>
      <c r="H535" s="77">
        <f t="shared" si="83"/>
        <v>185</v>
      </c>
      <c r="I535" s="77">
        <f t="shared" si="80"/>
        <v>0</v>
      </c>
      <c r="J535" s="80">
        <v>100</v>
      </c>
      <c r="K535" s="80">
        <v>300</v>
      </c>
      <c r="L535" s="77">
        <f t="shared" si="84"/>
        <v>1274</v>
      </c>
      <c r="M535" s="88">
        <v>600</v>
      </c>
      <c r="N535" s="77">
        <f>30</f>
        <v>30</v>
      </c>
      <c r="O535" s="80">
        <v>240</v>
      </c>
      <c r="P535" s="80">
        <v>160</v>
      </c>
      <c r="Q535" s="80">
        <f t="shared" si="85"/>
        <v>195</v>
      </c>
      <c r="R535" s="80">
        <f t="shared" si="86"/>
        <v>100</v>
      </c>
      <c r="S535" s="77">
        <f t="shared" si="87"/>
        <v>695</v>
      </c>
      <c r="T535" s="77">
        <f>0</f>
        <v>0</v>
      </c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</row>
    <row r="536" spans="1:30" ht="15.75" x14ac:dyDescent="0.25">
      <c r="A536" s="32">
        <v>57253</v>
      </c>
      <c r="B536" s="89">
        <v>30</v>
      </c>
      <c r="C536" s="77">
        <f>194.205</f>
        <v>194.20500000000001</v>
      </c>
      <c r="D536" s="77">
        <f>267.466</f>
        <v>267.46600000000001</v>
      </c>
      <c r="E536" s="86">
        <f>133.845</f>
        <v>133.845</v>
      </c>
      <c r="F536" s="77">
        <f>278.484-40-25-60-100</f>
        <v>53.48399999999998</v>
      </c>
      <c r="G536" s="80">
        <v>40</v>
      </c>
      <c r="H536" s="77">
        <f t="shared" si="83"/>
        <v>185</v>
      </c>
      <c r="I536" s="77">
        <f t="shared" si="80"/>
        <v>0</v>
      </c>
      <c r="J536" s="80">
        <v>100</v>
      </c>
      <c r="K536" s="80">
        <v>300</v>
      </c>
      <c r="L536" s="77">
        <f t="shared" si="84"/>
        <v>1274</v>
      </c>
      <c r="M536" s="88">
        <v>600</v>
      </c>
      <c r="N536" s="77">
        <f>30</f>
        <v>30</v>
      </c>
      <c r="O536" s="80">
        <v>240</v>
      </c>
      <c r="P536" s="80">
        <v>160</v>
      </c>
      <c r="Q536" s="80">
        <f t="shared" si="85"/>
        <v>195</v>
      </c>
      <c r="R536" s="80">
        <f t="shared" si="86"/>
        <v>100</v>
      </c>
      <c r="S536" s="77">
        <f t="shared" si="87"/>
        <v>695</v>
      </c>
      <c r="T536" s="77">
        <f>0</f>
        <v>0</v>
      </c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</row>
    <row r="537" spans="1:30" ht="15.75" x14ac:dyDescent="0.25">
      <c r="A537" s="32">
        <v>57284</v>
      </c>
      <c r="B537" s="89">
        <v>31</v>
      </c>
      <c r="C537" s="77">
        <f>131.881</f>
        <v>131.881</v>
      </c>
      <c r="D537" s="77">
        <f>277.167</f>
        <v>277.16699999999997</v>
      </c>
      <c r="E537" s="86">
        <f>79.08</f>
        <v>79.08</v>
      </c>
      <c r="F537" s="77">
        <f>350.872-40-25-60-100</f>
        <v>125.87200000000001</v>
      </c>
      <c r="G537" s="80">
        <v>40</v>
      </c>
      <c r="H537" s="77">
        <f t="shared" si="83"/>
        <v>185</v>
      </c>
      <c r="I537" s="77">
        <f t="shared" si="80"/>
        <v>0</v>
      </c>
      <c r="J537" s="80">
        <v>100</v>
      </c>
      <c r="K537" s="80">
        <v>300</v>
      </c>
      <c r="L537" s="77">
        <f t="shared" si="84"/>
        <v>1239</v>
      </c>
      <c r="M537" s="88">
        <v>600</v>
      </c>
      <c r="N537" s="77">
        <f>75</f>
        <v>75</v>
      </c>
      <c r="O537" s="80">
        <v>240</v>
      </c>
      <c r="P537" s="80">
        <v>160</v>
      </c>
      <c r="Q537" s="80">
        <f t="shared" si="85"/>
        <v>195</v>
      </c>
      <c r="R537" s="80">
        <f t="shared" si="86"/>
        <v>100</v>
      </c>
      <c r="S537" s="77">
        <f t="shared" si="87"/>
        <v>695</v>
      </c>
      <c r="T537" s="77">
        <f>0</f>
        <v>0</v>
      </c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</row>
    <row r="538" spans="1:30" ht="15.75" x14ac:dyDescent="0.25">
      <c r="A538" s="32">
        <v>57314</v>
      </c>
      <c r="B538" s="89">
        <v>30</v>
      </c>
      <c r="C538" s="77">
        <f>122.58</f>
        <v>122.58</v>
      </c>
      <c r="D538" s="77">
        <f>297.941</f>
        <v>297.94099999999997</v>
      </c>
      <c r="E538" s="86">
        <f>89.177</f>
        <v>89.177000000000007</v>
      </c>
      <c r="F538" s="77">
        <f>240.302-40-60-100</f>
        <v>40.301999999999992</v>
      </c>
      <c r="G538" s="80">
        <v>40</v>
      </c>
      <c r="H538" s="77">
        <f>60+100</f>
        <v>160</v>
      </c>
      <c r="I538" s="77">
        <f t="shared" si="80"/>
        <v>0</v>
      </c>
      <c r="J538" s="80">
        <v>100</v>
      </c>
      <c r="K538" s="80">
        <v>300</v>
      </c>
      <c r="L538" s="77">
        <f t="shared" si="84"/>
        <v>1150</v>
      </c>
      <c r="M538" s="88">
        <v>600</v>
      </c>
      <c r="N538" s="77">
        <f>100</f>
        <v>100</v>
      </c>
      <c r="O538" s="80">
        <v>240</v>
      </c>
      <c r="P538" s="80">
        <v>40</v>
      </c>
      <c r="Q538" s="80">
        <f t="shared" si="85"/>
        <v>315</v>
      </c>
      <c r="R538" s="80">
        <f t="shared" si="86"/>
        <v>100</v>
      </c>
      <c r="S538" s="77">
        <f t="shared" si="87"/>
        <v>695</v>
      </c>
      <c r="T538" s="77">
        <f>50</f>
        <v>50</v>
      </c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</row>
    <row r="539" spans="1:30" ht="15.75" x14ac:dyDescent="0.25">
      <c r="A539" s="32">
        <v>57345</v>
      </c>
      <c r="B539" s="89">
        <v>31</v>
      </c>
      <c r="C539" s="77">
        <f>122.58</f>
        <v>122.58</v>
      </c>
      <c r="D539" s="77">
        <f>297.941</f>
        <v>297.94099999999997</v>
      </c>
      <c r="E539" s="86">
        <f>89.177</f>
        <v>89.177000000000007</v>
      </c>
      <c r="F539" s="77">
        <f>240.302-40-60-100</f>
        <v>40.301999999999992</v>
      </c>
      <c r="G539" s="80">
        <v>40</v>
      </c>
      <c r="H539" s="77">
        <f>60+100</f>
        <v>160</v>
      </c>
      <c r="I539" s="77">
        <f t="shared" si="80"/>
        <v>0</v>
      </c>
      <c r="J539" s="80">
        <v>100</v>
      </c>
      <c r="K539" s="80">
        <v>300</v>
      </c>
      <c r="L539" s="77">
        <f t="shared" si="84"/>
        <v>1150</v>
      </c>
      <c r="M539" s="88">
        <v>600</v>
      </c>
      <c r="N539" s="77">
        <f>100</f>
        <v>100</v>
      </c>
      <c r="O539" s="80">
        <v>240</v>
      </c>
      <c r="P539" s="80">
        <v>40</v>
      </c>
      <c r="Q539" s="80">
        <f t="shared" si="85"/>
        <v>315</v>
      </c>
      <c r="R539" s="80">
        <f t="shared" si="86"/>
        <v>100</v>
      </c>
      <c r="S539" s="77">
        <f t="shared" si="87"/>
        <v>695</v>
      </c>
      <c r="T539" s="77">
        <f>50</f>
        <v>50</v>
      </c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</row>
    <row r="540" spans="1:30" ht="15.75" x14ac:dyDescent="0.25">
      <c r="A540" s="32">
        <v>57376</v>
      </c>
      <c r="B540" s="89">
        <v>31</v>
      </c>
      <c r="C540" s="77">
        <f>122.58</f>
        <v>122.58</v>
      </c>
      <c r="D540" s="77">
        <f>297.941</f>
        <v>297.94099999999997</v>
      </c>
      <c r="E540" s="86">
        <f>89.177</f>
        <v>89.177000000000007</v>
      </c>
      <c r="F540" s="77">
        <f>240.302-40-60-100</f>
        <v>40.301999999999992</v>
      </c>
      <c r="G540" s="80">
        <v>40</v>
      </c>
      <c r="H540" s="77">
        <f>60+100</f>
        <v>160</v>
      </c>
      <c r="I540" s="77">
        <f t="shared" si="80"/>
        <v>0</v>
      </c>
      <c r="J540" s="80">
        <v>100</v>
      </c>
      <c r="K540" s="80">
        <v>300</v>
      </c>
      <c r="L540" s="77">
        <f t="shared" si="84"/>
        <v>1150</v>
      </c>
      <c r="M540" s="88">
        <v>600</v>
      </c>
      <c r="N540" s="77">
        <f>100</f>
        <v>100</v>
      </c>
      <c r="O540" s="80">
        <v>240</v>
      </c>
      <c r="P540" s="80">
        <v>40</v>
      </c>
      <c r="Q540" s="80">
        <f t="shared" si="85"/>
        <v>315</v>
      </c>
      <c r="R540" s="80">
        <f t="shared" si="86"/>
        <v>100</v>
      </c>
      <c r="S540" s="77">
        <f t="shared" si="87"/>
        <v>695</v>
      </c>
      <c r="T540" s="77">
        <f>50</f>
        <v>50</v>
      </c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</row>
    <row r="541" spans="1:30" ht="15.75" x14ac:dyDescent="0.25">
      <c r="A541" s="32">
        <v>57404</v>
      </c>
      <c r="B541" s="89">
        <v>28</v>
      </c>
      <c r="C541" s="77">
        <f>122.58</f>
        <v>122.58</v>
      </c>
      <c r="D541" s="77">
        <f>297.941</f>
        <v>297.94099999999997</v>
      </c>
      <c r="E541" s="86">
        <f>89.177</f>
        <v>89.177000000000007</v>
      </c>
      <c r="F541" s="77">
        <f>240.302-40-60-100</f>
        <v>40.301999999999992</v>
      </c>
      <c r="G541" s="80">
        <v>40</v>
      </c>
      <c r="H541" s="77">
        <f>60+100</f>
        <v>160</v>
      </c>
      <c r="I541" s="77">
        <f t="shared" si="80"/>
        <v>0</v>
      </c>
      <c r="J541" s="80">
        <v>100</v>
      </c>
      <c r="K541" s="80">
        <v>300</v>
      </c>
      <c r="L541" s="77">
        <f t="shared" si="84"/>
        <v>1150</v>
      </c>
      <c r="M541" s="88">
        <v>600</v>
      </c>
      <c r="N541" s="77">
        <f>100</f>
        <v>100</v>
      </c>
      <c r="O541" s="80">
        <v>240</v>
      </c>
      <c r="P541" s="80">
        <v>40</v>
      </c>
      <c r="Q541" s="80">
        <f t="shared" si="85"/>
        <v>315</v>
      </c>
      <c r="R541" s="80">
        <f t="shared" si="86"/>
        <v>100</v>
      </c>
      <c r="S541" s="77">
        <f t="shared" si="87"/>
        <v>695</v>
      </c>
      <c r="T541" s="77">
        <f>50</f>
        <v>50</v>
      </c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</row>
    <row r="542" spans="1:30" ht="15.75" x14ac:dyDescent="0.25">
      <c r="A542" s="32">
        <v>57435</v>
      </c>
      <c r="B542" s="89">
        <v>31</v>
      </c>
      <c r="C542" s="77">
        <f>122.58</f>
        <v>122.58</v>
      </c>
      <c r="D542" s="77">
        <f>297.941</f>
        <v>297.94099999999997</v>
      </c>
      <c r="E542" s="86">
        <f>89.177</f>
        <v>89.177000000000007</v>
      </c>
      <c r="F542" s="77">
        <f>240.302-40-60-100</f>
        <v>40.301999999999992</v>
      </c>
      <c r="G542" s="80">
        <v>40</v>
      </c>
      <c r="H542" s="77">
        <f>60+100</f>
        <v>160</v>
      </c>
      <c r="I542" s="77">
        <f t="shared" si="80"/>
        <v>0</v>
      </c>
      <c r="J542" s="80">
        <v>100</v>
      </c>
      <c r="K542" s="80">
        <v>300</v>
      </c>
      <c r="L542" s="77">
        <f t="shared" si="84"/>
        <v>1150</v>
      </c>
      <c r="M542" s="88">
        <v>600</v>
      </c>
      <c r="N542" s="77">
        <f>100</f>
        <v>100</v>
      </c>
      <c r="O542" s="80">
        <v>240</v>
      </c>
      <c r="P542" s="80">
        <v>40</v>
      </c>
      <c r="Q542" s="80">
        <f t="shared" si="85"/>
        <v>315</v>
      </c>
      <c r="R542" s="80">
        <f t="shared" si="86"/>
        <v>100</v>
      </c>
      <c r="S542" s="77">
        <f t="shared" si="87"/>
        <v>695</v>
      </c>
      <c r="T542" s="77">
        <f>50</f>
        <v>50</v>
      </c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</row>
    <row r="543" spans="1:30" ht="15.75" x14ac:dyDescent="0.25">
      <c r="A543" s="32">
        <v>57465</v>
      </c>
      <c r="B543" s="89">
        <v>30</v>
      </c>
      <c r="C543" s="77">
        <f>141.293</f>
        <v>141.29300000000001</v>
      </c>
      <c r="D543" s="77">
        <f>267.993</f>
        <v>267.99299999999999</v>
      </c>
      <c r="E543" s="86">
        <f>115.016</f>
        <v>115.01600000000001</v>
      </c>
      <c r="F543" s="77">
        <f>314.698-40-25-60-100</f>
        <v>89.697999999999979</v>
      </c>
      <c r="G543" s="80">
        <v>40</v>
      </c>
      <c r="H543" s="77">
        <f t="shared" ref="H543:H549" si="88">25+60+100</f>
        <v>185</v>
      </c>
      <c r="I543" s="77">
        <f t="shared" si="80"/>
        <v>0</v>
      </c>
      <c r="J543" s="80">
        <v>100</v>
      </c>
      <c r="K543" s="80">
        <v>300</v>
      </c>
      <c r="L543" s="77">
        <f t="shared" si="84"/>
        <v>1239</v>
      </c>
      <c r="M543" s="88">
        <v>600</v>
      </c>
      <c r="N543" s="77">
        <f>100</f>
        <v>100</v>
      </c>
      <c r="O543" s="80">
        <v>240</v>
      </c>
      <c r="P543" s="80">
        <v>160</v>
      </c>
      <c r="Q543" s="80">
        <f t="shared" si="85"/>
        <v>195</v>
      </c>
      <c r="R543" s="80">
        <f t="shared" si="86"/>
        <v>100</v>
      </c>
      <c r="S543" s="77">
        <f t="shared" si="87"/>
        <v>695</v>
      </c>
      <c r="T543" s="77">
        <f>50</f>
        <v>50</v>
      </c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</row>
    <row r="544" spans="1:30" ht="15.75" x14ac:dyDescent="0.25">
      <c r="A544" s="32">
        <v>57496</v>
      </c>
      <c r="B544" s="89">
        <v>31</v>
      </c>
      <c r="C544" s="77">
        <f>194.205</f>
        <v>194.20500000000001</v>
      </c>
      <c r="D544" s="77">
        <f>267.466</f>
        <v>267.46600000000001</v>
      </c>
      <c r="E544" s="86">
        <f>133.845</f>
        <v>133.845</v>
      </c>
      <c r="F544" s="77">
        <f>278.484-40-25-60-100</f>
        <v>53.48399999999998</v>
      </c>
      <c r="G544" s="80">
        <v>40</v>
      </c>
      <c r="H544" s="77">
        <f t="shared" si="88"/>
        <v>185</v>
      </c>
      <c r="I544" s="77">
        <f t="shared" si="80"/>
        <v>0</v>
      </c>
      <c r="J544" s="80">
        <v>100</v>
      </c>
      <c r="K544" s="80">
        <v>300</v>
      </c>
      <c r="L544" s="77">
        <f t="shared" si="84"/>
        <v>1274</v>
      </c>
      <c r="M544" s="88">
        <v>600</v>
      </c>
      <c r="N544" s="77">
        <f>75</f>
        <v>75</v>
      </c>
      <c r="O544" s="80">
        <v>240</v>
      </c>
      <c r="P544" s="80">
        <v>160</v>
      </c>
      <c r="Q544" s="80">
        <f t="shared" si="85"/>
        <v>195</v>
      </c>
      <c r="R544" s="80">
        <f t="shared" si="86"/>
        <v>100</v>
      </c>
      <c r="S544" s="77">
        <f t="shared" si="87"/>
        <v>695</v>
      </c>
      <c r="T544" s="77">
        <f>50</f>
        <v>50</v>
      </c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</row>
    <row r="545" spans="1:30" ht="15.75" x14ac:dyDescent="0.25">
      <c r="A545" s="32">
        <v>57526</v>
      </c>
      <c r="B545" s="89">
        <v>30</v>
      </c>
      <c r="C545" s="77">
        <f>194.205</f>
        <v>194.20500000000001</v>
      </c>
      <c r="D545" s="77">
        <f>267.466</f>
        <v>267.46600000000001</v>
      </c>
      <c r="E545" s="86">
        <f>133.845</f>
        <v>133.845</v>
      </c>
      <c r="F545" s="77">
        <f>278.484-40-25-60-100</f>
        <v>53.48399999999998</v>
      </c>
      <c r="G545" s="80">
        <v>40</v>
      </c>
      <c r="H545" s="77">
        <f t="shared" si="88"/>
        <v>185</v>
      </c>
      <c r="I545" s="77">
        <f t="shared" si="80"/>
        <v>0</v>
      </c>
      <c r="J545" s="80">
        <v>100</v>
      </c>
      <c r="K545" s="80">
        <v>300</v>
      </c>
      <c r="L545" s="77">
        <f t="shared" si="84"/>
        <v>1274</v>
      </c>
      <c r="M545" s="88">
        <v>600</v>
      </c>
      <c r="N545" s="77">
        <f>30</f>
        <v>30</v>
      </c>
      <c r="O545" s="80">
        <v>240</v>
      </c>
      <c r="P545" s="80">
        <v>160</v>
      </c>
      <c r="Q545" s="80">
        <f t="shared" si="85"/>
        <v>195</v>
      </c>
      <c r="R545" s="80">
        <f t="shared" si="86"/>
        <v>100</v>
      </c>
      <c r="S545" s="77">
        <f t="shared" si="87"/>
        <v>695</v>
      </c>
      <c r="T545" s="77">
        <f>50</f>
        <v>50</v>
      </c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</row>
    <row r="546" spans="1:30" ht="15.75" x14ac:dyDescent="0.25">
      <c r="A546" s="32">
        <v>57557</v>
      </c>
      <c r="B546" s="89">
        <v>31</v>
      </c>
      <c r="C546" s="77">
        <f>194.205</f>
        <v>194.20500000000001</v>
      </c>
      <c r="D546" s="77">
        <f>267.466</f>
        <v>267.46600000000001</v>
      </c>
      <c r="E546" s="86">
        <f>133.845</f>
        <v>133.845</v>
      </c>
      <c r="F546" s="77">
        <f>278.484-40-25-60-100</f>
        <v>53.48399999999998</v>
      </c>
      <c r="G546" s="80">
        <v>40</v>
      </c>
      <c r="H546" s="77">
        <f t="shared" si="88"/>
        <v>185</v>
      </c>
      <c r="I546" s="77">
        <f t="shared" si="80"/>
        <v>0</v>
      </c>
      <c r="J546" s="80">
        <v>100</v>
      </c>
      <c r="K546" s="80">
        <v>300</v>
      </c>
      <c r="L546" s="77">
        <f t="shared" si="84"/>
        <v>1274</v>
      </c>
      <c r="M546" s="88">
        <v>600</v>
      </c>
      <c r="N546" s="77">
        <f>30</f>
        <v>30</v>
      </c>
      <c r="O546" s="80">
        <v>240</v>
      </c>
      <c r="P546" s="80">
        <v>160</v>
      </c>
      <c r="Q546" s="80">
        <f t="shared" si="85"/>
        <v>195</v>
      </c>
      <c r="R546" s="80">
        <f t="shared" si="86"/>
        <v>100</v>
      </c>
      <c r="S546" s="77">
        <f t="shared" si="87"/>
        <v>695</v>
      </c>
      <c r="T546" s="77">
        <f>0</f>
        <v>0</v>
      </c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</row>
    <row r="547" spans="1:30" ht="15.75" x14ac:dyDescent="0.25">
      <c r="A547" s="32">
        <v>57588</v>
      </c>
      <c r="B547" s="89">
        <v>31</v>
      </c>
      <c r="C547" s="77">
        <f>194.205</f>
        <v>194.20500000000001</v>
      </c>
      <c r="D547" s="77">
        <f>267.466</f>
        <v>267.46600000000001</v>
      </c>
      <c r="E547" s="86">
        <f>133.845</f>
        <v>133.845</v>
      </c>
      <c r="F547" s="77">
        <f>278.484-40-25-60-100</f>
        <v>53.48399999999998</v>
      </c>
      <c r="G547" s="80">
        <v>40</v>
      </c>
      <c r="H547" s="77">
        <f t="shared" si="88"/>
        <v>185</v>
      </c>
      <c r="I547" s="77">
        <f t="shared" si="80"/>
        <v>0</v>
      </c>
      <c r="J547" s="80">
        <v>100</v>
      </c>
      <c r="K547" s="80">
        <v>300</v>
      </c>
      <c r="L547" s="77">
        <f t="shared" si="84"/>
        <v>1274</v>
      </c>
      <c r="M547" s="88">
        <v>600</v>
      </c>
      <c r="N547" s="77">
        <f>30</f>
        <v>30</v>
      </c>
      <c r="O547" s="80">
        <v>240</v>
      </c>
      <c r="P547" s="80">
        <v>160</v>
      </c>
      <c r="Q547" s="80">
        <f t="shared" si="85"/>
        <v>195</v>
      </c>
      <c r="R547" s="80">
        <f t="shared" si="86"/>
        <v>100</v>
      </c>
      <c r="S547" s="77">
        <f t="shared" si="87"/>
        <v>695</v>
      </c>
      <c r="T547" s="77">
        <f>0</f>
        <v>0</v>
      </c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</row>
    <row r="548" spans="1:30" ht="15.75" x14ac:dyDescent="0.25">
      <c r="A548" s="32">
        <v>57618</v>
      </c>
      <c r="B548" s="89">
        <v>30</v>
      </c>
      <c r="C548" s="77">
        <f>194.205</f>
        <v>194.20500000000001</v>
      </c>
      <c r="D548" s="77">
        <f>267.466</f>
        <v>267.46600000000001</v>
      </c>
      <c r="E548" s="86">
        <f>133.845</f>
        <v>133.845</v>
      </c>
      <c r="F548" s="77">
        <f>278.484-40-25-60-100</f>
        <v>53.48399999999998</v>
      </c>
      <c r="G548" s="80">
        <v>40</v>
      </c>
      <c r="H548" s="77">
        <f t="shared" si="88"/>
        <v>185</v>
      </c>
      <c r="I548" s="77">
        <f t="shared" si="80"/>
        <v>0</v>
      </c>
      <c r="J548" s="80">
        <v>100</v>
      </c>
      <c r="K548" s="80">
        <v>300</v>
      </c>
      <c r="L548" s="77">
        <f t="shared" si="84"/>
        <v>1274</v>
      </c>
      <c r="M548" s="88">
        <v>600</v>
      </c>
      <c r="N548" s="77">
        <f>30</f>
        <v>30</v>
      </c>
      <c r="O548" s="80">
        <v>240</v>
      </c>
      <c r="P548" s="80">
        <v>160</v>
      </c>
      <c r="Q548" s="80">
        <f t="shared" si="85"/>
        <v>195</v>
      </c>
      <c r="R548" s="80">
        <f t="shared" si="86"/>
        <v>100</v>
      </c>
      <c r="S548" s="77">
        <f t="shared" si="87"/>
        <v>695</v>
      </c>
      <c r="T548" s="77">
        <f>0</f>
        <v>0</v>
      </c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</row>
    <row r="549" spans="1:30" ht="15.75" x14ac:dyDescent="0.25">
      <c r="A549" s="32">
        <v>57649</v>
      </c>
      <c r="B549" s="89">
        <v>31</v>
      </c>
      <c r="C549" s="77">
        <f>131.881</f>
        <v>131.881</v>
      </c>
      <c r="D549" s="77">
        <f>277.167</f>
        <v>277.16699999999997</v>
      </c>
      <c r="E549" s="86">
        <f>79.08</f>
        <v>79.08</v>
      </c>
      <c r="F549" s="77">
        <f>350.872-40-25-60-100</f>
        <v>125.87200000000001</v>
      </c>
      <c r="G549" s="80">
        <v>40</v>
      </c>
      <c r="H549" s="77">
        <f t="shared" si="88"/>
        <v>185</v>
      </c>
      <c r="I549" s="77">
        <f t="shared" si="80"/>
        <v>0</v>
      </c>
      <c r="J549" s="80">
        <v>100</v>
      </c>
      <c r="K549" s="80">
        <v>300</v>
      </c>
      <c r="L549" s="77">
        <f t="shared" si="84"/>
        <v>1239</v>
      </c>
      <c r="M549" s="88">
        <v>600</v>
      </c>
      <c r="N549" s="77">
        <f>75</f>
        <v>75</v>
      </c>
      <c r="O549" s="80">
        <v>240</v>
      </c>
      <c r="P549" s="80">
        <v>160</v>
      </c>
      <c r="Q549" s="80">
        <f t="shared" si="85"/>
        <v>195</v>
      </c>
      <c r="R549" s="80">
        <f t="shared" si="86"/>
        <v>100</v>
      </c>
      <c r="S549" s="77">
        <f t="shared" si="87"/>
        <v>695</v>
      </c>
      <c r="T549" s="77">
        <f>0</f>
        <v>0</v>
      </c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</row>
    <row r="550" spans="1:30" ht="15.75" x14ac:dyDescent="0.25">
      <c r="A550" s="32">
        <v>57679</v>
      </c>
      <c r="B550" s="89">
        <v>30</v>
      </c>
      <c r="C550" s="77">
        <f>122.58</f>
        <v>122.58</v>
      </c>
      <c r="D550" s="77">
        <f>297.941</f>
        <v>297.94099999999997</v>
      </c>
      <c r="E550" s="86">
        <f>89.177</f>
        <v>89.177000000000007</v>
      </c>
      <c r="F550" s="77">
        <f>240.302-40-60-100</f>
        <v>40.301999999999992</v>
      </c>
      <c r="G550" s="80">
        <v>40</v>
      </c>
      <c r="H550" s="77">
        <f>60+100</f>
        <v>160</v>
      </c>
      <c r="I550" s="77">
        <f t="shared" si="80"/>
        <v>0</v>
      </c>
      <c r="J550" s="80">
        <v>100</v>
      </c>
      <c r="K550" s="80">
        <v>300</v>
      </c>
      <c r="L550" s="77">
        <f t="shared" si="84"/>
        <v>1150</v>
      </c>
      <c r="M550" s="88">
        <v>600</v>
      </c>
      <c r="N550" s="77">
        <f>100</f>
        <v>100</v>
      </c>
      <c r="O550" s="80">
        <v>240</v>
      </c>
      <c r="P550" s="80">
        <v>40</v>
      </c>
      <c r="Q550" s="80">
        <f t="shared" si="85"/>
        <v>315</v>
      </c>
      <c r="R550" s="80">
        <f t="shared" si="86"/>
        <v>100</v>
      </c>
      <c r="S550" s="77">
        <f t="shared" si="87"/>
        <v>695</v>
      </c>
      <c r="T550" s="77">
        <f>50</f>
        <v>50</v>
      </c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</row>
    <row r="551" spans="1:30" ht="15.75" x14ac:dyDescent="0.25">
      <c r="A551" s="32">
        <v>57710</v>
      </c>
      <c r="B551" s="89">
        <v>31</v>
      </c>
      <c r="C551" s="77">
        <f>122.58</f>
        <v>122.58</v>
      </c>
      <c r="D551" s="77">
        <f>297.941</f>
        <v>297.94099999999997</v>
      </c>
      <c r="E551" s="86">
        <f>89.177</f>
        <v>89.177000000000007</v>
      </c>
      <c r="F551" s="77">
        <f>240.302-40-60-100</f>
        <v>40.301999999999992</v>
      </c>
      <c r="G551" s="80">
        <v>40</v>
      </c>
      <c r="H551" s="77">
        <f>60+100</f>
        <v>160</v>
      </c>
      <c r="I551" s="77">
        <f t="shared" si="80"/>
        <v>0</v>
      </c>
      <c r="J551" s="80">
        <v>100</v>
      </c>
      <c r="K551" s="80">
        <v>300</v>
      </c>
      <c r="L551" s="77">
        <f t="shared" si="84"/>
        <v>1150</v>
      </c>
      <c r="M551" s="88">
        <v>600</v>
      </c>
      <c r="N551" s="77">
        <f>100</f>
        <v>100</v>
      </c>
      <c r="O551" s="80">
        <v>240</v>
      </c>
      <c r="P551" s="80">
        <v>40</v>
      </c>
      <c r="Q551" s="80">
        <f t="shared" si="85"/>
        <v>315</v>
      </c>
      <c r="R551" s="80">
        <f t="shared" si="86"/>
        <v>100</v>
      </c>
      <c r="S551" s="77">
        <f t="shared" si="87"/>
        <v>695</v>
      </c>
      <c r="T551" s="77">
        <f>50</f>
        <v>50</v>
      </c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</row>
    <row r="552" spans="1:30" ht="15.75" x14ac:dyDescent="0.25">
      <c r="A552" s="32">
        <v>57741</v>
      </c>
      <c r="B552" s="89">
        <v>31</v>
      </c>
      <c r="C552" s="77">
        <f>122.58</f>
        <v>122.58</v>
      </c>
      <c r="D552" s="77">
        <f>297.941</f>
        <v>297.94099999999997</v>
      </c>
      <c r="E552" s="86">
        <f>89.177</f>
        <v>89.177000000000007</v>
      </c>
      <c r="F552" s="77">
        <f>240.302-40-60-100</f>
        <v>40.301999999999992</v>
      </c>
      <c r="G552" s="80">
        <v>40</v>
      </c>
      <c r="H552" s="77">
        <f>60+100</f>
        <v>160</v>
      </c>
      <c r="I552" s="77">
        <f t="shared" si="80"/>
        <v>0</v>
      </c>
      <c r="J552" s="80">
        <v>100</v>
      </c>
      <c r="K552" s="80">
        <v>300</v>
      </c>
      <c r="L552" s="77">
        <f t="shared" si="84"/>
        <v>1150</v>
      </c>
      <c r="M552" s="88">
        <v>600</v>
      </c>
      <c r="N552" s="77">
        <f>100</f>
        <v>100</v>
      </c>
      <c r="O552" s="80">
        <v>240</v>
      </c>
      <c r="P552" s="80">
        <v>40</v>
      </c>
      <c r="Q552" s="80">
        <f t="shared" si="85"/>
        <v>315</v>
      </c>
      <c r="R552" s="80">
        <f t="shared" si="86"/>
        <v>100</v>
      </c>
      <c r="S552" s="77">
        <f t="shared" si="87"/>
        <v>695</v>
      </c>
      <c r="T552" s="77">
        <f>50</f>
        <v>50</v>
      </c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</row>
    <row r="553" spans="1:30" ht="15.75" x14ac:dyDescent="0.25">
      <c r="A553" s="32">
        <v>57769</v>
      </c>
      <c r="B553" s="89">
        <v>28</v>
      </c>
      <c r="C553" s="77">
        <f>122.58</f>
        <v>122.58</v>
      </c>
      <c r="D553" s="77">
        <f>297.941</f>
        <v>297.94099999999997</v>
      </c>
      <c r="E553" s="86">
        <f>89.177</f>
        <v>89.177000000000007</v>
      </c>
      <c r="F553" s="77">
        <f>240.302-40-60-100</f>
        <v>40.301999999999992</v>
      </c>
      <c r="G553" s="80">
        <v>40</v>
      </c>
      <c r="H553" s="77">
        <f>60+100</f>
        <v>160</v>
      </c>
      <c r="I553" s="77">
        <f t="shared" si="80"/>
        <v>0</v>
      </c>
      <c r="J553" s="80">
        <v>100</v>
      </c>
      <c r="K553" s="80">
        <v>300</v>
      </c>
      <c r="L553" s="77">
        <f t="shared" si="84"/>
        <v>1150</v>
      </c>
      <c r="M553" s="88">
        <v>600</v>
      </c>
      <c r="N553" s="77">
        <f>100</f>
        <v>100</v>
      </c>
      <c r="O553" s="80">
        <v>240</v>
      </c>
      <c r="P553" s="80">
        <v>40</v>
      </c>
      <c r="Q553" s="80">
        <f t="shared" si="85"/>
        <v>315</v>
      </c>
      <c r="R553" s="80">
        <f t="shared" si="86"/>
        <v>100</v>
      </c>
      <c r="S553" s="77">
        <f t="shared" si="87"/>
        <v>695</v>
      </c>
      <c r="T553" s="77">
        <f>50</f>
        <v>50</v>
      </c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</row>
    <row r="554" spans="1:30" ht="15.75" x14ac:dyDescent="0.25">
      <c r="A554" s="32">
        <v>57800</v>
      </c>
      <c r="B554" s="89">
        <v>31</v>
      </c>
      <c r="C554" s="77">
        <f>122.58</f>
        <v>122.58</v>
      </c>
      <c r="D554" s="77">
        <f>297.941</f>
        <v>297.94099999999997</v>
      </c>
      <c r="E554" s="86">
        <f>89.177</f>
        <v>89.177000000000007</v>
      </c>
      <c r="F554" s="77">
        <f>240.302-40-60-100</f>
        <v>40.301999999999992</v>
      </c>
      <c r="G554" s="80">
        <v>40</v>
      </c>
      <c r="H554" s="77">
        <f>60+100</f>
        <v>160</v>
      </c>
      <c r="I554" s="77">
        <f t="shared" si="80"/>
        <v>0</v>
      </c>
      <c r="J554" s="80">
        <v>100</v>
      </c>
      <c r="K554" s="80">
        <v>300</v>
      </c>
      <c r="L554" s="77">
        <f t="shared" si="84"/>
        <v>1150</v>
      </c>
      <c r="M554" s="88">
        <v>600</v>
      </c>
      <c r="N554" s="77">
        <f>100</f>
        <v>100</v>
      </c>
      <c r="O554" s="80">
        <v>240</v>
      </c>
      <c r="P554" s="80">
        <v>40</v>
      </c>
      <c r="Q554" s="80">
        <f t="shared" si="85"/>
        <v>315</v>
      </c>
      <c r="R554" s="80">
        <f t="shared" si="86"/>
        <v>100</v>
      </c>
      <c r="S554" s="77">
        <f t="shared" si="87"/>
        <v>695</v>
      </c>
      <c r="T554" s="77">
        <f>50</f>
        <v>50</v>
      </c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</row>
    <row r="555" spans="1:30" ht="15.75" x14ac:dyDescent="0.25">
      <c r="A555" s="32">
        <v>57830</v>
      </c>
      <c r="B555" s="89">
        <v>30</v>
      </c>
      <c r="C555" s="77">
        <f>141.293</f>
        <v>141.29300000000001</v>
      </c>
      <c r="D555" s="77">
        <f>267.993</f>
        <v>267.99299999999999</v>
      </c>
      <c r="E555" s="86">
        <f>115.016</f>
        <v>115.01600000000001</v>
      </c>
      <c r="F555" s="77">
        <f>314.698-40-25-60-100</f>
        <v>89.697999999999979</v>
      </c>
      <c r="G555" s="80">
        <v>40</v>
      </c>
      <c r="H555" s="77">
        <f t="shared" ref="H555:H561" si="89">25+60+100</f>
        <v>185</v>
      </c>
      <c r="I555" s="77">
        <f t="shared" si="80"/>
        <v>0</v>
      </c>
      <c r="J555" s="80">
        <v>100</v>
      </c>
      <c r="K555" s="80">
        <v>300</v>
      </c>
      <c r="L555" s="77">
        <f t="shared" si="84"/>
        <v>1239</v>
      </c>
      <c r="M555" s="88">
        <v>600</v>
      </c>
      <c r="N555" s="77">
        <f>100</f>
        <v>100</v>
      </c>
      <c r="O555" s="80">
        <v>240</v>
      </c>
      <c r="P555" s="80">
        <v>160</v>
      </c>
      <c r="Q555" s="80">
        <f t="shared" si="85"/>
        <v>195</v>
      </c>
      <c r="R555" s="80">
        <f t="shared" si="86"/>
        <v>100</v>
      </c>
      <c r="S555" s="77">
        <f t="shared" si="87"/>
        <v>695</v>
      </c>
      <c r="T555" s="77">
        <f>50</f>
        <v>50</v>
      </c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</row>
    <row r="556" spans="1:30" ht="15.75" x14ac:dyDescent="0.25">
      <c r="A556" s="32">
        <v>57861</v>
      </c>
      <c r="B556" s="89">
        <v>31</v>
      </c>
      <c r="C556" s="77">
        <f>194.205</f>
        <v>194.20500000000001</v>
      </c>
      <c r="D556" s="77">
        <f>267.466</f>
        <v>267.46600000000001</v>
      </c>
      <c r="E556" s="86">
        <f>133.845</f>
        <v>133.845</v>
      </c>
      <c r="F556" s="77">
        <f>278.484-40-25-60-100</f>
        <v>53.48399999999998</v>
      </c>
      <c r="G556" s="80">
        <v>40</v>
      </c>
      <c r="H556" s="77">
        <f t="shared" si="89"/>
        <v>185</v>
      </c>
      <c r="I556" s="77">
        <f t="shared" si="80"/>
        <v>0</v>
      </c>
      <c r="J556" s="80">
        <v>100</v>
      </c>
      <c r="K556" s="80">
        <v>300</v>
      </c>
      <c r="L556" s="77">
        <f t="shared" si="84"/>
        <v>1274</v>
      </c>
      <c r="M556" s="88">
        <v>600</v>
      </c>
      <c r="N556" s="77">
        <f>75</f>
        <v>75</v>
      </c>
      <c r="O556" s="80">
        <v>240</v>
      </c>
      <c r="P556" s="80">
        <v>160</v>
      </c>
      <c r="Q556" s="80">
        <f t="shared" si="85"/>
        <v>195</v>
      </c>
      <c r="R556" s="80">
        <f t="shared" si="86"/>
        <v>100</v>
      </c>
      <c r="S556" s="77">
        <f t="shared" si="87"/>
        <v>695</v>
      </c>
      <c r="T556" s="77">
        <f>50</f>
        <v>50</v>
      </c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</row>
    <row r="557" spans="1:30" ht="15.75" x14ac:dyDescent="0.25">
      <c r="A557" s="32">
        <v>57891</v>
      </c>
      <c r="B557" s="89">
        <v>30</v>
      </c>
      <c r="C557" s="77">
        <f>194.205</f>
        <v>194.20500000000001</v>
      </c>
      <c r="D557" s="77">
        <f>267.466</f>
        <v>267.46600000000001</v>
      </c>
      <c r="E557" s="86">
        <f>133.845</f>
        <v>133.845</v>
      </c>
      <c r="F557" s="77">
        <f>278.484-40-25-60-100</f>
        <v>53.48399999999998</v>
      </c>
      <c r="G557" s="80">
        <v>40</v>
      </c>
      <c r="H557" s="77">
        <f t="shared" si="89"/>
        <v>185</v>
      </c>
      <c r="I557" s="77">
        <f t="shared" si="80"/>
        <v>0</v>
      </c>
      <c r="J557" s="80">
        <v>100</v>
      </c>
      <c r="K557" s="80">
        <v>300</v>
      </c>
      <c r="L557" s="77">
        <f t="shared" si="84"/>
        <v>1274</v>
      </c>
      <c r="M557" s="88">
        <v>600</v>
      </c>
      <c r="N557" s="77">
        <f>30</f>
        <v>30</v>
      </c>
      <c r="O557" s="80">
        <v>240</v>
      </c>
      <c r="P557" s="80">
        <v>160</v>
      </c>
      <c r="Q557" s="80">
        <f t="shared" si="85"/>
        <v>195</v>
      </c>
      <c r="R557" s="80">
        <f t="shared" si="86"/>
        <v>100</v>
      </c>
      <c r="S557" s="77">
        <f t="shared" si="87"/>
        <v>695</v>
      </c>
      <c r="T557" s="77">
        <f>50</f>
        <v>50</v>
      </c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</row>
    <row r="558" spans="1:30" ht="15.75" x14ac:dyDescent="0.25">
      <c r="A558" s="32">
        <v>57922</v>
      </c>
      <c r="B558" s="89">
        <v>31</v>
      </c>
      <c r="C558" s="77">
        <f>194.205</f>
        <v>194.20500000000001</v>
      </c>
      <c r="D558" s="77">
        <f>267.466</f>
        <v>267.46600000000001</v>
      </c>
      <c r="E558" s="86">
        <f>133.845</f>
        <v>133.845</v>
      </c>
      <c r="F558" s="77">
        <f>278.484-40-25-60-100</f>
        <v>53.48399999999998</v>
      </c>
      <c r="G558" s="80">
        <v>40</v>
      </c>
      <c r="H558" s="77">
        <f t="shared" si="89"/>
        <v>185</v>
      </c>
      <c r="I558" s="77">
        <f t="shared" si="80"/>
        <v>0</v>
      </c>
      <c r="J558" s="80">
        <v>100</v>
      </c>
      <c r="K558" s="80">
        <v>300</v>
      </c>
      <c r="L558" s="77">
        <f t="shared" si="84"/>
        <v>1274</v>
      </c>
      <c r="M558" s="88">
        <v>600</v>
      </c>
      <c r="N558" s="77">
        <f>30</f>
        <v>30</v>
      </c>
      <c r="O558" s="80">
        <v>240</v>
      </c>
      <c r="P558" s="80">
        <v>160</v>
      </c>
      <c r="Q558" s="80">
        <f t="shared" si="85"/>
        <v>195</v>
      </c>
      <c r="R558" s="80">
        <f t="shared" si="86"/>
        <v>100</v>
      </c>
      <c r="S558" s="77">
        <f t="shared" si="87"/>
        <v>695</v>
      </c>
      <c r="T558" s="77">
        <f>0</f>
        <v>0</v>
      </c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</row>
    <row r="559" spans="1:30" ht="15.75" x14ac:dyDescent="0.25">
      <c r="A559" s="32">
        <v>57953</v>
      </c>
      <c r="B559" s="89">
        <v>31</v>
      </c>
      <c r="C559" s="77">
        <f>194.205</f>
        <v>194.20500000000001</v>
      </c>
      <c r="D559" s="77">
        <f>267.466</f>
        <v>267.46600000000001</v>
      </c>
      <c r="E559" s="86">
        <f>133.845</f>
        <v>133.845</v>
      </c>
      <c r="F559" s="77">
        <f>278.484-40-25-60-100</f>
        <v>53.48399999999998</v>
      </c>
      <c r="G559" s="80">
        <v>40</v>
      </c>
      <c r="H559" s="77">
        <f t="shared" si="89"/>
        <v>185</v>
      </c>
      <c r="I559" s="77">
        <f t="shared" si="80"/>
        <v>0</v>
      </c>
      <c r="J559" s="80">
        <v>100</v>
      </c>
      <c r="K559" s="80">
        <v>300</v>
      </c>
      <c r="L559" s="77">
        <f t="shared" si="84"/>
        <v>1274</v>
      </c>
      <c r="M559" s="88">
        <v>600</v>
      </c>
      <c r="N559" s="77">
        <f>30</f>
        <v>30</v>
      </c>
      <c r="O559" s="80">
        <v>240</v>
      </c>
      <c r="P559" s="80">
        <v>160</v>
      </c>
      <c r="Q559" s="80">
        <f t="shared" si="85"/>
        <v>195</v>
      </c>
      <c r="R559" s="80">
        <f t="shared" si="86"/>
        <v>100</v>
      </c>
      <c r="S559" s="77">
        <f t="shared" si="87"/>
        <v>695</v>
      </c>
      <c r="T559" s="77">
        <f>0</f>
        <v>0</v>
      </c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</row>
    <row r="560" spans="1:30" ht="15.75" x14ac:dyDescent="0.25">
      <c r="A560" s="32">
        <v>57983</v>
      </c>
      <c r="B560" s="89">
        <v>30</v>
      </c>
      <c r="C560" s="77">
        <f>194.205</f>
        <v>194.20500000000001</v>
      </c>
      <c r="D560" s="77">
        <f>267.466</f>
        <v>267.46600000000001</v>
      </c>
      <c r="E560" s="86">
        <f>133.845</f>
        <v>133.845</v>
      </c>
      <c r="F560" s="77">
        <f>278.484-40-25-60-100</f>
        <v>53.48399999999998</v>
      </c>
      <c r="G560" s="80">
        <v>40</v>
      </c>
      <c r="H560" s="77">
        <f t="shared" si="89"/>
        <v>185</v>
      </c>
      <c r="I560" s="77">
        <f t="shared" si="80"/>
        <v>0</v>
      </c>
      <c r="J560" s="80">
        <v>100</v>
      </c>
      <c r="K560" s="80">
        <v>300</v>
      </c>
      <c r="L560" s="77">
        <f t="shared" si="84"/>
        <v>1274</v>
      </c>
      <c r="M560" s="88">
        <v>600</v>
      </c>
      <c r="N560" s="77">
        <f>30</f>
        <v>30</v>
      </c>
      <c r="O560" s="80">
        <v>240</v>
      </c>
      <c r="P560" s="80">
        <v>160</v>
      </c>
      <c r="Q560" s="80">
        <f t="shared" si="85"/>
        <v>195</v>
      </c>
      <c r="R560" s="80">
        <f t="shared" si="86"/>
        <v>100</v>
      </c>
      <c r="S560" s="77">
        <f t="shared" si="87"/>
        <v>695</v>
      </c>
      <c r="T560" s="77">
        <f>0</f>
        <v>0</v>
      </c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</row>
    <row r="561" spans="1:30" ht="15.75" x14ac:dyDescent="0.25">
      <c r="A561" s="32">
        <v>58014</v>
      </c>
      <c r="B561" s="89">
        <v>31</v>
      </c>
      <c r="C561" s="77">
        <f>131.881</f>
        <v>131.881</v>
      </c>
      <c r="D561" s="77">
        <f>277.167</f>
        <v>277.16699999999997</v>
      </c>
      <c r="E561" s="86">
        <f>79.08</f>
        <v>79.08</v>
      </c>
      <c r="F561" s="77">
        <f>350.872-40-25-60-100</f>
        <v>125.87200000000001</v>
      </c>
      <c r="G561" s="80">
        <v>40</v>
      </c>
      <c r="H561" s="77">
        <f t="shared" si="89"/>
        <v>185</v>
      </c>
      <c r="I561" s="77">
        <f t="shared" si="80"/>
        <v>0</v>
      </c>
      <c r="J561" s="80">
        <v>100</v>
      </c>
      <c r="K561" s="80">
        <v>300</v>
      </c>
      <c r="L561" s="77">
        <f t="shared" si="84"/>
        <v>1239</v>
      </c>
      <c r="M561" s="88">
        <v>600</v>
      </c>
      <c r="N561" s="77">
        <f>75</f>
        <v>75</v>
      </c>
      <c r="O561" s="80">
        <v>240</v>
      </c>
      <c r="P561" s="80">
        <v>160</v>
      </c>
      <c r="Q561" s="80">
        <f t="shared" si="85"/>
        <v>195</v>
      </c>
      <c r="R561" s="80">
        <f t="shared" si="86"/>
        <v>100</v>
      </c>
      <c r="S561" s="77">
        <f t="shared" si="87"/>
        <v>695</v>
      </c>
      <c r="T561" s="77">
        <f>0</f>
        <v>0</v>
      </c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</row>
    <row r="562" spans="1:30" ht="15.75" x14ac:dyDescent="0.25">
      <c r="A562" s="32">
        <v>58044</v>
      </c>
      <c r="B562" s="89">
        <v>30</v>
      </c>
      <c r="C562" s="77">
        <f>122.58</f>
        <v>122.58</v>
      </c>
      <c r="D562" s="77">
        <f>297.941</f>
        <v>297.94099999999997</v>
      </c>
      <c r="E562" s="86">
        <f>89.177</f>
        <v>89.177000000000007</v>
      </c>
      <c r="F562" s="77">
        <f>240.302-40-60-100</f>
        <v>40.301999999999992</v>
      </c>
      <c r="G562" s="80">
        <v>40</v>
      </c>
      <c r="H562" s="77">
        <f>60+100</f>
        <v>160</v>
      </c>
      <c r="I562" s="77">
        <f t="shared" si="80"/>
        <v>0</v>
      </c>
      <c r="J562" s="80">
        <v>100</v>
      </c>
      <c r="K562" s="80">
        <v>300</v>
      </c>
      <c r="L562" s="77">
        <f t="shared" si="84"/>
        <v>1150</v>
      </c>
      <c r="M562" s="88">
        <v>600</v>
      </c>
      <c r="N562" s="77">
        <f>100</f>
        <v>100</v>
      </c>
      <c r="O562" s="80">
        <v>240</v>
      </c>
      <c r="P562" s="80">
        <v>40</v>
      </c>
      <c r="Q562" s="80">
        <f t="shared" si="85"/>
        <v>315</v>
      </c>
      <c r="R562" s="80">
        <f t="shared" si="86"/>
        <v>100</v>
      </c>
      <c r="S562" s="77">
        <f t="shared" si="87"/>
        <v>695</v>
      </c>
      <c r="T562" s="77">
        <f>50</f>
        <v>50</v>
      </c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</row>
    <row r="563" spans="1:30" ht="15.75" x14ac:dyDescent="0.25">
      <c r="A563" s="32">
        <v>58075</v>
      </c>
      <c r="B563" s="89">
        <v>31</v>
      </c>
      <c r="C563" s="77">
        <f>122.58</f>
        <v>122.58</v>
      </c>
      <c r="D563" s="77">
        <f>297.941</f>
        <v>297.94099999999997</v>
      </c>
      <c r="E563" s="86">
        <f>89.177</f>
        <v>89.177000000000007</v>
      </c>
      <c r="F563" s="77">
        <f>240.302-40-60-100</f>
        <v>40.301999999999992</v>
      </c>
      <c r="G563" s="80">
        <v>40</v>
      </c>
      <c r="H563" s="77">
        <f>60+100</f>
        <v>160</v>
      </c>
      <c r="I563" s="77">
        <f t="shared" si="80"/>
        <v>0</v>
      </c>
      <c r="J563" s="80">
        <v>100</v>
      </c>
      <c r="K563" s="80">
        <v>300</v>
      </c>
      <c r="L563" s="77">
        <f t="shared" si="84"/>
        <v>1150</v>
      </c>
      <c r="M563" s="88">
        <v>600</v>
      </c>
      <c r="N563" s="77">
        <f>100</f>
        <v>100</v>
      </c>
      <c r="O563" s="80">
        <v>240</v>
      </c>
      <c r="P563" s="80">
        <v>40</v>
      </c>
      <c r="Q563" s="80">
        <f t="shared" si="85"/>
        <v>315</v>
      </c>
      <c r="R563" s="80">
        <f t="shared" si="86"/>
        <v>100</v>
      </c>
      <c r="S563" s="77">
        <f t="shared" si="87"/>
        <v>695</v>
      </c>
      <c r="T563" s="77">
        <f>50</f>
        <v>50</v>
      </c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</row>
    <row r="564" spans="1:30" ht="15.75" x14ac:dyDescent="0.25">
      <c r="A564" s="32">
        <v>58106</v>
      </c>
      <c r="B564" s="89">
        <v>31</v>
      </c>
      <c r="C564" s="77">
        <f>122.58</f>
        <v>122.58</v>
      </c>
      <c r="D564" s="77">
        <f>297.941</f>
        <v>297.94099999999997</v>
      </c>
      <c r="E564" s="86">
        <f>89.177</f>
        <v>89.177000000000007</v>
      </c>
      <c r="F564" s="77">
        <f>240.302-40-60-100</f>
        <v>40.301999999999992</v>
      </c>
      <c r="G564" s="80">
        <v>40</v>
      </c>
      <c r="H564" s="77">
        <f>60+100</f>
        <v>160</v>
      </c>
      <c r="I564" s="77">
        <f t="shared" ref="I564:I627" si="90">400-J564-K564</f>
        <v>0</v>
      </c>
      <c r="J564" s="80">
        <v>100</v>
      </c>
      <c r="K564" s="80">
        <v>300</v>
      </c>
      <c r="L564" s="77">
        <f t="shared" si="84"/>
        <v>1150</v>
      </c>
      <c r="M564" s="88">
        <v>600</v>
      </c>
      <c r="N564" s="77">
        <f>100</f>
        <v>100</v>
      </c>
      <c r="O564" s="80">
        <v>240</v>
      </c>
      <c r="P564" s="80">
        <v>40</v>
      </c>
      <c r="Q564" s="80">
        <f t="shared" si="85"/>
        <v>315</v>
      </c>
      <c r="R564" s="80">
        <f t="shared" si="86"/>
        <v>100</v>
      </c>
      <c r="S564" s="77">
        <f t="shared" si="87"/>
        <v>695</v>
      </c>
      <c r="T564" s="77">
        <f>50</f>
        <v>50</v>
      </c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</row>
    <row r="565" spans="1:30" ht="15.75" x14ac:dyDescent="0.25">
      <c r="A565" s="32">
        <v>58134</v>
      </c>
      <c r="B565" s="89">
        <v>28</v>
      </c>
      <c r="C565" s="77">
        <f>122.58</f>
        <v>122.58</v>
      </c>
      <c r="D565" s="77">
        <f>297.941</f>
        <v>297.94099999999997</v>
      </c>
      <c r="E565" s="86">
        <f>89.177</f>
        <v>89.177000000000007</v>
      </c>
      <c r="F565" s="77">
        <f>240.302-40-60-100</f>
        <v>40.301999999999992</v>
      </c>
      <c r="G565" s="80">
        <v>40</v>
      </c>
      <c r="H565" s="77">
        <f>60+100</f>
        <v>160</v>
      </c>
      <c r="I565" s="77">
        <f t="shared" si="90"/>
        <v>0</v>
      </c>
      <c r="J565" s="80">
        <v>100</v>
      </c>
      <c r="K565" s="80">
        <v>300</v>
      </c>
      <c r="L565" s="77">
        <f t="shared" si="84"/>
        <v>1150</v>
      </c>
      <c r="M565" s="88">
        <v>600</v>
      </c>
      <c r="N565" s="77">
        <f>100</f>
        <v>100</v>
      </c>
      <c r="O565" s="80">
        <v>240</v>
      </c>
      <c r="P565" s="80">
        <v>40</v>
      </c>
      <c r="Q565" s="80">
        <f t="shared" si="85"/>
        <v>315</v>
      </c>
      <c r="R565" s="80">
        <f t="shared" si="86"/>
        <v>100</v>
      </c>
      <c r="S565" s="77">
        <f t="shared" si="87"/>
        <v>695</v>
      </c>
      <c r="T565" s="77">
        <f>50</f>
        <v>50</v>
      </c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</row>
    <row r="566" spans="1:30" ht="15.75" x14ac:dyDescent="0.25">
      <c r="A566" s="32">
        <v>58165</v>
      </c>
      <c r="B566" s="89">
        <v>31</v>
      </c>
      <c r="C566" s="77">
        <f>122.58</f>
        <v>122.58</v>
      </c>
      <c r="D566" s="77">
        <f>297.941</f>
        <v>297.94099999999997</v>
      </c>
      <c r="E566" s="86">
        <f>89.177</f>
        <v>89.177000000000007</v>
      </c>
      <c r="F566" s="77">
        <f>240.302-40-60-100</f>
        <v>40.301999999999992</v>
      </c>
      <c r="G566" s="80">
        <v>40</v>
      </c>
      <c r="H566" s="77">
        <f>60+100</f>
        <v>160</v>
      </c>
      <c r="I566" s="77">
        <f t="shared" si="90"/>
        <v>0</v>
      </c>
      <c r="J566" s="80">
        <v>100</v>
      </c>
      <c r="K566" s="80">
        <v>300</v>
      </c>
      <c r="L566" s="77">
        <f t="shared" si="84"/>
        <v>1150</v>
      </c>
      <c r="M566" s="88">
        <v>600</v>
      </c>
      <c r="N566" s="77">
        <f>100</f>
        <v>100</v>
      </c>
      <c r="O566" s="80">
        <v>240</v>
      </c>
      <c r="P566" s="80">
        <v>40</v>
      </c>
      <c r="Q566" s="80">
        <f t="shared" si="85"/>
        <v>315</v>
      </c>
      <c r="R566" s="80">
        <f t="shared" si="86"/>
        <v>100</v>
      </c>
      <c r="S566" s="77">
        <f t="shared" si="87"/>
        <v>695</v>
      </c>
      <c r="T566" s="77">
        <f>50</f>
        <v>50</v>
      </c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</row>
    <row r="567" spans="1:30" ht="15.75" x14ac:dyDescent="0.25">
      <c r="A567" s="32">
        <v>58195</v>
      </c>
      <c r="B567" s="89">
        <v>30</v>
      </c>
      <c r="C567" s="77">
        <f>141.293</f>
        <v>141.29300000000001</v>
      </c>
      <c r="D567" s="77">
        <f>267.993</f>
        <v>267.99299999999999</v>
      </c>
      <c r="E567" s="86">
        <f>115.016</f>
        <v>115.01600000000001</v>
      </c>
      <c r="F567" s="77">
        <f>314.698-40-25-60-100</f>
        <v>89.697999999999979</v>
      </c>
      <c r="G567" s="80">
        <v>40</v>
      </c>
      <c r="H567" s="77">
        <f t="shared" ref="H567:H573" si="91">25+60+100</f>
        <v>185</v>
      </c>
      <c r="I567" s="77">
        <f t="shared" si="90"/>
        <v>0</v>
      </c>
      <c r="J567" s="80">
        <v>100</v>
      </c>
      <c r="K567" s="80">
        <v>300</v>
      </c>
      <c r="L567" s="77">
        <f t="shared" si="84"/>
        <v>1239</v>
      </c>
      <c r="M567" s="88">
        <v>600</v>
      </c>
      <c r="N567" s="77">
        <f>100</f>
        <v>100</v>
      </c>
      <c r="O567" s="80">
        <v>240</v>
      </c>
      <c r="P567" s="80">
        <v>160</v>
      </c>
      <c r="Q567" s="80">
        <f t="shared" si="85"/>
        <v>195</v>
      </c>
      <c r="R567" s="80">
        <f t="shared" si="86"/>
        <v>100</v>
      </c>
      <c r="S567" s="77">
        <f t="shared" si="87"/>
        <v>695</v>
      </c>
      <c r="T567" s="77">
        <f>50</f>
        <v>50</v>
      </c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</row>
    <row r="568" spans="1:30" ht="15.75" x14ac:dyDescent="0.25">
      <c r="A568" s="32">
        <v>58226</v>
      </c>
      <c r="B568" s="89">
        <v>31</v>
      </c>
      <c r="C568" s="77">
        <f>194.205</f>
        <v>194.20500000000001</v>
      </c>
      <c r="D568" s="77">
        <f>267.466</f>
        <v>267.46600000000001</v>
      </c>
      <c r="E568" s="86">
        <f>133.845</f>
        <v>133.845</v>
      </c>
      <c r="F568" s="77">
        <f>278.484-40-25-60-100</f>
        <v>53.48399999999998</v>
      </c>
      <c r="G568" s="80">
        <v>40</v>
      </c>
      <c r="H568" s="77">
        <f t="shared" si="91"/>
        <v>185</v>
      </c>
      <c r="I568" s="77">
        <f t="shared" si="90"/>
        <v>0</v>
      </c>
      <c r="J568" s="80">
        <v>100</v>
      </c>
      <c r="K568" s="80">
        <v>300</v>
      </c>
      <c r="L568" s="77">
        <f t="shared" si="84"/>
        <v>1274</v>
      </c>
      <c r="M568" s="88">
        <v>600</v>
      </c>
      <c r="N568" s="77">
        <f>75</f>
        <v>75</v>
      </c>
      <c r="O568" s="80">
        <v>240</v>
      </c>
      <c r="P568" s="80">
        <v>160</v>
      </c>
      <c r="Q568" s="80">
        <f t="shared" si="85"/>
        <v>195</v>
      </c>
      <c r="R568" s="80">
        <f t="shared" si="86"/>
        <v>100</v>
      </c>
      <c r="S568" s="77">
        <f t="shared" si="87"/>
        <v>695</v>
      </c>
      <c r="T568" s="77">
        <f>50</f>
        <v>50</v>
      </c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</row>
    <row r="569" spans="1:30" ht="15.75" x14ac:dyDescent="0.25">
      <c r="A569" s="32">
        <v>58256</v>
      </c>
      <c r="B569" s="89">
        <v>30</v>
      </c>
      <c r="C569" s="77">
        <f>194.205</f>
        <v>194.20500000000001</v>
      </c>
      <c r="D569" s="77">
        <f>267.466</f>
        <v>267.46600000000001</v>
      </c>
      <c r="E569" s="86">
        <f>133.845</f>
        <v>133.845</v>
      </c>
      <c r="F569" s="77">
        <f>278.484-40-25-60-100</f>
        <v>53.48399999999998</v>
      </c>
      <c r="G569" s="80">
        <v>40</v>
      </c>
      <c r="H569" s="77">
        <f t="shared" si="91"/>
        <v>185</v>
      </c>
      <c r="I569" s="77">
        <f t="shared" si="90"/>
        <v>0</v>
      </c>
      <c r="J569" s="80">
        <v>100</v>
      </c>
      <c r="K569" s="80">
        <v>300</v>
      </c>
      <c r="L569" s="77">
        <f t="shared" si="84"/>
        <v>1274</v>
      </c>
      <c r="M569" s="88">
        <v>600</v>
      </c>
      <c r="N569" s="77">
        <f>30</f>
        <v>30</v>
      </c>
      <c r="O569" s="80">
        <v>240</v>
      </c>
      <c r="P569" s="80">
        <v>160</v>
      </c>
      <c r="Q569" s="80">
        <f t="shared" si="85"/>
        <v>195</v>
      </c>
      <c r="R569" s="80">
        <f t="shared" si="86"/>
        <v>100</v>
      </c>
      <c r="S569" s="77">
        <f t="shared" si="87"/>
        <v>695</v>
      </c>
      <c r="T569" s="77">
        <f>50</f>
        <v>50</v>
      </c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</row>
    <row r="570" spans="1:30" ht="15.75" x14ac:dyDescent="0.25">
      <c r="A570" s="32">
        <v>58287</v>
      </c>
      <c r="B570" s="89">
        <v>31</v>
      </c>
      <c r="C570" s="77">
        <f>194.205</f>
        <v>194.20500000000001</v>
      </c>
      <c r="D570" s="77">
        <f>267.466</f>
        <v>267.46600000000001</v>
      </c>
      <c r="E570" s="86">
        <f>133.845</f>
        <v>133.845</v>
      </c>
      <c r="F570" s="77">
        <f>278.484-40-25-60-100</f>
        <v>53.48399999999998</v>
      </c>
      <c r="G570" s="80">
        <v>40</v>
      </c>
      <c r="H570" s="77">
        <f t="shared" si="91"/>
        <v>185</v>
      </c>
      <c r="I570" s="77">
        <f t="shared" si="90"/>
        <v>0</v>
      </c>
      <c r="J570" s="80">
        <v>100</v>
      </c>
      <c r="K570" s="80">
        <v>300</v>
      </c>
      <c r="L570" s="77">
        <f t="shared" si="84"/>
        <v>1274</v>
      </c>
      <c r="M570" s="88">
        <v>600</v>
      </c>
      <c r="N570" s="77">
        <f>30</f>
        <v>30</v>
      </c>
      <c r="O570" s="80">
        <v>240</v>
      </c>
      <c r="P570" s="80">
        <v>160</v>
      </c>
      <c r="Q570" s="80">
        <f t="shared" si="85"/>
        <v>195</v>
      </c>
      <c r="R570" s="80">
        <f t="shared" si="86"/>
        <v>100</v>
      </c>
      <c r="S570" s="77">
        <f t="shared" si="87"/>
        <v>695</v>
      </c>
      <c r="T570" s="77">
        <f>0</f>
        <v>0</v>
      </c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</row>
    <row r="571" spans="1:30" ht="15.75" x14ac:dyDescent="0.25">
      <c r="A571" s="32">
        <v>58318</v>
      </c>
      <c r="B571" s="89">
        <v>31</v>
      </c>
      <c r="C571" s="77">
        <f>194.205</f>
        <v>194.20500000000001</v>
      </c>
      <c r="D571" s="77">
        <f>267.466</f>
        <v>267.46600000000001</v>
      </c>
      <c r="E571" s="86">
        <f>133.845</f>
        <v>133.845</v>
      </c>
      <c r="F571" s="77">
        <f>278.484-40-25-60-100</f>
        <v>53.48399999999998</v>
      </c>
      <c r="G571" s="80">
        <v>40</v>
      </c>
      <c r="H571" s="77">
        <f t="shared" si="91"/>
        <v>185</v>
      </c>
      <c r="I571" s="77">
        <f t="shared" si="90"/>
        <v>0</v>
      </c>
      <c r="J571" s="80">
        <v>100</v>
      </c>
      <c r="K571" s="80">
        <v>300</v>
      </c>
      <c r="L571" s="77">
        <f t="shared" si="84"/>
        <v>1274</v>
      </c>
      <c r="M571" s="88">
        <v>600</v>
      </c>
      <c r="N571" s="77">
        <f>30</f>
        <v>30</v>
      </c>
      <c r="O571" s="80">
        <v>240</v>
      </c>
      <c r="P571" s="80">
        <v>160</v>
      </c>
      <c r="Q571" s="80">
        <f t="shared" si="85"/>
        <v>195</v>
      </c>
      <c r="R571" s="80">
        <f t="shared" si="86"/>
        <v>100</v>
      </c>
      <c r="S571" s="77">
        <f t="shared" si="87"/>
        <v>695</v>
      </c>
      <c r="T571" s="77">
        <f>0</f>
        <v>0</v>
      </c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</row>
    <row r="572" spans="1:30" ht="15.75" x14ac:dyDescent="0.25">
      <c r="A572" s="32">
        <v>58348</v>
      </c>
      <c r="B572" s="89">
        <v>30</v>
      </c>
      <c r="C572" s="77">
        <f>194.205</f>
        <v>194.20500000000001</v>
      </c>
      <c r="D572" s="77">
        <f>267.466</f>
        <v>267.46600000000001</v>
      </c>
      <c r="E572" s="86">
        <f>133.845</f>
        <v>133.845</v>
      </c>
      <c r="F572" s="77">
        <f>278.484-40-25-60-100</f>
        <v>53.48399999999998</v>
      </c>
      <c r="G572" s="80">
        <v>40</v>
      </c>
      <c r="H572" s="77">
        <f t="shared" si="91"/>
        <v>185</v>
      </c>
      <c r="I572" s="77">
        <f t="shared" si="90"/>
        <v>0</v>
      </c>
      <c r="J572" s="80">
        <v>100</v>
      </c>
      <c r="K572" s="80">
        <v>300</v>
      </c>
      <c r="L572" s="77">
        <f t="shared" si="84"/>
        <v>1274</v>
      </c>
      <c r="M572" s="88">
        <v>600</v>
      </c>
      <c r="N572" s="77">
        <f>30</f>
        <v>30</v>
      </c>
      <c r="O572" s="80">
        <v>240</v>
      </c>
      <c r="P572" s="80">
        <v>160</v>
      </c>
      <c r="Q572" s="80">
        <f t="shared" si="85"/>
        <v>195</v>
      </c>
      <c r="R572" s="80">
        <f t="shared" si="86"/>
        <v>100</v>
      </c>
      <c r="S572" s="77">
        <f t="shared" si="87"/>
        <v>695</v>
      </c>
      <c r="T572" s="77">
        <f>0</f>
        <v>0</v>
      </c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</row>
    <row r="573" spans="1:30" ht="15.75" x14ac:dyDescent="0.25">
      <c r="A573" s="32">
        <v>58379</v>
      </c>
      <c r="B573" s="89">
        <v>31</v>
      </c>
      <c r="C573" s="77">
        <f>131.881</f>
        <v>131.881</v>
      </c>
      <c r="D573" s="77">
        <f>277.167</f>
        <v>277.16699999999997</v>
      </c>
      <c r="E573" s="86">
        <f>79.08</f>
        <v>79.08</v>
      </c>
      <c r="F573" s="77">
        <f>350.872-40-25-60-100</f>
        <v>125.87200000000001</v>
      </c>
      <c r="G573" s="80">
        <v>40</v>
      </c>
      <c r="H573" s="77">
        <f t="shared" si="91"/>
        <v>185</v>
      </c>
      <c r="I573" s="77">
        <f t="shared" si="90"/>
        <v>0</v>
      </c>
      <c r="J573" s="80">
        <v>100</v>
      </c>
      <c r="K573" s="80">
        <v>300</v>
      </c>
      <c r="L573" s="77">
        <f t="shared" si="84"/>
        <v>1239</v>
      </c>
      <c r="M573" s="88">
        <v>600</v>
      </c>
      <c r="N573" s="77">
        <f>75</f>
        <v>75</v>
      </c>
      <c r="O573" s="80">
        <v>240</v>
      </c>
      <c r="P573" s="80">
        <v>160</v>
      </c>
      <c r="Q573" s="80">
        <f t="shared" si="85"/>
        <v>195</v>
      </c>
      <c r="R573" s="80">
        <f t="shared" si="86"/>
        <v>100</v>
      </c>
      <c r="S573" s="77">
        <f t="shared" si="87"/>
        <v>695</v>
      </c>
      <c r="T573" s="77">
        <f>0</f>
        <v>0</v>
      </c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</row>
    <row r="574" spans="1:30" ht="15.75" x14ac:dyDescent="0.25">
      <c r="A574" s="32">
        <v>58409</v>
      </c>
      <c r="B574" s="89">
        <v>30</v>
      </c>
      <c r="C574" s="77">
        <f>122.58</f>
        <v>122.58</v>
      </c>
      <c r="D574" s="77">
        <f>297.941</f>
        <v>297.94099999999997</v>
      </c>
      <c r="E574" s="86">
        <f>89.177</f>
        <v>89.177000000000007</v>
      </c>
      <c r="F574" s="77">
        <f>240.302-40-60-100</f>
        <v>40.301999999999992</v>
      </c>
      <c r="G574" s="80">
        <v>40</v>
      </c>
      <c r="H574" s="77">
        <f>60+100</f>
        <v>160</v>
      </c>
      <c r="I574" s="77">
        <f t="shared" si="90"/>
        <v>0</v>
      </c>
      <c r="J574" s="80">
        <v>100</v>
      </c>
      <c r="K574" s="80">
        <v>300</v>
      </c>
      <c r="L574" s="77">
        <f t="shared" si="84"/>
        <v>1150</v>
      </c>
      <c r="M574" s="88">
        <v>600</v>
      </c>
      <c r="N574" s="77">
        <f>100</f>
        <v>100</v>
      </c>
      <c r="O574" s="80">
        <v>240</v>
      </c>
      <c r="P574" s="80">
        <v>40</v>
      </c>
      <c r="Q574" s="80">
        <f t="shared" si="85"/>
        <v>315</v>
      </c>
      <c r="R574" s="80">
        <f t="shared" si="86"/>
        <v>100</v>
      </c>
      <c r="S574" s="77">
        <f t="shared" si="87"/>
        <v>695</v>
      </c>
      <c r="T574" s="77">
        <f>50</f>
        <v>50</v>
      </c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</row>
    <row r="575" spans="1:30" ht="15.75" x14ac:dyDescent="0.25">
      <c r="A575" s="32">
        <v>58440</v>
      </c>
      <c r="B575" s="89">
        <v>31</v>
      </c>
      <c r="C575" s="77">
        <f>122.58</f>
        <v>122.58</v>
      </c>
      <c r="D575" s="77">
        <f>297.941</f>
        <v>297.94099999999997</v>
      </c>
      <c r="E575" s="86">
        <f>89.177</f>
        <v>89.177000000000007</v>
      </c>
      <c r="F575" s="77">
        <f>240.302-40-60-100</f>
        <v>40.301999999999992</v>
      </c>
      <c r="G575" s="80">
        <v>40</v>
      </c>
      <c r="H575" s="77">
        <f>60+100</f>
        <v>160</v>
      </c>
      <c r="I575" s="77">
        <f t="shared" si="90"/>
        <v>0</v>
      </c>
      <c r="J575" s="80">
        <v>100</v>
      </c>
      <c r="K575" s="80">
        <v>300</v>
      </c>
      <c r="L575" s="77">
        <f t="shared" si="84"/>
        <v>1150</v>
      </c>
      <c r="M575" s="88">
        <v>600</v>
      </c>
      <c r="N575" s="77">
        <f>100</f>
        <v>100</v>
      </c>
      <c r="O575" s="80">
        <v>240</v>
      </c>
      <c r="P575" s="80">
        <v>40</v>
      </c>
      <c r="Q575" s="80">
        <f t="shared" si="85"/>
        <v>315</v>
      </c>
      <c r="R575" s="80">
        <f t="shared" si="86"/>
        <v>100</v>
      </c>
      <c r="S575" s="77">
        <f t="shared" si="87"/>
        <v>695</v>
      </c>
      <c r="T575" s="77">
        <f>50</f>
        <v>50</v>
      </c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</row>
    <row r="576" spans="1:30" ht="15.75" x14ac:dyDescent="0.25">
      <c r="A576" s="32">
        <v>58471</v>
      </c>
      <c r="B576" s="89">
        <v>31</v>
      </c>
      <c r="C576" s="77">
        <f>122.58</f>
        <v>122.58</v>
      </c>
      <c r="D576" s="77">
        <f>297.941</f>
        <v>297.94099999999997</v>
      </c>
      <c r="E576" s="86">
        <f>89.177</f>
        <v>89.177000000000007</v>
      </c>
      <c r="F576" s="77">
        <f>240.302-40-60-100</f>
        <v>40.301999999999992</v>
      </c>
      <c r="G576" s="80">
        <v>40</v>
      </c>
      <c r="H576" s="77">
        <f>60+100</f>
        <v>160</v>
      </c>
      <c r="I576" s="77">
        <f t="shared" si="90"/>
        <v>0</v>
      </c>
      <c r="J576" s="80">
        <v>100</v>
      </c>
      <c r="K576" s="80">
        <v>300</v>
      </c>
      <c r="L576" s="77">
        <f t="shared" si="84"/>
        <v>1150</v>
      </c>
      <c r="M576" s="88">
        <v>600</v>
      </c>
      <c r="N576" s="77">
        <f>100</f>
        <v>100</v>
      </c>
      <c r="O576" s="80">
        <v>240</v>
      </c>
      <c r="P576" s="80">
        <v>40</v>
      </c>
      <c r="Q576" s="80">
        <f t="shared" si="85"/>
        <v>315</v>
      </c>
      <c r="R576" s="80">
        <f t="shared" si="86"/>
        <v>100</v>
      </c>
      <c r="S576" s="77">
        <f t="shared" si="87"/>
        <v>695</v>
      </c>
      <c r="T576" s="77">
        <f>50</f>
        <v>50</v>
      </c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</row>
    <row r="577" spans="1:30" ht="15.75" x14ac:dyDescent="0.25">
      <c r="A577" s="32">
        <v>58499</v>
      </c>
      <c r="B577" s="89">
        <v>29</v>
      </c>
      <c r="C577" s="77">
        <f>122.58</f>
        <v>122.58</v>
      </c>
      <c r="D577" s="77">
        <f>297.941</f>
        <v>297.94099999999997</v>
      </c>
      <c r="E577" s="86">
        <f>89.177</f>
        <v>89.177000000000007</v>
      </c>
      <c r="F577" s="77">
        <f>240.302-40-60-100</f>
        <v>40.301999999999992</v>
      </c>
      <c r="G577" s="80">
        <v>40</v>
      </c>
      <c r="H577" s="77">
        <f>60+100</f>
        <v>160</v>
      </c>
      <c r="I577" s="77">
        <f t="shared" si="90"/>
        <v>0</v>
      </c>
      <c r="J577" s="80">
        <v>100</v>
      </c>
      <c r="K577" s="80">
        <v>300</v>
      </c>
      <c r="L577" s="77">
        <f t="shared" si="84"/>
        <v>1150</v>
      </c>
      <c r="M577" s="88">
        <v>600</v>
      </c>
      <c r="N577" s="77">
        <f>100</f>
        <v>100</v>
      </c>
      <c r="O577" s="80">
        <v>240</v>
      </c>
      <c r="P577" s="80">
        <v>40</v>
      </c>
      <c r="Q577" s="80">
        <f t="shared" si="85"/>
        <v>315</v>
      </c>
      <c r="R577" s="80">
        <f t="shared" si="86"/>
        <v>100</v>
      </c>
      <c r="S577" s="77">
        <f t="shared" si="87"/>
        <v>695</v>
      </c>
      <c r="T577" s="77">
        <f>50</f>
        <v>50</v>
      </c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</row>
    <row r="578" spans="1:30" ht="15.75" x14ac:dyDescent="0.25">
      <c r="A578" s="32">
        <v>58531</v>
      </c>
      <c r="B578" s="89">
        <v>31</v>
      </c>
      <c r="C578" s="77">
        <f>122.58</f>
        <v>122.58</v>
      </c>
      <c r="D578" s="77">
        <f>297.941</f>
        <v>297.94099999999997</v>
      </c>
      <c r="E578" s="86">
        <f>89.177</f>
        <v>89.177000000000007</v>
      </c>
      <c r="F578" s="77">
        <f>240.302-40-60-100</f>
        <v>40.301999999999992</v>
      </c>
      <c r="G578" s="80">
        <v>40</v>
      </c>
      <c r="H578" s="77">
        <f>60+100</f>
        <v>160</v>
      </c>
      <c r="I578" s="77">
        <f t="shared" si="90"/>
        <v>0</v>
      </c>
      <c r="J578" s="80">
        <v>100</v>
      </c>
      <c r="K578" s="80">
        <v>300</v>
      </c>
      <c r="L578" s="77">
        <f t="shared" si="84"/>
        <v>1150</v>
      </c>
      <c r="M578" s="88">
        <v>600</v>
      </c>
      <c r="N578" s="77">
        <f>100</f>
        <v>100</v>
      </c>
      <c r="O578" s="80">
        <v>240</v>
      </c>
      <c r="P578" s="80">
        <v>40</v>
      </c>
      <c r="Q578" s="80">
        <f t="shared" si="85"/>
        <v>315</v>
      </c>
      <c r="R578" s="80">
        <f t="shared" si="86"/>
        <v>100</v>
      </c>
      <c r="S578" s="77">
        <f t="shared" si="87"/>
        <v>695</v>
      </c>
      <c r="T578" s="77">
        <f>50</f>
        <v>50</v>
      </c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</row>
    <row r="579" spans="1:30" ht="15.75" x14ac:dyDescent="0.25">
      <c r="A579" s="32">
        <v>58561</v>
      </c>
      <c r="B579" s="89">
        <v>30</v>
      </c>
      <c r="C579" s="77">
        <f>141.293</f>
        <v>141.29300000000001</v>
      </c>
      <c r="D579" s="77">
        <f>267.993</f>
        <v>267.99299999999999</v>
      </c>
      <c r="E579" s="86">
        <f>115.016</f>
        <v>115.01600000000001</v>
      </c>
      <c r="F579" s="77">
        <f>314.698-40-25-60-100</f>
        <v>89.697999999999979</v>
      </c>
      <c r="G579" s="80">
        <v>40</v>
      </c>
      <c r="H579" s="77">
        <f t="shared" ref="H579:H585" si="92">25+60+100</f>
        <v>185</v>
      </c>
      <c r="I579" s="77">
        <f t="shared" si="90"/>
        <v>0</v>
      </c>
      <c r="J579" s="80">
        <v>100</v>
      </c>
      <c r="K579" s="80">
        <v>300</v>
      </c>
      <c r="L579" s="77">
        <f t="shared" si="84"/>
        <v>1239</v>
      </c>
      <c r="M579" s="88">
        <v>600</v>
      </c>
      <c r="N579" s="77">
        <f>100</f>
        <v>100</v>
      </c>
      <c r="O579" s="80">
        <v>240</v>
      </c>
      <c r="P579" s="80">
        <v>160</v>
      </c>
      <c r="Q579" s="80">
        <f t="shared" si="85"/>
        <v>195</v>
      </c>
      <c r="R579" s="80">
        <f t="shared" si="86"/>
        <v>100</v>
      </c>
      <c r="S579" s="77">
        <f t="shared" si="87"/>
        <v>695</v>
      </c>
      <c r="T579" s="77">
        <f>50</f>
        <v>50</v>
      </c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</row>
    <row r="580" spans="1:30" ht="15.75" x14ac:dyDescent="0.25">
      <c r="A580" s="32">
        <v>58592</v>
      </c>
      <c r="B580" s="89">
        <v>31</v>
      </c>
      <c r="C580" s="77">
        <f>194.205</f>
        <v>194.20500000000001</v>
      </c>
      <c r="D580" s="77">
        <f>267.466</f>
        <v>267.46600000000001</v>
      </c>
      <c r="E580" s="86">
        <f>133.845</f>
        <v>133.845</v>
      </c>
      <c r="F580" s="77">
        <f>278.484-40-25-60-100</f>
        <v>53.48399999999998</v>
      </c>
      <c r="G580" s="80">
        <v>40</v>
      </c>
      <c r="H580" s="77">
        <f t="shared" si="92"/>
        <v>185</v>
      </c>
      <c r="I580" s="77">
        <f t="shared" si="90"/>
        <v>0</v>
      </c>
      <c r="J580" s="80">
        <v>100</v>
      </c>
      <c r="K580" s="80">
        <v>300</v>
      </c>
      <c r="L580" s="77">
        <f t="shared" si="84"/>
        <v>1274</v>
      </c>
      <c r="M580" s="88">
        <v>600</v>
      </c>
      <c r="N580" s="77">
        <f>75</f>
        <v>75</v>
      </c>
      <c r="O580" s="80">
        <v>240</v>
      </c>
      <c r="P580" s="80">
        <v>160</v>
      </c>
      <c r="Q580" s="80">
        <f t="shared" si="85"/>
        <v>195</v>
      </c>
      <c r="R580" s="80">
        <f t="shared" si="86"/>
        <v>100</v>
      </c>
      <c r="S580" s="77">
        <f t="shared" si="87"/>
        <v>695</v>
      </c>
      <c r="T580" s="77">
        <f>50</f>
        <v>50</v>
      </c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</row>
    <row r="581" spans="1:30" ht="15.75" x14ac:dyDescent="0.25">
      <c r="A581" s="32">
        <v>58622</v>
      </c>
      <c r="B581" s="89">
        <v>30</v>
      </c>
      <c r="C581" s="77">
        <f>194.205</f>
        <v>194.20500000000001</v>
      </c>
      <c r="D581" s="77">
        <f>267.466</f>
        <v>267.46600000000001</v>
      </c>
      <c r="E581" s="86">
        <f>133.845</f>
        <v>133.845</v>
      </c>
      <c r="F581" s="77">
        <f>278.484-40-25-60-100</f>
        <v>53.48399999999998</v>
      </c>
      <c r="G581" s="80">
        <v>40</v>
      </c>
      <c r="H581" s="77">
        <f t="shared" si="92"/>
        <v>185</v>
      </c>
      <c r="I581" s="77">
        <f t="shared" si="90"/>
        <v>0</v>
      </c>
      <c r="J581" s="80">
        <v>100</v>
      </c>
      <c r="K581" s="80">
        <v>300</v>
      </c>
      <c r="L581" s="77">
        <f t="shared" si="84"/>
        <v>1274</v>
      </c>
      <c r="M581" s="88">
        <v>600</v>
      </c>
      <c r="N581" s="77">
        <f>30</f>
        <v>30</v>
      </c>
      <c r="O581" s="80">
        <v>240</v>
      </c>
      <c r="P581" s="80">
        <v>160</v>
      </c>
      <c r="Q581" s="80">
        <f t="shared" si="85"/>
        <v>195</v>
      </c>
      <c r="R581" s="80">
        <f t="shared" si="86"/>
        <v>100</v>
      </c>
      <c r="S581" s="77">
        <f t="shared" si="87"/>
        <v>695</v>
      </c>
      <c r="T581" s="77">
        <f>50</f>
        <v>50</v>
      </c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</row>
    <row r="582" spans="1:30" ht="15.75" x14ac:dyDescent="0.25">
      <c r="A582" s="32">
        <v>58653</v>
      </c>
      <c r="B582" s="89">
        <v>31</v>
      </c>
      <c r="C582" s="77">
        <f>194.205</f>
        <v>194.20500000000001</v>
      </c>
      <c r="D582" s="77">
        <f>267.466</f>
        <v>267.46600000000001</v>
      </c>
      <c r="E582" s="86">
        <f>133.845</f>
        <v>133.845</v>
      </c>
      <c r="F582" s="77">
        <f>278.484-40-25-60-100</f>
        <v>53.48399999999998</v>
      </c>
      <c r="G582" s="80">
        <v>40</v>
      </c>
      <c r="H582" s="77">
        <f t="shared" si="92"/>
        <v>185</v>
      </c>
      <c r="I582" s="77">
        <f t="shared" si="90"/>
        <v>0</v>
      </c>
      <c r="J582" s="80">
        <v>100</v>
      </c>
      <c r="K582" s="80">
        <v>300</v>
      </c>
      <c r="L582" s="77">
        <f t="shared" si="84"/>
        <v>1274</v>
      </c>
      <c r="M582" s="88">
        <v>600</v>
      </c>
      <c r="N582" s="77">
        <f>30</f>
        <v>30</v>
      </c>
      <c r="O582" s="80">
        <v>240</v>
      </c>
      <c r="P582" s="80">
        <v>160</v>
      </c>
      <c r="Q582" s="80">
        <f t="shared" si="85"/>
        <v>195</v>
      </c>
      <c r="R582" s="80">
        <f t="shared" si="86"/>
        <v>100</v>
      </c>
      <c r="S582" s="77">
        <f t="shared" si="87"/>
        <v>695</v>
      </c>
      <c r="T582" s="77">
        <f>0</f>
        <v>0</v>
      </c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</row>
    <row r="583" spans="1:30" ht="15.75" x14ac:dyDescent="0.25">
      <c r="A583" s="32">
        <v>58684</v>
      </c>
      <c r="B583" s="89">
        <v>31</v>
      </c>
      <c r="C583" s="77">
        <f>194.205</f>
        <v>194.20500000000001</v>
      </c>
      <c r="D583" s="77">
        <f>267.466</f>
        <v>267.46600000000001</v>
      </c>
      <c r="E583" s="86">
        <f>133.845</f>
        <v>133.845</v>
      </c>
      <c r="F583" s="77">
        <f>278.484-40-25-60-100</f>
        <v>53.48399999999998</v>
      </c>
      <c r="G583" s="80">
        <v>40</v>
      </c>
      <c r="H583" s="77">
        <f t="shared" si="92"/>
        <v>185</v>
      </c>
      <c r="I583" s="77">
        <f t="shared" si="90"/>
        <v>0</v>
      </c>
      <c r="J583" s="80">
        <v>100</v>
      </c>
      <c r="K583" s="80">
        <v>300</v>
      </c>
      <c r="L583" s="77">
        <f t="shared" si="84"/>
        <v>1274</v>
      </c>
      <c r="M583" s="88">
        <v>600</v>
      </c>
      <c r="N583" s="77">
        <f>30</f>
        <v>30</v>
      </c>
      <c r="O583" s="80">
        <v>240</v>
      </c>
      <c r="P583" s="80">
        <v>160</v>
      </c>
      <c r="Q583" s="80">
        <f t="shared" si="85"/>
        <v>195</v>
      </c>
      <c r="R583" s="80">
        <f t="shared" si="86"/>
        <v>100</v>
      </c>
      <c r="S583" s="77">
        <f t="shared" si="87"/>
        <v>695</v>
      </c>
      <c r="T583" s="77">
        <f>0</f>
        <v>0</v>
      </c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</row>
    <row r="584" spans="1:30" ht="15.75" x14ac:dyDescent="0.25">
      <c r="A584" s="32">
        <v>58714</v>
      </c>
      <c r="B584" s="89">
        <v>30</v>
      </c>
      <c r="C584" s="77">
        <f>194.205</f>
        <v>194.20500000000001</v>
      </c>
      <c r="D584" s="77">
        <f>267.466</f>
        <v>267.46600000000001</v>
      </c>
      <c r="E584" s="86">
        <f>133.845</f>
        <v>133.845</v>
      </c>
      <c r="F584" s="77">
        <f>278.484-40-25-60-100</f>
        <v>53.48399999999998</v>
      </c>
      <c r="G584" s="80">
        <v>40</v>
      </c>
      <c r="H584" s="77">
        <f t="shared" si="92"/>
        <v>185</v>
      </c>
      <c r="I584" s="77">
        <f t="shared" si="90"/>
        <v>0</v>
      </c>
      <c r="J584" s="80">
        <v>100</v>
      </c>
      <c r="K584" s="80">
        <v>300</v>
      </c>
      <c r="L584" s="77">
        <f t="shared" si="84"/>
        <v>1274</v>
      </c>
      <c r="M584" s="88">
        <v>600</v>
      </c>
      <c r="N584" s="77">
        <f>30</f>
        <v>30</v>
      </c>
      <c r="O584" s="80">
        <v>240</v>
      </c>
      <c r="P584" s="80">
        <v>160</v>
      </c>
      <c r="Q584" s="80">
        <f t="shared" si="85"/>
        <v>195</v>
      </c>
      <c r="R584" s="80">
        <f t="shared" si="86"/>
        <v>100</v>
      </c>
      <c r="S584" s="77">
        <f t="shared" si="87"/>
        <v>695</v>
      </c>
      <c r="T584" s="77">
        <f>0</f>
        <v>0</v>
      </c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</row>
    <row r="585" spans="1:30" ht="15.75" x14ac:dyDescent="0.25">
      <c r="A585" s="32">
        <v>58745</v>
      </c>
      <c r="B585" s="89">
        <v>31</v>
      </c>
      <c r="C585" s="77">
        <f>131.881</f>
        <v>131.881</v>
      </c>
      <c r="D585" s="77">
        <f>277.167</f>
        <v>277.16699999999997</v>
      </c>
      <c r="E585" s="86">
        <f>79.08</f>
        <v>79.08</v>
      </c>
      <c r="F585" s="77">
        <f>350.872-40-25-60-100</f>
        <v>125.87200000000001</v>
      </c>
      <c r="G585" s="80">
        <v>40</v>
      </c>
      <c r="H585" s="77">
        <f t="shared" si="92"/>
        <v>185</v>
      </c>
      <c r="I585" s="77">
        <f t="shared" si="90"/>
        <v>0</v>
      </c>
      <c r="J585" s="80">
        <v>100</v>
      </c>
      <c r="K585" s="80">
        <v>300</v>
      </c>
      <c r="L585" s="77">
        <f t="shared" si="84"/>
        <v>1239</v>
      </c>
      <c r="M585" s="88">
        <v>600</v>
      </c>
      <c r="N585" s="77">
        <f>75</f>
        <v>75</v>
      </c>
      <c r="O585" s="80">
        <v>240</v>
      </c>
      <c r="P585" s="80">
        <v>160</v>
      </c>
      <c r="Q585" s="80">
        <f t="shared" si="85"/>
        <v>195</v>
      </c>
      <c r="R585" s="80">
        <f t="shared" si="86"/>
        <v>100</v>
      </c>
      <c r="S585" s="77">
        <f t="shared" si="87"/>
        <v>695</v>
      </c>
      <c r="T585" s="77">
        <f>0</f>
        <v>0</v>
      </c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</row>
    <row r="586" spans="1:30" ht="15.75" x14ac:dyDescent="0.25">
      <c r="A586" s="32">
        <v>58775</v>
      </c>
      <c r="B586" s="89">
        <v>30</v>
      </c>
      <c r="C586" s="77">
        <f>122.58</f>
        <v>122.58</v>
      </c>
      <c r="D586" s="77">
        <f>297.941</f>
        <v>297.94099999999997</v>
      </c>
      <c r="E586" s="86">
        <f>89.177</f>
        <v>89.177000000000007</v>
      </c>
      <c r="F586" s="77">
        <f>240.302-40-60-100</f>
        <v>40.301999999999992</v>
      </c>
      <c r="G586" s="80">
        <v>40</v>
      </c>
      <c r="H586" s="77">
        <f>60+100</f>
        <v>160</v>
      </c>
      <c r="I586" s="77">
        <f t="shared" si="90"/>
        <v>0</v>
      </c>
      <c r="J586" s="80">
        <v>100</v>
      </c>
      <c r="K586" s="80">
        <v>300</v>
      </c>
      <c r="L586" s="77">
        <f t="shared" si="84"/>
        <v>1150</v>
      </c>
      <c r="M586" s="88">
        <v>600</v>
      </c>
      <c r="N586" s="77">
        <f>100</f>
        <v>100</v>
      </c>
      <c r="O586" s="80">
        <v>240</v>
      </c>
      <c r="P586" s="80">
        <v>40</v>
      </c>
      <c r="Q586" s="80">
        <f t="shared" si="85"/>
        <v>315</v>
      </c>
      <c r="R586" s="80">
        <f t="shared" si="86"/>
        <v>100</v>
      </c>
      <c r="S586" s="77">
        <f t="shared" si="87"/>
        <v>695</v>
      </c>
      <c r="T586" s="77">
        <f>50</f>
        <v>50</v>
      </c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</row>
    <row r="587" spans="1:30" ht="15.75" x14ac:dyDescent="0.25">
      <c r="A587" s="32">
        <v>58806</v>
      </c>
      <c r="B587" s="89">
        <v>31</v>
      </c>
      <c r="C587" s="77">
        <f>122.58</f>
        <v>122.58</v>
      </c>
      <c r="D587" s="77">
        <f>297.941</f>
        <v>297.94099999999997</v>
      </c>
      <c r="E587" s="86">
        <f>89.177</f>
        <v>89.177000000000007</v>
      </c>
      <c r="F587" s="77">
        <f>240.302-40-60-100</f>
        <v>40.301999999999992</v>
      </c>
      <c r="G587" s="80">
        <v>40</v>
      </c>
      <c r="H587" s="77">
        <f>60+100</f>
        <v>160</v>
      </c>
      <c r="I587" s="77">
        <f t="shared" si="90"/>
        <v>0</v>
      </c>
      <c r="J587" s="80">
        <v>100</v>
      </c>
      <c r="K587" s="80">
        <v>300</v>
      </c>
      <c r="L587" s="77">
        <f t="shared" si="84"/>
        <v>1150</v>
      </c>
      <c r="M587" s="88">
        <v>600</v>
      </c>
      <c r="N587" s="77">
        <f>100</f>
        <v>100</v>
      </c>
      <c r="O587" s="80">
        <v>240</v>
      </c>
      <c r="P587" s="80">
        <v>40</v>
      </c>
      <c r="Q587" s="80">
        <f t="shared" si="85"/>
        <v>315</v>
      </c>
      <c r="R587" s="80">
        <f t="shared" si="86"/>
        <v>100</v>
      </c>
      <c r="S587" s="77">
        <f t="shared" si="87"/>
        <v>695</v>
      </c>
      <c r="T587" s="77">
        <f>50</f>
        <v>50</v>
      </c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</row>
    <row r="588" spans="1:30" ht="15.75" x14ac:dyDescent="0.25">
      <c r="A588" s="32">
        <v>58837</v>
      </c>
      <c r="B588" s="89">
        <v>31</v>
      </c>
      <c r="C588" s="77">
        <f>122.58</f>
        <v>122.58</v>
      </c>
      <c r="D588" s="77">
        <f>297.941</f>
        <v>297.94099999999997</v>
      </c>
      <c r="E588" s="86">
        <f>89.177</f>
        <v>89.177000000000007</v>
      </c>
      <c r="F588" s="77">
        <f>240.302-40-60-100</f>
        <v>40.301999999999992</v>
      </c>
      <c r="G588" s="80">
        <v>40</v>
      </c>
      <c r="H588" s="77">
        <f>60+100</f>
        <v>160</v>
      </c>
      <c r="I588" s="77">
        <f t="shared" si="90"/>
        <v>0</v>
      </c>
      <c r="J588" s="80">
        <v>100</v>
      </c>
      <c r="K588" s="80">
        <v>300</v>
      </c>
      <c r="L588" s="77">
        <f t="shared" si="84"/>
        <v>1150</v>
      </c>
      <c r="M588" s="88">
        <v>600</v>
      </c>
      <c r="N588" s="77">
        <f>100</f>
        <v>100</v>
      </c>
      <c r="O588" s="80">
        <v>240</v>
      </c>
      <c r="P588" s="80">
        <v>40</v>
      </c>
      <c r="Q588" s="80">
        <f t="shared" si="85"/>
        <v>315</v>
      </c>
      <c r="R588" s="80">
        <f t="shared" si="86"/>
        <v>100</v>
      </c>
      <c r="S588" s="77">
        <f t="shared" si="87"/>
        <v>695</v>
      </c>
      <c r="T588" s="77">
        <f>50</f>
        <v>50</v>
      </c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</row>
    <row r="589" spans="1:30" ht="15.75" x14ac:dyDescent="0.25">
      <c r="A589" s="32">
        <v>58865</v>
      </c>
      <c r="B589" s="89">
        <v>28</v>
      </c>
      <c r="C589" s="77">
        <f>122.58</f>
        <v>122.58</v>
      </c>
      <c r="D589" s="77">
        <f>297.941</f>
        <v>297.94099999999997</v>
      </c>
      <c r="E589" s="86">
        <f>89.177</f>
        <v>89.177000000000007</v>
      </c>
      <c r="F589" s="77">
        <f>240.302-40-60-100</f>
        <v>40.301999999999992</v>
      </c>
      <c r="G589" s="80">
        <v>40</v>
      </c>
      <c r="H589" s="77">
        <f>60+100</f>
        <v>160</v>
      </c>
      <c r="I589" s="77">
        <f t="shared" si="90"/>
        <v>0</v>
      </c>
      <c r="J589" s="80">
        <v>100</v>
      </c>
      <c r="K589" s="80">
        <v>300</v>
      </c>
      <c r="L589" s="77">
        <f t="shared" si="84"/>
        <v>1150</v>
      </c>
      <c r="M589" s="88">
        <v>600</v>
      </c>
      <c r="N589" s="77">
        <f>100</f>
        <v>100</v>
      </c>
      <c r="O589" s="80">
        <v>240</v>
      </c>
      <c r="P589" s="80">
        <v>40</v>
      </c>
      <c r="Q589" s="80">
        <f t="shared" si="85"/>
        <v>315</v>
      </c>
      <c r="R589" s="80">
        <f t="shared" si="86"/>
        <v>100</v>
      </c>
      <c r="S589" s="77">
        <f t="shared" si="87"/>
        <v>695</v>
      </c>
      <c r="T589" s="77">
        <f>50</f>
        <v>50</v>
      </c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</row>
    <row r="590" spans="1:30" ht="15.75" x14ac:dyDescent="0.25">
      <c r="A590" s="32">
        <v>58893</v>
      </c>
      <c r="B590" s="89">
        <v>31</v>
      </c>
      <c r="C590" s="77">
        <f>122.58</f>
        <v>122.58</v>
      </c>
      <c r="D590" s="77">
        <f>297.941</f>
        <v>297.94099999999997</v>
      </c>
      <c r="E590" s="86">
        <f>89.177</f>
        <v>89.177000000000007</v>
      </c>
      <c r="F590" s="77">
        <f>240.302-40-60-100</f>
        <v>40.301999999999992</v>
      </c>
      <c r="G590" s="80">
        <v>40</v>
      </c>
      <c r="H590" s="77">
        <f>60+100</f>
        <v>160</v>
      </c>
      <c r="I590" s="77">
        <f t="shared" si="90"/>
        <v>0</v>
      </c>
      <c r="J590" s="80">
        <v>100</v>
      </c>
      <c r="K590" s="80">
        <v>300</v>
      </c>
      <c r="L590" s="77">
        <f t="shared" si="84"/>
        <v>1150</v>
      </c>
      <c r="M590" s="88">
        <v>600</v>
      </c>
      <c r="N590" s="77">
        <f>100</f>
        <v>100</v>
      </c>
      <c r="O590" s="80">
        <v>240</v>
      </c>
      <c r="P590" s="80">
        <v>40</v>
      </c>
      <c r="Q590" s="80">
        <f t="shared" si="85"/>
        <v>315</v>
      </c>
      <c r="R590" s="80">
        <f t="shared" si="86"/>
        <v>100</v>
      </c>
      <c r="S590" s="77">
        <f t="shared" si="87"/>
        <v>695</v>
      </c>
      <c r="T590" s="77">
        <f>50</f>
        <v>50</v>
      </c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</row>
    <row r="591" spans="1:30" ht="15.75" x14ac:dyDescent="0.25">
      <c r="A591" s="32">
        <v>58926</v>
      </c>
      <c r="B591" s="89">
        <v>30</v>
      </c>
      <c r="C591" s="77">
        <f>141.293</f>
        <v>141.29300000000001</v>
      </c>
      <c r="D591" s="77">
        <f>267.993</f>
        <v>267.99299999999999</v>
      </c>
      <c r="E591" s="86">
        <f>115.016</f>
        <v>115.01600000000001</v>
      </c>
      <c r="F591" s="77">
        <f>314.698-40-25-60-100</f>
        <v>89.697999999999979</v>
      </c>
      <c r="G591" s="80">
        <v>40</v>
      </c>
      <c r="H591" s="77">
        <f t="shared" ref="H591:H597" si="93">25+60+100</f>
        <v>185</v>
      </c>
      <c r="I591" s="77">
        <f t="shared" si="90"/>
        <v>0</v>
      </c>
      <c r="J591" s="80">
        <v>100</v>
      </c>
      <c r="K591" s="80">
        <v>300</v>
      </c>
      <c r="L591" s="77">
        <f t="shared" si="84"/>
        <v>1239</v>
      </c>
      <c r="M591" s="88">
        <v>600</v>
      </c>
      <c r="N591" s="77">
        <f>100</f>
        <v>100</v>
      </c>
      <c r="O591" s="80">
        <v>240</v>
      </c>
      <c r="P591" s="80">
        <v>160</v>
      </c>
      <c r="Q591" s="80">
        <f t="shared" si="85"/>
        <v>195</v>
      </c>
      <c r="R591" s="80">
        <f t="shared" si="86"/>
        <v>100</v>
      </c>
      <c r="S591" s="77">
        <f t="shared" si="87"/>
        <v>695</v>
      </c>
      <c r="T591" s="77">
        <f>50</f>
        <v>50</v>
      </c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</row>
    <row r="592" spans="1:30" ht="15.75" x14ac:dyDescent="0.25">
      <c r="A592" s="32">
        <v>58957</v>
      </c>
      <c r="B592" s="89">
        <v>31</v>
      </c>
      <c r="C592" s="77">
        <f>194.205</f>
        <v>194.20500000000001</v>
      </c>
      <c r="D592" s="77">
        <f>267.466</f>
        <v>267.46600000000001</v>
      </c>
      <c r="E592" s="86">
        <f>133.845</f>
        <v>133.845</v>
      </c>
      <c r="F592" s="77">
        <f>278.484-40-25-60-100</f>
        <v>53.48399999999998</v>
      </c>
      <c r="G592" s="80">
        <v>40</v>
      </c>
      <c r="H592" s="77">
        <f t="shared" si="93"/>
        <v>185</v>
      </c>
      <c r="I592" s="77">
        <f t="shared" si="90"/>
        <v>0</v>
      </c>
      <c r="J592" s="80">
        <v>100</v>
      </c>
      <c r="K592" s="80">
        <v>300</v>
      </c>
      <c r="L592" s="77">
        <f t="shared" si="84"/>
        <v>1274</v>
      </c>
      <c r="M592" s="88">
        <v>600</v>
      </c>
      <c r="N592" s="77">
        <f>75</f>
        <v>75</v>
      </c>
      <c r="O592" s="80">
        <v>240</v>
      </c>
      <c r="P592" s="80">
        <v>160</v>
      </c>
      <c r="Q592" s="80">
        <f t="shared" si="85"/>
        <v>195</v>
      </c>
      <c r="R592" s="80">
        <f t="shared" si="86"/>
        <v>100</v>
      </c>
      <c r="S592" s="77">
        <f t="shared" si="87"/>
        <v>695</v>
      </c>
      <c r="T592" s="77">
        <f>50</f>
        <v>50</v>
      </c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</row>
    <row r="593" spans="1:30" ht="15.75" x14ac:dyDescent="0.25">
      <c r="A593" s="32">
        <v>58987</v>
      </c>
      <c r="B593" s="89">
        <v>30</v>
      </c>
      <c r="C593" s="77">
        <f>194.205</f>
        <v>194.20500000000001</v>
      </c>
      <c r="D593" s="77">
        <f>267.466</f>
        <v>267.46600000000001</v>
      </c>
      <c r="E593" s="86">
        <f>133.845</f>
        <v>133.845</v>
      </c>
      <c r="F593" s="77">
        <f>278.484-40-25-60-100</f>
        <v>53.48399999999998</v>
      </c>
      <c r="G593" s="80">
        <v>40</v>
      </c>
      <c r="H593" s="77">
        <f t="shared" si="93"/>
        <v>185</v>
      </c>
      <c r="I593" s="77">
        <f t="shared" si="90"/>
        <v>0</v>
      </c>
      <c r="J593" s="80">
        <v>100</v>
      </c>
      <c r="K593" s="80">
        <v>300</v>
      </c>
      <c r="L593" s="77">
        <f t="shared" si="84"/>
        <v>1274</v>
      </c>
      <c r="M593" s="88">
        <v>600</v>
      </c>
      <c r="N593" s="77">
        <f>30</f>
        <v>30</v>
      </c>
      <c r="O593" s="80">
        <v>240</v>
      </c>
      <c r="P593" s="80">
        <v>160</v>
      </c>
      <c r="Q593" s="80">
        <f t="shared" si="85"/>
        <v>195</v>
      </c>
      <c r="R593" s="80">
        <f t="shared" si="86"/>
        <v>100</v>
      </c>
      <c r="S593" s="77">
        <f t="shared" si="87"/>
        <v>695</v>
      </c>
      <c r="T593" s="77">
        <f>50</f>
        <v>50</v>
      </c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</row>
    <row r="594" spans="1:30" ht="15.75" x14ac:dyDescent="0.25">
      <c r="A594" s="32">
        <v>59018</v>
      </c>
      <c r="B594" s="89">
        <v>31</v>
      </c>
      <c r="C594" s="77">
        <f>194.205</f>
        <v>194.20500000000001</v>
      </c>
      <c r="D594" s="77">
        <f>267.466</f>
        <v>267.46600000000001</v>
      </c>
      <c r="E594" s="86">
        <f>133.845</f>
        <v>133.845</v>
      </c>
      <c r="F594" s="77">
        <f>278.484-40-25-60-100</f>
        <v>53.48399999999998</v>
      </c>
      <c r="G594" s="80">
        <v>40</v>
      </c>
      <c r="H594" s="77">
        <f t="shared" si="93"/>
        <v>185</v>
      </c>
      <c r="I594" s="77">
        <f t="shared" si="90"/>
        <v>0</v>
      </c>
      <c r="J594" s="80">
        <v>100</v>
      </c>
      <c r="K594" s="80">
        <v>300</v>
      </c>
      <c r="L594" s="77">
        <f t="shared" si="84"/>
        <v>1274</v>
      </c>
      <c r="M594" s="88">
        <v>600</v>
      </c>
      <c r="N594" s="77">
        <f>30</f>
        <v>30</v>
      </c>
      <c r="O594" s="80">
        <v>240</v>
      </c>
      <c r="P594" s="80">
        <v>160</v>
      </c>
      <c r="Q594" s="80">
        <f t="shared" si="85"/>
        <v>195</v>
      </c>
      <c r="R594" s="80">
        <f t="shared" si="86"/>
        <v>100</v>
      </c>
      <c r="S594" s="77">
        <f t="shared" si="87"/>
        <v>695</v>
      </c>
      <c r="T594" s="77">
        <f>0</f>
        <v>0</v>
      </c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</row>
    <row r="595" spans="1:30" ht="15.75" x14ac:dyDescent="0.25">
      <c r="A595" s="32">
        <v>59049</v>
      </c>
      <c r="B595" s="89">
        <v>31</v>
      </c>
      <c r="C595" s="77">
        <f>194.205</f>
        <v>194.20500000000001</v>
      </c>
      <c r="D595" s="77">
        <f>267.466</f>
        <v>267.46600000000001</v>
      </c>
      <c r="E595" s="86">
        <f>133.845</f>
        <v>133.845</v>
      </c>
      <c r="F595" s="77">
        <f>278.484-40-25-60-100</f>
        <v>53.48399999999998</v>
      </c>
      <c r="G595" s="80">
        <v>40</v>
      </c>
      <c r="H595" s="77">
        <f t="shared" si="93"/>
        <v>185</v>
      </c>
      <c r="I595" s="77">
        <f t="shared" si="90"/>
        <v>0</v>
      </c>
      <c r="J595" s="80">
        <v>100</v>
      </c>
      <c r="K595" s="80">
        <v>300</v>
      </c>
      <c r="L595" s="77">
        <f t="shared" ref="L595:L658" si="94">SUM(C595:K595)</f>
        <v>1274</v>
      </c>
      <c r="M595" s="88">
        <v>600</v>
      </c>
      <c r="N595" s="77">
        <f>30</f>
        <v>30</v>
      </c>
      <c r="O595" s="80">
        <v>240</v>
      </c>
      <c r="P595" s="80">
        <v>160</v>
      </c>
      <c r="Q595" s="80">
        <f t="shared" ref="Q595:Q658" si="95">695-R595-O595-P595</f>
        <v>195</v>
      </c>
      <c r="R595" s="80">
        <f t="shared" ref="R595:R658" si="96">200-J595</f>
        <v>100</v>
      </c>
      <c r="S595" s="77">
        <f t="shared" ref="S595:S658" si="97">SUM(O595:R595)</f>
        <v>695</v>
      </c>
      <c r="T595" s="77">
        <f>0</f>
        <v>0</v>
      </c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</row>
    <row r="596" spans="1:30" ht="15.75" x14ac:dyDescent="0.25">
      <c r="A596" s="32">
        <v>59079</v>
      </c>
      <c r="B596" s="89">
        <v>30</v>
      </c>
      <c r="C596" s="77">
        <f>194.205</f>
        <v>194.20500000000001</v>
      </c>
      <c r="D596" s="77">
        <f>267.466</f>
        <v>267.46600000000001</v>
      </c>
      <c r="E596" s="86">
        <f>133.845</f>
        <v>133.845</v>
      </c>
      <c r="F596" s="77">
        <f>278.484-40-25-60-100</f>
        <v>53.48399999999998</v>
      </c>
      <c r="G596" s="80">
        <v>40</v>
      </c>
      <c r="H596" s="77">
        <f t="shared" si="93"/>
        <v>185</v>
      </c>
      <c r="I596" s="77">
        <f t="shared" si="90"/>
        <v>0</v>
      </c>
      <c r="J596" s="80">
        <v>100</v>
      </c>
      <c r="K596" s="80">
        <v>300</v>
      </c>
      <c r="L596" s="77">
        <f t="shared" si="94"/>
        <v>1274</v>
      </c>
      <c r="M596" s="88">
        <v>600</v>
      </c>
      <c r="N596" s="77">
        <f>30</f>
        <v>30</v>
      </c>
      <c r="O596" s="80">
        <v>240</v>
      </c>
      <c r="P596" s="80">
        <v>160</v>
      </c>
      <c r="Q596" s="80">
        <f t="shared" si="95"/>
        <v>195</v>
      </c>
      <c r="R596" s="80">
        <f t="shared" si="96"/>
        <v>100</v>
      </c>
      <c r="S596" s="77">
        <f t="shared" si="97"/>
        <v>695</v>
      </c>
      <c r="T596" s="77">
        <f>0</f>
        <v>0</v>
      </c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</row>
    <row r="597" spans="1:30" ht="15.75" x14ac:dyDescent="0.25">
      <c r="A597" s="32">
        <v>59110</v>
      </c>
      <c r="B597" s="89">
        <v>31</v>
      </c>
      <c r="C597" s="77">
        <f>131.881</f>
        <v>131.881</v>
      </c>
      <c r="D597" s="77">
        <f>277.167</f>
        <v>277.16699999999997</v>
      </c>
      <c r="E597" s="86">
        <f>79.08</f>
        <v>79.08</v>
      </c>
      <c r="F597" s="77">
        <f>350.872-40-25-60-100</f>
        <v>125.87200000000001</v>
      </c>
      <c r="G597" s="80">
        <v>40</v>
      </c>
      <c r="H597" s="77">
        <f t="shared" si="93"/>
        <v>185</v>
      </c>
      <c r="I597" s="77">
        <f t="shared" si="90"/>
        <v>0</v>
      </c>
      <c r="J597" s="80">
        <v>100</v>
      </c>
      <c r="K597" s="80">
        <v>300</v>
      </c>
      <c r="L597" s="77">
        <f t="shared" si="94"/>
        <v>1239</v>
      </c>
      <c r="M597" s="88">
        <v>600</v>
      </c>
      <c r="N597" s="77">
        <f>75</f>
        <v>75</v>
      </c>
      <c r="O597" s="80">
        <v>240</v>
      </c>
      <c r="P597" s="80">
        <v>160</v>
      </c>
      <c r="Q597" s="80">
        <f t="shared" si="95"/>
        <v>195</v>
      </c>
      <c r="R597" s="80">
        <f t="shared" si="96"/>
        <v>100</v>
      </c>
      <c r="S597" s="77">
        <f t="shared" si="97"/>
        <v>695</v>
      </c>
      <c r="T597" s="77">
        <f>0</f>
        <v>0</v>
      </c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</row>
    <row r="598" spans="1:30" ht="15.75" x14ac:dyDescent="0.25">
      <c r="A598" s="32">
        <v>59140</v>
      </c>
      <c r="B598" s="89">
        <v>30</v>
      </c>
      <c r="C598" s="77">
        <f>122.58</f>
        <v>122.58</v>
      </c>
      <c r="D598" s="77">
        <f>297.941</f>
        <v>297.94099999999997</v>
      </c>
      <c r="E598" s="86">
        <f>89.177</f>
        <v>89.177000000000007</v>
      </c>
      <c r="F598" s="77">
        <f>240.302-40-60-100</f>
        <v>40.301999999999992</v>
      </c>
      <c r="G598" s="80">
        <v>40</v>
      </c>
      <c r="H598" s="77">
        <f>60+100</f>
        <v>160</v>
      </c>
      <c r="I598" s="77">
        <f t="shared" si="90"/>
        <v>0</v>
      </c>
      <c r="J598" s="80">
        <v>100</v>
      </c>
      <c r="K598" s="80">
        <v>300</v>
      </c>
      <c r="L598" s="77">
        <f t="shared" si="94"/>
        <v>1150</v>
      </c>
      <c r="M598" s="88">
        <v>600</v>
      </c>
      <c r="N598" s="77">
        <f>100</f>
        <v>100</v>
      </c>
      <c r="O598" s="80">
        <v>240</v>
      </c>
      <c r="P598" s="80">
        <v>40</v>
      </c>
      <c r="Q598" s="80">
        <f t="shared" si="95"/>
        <v>315</v>
      </c>
      <c r="R598" s="80">
        <f t="shared" si="96"/>
        <v>100</v>
      </c>
      <c r="S598" s="77">
        <f t="shared" si="97"/>
        <v>695</v>
      </c>
      <c r="T598" s="77">
        <f>50</f>
        <v>50</v>
      </c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</row>
    <row r="599" spans="1:30" ht="15.75" x14ac:dyDescent="0.25">
      <c r="A599" s="32">
        <v>59171</v>
      </c>
      <c r="B599" s="89">
        <v>31</v>
      </c>
      <c r="C599" s="77">
        <f>122.58</f>
        <v>122.58</v>
      </c>
      <c r="D599" s="77">
        <f>297.941</f>
        <v>297.94099999999997</v>
      </c>
      <c r="E599" s="86">
        <f>89.177</f>
        <v>89.177000000000007</v>
      </c>
      <c r="F599" s="77">
        <f>240.302-40-60-100</f>
        <v>40.301999999999992</v>
      </c>
      <c r="G599" s="80">
        <v>40</v>
      </c>
      <c r="H599" s="77">
        <f>60+100</f>
        <v>160</v>
      </c>
      <c r="I599" s="77">
        <f t="shared" si="90"/>
        <v>0</v>
      </c>
      <c r="J599" s="80">
        <v>100</v>
      </c>
      <c r="K599" s="80">
        <v>300</v>
      </c>
      <c r="L599" s="77">
        <f t="shared" si="94"/>
        <v>1150</v>
      </c>
      <c r="M599" s="88">
        <v>600</v>
      </c>
      <c r="N599" s="77">
        <f>100</f>
        <v>100</v>
      </c>
      <c r="O599" s="80">
        <v>240</v>
      </c>
      <c r="P599" s="80">
        <v>40</v>
      </c>
      <c r="Q599" s="80">
        <f t="shared" si="95"/>
        <v>315</v>
      </c>
      <c r="R599" s="80">
        <f t="shared" si="96"/>
        <v>100</v>
      </c>
      <c r="S599" s="77">
        <f t="shared" si="97"/>
        <v>695</v>
      </c>
      <c r="T599" s="77">
        <f>50</f>
        <v>50</v>
      </c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</row>
    <row r="600" spans="1:30" ht="15.75" x14ac:dyDescent="0.25">
      <c r="A600" s="32">
        <v>59202</v>
      </c>
      <c r="B600" s="89">
        <f t="shared" ref="B600:B663" si="98">EOMONTH(A600,0)-EOMONTH(A600,-1)</f>
        <v>31</v>
      </c>
      <c r="C600" s="77">
        <f>122.58</f>
        <v>122.58</v>
      </c>
      <c r="D600" s="77">
        <f>297.941</f>
        <v>297.94099999999997</v>
      </c>
      <c r="E600" s="86">
        <f>89.177</f>
        <v>89.177000000000007</v>
      </c>
      <c r="F600" s="77">
        <f>240.302-40-60-100</f>
        <v>40.301999999999992</v>
      </c>
      <c r="G600" s="80">
        <v>40</v>
      </c>
      <c r="H600" s="77">
        <f>60+100</f>
        <v>160</v>
      </c>
      <c r="I600" s="77">
        <f t="shared" si="90"/>
        <v>0</v>
      </c>
      <c r="J600" s="80">
        <v>100</v>
      </c>
      <c r="K600" s="80">
        <v>300</v>
      </c>
      <c r="L600" s="77">
        <f t="shared" si="94"/>
        <v>1150</v>
      </c>
      <c r="M600" s="88">
        <v>600</v>
      </c>
      <c r="N600" s="77">
        <f>100</f>
        <v>100</v>
      </c>
      <c r="O600" s="80">
        <v>240</v>
      </c>
      <c r="P600" s="80">
        <v>40</v>
      </c>
      <c r="Q600" s="80">
        <f t="shared" si="95"/>
        <v>315</v>
      </c>
      <c r="R600" s="80">
        <f t="shared" si="96"/>
        <v>100</v>
      </c>
      <c r="S600" s="77">
        <f t="shared" si="97"/>
        <v>695</v>
      </c>
      <c r="T600" s="77">
        <f>50</f>
        <v>50</v>
      </c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</row>
    <row r="601" spans="1:30" ht="15.75" x14ac:dyDescent="0.25">
      <c r="A601" s="32">
        <v>59230</v>
      </c>
      <c r="B601" s="89">
        <f t="shared" si="98"/>
        <v>28</v>
      </c>
      <c r="C601" s="77">
        <f>122.58</f>
        <v>122.58</v>
      </c>
      <c r="D601" s="77">
        <f>297.941</f>
        <v>297.94099999999997</v>
      </c>
      <c r="E601" s="86">
        <f>89.177</f>
        <v>89.177000000000007</v>
      </c>
      <c r="F601" s="77">
        <f>240.302-40-60-100</f>
        <v>40.301999999999992</v>
      </c>
      <c r="G601" s="80">
        <v>40</v>
      </c>
      <c r="H601" s="77">
        <f>60+100</f>
        <v>160</v>
      </c>
      <c r="I601" s="77">
        <f t="shared" si="90"/>
        <v>0</v>
      </c>
      <c r="J601" s="80">
        <v>100</v>
      </c>
      <c r="K601" s="80">
        <v>300</v>
      </c>
      <c r="L601" s="77">
        <f t="shared" si="94"/>
        <v>1150</v>
      </c>
      <c r="M601" s="88">
        <v>600</v>
      </c>
      <c r="N601" s="77">
        <f>100</f>
        <v>100</v>
      </c>
      <c r="O601" s="80">
        <v>240</v>
      </c>
      <c r="P601" s="80">
        <v>40</v>
      </c>
      <c r="Q601" s="80">
        <f t="shared" si="95"/>
        <v>315</v>
      </c>
      <c r="R601" s="80">
        <f t="shared" si="96"/>
        <v>100</v>
      </c>
      <c r="S601" s="77">
        <f t="shared" si="97"/>
        <v>695</v>
      </c>
      <c r="T601" s="77">
        <f>50</f>
        <v>50</v>
      </c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</row>
    <row r="602" spans="1:30" ht="15.75" x14ac:dyDescent="0.25">
      <c r="A602" s="32">
        <v>59261</v>
      </c>
      <c r="B602" s="89">
        <f t="shared" si="98"/>
        <v>31</v>
      </c>
      <c r="C602" s="77">
        <f>122.58</f>
        <v>122.58</v>
      </c>
      <c r="D602" s="77">
        <f>297.941</f>
        <v>297.94099999999997</v>
      </c>
      <c r="E602" s="86">
        <f>89.177</f>
        <v>89.177000000000007</v>
      </c>
      <c r="F602" s="77">
        <f>240.302-40-60-100</f>
        <v>40.301999999999992</v>
      </c>
      <c r="G602" s="80">
        <v>40</v>
      </c>
      <c r="H602" s="77">
        <f>60+100</f>
        <v>160</v>
      </c>
      <c r="I602" s="77">
        <f t="shared" si="90"/>
        <v>0</v>
      </c>
      <c r="J602" s="80">
        <v>100</v>
      </c>
      <c r="K602" s="80">
        <v>300</v>
      </c>
      <c r="L602" s="77">
        <f t="shared" si="94"/>
        <v>1150</v>
      </c>
      <c r="M602" s="88">
        <v>600</v>
      </c>
      <c r="N602" s="77">
        <f>100</f>
        <v>100</v>
      </c>
      <c r="O602" s="80">
        <v>240</v>
      </c>
      <c r="P602" s="80">
        <v>40</v>
      </c>
      <c r="Q602" s="80">
        <f t="shared" si="95"/>
        <v>315</v>
      </c>
      <c r="R602" s="80">
        <f t="shared" si="96"/>
        <v>100</v>
      </c>
      <c r="S602" s="77">
        <f t="shared" si="97"/>
        <v>695</v>
      </c>
      <c r="T602" s="77">
        <f>50</f>
        <v>50</v>
      </c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</row>
    <row r="603" spans="1:30" ht="15.75" x14ac:dyDescent="0.25">
      <c r="A603" s="32">
        <v>59291</v>
      </c>
      <c r="B603" s="89">
        <f t="shared" si="98"/>
        <v>30</v>
      </c>
      <c r="C603" s="77">
        <f>141.293</f>
        <v>141.29300000000001</v>
      </c>
      <c r="D603" s="77">
        <f>267.993</f>
        <v>267.99299999999999</v>
      </c>
      <c r="E603" s="86">
        <f>115.016</f>
        <v>115.01600000000001</v>
      </c>
      <c r="F603" s="77">
        <f>314.698-40-25-60-100</f>
        <v>89.697999999999979</v>
      </c>
      <c r="G603" s="80">
        <v>40</v>
      </c>
      <c r="H603" s="77">
        <f t="shared" ref="H603:H609" si="99">25+60+100</f>
        <v>185</v>
      </c>
      <c r="I603" s="77">
        <f t="shared" si="90"/>
        <v>0</v>
      </c>
      <c r="J603" s="80">
        <v>100</v>
      </c>
      <c r="K603" s="80">
        <v>300</v>
      </c>
      <c r="L603" s="77">
        <f t="shared" si="94"/>
        <v>1239</v>
      </c>
      <c r="M603" s="88">
        <v>600</v>
      </c>
      <c r="N603" s="77">
        <f>100</f>
        <v>100</v>
      </c>
      <c r="O603" s="80">
        <v>240</v>
      </c>
      <c r="P603" s="80">
        <v>40</v>
      </c>
      <c r="Q603" s="80">
        <f t="shared" si="95"/>
        <v>315</v>
      </c>
      <c r="R603" s="80">
        <f t="shared" si="96"/>
        <v>100</v>
      </c>
      <c r="S603" s="77">
        <f t="shared" si="97"/>
        <v>695</v>
      </c>
      <c r="T603" s="77">
        <f>50</f>
        <v>50</v>
      </c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</row>
    <row r="604" spans="1:30" ht="15.75" x14ac:dyDescent="0.25">
      <c r="A604" s="32">
        <v>59322</v>
      </c>
      <c r="B604" s="89">
        <f t="shared" si="98"/>
        <v>31</v>
      </c>
      <c r="C604" s="77">
        <f>194.205</f>
        <v>194.20500000000001</v>
      </c>
      <c r="D604" s="77">
        <f>267.466</f>
        <v>267.46600000000001</v>
      </c>
      <c r="E604" s="86">
        <f>133.845</f>
        <v>133.845</v>
      </c>
      <c r="F604" s="77">
        <f>278.484-40-25-60-100</f>
        <v>53.48399999999998</v>
      </c>
      <c r="G604" s="80">
        <v>40</v>
      </c>
      <c r="H604" s="77">
        <f t="shared" si="99"/>
        <v>185</v>
      </c>
      <c r="I604" s="77">
        <f t="shared" si="90"/>
        <v>0</v>
      </c>
      <c r="J604" s="80">
        <v>100</v>
      </c>
      <c r="K604" s="80">
        <v>300</v>
      </c>
      <c r="L604" s="77">
        <f t="shared" si="94"/>
        <v>1274</v>
      </c>
      <c r="M604" s="88">
        <v>600</v>
      </c>
      <c r="N604" s="77">
        <f>75</f>
        <v>75</v>
      </c>
      <c r="O604" s="80">
        <v>240</v>
      </c>
      <c r="P604" s="80">
        <v>40</v>
      </c>
      <c r="Q604" s="80">
        <f t="shared" si="95"/>
        <v>315</v>
      </c>
      <c r="R604" s="80">
        <f t="shared" si="96"/>
        <v>100</v>
      </c>
      <c r="S604" s="77">
        <f t="shared" si="97"/>
        <v>695</v>
      </c>
      <c r="T604" s="77">
        <f>50</f>
        <v>50</v>
      </c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</row>
    <row r="605" spans="1:30" ht="15.75" x14ac:dyDescent="0.25">
      <c r="A605" s="32">
        <v>59352</v>
      </c>
      <c r="B605" s="89">
        <f t="shared" si="98"/>
        <v>30</v>
      </c>
      <c r="C605" s="77">
        <f>194.205</f>
        <v>194.20500000000001</v>
      </c>
      <c r="D605" s="77">
        <f>267.466</f>
        <v>267.46600000000001</v>
      </c>
      <c r="E605" s="86">
        <f>133.845</f>
        <v>133.845</v>
      </c>
      <c r="F605" s="77">
        <f>278.484-40-25-60-100</f>
        <v>53.48399999999998</v>
      </c>
      <c r="G605" s="80">
        <v>40</v>
      </c>
      <c r="H605" s="77">
        <f t="shared" si="99"/>
        <v>185</v>
      </c>
      <c r="I605" s="77">
        <f t="shared" si="90"/>
        <v>0</v>
      </c>
      <c r="J605" s="80">
        <v>100</v>
      </c>
      <c r="K605" s="80">
        <v>300</v>
      </c>
      <c r="L605" s="77">
        <f t="shared" si="94"/>
        <v>1274</v>
      </c>
      <c r="M605" s="88">
        <v>600</v>
      </c>
      <c r="N605" s="77">
        <f>30</f>
        <v>30</v>
      </c>
      <c r="O605" s="80">
        <v>240</v>
      </c>
      <c r="P605" s="80">
        <v>40</v>
      </c>
      <c r="Q605" s="80">
        <f t="shared" si="95"/>
        <v>315</v>
      </c>
      <c r="R605" s="80">
        <f t="shared" si="96"/>
        <v>100</v>
      </c>
      <c r="S605" s="77">
        <f t="shared" si="97"/>
        <v>695</v>
      </c>
      <c r="T605" s="77">
        <f>50</f>
        <v>50</v>
      </c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</row>
    <row r="606" spans="1:30" ht="15.75" x14ac:dyDescent="0.25">
      <c r="A606" s="32">
        <v>59383</v>
      </c>
      <c r="B606" s="89">
        <f t="shared" si="98"/>
        <v>31</v>
      </c>
      <c r="C606" s="77">
        <f>194.205</f>
        <v>194.20500000000001</v>
      </c>
      <c r="D606" s="77">
        <f>267.466</f>
        <v>267.46600000000001</v>
      </c>
      <c r="E606" s="86">
        <f>133.845</f>
        <v>133.845</v>
      </c>
      <c r="F606" s="77">
        <f>278.484-40-25-60-100</f>
        <v>53.48399999999998</v>
      </c>
      <c r="G606" s="80">
        <v>40</v>
      </c>
      <c r="H606" s="77">
        <f t="shared" si="99"/>
        <v>185</v>
      </c>
      <c r="I606" s="77">
        <f t="shared" si="90"/>
        <v>0</v>
      </c>
      <c r="J606" s="80">
        <v>100</v>
      </c>
      <c r="K606" s="80">
        <v>300</v>
      </c>
      <c r="L606" s="77">
        <f t="shared" si="94"/>
        <v>1274</v>
      </c>
      <c r="M606" s="88">
        <v>600</v>
      </c>
      <c r="N606" s="77">
        <f>30</f>
        <v>30</v>
      </c>
      <c r="O606" s="80">
        <v>240</v>
      </c>
      <c r="P606" s="80">
        <v>40</v>
      </c>
      <c r="Q606" s="80">
        <f t="shared" si="95"/>
        <v>315</v>
      </c>
      <c r="R606" s="80">
        <f t="shared" si="96"/>
        <v>100</v>
      </c>
      <c r="S606" s="77">
        <f t="shared" si="97"/>
        <v>695</v>
      </c>
      <c r="T606" s="77">
        <f>0</f>
        <v>0</v>
      </c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</row>
    <row r="607" spans="1:30" ht="15.75" x14ac:dyDescent="0.25">
      <c r="A607" s="32">
        <v>59414</v>
      </c>
      <c r="B607" s="89">
        <f t="shared" si="98"/>
        <v>31</v>
      </c>
      <c r="C607" s="77">
        <f>194.205</f>
        <v>194.20500000000001</v>
      </c>
      <c r="D607" s="77">
        <f>267.466</f>
        <v>267.46600000000001</v>
      </c>
      <c r="E607" s="86">
        <f>133.845</f>
        <v>133.845</v>
      </c>
      <c r="F607" s="77">
        <f>278.484-40-25-60-100</f>
        <v>53.48399999999998</v>
      </c>
      <c r="G607" s="80">
        <v>40</v>
      </c>
      <c r="H607" s="77">
        <f t="shared" si="99"/>
        <v>185</v>
      </c>
      <c r="I607" s="77">
        <f t="shared" si="90"/>
        <v>0</v>
      </c>
      <c r="J607" s="80">
        <v>100</v>
      </c>
      <c r="K607" s="80">
        <v>300</v>
      </c>
      <c r="L607" s="77">
        <f t="shared" si="94"/>
        <v>1274</v>
      </c>
      <c r="M607" s="88">
        <v>600</v>
      </c>
      <c r="N607" s="77">
        <f>30</f>
        <v>30</v>
      </c>
      <c r="O607" s="80">
        <v>240</v>
      </c>
      <c r="P607" s="80">
        <v>40</v>
      </c>
      <c r="Q607" s="80">
        <f t="shared" si="95"/>
        <v>315</v>
      </c>
      <c r="R607" s="80">
        <f t="shared" si="96"/>
        <v>100</v>
      </c>
      <c r="S607" s="77">
        <f t="shared" si="97"/>
        <v>695</v>
      </c>
      <c r="T607" s="77">
        <f>0</f>
        <v>0</v>
      </c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</row>
    <row r="608" spans="1:30" ht="15.75" x14ac:dyDescent="0.25">
      <c r="A608" s="32">
        <v>59444</v>
      </c>
      <c r="B608" s="89">
        <f t="shared" si="98"/>
        <v>30</v>
      </c>
      <c r="C608" s="77">
        <f>194.205</f>
        <v>194.20500000000001</v>
      </c>
      <c r="D608" s="77">
        <f>267.466</f>
        <v>267.46600000000001</v>
      </c>
      <c r="E608" s="86">
        <f>133.845</f>
        <v>133.845</v>
      </c>
      <c r="F608" s="77">
        <f>278.484-40-25-60-100</f>
        <v>53.48399999999998</v>
      </c>
      <c r="G608" s="80">
        <v>40</v>
      </c>
      <c r="H608" s="77">
        <f t="shared" si="99"/>
        <v>185</v>
      </c>
      <c r="I608" s="77">
        <f t="shared" si="90"/>
        <v>0</v>
      </c>
      <c r="J608" s="80">
        <v>100</v>
      </c>
      <c r="K608" s="80">
        <v>300</v>
      </c>
      <c r="L608" s="77">
        <f t="shared" si="94"/>
        <v>1274</v>
      </c>
      <c r="M608" s="88">
        <v>600</v>
      </c>
      <c r="N608" s="77">
        <f>30</f>
        <v>30</v>
      </c>
      <c r="O608" s="80">
        <v>240</v>
      </c>
      <c r="P608" s="80">
        <v>40</v>
      </c>
      <c r="Q608" s="80">
        <f t="shared" si="95"/>
        <v>315</v>
      </c>
      <c r="R608" s="80">
        <f t="shared" si="96"/>
        <v>100</v>
      </c>
      <c r="S608" s="77">
        <f t="shared" si="97"/>
        <v>695</v>
      </c>
      <c r="T608" s="77">
        <f>0</f>
        <v>0</v>
      </c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</row>
    <row r="609" spans="1:30" ht="15.75" x14ac:dyDescent="0.25">
      <c r="A609" s="32">
        <v>59475</v>
      </c>
      <c r="B609" s="89">
        <f t="shared" si="98"/>
        <v>31</v>
      </c>
      <c r="C609" s="77">
        <f>131.881</f>
        <v>131.881</v>
      </c>
      <c r="D609" s="77">
        <f>277.167</f>
        <v>277.16699999999997</v>
      </c>
      <c r="E609" s="86">
        <f>79.08</f>
        <v>79.08</v>
      </c>
      <c r="F609" s="77">
        <f>350.872-40-25-60-100</f>
        <v>125.87200000000001</v>
      </c>
      <c r="G609" s="80">
        <v>40</v>
      </c>
      <c r="H609" s="77">
        <f t="shared" si="99"/>
        <v>185</v>
      </c>
      <c r="I609" s="77">
        <f t="shared" si="90"/>
        <v>0</v>
      </c>
      <c r="J609" s="80">
        <v>100</v>
      </c>
      <c r="K609" s="80">
        <v>300</v>
      </c>
      <c r="L609" s="77">
        <f t="shared" si="94"/>
        <v>1239</v>
      </c>
      <c r="M609" s="88">
        <v>600</v>
      </c>
      <c r="N609" s="77">
        <f>75</f>
        <v>75</v>
      </c>
      <c r="O609" s="80">
        <v>240</v>
      </c>
      <c r="P609" s="80">
        <v>40</v>
      </c>
      <c r="Q609" s="80">
        <f t="shared" si="95"/>
        <v>315</v>
      </c>
      <c r="R609" s="80">
        <f t="shared" si="96"/>
        <v>100</v>
      </c>
      <c r="S609" s="77">
        <f t="shared" si="97"/>
        <v>695</v>
      </c>
      <c r="T609" s="77">
        <f>0</f>
        <v>0</v>
      </c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</row>
    <row r="610" spans="1:30" ht="15.75" x14ac:dyDescent="0.25">
      <c r="A610" s="32">
        <v>59505</v>
      </c>
      <c r="B610" s="89">
        <f t="shared" si="98"/>
        <v>30</v>
      </c>
      <c r="C610" s="77">
        <f>122.58</f>
        <v>122.58</v>
      </c>
      <c r="D610" s="77">
        <f>297.941</f>
        <v>297.94099999999997</v>
      </c>
      <c r="E610" s="86">
        <f>89.177</f>
        <v>89.177000000000007</v>
      </c>
      <c r="F610" s="77">
        <f>240.302-40-60-100</f>
        <v>40.301999999999992</v>
      </c>
      <c r="G610" s="80">
        <v>40</v>
      </c>
      <c r="H610" s="77">
        <f>60+100</f>
        <v>160</v>
      </c>
      <c r="I610" s="77">
        <f t="shared" si="90"/>
        <v>0</v>
      </c>
      <c r="J610" s="80">
        <v>100</v>
      </c>
      <c r="K610" s="80">
        <v>300</v>
      </c>
      <c r="L610" s="77">
        <f t="shared" si="94"/>
        <v>1150</v>
      </c>
      <c r="M610" s="88">
        <v>600</v>
      </c>
      <c r="N610" s="77">
        <f>100</f>
        <v>100</v>
      </c>
      <c r="O610" s="80">
        <v>240</v>
      </c>
      <c r="P610" s="80">
        <v>40</v>
      </c>
      <c r="Q610" s="80">
        <f t="shared" si="95"/>
        <v>315</v>
      </c>
      <c r="R610" s="80">
        <f t="shared" si="96"/>
        <v>100</v>
      </c>
      <c r="S610" s="77">
        <f t="shared" si="97"/>
        <v>695</v>
      </c>
      <c r="T610" s="77">
        <f>50</f>
        <v>50</v>
      </c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</row>
    <row r="611" spans="1:30" ht="15.75" x14ac:dyDescent="0.25">
      <c r="A611" s="32">
        <v>59536</v>
      </c>
      <c r="B611" s="89">
        <f t="shared" si="98"/>
        <v>31</v>
      </c>
      <c r="C611" s="77">
        <f>122.58</f>
        <v>122.58</v>
      </c>
      <c r="D611" s="77">
        <f>297.941</f>
        <v>297.94099999999997</v>
      </c>
      <c r="E611" s="86">
        <f>89.177</f>
        <v>89.177000000000007</v>
      </c>
      <c r="F611" s="77">
        <f>240.302-40-60-100</f>
        <v>40.301999999999992</v>
      </c>
      <c r="G611" s="80">
        <v>40</v>
      </c>
      <c r="H611" s="77">
        <f>60+100</f>
        <v>160</v>
      </c>
      <c r="I611" s="77">
        <f t="shared" si="90"/>
        <v>0</v>
      </c>
      <c r="J611" s="80">
        <v>100</v>
      </c>
      <c r="K611" s="80">
        <v>300</v>
      </c>
      <c r="L611" s="77">
        <f t="shared" si="94"/>
        <v>1150</v>
      </c>
      <c r="M611" s="88">
        <v>600</v>
      </c>
      <c r="N611" s="77">
        <f>100</f>
        <v>100</v>
      </c>
      <c r="O611" s="80">
        <v>240</v>
      </c>
      <c r="P611" s="80">
        <v>40</v>
      </c>
      <c r="Q611" s="80">
        <f t="shared" si="95"/>
        <v>315</v>
      </c>
      <c r="R611" s="80">
        <f t="shared" si="96"/>
        <v>100</v>
      </c>
      <c r="S611" s="77">
        <f t="shared" si="97"/>
        <v>695</v>
      </c>
      <c r="T611" s="77">
        <f>50</f>
        <v>50</v>
      </c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</row>
    <row r="612" spans="1:30" ht="15.75" x14ac:dyDescent="0.25">
      <c r="A612" s="32">
        <v>59567</v>
      </c>
      <c r="B612" s="89">
        <f t="shared" si="98"/>
        <v>31</v>
      </c>
      <c r="C612" s="77">
        <f>122.58</f>
        <v>122.58</v>
      </c>
      <c r="D612" s="77">
        <f>297.941</f>
        <v>297.94099999999997</v>
      </c>
      <c r="E612" s="86">
        <f>89.177</f>
        <v>89.177000000000007</v>
      </c>
      <c r="F612" s="77">
        <f>240.302-40-60-100</f>
        <v>40.301999999999992</v>
      </c>
      <c r="G612" s="80">
        <v>40</v>
      </c>
      <c r="H612" s="77">
        <f>60+100</f>
        <v>160</v>
      </c>
      <c r="I612" s="77">
        <f t="shared" si="90"/>
        <v>0</v>
      </c>
      <c r="J612" s="80">
        <v>100</v>
      </c>
      <c r="K612" s="80">
        <v>300</v>
      </c>
      <c r="L612" s="77">
        <f t="shared" si="94"/>
        <v>1150</v>
      </c>
      <c r="M612" s="88">
        <v>600</v>
      </c>
      <c r="N612" s="77">
        <f>100</f>
        <v>100</v>
      </c>
      <c r="O612" s="80">
        <v>240</v>
      </c>
      <c r="P612" s="80">
        <v>40</v>
      </c>
      <c r="Q612" s="80">
        <f t="shared" si="95"/>
        <v>315</v>
      </c>
      <c r="R612" s="80">
        <f t="shared" si="96"/>
        <v>100</v>
      </c>
      <c r="S612" s="77">
        <f t="shared" si="97"/>
        <v>695</v>
      </c>
      <c r="T612" s="77">
        <f>50</f>
        <v>50</v>
      </c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</row>
    <row r="613" spans="1:30" ht="15.75" x14ac:dyDescent="0.25">
      <c r="A613" s="32">
        <v>59595</v>
      </c>
      <c r="B613" s="89">
        <f t="shared" si="98"/>
        <v>28</v>
      </c>
      <c r="C613" s="77">
        <f>122.58</f>
        <v>122.58</v>
      </c>
      <c r="D613" s="77">
        <f>297.941</f>
        <v>297.94099999999997</v>
      </c>
      <c r="E613" s="86">
        <f>89.177</f>
        <v>89.177000000000007</v>
      </c>
      <c r="F613" s="77">
        <f>240.302-40-60-100</f>
        <v>40.301999999999992</v>
      </c>
      <c r="G613" s="80">
        <v>40</v>
      </c>
      <c r="H613" s="77">
        <f>60+100</f>
        <v>160</v>
      </c>
      <c r="I613" s="77">
        <f t="shared" si="90"/>
        <v>0</v>
      </c>
      <c r="J613" s="80">
        <v>100</v>
      </c>
      <c r="K613" s="80">
        <v>300</v>
      </c>
      <c r="L613" s="77">
        <f t="shared" si="94"/>
        <v>1150</v>
      </c>
      <c r="M613" s="88">
        <v>600</v>
      </c>
      <c r="N613" s="77">
        <f>100</f>
        <v>100</v>
      </c>
      <c r="O613" s="80">
        <v>240</v>
      </c>
      <c r="P613" s="80">
        <v>40</v>
      </c>
      <c r="Q613" s="80">
        <f t="shared" si="95"/>
        <v>315</v>
      </c>
      <c r="R613" s="80">
        <f t="shared" si="96"/>
        <v>100</v>
      </c>
      <c r="S613" s="77">
        <f t="shared" si="97"/>
        <v>695</v>
      </c>
      <c r="T613" s="77">
        <f>50</f>
        <v>50</v>
      </c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</row>
    <row r="614" spans="1:30" ht="15.75" x14ac:dyDescent="0.25">
      <c r="A614" s="32">
        <v>59626</v>
      </c>
      <c r="B614" s="89">
        <f t="shared" si="98"/>
        <v>31</v>
      </c>
      <c r="C614" s="77">
        <f>122.58</f>
        <v>122.58</v>
      </c>
      <c r="D614" s="77">
        <f>297.941</f>
        <v>297.94099999999997</v>
      </c>
      <c r="E614" s="86">
        <f>89.177</f>
        <v>89.177000000000007</v>
      </c>
      <c r="F614" s="77">
        <f>240.302-40-60-100</f>
        <v>40.301999999999992</v>
      </c>
      <c r="G614" s="80">
        <v>40</v>
      </c>
      <c r="H614" s="77">
        <f>60+100</f>
        <v>160</v>
      </c>
      <c r="I614" s="77">
        <f t="shared" si="90"/>
        <v>0</v>
      </c>
      <c r="J614" s="80">
        <v>100</v>
      </c>
      <c r="K614" s="80">
        <v>300</v>
      </c>
      <c r="L614" s="77">
        <f t="shared" si="94"/>
        <v>1150</v>
      </c>
      <c r="M614" s="88">
        <v>600</v>
      </c>
      <c r="N614" s="77">
        <f>100</f>
        <v>100</v>
      </c>
      <c r="O614" s="80">
        <v>240</v>
      </c>
      <c r="P614" s="80">
        <v>40</v>
      </c>
      <c r="Q614" s="80">
        <f t="shared" si="95"/>
        <v>315</v>
      </c>
      <c r="R614" s="80">
        <f t="shared" si="96"/>
        <v>100</v>
      </c>
      <c r="S614" s="77">
        <f t="shared" si="97"/>
        <v>695</v>
      </c>
      <c r="T614" s="77">
        <f>50</f>
        <v>50</v>
      </c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</row>
    <row r="615" spans="1:30" ht="15.75" x14ac:dyDescent="0.25">
      <c r="A615" s="32">
        <v>59656</v>
      </c>
      <c r="B615" s="89">
        <f t="shared" si="98"/>
        <v>30</v>
      </c>
      <c r="C615" s="77">
        <f>141.293</f>
        <v>141.29300000000001</v>
      </c>
      <c r="D615" s="77">
        <f>267.993</f>
        <v>267.99299999999999</v>
      </c>
      <c r="E615" s="86">
        <f>115.016</f>
        <v>115.01600000000001</v>
      </c>
      <c r="F615" s="77">
        <f>314.698-40-25-60-100</f>
        <v>89.697999999999979</v>
      </c>
      <c r="G615" s="80">
        <v>40</v>
      </c>
      <c r="H615" s="77">
        <f t="shared" ref="H615:H621" si="100">25+60+100</f>
        <v>185</v>
      </c>
      <c r="I615" s="77">
        <f t="shared" si="90"/>
        <v>0</v>
      </c>
      <c r="J615" s="80">
        <v>100</v>
      </c>
      <c r="K615" s="80">
        <v>300</v>
      </c>
      <c r="L615" s="77">
        <f t="shared" si="94"/>
        <v>1239</v>
      </c>
      <c r="M615" s="88">
        <v>600</v>
      </c>
      <c r="N615" s="77">
        <f>100</f>
        <v>100</v>
      </c>
      <c r="O615" s="80">
        <v>240</v>
      </c>
      <c r="P615" s="80">
        <v>40</v>
      </c>
      <c r="Q615" s="80">
        <f t="shared" si="95"/>
        <v>315</v>
      </c>
      <c r="R615" s="80">
        <f t="shared" si="96"/>
        <v>100</v>
      </c>
      <c r="S615" s="77">
        <f t="shared" si="97"/>
        <v>695</v>
      </c>
      <c r="T615" s="77">
        <f>50</f>
        <v>50</v>
      </c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</row>
    <row r="616" spans="1:30" ht="15.75" x14ac:dyDescent="0.25">
      <c r="A616" s="32">
        <v>59687</v>
      </c>
      <c r="B616" s="89">
        <f t="shared" si="98"/>
        <v>31</v>
      </c>
      <c r="C616" s="77">
        <f>194.205</f>
        <v>194.20500000000001</v>
      </c>
      <c r="D616" s="77">
        <f>267.466</f>
        <v>267.46600000000001</v>
      </c>
      <c r="E616" s="86">
        <f>133.845</f>
        <v>133.845</v>
      </c>
      <c r="F616" s="77">
        <f>278.484-40-25-60-100</f>
        <v>53.48399999999998</v>
      </c>
      <c r="G616" s="80">
        <v>40</v>
      </c>
      <c r="H616" s="77">
        <f t="shared" si="100"/>
        <v>185</v>
      </c>
      <c r="I616" s="77">
        <f t="shared" si="90"/>
        <v>0</v>
      </c>
      <c r="J616" s="80">
        <v>100</v>
      </c>
      <c r="K616" s="80">
        <v>300</v>
      </c>
      <c r="L616" s="77">
        <f t="shared" si="94"/>
        <v>1274</v>
      </c>
      <c r="M616" s="88">
        <v>600</v>
      </c>
      <c r="N616" s="77">
        <f>75</f>
        <v>75</v>
      </c>
      <c r="O616" s="80">
        <v>240</v>
      </c>
      <c r="P616" s="80">
        <v>40</v>
      </c>
      <c r="Q616" s="80">
        <f t="shared" si="95"/>
        <v>315</v>
      </c>
      <c r="R616" s="80">
        <f t="shared" si="96"/>
        <v>100</v>
      </c>
      <c r="S616" s="77">
        <f t="shared" si="97"/>
        <v>695</v>
      </c>
      <c r="T616" s="77">
        <f>50</f>
        <v>50</v>
      </c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</row>
    <row r="617" spans="1:30" ht="15.75" x14ac:dyDescent="0.25">
      <c r="A617" s="32">
        <v>59717</v>
      </c>
      <c r="B617" s="89">
        <f t="shared" si="98"/>
        <v>30</v>
      </c>
      <c r="C617" s="77">
        <f>194.205</f>
        <v>194.20500000000001</v>
      </c>
      <c r="D617" s="77">
        <f>267.466</f>
        <v>267.46600000000001</v>
      </c>
      <c r="E617" s="86">
        <f>133.845</f>
        <v>133.845</v>
      </c>
      <c r="F617" s="77">
        <f>278.484-40-25-60-100</f>
        <v>53.48399999999998</v>
      </c>
      <c r="G617" s="80">
        <v>40</v>
      </c>
      <c r="H617" s="77">
        <f t="shared" si="100"/>
        <v>185</v>
      </c>
      <c r="I617" s="77">
        <f t="shared" si="90"/>
        <v>0</v>
      </c>
      <c r="J617" s="80">
        <v>100</v>
      </c>
      <c r="K617" s="80">
        <v>300</v>
      </c>
      <c r="L617" s="77">
        <f t="shared" si="94"/>
        <v>1274</v>
      </c>
      <c r="M617" s="88">
        <v>600</v>
      </c>
      <c r="N617" s="77">
        <f>30</f>
        <v>30</v>
      </c>
      <c r="O617" s="80">
        <v>240</v>
      </c>
      <c r="P617" s="80">
        <v>40</v>
      </c>
      <c r="Q617" s="80">
        <f t="shared" si="95"/>
        <v>315</v>
      </c>
      <c r="R617" s="80">
        <f t="shared" si="96"/>
        <v>100</v>
      </c>
      <c r="S617" s="77">
        <f t="shared" si="97"/>
        <v>695</v>
      </c>
      <c r="T617" s="77">
        <f>50</f>
        <v>50</v>
      </c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</row>
    <row r="618" spans="1:30" ht="15.75" x14ac:dyDescent="0.25">
      <c r="A618" s="32">
        <v>59748</v>
      </c>
      <c r="B618" s="89">
        <f t="shared" si="98"/>
        <v>31</v>
      </c>
      <c r="C618" s="77">
        <f>194.205</f>
        <v>194.20500000000001</v>
      </c>
      <c r="D618" s="77">
        <f>267.466</f>
        <v>267.46600000000001</v>
      </c>
      <c r="E618" s="86">
        <f>133.845</f>
        <v>133.845</v>
      </c>
      <c r="F618" s="77">
        <f>278.484-40-25-60-100</f>
        <v>53.48399999999998</v>
      </c>
      <c r="G618" s="80">
        <v>40</v>
      </c>
      <c r="H618" s="77">
        <f t="shared" si="100"/>
        <v>185</v>
      </c>
      <c r="I618" s="77">
        <f t="shared" si="90"/>
        <v>0</v>
      </c>
      <c r="J618" s="80">
        <v>100</v>
      </c>
      <c r="K618" s="80">
        <v>300</v>
      </c>
      <c r="L618" s="77">
        <f t="shared" si="94"/>
        <v>1274</v>
      </c>
      <c r="M618" s="88">
        <v>600</v>
      </c>
      <c r="N618" s="77">
        <f>30</f>
        <v>30</v>
      </c>
      <c r="O618" s="80">
        <v>240</v>
      </c>
      <c r="P618" s="80">
        <v>40</v>
      </c>
      <c r="Q618" s="80">
        <f t="shared" si="95"/>
        <v>315</v>
      </c>
      <c r="R618" s="80">
        <f t="shared" si="96"/>
        <v>100</v>
      </c>
      <c r="S618" s="77">
        <f t="shared" si="97"/>
        <v>695</v>
      </c>
      <c r="T618" s="77">
        <f>0</f>
        <v>0</v>
      </c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</row>
    <row r="619" spans="1:30" ht="15.75" x14ac:dyDescent="0.25">
      <c r="A619" s="32">
        <v>59779</v>
      </c>
      <c r="B619" s="89">
        <f t="shared" si="98"/>
        <v>31</v>
      </c>
      <c r="C619" s="77">
        <f>194.205</f>
        <v>194.20500000000001</v>
      </c>
      <c r="D619" s="77">
        <f>267.466</f>
        <v>267.46600000000001</v>
      </c>
      <c r="E619" s="86">
        <f>133.845</f>
        <v>133.845</v>
      </c>
      <c r="F619" s="77">
        <f>278.484-40-25-60-100</f>
        <v>53.48399999999998</v>
      </c>
      <c r="G619" s="80">
        <v>40</v>
      </c>
      <c r="H619" s="77">
        <f t="shared" si="100"/>
        <v>185</v>
      </c>
      <c r="I619" s="77">
        <f t="shared" si="90"/>
        <v>0</v>
      </c>
      <c r="J619" s="80">
        <v>100</v>
      </c>
      <c r="K619" s="80">
        <v>300</v>
      </c>
      <c r="L619" s="77">
        <f t="shared" si="94"/>
        <v>1274</v>
      </c>
      <c r="M619" s="88">
        <v>600</v>
      </c>
      <c r="N619" s="77">
        <f>30</f>
        <v>30</v>
      </c>
      <c r="O619" s="80">
        <v>240</v>
      </c>
      <c r="P619" s="80">
        <v>40</v>
      </c>
      <c r="Q619" s="80">
        <f t="shared" si="95"/>
        <v>315</v>
      </c>
      <c r="R619" s="80">
        <f t="shared" si="96"/>
        <v>100</v>
      </c>
      <c r="S619" s="77">
        <f t="shared" si="97"/>
        <v>695</v>
      </c>
      <c r="T619" s="77">
        <f>0</f>
        <v>0</v>
      </c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</row>
    <row r="620" spans="1:30" ht="15.75" x14ac:dyDescent="0.25">
      <c r="A620" s="32">
        <v>59809</v>
      </c>
      <c r="B620" s="89">
        <f t="shared" si="98"/>
        <v>30</v>
      </c>
      <c r="C620" s="77">
        <f>194.205</f>
        <v>194.20500000000001</v>
      </c>
      <c r="D620" s="77">
        <f>267.466</f>
        <v>267.46600000000001</v>
      </c>
      <c r="E620" s="86">
        <f>133.845</f>
        <v>133.845</v>
      </c>
      <c r="F620" s="77">
        <f>278.484-40-25-60-100</f>
        <v>53.48399999999998</v>
      </c>
      <c r="G620" s="80">
        <v>40</v>
      </c>
      <c r="H620" s="77">
        <f t="shared" si="100"/>
        <v>185</v>
      </c>
      <c r="I620" s="77">
        <f t="shared" si="90"/>
        <v>0</v>
      </c>
      <c r="J620" s="80">
        <v>100</v>
      </c>
      <c r="K620" s="80">
        <v>300</v>
      </c>
      <c r="L620" s="77">
        <f t="shared" si="94"/>
        <v>1274</v>
      </c>
      <c r="M620" s="88">
        <v>600</v>
      </c>
      <c r="N620" s="77">
        <f>30</f>
        <v>30</v>
      </c>
      <c r="O620" s="80">
        <v>240</v>
      </c>
      <c r="P620" s="80">
        <v>40</v>
      </c>
      <c r="Q620" s="80">
        <f t="shared" si="95"/>
        <v>315</v>
      </c>
      <c r="R620" s="80">
        <f t="shared" si="96"/>
        <v>100</v>
      </c>
      <c r="S620" s="77">
        <f t="shared" si="97"/>
        <v>695</v>
      </c>
      <c r="T620" s="77">
        <f>0</f>
        <v>0</v>
      </c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</row>
    <row r="621" spans="1:30" ht="15.75" x14ac:dyDescent="0.25">
      <c r="A621" s="32">
        <v>59840</v>
      </c>
      <c r="B621" s="89">
        <f t="shared" si="98"/>
        <v>31</v>
      </c>
      <c r="C621" s="77">
        <f>131.881</f>
        <v>131.881</v>
      </c>
      <c r="D621" s="77">
        <f>277.167</f>
        <v>277.16699999999997</v>
      </c>
      <c r="E621" s="86">
        <f>79.08</f>
        <v>79.08</v>
      </c>
      <c r="F621" s="77">
        <f>350.872-40-25-60-100</f>
        <v>125.87200000000001</v>
      </c>
      <c r="G621" s="80">
        <v>40</v>
      </c>
      <c r="H621" s="77">
        <f t="shared" si="100"/>
        <v>185</v>
      </c>
      <c r="I621" s="77">
        <f t="shared" si="90"/>
        <v>0</v>
      </c>
      <c r="J621" s="80">
        <v>100</v>
      </c>
      <c r="K621" s="80">
        <v>300</v>
      </c>
      <c r="L621" s="77">
        <f t="shared" si="94"/>
        <v>1239</v>
      </c>
      <c r="M621" s="88">
        <v>600</v>
      </c>
      <c r="N621" s="77">
        <f>75</f>
        <v>75</v>
      </c>
      <c r="O621" s="80">
        <v>240</v>
      </c>
      <c r="P621" s="80">
        <v>40</v>
      </c>
      <c r="Q621" s="80">
        <f t="shared" si="95"/>
        <v>315</v>
      </c>
      <c r="R621" s="80">
        <f t="shared" si="96"/>
        <v>100</v>
      </c>
      <c r="S621" s="77">
        <f t="shared" si="97"/>
        <v>695</v>
      </c>
      <c r="T621" s="77">
        <f>0</f>
        <v>0</v>
      </c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</row>
    <row r="622" spans="1:30" ht="15.75" x14ac:dyDescent="0.25">
      <c r="A622" s="32">
        <v>59870</v>
      </c>
      <c r="B622" s="89">
        <f t="shared" si="98"/>
        <v>30</v>
      </c>
      <c r="C622" s="77">
        <f>122.58</f>
        <v>122.58</v>
      </c>
      <c r="D622" s="77">
        <f>297.941</f>
        <v>297.94099999999997</v>
      </c>
      <c r="E622" s="86">
        <f>89.177</f>
        <v>89.177000000000007</v>
      </c>
      <c r="F622" s="77">
        <f>240.302-40-60-100</f>
        <v>40.301999999999992</v>
      </c>
      <c r="G622" s="80">
        <v>40</v>
      </c>
      <c r="H622" s="77">
        <f>60+100</f>
        <v>160</v>
      </c>
      <c r="I622" s="77">
        <f t="shared" si="90"/>
        <v>0</v>
      </c>
      <c r="J622" s="80">
        <v>100</v>
      </c>
      <c r="K622" s="80">
        <v>300</v>
      </c>
      <c r="L622" s="77">
        <f t="shared" si="94"/>
        <v>1150</v>
      </c>
      <c r="M622" s="88">
        <v>600</v>
      </c>
      <c r="N622" s="77">
        <f>100</f>
        <v>100</v>
      </c>
      <c r="O622" s="80">
        <v>240</v>
      </c>
      <c r="P622" s="80">
        <v>40</v>
      </c>
      <c r="Q622" s="80">
        <f t="shared" si="95"/>
        <v>315</v>
      </c>
      <c r="R622" s="80">
        <f t="shared" si="96"/>
        <v>100</v>
      </c>
      <c r="S622" s="77">
        <f t="shared" si="97"/>
        <v>695</v>
      </c>
      <c r="T622" s="77">
        <f>50</f>
        <v>50</v>
      </c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</row>
    <row r="623" spans="1:30" ht="15.75" x14ac:dyDescent="0.25">
      <c r="A623" s="32">
        <v>59901</v>
      </c>
      <c r="B623" s="89">
        <f t="shared" si="98"/>
        <v>31</v>
      </c>
      <c r="C623" s="77">
        <f>122.58</f>
        <v>122.58</v>
      </c>
      <c r="D623" s="77">
        <f>297.941</f>
        <v>297.94099999999997</v>
      </c>
      <c r="E623" s="86">
        <f>89.177</f>
        <v>89.177000000000007</v>
      </c>
      <c r="F623" s="77">
        <f>240.302-40-60-100</f>
        <v>40.301999999999992</v>
      </c>
      <c r="G623" s="80">
        <v>40</v>
      </c>
      <c r="H623" s="77">
        <f>60+100</f>
        <v>160</v>
      </c>
      <c r="I623" s="77">
        <f t="shared" si="90"/>
        <v>0</v>
      </c>
      <c r="J623" s="80">
        <v>100</v>
      </c>
      <c r="K623" s="80">
        <v>300</v>
      </c>
      <c r="L623" s="77">
        <f t="shared" si="94"/>
        <v>1150</v>
      </c>
      <c r="M623" s="88">
        <v>600</v>
      </c>
      <c r="N623" s="77">
        <f>100</f>
        <v>100</v>
      </c>
      <c r="O623" s="80">
        <v>240</v>
      </c>
      <c r="P623" s="80">
        <v>40</v>
      </c>
      <c r="Q623" s="80">
        <f t="shared" si="95"/>
        <v>315</v>
      </c>
      <c r="R623" s="80">
        <f t="shared" si="96"/>
        <v>100</v>
      </c>
      <c r="S623" s="77">
        <f t="shared" si="97"/>
        <v>695</v>
      </c>
      <c r="T623" s="77">
        <f>50</f>
        <v>50</v>
      </c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</row>
    <row r="624" spans="1:30" ht="15.75" x14ac:dyDescent="0.25">
      <c r="A624" s="32">
        <v>59932</v>
      </c>
      <c r="B624" s="89">
        <f t="shared" si="98"/>
        <v>31</v>
      </c>
      <c r="C624" s="77">
        <f>122.58</f>
        <v>122.58</v>
      </c>
      <c r="D624" s="77">
        <f>297.941</f>
        <v>297.94099999999997</v>
      </c>
      <c r="E624" s="86">
        <f>89.177</f>
        <v>89.177000000000007</v>
      </c>
      <c r="F624" s="77">
        <f>240.302-40-60-100</f>
        <v>40.301999999999992</v>
      </c>
      <c r="G624" s="80">
        <v>40</v>
      </c>
      <c r="H624" s="77">
        <f>60+100</f>
        <v>160</v>
      </c>
      <c r="I624" s="77">
        <f t="shared" si="90"/>
        <v>0</v>
      </c>
      <c r="J624" s="80">
        <v>100</v>
      </c>
      <c r="K624" s="80">
        <v>300</v>
      </c>
      <c r="L624" s="77">
        <f t="shared" si="94"/>
        <v>1150</v>
      </c>
      <c r="M624" s="88">
        <v>600</v>
      </c>
      <c r="N624" s="77">
        <f>100</f>
        <v>100</v>
      </c>
      <c r="O624" s="80">
        <v>240</v>
      </c>
      <c r="P624" s="80">
        <v>40</v>
      </c>
      <c r="Q624" s="80">
        <f t="shared" si="95"/>
        <v>315</v>
      </c>
      <c r="R624" s="80">
        <f t="shared" si="96"/>
        <v>100</v>
      </c>
      <c r="S624" s="77">
        <f t="shared" si="97"/>
        <v>695</v>
      </c>
      <c r="T624" s="77">
        <f>50</f>
        <v>50</v>
      </c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</row>
    <row r="625" spans="1:30" ht="15.75" x14ac:dyDescent="0.25">
      <c r="A625" s="32">
        <v>59961</v>
      </c>
      <c r="B625" s="89">
        <f t="shared" si="98"/>
        <v>29</v>
      </c>
      <c r="C625" s="77">
        <f>122.58</f>
        <v>122.58</v>
      </c>
      <c r="D625" s="77">
        <f>297.941</f>
        <v>297.94099999999997</v>
      </c>
      <c r="E625" s="86">
        <f>89.177</f>
        <v>89.177000000000007</v>
      </c>
      <c r="F625" s="77">
        <f>240.302-40-60-100</f>
        <v>40.301999999999992</v>
      </c>
      <c r="G625" s="80">
        <v>40</v>
      </c>
      <c r="H625" s="77">
        <f>60+100</f>
        <v>160</v>
      </c>
      <c r="I625" s="77">
        <f t="shared" si="90"/>
        <v>0</v>
      </c>
      <c r="J625" s="80">
        <v>100</v>
      </c>
      <c r="K625" s="80">
        <v>300</v>
      </c>
      <c r="L625" s="77">
        <f t="shared" si="94"/>
        <v>1150</v>
      </c>
      <c r="M625" s="88">
        <v>600</v>
      </c>
      <c r="N625" s="77">
        <f>100</f>
        <v>100</v>
      </c>
      <c r="O625" s="80">
        <v>240</v>
      </c>
      <c r="P625" s="80">
        <v>40</v>
      </c>
      <c r="Q625" s="80">
        <f t="shared" si="95"/>
        <v>315</v>
      </c>
      <c r="R625" s="80">
        <f t="shared" si="96"/>
        <v>100</v>
      </c>
      <c r="S625" s="77">
        <f t="shared" si="97"/>
        <v>695</v>
      </c>
      <c r="T625" s="77">
        <f>50</f>
        <v>50</v>
      </c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</row>
    <row r="626" spans="1:30" ht="15.75" x14ac:dyDescent="0.25">
      <c r="A626" s="32">
        <v>59992</v>
      </c>
      <c r="B626" s="89">
        <f t="shared" si="98"/>
        <v>31</v>
      </c>
      <c r="C626" s="77">
        <f>122.58</f>
        <v>122.58</v>
      </c>
      <c r="D626" s="77">
        <f>297.941</f>
        <v>297.94099999999997</v>
      </c>
      <c r="E626" s="86">
        <f>89.177</f>
        <v>89.177000000000007</v>
      </c>
      <c r="F626" s="77">
        <f>240.302-40-60-100</f>
        <v>40.301999999999992</v>
      </c>
      <c r="G626" s="80">
        <v>40</v>
      </c>
      <c r="H626" s="77">
        <f>60+100</f>
        <v>160</v>
      </c>
      <c r="I626" s="77">
        <f t="shared" si="90"/>
        <v>0</v>
      </c>
      <c r="J626" s="80">
        <v>100</v>
      </c>
      <c r="K626" s="80">
        <v>300</v>
      </c>
      <c r="L626" s="77">
        <f t="shared" si="94"/>
        <v>1150</v>
      </c>
      <c r="M626" s="88">
        <v>600</v>
      </c>
      <c r="N626" s="77">
        <f>100</f>
        <v>100</v>
      </c>
      <c r="O626" s="80">
        <v>240</v>
      </c>
      <c r="P626" s="80">
        <v>40</v>
      </c>
      <c r="Q626" s="80">
        <f t="shared" si="95"/>
        <v>315</v>
      </c>
      <c r="R626" s="80">
        <f t="shared" si="96"/>
        <v>100</v>
      </c>
      <c r="S626" s="77">
        <f t="shared" si="97"/>
        <v>695</v>
      </c>
      <c r="T626" s="77">
        <f>50</f>
        <v>50</v>
      </c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</row>
    <row r="627" spans="1:30" ht="15.75" x14ac:dyDescent="0.25">
      <c r="A627" s="32">
        <v>60022</v>
      </c>
      <c r="B627" s="89">
        <f t="shared" si="98"/>
        <v>30</v>
      </c>
      <c r="C627" s="77">
        <f>141.293</f>
        <v>141.29300000000001</v>
      </c>
      <c r="D627" s="77">
        <f>267.993</f>
        <v>267.99299999999999</v>
      </c>
      <c r="E627" s="86">
        <f>115.016</f>
        <v>115.01600000000001</v>
      </c>
      <c r="F627" s="77">
        <f>314.698-40-25-60-100</f>
        <v>89.697999999999979</v>
      </c>
      <c r="G627" s="80">
        <v>40</v>
      </c>
      <c r="H627" s="77">
        <f t="shared" ref="H627:H633" si="101">25+60+100</f>
        <v>185</v>
      </c>
      <c r="I627" s="77">
        <f t="shared" si="90"/>
        <v>0</v>
      </c>
      <c r="J627" s="80">
        <v>100</v>
      </c>
      <c r="K627" s="80">
        <v>300</v>
      </c>
      <c r="L627" s="77">
        <f t="shared" si="94"/>
        <v>1239</v>
      </c>
      <c r="M627" s="88">
        <v>600</v>
      </c>
      <c r="N627" s="77">
        <f>100</f>
        <v>100</v>
      </c>
      <c r="O627" s="80">
        <v>240</v>
      </c>
      <c r="P627" s="80">
        <v>40</v>
      </c>
      <c r="Q627" s="80">
        <f t="shared" si="95"/>
        <v>315</v>
      </c>
      <c r="R627" s="80">
        <f t="shared" si="96"/>
        <v>100</v>
      </c>
      <c r="S627" s="77">
        <f t="shared" si="97"/>
        <v>695</v>
      </c>
      <c r="T627" s="77">
        <f>50</f>
        <v>50</v>
      </c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</row>
    <row r="628" spans="1:30" ht="15.75" x14ac:dyDescent="0.25">
      <c r="A628" s="32">
        <v>60053</v>
      </c>
      <c r="B628" s="89">
        <f t="shared" si="98"/>
        <v>31</v>
      </c>
      <c r="C628" s="77">
        <f>194.205</f>
        <v>194.20500000000001</v>
      </c>
      <c r="D628" s="77">
        <f>267.466</f>
        <v>267.46600000000001</v>
      </c>
      <c r="E628" s="86">
        <f>133.845</f>
        <v>133.845</v>
      </c>
      <c r="F628" s="77">
        <f>278.484-40-25-60-100</f>
        <v>53.48399999999998</v>
      </c>
      <c r="G628" s="80">
        <v>40</v>
      </c>
      <c r="H628" s="77">
        <f t="shared" si="101"/>
        <v>185</v>
      </c>
      <c r="I628" s="77">
        <f t="shared" ref="I628:I691" si="102">400-J628-K628</f>
        <v>0</v>
      </c>
      <c r="J628" s="80">
        <v>100</v>
      </c>
      <c r="K628" s="80">
        <v>300</v>
      </c>
      <c r="L628" s="77">
        <f t="shared" si="94"/>
        <v>1274</v>
      </c>
      <c r="M628" s="88">
        <v>600</v>
      </c>
      <c r="N628" s="77">
        <f>75</f>
        <v>75</v>
      </c>
      <c r="O628" s="80">
        <v>240</v>
      </c>
      <c r="P628" s="80">
        <v>40</v>
      </c>
      <c r="Q628" s="80">
        <f t="shared" si="95"/>
        <v>315</v>
      </c>
      <c r="R628" s="80">
        <f t="shared" si="96"/>
        <v>100</v>
      </c>
      <c r="S628" s="77">
        <f t="shared" si="97"/>
        <v>695</v>
      </c>
      <c r="T628" s="77">
        <f>50</f>
        <v>50</v>
      </c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</row>
    <row r="629" spans="1:30" ht="15.75" x14ac:dyDescent="0.25">
      <c r="A629" s="32">
        <v>60083</v>
      </c>
      <c r="B629" s="89">
        <f t="shared" si="98"/>
        <v>30</v>
      </c>
      <c r="C629" s="77">
        <f>194.205</f>
        <v>194.20500000000001</v>
      </c>
      <c r="D629" s="77">
        <f>267.466</f>
        <v>267.46600000000001</v>
      </c>
      <c r="E629" s="86">
        <f>133.845</f>
        <v>133.845</v>
      </c>
      <c r="F629" s="77">
        <f>278.484-40-25-60-100</f>
        <v>53.48399999999998</v>
      </c>
      <c r="G629" s="80">
        <v>40</v>
      </c>
      <c r="H629" s="77">
        <f t="shared" si="101"/>
        <v>185</v>
      </c>
      <c r="I629" s="77">
        <f t="shared" si="102"/>
        <v>0</v>
      </c>
      <c r="J629" s="80">
        <v>100</v>
      </c>
      <c r="K629" s="80">
        <v>300</v>
      </c>
      <c r="L629" s="77">
        <f t="shared" si="94"/>
        <v>1274</v>
      </c>
      <c r="M629" s="88">
        <v>600</v>
      </c>
      <c r="N629" s="77">
        <f>30</f>
        <v>30</v>
      </c>
      <c r="O629" s="80">
        <v>240</v>
      </c>
      <c r="P629" s="80">
        <v>40</v>
      </c>
      <c r="Q629" s="80">
        <f t="shared" si="95"/>
        <v>315</v>
      </c>
      <c r="R629" s="80">
        <f t="shared" si="96"/>
        <v>100</v>
      </c>
      <c r="S629" s="77">
        <f t="shared" si="97"/>
        <v>695</v>
      </c>
      <c r="T629" s="77">
        <f>50</f>
        <v>50</v>
      </c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</row>
    <row r="630" spans="1:30" ht="15.75" x14ac:dyDescent="0.25">
      <c r="A630" s="32">
        <v>60114</v>
      </c>
      <c r="B630" s="89">
        <f t="shared" si="98"/>
        <v>31</v>
      </c>
      <c r="C630" s="77">
        <f>194.205</f>
        <v>194.20500000000001</v>
      </c>
      <c r="D630" s="77">
        <f>267.466</f>
        <v>267.46600000000001</v>
      </c>
      <c r="E630" s="86">
        <f>133.845</f>
        <v>133.845</v>
      </c>
      <c r="F630" s="77">
        <f>278.484-40-25-60-100</f>
        <v>53.48399999999998</v>
      </c>
      <c r="G630" s="80">
        <v>40</v>
      </c>
      <c r="H630" s="77">
        <f t="shared" si="101"/>
        <v>185</v>
      </c>
      <c r="I630" s="77">
        <f t="shared" si="102"/>
        <v>0</v>
      </c>
      <c r="J630" s="80">
        <v>100</v>
      </c>
      <c r="K630" s="80">
        <v>300</v>
      </c>
      <c r="L630" s="77">
        <f t="shared" si="94"/>
        <v>1274</v>
      </c>
      <c r="M630" s="88">
        <v>600</v>
      </c>
      <c r="N630" s="77">
        <f>30</f>
        <v>30</v>
      </c>
      <c r="O630" s="80">
        <v>240</v>
      </c>
      <c r="P630" s="80">
        <v>40</v>
      </c>
      <c r="Q630" s="80">
        <f t="shared" si="95"/>
        <v>315</v>
      </c>
      <c r="R630" s="80">
        <f t="shared" si="96"/>
        <v>100</v>
      </c>
      <c r="S630" s="77">
        <f t="shared" si="97"/>
        <v>695</v>
      </c>
      <c r="T630" s="77">
        <f>0</f>
        <v>0</v>
      </c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</row>
    <row r="631" spans="1:30" ht="15.75" x14ac:dyDescent="0.25">
      <c r="A631" s="32">
        <v>60145</v>
      </c>
      <c r="B631" s="89">
        <f t="shared" si="98"/>
        <v>31</v>
      </c>
      <c r="C631" s="77">
        <f>194.205</f>
        <v>194.20500000000001</v>
      </c>
      <c r="D631" s="77">
        <f>267.466</f>
        <v>267.46600000000001</v>
      </c>
      <c r="E631" s="86">
        <f>133.845</f>
        <v>133.845</v>
      </c>
      <c r="F631" s="77">
        <f>278.484-40-25-60-100</f>
        <v>53.48399999999998</v>
      </c>
      <c r="G631" s="80">
        <v>40</v>
      </c>
      <c r="H631" s="77">
        <f t="shared" si="101"/>
        <v>185</v>
      </c>
      <c r="I631" s="77">
        <f t="shared" si="102"/>
        <v>0</v>
      </c>
      <c r="J631" s="80">
        <v>100</v>
      </c>
      <c r="K631" s="80">
        <v>300</v>
      </c>
      <c r="L631" s="77">
        <f t="shared" si="94"/>
        <v>1274</v>
      </c>
      <c r="M631" s="88">
        <v>600</v>
      </c>
      <c r="N631" s="77">
        <f>30</f>
        <v>30</v>
      </c>
      <c r="O631" s="80">
        <v>240</v>
      </c>
      <c r="P631" s="80">
        <v>40</v>
      </c>
      <c r="Q631" s="80">
        <f t="shared" si="95"/>
        <v>315</v>
      </c>
      <c r="R631" s="80">
        <f t="shared" si="96"/>
        <v>100</v>
      </c>
      <c r="S631" s="77">
        <f t="shared" si="97"/>
        <v>695</v>
      </c>
      <c r="T631" s="77">
        <f>0</f>
        <v>0</v>
      </c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</row>
    <row r="632" spans="1:30" ht="15.75" x14ac:dyDescent="0.25">
      <c r="A632" s="32">
        <v>60175</v>
      </c>
      <c r="B632" s="89">
        <f t="shared" si="98"/>
        <v>30</v>
      </c>
      <c r="C632" s="77">
        <f>194.205</f>
        <v>194.20500000000001</v>
      </c>
      <c r="D632" s="77">
        <f>267.466</f>
        <v>267.46600000000001</v>
      </c>
      <c r="E632" s="86">
        <f>133.845</f>
        <v>133.845</v>
      </c>
      <c r="F632" s="77">
        <f>278.484-40-25-60-100</f>
        <v>53.48399999999998</v>
      </c>
      <c r="G632" s="80">
        <v>40</v>
      </c>
      <c r="H632" s="77">
        <f t="shared" si="101"/>
        <v>185</v>
      </c>
      <c r="I632" s="77">
        <f t="shared" si="102"/>
        <v>0</v>
      </c>
      <c r="J632" s="80">
        <v>100</v>
      </c>
      <c r="K632" s="80">
        <v>300</v>
      </c>
      <c r="L632" s="77">
        <f t="shared" si="94"/>
        <v>1274</v>
      </c>
      <c r="M632" s="88">
        <v>600</v>
      </c>
      <c r="N632" s="77">
        <f>30</f>
        <v>30</v>
      </c>
      <c r="O632" s="80">
        <v>240</v>
      </c>
      <c r="P632" s="80">
        <v>40</v>
      </c>
      <c r="Q632" s="80">
        <f t="shared" si="95"/>
        <v>315</v>
      </c>
      <c r="R632" s="80">
        <f t="shared" si="96"/>
        <v>100</v>
      </c>
      <c r="S632" s="77">
        <f t="shared" si="97"/>
        <v>695</v>
      </c>
      <c r="T632" s="77">
        <f>0</f>
        <v>0</v>
      </c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</row>
    <row r="633" spans="1:30" ht="15.75" x14ac:dyDescent="0.25">
      <c r="A633" s="32">
        <v>60206</v>
      </c>
      <c r="B633" s="89">
        <f t="shared" si="98"/>
        <v>31</v>
      </c>
      <c r="C633" s="77">
        <f>131.881</f>
        <v>131.881</v>
      </c>
      <c r="D633" s="77">
        <f>277.167</f>
        <v>277.16699999999997</v>
      </c>
      <c r="E633" s="86">
        <f>79.08</f>
        <v>79.08</v>
      </c>
      <c r="F633" s="77">
        <f>350.872-40-25-60-100</f>
        <v>125.87200000000001</v>
      </c>
      <c r="G633" s="80">
        <v>40</v>
      </c>
      <c r="H633" s="77">
        <f t="shared" si="101"/>
        <v>185</v>
      </c>
      <c r="I633" s="77">
        <f t="shared" si="102"/>
        <v>0</v>
      </c>
      <c r="J633" s="80">
        <v>100</v>
      </c>
      <c r="K633" s="80">
        <v>300</v>
      </c>
      <c r="L633" s="77">
        <f t="shared" si="94"/>
        <v>1239</v>
      </c>
      <c r="M633" s="88">
        <v>600</v>
      </c>
      <c r="N633" s="77">
        <f>75</f>
        <v>75</v>
      </c>
      <c r="O633" s="80">
        <v>240</v>
      </c>
      <c r="P633" s="80">
        <v>40</v>
      </c>
      <c r="Q633" s="80">
        <f t="shared" si="95"/>
        <v>315</v>
      </c>
      <c r="R633" s="80">
        <f t="shared" si="96"/>
        <v>100</v>
      </c>
      <c r="S633" s="77">
        <f t="shared" si="97"/>
        <v>695</v>
      </c>
      <c r="T633" s="77">
        <f>0</f>
        <v>0</v>
      </c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</row>
    <row r="634" spans="1:30" ht="15.75" x14ac:dyDescent="0.25">
      <c r="A634" s="32">
        <v>60236</v>
      </c>
      <c r="B634" s="89">
        <f t="shared" si="98"/>
        <v>30</v>
      </c>
      <c r="C634" s="77">
        <f>122.58</f>
        <v>122.58</v>
      </c>
      <c r="D634" s="77">
        <f>297.941</f>
        <v>297.94099999999997</v>
      </c>
      <c r="E634" s="86">
        <f>89.177</f>
        <v>89.177000000000007</v>
      </c>
      <c r="F634" s="77">
        <f>240.302-40-60-100</f>
        <v>40.301999999999992</v>
      </c>
      <c r="G634" s="80">
        <v>40</v>
      </c>
      <c r="H634" s="77">
        <f>60+100</f>
        <v>160</v>
      </c>
      <c r="I634" s="77">
        <f t="shared" si="102"/>
        <v>0</v>
      </c>
      <c r="J634" s="80">
        <v>100</v>
      </c>
      <c r="K634" s="80">
        <v>300</v>
      </c>
      <c r="L634" s="77">
        <f t="shared" si="94"/>
        <v>1150</v>
      </c>
      <c r="M634" s="88">
        <v>600</v>
      </c>
      <c r="N634" s="77">
        <f>100</f>
        <v>100</v>
      </c>
      <c r="O634" s="80">
        <v>240</v>
      </c>
      <c r="P634" s="80">
        <v>40</v>
      </c>
      <c r="Q634" s="80">
        <f t="shared" si="95"/>
        <v>315</v>
      </c>
      <c r="R634" s="80">
        <f t="shared" si="96"/>
        <v>100</v>
      </c>
      <c r="S634" s="77">
        <f t="shared" si="97"/>
        <v>695</v>
      </c>
      <c r="T634" s="77">
        <f>50</f>
        <v>50</v>
      </c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</row>
    <row r="635" spans="1:30" ht="15.75" x14ac:dyDescent="0.25">
      <c r="A635" s="32">
        <v>60267</v>
      </c>
      <c r="B635" s="89">
        <f t="shared" si="98"/>
        <v>31</v>
      </c>
      <c r="C635" s="77">
        <f>122.58</f>
        <v>122.58</v>
      </c>
      <c r="D635" s="77">
        <f>297.941</f>
        <v>297.94099999999997</v>
      </c>
      <c r="E635" s="86">
        <f>89.177</f>
        <v>89.177000000000007</v>
      </c>
      <c r="F635" s="77">
        <f>240.302-40-60-100</f>
        <v>40.301999999999992</v>
      </c>
      <c r="G635" s="80">
        <v>40</v>
      </c>
      <c r="H635" s="77">
        <f>60+100</f>
        <v>160</v>
      </c>
      <c r="I635" s="77">
        <f t="shared" si="102"/>
        <v>0</v>
      </c>
      <c r="J635" s="80">
        <v>100</v>
      </c>
      <c r="K635" s="80">
        <v>300</v>
      </c>
      <c r="L635" s="77">
        <f t="shared" si="94"/>
        <v>1150</v>
      </c>
      <c r="M635" s="88">
        <v>600</v>
      </c>
      <c r="N635" s="77">
        <f>100</f>
        <v>100</v>
      </c>
      <c r="O635" s="80">
        <v>240</v>
      </c>
      <c r="P635" s="80">
        <v>40</v>
      </c>
      <c r="Q635" s="80">
        <f t="shared" si="95"/>
        <v>315</v>
      </c>
      <c r="R635" s="80">
        <f t="shared" si="96"/>
        <v>100</v>
      </c>
      <c r="S635" s="77">
        <f t="shared" si="97"/>
        <v>695</v>
      </c>
      <c r="T635" s="77">
        <f>50</f>
        <v>50</v>
      </c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</row>
    <row r="636" spans="1:30" ht="15.75" x14ac:dyDescent="0.25">
      <c r="A636" s="32">
        <v>60298</v>
      </c>
      <c r="B636" s="89">
        <f t="shared" si="98"/>
        <v>31</v>
      </c>
      <c r="C636" s="77">
        <f>122.58</f>
        <v>122.58</v>
      </c>
      <c r="D636" s="77">
        <f>297.941</f>
        <v>297.94099999999997</v>
      </c>
      <c r="E636" s="86">
        <f>89.177</f>
        <v>89.177000000000007</v>
      </c>
      <c r="F636" s="77">
        <f>240.302-40-60-100</f>
        <v>40.301999999999992</v>
      </c>
      <c r="G636" s="80">
        <v>40</v>
      </c>
      <c r="H636" s="77">
        <f>60+100</f>
        <v>160</v>
      </c>
      <c r="I636" s="77">
        <f t="shared" si="102"/>
        <v>0</v>
      </c>
      <c r="J636" s="80">
        <v>100</v>
      </c>
      <c r="K636" s="80">
        <v>300</v>
      </c>
      <c r="L636" s="77">
        <f t="shared" si="94"/>
        <v>1150</v>
      </c>
      <c r="M636" s="88">
        <v>600</v>
      </c>
      <c r="N636" s="77">
        <f>100</f>
        <v>100</v>
      </c>
      <c r="O636" s="80">
        <v>240</v>
      </c>
      <c r="P636" s="80">
        <v>40</v>
      </c>
      <c r="Q636" s="80">
        <f t="shared" si="95"/>
        <v>315</v>
      </c>
      <c r="R636" s="80">
        <f t="shared" si="96"/>
        <v>100</v>
      </c>
      <c r="S636" s="77">
        <f t="shared" si="97"/>
        <v>695</v>
      </c>
      <c r="T636" s="77">
        <f>50</f>
        <v>50</v>
      </c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</row>
    <row r="637" spans="1:30" ht="15.75" x14ac:dyDescent="0.25">
      <c r="A637" s="32">
        <v>60326</v>
      </c>
      <c r="B637" s="89">
        <f t="shared" si="98"/>
        <v>28</v>
      </c>
      <c r="C637" s="77">
        <f>122.58</f>
        <v>122.58</v>
      </c>
      <c r="D637" s="77">
        <f>297.941</f>
        <v>297.94099999999997</v>
      </c>
      <c r="E637" s="86">
        <f>89.177</f>
        <v>89.177000000000007</v>
      </c>
      <c r="F637" s="77">
        <f>240.302-40-60-100</f>
        <v>40.301999999999992</v>
      </c>
      <c r="G637" s="80">
        <v>40</v>
      </c>
      <c r="H637" s="77">
        <f>60+100</f>
        <v>160</v>
      </c>
      <c r="I637" s="77">
        <f t="shared" si="102"/>
        <v>0</v>
      </c>
      <c r="J637" s="80">
        <v>100</v>
      </c>
      <c r="K637" s="80">
        <v>300</v>
      </c>
      <c r="L637" s="77">
        <f t="shared" si="94"/>
        <v>1150</v>
      </c>
      <c r="M637" s="88">
        <v>600</v>
      </c>
      <c r="N637" s="77">
        <f>100</f>
        <v>100</v>
      </c>
      <c r="O637" s="80">
        <v>240</v>
      </c>
      <c r="P637" s="80">
        <v>40</v>
      </c>
      <c r="Q637" s="80">
        <f t="shared" si="95"/>
        <v>315</v>
      </c>
      <c r="R637" s="80">
        <f t="shared" si="96"/>
        <v>100</v>
      </c>
      <c r="S637" s="77">
        <f t="shared" si="97"/>
        <v>695</v>
      </c>
      <c r="T637" s="77">
        <f>50</f>
        <v>50</v>
      </c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</row>
    <row r="638" spans="1:30" ht="15.75" x14ac:dyDescent="0.25">
      <c r="A638" s="32">
        <v>60357</v>
      </c>
      <c r="B638" s="89">
        <f t="shared" si="98"/>
        <v>31</v>
      </c>
      <c r="C638" s="77">
        <f>122.58</f>
        <v>122.58</v>
      </c>
      <c r="D638" s="77">
        <f>297.941</f>
        <v>297.94099999999997</v>
      </c>
      <c r="E638" s="86">
        <f>89.177</f>
        <v>89.177000000000007</v>
      </c>
      <c r="F638" s="77">
        <f>240.302-40-60-100</f>
        <v>40.301999999999992</v>
      </c>
      <c r="G638" s="80">
        <v>40</v>
      </c>
      <c r="H638" s="77">
        <f>60+100</f>
        <v>160</v>
      </c>
      <c r="I638" s="77">
        <f t="shared" si="102"/>
        <v>0</v>
      </c>
      <c r="J638" s="80">
        <v>100</v>
      </c>
      <c r="K638" s="80">
        <v>300</v>
      </c>
      <c r="L638" s="77">
        <f t="shared" si="94"/>
        <v>1150</v>
      </c>
      <c r="M638" s="88">
        <v>600</v>
      </c>
      <c r="N638" s="77">
        <f>100</f>
        <v>100</v>
      </c>
      <c r="O638" s="80">
        <v>240</v>
      </c>
      <c r="P638" s="80">
        <v>40</v>
      </c>
      <c r="Q638" s="80">
        <f t="shared" si="95"/>
        <v>315</v>
      </c>
      <c r="R638" s="80">
        <f t="shared" si="96"/>
        <v>100</v>
      </c>
      <c r="S638" s="77">
        <f t="shared" si="97"/>
        <v>695</v>
      </c>
      <c r="T638" s="77">
        <f>50</f>
        <v>50</v>
      </c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</row>
    <row r="639" spans="1:30" ht="15.75" x14ac:dyDescent="0.25">
      <c r="A639" s="32">
        <v>60387</v>
      </c>
      <c r="B639" s="89">
        <f t="shared" si="98"/>
        <v>30</v>
      </c>
      <c r="C639" s="77">
        <f>141.293</f>
        <v>141.29300000000001</v>
      </c>
      <c r="D639" s="77">
        <f>267.993</f>
        <v>267.99299999999999</v>
      </c>
      <c r="E639" s="86">
        <f>115.016</f>
        <v>115.01600000000001</v>
      </c>
      <c r="F639" s="77">
        <f>314.698-40-25-60-100</f>
        <v>89.697999999999979</v>
      </c>
      <c r="G639" s="80">
        <v>40</v>
      </c>
      <c r="H639" s="77">
        <f t="shared" ref="H639:H645" si="103">25+60+100</f>
        <v>185</v>
      </c>
      <c r="I639" s="77">
        <f t="shared" si="102"/>
        <v>0</v>
      </c>
      <c r="J639" s="80">
        <v>100</v>
      </c>
      <c r="K639" s="80">
        <v>300</v>
      </c>
      <c r="L639" s="77">
        <f t="shared" si="94"/>
        <v>1239</v>
      </c>
      <c r="M639" s="88">
        <v>600</v>
      </c>
      <c r="N639" s="77">
        <f>100</f>
        <v>100</v>
      </c>
      <c r="O639" s="80">
        <v>240</v>
      </c>
      <c r="P639" s="80">
        <v>40</v>
      </c>
      <c r="Q639" s="80">
        <f t="shared" si="95"/>
        <v>315</v>
      </c>
      <c r="R639" s="80">
        <f t="shared" si="96"/>
        <v>100</v>
      </c>
      <c r="S639" s="77">
        <f t="shared" si="97"/>
        <v>695</v>
      </c>
      <c r="T639" s="77">
        <f>50</f>
        <v>50</v>
      </c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</row>
    <row r="640" spans="1:30" ht="15.75" x14ac:dyDescent="0.25">
      <c r="A640" s="32">
        <v>60418</v>
      </c>
      <c r="B640" s="89">
        <f t="shared" si="98"/>
        <v>31</v>
      </c>
      <c r="C640" s="77">
        <f>194.205</f>
        <v>194.20500000000001</v>
      </c>
      <c r="D640" s="77">
        <f>267.466</f>
        <v>267.46600000000001</v>
      </c>
      <c r="E640" s="86">
        <f>133.845</f>
        <v>133.845</v>
      </c>
      <c r="F640" s="77">
        <f>278.484-40-25-60-100</f>
        <v>53.48399999999998</v>
      </c>
      <c r="G640" s="80">
        <v>40</v>
      </c>
      <c r="H640" s="77">
        <f t="shared" si="103"/>
        <v>185</v>
      </c>
      <c r="I640" s="77">
        <f t="shared" si="102"/>
        <v>0</v>
      </c>
      <c r="J640" s="80">
        <v>100</v>
      </c>
      <c r="K640" s="80">
        <v>300</v>
      </c>
      <c r="L640" s="77">
        <f t="shared" si="94"/>
        <v>1274</v>
      </c>
      <c r="M640" s="88">
        <v>600</v>
      </c>
      <c r="N640" s="77">
        <f>75</f>
        <v>75</v>
      </c>
      <c r="O640" s="80">
        <v>240</v>
      </c>
      <c r="P640" s="80">
        <v>40</v>
      </c>
      <c r="Q640" s="80">
        <f t="shared" si="95"/>
        <v>315</v>
      </c>
      <c r="R640" s="80">
        <f t="shared" si="96"/>
        <v>100</v>
      </c>
      <c r="S640" s="77">
        <f t="shared" si="97"/>
        <v>695</v>
      </c>
      <c r="T640" s="77">
        <f>50</f>
        <v>50</v>
      </c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</row>
    <row r="641" spans="1:30" ht="15.75" x14ac:dyDescent="0.25">
      <c r="A641" s="32">
        <v>60448</v>
      </c>
      <c r="B641" s="89">
        <f t="shared" si="98"/>
        <v>30</v>
      </c>
      <c r="C641" s="77">
        <f>194.205</f>
        <v>194.20500000000001</v>
      </c>
      <c r="D641" s="77">
        <f>267.466</f>
        <v>267.46600000000001</v>
      </c>
      <c r="E641" s="86">
        <f>133.845</f>
        <v>133.845</v>
      </c>
      <c r="F641" s="77">
        <f>278.484-40-25-60-100</f>
        <v>53.48399999999998</v>
      </c>
      <c r="G641" s="80">
        <v>40</v>
      </c>
      <c r="H641" s="77">
        <f t="shared" si="103"/>
        <v>185</v>
      </c>
      <c r="I641" s="77">
        <f t="shared" si="102"/>
        <v>0</v>
      </c>
      <c r="J641" s="80">
        <v>100</v>
      </c>
      <c r="K641" s="80">
        <v>300</v>
      </c>
      <c r="L641" s="77">
        <f t="shared" si="94"/>
        <v>1274</v>
      </c>
      <c r="M641" s="88">
        <v>600</v>
      </c>
      <c r="N641" s="77">
        <f>30</f>
        <v>30</v>
      </c>
      <c r="O641" s="80">
        <v>240</v>
      </c>
      <c r="P641" s="80">
        <v>40</v>
      </c>
      <c r="Q641" s="80">
        <f t="shared" si="95"/>
        <v>315</v>
      </c>
      <c r="R641" s="80">
        <f t="shared" si="96"/>
        <v>100</v>
      </c>
      <c r="S641" s="77">
        <f t="shared" si="97"/>
        <v>695</v>
      </c>
      <c r="T641" s="77">
        <f>50</f>
        <v>50</v>
      </c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</row>
    <row r="642" spans="1:30" ht="15.75" x14ac:dyDescent="0.25">
      <c r="A642" s="32">
        <v>60479</v>
      </c>
      <c r="B642" s="89">
        <f t="shared" si="98"/>
        <v>31</v>
      </c>
      <c r="C642" s="77">
        <f>194.205</f>
        <v>194.20500000000001</v>
      </c>
      <c r="D642" s="77">
        <f>267.466</f>
        <v>267.46600000000001</v>
      </c>
      <c r="E642" s="86">
        <f>133.845</f>
        <v>133.845</v>
      </c>
      <c r="F642" s="77">
        <f>278.484-40-25-60-100</f>
        <v>53.48399999999998</v>
      </c>
      <c r="G642" s="80">
        <v>40</v>
      </c>
      <c r="H642" s="77">
        <f t="shared" si="103"/>
        <v>185</v>
      </c>
      <c r="I642" s="77">
        <f t="shared" si="102"/>
        <v>0</v>
      </c>
      <c r="J642" s="80">
        <v>100</v>
      </c>
      <c r="K642" s="80">
        <v>300</v>
      </c>
      <c r="L642" s="77">
        <f t="shared" si="94"/>
        <v>1274</v>
      </c>
      <c r="M642" s="88">
        <v>600</v>
      </c>
      <c r="N642" s="77">
        <f>30</f>
        <v>30</v>
      </c>
      <c r="O642" s="80">
        <v>240</v>
      </c>
      <c r="P642" s="80">
        <v>40</v>
      </c>
      <c r="Q642" s="80">
        <f t="shared" si="95"/>
        <v>315</v>
      </c>
      <c r="R642" s="80">
        <f t="shared" si="96"/>
        <v>100</v>
      </c>
      <c r="S642" s="77">
        <f t="shared" si="97"/>
        <v>695</v>
      </c>
      <c r="T642" s="77">
        <f>0</f>
        <v>0</v>
      </c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</row>
    <row r="643" spans="1:30" ht="15.75" x14ac:dyDescent="0.25">
      <c r="A643" s="32">
        <v>60510</v>
      </c>
      <c r="B643" s="89">
        <f t="shared" si="98"/>
        <v>31</v>
      </c>
      <c r="C643" s="77">
        <f>194.205</f>
        <v>194.20500000000001</v>
      </c>
      <c r="D643" s="77">
        <f>267.466</f>
        <v>267.46600000000001</v>
      </c>
      <c r="E643" s="86">
        <f>133.845</f>
        <v>133.845</v>
      </c>
      <c r="F643" s="77">
        <f>278.484-40-25-60-100</f>
        <v>53.48399999999998</v>
      </c>
      <c r="G643" s="80">
        <v>40</v>
      </c>
      <c r="H643" s="77">
        <f t="shared" si="103"/>
        <v>185</v>
      </c>
      <c r="I643" s="77">
        <f t="shared" si="102"/>
        <v>0</v>
      </c>
      <c r="J643" s="80">
        <v>100</v>
      </c>
      <c r="K643" s="80">
        <v>300</v>
      </c>
      <c r="L643" s="77">
        <f t="shared" si="94"/>
        <v>1274</v>
      </c>
      <c r="M643" s="88">
        <v>600</v>
      </c>
      <c r="N643" s="77">
        <f>30</f>
        <v>30</v>
      </c>
      <c r="O643" s="80">
        <v>240</v>
      </c>
      <c r="P643" s="80">
        <v>40</v>
      </c>
      <c r="Q643" s="80">
        <f t="shared" si="95"/>
        <v>315</v>
      </c>
      <c r="R643" s="80">
        <f t="shared" si="96"/>
        <v>100</v>
      </c>
      <c r="S643" s="77">
        <f t="shared" si="97"/>
        <v>695</v>
      </c>
      <c r="T643" s="77">
        <f>0</f>
        <v>0</v>
      </c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</row>
    <row r="644" spans="1:30" ht="15.75" x14ac:dyDescent="0.25">
      <c r="A644" s="32">
        <v>60540</v>
      </c>
      <c r="B644" s="89">
        <f t="shared" si="98"/>
        <v>30</v>
      </c>
      <c r="C644" s="77">
        <f>194.205</f>
        <v>194.20500000000001</v>
      </c>
      <c r="D644" s="77">
        <f>267.466</f>
        <v>267.46600000000001</v>
      </c>
      <c r="E644" s="86">
        <f>133.845</f>
        <v>133.845</v>
      </c>
      <c r="F644" s="77">
        <f>278.484-40-25-60-100</f>
        <v>53.48399999999998</v>
      </c>
      <c r="G644" s="80">
        <v>40</v>
      </c>
      <c r="H644" s="77">
        <f t="shared" si="103"/>
        <v>185</v>
      </c>
      <c r="I644" s="77">
        <f t="shared" si="102"/>
        <v>0</v>
      </c>
      <c r="J644" s="80">
        <v>100</v>
      </c>
      <c r="K644" s="80">
        <v>300</v>
      </c>
      <c r="L644" s="77">
        <f t="shared" si="94"/>
        <v>1274</v>
      </c>
      <c r="M644" s="88">
        <v>600</v>
      </c>
      <c r="N644" s="77">
        <f>30</f>
        <v>30</v>
      </c>
      <c r="O644" s="80">
        <v>240</v>
      </c>
      <c r="P644" s="80">
        <v>40</v>
      </c>
      <c r="Q644" s="80">
        <f t="shared" si="95"/>
        <v>315</v>
      </c>
      <c r="R644" s="80">
        <f t="shared" si="96"/>
        <v>100</v>
      </c>
      <c r="S644" s="77">
        <f t="shared" si="97"/>
        <v>695</v>
      </c>
      <c r="T644" s="77">
        <f>0</f>
        <v>0</v>
      </c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</row>
    <row r="645" spans="1:30" ht="15.75" x14ac:dyDescent="0.25">
      <c r="A645" s="32">
        <v>60571</v>
      </c>
      <c r="B645" s="89">
        <f t="shared" si="98"/>
        <v>31</v>
      </c>
      <c r="C645" s="77">
        <f>131.881</f>
        <v>131.881</v>
      </c>
      <c r="D645" s="77">
        <f>277.167</f>
        <v>277.16699999999997</v>
      </c>
      <c r="E645" s="86">
        <f>79.08</f>
        <v>79.08</v>
      </c>
      <c r="F645" s="77">
        <f>350.872-40-25-60-100</f>
        <v>125.87200000000001</v>
      </c>
      <c r="G645" s="80">
        <v>40</v>
      </c>
      <c r="H645" s="77">
        <f t="shared" si="103"/>
        <v>185</v>
      </c>
      <c r="I645" s="77">
        <f t="shared" si="102"/>
        <v>0</v>
      </c>
      <c r="J645" s="80">
        <v>100</v>
      </c>
      <c r="K645" s="80">
        <v>300</v>
      </c>
      <c r="L645" s="77">
        <f t="shared" si="94"/>
        <v>1239</v>
      </c>
      <c r="M645" s="88">
        <v>600</v>
      </c>
      <c r="N645" s="77">
        <f>75</f>
        <v>75</v>
      </c>
      <c r="O645" s="80">
        <v>240</v>
      </c>
      <c r="P645" s="80">
        <v>40</v>
      </c>
      <c r="Q645" s="80">
        <f t="shared" si="95"/>
        <v>315</v>
      </c>
      <c r="R645" s="80">
        <f t="shared" si="96"/>
        <v>100</v>
      </c>
      <c r="S645" s="77">
        <f t="shared" si="97"/>
        <v>695</v>
      </c>
      <c r="T645" s="77">
        <f>0</f>
        <v>0</v>
      </c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</row>
    <row r="646" spans="1:30" ht="15.75" x14ac:dyDescent="0.25">
      <c r="A646" s="32">
        <v>60601</v>
      </c>
      <c r="B646" s="89">
        <f t="shared" si="98"/>
        <v>30</v>
      </c>
      <c r="C646" s="77">
        <f>122.58</f>
        <v>122.58</v>
      </c>
      <c r="D646" s="77">
        <f>297.941</f>
        <v>297.94099999999997</v>
      </c>
      <c r="E646" s="86">
        <f>89.177</f>
        <v>89.177000000000007</v>
      </c>
      <c r="F646" s="77">
        <f>240.302-40-60-100</f>
        <v>40.301999999999992</v>
      </c>
      <c r="G646" s="80">
        <v>40</v>
      </c>
      <c r="H646" s="77">
        <f>60+100</f>
        <v>160</v>
      </c>
      <c r="I646" s="77">
        <f t="shared" si="102"/>
        <v>0</v>
      </c>
      <c r="J646" s="80">
        <v>100</v>
      </c>
      <c r="K646" s="80">
        <v>300</v>
      </c>
      <c r="L646" s="77">
        <f t="shared" si="94"/>
        <v>1150</v>
      </c>
      <c r="M646" s="88">
        <v>600</v>
      </c>
      <c r="N646" s="77">
        <f>100</f>
        <v>100</v>
      </c>
      <c r="O646" s="80">
        <v>240</v>
      </c>
      <c r="P646" s="80">
        <v>40</v>
      </c>
      <c r="Q646" s="80">
        <f t="shared" si="95"/>
        <v>315</v>
      </c>
      <c r="R646" s="80">
        <f t="shared" si="96"/>
        <v>100</v>
      </c>
      <c r="S646" s="77">
        <f t="shared" si="97"/>
        <v>695</v>
      </c>
      <c r="T646" s="77">
        <f>50</f>
        <v>50</v>
      </c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</row>
    <row r="647" spans="1:30" ht="15.75" x14ac:dyDescent="0.25">
      <c r="A647" s="32">
        <v>60632</v>
      </c>
      <c r="B647" s="89">
        <f t="shared" si="98"/>
        <v>31</v>
      </c>
      <c r="C647" s="77">
        <f>122.58</f>
        <v>122.58</v>
      </c>
      <c r="D647" s="77">
        <f>297.941</f>
        <v>297.94099999999997</v>
      </c>
      <c r="E647" s="86">
        <f>89.177</f>
        <v>89.177000000000007</v>
      </c>
      <c r="F647" s="77">
        <f>240.302-40-60-100</f>
        <v>40.301999999999992</v>
      </c>
      <c r="G647" s="80">
        <v>40</v>
      </c>
      <c r="H647" s="77">
        <f>60+100</f>
        <v>160</v>
      </c>
      <c r="I647" s="77">
        <f t="shared" si="102"/>
        <v>0</v>
      </c>
      <c r="J647" s="80">
        <v>100</v>
      </c>
      <c r="K647" s="80">
        <v>300</v>
      </c>
      <c r="L647" s="77">
        <f t="shared" si="94"/>
        <v>1150</v>
      </c>
      <c r="M647" s="88">
        <v>600</v>
      </c>
      <c r="N647" s="77">
        <f>100</f>
        <v>100</v>
      </c>
      <c r="O647" s="80">
        <v>240</v>
      </c>
      <c r="P647" s="80">
        <v>40</v>
      </c>
      <c r="Q647" s="80">
        <f t="shared" si="95"/>
        <v>315</v>
      </c>
      <c r="R647" s="80">
        <f t="shared" si="96"/>
        <v>100</v>
      </c>
      <c r="S647" s="77">
        <f t="shared" si="97"/>
        <v>695</v>
      </c>
      <c r="T647" s="77">
        <f>50</f>
        <v>50</v>
      </c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</row>
    <row r="648" spans="1:30" ht="15.75" x14ac:dyDescent="0.25">
      <c r="A648" s="32">
        <v>60663</v>
      </c>
      <c r="B648" s="89">
        <f t="shared" si="98"/>
        <v>31</v>
      </c>
      <c r="C648" s="77">
        <f>122.58</f>
        <v>122.58</v>
      </c>
      <c r="D648" s="77">
        <f>297.941</f>
        <v>297.94099999999997</v>
      </c>
      <c r="E648" s="86">
        <f>89.177</f>
        <v>89.177000000000007</v>
      </c>
      <c r="F648" s="77">
        <f>240.302-40-60-100</f>
        <v>40.301999999999992</v>
      </c>
      <c r="G648" s="80">
        <v>40</v>
      </c>
      <c r="H648" s="77">
        <f>60+100</f>
        <v>160</v>
      </c>
      <c r="I648" s="77">
        <f t="shared" si="102"/>
        <v>0</v>
      </c>
      <c r="J648" s="80">
        <v>100</v>
      </c>
      <c r="K648" s="80">
        <v>300</v>
      </c>
      <c r="L648" s="77">
        <f t="shared" si="94"/>
        <v>1150</v>
      </c>
      <c r="M648" s="88">
        <v>600</v>
      </c>
      <c r="N648" s="77">
        <f>100</f>
        <v>100</v>
      </c>
      <c r="O648" s="80">
        <v>240</v>
      </c>
      <c r="P648" s="80">
        <v>40</v>
      </c>
      <c r="Q648" s="80">
        <f t="shared" si="95"/>
        <v>315</v>
      </c>
      <c r="R648" s="80">
        <f t="shared" si="96"/>
        <v>100</v>
      </c>
      <c r="S648" s="77">
        <f t="shared" si="97"/>
        <v>695</v>
      </c>
      <c r="T648" s="77">
        <f>50</f>
        <v>50</v>
      </c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</row>
    <row r="649" spans="1:30" ht="15.75" x14ac:dyDescent="0.25">
      <c r="A649" s="32">
        <v>60691</v>
      </c>
      <c r="B649" s="89">
        <f t="shared" si="98"/>
        <v>28</v>
      </c>
      <c r="C649" s="77">
        <f>122.58</f>
        <v>122.58</v>
      </c>
      <c r="D649" s="77">
        <f>297.941</f>
        <v>297.94099999999997</v>
      </c>
      <c r="E649" s="86">
        <f>89.177</f>
        <v>89.177000000000007</v>
      </c>
      <c r="F649" s="77">
        <f>240.302-40-60-100</f>
        <v>40.301999999999992</v>
      </c>
      <c r="G649" s="80">
        <v>40</v>
      </c>
      <c r="H649" s="77">
        <f>60+100</f>
        <v>160</v>
      </c>
      <c r="I649" s="77">
        <f t="shared" si="102"/>
        <v>0</v>
      </c>
      <c r="J649" s="80">
        <v>100</v>
      </c>
      <c r="K649" s="80">
        <v>300</v>
      </c>
      <c r="L649" s="77">
        <f t="shared" si="94"/>
        <v>1150</v>
      </c>
      <c r="M649" s="88">
        <v>600</v>
      </c>
      <c r="N649" s="77">
        <f>100</f>
        <v>100</v>
      </c>
      <c r="O649" s="80">
        <v>240</v>
      </c>
      <c r="P649" s="80">
        <v>40</v>
      </c>
      <c r="Q649" s="80">
        <f t="shared" si="95"/>
        <v>315</v>
      </c>
      <c r="R649" s="80">
        <f t="shared" si="96"/>
        <v>100</v>
      </c>
      <c r="S649" s="77">
        <f t="shared" si="97"/>
        <v>695</v>
      </c>
      <c r="T649" s="77">
        <f>50</f>
        <v>50</v>
      </c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</row>
    <row r="650" spans="1:30" ht="15.75" x14ac:dyDescent="0.25">
      <c r="A650" s="32">
        <v>60722</v>
      </c>
      <c r="B650" s="89">
        <f t="shared" si="98"/>
        <v>31</v>
      </c>
      <c r="C650" s="77">
        <f>122.58</f>
        <v>122.58</v>
      </c>
      <c r="D650" s="77">
        <f>297.941</f>
        <v>297.94099999999997</v>
      </c>
      <c r="E650" s="86">
        <f>89.177</f>
        <v>89.177000000000007</v>
      </c>
      <c r="F650" s="77">
        <f>240.302-40-60-100</f>
        <v>40.301999999999992</v>
      </c>
      <c r="G650" s="80">
        <v>40</v>
      </c>
      <c r="H650" s="77">
        <f>60+100</f>
        <v>160</v>
      </c>
      <c r="I650" s="77">
        <f t="shared" si="102"/>
        <v>0</v>
      </c>
      <c r="J650" s="80">
        <v>100</v>
      </c>
      <c r="K650" s="80">
        <v>300</v>
      </c>
      <c r="L650" s="77">
        <f t="shared" si="94"/>
        <v>1150</v>
      </c>
      <c r="M650" s="88">
        <v>600</v>
      </c>
      <c r="N650" s="77">
        <f>100</f>
        <v>100</v>
      </c>
      <c r="O650" s="80">
        <v>240</v>
      </c>
      <c r="P650" s="80">
        <v>40</v>
      </c>
      <c r="Q650" s="80">
        <f t="shared" si="95"/>
        <v>315</v>
      </c>
      <c r="R650" s="80">
        <f t="shared" si="96"/>
        <v>100</v>
      </c>
      <c r="S650" s="77">
        <f t="shared" si="97"/>
        <v>695</v>
      </c>
      <c r="T650" s="77">
        <f>50</f>
        <v>50</v>
      </c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</row>
    <row r="651" spans="1:30" ht="15.75" x14ac:dyDescent="0.25">
      <c r="A651" s="32">
        <v>60752</v>
      </c>
      <c r="B651" s="89">
        <f t="shared" si="98"/>
        <v>30</v>
      </c>
      <c r="C651" s="77">
        <f>141.293</f>
        <v>141.29300000000001</v>
      </c>
      <c r="D651" s="77">
        <f>267.993</f>
        <v>267.99299999999999</v>
      </c>
      <c r="E651" s="86">
        <f>115.016</f>
        <v>115.01600000000001</v>
      </c>
      <c r="F651" s="77">
        <f>314.698-40-25-60-100</f>
        <v>89.697999999999979</v>
      </c>
      <c r="G651" s="80">
        <v>40</v>
      </c>
      <c r="H651" s="77">
        <f t="shared" ref="H651:H657" si="104">25+60+100</f>
        <v>185</v>
      </c>
      <c r="I651" s="77">
        <f t="shared" si="102"/>
        <v>0</v>
      </c>
      <c r="J651" s="80">
        <v>100</v>
      </c>
      <c r="K651" s="80">
        <v>300</v>
      </c>
      <c r="L651" s="77">
        <f t="shared" si="94"/>
        <v>1239</v>
      </c>
      <c r="M651" s="88">
        <v>600</v>
      </c>
      <c r="N651" s="77">
        <f>100</f>
        <v>100</v>
      </c>
      <c r="O651" s="80">
        <v>240</v>
      </c>
      <c r="P651" s="80">
        <v>40</v>
      </c>
      <c r="Q651" s="80">
        <f t="shared" si="95"/>
        <v>315</v>
      </c>
      <c r="R651" s="80">
        <f t="shared" si="96"/>
        <v>100</v>
      </c>
      <c r="S651" s="77">
        <f t="shared" si="97"/>
        <v>695</v>
      </c>
      <c r="T651" s="77">
        <f>50</f>
        <v>50</v>
      </c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</row>
    <row r="652" spans="1:30" ht="15.75" x14ac:dyDescent="0.25">
      <c r="A652" s="32">
        <v>60783</v>
      </c>
      <c r="B652" s="89">
        <f t="shared" si="98"/>
        <v>31</v>
      </c>
      <c r="C652" s="77">
        <f>194.205</f>
        <v>194.20500000000001</v>
      </c>
      <c r="D652" s="77">
        <f>267.466</f>
        <v>267.46600000000001</v>
      </c>
      <c r="E652" s="86">
        <f>133.845</f>
        <v>133.845</v>
      </c>
      <c r="F652" s="77">
        <f>278.484-40-25-60-100</f>
        <v>53.48399999999998</v>
      </c>
      <c r="G652" s="80">
        <v>40</v>
      </c>
      <c r="H652" s="77">
        <f t="shared" si="104"/>
        <v>185</v>
      </c>
      <c r="I652" s="77">
        <f t="shared" si="102"/>
        <v>0</v>
      </c>
      <c r="J652" s="80">
        <v>100</v>
      </c>
      <c r="K652" s="80">
        <v>300</v>
      </c>
      <c r="L652" s="77">
        <f t="shared" si="94"/>
        <v>1274</v>
      </c>
      <c r="M652" s="88">
        <v>600</v>
      </c>
      <c r="N652" s="77">
        <f>75</f>
        <v>75</v>
      </c>
      <c r="O652" s="80">
        <v>240</v>
      </c>
      <c r="P652" s="80">
        <v>40</v>
      </c>
      <c r="Q652" s="80">
        <f t="shared" si="95"/>
        <v>315</v>
      </c>
      <c r="R652" s="80">
        <f t="shared" si="96"/>
        <v>100</v>
      </c>
      <c r="S652" s="77">
        <f t="shared" si="97"/>
        <v>695</v>
      </c>
      <c r="T652" s="77">
        <f>50</f>
        <v>50</v>
      </c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</row>
    <row r="653" spans="1:30" ht="15.75" x14ac:dyDescent="0.25">
      <c r="A653" s="32">
        <v>60813</v>
      </c>
      <c r="B653" s="89">
        <f t="shared" si="98"/>
        <v>30</v>
      </c>
      <c r="C653" s="77">
        <f>194.205</f>
        <v>194.20500000000001</v>
      </c>
      <c r="D653" s="77">
        <f>267.466</f>
        <v>267.46600000000001</v>
      </c>
      <c r="E653" s="86">
        <f>133.845</f>
        <v>133.845</v>
      </c>
      <c r="F653" s="77">
        <f>278.484-40-25-60-100</f>
        <v>53.48399999999998</v>
      </c>
      <c r="G653" s="80">
        <v>40</v>
      </c>
      <c r="H653" s="77">
        <f t="shared" si="104"/>
        <v>185</v>
      </c>
      <c r="I653" s="77">
        <f t="shared" si="102"/>
        <v>0</v>
      </c>
      <c r="J653" s="80">
        <v>100</v>
      </c>
      <c r="K653" s="80">
        <v>300</v>
      </c>
      <c r="L653" s="77">
        <f t="shared" si="94"/>
        <v>1274</v>
      </c>
      <c r="M653" s="88">
        <v>600</v>
      </c>
      <c r="N653" s="77">
        <f>30</f>
        <v>30</v>
      </c>
      <c r="O653" s="80">
        <v>240</v>
      </c>
      <c r="P653" s="80">
        <v>40</v>
      </c>
      <c r="Q653" s="80">
        <f t="shared" si="95"/>
        <v>315</v>
      </c>
      <c r="R653" s="80">
        <f t="shared" si="96"/>
        <v>100</v>
      </c>
      <c r="S653" s="77">
        <f t="shared" si="97"/>
        <v>695</v>
      </c>
      <c r="T653" s="77">
        <f>50</f>
        <v>50</v>
      </c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</row>
    <row r="654" spans="1:30" ht="15.75" x14ac:dyDescent="0.25">
      <c r="A654" s="32">
        <v>60844</v>
      </c>
      <c r="B654" s="89">
        <f t="shared" si="98"/>
        <v>31</v>
      </c>
      <c r="C654" s="77">
        <f>194.205</f>
        <v>194.20500000000001</v>
      </c>
      <c r="D654" s="77">
        <f>267.466</f>
        <v>267.46600000000001</v>
      </c>
      <c r="E654" s="86">
        <f>133.845</f>
        <v>133.845</v>
      </c>
      <c r="F654" s="77">
        <f>278.484-40-25-60-100</f>
        <v>53.48399999999998</v>
      </c>
      <c r="G654" s="80">
        <v>40</v>
      </c>
      <c r="H654" s="77">
        <f t="shared" si="104"/>
        <v>185</v>
      </c>
      <c r="I654" s="77">
        <f t="shared" si="102"/>
        <v>0</v>
      </c>
      <c r="J654" s="80">
        <v>100</v>
      </c>
      <c r="K654" s="80">
        <v>300</v>
      </c>
      <c r="L654" s="77">
        <f t="shared" si="94"/>
        <v>1274</v>
      </c>
      <c r="M654" s="88">
        <v>600</v>
      </c>
      <c r="N654" s="77">
        <f>30</f>
        <v>30</v>
      </c>
      <c r="O654" s="80">
        <v>240</v>
      </c>
      <c r="P654" s="80">
        <v>40</v>
      </c>
      <c r="Q654" s="80">
        <f t="shared" si="95"/>
        <v>315</v>
      </c>
      <c r="R654" s="80">
        <f t="shared" si="96"/>
        <v>100</v>
      </c>
      <c r="S654" s="77">
        <f t="shared" si="97"/>
        <v>695</v>
      </c>
      <c r="T654" s="77">
        <f>0</f>
        <v>0</v>
      </c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</row>
    <row r="655" spans="1:30" ht="15.75" x14ac:dyDescent="0.25">
      <c r="A655" s="32">
        <v>60875</v>
      </c>
      <c r="B655" s="89">
        <f t="shared" si="98"/>
        <v>31</v>
      </c>
      <c r="C655" s="77">
        <f>194.205</f>
        <v>194.20500000000001</v>
      </c>
      <c r="D655" s="77">
        <f>267.466</f>
        <v>267.46600000000001</v>
      </c>
      <c r="E655" s="86">
        <f>133.845</f>
        <v>133.845</v>
      </c>
      <c r="F655" s="77">
        <f>278.484-40-25-60-100</f>
        <v>53.48399999999998</v>
      </c>
      <c r="G655" s="80">
        <v>40</v>
      </c>
      <c r="H655" s="77">
        <f t="shared" si="104"/>
        <v>185</v>
      </c>
      <c r="I655" s="77">
        <f t="shared" si="102"/>
        <v>0</v>
      </c>
      <c r="J655" s="80">
        <v>100</v>
      </c>
      <c r="K655" s="80">
        <v>300</v>
      </c>
      <c r="L655" s="77">
        <f t="shared" si="94"/>
        <v>1274</v>
      </c>
      <c r="M655" s="88">
        <v>600</v>
      </c>
      <c r="N655" s="77">
        <f>30</f>
        <v>30</v>
      </c>
      <c r="O655" s="80">
        <v>240</v>
      </c>
      <c r="P655" s="80">
        <v>40</v>
      </c>
      <c r="Q655" s="80">
        <f t="shared" si="95"/>
        <v>315</v>
      </c>
      <c r="R655" s="80">
        <f t="shared" si="96"/>
        <v>100</v>
      </c>
      <c r="S655" s="77">
        <f t="shared" si="97"/>
        <v>695</v>
      </c>
      <c r="T655" s="77">
        <f>0</f>
        <v>0</v>
      </c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</row>
    <row r="656" spans="1:30" ht="15.75" x14ac:dyDescent="0.25">
      <c r="A656" s="32">
        <v>60905</v>
      </c>
      <c r="B656" s="89">
        <f t="shared" si="98"/>
        <v>30</v>
      </c>
      <c r="C656" s="77">
        <f>194.205</f>
        <v>194.20500000000001</v>
      </c>
      <c r="D656" s="77">
        <f>267.466</f>
        <v>267.46600000000001</v>
      </c>
      <c r="E656" s="86">
        <f>133.845</f>
        <v>133.845</v>
      </c>
      <c r="F656" s="77">
        <f>278.484-40-25-60-100</f>
        <v>53.48399999999998</v>
      </c>
      <c r="G656" s="80">
        <v>40</v>
      </c>
      <c r="H656" s="77">
        <f t="shared" si="104"/>
        <v>185</v>
      </c>
      <c r="I656" s="77">
        <f t="shared" si="102"/>
        <v>0</v>
      </c>
      <c r="J656" s="80">
        <v>100</v>
      </c>
      <c r="K656" s="80">
        <v>300</v>
      </c>
      <c r="L656" s="77">
        <f t="shared" si="94"/>
        <v>1274</v>
      </c>
      <c r="M656" s="88">
        <v>600</v>
      </c>
      <c r="N656" s="77">
        <f>30</f>
        <v>30</v>
      </c>
      <c r="O656" s="80">
        <v>240</v>
      </c>
      <c r="P656" s="80">
        <v>40</v>
      </c>
      <c r="Q656" s="80">
        <f t="shared" si="95"/>
        <v>315</v>
      </c>
      <c r="R656" s="80">
        <f t="shared" si="96"/>
        <v>100</v>
      </c>
      <c r="S656" s="77">
        <f t="shared" si="97"/>
        <v>695</v>
      </c>
      <c r="T656" s="77">
        <f>0</f>
        <v>0</v>
      </c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</row>
    <row r="657" spans="1:30" ht="15.75" x14ac:dyDescent="0.25">
      <c r="A657" s="32">
        <v>60936</v>
      </c>
      <c r="B657" s="89">
        <f t="shared" si="98"/>
        <v>31</v>
      </c>
      <c r="C657" s="77">
        <f>131.881</f>
        <v>131.881</v>
      </c>
      <c r="D657" s="77">
        <f>277.167</f>
        <v>277.16699999999997</v>
      </c>
      <c r="E657" s="86">
        <f>79.08</f>
        <v>79.08</v>
      </c>
      <c r="F657" s="77">
        <f>350.872-40-25-60-100</f>
        <v>125.87200000000001</v>
      </c>
      <c r="G657" s="80">
        <v>40</v>
      </c>
      <c r="H657" s="77">
        <f t="shared" si="104"/>
        <v>185</v>
      </c>
      <c r="I657" s="77">
        <f t="shared" si="102"/>
        <v>0</v>
      </c>
      <c r="J657" s="80">
        <v>100</v>
      </c>
      <c r="K657" s="80">
        <v>300</v>
      </c>
      <c r="L657" s="77">
        <f t="shared" si="94"/>
        <v>1239</v>
      </c>
      <c r="M657" s="88">
        <v>600</v>
      </c>
      <c r="N657" s="77">
        <f>75</f>
        <v>75</v>
      </c>
      <c r="O657" s="80">
        <v>240</v>
      </c>
      <c r="P657" s="80">
        <v>40</v>
      </c>
      <c r="Q657" s="80">
        <f t="shared" si="95"/>
        <v>315</v>
      </c>
      <c r="R657" s="80">
        <f t="shared" si="96"/>
        <v>100</v>
      </c>
      <c r="S657" s="77">
        <f t="shared" si="97"/>
        <v>695</v>
      </c>
      <c r="T657" s="77">
        <f>0</f>
        <v>0</v>
      </c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</row>
    <row r="658" spans="1:30" ht="15.75" x14ac:dyDescent="0.25">
      <c r="A658" s="32">
        <v>60966</v>
      </c>
      <c r="B658" s="89">
        <f t="shared" si="98"/>
        <v>30</v>
      </c>
      <c r="C658" s="77">
        <f>122.58</f>
        <v>122.58</v>
      </c>
      <c r="D658" s="77">
        <f>297.941</f>
        <v>297.94099999999997</v>
      </c>
      <c r="E658" s="86">
        <f>89.177</f>
        <v>89.177000000000007</v>
      </c>
      <c r="F658" s="77">
        <f>240.302-40-60-100</f>
        <v>40.301999999999992</v>
      </c>
      <c r="G658" s="80">
        <v>40</v>
      </c>
      <c r="H658" s="77">
        <f>60+100</f>
        <v>160</v>
      </c>
      <c r="I658" s="77">
        <f t="shared" si="102"/>
        <v>0</v>
      </c>
      <c r="J658" s="80">
        <v>100</v>
      </c>
      <c r="K658" s="80">
        <v>300</v>
      </c>
      <c r="L658" s="77">
        <f t="shared" si="94"/>
        <v>1150</v>
      </c>
      <c r="M658" s="88">
        <v>600</v>
      </c>
      <c r="N658" s="77">
        <f>100</f>
        <v>100</v>
      </c>
      <c r="O658" s="80">
        <v>240</v>
      </c>
      <c r="P658" s="80">
        <v>40</v>
      </c>
      <c r="Q658" s="80">
        <f t="shared" si="95"/>
        <v>315</v>
      </c>
      <c r="R658" s="80">
        <f t="shared" si="96"/>
        <v>100</v>
      </c>
      <c r="S658" s="77">
        <f t="shared" si="97"/>
        <v>695</v>
      </c>
      <c r="T658" s="77">
        <f>50</f>
        <v>50</v>
      </c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</row>
    <row r="659" spans="1:30" ht="15.75" x14ac:dyDescent="0.25">
      <c r="A659" s="32">
        <v>60997</v>
      </c>
      <c r="B659" s="89">
        <f t="shared" si="98"/>
        <v>31</v>
      </c>
      <c r="C659" s="77">
        <f>122.58</f>
        <v>122.58</v>
      </c>
      <c r="D659" s="77">
        <f>297.941</f>
        <v>297.94099999999997</v>
      </c>
      <c r="E659" s="86">
        <f>89.177</f>
        <v>89.177000000000007</v>
      </c>
      <c r="F659" s="77">
        <f>240.302-40-60-100</f>
        <v>40.301999999999992</v>
      </c>
      <c r="G659" s="80">
        <v>40</v>
      </c>
      <c r="H659" s="77">
        <f>60+100</f>
        <v>160</v>
      </c>
      <c r="I659" s="77">
        <f t="shared" si="102"/>
        <v>0</v>
      </c>
      <c r="J659" s="80">
        <v>100</v>
      </c>
      <c r="K659" s="80">
        <v>300</v>
      </c>
      <c r="L659" s="77">
        <f t="shared" ref="L659:L722" si="105">SUM(C659:K659)</f>
        <v>1150</v>
      </c>
      <c r="M659" s="88">
        <v>600</v>
      </c>
      <c r="N659" s="77">
        <f>100</f>
        <v>100</v>
      </c>
      <c r="O659" s="80">
        <v>240</v>
      </c>
      <c r="P659" s="80">
        <v>40</v>
      </c>
      <c r="Q659" s="80">
        <f t="shared" ref="Q659:Q722" si="106">695-R659-O659-P659</f>
        <v>315</v>
      </c>
      <c r="R659" s="80">
        <f t="shared" ref="R659:R722" si="107">200-J659</f>
        <v>100</v>
      </c>
      <c r="S659" s="77">
        <f t="shared" ref="S659:S722" si="108">SUM(O659:R659)</f>
        <v>695</v>
      </c>
      <c r="T659" s="77">
        <f>50</f>
        <v>50</v>
      </c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</row>
    <row r="660" spans="1:30" ht="15.75" x14ac:dyDescent="0.25">
      <c r="A660" s="32">
        <v>61028</v>
      </c>
      <c r="B660" s="89">
        <f t="shared" si="98"/>
        <v>31</v>
      </c>
      <c r="C660" s="77">
        <f>122.58</f>
        <v>122.58</v>
      </c>
      <c r="D660" s="77">
        <f>297.941</f>
        <v>297.94099999999997</v>
      </c>
      <c r="E660" s="86">
        <f>89.177</f>
        <v>89.177000000000007</v>
      </c>
      <c r="F660" s="77">
        <f>240.302-40-60-100</f>
        <v>40.301999999999992</v>
      </c>
      <c r="G660" s="80">
        <v>40</v>
      </c>
      <c r="H660" s="77">
        <f>60+100</f>
        <v>160</v>
      </c>
      <c r="I660" s="77">
        <f t="shared" si="102"/>
        <v>0</v>
      </c>
      <c r="J660" s="80">
        <v>100</v>
      </c>
      <c r="K660" s="80">
        <v>300</v>
      </c>
      <c r="L660" s="77">
        <f t="shared" si="105"/>
        <v>1150</v>
      </c>
      <c r="M660" s="88">
        <v>600</v>
      </c>
      <c r="N660" s="77">
        <f>100</f>
        <v>100</v>
      </c>
      <c r="O660" s="80">
        <v>240</v>
      </c>
      <c r="P660" s="80">
        <v>40</v>
      </c>
      <c r="Q660" s="80">
        <f t="shared" si="106"/>
        <v>315</v>
      </c>
      <c r="R660" s="80">
        <f t="shared" si="107"/>
        <v>100</v>
      </c>
      <c r="S660" s="77">
        <f t="shared" si="108"/>
        <v>695</v>
      </c>
      <c r="T660" s="77">
        <f>50</f>
        <v>50</v>
      </c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</row>
    <row r="661" spans="1:30" ht="15.75" x14ac:dyDescent="0.25">
      <c r="A661" s="32">
        <v>61056</v>
      </c>
      <c r="B661" s="89">
        <f t="shared" si="98"/>
        <v>28</v>
      </c>
      <c r="C661" s="77">
        <f>122.58</f>
        <v>122.58</v>
      </c>
      <c r="D661" s="77">
        <f>297.941</f>
        <v>297.94099999999997</v>
      </c>
      <c r="E661" s="86">
        <f>89.177</f>
        <v>89.177000000000007</v>
      </c>
      <c r="F661" s="77">
        <f>240.302-40-60-100</f>
        <v>40.301999999999992</v>
      </c>
      <c r="G661" s="80">
        <v>40</v>
      </c>
      <c r="H661" s="77">
        <f>60+100</f>
        <v>160</v>
      </c>
      <c r="I661" s="77">
        <f t="shared" si="102"/>
        <v>0</v>
      </c>
      <c r="J661" s="80">
        <v>100</v>
      </c>
      <c r="K661" s="80">
        <v>300</v>
      </c>
      <c r="L661" s="77">
        <f t="shared" si="105"/>
        <v>1150</v>
      </c>
      <c r="M661" s="88">
        <v>600</v>
      </c>
      <c r="N661" s="77">
        <f>100</f>
        <v>100</v>
      </c>
      <c r="O661" s="80">
        <v>240</v>
      </c>
      <c r="P661" s="80">
        <v>40</v>
      </c>
      <c r="Q661" s="80">
        <f t="shared" si="106"/>
        <v>315</v>
      </c>
      <c r="R661" s="80">
        <f t="shared" si="107"/>
        <v>100</v>
      </c>
      <c r="S661" s="77">
        <f t="shared" si="108"/>
        <v>695</v>
      </c>
      <c r="T661" s="77">
        <f>50</f>
        <v>50</v>
      </c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</row>
    <row r="662" spans="1:30" ht="15.75" x14ac:dyDescent="0.25">
      <c r="A662" s="32">
        <v>61087</v>
      </c>
      <c r="B662" s="89">
        <f t="shared" si="98"/>
        <v>31</v>
      </c>
      <c r="C662" s="77">
        <f>122.58</f>
        <v>122.58</v>
      </c>
      <c r="D662" s="77">
        <f>297.941</f>
        <v>297.94099999999997</v>
      </c>
      <c r="E662" s="86">
        <f>89.177</f>
        <v>89.177000000000007</v>
      </c>
      <c r="F662" s="77">
        <f>240.302-40-60-100</f>
        <v>40.301999999999992</v>
      </c>
      <c r="G662" s="80">
        <v>40</v>
      </c>
      <c r="H662" s="77">
        <f>60+100</f>
        <v>160</v>
      </c>
      <c r="I662" s="77">
        <f t="shared" si="102"/>
        <v>0</v>
      </c>
      <c r="J662" s="80">
        <v>100</v>
      </c>
      <c r="K662" s="80">
        <v>300</v>
      </c>
      <c r="L662" s="77">
        <f t="shared" si="105"/>
        <v>1150</v>
      </c>
      <c r="M662" s="88">
        <v>600</v>
      </c>
      <c r="N662" s="77">
        <f>100</f>
        <v>100</v>
      </c>
      <c r="O662" s="80">
        <v>240</v>
      </c>
      <c r="P662" s="80">
        <v>40</v>
      </c>
      <c r="Q662" s="80">
        <f t="shared" si="106"/>
        <v>315</v>
      </c>
      <c r="R662" s="80">
        <f t="shared" si="107"/>
        <v>100</v>
      </c>
      <c r="S662" s="77">
        <f t="shared" si="108"/>
        <v>695</v>
      </c>
      <c r="T662" s="77">
        <f>50</f>
        <v>50</v>
      </c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</row>
    <row r="663" spans="1:30" ht="15.75" x14ac:dyDescent="0.25">
      <c r="A663" s="32">
        <v>61117</v>
      </c>
      <c r="B663" s="89">
        <f t="shared" si="98"/>
        <v>30</v>
      </c>
      <c r="C663" s="77">
        <f>141.293</f>
        <v>141.29300000000001</v>
      </c>
      <c r="D663" s="77">
        <f>267.993</f>
        <v>267.99299999999999</v>
      </c>
      <c r="E663" s="86">
        <f>115.016</f>
        <v>115.01600000000001</v>
      </c>
      <c r="F663" s="77">
        <f>314.698-40-25-60-100</f>
        <v>89.697999999999979</v>
      </c>
      <c r="G663" s="80">
        <v>40</v>
      </c>
      <c r="H663" s="77">
        <f t="shared" ref="H663:H669" si="109">25+60+100</f>
        <v>185</v>
      </c>
      <c r="I663" s="77">
        <f t="shared" si="102"/>
        <v>0</v>
      </c>
      <c r="J663" s="80">
        <v>100</v>
      </c>
      <c r="K663" s="80">
        <v>300</v>
      </c>
      <c r="L663" s="77">
        <f t="shared" si="105"/>
        <v>1239</v>
      </c>
      <c r="M663" s="88">
        <v>600</v>
      </c>
      <c r="N663" s="77">
        <f>100</f>
        <v>100</v>
      </c>
      <c r="O663" s="80">
        <v>240</v>
      </c>
      <c r="P663" s="80">
        <v>40</v>
      </c>
      <c r="Q663" s="80">
        <f t="shared" si="106"/>
        <v>315</v>
      </c>
      <c r="R663" s="80">
        <f t="shared" si="107"/>
        <v>100</v>
      </c>
      <c r="S663" s="77">
        <f t="shared" si="108"/>
        <v>695</v>
      </c>
      <c r="T663" s="77">
        <f>50</f>
        <v>50</v>
      </c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</row>
    <row r="664" spans="1:30" ht="15.75" x14ac:dyDescent="0.25">
      <c r="A664" s="32">
        <v>61148</v>
      </c>
      <c r="B664" s="89">
        <f t="shared" ref="B664:B727" si="110">EOMONTH(A664,0)-EOMONTH(A664,-1)</f>
        <v>31</v>
      </c>
      <c r="C664" s="77">
        <f>194.205</f>
        <v>194.20500000000001</v>
      </c>
      <c r="D664" s="77">
        <f>267.466</f>
        <v>267.46600000000001</v>
      </c>
      <c r="E664" s="86">
        <f>133.845</f>
        <v>133.845</v>
      </c>
      <c r="F664" s="77">
        <f>278.484-40-25-60-100</f>
        <v>53.48399999999998</v>
      </c>
      <c r="G664" s="80">
        <v>40</v>
      </c>
      <c r="H664" s="77">
        <f t="shared" si="109"/>
        <v>185</v>
      </c>
      <c r="I664" s="77">
        <f t="shared" si="102"/>
        <v>0</v>
      </c>
      <c r="J664" s="80">
        <v>100</v>
      </c>
      <c r="K664" s="80">
        <v>300</v>
      </c>
      <c r="L664" s="77">
        <f t="shared" si="105"/>
        <v>1274</v>
      </c>
      <c r="M664" s="88">
        <v>600</v>
      </c>
      <c r="N664" s="77">
        <f>75</f>
        <v>75</v>
      </c>
      <c r="O664" s="80">
        <v>240</v>
      </c>
      <c r="P664" s="80">
        <v>40</v>
      </c>
      <c r="Q664" s="80">
        <f t="shared" si="106"/>
        <v>315</v>
      </c>
      <c r="R664" s="80">
        <f t="shared" si="107"/>
        <v>100</v>
      </c>
      <c r="S664" s="77">
        <f t="shared" si="108"/>
        <v>695</v>
      </c>
      <c r="T664" s="77">
        <f>50</f>
        <v>50</v>
      </c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</row>
    <row r="665" spans="1:30" ht="15.75" x14ac:dyDescent="0.25">
      <c r="A665" s="32">
        <v>61178</v>
      </c>
      <c r="B665" s="89">
        <f t="shared" si="110"/>
        <v>30</v>
      </c>
      <c r="C665" s="77">
        <f>194.205</f>
        <v>194.20500000000001</v>
      </c>
      <c r="D665" s="77">
        <f>267.466</f>
        <v>267.46600000000001</v>
      </c>
      <c r="E665" s="86">
        <f>133.845</f>
        <v>133.845</v>
      </c>
      <c r="F665" s="77">
        <f>278.484-40-25-60-100</f>
        <v>53.48399999999998</v>
      </c>
      <c r="G665" s="80">
        <v>40</v>
      </c>
      <c r="H665" s="77">
        <f t="shared" si="109"/>
        <v>185</v>
      </c>
      <c r="I665" s="77">
        <f t="shared" si="102"/>
        <v>0</v>
      </c>
      <c r="J665" s="80">
        <v>100</v>
      </c>
      <c r="K665" s="80">
        <v>300</v>
      </c>
      <c r="L665" s="77">
        <f t="shared" si="105"/>
        <v>1274</v>
      </c>
      <c r="M665" s="88">
        <v>600</v>
      </c>
      <c r="N665" s="77">
        <f>30</f>
        <v>30</v>
      </c>
      <c r="O665" s="80">
        <v>240</v>
      </c>
      <c r="P665" s="80">
        <v>40</v>
      </c>
      <c r="Q665" s="80">
        <f t="shared" si="106"/>
        <v>315</v>
      </c>
      <c r="R665" s="80">
        <f t="shared" si="107"/>
        <v>100</v>
      </c>
      <c r="S665" s="77">
        <f t="shared" si="108"/>
        <v>695</v>
      </c>
      <c r="T665" s="77">
        <f>50</f>
        <v>50</v>
      </c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</row>
    <row r="666" spans="1:30" ht="15.75" x14ac:dyDescent="0.25">
      <c r="A666" s="32">
        <v>61209</v>
      </c>
      <c r="B666" s="89">
        <f t="shared" si="110"/>
        <v>31</v>
      </c>
      <c r="C666" s="77">
        <f>194.205</f>
        <v>194.20500000000001</v>
      </c>
      <c r="D666" s="77">
        <f>267.466</f>
        <v>267.46600000000001</v>
      </c>
      <c r="E666" s="86">
        <f>133.845</f>
        <v>133.845</v>
      </c>
      <c r="F666" s="77">
        <f>278.484-40-25-60-100</f>
        <v>53.48399999999998</v>
      </c>
      <c r="G666" s="80">
        <v>40</v>
      </c>
      <c r="H666" s="77">
        <f t="shared" si="109"/>
        <v>185</v>
      </c>
      <c r="I666" s="77">
        <f t="shared" si="102"/>
        <v>0</v>
      </c>
      <c r="J666" s="80">
        <v>100</v>
      </c>
      <c r="K666" s="80">
        <v>300</v>
      </c>
      <c r="L666" s="77">
        <f t="shared" si="105"/>
        <v>1274</v>
      </c>
      <c r="M666" s="88">
        <v>600</v>
      </c>
      <c r="N666" s="77">
        <f>30</f>
        <v>30</v>
      </c>
      <c r="O666" s="80">
        <v>240</v>
      </c>
      <c r="P666" s="80">
        <v>40</v>
      </c>
      <c r="Q666" s="80">
        <f t="shared" si="106"/>
        <v>315</v>
      </c>
      <c r="R666" s="80">
        <f t="shared" si="107"/>
        <v>100</v>
      </c>
      <c r="S666" s="77">
        <f t="shared" si="108"/>
        <v>695</v>
      </c>
      <c r="T666" s="77">
        <f>0</f>
        <v>0</v>
      </c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</row>
    <row r="667" spans="1:30" ht="15.75" x14ac:dyDescent="0.25">
      <c r="A667" s="32">
        <v>61240</v>
      </c>
      <c r="B667" s="89">
        <f t="shared" si="110"/>
        <v>31</v>
      </c>
      <c r="C667" s="77">
        <f>194.205</f>
        <v>194.20500000000001</v>
      </c>
      <c r="D667" s="77">
        <f>267.466</f>
        <v>267.46600000000001</v>
      </c>
      <c r="E667" s="86">
        <f>133.845</f>
        <v>133.845</v>
      </c>
      <c r="F667" s="77">
        <f>278.484-40-25-60-100</f>
        <v>53.48399999999998</v>
      </c>
      <c r="G667" s="80">
        <v>40</v>
      </c>
      <c r="H667" s="77">
        <f t="shared" si="109"/>
        <v>185</v>
      </c>
      <c r="I667" s="77">
        <f t="shared" si="102"/>
        <v>0</v>
      </c>
      <c r="J667" s="80">
        <v>100</v>
      </c>
      <c r="K667" s="80">
        <v>300</v>
      </c>
      <c r="L667" s="77">
        <f t="shared" si="105"/>
        <v>1274</v>
      </c>
      <c r="M667" s="88">
        <v>600</v>
      </c>
      <c r="N667" s="77">
        <f>30</f>
        <v>30</v>
      </c>
      <c r="O667" s="80">
        <v>240</v>
      </c>
      <c r="P667" s="80">
        <v>40</v>
      </c>
      <c r="Q667" s="80">
        <f t="shared" si="106"/>
        <v>315</v>
      </c>
      <c r="R667" s="80">
        <f t="shared" si="107"/>
        <v>100</v>
      </c>
      <c r="S667" s="77">
        <f t="shared" si="108"/>
        <v>695</v>
      </c>
      <c r="T667" s="77">
        <f>0</f>
        <v>0</v>
      </c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</row>
    <row r="668" spans="1:30" ht="15.75" x14ac:dyDescent="0.25">
      <c r="A668" s="32">
        <v>61270</v>
      </c>
      <c r="B668" s="89">
        <f t="shared" si="110"/>
        <v>30</v>
      </c>
      <c r="C668" s="77">
        <f>194.205</f>
        <v>194.20500000000001</v>
      </c>
      <c r="D668" s="77">
        <f>267.466</f>
        <v>267.46600000000001</v>
      </c>
      <c r="E668" s="86">
        <f>133.845</f>
        <v>133.845</v>
      </c>
      <c r="F668" s="77">
        <f>278.484-40-25-60-100</f>
        <v>53.48399999999998</v>
      </c>
      <c r="G668" s="80">
        <v>40</v>
      </c>
      <c r="H668" s="77">
        <f t="shared" si="109"/>
        <v>185</v>
      </c>
      <c r="I668" s="77">
        <f t="shared" si="102"/>
        <v>0</v>
      </c>
      <c r="J668" s="80">
        <v>100</v>
      </c>
      <c r="K668" s="80">
        <v>300</v>
      </c>
      <c r="L668" s="77">
        <f t="shared" si="105"/>
        <v>1274</v>
      </c>
      <c r="M668" s="88">
        <v>600</v>
      </c>
      <c r="N668" s="77">
        <f>30</f>
        <v>30</v>
      </c>
      <c r="O668" s="80">
        <v>240</v>
      </c>
      <c r="P668" s="80">
        <v>40</v>
      </c>
      <c r="Q668" s="80">
        <f t="shared" si="106"/>
        <v>315</v>
      </c>
      <c r="R668" s="80">
        <f t="shared" si="107"/>
        <v>100</v>
      </c>
      <c r="S668" s="77">
        <f t="shared" si="108"/>
        <v>695</v>
      </c>
      <c r="T668" s="77">
        <f>0</f>
        <v>0</v>
      </c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</row>
    <row r="669" spans="1:30" ht="15.75" x14ac:dyDescent="0.25">
      <c r="A669" s="32">
        <v>61301</v>
      </c>
      <c r="B669" s="89">
        <f t="shared" si="110"/>
        <v>31</v>
      </c>
      <c r="C669" s="77">
        <f>131.881</f>
        <v>131.881</v>
      </c>
      <c r="D669" s="77">
        <f>277.167</f>
        <v>277.16699999999997</v>
      </c>
      <c r="E669" s="86">
        <f>79.08</f>
        <v>79.08</v>
      </c>
      <c r="F669" s="77">
        <f>350.872-40-25-60-100</f>
        <v>125.87200000000001</v>
      </c>
      <c r="G669" s="80">
        <v>40</v>
      </c>
      <c r="H669" s="77">
        <f t="shared" si="109"/>
        <v>185</v>
      </c>
      <c r="I669" s="77">
        <f t="shared" si="102"/>
        <v>0</v>
      </c>
      <c r="J669" s="80">
        <v>100</v>
      </c>
      <c r="K669" s="80">
        <v>300</v>
      </c>
      <c r="L669" s="77">
        <f t="shared" si="105"/>
        <v>1239</v>
      </c>
      <c r="M669" s="88">
        <v>600</v>
      </c>
      <c r="N669" s="77">
        <f>75</f>
        <v>75</v>
      </c>
      <c r="O669" s="80">
        <v>240</v>
      </c>
      <c r="P669" s="80">
        <v>40</v>
      </c>
      <c r="Q669" s="80">
        <f t="shared" si="106"/>
        <v>315</v>
      </c>
      <c r="R669" s="80">
        <f t="shared" si="107"/>
        <v>100</v>
      </c>
      <c r="S669" s="77">
        <f t="shared" si="108"/>
        <v>695</v>
      </c>
      <c r="T669" s="77">
        <f>0</f>
        <v>0</v>
      </c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</row>
    <row r="670" spans="1:30" ht="15.75" x14ac:dyDescent="0.25">
      <c r="A670" s="32">
        <v>61331</v>
      </c>
      <c r="B670" s="89">
        <f t="shared" si="110"/>
        <v>30</v>
      </c>
      <c r="C670" s="77">
        <f>122.58</f>
        <v>122.58</v>
      </c>
      <c r="D670" s="77">
        <f>297.941</f>
        <v>297.94099999999997</v>
      </c>
      <c r="E670" s="86">
        <f>89.177</f>
        <v>89.177000000000007</v>
      </c>
      <c r="F670" s="77">
        <f>240.302-40-60-100</f>
        <v>40.301999999999992</v>
      </c>
      <c r="G670" s="80">
        <v>40</v>
      </c>
      <c r="H670" s="77">
        <f>60+100</f>
        <v>160</v>
      </c>
      <c r="I670" s="77">
        <f t="shared" si="102"/>
        <v>0</v>
      </c>
      <c r="J670" s="80">
        <v>100</v>
      </c>
      <c r="K670" s="80">
        <v>300</v>
      </c>
      <c r="L670" s="77">
        <f t="shared" si="105"/>
        <v>1150</v>
      </c>
      <c r="M670" s="88">
        <v>600</v>
      </c>
      <c r="N670" s="77">
        <f>100</f>
        <v>100</v>
      </c>
      <c r="O670" s="80">
        <v>240</v>
      </c>
      <c r="P670" s="80">
        <v>40</v>
      </c>
      <c r="Q670" s="80">
        <f t="shared" si="106"/>
        <v>315</v>
      </c>
      <c r="R670" s="80">
        <f t="shared" si="107"/>
        <v>100</v>
      </c>
      <c r="S670" s="77">
        <f t="shared" si="108"/>
        <v>695</v>
      </c>
      <c r="T670" s="77">
        <f>50</f>
        <v>50</v>
      </c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</row>
    <row r="671" spans="1:30" ht="15.75" x14ac:dyDescent="0.25">
      <c r="A671" s="32">
        <v>61362</v>
      </c>
      <c r="B671" s="89">
        <f t="shared" si="110"/>
        <v>31</v>
      </c>
      <c r="C671" s="77">
        <f>122.58</f>
        <v>122.58</v>
      </c>
      <c r="D671" s="77">
        <f>297.941</f>
        <v>297.94099999999997</v>
      </c>
      <c r="E671" s="86">
        <f>89.177</f>
        <v>89.177000000000007</v>
      </c>
      <c r="F671" s="77">
        <f>240.302-40-60-100</f>
        <v>40.301999999999992</v>
      </c>
      <c r="G671" s="80">
        <v>40</v>
      </c>
      <c r="H671" s="77">
        <f>60+100</f>
        <v>160</v>
      </c>
      <c r="I671" s="77">
        <f t="shared" si="102"/>
        <v>0</v>
      </c>
      <c r="J671" s="80">
        <v>100</v>
      </c>
      <c r="K671" s="80">
        <v>300</v>
      </c>
      <c r="L671" s="77">
        <f t="shared" si="105"/>
        <v>1150</v>
      </c>
      <c r="M671" s="88">
        <v>600</v>
      </c>
      <c r="N671" s="77">
        <f>100</f>
        <v>100</v>
      </c>
      <c r="O671" s="80">
        <v>240</v>
      </c>
      <c r="P671" s="80">
        <v>40</v>
      </c>
      <c r="Q671" s="80">
        <f t="shared" si="106"/>
        <v>315</v>
      </c>
      <c r="R671" s="80">
        <f t="shared" si="107"/>
        <v>100</v>
      </c>
      <c r="S671" s="77">
        <f t="shared" si="108"/>
        <v>695</v>
      </c>
      <c r="T671" s="77">
        <f>50</f>
        <v>50</v>
      </c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</row>
    <row r="672" spans="1:30" ht="15.75" x14ac:dyDescent="0.25">
      <c r="A672" s="32">
        <v>61393</v>
      </c>
      <c r="B672" s="89">
        <f t="shared" si="110"/>
        <v>31</v>
      </c>
      <c r="C672" s="77">
        <f>122.58</f>
        <v>122.58</v>
      </c>
      <c r="D672" s="77">
        <f>297.941</f>
        <v>297.94099999999997</v>
      </c>
      <c r="E672" s="86">
        <f>89.177</f>
        <v>89.177000000000007</v>
      </c>
      <c r="F672" s="77">
        <f>240.302-40-60-100</f>
        <v>40.301999999999992</v>
      </c>
      <c r="G672" s="80">
        <v>40</v>
      </c>
      <c r="H672" s="77">
        <f>60+100</f>
        <v>160</v>
      </c>
      <c r="I672" s="77">
        <f t="shared" si="102"/>
        <v>0</v>
      </c>
      <c r="J672" s="80">
        <v>100</v>
      </c>
      <c r="K672" s="80">
        <v>300</v>
      </c>
      <c r="L672" s="77">
        <f t="shared" si="105"/>
        <v>1150</v>
      </c>
      <c r="M672" s="88">
        <v>600</v>
      </c>
      <c r="N672" s="77">
        <f>100</f>
        <v>100</v>
      </c>
      <c r="O672" s="80">
        <v>240</v>
      </c>
      <c r="P672" s="80">
        <v>40</v>
      </c>
      <c r="Q672" s="80">
        <f t="shared" si="106"/>
        <v>315</v>
      </c>
      <c r="R672" s="80">
        <f t="shared" si="107"/>
        <v>100</v>
      </c>
      <c r="S672" s="77">
        <f t="shared" si="108"/>
        <v>695</v>
      </c>
      <c r="T672" s="77">
        <f>50</f>
        <v>50</v>
      </c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</row>
    <row r="673" spans="1:30" ht="15.75" x14ac:dyDescent="0.25">
      <c r="A673" s="32">
        <v>61422</v>
      </c>
      <c r="B673" s="89">
        <f t="shared" si="110"/>
        <v>29</v>
      </c>
      <c r="C673" s="77">
        <f>122.58</f>
        <v>122.58</v>
      </c>
      <c r="D673" s="77">
        <f>297.941</f>
        <v>297.94099999999997</v>
      </c>
      <c r="E673" s="86">
        <f>89.177</f>
        <v>89.177000000000007</v>
      </c>
      <c r="F673" s="77">
        <f>240.302-40-60-100</f>
        <v>40.301999999999992</v>
      </c>
      <c r="G673" s="80">
        <v>40</v>
      </c>
      <c r="H673" s="77">
        <f>60+100</f>
        <v>160</v>
      </c>
      <c r="I673" s="77">
        <f t="shared" si="102"/>
        <v>0</v>
      </c>
      <c r="J673" s="80">
        <v>100</v>
      </c>
      <c r="K673" s="80">
        <v>300</v>
      </c>
      <c r="L673" s="77">
        <f t="shared" si="105"/>
        <v>1150</v>
      </c>
      <c r="M673" s="88">
        <v>600</v>
      </c>
      <c r="N673" s="77">
        <f>100</f>
        <v>100</v>
      </c>
      <c r="O673" s="80">
        <v>240</v>
      </c>
      <c r="P673" s="80">
        <v>40</v>
      </c>
      <c r="Q673" s="80">
        <f t="shared" si="106"/>
        <v>315</v>
      </c>
      <c r="R673" s="80">
        <f t="shared" si="107"/>
        <v>100</v>
      </c>
      <c r="S673" s="77">
        <f t="shared" si="108"/>
        <v>695</v>
      </c>
      <c r="T673" s="77">
        <f>50</f>
        <v>50</v>
      </c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</row>
    <row r="674" spans="1:30" ht="15.75" x14ac:dyDescent="0.25">
      <c r="A674" s="32">
        <v>61453</v>
      </c>
      <c r="B674" s="89">
        <f t="shared" si="110"/>
        <v>31</v>
      </c>
      <c r="C674" s="77">
        <f>122.58</f>
        <v>122.58</v>
      </c>
      <c r="D674" s="77">
        <f>297.941</f>
        <v>297.94099999999997</v>
      </c>
      <c r="E674" s="86">
        <f>89.177</f>
        <v>89.177000000000007</v>
      </c>
      <c r="F674" s="77">
        <f>240.302-40-60-100</f>
        <v>40.301999999999992</v>
      </c>
      <c r="G674" s="80">
        <v>40</v>
      </c>
      <c r="H674" s="77">
        <f>60+100</f>
        <v>160</v>
      </c>
      <c r="I674" s="77">
        <f t="shared" si="102"/>
        <v>0</v>
      </c>
      <c r="J674" s="80">
        <v>100</v>
      </c>
      <c r="K674" s="80">
        <v>300</v>
      </c>
      <c r="L674" s="77">
        <f t="shared" si="105"/>
        <v>1150</v>
      </c>
      <c r="M674" s="88">
        <v>600</v>
      </c>
      <c r="N674" s="77">
        <f>100</f>
        <v>100</v>
      </c>
      <c r="O674" s="80">
        <v>240</v>
      </c>
      <c r="P674" s="80">
        <v>40</v>
      </c>
      <c r="Q674" s="80">
        <f t="shared" si="106"/>
        <v>315</v>
      </c>
      <c r="R674" s="80">
        <f t="shared" si="107"/>
        <v>100</v>
      </c>
      <c r="S674" s="77">
        <f t="shared" si="108"/>
        <v>695</v>
      </c>
      <c r="T674" s="77">
        <f>50</f>
        <v>50</v>
      </c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</row>
    <row r="675" spans="1:30" ht="15.75" x14ac:dyDescent="0.25">
      <c r="A675" s="32">
        <v>61483</v>
      </c>
      <c r="B675" s="89">
        <f t="shared" si="110"/>
        <v>30</v>
      </c>
      <c r="C675" s="77">
        <f>141.293</f>
        <v>141.29300000000001</v>
      </c>
      <c r="D675" s="77">
        <f>267.993</f>
        <v>267.99299999999999</v>
      </c>
      <c r="E675" s="86">
        <f>115.016</f>
        <v>115.01600000000001</v>
      </c>
      <c r="F675" s="77">
        <f>314.698-40-25-60-100</f>
        <v>89.697999999999979</v>
      </c>
      <c r="G675" s="80">
        <v>40</v>
      </c>
      <c r="H675" s="77">
        <f t="shared" ref="H675:H681" si="111">25+60+100</f>
        <v>185</v>
      </c>
      <c r="I675" s="77">
        <f t="shared" si="102"/>
        <v>0</v>
      </c>
      <c r="J675" s="80">
        <v>100</v>
      </c>
      <c r="K675" s="80">
        <v>300</v>
      </c>
      <c r="L675" s="77">
        <f t="shared" si="105"/>
        <v>1239</v>
      </c>
      <c r="M675" s="88">
        <v>600</v>
      </c>
      <c r="N675" s="77">
        <f>100</f>
        <v>100</v>
      </c>
      <c r="O675" s="80">
        <v>240</v>
      </c>
      <c r="P675" s="80">
        <v>40</v>
      </c>
      <c r="Q675" s="80">
        <f t="shared" si="106"/>
        <v>315</v>
      </c>
      <c r="R675" s="80">
        <f t="shared" si="107"/>
        <v>100</v>
      </c>
      <c r="S675" s="77">
        <f t="shared" si="108"/>
        <v>695</v>
      </c>
      <c r="T675" s="77">
        <f>50</f>
        <v>50</v>
      </c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</row>
    <row r="676" spans="1:30" ht="15.75" x14ac:dyDescent="0.25">
      <c r="A676" s="32">
        <v>61514</v>
      </c>
      <c r="B676" s="89">
        <f t="shared" si="110"/>
        <v>31</v>
      </c>
      <c r="C676" s="77">
        <f>194.205</f>
        <v>194.20500000000001</v>
      </c>
      <c r="D676" s="77">
        <f>267.466</f>
        <v>267.46600000000001</v>
      </c>
      <c r="E676" s="86">
        <f>133.845</f>
        <v>133.845</v>
      </c>
      <c r="F676" s="77">
        <f>278.484-40-25-60-100</f>
        <v>53.48399999999998</v>
      </c>
      <c r="G676" s="80">
        <v>40</v>
      </c>
      <c r="H676" s="77">
        <f t="shared" si="111"/>
        <v>185</v>
      </c>
      <c r="I676" s="77">
        <f t="shared" si="102"/>
        <v>0</v>
      </c>
      <c r="J676" s="80">
        <v>100</v>
      </c>
      <c r="K676" s="80">
        <v>300</v>
      </c>
      <c r="L676" s="77">
        <f t="shared" si="105"/>
        <v>1274</v>
      </c>
      <c r="M676" s="88">
        <v>600</v>
      </c>
      <c r="N676" s="77">
        <f>75</f>
        <v>75</v>
      </c>
      <c r="O676" s="80">
        <v>240</v>
      </c>
      <c r="P676" s="80">
        <v>40</v>
      </c>
      <c r="Q676" s="80">
        <f t="shared" si="106"/>
        <v>315</v>
      </c>
      <c r="R676" s="80">
        <f t="shared" si="107"/>
        <v>100</v>
      </c>
      <c r="S676" s="77">
        <f t="shared" si="108"/>
        <v>695</v>
      </c>
      <c r="T676" s="77">
        <f>50</f>
        <v>50</v>
      </c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</row>
    <row r="677" spans="1:30" ht="15.75" x14ac:dyDescent="0.25">
      <c r="A677" s="32">
        <v>61544</v>
      </c>
      <c r="B677" s="89">
        <f t="shared" si="110"/>
        <v>30</v>
      </c>
      <c r="C677" s="77">
        <f>194.205</f>
        <v>194.20500000000001</v>
      </c>
      <c r="D677" s="77">
        <f>267.466</f>
        <v>267.46600000000001</v>
      </c>
      <c r="E677" s="86">
        <f>133.845</f>
        <v>133.845</v>
      </c>
      <c r="F677" s="77">
        <f>278.484-40-25-60-100</f>
        <v>53.48399999999998</v>
      </c>
      <c r="G677" s="80">
        <v>40</v>
      </c>
      <c r="H677" s="77">
        <f t="shared" si="111"/>
        <v>185</v>
      </c>
      <c r="I677" s="77">
        <f t="shared" si="102"/>
        <v>0</v>
      </c>
      <c r="J677" s="80">
        <v>100</v>
      </c>
      <c r="K677" s="80">
        <v>300</v>
      </c>
      <c r="L677" s="77">
        <f t="shared" si="105"/>
        <v>1274</v>
      </c>
      <c r="M677" s="88">
        <v>600</v>
      </c>
      <c r="N677" s="77">
        <f>30</f>
        <v>30</v>
      </c>
      <c r="O677" s="80">
        <v>240</v>
      </c>
      <c r="P677" s="80">
        <v>40</v>
      </c>
      <c r="Q677" s="80">
        <f t="shared" si="106"/>
        <v>315</v>
      </c>
      <c r="R677" s="80">
        <f t="shared" si="107"/>
        <v>100</v>
      </c>
      <c r="S677" s="77">
        <f t="shared" si="108"/>
        <v>695</v>
      </c>
      <c r="T677" s="77">
        <f>50</f>
        <v>50</v>
      </c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</row>
    <row r="678" spans="1:30" ht="15.75" x14ac:dyDescent="0.25">
      <c r="A678" s="32">
        <v>61575</v>
      </c>
      <c r="B678" s="89">
        <f t="shared" si="110"/>
        <v>31</v>
      </c>
      <c r="C678" s="77">
        <f>194.205</f>
        <v>194.20500000000001</v>
      </c>
      <c r="D678" s="77">
        <f>267.466</f>
        <v>267.46600000000001</v>
      </c>
      <c r="E678" s="86">
        <f>133.845</f>
        <v>133.845</v>
      </c>
      <c r="F678" s="77">
        <f>278.484-40-25-60-100</f>
        <v>53.48399999999998</v>
      </c>
      <c r="G678" s="80">
        <v>40</v>
      </c>
      <c r="H678" s="77">
        <f t="shared" si="111"/>
        <v>185</v>
      </c>
      <c r="I678" s="77">
        <f t="shared" si="102"/>
        <v>0</v>
      </c>
      <c r="J678" s="80">
        <v>100</v>
      </c>
      <c r="K678" s="80">
        <v>300</v>
      </c>
      <c r="L678" s="77">
        <f t="shared" si="105"/>
        <v>1274</v>
      </c>
      <c r="M678" s="88">
        <v>600</v>
      </c>
      <c r="N678" s="77">
        <f>30</f>
        <v>30</v>
      </c>
      <c r="O678" s="80">
        <v>240</v>
      </c>
      <c r="P678" s="80">
        <v>40</v>
      </c>
      <c r="Q678" s="80">
        <f t="shared" si="106"/>
        <v>315</v>
      </c>
      <c r="R678" s="80">
        <f t="shared" si="107"/>
        <v>100</v>
      </c>
      <c r="S678" s="77">
        <f t="shared" si="108"/>
        <v>695</v>
      </c>
      <c r="T678" s="77">
        <f>0</f>
        <v>0</v>
      </c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</row>
    <row r="679" spans="1:30" ht="15.75" x14ac:dyDescent="0.25">
      <c r="A679" s="32">
        <v>61606</v>
      </c>
      <c r="B679" s="89">
        <f t="shared" si="110"/>
        <v>31</v>
      </c>
      <c r="C679" s="77">
        <f>194.205</f>
        <v>194.20500000000001</v>
      </c>
      <c r="D679" s="77">
        <f>267.466</f>
        <v>267.46600000000001</v>
      </c>
      <c r="E679" s="86">
        <f>133.845</f>
        <v>133.845</v>
      </c>
      <c r="F679" s="77">
        <f>278.484-40-25-60-100</f>
        <v>53.48399999999998</v>
      </c>
      <c r="G679" s="80">
        <v>40</v>
      </c>
      <c r="H679" s="77">
        <f t="shared" si="111"/>
        <v>185</v>
      </c>
      <c r="I679" s="77">
        <f t="shared" si="102"/>
        <v>0</v>
      </c>
      <c r="J679" s="80">
        <v>100</v>
      </c>
      <c r="K679" s="80">
        <v>300</v>
      </c>
      <c r="L679" s="77">
        <f t="shared" si="105"/>
        <v>1274</v>
      </c>
      <c r="M679" s="88">
        <v>600</v>
      </c>
      <c r="N679" s="77">
        <f>30</f>
        <v>30</v>
      </c>
      <c r="O679" s="80">
        <v>240</v>
      </c>
      <c r="P679" s="80">
        <v>40</v>
      </c>
      <c r="Q679" s="80">
        <f t="shared" si="106"/>
        <v>315</v>
      </c>
      <c r="R679" s="80">
        <f t="shared" si="107"/>
        <v>100</v>
      </c>
      <c r="S679" s="77">
        <f t="shared" si="108"/>
        <v>695</v>
      </c>
      <c r="T679" s="77">
        <f>0</f>
        <v>0</v>
      </c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</row>
    <row r="680" spans="1:30" ht="15.75" x14ac:dyDescent="0.25">
      <c r="A680" s="32">
        <v>61636</v>
      </c>
      <c r="B680" s="89">
        <f t="shared" si="110"/>
        <v>30</v>
      </c>
      <c r="C680" s="77">
        <f>194.205</f>
        <v>194.20500000000001</v>
      </c>
      <c r="D680" s="77">
        <f>267.466</f>
        <v>267.46600000000001</v>
      </c>
      <c r="E680" s="86">
        <f>133.845</f>
        <v>133.845</v>
      </c>
      <c r="F680" s="77">
        <f>278.484-40-25-60-100</f>
        <v>53.48399999999998</v>
      </c>
      <c r="G680" s="80">
        <v>40</v>
      </c>
      <c r="H680" s="77">
        <f t="shared" si="111"/>
        <v>185</v>
      </c>
      <c r="I680" s="77">
        <f t="shared" si="102"/>
        <v>0</v>
      </c>
      <c r="J680" s="80">
        <v>100</v>
      </c>
      <c r="K680" s="80">
        <v>300</v>
      </c>
      <c r="L680" s="77">
        <f t="shared" si="105"/>
        <v>1274</v>
      </c>
      <c r="M680" s="88">
        <v>600</v>
      </c>
      <c r="N680" s="77">
        <f>30</f>
        <v>30</v>
      </c>
      <c r="O680" s="80">
        <v>240</v>
      </c>
      <c r="P680" s="80">
        <v>40</v>
      </c>
      <c r="Q680" s="80">
        <f t="shared" si="106"/>
        <v>315</v>
      </c>
      <c r="R680" s="80">
        <f t="shared" si="107"/>
        <v>100</v>
      </c>
      <c r="S680" s="77">
        <f t="shared" si="108"/>
        <v>695</v>
      </c>
      <c r="T680" s="77">
        <f>0</f>
        <v>0</v>
      </c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</row>
    <row r="681" spans="1:30" ht="15.75" x14ac:dyDescent="0.25">
      <c r="A681" s="32">
        <v>61667</v>
      </c>
      <c r="B681" s="89">
        <f t="shared" si="110"/>
        <v>31</v>
      </c>
      <c r="C681" s="77">
        <f>131.881</f>
        <v>131.881</v>
      </c>
      <c r="D681" s="77">
        <f>277.167</f>
        <v>277.16699999999997</v>
      </c>
      <c r="E681" s="86">
        <f>79.08</f>
        <v>79.08</v>
      </c>
      <c r="F681" s="77">
        <f>350.872-40-25-60-100</f>
        <v>125.87200000000001</v>
      </c>
      <c r="G681" s="80">
        <v>40</v>
      </c>
      <c r="H681" s="77">
        <f t="shared" si="111"/>
        <v>185</v>
      </c>
      <c r="I681" s="77">
        <f t="shared" si="102"/>
        <v>0</v>
      </c>
      <c r="J681" s="80">
        <v>100</v>
      </c>
      <c r="K681" s="80">
        <v>300</v>
      </c>
      <c r="L681" s="77">
        <f t="shared" si="105"/>
        <v>1239</v>
      </c>
      <c r="M681" s="88">
        <v>600</v>
      </c>
      <c r="N681" s="77">
        <f>75</f>
        <v>75</v>
      </c>
      <c r="O681" s="80">
        <v>240</v>
      </c>
      <c r="P681" s="80">
        <v>40</v>
      </c>
      <c r="Q681" s="80">
        <f t="shared" si="106"/>
        <v>315</v>
      </c>
      <c r="R681" s="80">
        <f t="shared" si="107"/>
        <v>100</v>
      </c>
      <c r="S681" s="77">
        <f t="shared" si="108"/>
        <v>695</v>
      </c>
      <c r="T681" s="77">
        <f>0</f>
        <v>0</v>
      </c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</row>
    <row r="682" spans="1:30" ht="15.75" x14ac:dyDescent="0.25">
      <c r="A682" s="32">
        <v>61697</v>
      </c>
      <c r="B682" s="89">
        <f t="shared" si="110"/>
        <v>30</v>
      </c>
      <c r="C682" s="77">
        <f>122.58</f>
        <v>122.58</v>
      </c>
      <c r="D682" s="77">
        <f>297.941</f>
        <v>297.94099999999997</v>
      </c>
      <c r="E682" s="86">
        <f>89.177</f>
        <v>89.177000000000007</v>
      </c>
      <c r="F682" s="77">
        <f>240.302-40-60-100</f>
        <v>40.301999999999992</v>
      </c>
      <c r="G682" s="80">
        <v>40</v>
      </c>
      <c r="H682" s="77">
        <f>60+100</f>
        <v>160</v>
      </c>
      <c r="I682" s="77">
        <f t="shared" si="102"/>
        <v>0</v>
      </c>
      <c r="J682" s="80">
        <v>100</v>
      </c>
      <c r="K682" s="80">
        <v>300</v>
      </c>
      <c r="L682" s="77">
        <f t="shared" si="105"/>
        <v>1150</v>
      </c>
      <c r="M682" s="88">
        <v>600</v>
      </c>
      <c r="N682" s="77">
        <f>100</f>
        <v>100</v>
      </c>
      <c r="O682" s="80">
        <v>240</v>
      </c>
      <c r="P682" s="80">
        <v>40</v>
      </c>
      <c r="Q682" s="80">
        <f t="shared" si="106"/>
        <v>315</v>
      </c>
      <c r="R682" s="80">
        <f t="shared" si="107"/>
        <v>100</v>
      </c>
      <c r="S682" s="77">
        <f t="shared" si="108"/>
        <v>695</v>
      </c>
      <c r="T682" s="77">
        <f>50</f>
        <v>50</v>
      </c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</row>
    <row r="683" spans="1:30" ht="15.75" x14ac:dyDescent="0.25">
      <c r="A683" s="32">
        <v>61728</v>
      </c>
      <c r="B683" s="89">
        <f t="shared" si="110"/>
        <v>31</v>
      </c>
      <c r="C683" s="77">
        <f>122.58</f>
        <v>122.58</v>
      </c>
      <c r="D683" s="77">
        <f>297.941</f>
        <v>297.94099999999997</v>
      </c>
      <c r="E683" s="86">
        <f>89.177</f>
        <v>89.177000000000007</v>
      </c>
      <c r="F683" s="77">
        <f>240.302-40-60-100</f>
        <v>40.301999999999992</v>
      </c>
      <c r="G683" s="80">
        <v>40</v>
      </c>
      <c r="H683" s="77">
        <f>60+100</f>
        <v>160</v>
      </c>
      <c r="I683" s="77">
        <f t="shared" si="102"/>
        <v>0</v>
      </c>
      <c r="J683" s="80">
        <v>100</v>
      </c>
      <c r="K683" s="80">
        <v>300</v>
      </c>
      <c r="L683" s="77">
        <f t="shared" si="105"/>
        <v>1150</v>
      </c>
      <c r="M683" s="88">
        <v>600</v>
      </c>
      <c r="N683" s="77">
        <f>100</f>
        <v>100</v>
      </c>
      <c r="O683" s="80">
        <v>240</v>
      </c>
      <c r="P683" s="80">
        <v>40</v>
      </c>
      <c r="Q683" s="80">
        <f t="shared" si="106"/>
        <v>315</v>
      </c>
      <c r="R683" s="80">
        <f t="shared" si="107"/>
        <v>100</v>
      </c>
      <c r="S683" s="77">
        <f t="shared" si="108"/>
        <v>695</v>
      </c>
      <c r="T683" s="77">
        <f>50</f>
        <v>50</v>
      </c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</row>
    <row r="684" spans="1:30" ht="15.75" x14ac:dyDescent="0.25">
      <c r="A684" s="32">
        <v>61759</v>
      </c>
      <c r="B684" s="89">
        <f t="shared" si="110"/>
        <v>31</v>
      </c>
      <c r="C684" s="77">
        <f>122.58</f>
        <v>122.58</v>
      </c>
      <c r="D684" s="77">
        <f>297.941</f>
        <v>297.94099999999997</v>
      </c>
      <c r="E684" s="86">
        <f>89.177</f>
        <v>89.177000000000007</v>
      </c>
      <c r="F684" s="77">
        <f>240.302-40-60-100</f>
        <v>40.301999999999992</v>
      </c>
      <c r="G684" s="80">
        <v>40</v>
      </c>
      <c r="H684" s="77">
        <f>60+100</f>
        <v>160</v>
      </c>
      <c r="I684" s="77">
        <f t="shared" si="102"/>
        <v>0</v>
      </c>
      <c r="J684" s="80">
        <v>100</v>
      </c>
      <c r="K684" s="80">
        <v>300</v>
      </c>
      <c r="L684" s="77">
        <f t="shared" si="105"/>
        <v>1150</v>
      </c>
      <c r="M684" s="88">
        <v>600</v>
      </c>
      <c r="N684" s="77">
        <f>100</f>
        <v>100</v>
      </c>
      <c r="O684" s="80">
        <v>240</v>
      </c>
      <c r="P684" s="80">
        <v>40</v>
      </c>
      <c r="Q684" s="80">
        <f t="shared" si="106"/>
        <v>315</v>
      </c>
      <c r="R684" s="80">
        <f t="shared" si="107"/>
        <v>100</v>
      </c>
      <c r="S684" s="77">
        <f t="shared" si="108"/>
        <v>695</v>
      </c>
      <c r="T684" s="77">
        <f>50</f>
        <v>50</v>
      </c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</row>
    <row r="685" spans="1:30" ht="15.75" x14ac:dyDescent="0.25">
      <c r="A685" s="32">
        <v>61787</v>
      </c>
      <c r="B685" s="89">
        <f t="shared" si="110"/>
        <v>28</v>
      </c>
      <c r="C685" s="77">
        <f>122.58</f>
        <v>122.58</v>
      </c>
      <c r="D685" s="77">
        <f>297.941</f>
        <v>297.94099999999997</v>
      </c>
      <c r="E685" s="86">
        <f>89.177</f>
        <v>89.177000000000007</v>
      </c>
      <c r="F685" s="77">
        <f>240.302-40-60-100</f>
        <v>40.301999999999992</v>
      </c>
      <c r="G685" s="80">
        <v>40</v>
      </c>
      <c r="H685" s="77">
        <f>60+100</f>
        <v>160</v>
      </c>
      <c r="I685" s="77">
        <f t="shared" si="102"/>
        <v>0</v>
      </c>
      <c r="J685" s="80">
        <v>100</v>
      </c>
      <c r="K685" s="80">
        <v>300</v>
      </c>
      <c r="L685" s="77">
        <f t="shared" si="105"/>
        <v>1150</v>
      </c>
      <c r="M685" s="88">
        <v>600</v>
      </c>
      <c r="N685" s="77">
        <f>100</f>
        <v>100</v>
      </c>
      <c r="O685" s="80">
        <v>240</v>
      </c>
      <c r="P685" s="80">
        <v>40</v>
      </c>
      <c r="Q685" s="80">
        <f t="shared" si="106"/>
        <v>315</v>
      </c>
      <c r="R685" s="80">
        <f t="shared" si="107"/>
        <v>100</v>
      </c>
      <c r="S685" s="77">
        <f t="shared" si="108"/>
        <v>695</v>
      </c>
      <c r="T685" s="77">
        <f>50</f>
        <v>50</v>
      </c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</row>
    <row r="686" spans="1:30" ht="15.75" x14ac:dyDescent="0.25">
      <c r="A686" s="32">
        <v>61818</v>
      </c>
      <c r="B686" s="89">
        <f t="shared" si="110"/>
        <v>31</v>
      </c>
      <c r="C686" s="77">
        <f>122.58</f>
        <v>122.58</v>
      </c>
      <c r="D686" s="77">
        <f>297.941</f>
        <v>297.94099999999997</v>
      </c>
      <c r="E686" s="86">
        <f>89.177</f>
        <v>89.177000000000007</v>
      </c>
      <c r="F686" s="77">
        <f>240.302-40-60-100</f>
        <v>40.301999999999992</v>
      </c>
      <c r="G686" s="80">
        <v>40</v>
      </c>
      <c r="H686" s="77">
        <f>60+100</f>
        <v>160</v>
      </c>
      <c r="I686" s="77">
        <f t="shared" si="102"/>
        <v>0</v>
      </c>
      <c r="J686" s="80">
        <v>100</v>
      </c>
      <c r="K686" s="80">
        <v>300</v>
      </c>
      <c r="L686" s="77">
        <f t="shared" si="105"/>
        <v>1150</v>
      </c>
      <c r="M686" s="88">
        <v>600</v>
      </c>
      <c r="N686" s="77">
        <f>100</f>
        <v>100</v>
      </c>
      <c r="O686" s="80">
        <v>240</v>
      </c>
      <c r="P686" s="80">
        <v>40</v>
      </c>
      <c r="Q686" s="80">
        <f t="shared" si="106"/>
        <v>315</v>
      </c>
      <c r="R686" s="80">
        <f t="shared" si="107"/>
        <v>100</v>
      </c>
      <c r="S686" s="77">
        <f t="shared" si="108"/>
        <v>695</v>
      </c>
      <c r="T686" s="77">
        <f>50</f>
        <v>50</v>
      </c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</row>
    <row r="687" spans="1:30" ht="15.75" x14ac:dyDescent="0.25">
      <c r="A687" s="32">
        <v>61848</v>
      </c>
      <c r="B687" s="89">
        <f t="shared" si="110"/>
        <v>30</v>
      </c>
      <c r="C687" s="77">
        <f>141.293</f>
        <v>141.29300000000001</v>
      </c>
      <c r="D687" s="77">
        <f>267.993</f>
        <v>267.99299999999999</v>
      </c>
      <c r="E687" s="86">
        <f>115.016</f>
        <v>115.01600000000001</v>
      </c>
      <c r="F687" s="77">
        <f>314.698-40-25-60-100</f>
        <v>89.697999999999979</v>
      </c>
      <c r="G687" s="80">
        <v>40</v>
      </c>
      <c r="H687" s="77">
        <f t="shared" ref="H687:H693" si="112">25+60+100</f>
        <v>185</v>
      </c>
      <c r="I687" s="77">
        <f t="shared" si="102"/>
        <v>0</v>
      </c>
      <c r="J687" s="80">
        <v>100</v>
      </c>
      <c r="K687" s="80">
        <v>300</v>
      </c>
      <c r="L687" s="77">
        <f t="shared" si="105"/>
        <v>1239</v>
      </c>
      <c r="M687" s="88">
        <v>600</v>
      </c>
      <c r="N687" s="77">
        <f>100</f>
        <v>100</v>
      </c>
      <c r="O687" s="80">
        <v>240</v>
      </c>
      <c r="P687" s="80">
        <v>40</v>
      </c>
      <c r="Q687" s="80">
        <f t="shared" si="106"/>
        <v>315</v>
      </c>
      <c r="R687" s="80">
        <f t="shared" si="107"/>
        <v>100</v>
      </c>
      <c r="S687" s="77">
        <f t="shared" si="108"/>
        <v>695</v>
      </c>
      <c r="T687" s="77">
        <f>50</f>
        <v>50</v>
      </c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</row>
    <row r="688" spans="1:30" ht="15.75" x14ac:dyDescent="0.25">
      <c r="A688" s="32">
        <v>61879</v>
      </c>
      <c r="B688" s="89">
        <f t="shared" si="110"/>
        <v>31</v>
      </c>
      <c r="C688" s="77">
        <f>194.205</f>
        <v>194.20500000000001</v>
      </c>
      <c r="D688" s="77">
        <f>267.466</f>
        <v>267.46600000000001</v>
      </c>
      <c r="E688" s="86">
        <f>133.845</f>
        <v>133.845</v>
      </c>
      <c r="F688" s="77">
        <f>278.484-40-25-60-100</f>
        <v>53.48399999999998</v>
      </c>
      <c r="G688" s="80">
        <v>40</v>
      </c>
      <c r="H688" s="77">
        <f t="shared" si="112"/>
        <v>185</v>
      </c>
      <c r="I688" s="77">
        <f t="shared" si="102"/>
        <v>0</v>
      </c>
      <c r="J688" s="80">
        <v>100</v>
      </c>
      <c r="K688" s="80">
        <v>300</v>
      </c>
      <c r="L688" s="77">
        <f t="shared" si="105"/>
        <v>1274</v>
      </c>
      <c r="M688" s="88">
        <v>600</v>
      </c>
      <c r="N688" s="77">
        <f>75</f>
        <v>75</v>
      </c>
      <c r="O688" s="80">
        <v>240</v>
      </c>
      <c r="P688" s="80">
        <v>40</v>
      </c>
      <c r="Q688" s="80">
        <f t="shared" si="106"/>
        <v>315</v>
      </c>
      <c r="R688" s="80">
        <f t="shared" si="107"/>
        <v>100</v>
      </c>
      <c r="S688" s="77">
        <f t="shared" si="108"/>
        <v>695</v>
      </c>
      <c r="T688" s="77">
        <f>50</f>
        <v>50</v>
      </c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</row>
    <row r="689" spans="1:30" ht="15.75" x14ac:dyDescent="0.25">
      <c r="A689" s="32">
        <v>61909</v>
      </c>
      <c r="B689" s="89">
        <f t="shared" si="110"/>
        <v>30</v>
      </c>
      <c r="C689" s="77">
        <f>194.205</f>
        <v>194.20500000000001</v>
      </c>
      <c r="D689" s="77">
        <f>267.466</f>
        <v>267.46600000000001</v>
      </c>
      <c r="E689" s="86">
        <f>133.845</f>
        <v>133.845</v>
      </c>
      <c r="F689" s="77">
        <f>278.484-40-25-60-100</f>
        <v>53.48399999999998</v>
      </c>
      <c r="G689" s="80">
        <v>40</v>
      </c>
      <c r="H689" s="77">
        <f t="shared" si="112"/>
        <v>185</v>
      </c>
      <c r="I689" s="77">
        <f t="shared" si="102"/>
        <v>0</v>
      </c>
      <c r="J689" s="80">
        <v>100</v>
      </c>
      <c r="K689" s="80">
        <v>300</v>
      </c>
      <c r="L689" s="77">
        <f t="shared" si="105"/>
        <v>1274</v>
      </c>
      <c r="M689" s="88">
        <v>600</v>
      </c>
      <c r="N689" s="77">
        <f>30</f>
        <v>30</v>
      </c>
      <c r="O689" s="80">
        <v>240</v>
      </c>
      <c r="P689" s="80">
        <v>40</v>
      </c>
      <c r="Q689" s="80">
        <f t="shared" si="106"/>
        <v>315</v>
      </c>
      <c r="R689" s="80">
        <f t="shared" si="107"/>
        <v>100</v>
      </c>
      <c r="S689" s="77">
        <f t="shared" si="108"/>
        <v>695</v>
      </c>
      <c r="T689" s="77">
        <f>50</f>
        <v>50</v>
      </c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</row>
    <row r="690" spans="1:30" ht="15.75" x14ac:dyDescent="0.25">
      <c r="A690" s="32">
        <v>61940</v>
      </c>
      <c r="B690" s="89">
        <f t="shared" si="110"/>
        <v>31</v>
      </c>
      <c r="C690" s="77">
        <f>194.205</f>
        <v>194.20500000000001</v>
      </c>
      <c r="D690" s="77">
        <f>267.466</f>
        <v>267.46600000000001</v>
      </c>
      <c r="E690" s="86">
        <f>133.845</f>
        <v>133.845</v>
      </c>
      <c r="F690" s="77">
        <f>278.484-40-25-60-100</f>
        <v>53.48399999999998</v>
      </c>
      <c r="G690" s="80">
        <v>40</v>
      </c>
      <c r="H690" s="77">
        <f t="shared" si="112"/>
        <v>185</v>
      </c>
      <c r="I690" s="77">
        <f t="shared" si="102"/>
        <v>0</v>
      </c>
      <c r="J690" s="80">
        <v>100</v>
      </c>
      <c r="K690" s="80">
        <v>300</v>
      </c>
      <c r="L690" s="77">
        <f t="shared" si="105"/>
        <v>1274</v>
      </c>
      <c r="M690" s="88">
        <v>600</v>
      </c>
      <c r="N690" s="77">
        <f>30</f>
        <v>30</v>
      </c>
      <c r="O690" s="80">
        <v>240</v>
      </c>
      <c r="P690" s="80">
        <v>40</v>
      </c>
      <c r="Q690" s="80">
        <f t="shared" si="106"/>
        <v>315</v>
      </c>
      <c r="R690" s="80">
        <f t="shared" si="107"/>
        <v>100</v>
      </c>
      <c r="S690" s="77">
        <f t="shared" si="108"/>
        <v>695</v>
      </c>
      <c r="T690" s="77">
        <f>0</f>
        <v>0</v>
      </c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</row>
    <row r="691" spans="1:30" ht="15.75" x14ac:dyDescent="0.25">
      <c r="A691" s="32">
        <v>61971</v>
      </c>
      <c r="B691" s="89">
        <f t="shared" si="110"/>
        <v>31</v>
      </c>
      <c r="C691" s="77">
        <f>194.205</f>
        <v>194.20500000000001</v>
      </c>
      <c r="D691" s="77">
        <f>267.466</f>
        <v>267.46600000000001</v>
      </c>
      <c r="E691" s="86">
        <f>133.845</f>
        <v>133.845</v>
      </c>
      <c r="F691" s="77">
        <f>278.484-40-25-60-100</f>
        <v>53.48399999999998</v>
      </c>
      <c r="G691" s="80">
        <v>40</v>
      </c>
      <c r="H691" s="77">
        <f t="shared" si="112"/>
        <v>185</v>
      </c>
      <c r="I691" s="77">
        <f t="shared" si="102"/>
        <v>0</v>
      </c>
      <c r="J691" s="80">
        <v>100</v>
      </c>
      <c r="K691" s="80">
        <v>300</v>
      </c>
      <c r="L691" s="77">
        <f t="shared" si="105"/>
        <v>1274</v>
      </c>
      <c r="M691" s="88">
        <v>600</v>
      </c>
      <c r="N691" s="77">
        <f>30</f>
        <v>30</v>
      </c>
      <c r="O691" s="80">
        <v>240</v>
      </c>
      <c r="P691" s="80">
        <v>40</v>
      </c>
      <c r="Q691" s="80">
        <f t="shared" si="106"/>
        <v>315</v>
      </c>
      <c r="R691" s="80">
        <f t="shared" si="107"/>
        <v>100</v>
      </c>
      <c r="S691" s="77">
        <f t="shared" si="108"/>
        <v>695</v>
      </c>
      <c r="T691" s="77">
        <f>0</f>
        <v>0</v>
      </c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</row>
    <row r="692" spans="1:30" ht="15.75" x14ac:dyDescent="0.25">
      <c r="A692" s="32">
        <v>62001</v>
      </c>
      <c r="B692" s="89">
        <f t="shared" si="110"/>
        <v>30</v>
      </c>
      <c r="C692" s="77">
        <f>194.205</f>
        <v>194.20500000000001</v>
      </c>
      <c r="D692" s="77">
        <f>267.466</f>
        <v>267.46600000000001</v>
      </c>
      <c r="E692" s="86">
        <f>133.845</f>
        <v>133.845</v>
      </c>
      <c r="F692" s="77">
        <f>278.484-40-25-60-100</f>
        <v>53.48399999999998</v>
      </c>
      <c r="G692" s="80">
        <v>40</v>
      </c>
      <c r="H692" s="77">
        <f t="shared" si="112"/>
        <v>185</v>
      </c>
      <c r="I692" s="77">
        <f t="shared" ref="I692:I755" si="113">400-J692-K692</f>
        <v>0</v>
      </c>
      <c r="J692" s="80">
        <v>100</v>
      </c>
      <c r="K692" s="80">
        <v>300</v>
      </c>
      <c r="L692" s="77">
        <f t="shared" si="105"/>
        <v>1274</v>
      </c>
      <c r="M692" s="88">
        <v>600</v>
      </c>
      <c r="N692" s="77">
        <f>30</f>
        <v>30</v>
      </c>
      <c r="O692" s="80">
        <v>240</v>
      </c>
      <c r="P692" s="80">
        <v>40</v>
      </c>
      <c r="Q692" s="80">
        <f t="shared" si="106"/>
        <v>315</v>
      </c>
      <c r="R692" s="80">
        <f t="shared" si="107"/>
        <v>100</v>
      </c>
      <c r="S692" s="77">
        <f t="shared" si="108"/>
        <v>695</v>
      </c>
      <c r="T692" s="77">
        <f>0</f>
        <v>0</v>
      </c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</row>
    <row r="693" spans="1:30" ht="15.75" x14ac:dyDescent="0.25">
      <c r="A693" s="32">
        <v>62032</v>
      </c>
      <c r="B693" s="89">
        <f t="shared" si="110"/>
        <v>31</v>
      </c>
      <c r="C693" s="77">
        <f>131.881</f>
        <v>131.881</v>
      </c>
      <c r="D693" s="77">
        <f>277.167</f>
        <v>277.16699999999997</v>
      </c>
      <c r="E693" s="86">
        <f>79.08</f>
        <v>79.08</v>
      </c>
      <c r="F693" s="77">
        <f>350.872-40-25-60-100</f>
        <v>125.87200000000001</v>
      </c>
      <c r="G693" s="80">
        <v>40</v>
      </c>
      <c r="H693" s="77">
        <f t="shared" si="112"/>
        <v>185</v>
      </c>
      <c r="I693" s="77">
        <f t="shared" si="113"/>
        <v>0</v>
      </c>
      <c r="J693" s="80">
        <v>100</v>
      </c>
      <c r="K693" s="80">
        <v>300</v>
      </c>
      <c r="L693" s="77">
        <f t="shared" si="105"/>
        <v>1239</v>
      </c>
      <c r="M693" s="88">
        <v>600</v>
      </c>
      <c r="N693" s="77">
        <f>75</f>
        <v>75</v>
      </c>
      <c r="O693" s="80">
        <v>240</v>
      </c>
      <c r="P693" s="80">
        <v>40</v>
      </c>
      <c r="Q693" s="80">
        <f t="shared" si="106"/>
        <v>315</v>
      </c>
      <c r="R693" s="80">
        <f t="shared" si="107"/>
        <v>100</v>
      </c>
      <c r="S693" s="77">
        <f t="shared" si="108"/>
        <v>695</v>
      </c>
      <c r="T693" s="77">
        <f>0</f>
        <v>0</v>
      </c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</row>
    <row r="694" spans="1:30" ht="15.75" x14ac:dyDescent="0.25">
      <c r="A694" s="32">
        <v>62062</v>
      </c>
      <c r="B694" s="89">
        <f t="shared" si="110"/>
        <v>30</v>
      </c>
      <c r="C694" s="77">
        <f>122.58</f>
        <v>122.58</v>
      </c>
      <c r="D694" s="77">
        <f>297.941</f>
        <v>297.94099999999997</v>
      </c>
      <c r="E694" s="86">
        <f>89.177</f>
        <v>89.177000000000007</v>
      </c>
      <c r="F694" s="77">
        <f>240.302-40-60-100</f>
        <v>40.301999999999992</v>
      </c>
      <c r="G694" s="80">
        <v>40</v>
      </c>
      <c r="H694" s="77">
        <f>60+100</f>
        <v>160</v>
      </c>
      <c r="I694" s="77">
        <f t="shared" si="113"/>
        <v>0</v>
      </c>
      <c r="J694" s="80">
        <v>100</v>
      </c>
      <c r="K694" s="80">
        <v>300</v>
      </c>
      <c r="L694" s="77">
        <f t="shared" si="105"/>
        <v>1150</v>
      </c>
      <c r="M694" s="88">
        <v>600</v>
      </c>
      <c r="N694" s="77">
        <f>100</f>
        <v>100</v>
      </c>
      <c r="O694" s="80">
        <v>240</v>
      </c>
      <c r="P694" s="80">
        <v>40</v>
      </c>
      <c r="Q694" s="80">
        <f t="shared" si="106"/>
        <v>315</v>
      </c>
      <c r="R694" s="80">
        <f t="shared" si="107"/>
        <v>100</v>
      </c>
      <c r="S694" s="77">
        <f t="shared" si="108"/>
        <v>695</v>
      </c>
      <c r="T694" s="77">
        <f>50</f>
        <v>50</v>
      </c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</row>
    <row r="695" spans="1:30" ht="15.75" x14ac:dyDescent="0.25">
      <c r="A695" s="32">
        <v>62093</v>
      </c>
      <c r="B695" s="89">
        <f t="shared" si="110"/>
        <v>31</v>
      </c>
      <c r="C695" s="77">
        <f>122.58</f>
        <v>122.58</v>
      </c>
      <c r="D695" s="77">
        <f>297.941</f>
        <v>297.94099999999997</v>
      </c>
      <c r="E695" s="86">
        <f>89.177</f>
        <v>89.177000000000007</v>
      </c>
      <c r="F695" s="77">
        <f>240.302-40-60-100</f>
        <v>40.301999999999992</v>
      </c>
      <c r="G695" s="80">
        <v>40</v>
      </c>
      <c r="H695" s="77">
        <f>60+100</f>
        <v>160</v>
      </c>
      <c r="I695" s="77">
        <f t="shared" si="113"/>
        <v>0</v>
      </c>
      <c r="J695" s="80">
        <v>100</v>
      </c>
      <c r="K695" s="80">
        <v>300</v>
      </c>
      <c r="L695" s="77">
        <f t="shared" si="105"/>
        <v>1150</v>
      </c>
      <c r="M695" s="88">
        <v>600</v>
      </c>
      <c r="N695" s="77">
        <f>100</f>
        <v>100</v>
      </c>
      <c r="O695" s="80">
        <v>240</v>
      </c>
      <c r="P695" s="80">
        <v>40</v>
      </c>
      <c r="Q695" s="80">
        <f t="shared" si="106"/>
        <v>315</v>
      </c>
      <c r="R695" s="80">
        <f t="shared" si="107"/>
        <v>100</v>
      </c>
      <c r="S695" s="77">
        <f t="shared" si="108"/>
        <v>695</v>
      </c>
      <c r="T695" s="77">
        <f>50</f>
        <v>50</v>
      </c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</row>
    <row r="696" spans="1:30" ht="15.75" x14ac:dyDescent="0.25">
      <c r="A696" s="32">
        <v>62124</v>
      </c>
      <c r="B696" s="89">
        <f t="shared" si="110"/>
        <v>31</v>
      </c>
      <c r="C696" s="77">
        <f>122.58</f>
        <v>122.58</v>
      </c>
      <c r="D696" s="77">
        <f>297.941</f>
        <v>297.94099999999997</v>
      </c>
      <c r="E696" s="86">
        <f>89.177</f>
        <v>89.177000000000007</v>
      </c>
      <c r="F696" s="77">
        <f>240.302-40-60-100</f>
        <v>40.301999999999992</v>
      </c>
      <c r="G696" s="80">
        <v>40</v>
      </c>
      <c r="H696" s="77">
        <f>60+100</f>
        <v>160</v>
      </c>
      <c r="I696" s="77">
        <f t="shared" si="113"/>
        <v>0</v>
      </c>
      <c r="J696" s="80">
        <v>100</v>
      </c>
      <c r="K696" s="80">
        <v>300</v>
      </c>
      <c r="L696" s="77">
        <f t="shared" si="105"/>
        <v>1150</v>
      </c>
      <c r="M696" s="88">
        <v>600</v>
      </c>
      <c r="N696" s="77">
        <f>100</f>
        <v>100</v>
      </c>
      <c r="O696" s="80">
        <v>240</v>
      </c>
      <c r="P696" s="80">
        <v>40</v>
      </c>
      <c r="Q696" s="80">
        <f t="shared" si="106"/>
        <v>315</v>
      </c>
      <c r="R696" s="80">
        <f t="shared" si="107"/>
        <v>100</v>
      </c>
      <c r="S696" s="77">
        <f t="shared" si="108"/>
        <v>695</v>
      </c>
      <c r="T696" s="77">
        <f>50</f>
        <v>50</v>
      </c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</row>
    <row r="697" spans="1:30" ht="15.75" x14ac:dyDescent="0.25">
      <c r="A697" s="32">
        <v>62152</v>
      </c>
      <c r="B697" s="89">
        <f t="shared" si="110"/>
        <v>28</v>
      </c>
      <c r="C697" s="77">
        <f>122.58</f>
        <v>122.58</v>
      </c>
      <c r="D697" s="77">
        <f>297.941</f>
        <v>297.94099999999997</v>
      </c>
      <c r="E697" s="86">
        <f>89.177</f>
        <v>89.177000000000007</v>
      </c>
      <c r="F697" s="77">
        <f>240.302-40-60-100</f>
        <v>40.301999999999992</v>
      </c>
      <c r="G697" s="80">
        <v>40</v>
      </c>
      <c r="H697" s="77">
        <f>60+100</f>
        <v>160</v>
      </c>
      <c r="I697" s="77">
        <f t="shared" si="113"/>
        <v>0</v>
      </c>
      <c r="J697" s="80">
        <v>100</v>
      </c>
      <c r="K697" s="80">
        <v>300</v>
      </c>
      <c r="L697" s="77">
        <f t="shared" si="105"/>
        <v>1150</v>
      </c>
      <c r="M697" s="88">
        <v>600</v>
      </c>
      <c r="N697" s="77">
        <f>100</f>
        <v>100</v>
      </c>
      <c r="O697" s="80">
        <v>240</v>
      </c>
      <c r="P697" s="80">
        <v>40</v>
      </c>
      <c r="Q697" s="80">
        <f t="shared" si="106"/>
        <v>315</v>
      </c>
      <c r="R697" s="80">
        <f t="shared" si="107"/>
        <v>100</v>
      </c>
      <c r="S697" s="77">
        <f t="shared" si="108"/>
        <v>695</v>
      </c>
      <c r="T697" s="77">
        <f>50</f>
        <v>50</v>
      </c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</row>
    <row r="698" spans="1:30" ht="15.75" x14ac:dyDescent="0.25">
      <c r="A698" s="32">
        <v>62183</v>
      </c>
      <c r="B698" s="89">
        <f t="shared" si="110"/>
        <v>31</v>
      </c>
      <c r="C698" s="77">
        <f>122.58</f>
        <v>122.58</v>
      </c>
      <c r="D698" s="77">
        <f>297.941</f>
        <v>297.94099999999997</v>
      </c>
      <c r="E698" s="86">
        <f>89.177</f>
        <v>89.177000000000007</v>
      </c>
      <c r="F698" s="77">
        <f>240.302-40-60-100</f>
        <v>40.301999999999992</v>
      </c>
      <c r="G698" s="80">
        <v>40</v>
      </c>
      <c r="H698" s="77">
        <f>60+100</f>
        <v>160</v>
      </c>
      <c r="I698" s="77">
        <f t="shared" si="113"/>
        <v>0</v>
      </c>
      <c r="J698" s="80">
        <v>100</v>
      </c>
      <c r="K698" s="80">
        <v>300</v>
      </c>
      <c r="L698" s="77">
        <f t="shared" si="105"/>
        <v>1150</v>
      </c>
      <c r="M698" s="88">
        <v>600</v>
      </c>
      <c r="N698" s="77">
        <f>100</f>
        <v>100</v>
      </c>
      <c r="O698" s="80">
        <v>240</v>
      </c>
      <c r="P698" s="80">
        <v>40</v>
      </c>
      <c r="Q698" s="80">
        <f t="shared" si="106"/>
        <v>315</v>
      </c>
      <c r="R698" s="80">
        <f t="shared" si="107"/>
        <v>100</v>
      </c>
      <c r="S698" s="77">
        <f t="shared" si="108"/>
        <v>695</v>
      </c>
      <c r="T698" s="77">
        <f>50</f>
        <v>50</v>
      </c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</row>
    <row r="699" spans="1:30" ht="15.75" x14ac:dyDescent="0.25">
      <c r="A699" s="32">
        <v>62213</v>
      </c>
      <c r="B699" s="89">
        <f t="shared" si="110"/>
        <v>30</v>
      </c>
      <c r="C699" s="77">
        <f>141.293</f>
        <v>141.29300000000001</v>
      </c>
      <c r="D699" s="77">
        <f>267.993</f>
        <v>267.99299999999999</v>
      </c>
      <c r="E699" s="86">
        <f>115.016</f>
        <v>115.01600000000001</v>
      </c>
      <c r="F699" s="77">
        <f>314.698-40-25-60-100</f>
        <v>89.697999999999979</v>
      </c>
      <c r="G699" s="80">
        <v>40</v>
      </c>
      <c r="H699" s="77">
        <f t="shared" ref="H699:H705" si="114">25+60+100</f>
        <v>185</v>
      </c>
      <c r="I699" s="77">
        <f t="shared" si="113"/>
        <v>0</v>
      </c>
      <c r="J699" s="80">
        <v>100</v>
      </c>
      <c r="K699" s="80">
        <v>300</v>
      </c>
      <c r="L699" s="77">
        <f t="shared" si="105"/>
        <v>1239</v>
      </c>
      <c r="M699" s="88">
        <v>600</v>
      </c>
      <c r="N699" s="77">
        <f>100</f>
        <v>100</v>
      </c>
      <c r="O699" s="80">
        <v>240</v>
      </c>
      <c r="P699" s="80">
        <v>40</v>
      </c>
      <c r="Q699" s="80">
        <f t="shared" si="106"/>
        <v>315</v>
      </c>
      <c r="R699" s="80">
        <f t="shared" si="107"/>
        <v>100</v>
      </c>
      <c r="S699" s="77">
        <f t="shared" si="108"/>
        <v>695</v>
      </c>
      <c r="T699" s="77">
        <f>50</f>
        <v>50</v>
      </c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</row>
    <row r="700" spans="1:30" ht="15.75" x14ac:dyDescent="0.25">
      <c r="A700" s="32">
        <v>62244</v>
      </c>
      <c r="B700" s="89">
        <f t="shared" si="110"/>
        <v>31</v>
      </c>
      <c r="C700" s="77">
        <f>194.205</f>
        <v>194.20500000000001</v>
      </c>
      <c r="D700" s="77">
        <f>267.466</f>
        <v>267.46600000000001</v>
      </c>
      <c r="E700" s="86">
        <f>133.845</f>
        <v>133.845</v>
      </c>
      <c r="F700" s="77">
        <f>278.484-40-25-60-100</f>
        <v>53.48399999999998</v>
      </c>
      <c r="G700" s="80">
        <v>40</v>
      </c>
      <c r="H700" s="77">
        <f t="shared" si="114"/>
        <v>185</v>
      </c>
      <c r="I700" s="77">
        <f t="shared" si="113"/>
        <v>0</v>
      </c>
      <c r="J700" s="80">
        <v>100</v>
      </c>
      <c r="K700" s="80">
        <v>300</v>
      </c>
      <c r="L700" s="77">
        <f t="shared" si="105"/>
        <v>1274</v>
      </c>
      <c r="M700" s="88">
        <v>600</v>
      </c>
      <c r="N700" s="77">
        <f>75</f>
        <v>75</v>
      </c>
      <c r="O700" s="80">
        <v>240</v>
      </c>
      <c r="P700" s="80">
        <v>40</v>
      </c>
      <c r="Q700" s="80">
        <f t="shared" si="106"/>
        <v>315</v>
      </c>
      <c r="R700" s="80">
        <f t="shared" si="107"/>
        <v>100</v>
      </c>
      <c r="S700" s="77">
        <f t="shared" si="108"/>
        <v>695</v>
      </c>
      <c r="T700" s="77">
        <f>50</f>
        <v>50</v>
      </c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</row>
    <row r="701" spans="1:30" ht="15.75" x14ac:dyDescent="0.25">
      <c r="A701" s="32">
        <v>62274</v>
      </c>
      <c r="B701" s="89">
        <f t="shared" si="110"/>
        <v>30</v>
      </c>
      <c r="C701" s="77">
        <f>194.205</f>
        <v>194.20500000000001</v>
      </c>
      <c r="D701" s="77">
        <f>267.466</f>
        <v>267.46600000000001</v>
      </c>
      <c r="E701" s="86">
        <f>133.845</f>
        <v>133.845</v>
      </c>
      <c r="F701" s="77">
        <f>278.484-40-25-60-100</f>
        <v>53.48399999999998</v>
      </c>
      <c r="G701" s="80">
        <v>40</v>
      </c>
      <c r="H701" s="77">
        <f t="shared" si="114"/>
        <v>185</v>
      </c>
      <c r="I701" s="77">
        <f t="shared" si="113"/>
        <v>0</v>
      </c>
      <c r="J701" s="80">
        <v>100</v>
      </c>
      <c r="K701" s="80">
        <v>300</v>
      </c>
      <c r="L701" s="77">
        <f t="shared" si="105"/>
        <v>1274</v>
      </c>
      <c r="M701" s="88">
        <v>600</v>
      </c>
      <c r="N701" s="77">
        <f>30</f>
        <v>30</v>
      </c>
      <c r="O701" s="80">
        <v>240</v>
      </c>
      <c r="P701" s="80">
        <v>40</v>
      </c>
      <c r="Q701" s="80">
        <f t="shared" si="106"/>
        <v>315</v>
      </c>
      <c r="R701" s="80">
        <f t="shared" si="107"/>
        <v>100</v>
      </c>
      <c r="S701" s="77">
        <f t="shared" si="108"/>
        <v>695</v>
      </c>
      <c r="T701" s="77">
        <f>50</f>
        <v>50</v>
      </c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</row>
    <row r="702" spans="1:30" ht="15.75" x14ac:dyDescent="0.25">
      <c r="A702" s="32">
        <v>62305</v>
      </c>
      <c r="B702" s="89">
        <f t="shared" si="110"/>
        <v>31</v>
      </c>
      <c r="C702" s="77">
        <f>194.205</f>
        <v>194.20500000000001</v>
      </c>
      <c r="D702" s="77">
        <f>267.466</f>
        <v>267.46600000000001</v>
      </c>
      <c r="E702" s="86">
        <f>133.845</f>
        <v>133.845</v>
      </c>
      <c r="F702" s="77">
        <f>278.484-40-25-60-100</f>
        <v>53.48399999999998</v>
      </c>
      <c r="G702" s="80">
        <v>40</v>
      </c>
      <c r="H702" s="77">
        <f t="shared" si="114"/>
        <v>185</v>
      </c>
      <c r="I702" s="77">
        <f t="shared" si="113"/>
        <v>0</v>
      </c>
      <c r="J702" s="80">
        <v>100</v>
      </c>
      <c r="K702" s="80">
        <v>300</v>
      </c>
      <c r="L702" s="77">
        <f t="shared" si="105"/>
        <v>1274</v>
      </c>
      <c r="M702" s="88">
        <v>600</v>
      </c>
      <c r="N702" s="77">
        <f>30</f>
        <v>30</v>
      </c>
      <c r="O702" s="80">
        <v>240</v>
      </c>
      <c r="P702" s="80">
        <v>40</v>
      </c>
      <c r="Q702" s="80">
        <f t="shared" si="106"/>
        <v>315</v>
      </c>
      <c r="R702" s="80">
        <f t="shared" si="107"/>
        <v>100</v>
      </c>
      <c r="S702" s="77">
        <f t="shared" si="108"/>
        <v>695</v>
      </c>
      <c r="T702" s="77">
        <f>0</f>
        <v>0</v>
      </c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</row>
    <row r="703" spans="1:30" ht="15.75" x14ac:dyDescent="0.25">
      <c r="A703" s="32">
        <v>62336</v>
      </c>
      <c r="B703" s="89">
        <f t="shared" si="110"/>
        <v>31</v>
      </c>
      <c r="C703" s="77">
        <f>194.205</f>
        <v>194.20500000000001</v>
      </c>
      <c r="D703" s="77">
        <f>267.466</f>
        <v>267.46600000000001</v>
      </c>
      <c r="E703" s="86">
        <f>133.845</f>
        <v>133.845</v>
      </c>
      <c r="F703" s="77">
        <f>278.484-40-25-60-100</f>
        <v>53.48399999999998</v>
      </c>
      <c r="G703" s="80">
        <v>40</v>
      </c>
      <c r="H703" s="77">
        <f t="shared" si="114"/>
        <v>185</v>
      </c>
      <c r="I703" s="77">
        <f t="shared" si="113"/>
        <v>0</v>
      </c>
      <c r="J703" s="80">
        <v>100</v>
      </c>
      <c r="K703" s="80">
        <v>300</v>
      </c>
      <c r="L703" s="77">
        <f t="shared" si="105"/>
        <v>1274</v>
      </c>
      <c r="M703" s="88">
        <v>600</v>
      </c>
      <c r="N703" s="77">
        <f>30</f>
        <v>30</v>
      </c>
      <c r="O703" s="80">
        <v>240</v>
      </c>
      <c r="P703" s="80">
        <v>40</v>
      </c>
      <c r="Q703" s="80">
        <f t="shared" si="106"/>
        <v>315</v>
      </c>
      <c r="R703" s="80">
        <f t="shared" si="107"/>
        <v>100</v>
      </c>
      <c r="S703" s="77">
        <f t="shared" si="108"/>
        <v>695</v>
      </c>
      <c r="T703" s="77">
        <f>0</f>
        <v>0</v>
      </c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</row>
    <row r="704" spans="1:30" ht="15.75" x14ac:dyDescent="0.25">
      <c r="A704" s="32">
        <v>62366</v>
      </c>
      <c r="B704" s="89">
        <f t="shared" si="110"/>
        <v>30</v>
      </c>
      <c r="C704" s="77">
        <f>194.205</f>
        <v>194.20500000000001</v>
      </c>
      <c r="D704" s="77">
        <f>267.466</f>
        <v>267.46600000000001</v>
      </c>
      <c r="E704" s="86">
        <f>133.845</f>
        <v>133.845</v>
      </c>
      <c r="F704" s="77">
        <f>278.484-40-25-60-100</f>
        <v>53.48399999999998</v>
      </c>
      <c r="G704" s="80">
        <v>40</v>
      </c>
      <c r="H704" s="77">
        <f t="shared" si="114"/>
        <v>185</v>
      </c>
      <c r="I704" s="77">
        <f t="shared" si="113"/>
        <v>0</v>
      </c>
      <c r="J704" s="80">
        <v>100</v>
      </c>
      <c r="K704" s="80">
        <v>300</v>
      </c>
      <c r="L704" s="77">
        <f t="shared" si="105"/>
        <v>1274</v>
      </c>
      <c r="M704" s="88">
        <v>600</v>
      </c>
      <c r="N704" s="77">
        <f>30</f>
        <v>30</v>
      </c>
      <c r="O704" s="80">
        <v>240</v>
      </c>
      <c r="P704" s="80">
        <v>40</v>
      </c>
      <c r="Q704" s="80">
        <f t="shared" si="106"/>
        <v>315</v>
      </c>
      <c r="R704" s="80">
        <f t="shared" si="107"/>
        <v>100</v>
      </c>
      <c r="S704" s="77">
        <f t="shared" si="108"/>
        <v>695</v>
      </c>
      <c r="T704" s="77">
        <f>0</f>
        <v>0</v>
      </c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</row>
    <row r="705" spans="1:30" ht="15.75" x14ac:dyDescent="0.25">
      <c r="A705" s="32">
        <v>62397</v>
      </c>
      <c r="B705" s="89">
        <f t="shared" si="110"/>
        <v>31</v>
      </c>
      <c r="C705" s="77">
        <f>131.881</f>
        <v>131.881</v>
      </c>
      <c r="D705" s="77">
        <f>277.167</f>
        <v>277.16699999999997</v>
      </c>
      <c r="E705" s="86">
        <f>79.08</f>
        <v>79.08</v>
      </c>
      <c r="F705" s="77">
        <f>350.872-40-25-60-100</f>
        <v>125.87200000000001</v>
      </c>
      <c r="G705" s="80">
        <v>40</v>
      </c>
      <c r="H705" s="77">
        <f t="shared" si="114"/>
        <v>185</v>
      </c>
      <c r="I705" s="77">
        <f t="shared" si="113"/>
        <v>0</v>
      </c>
      <c r="J705" s="80">
        <v>100</v>
      </c>
      <c r="K705" s="80">
        <v>300</v>
      </c>
      <c r="L705" s="77">
        <f t="shared" si="105"/>
        <v>1239</v>
      </c>
      <c r="M705" s="88">
        <v>600</v>
      </c>
      <c r="N705" s="77">
        <f>75</f>
        <v>75</v>
      </c>
      <c r="O705" s="80">
        <v>240</v>
      </c>
      <c r="P705" s="80">
        <v>40</v>
      </c>
      <c r="Q705" s="80">
        <f t="shared" si="106"/>
        <v>315</v>
      </c>
      <c r="R705" s="80">
        <f t="shared" si="107"/>
        <v>100</v>
      </c>
      <c r="S705" s="77">
        <f t="shared" si="108"/>
        <v>695</v>
      </c>
      <c r="T705" s="77">
        <f>0</f>
        <v>0</v>
      </c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</row>
    <row r="706" spans="1:30" ht="15.75" x14ac:dyDescent="0.25">
      <c r="A706" s="32">
        <v>62427</v>
      </c>
      <c r="B706" s="89">
        <f t="shared" si="110"/>
        <v>30</v>
      </c>
      <c r="C706" s="77">
        <f>122.58</f>
        <v>122.58</v>
      </c>
      <c r="D706" s="77">
        <f>297.941</f>
        <v>297.94099999999997</v>
      </c>
      <c r="E706" s="86">
        <f>89.177</f>
        <v>89.177000000000007</v>
      </c>
      <c r="F706" s="77">
        <f>240.302-40-60-100</f>
        <v>40.301999999999992</v>
      </c>
      <c r="G706" s="80">
        <v>40</v>
      </c>
      <c r="H706" s="77">
        <f>60+100</f>
        <v>160</v>
      </c>
      <c r="I706" s="77">
        <f t="shared" si="113"/>
        <v>0</v>
      </c>
      <c r="J706" s="80">
        <v>100</v>
      </c>
      <c r="K706" s="80">
        <v>300</v>
      </c>
      <c r="L706" s="77">
        <f t="shared" si="105"/>
        <v>1150</v>
      </c>
      <c r="M706" s="88">
        <v>600</v>
      </c>
      <c r="N706" s="77">
        <f>100</f>
        <v>100</v>
      </c>
      <c r="O706" s="80">
        <v>240</v>
      </c>
      <c r="P706" s="80">
        <v>40</v>
      </c>
      <c r="Q706" s="80">
        <f t="shared" si="106"/>
        <v>315</v>
      </c>
      <c r="R706" s="80">
        <f t="shared" si="107"/>
        <v>100</v>
      </c>
      <c r="S706" s="77">
        <f t="shared" si="108"/>
        <v>695</v>
      </c>
      <c r="T706" s="77">
        <f>50</f>
        <v>50</v>
      </c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</row>
    <row r="707" spans="1:30" ht="15.75" x14ac:dyDescent="0.25">
      <c r="A707" s="32">
        <v>62458</v>
      </c>
      <c r="B707" s="89">
        <f t="shared" si="110"/>
        <v>31</v>
      </c>
      <c r="C707" s="77">
        <f>122.58</f>
        <v>122.58</v>
      </c>
      <c r="D707" s="77">
        <f>297.941</f>
        <v>297.94099999999997</v>
      </c>
      <c r="E707" s="86">
        <f>89.177</f>
        <v>89.177000000000007</v>
      </c>
      <c r="F707" s="77">
        <f>240.302-40-60-100</f>
        <v>40.301999999999992</v>
      </c>
      <c r="G707" s="80">
        <v>40</v>
      </c>
      <c r="H707" s="77">
        <f>60+100</f>
        <v>160</v>
      </c>
      <c r="I707" s="77">
        <f t="shared" si="113"/>
        <v>0</v>
      </c>
      <c r="J707" s="80">
        <v>100</v>
      </c>
      <c r="K707" s="80">
        <v>300</v>
      </c>
      <c r="L707" s="77">
        <f t="shared" si="105"/>
        <v>1150</v>
      </c>
      <c r="M707" s="88">
        <v>600</v>
      </c>
      <c r="N707" s="77">
        <f>100</f>
        <v>100</v>
      </c>
      <c r="O707" s="80">
        <v>240</v>
      </c>
      <c r="P707" s="80">
        <v>40</v>
      </c>
      <c r="Q707" s="80">
        <f t="shared" si="106"/>
        <v>315</v>
      </c>
      <c r="R707" s="80">
        <f t="shared" si="107"/>
        <v>100</v>
      </c>
      <c r="S707" s="77">
        <f t="shared" si="108"/>
        <v>695</v>
      </c>
      <c r="T707" s="77">
        <f>50</f>
        <v>50</v>
      </c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</row>
    <row r="708" spans="1:30" ht="15.75" x14ac:dyDescent="0.25">
      <c r="A708" s="32">
        <v>62489</v>
      </c>
      <c r="B708" s="89">
        <f t="shared" si="110"/>
        <v>31</v>
      </c>
      <c r="C708" s="77">
        <f>122.58</f>
        <v>122.58</v>
      </c>
      <c r="D708" s="77">
        <f>297.941</f>
        <v>297.94099999999997</v>
      </c>
      <c r="E708" s="86">
        <f>89.177</f>
        <v>89.177000000000007</v>
      </c>
      <c r="F708" s="77">
        <f>240.302-40-60-100</f>
        <v>40.301999999999992</v>
      </c>
      <c r="G708" s="80">
        <v>40</v>
      </c>
      <c r="H708" s="77">
        <f>60+100</f>
        <v>160</v>
      </c>
      <c r="I708" s="77">
        <f t="shared" si="113"/>
        <v>0</v>
      </c>
      <c r="J708" s="80">
        <v>100</v>
      </c>
      <c r="K708" s="80">
        <v>300</v>
      </c>
      <c r="L708" s="77">
        <f t="shared" si="105"/>
        <v>1150</v>
      </c>
      <c r="M708" s="88">
        <v>600</v>
      </c>
      <c r="N708" s="77">
        <f>100</f>
        <v>100</v>
      </c>
      <c r="O708" s="80">
        <v>240</v>
      </c>
      <c r="P708" s="80">
        <v>40</v>
      </c>
      <c r="Q708" s="80">
        <f t="shared" si="106"/>
        <v>315</v>
      </c>
      <c r="R708" s="80">
        <f t="shared" si="107"/>
        <v>100</v>
      </c>
      <c r="S708" s="77">
        <f t="shared" si="108"/>
        <v>695</v>
      </c>
      <c r="T708" s="77">
        <f>50</f>
        <v>50</v>
      </c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</row>
    <row r="709" spans="1:30" ht="15.75" x14ac:dyDescent="0.25">
      <c r="A709" s="32">
        <v>62517</v>
      </c>
      <c r="B709" s="89">
        <f t="shared" si="110"/>
        <v>28</v>
      </c>
      <c r="C709" s="77">
        <f>122.58</f>
        <v>122.58</v>
      </c>
      <c r="D709" s="77">
        <f>297.941</f>
        <v>297.94099999999997</v>
      </c>
      <c r="E709" s="86">
        <f>89.177</f>
        <v>89.177000000000007</v>
      </c>
      <c r="F709" s="77">
        <f>240.302-40-60-100</f>
        <v>40.301999999999992</v>
      </c>
      <c r="G709" s="80">
        <v>40</v>
      </c>
      <c r="H709" s="77">
        <f>60+100</f>
        <v>160</v>
      </c>
      <c r="I709" s="77">
        <f t="shared" si="113"/>
        <v>0</v>
      </c>
      <c r="J709" s="80">
        <v>100</v>
      </c>
      <c r="K709" s="80">
        <v>300</v>
      </c>
      <c r="L709" s="77">
        <f t="shared" si="105"/>
        <v>1150</v>
      </c>
      <c r="M709" s="88">
        <v>600</v>
      </c>
      <c r="N709" s="77">
        <f>100</f>
        <v>100</v>
      </c>
      <c r="O709" s="80">
        <v>240</v>
      </c>
      <c r="P709" s="80">
        <v>40</v>
      </c>
      <c r="Q709" s="80">
        <f t="shared" si="106"/>
        <v>315</v>
      </c>
      <c r="R709" s="80">
        <f t="shared" si="107"/>
        <v>100</v>
      </c>
      <c r="S709" s="77">
        <f t="shared" si="108"/>
        <v>695</v>
      </c>
      <c r="T709" s="77">
        <f>50</f>
        <v>50</v>
      </c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</row>
    <row r="710" spans="1:30" ht="15.75" x14ac:dyDescent="0.25">
      <c r="A710" s="32">
        <v>62548</v>
      </c>
      <c r="B710" s="89">
        <f t="shared" si="110"/>
        <v>31</v>
      </c>
      <c r="C710" s="77">
        <f>122.58</f>
        <v>122.58</v>
      </c>
      <c r="D710" s="77">
        <f>297.941</f>
        <v>297.94099999999997</v>
      </c>
      <c r="E710" s="86">
        <f>89.177</f>
        <v>89.177000000000007</v>
      </c>
      <c r="F710" s="77">
        <f>240.302-40-60-100</f>
        <v>40.301999999999992</v>
      </c>
      <c r="G710" s="80">
        <v>40</v>
      </c>
      <c r="H710" s="77">
        <f>60+100</f>
        <v>160</v>
      </c>
      <c r="I710" s="77">
        <f t="shared" si="113"/>
        <v>0</v>
      </c>
      <c r="J710" s="80">
        <v>100</v>
      </c>
      <c r="K710" s="80">
        <v>300</v>
      </c>
      <c r="L710" s="77">
        <f t="shared" si="105"/>
        <v>1150</v>
      </c>
      <c r="M710" s="88">
        <v>600</v>
      </c>
      <c r="N710" s="77">
        <f>100</f>
        <v>100</v>
      </c>
      <c r="O710" s="80">
        <v>240</v>
      </c>
      <c r="P710" s="80">
        <v>40</v>
      </c>
      <c r="Q710" s="80">
        <f t="shared" si="106"/>
        <v>315</v>
      </c>
      <c r="R710" s="80">
        <f t="shared" si="107"/>
        <v>100</v>
      </c>
      <c r="S710" s="77">
        <f t="shared" si="108"/>
        <v>695</v>
      </c>
      <c r="T710" s="77">
        <f>50</f>
        <v>50</v>
      </c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</row>
    <row r="711" spans="1:30" ht="15.75" x14ac:dyDescent="0.25">
      <c r="A711" s="32">
        <v>62578</v>
      </c>
      <c r="B711" s="89">
        <f t="shared" si="110"/>
        <v>30</v>
      </c>
      <c r="C711" s="77">
        <f>141.293</f>
        <v>141.29300000000001</v>
      </c>
      <c r="D711" s="77">
        <f>267.993</f>
        <v>267.99299999999999</v>
      </c>
      <c r="E711" s="86">
        <f>115.016</f>
        <v>115.01600000000001</v>
      </c>
      <c r="F711" s="77">
        <f>314.698-40-25-60-100</f>
        <v>89.697999999999979</v>
      </c>
      <c r="G711" s="80">
        <v>40</v>
      </c>
      <c r="H711" s="77">
        <f t="shared" ref="H711:H717" si="115">25+60+100</f>
        <v>185</v>
      </c>
      <c r="I711" s="77">
        <f t="shared" si="113"/>
        <v>0</v>
      </c>
      <c r="J711" s="80">
        <v>100</v>
      </c>
      <c r="K711" s="80">
        <v>300</v>
      </c>
      <c r="L711" s="77">
        <f t="shared" si="105"/>
        <v>1239</v>
      </c>
      <c r="M711" s="88">
        <v>600</v>
      </c>
      <c r="N711" s="77">
        <f>100</f>
        <v>100</v>
      </c>
      <c r="O711" s="80">
        <v>240</v>
      </c>
      <c r="P711" s="80">
        <v>40</v>
      </c>
      <c r="Q711" s="80">
        <f t="shared" si="106"/>
        <v>315</v>
      </c>
      <c r="R711" s="80">
        <f t="shared" si="107"/>
        <v>100</v>
      </c>
      <c r="S711" s="77">
        <f t="shared" si="108"/>
        <v>695</v>
      </c>
      <c r="T711" s="77">
        <f>50</f>
        <v>50</v>
      </c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</row>
    <row r="712" spans="1:30" ht="15.75" x14ac:dyDescent="0.25">
      <c r="A712" s="32">
        <v>62609</v>
      </c>
      <c r="B712" s="89">
        <f t="shared" si="110"/>
        <v>31</v>
      </c>
      <c r="C712" s="77">
        <f>194.205</f>
        <v>194.20500000000001</v>
      </c>
      <c r="D712" s="77">
        <f>267.466</f>
        <v>267.46600000000001</v>
      </c>
      <c r="E712" s="86">
        <f>133.845</f>
        <v>133.845</v>
      </c>
      <c r="F712" s="77">
        <f>278.484-40-25-60-100</f>
        <v>53.48399999999998</v>
      </c>
      <c r="G712" s="80">
        <v>40</v>
      </c>
      <c r="H712" s="77">
        <f t="shared" si="115"/>
        <v>185</v>
      </c>
      <c r="I712" s="77">
        <f t="shared" si="113"/>
        <v>0</v>
      </c>
      <c r="J712" s="80">
        <v>100</v>
      </c>
      <c r="K712" s="80">
        <v>300</v>
      </c>
      <c r="L712" s="77">
        <f t="shared" si="105"/>
        <v>1274</v>
      </c>
      <c r="M712" s="88">
        <v>600</v>
      </c>
      <c r="N712" s="77">
        <f>75</f>
        <v>75</v>
      </c>
      <c r="O712" s="80">
        <v>240</v>
      </c>
      <c r="P712" s="80">
        <v>40</v>
      </c>
      <c r="Q712" s="80">
        <f t="shared" si="106"/>
        <v>315</v>
      </c>
      <c r="R712" s="80">
        <f t="shared" si="107"/>
        <v>100</v>
      </c>
      <c r="S712" s="77">
        <f t="shared" si="108"/>
        <v>695</v>
      </c>
      <c r="T712" s="77">
        <f>50</f>
        <v>50</v>
      </c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</row>
    <row r="713" spans="1:30" ht="15.75" x14ac:dyDescent="0.25">
      <c r="A713" s="32">
        <v>62639</v>
      </c>
      <c r="B713" s="89">
        <f t="shared" si="110"/>
        <v>30</v>
      </c>
      <c r="C713" s="77">
        <f>194.205</f>
        <v>194.20500000000001</v>
      </c>
      <c r="D713" s="77">
        <f>267.466</f>
        <v>267.46600000000001</v>
      </c>
      <c r="E713" s="86">
        <f>133.845</f>
        <v>133.845</v>
      </c>
      <c r="F713" s="77">
        <f>278.484-40-25-60-100</f>
        <v>53.48399999999998</v>
      </c>
      <c r="G713" s="80">
        <v>40</v>
      </c>
      <c r="H713" s="77">
        <f t="shared" si="115"/>
        <v>185</v>
      </c>
      <c r="I713" s="77">
        <f t="shared" si="113"/>
        <v>0</v>
      </c>
      <c r="J713" s="80">
        <v>100</v>
      </c>
      <c r="K713" s="80">
        <v>300</v>
      </c>
      <c r="L713" s="77">
        <f t="shared" si="105"/>
        <v>1274</v>
      </c>
      <c r="M713" s="88">
        <v>600</v>
      </c>
      <c r="N713" s="77">
        <f>30</f>
        <v>30</v>
      </c>
      <c r="O713" s="80">
        <v>240</v>
      </c>
      <c r="P713" s="80">
        <v>40</v>
      </c>
      <c r="Q713" s="80">
        <f t="shared" si="106"/>
        <v>315</v>
      </c>
      <c r="R713" s="80">
        <f t="shared" si="107"/>
        <v>100</v>
      </c>
      <c r="S713" s="77">
        <f t="shared" si="108"/>
        <v>695</v>
      </c>
      <c r="T713" s="77">
        <f>50</f>
        <v>50</v>
      </c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</row>
    <row r="714" spans="1:30" ht="15.75" x14ac:dyDescent="0.25">
      <c r="A714" s="32">
        <v>62670</v>
      </c>
      <c r="B714" s="89">
        <f t="shared" si="110"/>
        <v>31</v>
      </c>
      <c r="C714" s="77">
        <f>194.205</f>
        <v>194.20500000000001</v>
      </c>
      <c r="D714" s="77">
        <f>267.466</f>
        <v>267.46600000000001</v>
      </c>
      <c r="E714" s="86">
        <f>133.845</f>
        <v>133.845</v>
      </c>
      <c r="F714" s="77">
        <f>278.484-40-25-60-100</f>
        <v>53.48399999999998</v>
      </c>
      <c r="G714" s="80">
        <v>40</v>
      </c>
      <c r="H714" s="77">
        <f t="shared" si="115"/>
        <v>185</v>
      </c>
      <c r="I714" s="77">
        <f t="shared" si="113"/>
        <v>0</v>
      </c>
      <c r="J714" s="80">
        <v>100</v>
      </c>
      <c r="K714" s="80">
        <v>300</v>
      </c>
      <c r="L714" s="77">
        <f t="shared" si="105"/>
        <v>1274</v>
      </c>
      <c r="M714" s="88">
        <v>600</v>
      </c>
      <c r="N714" s="77">
        <f>30</f>
        <v>30</v>
      </c>
      <c r="O714" s="80">
        <v>240</v>
      </c>
      <c r="P714" s="80">
        <v>40</v>
      </c>
      <c r="Q714" s="80">
        <f t="shared" si="106"/>
        <v>315</v>
      </c>
      <c r="R714" s="80">
        <f t="shared" si="107"/>
        <v>100</v>
      </c>
      <c r="S714" s="77">
        <f t="shared" si="108"/>
        <v>695</v>
      </c>
      <c r="T714" s="77">
        <f>0</f>
        <v>0</v>
      </c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</row>
    <row r="715" spans="1:30" ht="15.75" x14ac:dyDescent="0.25">
      <c r="A715" s="32">
        <v>62701</v>
      </c>
      <c r="B715" s="89">
        <f t="shared" si="110"/>
        <v>31</v>
      </c>
      <c r="C715" s="77">
        <f>194.205</f>
        <v>194.20500000000001</v>
      </c>
      <c r="D715" s="77">
        <f>267.466</f>
        <v>267.46600000000001</v>
      </c>
      <c r="E715" s="86">
        <f>133.845</f>
        <v>133.845</v>
      </c>
      <c r="F715" s="77">
        <f>278.484-40-25-60-100</f>
        <v>53.48399999999998</v>
      </c>
      <c r="G715" s="80">
        <v>40</v>
      </c>
      <c r="H715" s="77">
        <f t="shared" si="115"/>
        <v>185</v>
      </c>
      <c r="I715" s="77">
        <f t="shared" si="113"/>
        <v>0</v>
      </c>
      <c r="J715" s="80">
        <v>100</v>
      </c>
      <c r="K715" s="80">
        <v>300</v>
      </c>
      <c r="L715" s="77">
        <f t="shared" si="105"/>
        <v>1274</v>
      </c>
      <c r="M715" s="88">
        <v>600</v>
      </c>
      <c r="N715" s="77">
        <f>30</f>
        <v>30</v>
      </c>
      <c r="O715" s="80">
        <v>240</v>
      </c>
      <c r="P715" s="80">
        <v>40</v>
      </c>
      <c r="Q715" s="80">
        <f t="shared" si="106"/>
        <v>315</v>
      </c>
      <c r="R715" s="80">
        <f t="shared" si="107"/>
        <v>100</v>
      </c>
      <c r="S715" s="77">
        <f t="shared" si="108"/>
        <v>695</v>
      </c>
      <c r="T715" s="77">
        <f>0</f>
        <v>0</v>
      </c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</row>
    <row r="716" spans="1:30" ht="15.75" x14ac:dyDescent="0.25">
      <c r="A716" s="32">
        <v>62731</v>
      </c>
      <c r="B716" s="89">
        <f t="shared" si="110"/>
        <v>30</v>
      </c>
      <c r="C716" s="77">
        <f>194.205</f>
        <v>194.20500000000001</v>
      </c>
      <c r="D716" s="77">
        <f>267.466</f>
        <v>267.46600000000001</v>
      </c>
      <c r="E716" s="86">
        <f>133.845</f>
        <v>133.845</v>
      </c>
      <c r="F716" s="77">
        <f>278.484-40-25-60-100</f>
        <v>53.48399999999998</v>
      </c>
      <c r="G716" s="80">
        <v>40</v>
      </c>
      <c r="H716" s="77">
        <f t="shared" si="115"/>
        <v>185</v>
      </c>
      <c r="I716" s="77">
        <f t="shared" si="113"/>
        <v>0</v>
      </c>
      <c r="J716" s="80">
        <v>100</v>
      </c>
      <c r="K716" s="80">
        <v>300</v>
      </c>
      <c r="L716" s="77">
        <f t="shared" si="105"/>
        <v>1274</v>
      </c>
      <c r="M716" s="88">
        <v>600</v>
      </c>
      <c r="N716" s="77">
        <f>30</f>
        <v>30</v>
      </c>
      <c r="O716" s="80">
        <v>240</v>
      </c>
      <c r="P716" s="80">
        <v>40</v>
      </c>
      <c r="Q716" s="80">
        <f t="shared" si="106"/>
        <v>315</v>
      </c>
      <c r="R716" s="80">
        <f t="shared" si="107"/>
        <v>100</v>
      </c>
      <c r="S716" s="77">
        <f t="shared" si="108"/>
        <v>695</v>
      </c>
      <c r="T716" s="77">
        <f>0</f>
        <v>0</v>
      </c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</row>
    <row r="717" spans="1:30" ht="15.75" x14ac:dyDescent="0.25">
      <c r="A717" s="32">
        <v>62762</v>
      </c>
      <c r="B717" s="89">
        <f t="shared" si="110"/>
        <v>31</v>
      </c>
      <c r="C717" s="77">
        <f>131.881</f>
        <v>131.881</v>
      </c>
      <c r="D717" s="77">
        <f>277.167</f>
        <v>277.16699999999997</v>
      </c>
      <c r="E717" s="86">
        <f>79.08</f>
        <v>79.08</v>
      </c>
      <c r="F717" s="77">
        <f>350.872-40-25-60-100</f>
        <v>125.87200000000001</v>
      </c>
      <c r="G717" s="80">
        <v>40</v>
      </c>
      <c r="H717" s="77">
        <f t="shared" si="115"/>
        <v>185</v>
      </c>
      <c r="I717" s="77">
        <f t="shared" si="113"/>
        <v>0</v>
      </c>
      <c r="J717" s="80">
        <v>100</v>
      </c>
      <c r="K717" s="80">
        <v>300</v>
      </c>
      <c r="L717" s="77">
        <f t="shared" si="105"/>
        <v>1239</v>
      </c>
      <c r="M717" s="88">
        <v>600</v>
      </c>
      <c r="N717" s="77">
        <f>75</f>
        <v>75</v>
      </c>
      <c r="O717" s="80">
        <v>240</v>
      </c>
      <c r="P717" s="80">
        <v>40</v>
      </c>
      <c r="Q717" s="80">
        <f t="shared" si="106"/>
        <v>315</v>
      </c>
      <c r="R717" s="80">
        <f t="shared" si="107"/>
        <v>100</v>
      </c>
      <c r="S717" s="77">
        <f t="shared" si="108"/>
        <v>695</v>
      </c>
      <c r="T717" s="77">
        <f>0</f>
        <v>0</v>
      </c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</row>
    <row r="718" spans="1:30" ht="15.75" x14ac:dyDescent="0.25">
      <c r="A718" s="32">
        <v>62792</v>
      </c>
      <c r="B718" s="89">
        <f t="shared" si="110"/>
        <v>30</v>
      </c>
      <c r="C718" s="77">
        <f>122.58</f>
        <v>122.58</v>
      </c>
      <c r="D718" s="77">
        <f>297.941</f>
        <v>297.94099999999997</v>
      </c>
      <c r="E718" s="86">
        <f>89.177</f>
        <v>89.177000000000007</v>
      </c>
      <c r="F718" s="77">
        <f>240.302-40-60-100</f>
        <v>40.301999999999992</v>
      </c>
      <c r="G718" s="80">
        <v>40</v>
      </c>
      <c r="H718" s="77">
        <f>60+100</f>
        <v>160</v>
      </c>
      <c r="I718" s="77">
        <f t="shared" si="113"/>
        <v>0</v>
      </c>
      <c r="J718" s="80">
        <v>100</v>
      </c>
      <c r="K718" s="80">
        <v>300</v>
      </c>
      <c r="L718" s="77">
        <f t="shared" si="105"/>
        <v>1150</v>
      </c>
      <c r="M718" s="88">
        <v>600</v>
      </c>
      <c r="N718" s="77">
        <f>100</f>
        <v>100</v>
      </c>
      <c r="O718" s="80">
        <v>240</v>
      </c>
      <c r="P718" s="80">
        <v>40</v>
      </c>
      <c r="Q718" s="80">
        <f t="shared" si="106"/>
        <v>315</v>
      </c>
      <c r="R718" s="80">
        <f t="shared" si="107"/>
        <v>100</v>
      </c>
      <c r="S718" s="77">
        <f t="shared" si="108"/>
        <v>695</v>
      </c>
      <c r="T718" s="77">
        <f>50</f>
        <v>50</v>
      </c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</row>
    <row r="719" spans="1:30" ht="15.75" x14ac:dyDescent="0.25">
      <c r="A719" s="32">
        <v>62823</v>
      </c>
      <c r="B719" s="89">
        <f t="shared" si="110"/>
        <v>31</v>
      </c>
      <c r="C719" s="77">
        <f>122.58</f>
        <v>122.58</v>
      </c>
      <c r="D719" s="77">
        <f>297.941</f>
        <v>297.94099999999997</v>
      </c>
      <c r="E719" s="86">
        <f>89.177</f>
        <v>89.177000000000007</v>
      </c>
      <c r="F719" s="77">
        <f>240.302-40-60-100</f>
        <v>40.301999999999992</v>
      </c>
      <c r="G719" s="80">
        <v>40</v>
      </c>
      <c r="H719" s="77">
        <f>60+100</f>
        <v>160</v>
      </c>
      <c r="I719" s="77">
        <f t="shared" si="113"/>
        <v>0</v>
      </c>
      <c r="J719" s="80">
        <v>100</v>
      </c>
      <c r="K719" s="80">
        <v>300</v>
      </c>
      <c r="L719" s="77">
        <f t="shared" si="105"/>
        <v>1150</v>
      </c>
      <c r="M719" s="88">
        <v>600</v>
      </c>
      <c r="N719" s="77">
        <f>100</f>
        <v>100</v>
      </c>
      <c r="O719" s="80">
        <v>240</v>
      </c>
      <c r="P719" s="80">
        <v>40</v>
      </c>
      <c r="Q719" s="80">
        <f t="shared" si="106"/>
        <v>315</v>
      </c>
      <c r="R719" s="80">
        <f t="shared" si="107"/>
        <v>100</v>
      </c>
      <c r="S719" s="77">
        <f t="shared" si="108"/>
        <v>695</v>
      </c>
      <c r="T719" s="77">
        <f>50</f>
        <v>50</v>
      </c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</row>
    <row r="720" spans="1:30" ht="15.75" x14ac:dyDescent="0.25">
      <c r="A720" s="32">
        <v>62854</v>
      </c>
      <c r="B720" s="89">
        <f t="shared" si="110"/>
        <v>31</v>
      </c>
      <c r="C720" s="77">
        <f>122.58</f>
        <v>122.58</v>
      </c>
      <c r="D720" s="77">
        <f>297.941</f>
        <v>297.94099999999997</v>
      </c>
      <c r="E720" s="86">
        <f>89.177</f>
        <v>89.177000000000007</v>
      </c>
      <c r="F720" s="77">
        <f>240.302-40-60-100</f>
        <v>40.301999999999992</v>
      </c>
      <c r="G720" s="80">
        <v>40</v>
      </c>
      <c r="H720" s="77">
        <f>60+100</f>
        <v>160</v>
      </c>
      <c r="I720" s="77">
        <f t="shared" si="113"/>
        <v>0</v>
      </c>
      <c r="J720" s="80">
        <v>100</v>
      </c>
      <c r="K720" s="80">
        <v>300</v>
      </c>
      <c r="L720" s="77">
        <f t="shared" si="105"/>
        <v>1150</v>
      </c>
      <c r="M720" s="88">
        <v>600</v>
      </c>
      <c r="N720" s="77">
        <f>100</f>
        <v>100</v>
      </c>
      <c r="O720" s="80">
        <v>240</v>
      </c>
      <c r="P720" s="80">
        <v>40</v>
      </c>
      <c r="Q720" s="80">
        <f t="shared" si="106"/>
        <v>315</v>
      </c>
      <c r="R720" s="80">
        <f t="shared" si="107"/>
        <v>100</v>
      </c>
      <c r="S720" s="77">
        <f t="shared" si="108"/>
        <v>695</v>
      </c>
      <c r="T720" s="77">
        <f>50</f>
        <v>50</v>
      </c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</row>
    <row r="721" spans="1:30" ht="15.75" x14ac:dyDescent="0.25">
      <c r="A721" s="32">
        <v>62883</v>
      </c>
      <c r="B721" s="89">
        <f t="shared" si="110"/>
        <v>29</v>
      </c>
      <c r="C721" s="77">
        <f>122.58</f>
        <v>122.58</v>
      </c>
      <c r="D721" s="77">
        <f>297.941</f>
        <v>297.94099999999997</v>
      </c>
      <c r="E721" s="86">
        <f>89.177</f>
        <v>89.177000000000007</v>
      </c>
      <c r="F721" s="77">
        <f>240.302-40-60-100</f>
        <v>40.301999999999992</v>
      </c>
      <c r="G721" s="80">
        <v>40</v>
      </c>
      <c r="H721" s="77">
        <f>60+100</f>
        <v>160</v>
      </c>
      <c r="I721" s="77">
        <f t="shared" si="113"/>
        <v>0</v>
      </c>
      <c r="J721" s="80">
        <v>100</v>
      </c>
      <c r="K721" s="80">
        <v>300</v>
      </c>
      <c r="L721" s="77">
        <f t="shared" si="105"/>
        <v>1150</v>
      </c>
      <c r="M721" s="88">
        <v>600</v>
      </c>
      <c r="N721" s="77">
        <f>100</f>
        <v>100</v>
      </c>
      <c r="O721" s="80">
        <v>240</v>
      </c>
      <c r="P721" s="80">
        <v>40</v>
      </c>
      <c r="Q721" s="80">
        <f t="shared" si="106"/>
        <v>315</v>
      </c>
      <c r="R721" s="80">
        <f t="shared" si="107"/>
        <v>100</v>
      </c>
      <c r="S721" s="77">
        <f t="shared" si="108"/>
        <v>695</v>
      </c>
      <c r="T721" s="77">
        <f>50</f>
        <v>50</v>
      </c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</row>
    <row r="722" spans="1:30" ht="15.75" x14ac:dyDescent="0.25">
      <c r="A722" s="32">
        <v>62914</v>
      </c>
      <c r="B722" s="89">
        <f t="shared" si="110"/>
        <v>31</v>
      </c>
      <c r="C722" s="77">
        <f>122.58</f>
        <v>122.58</v>
      </c>
      <c r="D722" s="77">
        <f>297.941</f>
        <v>297.94099999999997</v>
      </c>
      <c r="E722" s="86">
        <f>89.177</f>
        <v>89.177000000000007</v>
      </c>
      <c r="F722" s="77">
        <f>240.302-40-60-100</f>
        <v>40.301999999999992</v>
      </c>
      <c r="G722" s="80">
        <v>40</v>
      </c>
      <c r="H722" s="77">
        <f>60+100</f>
        <v>160</v>
      </c>
      <c r="I722" s="77">
        <f t="shared" si="113"/>
        <v>0</v>
      </c>
      <c r="J722" s="80">
        <v>100</v>
      </c>
      <c r="K722" s="80">
        <v>300</v>
      </c>
      <c r="L722" s="77">
        <f t="shared" si="105"/>
        <v>1150</v>
      </c>
      <c r="M722" s="88">
        <v>600</v>
      </c>
      <c r="N722" s="77">
        <f>100</f>
        <v>100</v>
      </c>
      <c r="O722" s="80">
        <v>240</v>
      </c>
      <c r="P722" s="80">
        <v>40</v>
      </c>
      <c r="Q722" s="80">
        <f t="shared" si="106"/>
        <v>315</v>
      </c>
      <c r="R722" s="80">
        <f t="shared" si="107"/>
        <v>100</v>
      </c>
      <c r="S722" s="77">
        <f t="shared" si="108"/>
        <v>695</v>
      </c>
      <c r="T722" s="77">
        <f>50</f>
        <v>50</v>
      </c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</row>
    <row r="723" spans="1:30" ht="15.75" x14ac:dyDescent="0.25">
      <c r="A723" s="32">
        <v>62944</v>
      </c>
      <c r="B723" s="89">
        <f t="shared" si="110"/>
        <v>30</v>
      </c>
      <c r="C723" s="77">
        <f>141.293</f>
        <v>141.29300000000001</v>
      </c>
      <c r="D723" s="77">
        <f>267.993</f>
        <v>267.99299999999999</v>
      </c>
      <c r="E723" s="86">
        <f>115.016</f>
        <v>115.01600000000001</v>
      </c>
      <c r="F723" s="77">
        <f>314.698-40-25-60-100</f>
        <v>89.697999999999979</v>
      </c>
      <c r="G723" s="80">
        <v>40</v>
      </c>
      <c r="H723" s="77">
        <f t="shared" ref="H723:H729" si="116">25+60+100</f>
        <v>185</v>
      </c>
      <c r="I723" s="77">
        <f t="shared" si="113"/>
        <v>0</v>
      </c>
      <c r="J723" s="80">
        <v>100</v>
      </c>
      <c r="K723" s="80">
        <v>300</v>
      </c>
      <c r="L723" s="77">
        <f t="shared" ref="L723:L786" si="117">SUM(C723:K723)</f>
        <v>1239</v>
      </c>
      <c r="M723" s="88">
        <v>600</v>
      </c>
      <c r="N723" s="77">
        <f>100</f>
        <v>100</v>
      </c>
      <c r="O723" s="80">
        <v>240</v>
      </c>
      <c r="P723" s="80">
        <v>40</v>
      </c>
      <c r="Q723" s="80">
        <f t="shared" ref="Q723:Q786" si="118">695-R723-O723-P723</f>
        <v>315</v>
      </c>
      <c r="R723" s="80">
        <f t="shared" ref="R723:R786" si="119">200-J723</f>
        <v>100</v>
      </c>
      <c r="S723" s="77">
        <f t="shared" ref="S723:S786" si="120">SUM(O723:R723)</f>
        <v>695</v>
      </c>
      <c r="T723" s="77">
        <f>50</f>
        <v>50</v>
      </c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</row>
    <row r="724" spans="1:30" ht="15.75" x14ac:dyDescent="0.25">
      <c r="A724" s="32">
        <v>62975</v>
      </c>
      <c r="B724" s="89">
        <f t="shared" si="110"/>
        <v>31</v>
      </c>
      <c r="C724" s="77">
        <f>194.205</f>
        <v>194.20500000000001</v>
      </c>
      <c r="D724" s="77">
        <f>267.466</f>
        <v>267.46600000000001</v>
      </c>
      <c r="E724" s="86">
        <f>133.845</f>
        <v>133.845</v>
      </c>
      <c r="F724" s="77">
        <f>278.484-40-25-60-100</f>
        <v>53.48399999999998</v>
      </c>
      <c r="G724" s="80">
        <v>40</v>
      </c>
      <c r="H724" s="77">
        <f t="shared" si="116"/>
        <v>185</v>
      </c>
      <c r="I724" s="77">
        <f t="shared" si="113"/>
        <v>0</v>
      </c>
      <c r="J724" s="80">
        <v>100</v>
      </c>
      <c r="K724" s="80">
        <v>300</v>
      </c>
      <c r="L724" s="77">
        <f t="shared" si="117"/>
        <v>1274</v>
      </c>
      <c r="M724" s="88">
        <v>600</v>
      </c>
      <c r="N724" s="77">
        <f>75</f>
        <v>75</v>
      </c>
      <c r="O724" s="80">
        <v>240</v>
      </c>
      <c r="P724" s="80">
        <v>40</v>
      </c>
      <c r="Q724" s="80">
        <f t="shared" si="118"/>
        <v>315</v>
      </c>
      <c r="R724" s="80">
        <f t="shared" si="119"/>
        <v>100</v>
      </c>
      <c r="S724" s="77">
        <f t="shared" si="120"/>
        <v>695</v>
      </c>
      <c r="T724" s="77">
        <f>50</f>
        <v>50</v>
      </c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</row>
    <row r="725" spans="1:30" ht="15.75" x14ac:dyDescent="0.25">
      <c r="A725" s="32">
        <v>63005</v>
      </c>
      <c r="B725" s="89">
        <f t="shared" si="110"/>
        <v>30</v>
      </c>
      <c r="C725" s="77">
        <f>194.205</f>
        <v>194.20500000000001</v>
      </c>
      <c r="D725" s="77">
        <f>267.466</f>
        <v>267.46600000000001</v>
      </c>
      <c r="E725" s="86">
        <f>133.845</f>
        <v>133.845</v>
      </c>
      <c r="F725" s="77">
        <f>278.484-40-25-60-100</f>
        <v>53.48399999999998</v>
      </c>
      <c r="G725" s="80">
        <v>40</v>
      </c>
      <c r="H725" s="77">
        <f t="shared" si="116"/>
        <v>185</v>
      </c>
      <c r="I725" s="77">
        <f t="shared" si="113"/>
        <v>0</v>
      </c>
      <c r="J725" s="80">
        <v>100</v>
      </c>
      <c r="K725" s="80">
        <v>300</v>
      </c>
      <c r="L725" s="77">
        <f t="shared" si="117"/>
        <v>1274</v>
      </c>
      <c r="M725" s="88">
        <v>600</v>
      </c>
      <c r="N725" s="77">
        <f>30</f>
        <v>30</v>
      </c>
      <c r="O725" s="80">
        <v>240</v>
      </c>
      <c r="P725" s="80">
        <v>40</v>
      </c>
      <c r="Q725" s="80">
        <f t="shared" si="118"/>
        <v>315</v>
      </c>
      <c r="R725" s="80">
        <f t="shared" si="119"/>
        <v>100</v>
      </c>
      <c r="S725" s="77">
        <f t="shared" si="120"/>
        <v>695</v>
      </c>
      <c r="T725" s="77">
        <f>50</f>
        <v>50</v>
      </c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</row>
    <row r="726" spans="1:30" ht="15.75" x14ac:dyDescent="0.25">
      <c r="A726" s="32">
        <v>63036</v>
      </c>
      <c r="B726" s="89">
        <f t="shared" si="110"/>
        <v>31</v>
      </c>
      <c r="C726" s="77">
        <f>194.205</f>
        <v>194.20500000000001</v>
      </c>
      <c r="D726" s="77">
        <f>267.466</f>
        <v>267.46600000000001</v>
      </c>
      <c r="E726" s="86">
        <f>133.845</f>
        <v>133.845</v>
      </c>
      <c r="F726" s="77">
        <f>278.484-40-25-60-100</f>
        <v>53.48399999999998</v>
      </c>
      <c r="G726" s="80">
        <v>40</v>
      </c>
      <c r="H726" s="77">
        <f t="shared" si="116"/>
        <v>185</v>
      </c>
      <c r="I726" s="77">
        <f t="shared" si="113"/>
        <v>0</v>
      </c>
      <c r="J726" s="80">
        <v>100</v>
      </c>
      <c r="K726" s="80">
        <v>300</v>
      </c>
      <c r="L726" s="77">
        <f t="shared" si="117"/>
        <v>1274</v>
      </c>
      <c r="M726" s="88">
        <v>600</v>
      </c>
      <c r="N726" s="77">
        <f>30</f>
        <v>30</v>
      </c>
      <c r="O726" s="80">
        <v>240</v>
      </c>
      <c r="P726" s="80">
        <v>40</v>
      </c>
      <c r="Q726" s="80">
        <f t="shared" si="118"/>
        <v>315</v>
      </c>
      <c r="R726" s="80">
        <f t="shared" si="119"/>
        <v>100</v>
      </c>
      <c r="S726" s="77">
        <f t="shared" si="120"/>
        <v>695</v>
      </c>
      <c r="T726" s="77">
        <f>0</f>
        <v>0</v>
      </c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</row>
    <row r="727" spans="1:30" ht="15.75" x14ac:dyDescent="0.25">
      <c r="A727" s="32">
        <v>63067</v>
      </c>
      <c r="B727" s="89">
        <f t="shared" si="110"/>
        <v>31</v>
      </c>
      <c r="C727" s="77">
        <f>194.205</f>
        <v>194.20500000000001</v>
      </c>
      <c r="D727" s="77">
        <f>267.466</f>
        <v>267.46600000000001</v>
      </c>
      <c r="E727" s="86">
        <f>133.845</f>
        <v>133.845</v>
      </c>
      <c r="F727" s="77">
        <f>278.484-40-25-60-100</f>
        <v>53.48399999999998</v>
      </c>
      <c r="G727" s="80">
        <v>40</v>
      </c>
      <c r="H727" s="77">
        <f t="shared" si="116"/>
        <v>185</v>
      </c>
      <c r="I727" s="77">
        <f t="shared" si="113"/>
        <v>0</v>
      </c>
      <c r="J727" s="80">
        <v>100</v>
      </c>
      <c r="K727" s="80">
        <v>300</v>
      </c>
      <c r="L727" s="77">
        <f t="shared" si="117"/>
        <v>1274</v>
      </c>
      <c r="M727" s="88">
        <v>600</v>
      </c>
      <c r="N727" s="77">
        <f>30</f>
        <v>30</v>
      </c>
      <c r="O727" s="80">
        <v>240</v>
      </c>
      <c r="P727" s="80">
        <v>40</v>
      </c>
      <c r="Q727" s="80">
        <f t="shared" si="118"/>
        <v>315</v>
      </c>
      <c r="R727" s="80">
        <f t="shared" si="119"/>
        <v>100</v>
      </c>
      <c r="S727" s="77">
        <f t="shared" si="120"/>
        <v>695</v>
      </c>
      <c r="T727" s="77">
        <f>0</f>
        <v>0</v>
      </c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</row>
    <row r="728" spans="1:30" ht="15.75" x14ac:dyDescent="0.25">
      <c r="A728" s="32">
        <v>63097</v>
      </c>
      <c r="B728" s="89">
        <f t="shared" ref="B728:B791" si="121">EOMONTH(A728,0)-EOMONTH(A728,-1)</f>
        <v>30</v>
      </c>
      <c r="C728" s="77">
        <f>194.205</f>
        <v>194.20500000000001</v>
      </c>
      <c r="D728" s="77">
        <f>267.466</f>
        <v>267.46600000000001</v>
      </c>
      <c r="E728" s="86">
        <f>133.845</f>
        <v>133.845</v>
      </c>
      <c r="F728" s="77">
        <f>278.484-40-25-60-100</f>
        <v>53.48399999999998</v>
      </c>
      <c r="G728" s="80">
        <v>40</v>
      </c>
      <c r="H728" s="77">
        <f t="shared" si="116"/>
        <v>185</v>
      </c>
      <c r="I728" s="77">
        <f t="shared" si="113"/>
        <v>0</v>
      </c>
      <c r="J728" s="80">
        <v>100</v>
      </c>
      <c r="K728" s="80">
        <v>300</v>
      </c>
      <c r="L728" s="77">
        <f t="shared" si="117"/>
        <v>1274</v>
      </c>
      <c r="M728" s="88">
        <v>600</v>
      </c>
      <c r="N728" s="77">
        <f>30</f>
        <v>30</v>
      </c>
      <c r="O728" s="80">
        <v>240</v>
      </c>
      <c r="P728" s="80">
        <v>40</v>
      </c>
      <c r="Q728" s="80">
        <f t="shared" si="118"/>
        <v>315</v>
      </c>
      <c r="R728" s="80">
        <f t="shared" si="119"/>
        <v>100</v>
      </c>
      <c r="S728" s="77">
        <f t="shared" si="120"/>
        <v>695</v>
      </c>
      <c r="T728" s="77">
        <f>0</f>
        <v>0</v>
      </c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</row>
    <row r="729" spans="1:30" ht="15.75" x14ac:dyDescent="0.25">
      <c r="A729" s="32">
        <v>63128</v>
      </c>
      <c r="B729" s="89">
        <f t="shared" si="121"/>
        <v>31</v>
      </c>
      <c r="C729" s="77">
        <f>131.881</f>
        <v>131.881</v>
      </c>
      <c r="D729" s="77">
        <f>277.167</f>
        <v>277.16699999999997</v>
      </c>
      <c r="E729" s="86">
        <f>79.08</f>
        <v>79.08</v>
      </c>
      <c r="F729" s="77">
        <f>350.872-40-25-60-100</f>
        <v>125.87200000000001</v>
      </c>
      <c r="G729" s="80">
        <v>40</v>
      </c>
      <c r="H729" s="77">
        <f t="shared" si="116"/>
        <v>185</v>
      </c>
      <c r="I729" s="77">
        <f t="shared" si="113"/>
        <v>0</v>
      </c>
      <c r="J729" s="80">
        <v>100</v>
      </c>
      <c r="K729" s="80">
        <v>300</v>
      </c>
      <c r="L729" s="77">
        <f t="shared" si="117"/>
        <v>1239</v>
      </c>
      <c r="M729" s="88">
        <v>600</v>
      </c>
      <c r="N729" s="77">
        <f>75</f>
        <v>75</v>
      </c>
      <c r="O729" s="80">
        <v>240</v>
      </c>
      <c r="P729" s="80">
        <v>40</v>
      </c>
      <c r="Q729" s="80">
        <f t="shared" si="118"/>
        <v>315</v>
      </c>
      <c r="R729" s="80">
        <f t="shared" si="119"/>
        <v>100</v>
      </c>
      <c r="S729" s="77">
        <f t="shared" si="120"/>
        <v>695</v>
      </c>
      <c r="T729" s="77">
        <f>0</f>
        <v>0</v>
      </c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</row>
    <row r="730" spans="1:30" ht="15.75" x14ac:dyDescent="0.25">
      <c r="A730" s="32">
        <v>63158</v>
      </c>
      <c r="B730" s="89">
        <f t="shared" si="121"/>
        <v>30</v>
      </c>
      <c r="C730" s="77">
        <f>122.58</f>
        <v>122.58</v>
      </c>
      <c r="D730" s="77">
        <f>297.941</f>
        <v>297.94099999999997</v>
      </c>
      <c r="E730" s="86">
        <f>89.177</f>
        <v>89.177000000000007</v>
      </c>
      <c r="F730" s="77">
        <f>240.302-40-60-100</f>
        <v>40.301999999999992</v>
      </c>
      <c r="G730" s="80">
        <v>40</v>
      </c>
      <c r="H730" s="77">
        <f>60+100</f>
        <v>160</v>
      </c>
      <c r="I730" s="77">
        <f t="shared" si="113"/>
        <v>0</v>
      </c>
      <c r="J730" s="80">
        <v>100</v>
      </c>
      <c r="K730" s="80">
        <v>300</v>
      </c>
      <c r="L730" s="77">
        <f t="shared" si="117"/>
        <v>1150</v>
      </c>
      <c r="M730" s="88">
        <v>600</v>
      </c>
      <c r="N730" s="77">
        <f>100</f>
        <v>100</v>
      </c>
      <c r="O730" s="80">
        <v>240</v>
      </c>
      <c r="P730" s="80">
        <v>40</v>
      </c>
      <c r="Q730" s="80">
        <f t="shared" si="118"/>
        <v>315</v>
      </c>
      <c r="R730" s="80">
        <f t="shared" si="119"/>
        <v>100</v>
      </c>
      <c r="S730" s="77">
        <f t="shared" si="120"/>
        <v>695</v>
      </c>
      <c r="T730" s="77">
        <f>50</f>
        <v>50</v>
      </c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</row>
    <row r="731" spans="1:30" ht="15.75" x14ac:dyDescent="0.25">
      <c r="A731" s="32">
        <v>63189</v>
      </c>
      <c r="B731" s="89">
        <f t="shared" si="121"/>
        <v>31</v>
      </c>
      <c r="C731" s="77">
        <f>122.58</f>
        <v>122.58</v>
      </c>
      <c r="D731" s="77">
        <f>297.941</f>
        <v>297.94099999999997</v>
      </c>
      <c r="E731" s="86">
        <f>89.177</f>
        <v>89.177000000000007</v>
      </c>
      <c r="F731" s="77">
        <f>240.302-40-60-100</f>
        <v>40.301999999999992</v>
      </c>
      <c r="G731" s="80">
        <v>40</v>
      </c>
      <c r="H731" s="77">
        <f>60+100</f>
        <v>160</v>
      </c>
      <c r="I731" s="77">
        <f t="shared" si="113"/>
        <v>0</v>
      </c>
      <c r="J731" s="80">
        <v>100</v>
      </c>
      <c r="K731" s="80">
        <v>300</v>
      </c>
      <c r="L731" s="77">
        <f t="shared" si="117"/>
        <v>1150</v>
      </c>
      <c r="M731" s="88">
        <v>600</v>
      </c>
      <c r="N731" s="77">
        <f>100</f>
        <v>100</v>
      </c>
      <c r="O731" s="80">
        <v>240</v>
      </c>
      <c r="P731" s="80">
        <v>40</v>
      </c>
      <c r="Q731" s="80">
        <f t="shared" si="118"/>
        <v>315</v>
      </c>
      <c r="R731" s="80">
        <f t="shared" si="119"/>
        <v>100</v>
      </c>
      <c r="S731" s="77">
        <f t="shared" si="120"/>
        <v>695</v>
      </c>
      <c r="T731" s="77">
        <f>50</f>
        <v>50</v>
      </c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</row>
    <row r="732" spans="1:30" ht="15.75" x14ac:dyDescent="0.25">
      <c r="A732" s="32">
        <v>63220</v>
      </c>
      <c r="B732" s="89">
        <f t="shared" si="121"/>
        <v>31</v>
      </c>
      <c r="C732" s="77">
        <f>122.58</f>
        <v>122.58</v>
      </c>
      <c r="D732" s="77">
        <f>297.941</f>
        <v>297.94099999999997</v>
      </c>
      <c r="E732" s="86">
        <f>89.177</f>
        <v>89.177000000000007</v>
      </c>
      <c r="F732" s="77">
        <f>240.302-40-60-100</f>
        <v>40.301999999999992</v>
      </c>
      <c r="G732" s="80">
        <v>40</v>
      </c>
      <c r="H732" s="77">
        <f>60+100</f>
        <v>160</v>
      </c>
      <c r="I732" s="77">
        <f t="shared" si="113"/>
        <v>0</v>
      </c>
      <c r="J732" s="80">
        <v>100</v>
      </c>
      <c r="K732" s="80">
        <v>300</v>
      </c>
      <c r="L732" s="77">
        <f t="shared" si="117"/>
        <v>1150</v>
      </c>
      <c r="M732" s="88">
        <v>600</v>
      </c>
      <c r="N732" s="77">
        <f>100</f>
        <v>100</v>
      </c>
      <c r="O732" s="80">
        <v>240</v>
      </c>
      <c r="P732" s="80">
        <v>40</v>
      </c>
      <c r="Q732" s="80">
        <f t="shared" si="118"/>
        <v>315</v>
      </c>
      <c r="R732" s="80">
        <f t="shared" si="119"/>
        <v>100</v>
      </c>
      <c r="S732" s="77">
        <f t="shared" si="120"/>
        <v>695</v>
      </c>
      <c r="T732" s="77">
        <f>50</f>
        <v>50</v>
      </c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</row>
    <row r="733" spans="1:30" ht="15.75" x14ac:dyDescent="0.25">
      <c r="A733" s="32">
        <v>63248</v>
      </c>
      <c r="B733" s="89">
        <f t="shared" si="121"/>
        <v>28</v>
      </c>
      <c r="C733" s="77">
        <f>122.58</f>
        <v>122.58</v>
      </c>
      <c r="D733" s="77">
        <f>297.941</f>
        <v>297.94099999999997</v>
      </c>
      <c r="E733" s="86">
        <f>89.177</f>
        <v>89.177000000000007</v>
      </c>
      <c r="F733" s="77">
        <f>240.302-40-60-100</f>
        <v>40.301999999999992</v>
      </c>
      <c r="G733" s="80">
        <v>40</v>
      </c>
      <c r="H733" s="77">
        <f>60+100</f>
        <v>160</v>
      </c>
      <c r="I733" s="77">
        <f t="shared" si="113"/>
        <v>0</v>
      </c>
      <c r="J733" s="80">
        <v>100</v>
      </c>
      <c r="K733" s="80">
        <v>300</v>
      </c>
      <c r="L733" s="77">
        <f t="shared" si="117"/>
        <v>1150</v>
      </c>
      <c r="M733" s="88">
        <v>600</v>
      </c>
      <c r="N733" s="77">
        <f>100</f>
        <v>100</v>
      </c>
      <c r="O733" s="80">
        <v>240</v>
      </c>
      <c r="P733" s="80">
        <v>40</v>
      </c>
      <c r="Q733" s="80">
        <f t="shared" si="118"/>
        <v>315</v>
      </c>
      <c r="R733" s="80">
        <f t="shared" si="119"/>
        <v>100</v>
      </c>
      <c r="S733" s="77">
        <f t="shared" si="120"/>
        <v>695</v>
      </c>
      <c r="T733" s="77">
        <f>50</f>
        <v>50</v>
      </c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</row>
    <row r="734" spans="1:30" ht="15.75" x14ac:dyDescent="0.25">
      <c r="A734" s="32">
        <v>63279</v>
      </c>
      <c r="B734" s="89">
        <f t="shared" si="121"/>
        <v>31</v>
      </c>
      <c r="C734" s="77">
        <f>122.58</f>
        <v>122.58</v>
      </c>
      <c r="D734" s="77">
        <f>297.941</f>
        <v>297.94099999999997</v>
      </c>
      <c r="E734" s="86">
        <f>89.177</f>
        <v>89.177000000000007</v>
      </c>
      <c r="F734" s="77">
        <f>240.302-40-60-100</f>
        <v>40.301999999999992</v>
      </c>
      <c r="G734" s="80">
        <v>40</v>
      </c>
      <c r="H734" s="77">
        <f>60+100</f>
        <v>160</v>
      </c>
      <c r="I734" s="77">
        <f t="shared" si="113"/>
        <v>0</v>
      </c>
      <c r="J734" s="80">
        <v>100</v>
      </c>
      <c r="K734" s="80">
        <v>300</v>
      </c>
      <c r="L734" s="77">
        <f t="shared" si="117"/>
        <v>1150</v>
      </c>
      <c r="M734" s="88">
        <v>600</v>
      </c>
      <c r="N734" s="77">
        <f>100</f>
        <v>100</v>
      </c>
      <c r="O734" s="80">
        <v>240</v>
      </c>
      <c r="P734" s="80">
        <v>40</v>
      </c>
      <c r="Q734" s="80">
        <f t="shared" si="118"/>
        <v>315</v>
      </c>
      <c r="R734" s="80">
        <f t="shared" si="119"/>
        <v>100</v>
      </c>
      <c r="S734" s="77">
        <f t="shared" si="120"/>
        <v>695</v>
      </c>
      <c r="T734" s="77">
        <f>50</f>
        <v>50</v>
      </c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</row>
    <row r="735" spans="1:30" ht="15.75" x14ac:dyDescent="0.25">
      <c r="A735" s="32">
        <v>63309</v>
      </c>
      <c r="B735" s="89">
        <f t="shared" si="121"/>
        <v>30</v>
      </c>
      <c r="C735" s="77">
        <f>141.293</f>
        <v>141.29300000000001</v>
      </c>
      <c r="D735" s="77">
        <f>267.993</f>
        <v>267.99299999999999</v>
      </c>
      <c r="E735" s="86">
        <f>115.016</f>
        <v>115.01600000000001</v>
      </c>
      <c r="F735" s="77">
        <f>314.698-40-25-60-100</f>
        <v>89.697999999999979</v>
      </c>
      <c r="G735" s="80">
        <v>40</v>
      </c>
      <c r="H735" s="77">
        <f t="shared" ref="H735:H741" si="122">25+60+100</f>
        <v>185</v>
      </c>
      <c r="I735" s="77">
        <f t="shared" si="113"/>
        <v>0</v>
      </c>
      <c r="J735" s="80">
        <v>100</v>
      </c>
      <c r="K735" s="80">
        <v>300</v>
      </c>
      <c r="L735" s="77">
        <f t="shared" si="117"/>
        <v>1239</v>
      </c>
      <c r="M735" s="88">
        <v>600</v>
      </c>
      <c r="N735" s="77">
        <f>100</f>
        <v>100</v>
      </c>
      <c r="O735" s="80">
        <v>240</v>
      </c>
      <c r="P735" s="80">
        <v>40</v>
      </c>
      <c r="Q735" s="80">
        <f t="shared" si="118"/>
        <v>315</v>
      </c>
      <c r="R735" s="80">
        <f t="shared" si="119"/>
        <v>100</v>
      </c>
      <c r="S735" s="77">
        <f t="shared" si="120"/>
        <v>695</v>
      </c>
      <c r="T735" s="77">
        <f>50</f>
        <v>50</v>
      </c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</row>
    <row r="736" spans="1:30" ht="15.75" x14ac:dyDescent="0.25">
      <c r="A736" s="32">
        <v>63340</v>
      </c>
      <c r="B736" s="89">
        <f t="shared" si="121"/>
        <v>31</v>
      </c>
      <c r="C736" s="77">
        <f>194.205</f>
        <v>194.20500000000001</v>
      </c>
      <c r="D736" s="77">
        <f>267.466</f>
        <v>267.46600000000001</v>
      </c>
      <c r="E736" s="86">
        <f>133.845</f>
        <v>133.845</v>
      </c>
      <c r="F736" s="77">
        <f>278.484-40-25-60-100</f>
        <v>53.48399999999998</v>
      </c>
      <c r="G736" s="80">
        <v>40</v>
      </c>
      <c r="H736" s="77">
        <f t="shared" si="122"/>
        <v>185</v>
      </c>
      <c r="I736" s="77">
        <f t="shared" si="113"/>
        <v>0</v>
      </c>
      <c r="J736" s="80">
        <v>100</v>
      </c>
      <c r="K736" s="80">
        <v>300</v>
      </c>
      <c r="L736" s="77">
        <f t="shared" si="117"/>
        <v>1274</v>
      </c>
      <c r="M736" s="88">
        <v>600</v>
      </c>
      <c r="N736" s="77">
        <f>75</f>
        <v>75</v>
      </c>
      <c r="O736" s="80">
        <v>240</v>
      </c>
      <c r="P736" s="80">
        <v>40</v>
      </c>
      <c r="Q736" s="80">
        <f t="shared" si="118"/>
        <v>315</v>
      </c>
      <c r="R736" s="80">
        <f t="shared" si="119"/>
        <v>100</v>
      </c>
      <c r="S736" s="77">
        <f t="shared" si="120"/>
        <v>695</v>
      </c>
      <c r="T736" s="77">
        <f>50</f>
        <v>50</v>
      </c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</row>
    <row r="737" spans="1:30" ht="15.75" x14ac:dyDescent="0.25">
      <c r="A737" s="32">
        <v>63370</v>
      </c>
      <c r="B737" s="89">
        <f t="shared" si="121"/>
        <v>30</v>
      </c>
      <c r="C737" s="77">
        <f>194.205</f>
        <v>194.20500000000001</v>
      </c>
      <c r="D737" s="77">
        <f>267.466</f>
        <v>267.46600000000001</v>
      </c>
      <c r="E737" s="86">
        <f>133.845</f>
        <v>133.845</v>
      </c>
      <c r="F737" s="77">
        <f>278.484-40-25-60-100</f>
        <v>53.48399999999998</v>
      </c>
      <c r="G737" s="80">
        <v>40</v>
      </c>
      <c r="H737" s="77">
        <f t="shared" si="122"/>
        <v>185</v>
      </c>
      <c r="I737" s="77">
        <f t="shared" si="113"/>
        <v>0</v>
      </c>
      <c r="J737" s="80">
        <v>100</v>
      </c>
      <c r="K737" s="80">
        <v>300</v>
      </c>
      <c r="L737" s="77">
        <f t="shared" si="117"/>
        <v>1274</v>
      </c>
      <c r="M737" s="88">
        <v>600</v>
      </c>
      <c r="N737" s="77">
        <f>30</f>
        <v>30</v>
      </c>
      <c r="O737" s="80">
        <v>240</v>
      </c>
      <c r="P737" s="80">
        <v>40</v>
      </c>
      <c r="Q737" s="80">
        <f t="shared" si="118"/>
        <v>315</v>
      </c>
      <c r="R737" s="80">
        <f t="shared" si="119"/>
        <v>100</v>
      </c>
      <c r="S737" s="77">
        <f t="shared" si="120"/>
        <v>695</v>
      </c>
      <c r="T737" s="77">
        <f>50</f>
        <v>50</v>
      </c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</row>
    <row r="738" spans="1:30" ht="15.75" x14ac:dyDescent="0.25">
      <c r="A738" s="32">
        <v>63401</v>
      </c>
      <c r="B738" s="89">
        <f t="shared" si="121"/>
        <v>31</v>
      </c>
      <c r="C738" s="77">
        <f>194.205</f>
        <v>194.20500000000001</v>
      </c>
      <c r="D738" s="77">
        <f>267.466</f>
        <v>267.46600000000001</v>
      </c>
      <c r="E738" s="86">
        <f>133.845</f>
        <v>133.845</v>
      </c>
      <c r="F738" s="77">
        <f>278.484-40-25-60-100</f>
        <v>53.48399999999998</v>
      </c>
      <c r="G738" s="80">
        <v>40</v>
      </c>
      <c r="H738" s="77">
        <f t="shared" si="122"/>
        <v>185</v>
      </c>
      <c r="I738" s="77">
        <f t="shared" si="113"/>
        <v>0</v>
      </c>
      <c r="J738" s="80">
        <v>100</v>
      </c>
      <c r="K738" s="80">
        <v>300</v>
      </c>
      <c r="L738" s="77">
        <f t="shared" si="117"/>
        <v>1274</v>
      </c>
      <c r="M738" s="88">
        <v>600</v>
      </c>
      <c r="N738" s="77">
        <f>30</f>
        <v>30</v>
      </c>
      <c r="O738" s="80">
        <v>240</v>
      </c>
      <c r="P738" s="80">
        <v>40</v>
      </c>
      <c r="Q738" s="80">
        <f t="shared" si="118"/>
        <v>315</v>
      </c>
      <c r="R738" s="80">
        <f t="shared" si="119"/>
        <v>100</v>
      </c>
      <c r="S738" s="77">
        <f t="shared" si="120"/>
        <v>695</v>
      </c>
      <c r="T738" s="77">
        <f>0</f>
        <v>0</v>
      </c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</row>
    <row r="739" spans="1:30" ht="15.75" x14ac:dyDescent="0.25">
      <c r="A739" s="32">
        <v>63432</v>
      </c>
      <c r="B739" s="89">
        <f t="shared" si="121"/>
        <v>31</v>
      </c>
      <c r="C739" s="77">
        <f>194.205</f>
        <v>194.20500000000001</v>
      </c>
      <c r="D739" s="77">
        <f>267.466</f>
        <v>267.46600000000001</v>
      </c>
      <c r="E739" s="86">
        <f>133.845</f>
        <v>133.845</v>
      </c>
      <c r="F739" s="77">
        <f>278.484-40-25-60-100</f>
        <v>53.48399999999998</v>
      </c>
      <c r="G739" s="80">
        <v>40</v>
      </c>
      <c r="H739" s="77">
        <f t="shared" si="122"/>
        <v>185</v>
      </c>
      <c r="I739" s="77">
        <f t="shared" si="113"/>
        <v>0</v>
      </c>
      <c r="J739" s="80">
        <v>100</v>
      </c>
      <c r="K739" s="80">
        <v>300</v>
      </c>
      <c r="L739" s="77">
        <f t="shared" si="117"/>
        <v>1274</v>
      </c>
      <c r="M739" s="88">
        <v>600</v>
      </c>
      <c r="N739" s="77">
        <f>30</f>
        <v>30</v>
      </c>
      <c r="O739" s="80">
        <v>240</v>
      </c>
      <c r="P739" s="80">
        <v>40</v>
      </c>
      <c r="Q739" s="80">
        <f t="shared" si="118"/>
        <v>315</v>
      </c>
      <c r="R739" s="80">
        <f t="shared" si="119"/>
        <v>100</v>
      </c>
      <c r="S739" s="77">
        <f t="shared" si="120"/>
        <v>695</v>
      </c>
      <c r="T739" s="77">
        <f>0</f>
        <v>0</v>
      </c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</row>
    <row r="740" spans="1:30" ht="15.75" x14ac:dyDescent="0.25">
      <c r="A740" s="32">
        <v>63462</v>
      </c>
      <c r="B740" s="89">
        <f t="shared" si="121"/>
        <v>30</v>
      </c>
      <c r="C740" s="77">
        <f>194.205</f>
        <v>194.20500000000001</v>
      </c>
      <c r="D740" s="77">
        <f>267.466</f>
        <v>267.46600000000001</v>
      </c>
      <c r="E740" s="86">
        <f>133.845</f>
        <v>133.845</v>
      </c>
      <c r="F740" s="77">
        <f>278.484-40-25-60-100</f>
        <v>53.48399999999998</v>
      </c>
      <c r="G740" s="80">
        <v>40</v>
      </c>
      <c r="H740" s="77">
        <f t="shared" si="122"/>
        <v>185</v>
      </c>
      <c r="I740" s="77">
        <f t="shared" si="113"/>
        <v>0</v>
      </c>
      <c r="J740" s="80">
        <v>100</v>
      </c>
      <c r="K740" s="80">
        <v>300</v>
      </c>
      <c r="L740" s="77">
        <f t="shared" si="117"/>
        <v>1274</v>
      </c>
      <c r="M740" s="88">
        <v>600</v>
      </c>
      <c r="N740" s="77">
        <f>30</f>
        <v>30</v>
      </c>
      <c r="O740" s="80">
        <v>240</v>
      </c>
      <c r="P740" s="80">
        <v>40</v>
      </c>
      <c r="Q740" s="80">
        <f t="shared" si="118"/>
        <v>315</v>
      </c>
      <c r="R740" s="80">
        <f t="shared" si="119"/>
        <v>100</v>
      </c>
      <c r="S740" s="77">
        <f t="shared" si="120"/>
        <v>695</v>
      </c>
      <c r="T740" s="77">
        <f>0</f>
        <v>0</v>
      </c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</row>
    <row r="741" spans="1:30" ht="15.75" x14ac:dyDescent="0.25">
      <c r="A741" s="32">
        <v>63493</v>
      </c>
      <c r="B741" s="89">
        <f t="shared" si="121"/>
        <v>31</v>
      </c>
      <c r="C741" s="77">
        <f>131.881</f>
        <v>131.881</v>
      </c>
      <c r="D741" s="77">
        <f>277.167</f>
        <v>277.16699999999997</v>
      </c>
      <c r="E741" s="86">
        <f>79.08</f>
        <v>79.08</v>
      </c>
      <c r="F741" s="77">
        <f>350.872-40-25-60-100</f>
        <v>125.87200000000001</v>
      </c>
      <c r="G741" s="80">
        <v>40</v>
      </c>
      <c r="H741" s="77">
        <f t="shared" si="122"/>
        <v>185</v>
      </c>
      <c r="I741" s="77">
        <f t="shared" si="113"/>
        <v>0</v>
      </c>
      <c r="J741" s="80">
        <v>100</v>
      </c>
      <c r="K741" s="80">
        <v>300</v>
      </c>
      <c r="L741" s="77">
        <f t="shared" si="117"/>
        <v>1239</v>
      </c>
      <c r="M741" s="88">
        <v>600</v>
      </c>
      <c r="N741" s="77">
        <f>75</f>
        <v>75</v>
      </c>
      <c r="O741" s="80">
        <v>240</v>
      </c>
      <c r="P741" s="80">
        <v>40</v>
      </c>
      <c r="Q741" s="80">
        <f t="shared" si="118"/>
        <v>315</v>
      </c>
      <c r="R741" s="80">
        <f t="shared" si="119"/>
        <v>100</v>
      </c>
      <c r="S741" s="77">
        <f t="shared" si="120"/>
        <v>695</v>
      </c>
      <c r="T741" s="77">
        <f>0</f>
        <v>0</v>
      </c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</row>
    <row r="742" spans="1:30" ht="15.75" x14ac:dyDescent="0.25">
      <c r="A742" s="32">
        <v>63523</v>
      </c>
      <c r="B742" s="89">
        <f t="shared" si="121"/>
        <v>30</v>
      </c>
      <c r="C742" s="77">
        <f>122.58</f>
        <v>122.58</v>
      </c>
      <c r="D742" s="77">
        <f>297.941</f>
        <v>297.94099999999997</v>
      </c>
      <c r="E742" s="86">
        <f>89.177</f>
        <v>89.177000000000007</v>
      </c>
      <c r="F742" s="77">
        <f>240.302-40-60-100</f>
        <v>40.301999999999992</v>
      </c>
      <c r="G742" s="80">
        <v>40</v>
      </c>
      <c r="H742" s="77">
        <f>60+100</f>
        <v>160</v>
      </c>
      <c r="I742" s="77">
        <f t="shared" si="113"/>
        <v>0</v>
      </c>
      <c r="J742" s="80">
        <v>100</v>
      </c>
      <c r="K742" s="80">
        <v>300</v>
      </c>
      <c r="L742" s="77">
        <f t="shared" si="117"/>
        <v>1150</v>
      </c>
      <c r="M742" s="88">
        <v>600</v>
      </c>
      <c r="N742" s="77">
        <f>100</f>
        <v>100</v>
      </c>
      <c r="O742" s="80">
        <v>240</v>
      </c>
      <c r="P742" s="80">
        <v>40</v>
      </c>
      <c r="Q742" s="80">
        <f t="shared" si="118"/>
        <v>315</v>
      </c>
      <c r="R742" s="80">
        <f t="shared" si="119"/>
        <v>100</v>
      </c>
      <c r="S742" s="77">
        <f t="shared" si="120"/>
        <v>695</v>
      </c>
      <c r="T742" s="77">
        <f>50</f>
        <v>50</v>
      </c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</row>
    <row r="743" spans="1:30" ht="15.75" x14ac:dyDescent="0.25">
      <c r="A743" s="32">
        <v>63554</v>
      </c>
      <c r="B743" s="89">
        <f t="shared" si="121"/>
        <v>31</v>
      </c>
      <c r="C743" s="77">
        <f>122.58</f>
        <v>122.58</v>
      </c>
      <c r="D743" s="77">
        <f>297.941</f>
        <v>297.94099999999997</v>
      </c>
      <c r="E743" s="86">
        <f>89.177</f>
        <v>89.177000000000007</v>
      </c>
      <c r="F743" s="77">
        <f>240.302-40-60-100</f>
        <v>40.301999999999992</v>
      </c>
      <c r="G743" s="80">
        <v>40</v>
      </c>
      <c r="H743" s="77">
        <f>60+100</f>
        <v>160</v>
      </c>
      <c r="I743" s="77">
        <f t="shared" si="113"/>
        <v>0</v>
      </c>
      <c r="J743" s="80">
        <v>100</v>
      </c>
      <c r="K743" s="80">
        <v>300</v>
      </c>
      <c r="L743" s="77">
        <f t="shared" si="117"/>
        <v>1150</v>
      </c>
      <c r="M743" s="88">
        <v>600</v>
      </c>
      <c r="N743" s="77">
        <f>100</f>
        <v>100</v>
      </c>
      <c r="O743" s="80">
        <v>240</v>
      </c>
      <c r="P743" s="80">
        <v>40</v>
      </c>
      <c r="Q743" s="80">
        <f t="shared" si="118"/>
        <v>315</v>
      </c>
      <c r="R743" s="80">
        <f t="shared" si="119"/>
        <v>100</v>
      </c>
      <c r="S743" s="77">
        <f t="shared" si="120"/>
        <v>695</v>
      </c>
      <c r="T743" s="77">
        <f>50</f>
        <v>50</v>
      </c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</row>
    <row r="744" spans="1:30" ht="15.75" x14ac:dyDescent="0.25">
      <c r="A744" s="32">
        <v>63585</v>
      </c>
      <c r="B744" s="89">
        <f t="shared" si="121"/>
        <v>31</v>
      </c>
      <c r="C744" s="77">
        <f>122.58</f>
        <v>122.58</v>
      </c>
      <c r="D744" s="77">
        <f>297.941</f>
        <v>297.94099999999997</v>
      </c>
      <c r="E744" s="86">
        <f>89.177</f>
        <v>89.177000000000007</v>
      </c>
      <c r="F744" s="77">
        <f>240.302-40-60-100</f>
        <v>40.301999999999992</v>
      </c>
      <c r="G744" s="80">
        <v>40</v>
      </c>
      <c r="H744" s="77">
        <f>60+100</f>
        <v>160</v>
      </c>
      <c r="I744" s="77">
        <f t="shared" si="113"/>
        <v>0</v>
      </c>
      <c r="J744" s="80">
        <v>100</v>
      </c>
      <c r="K744" s="80">
        <v>300</v>
      </c>
      <c r="L744" s="77">
        <f t="shared" si="117"/>
        <v>1150</v>
      </c>
      <c r="M744" s="88">
        <v>600</v>
      </c>
      <c r="N744" s="77">
        <f>100</f>
        <v>100</v>
      </c>
      <c r="O744" s="80">
        <v>240</v>
      </c>
      <c r="P744" s="80">
        <v>40</v>
      </c>
      <c r="Q744" s="80">
        <f t="shared" si="118"/>
        <v>315</v>
      </c>
      <c r="R744" s="80">
        <f t="shared" si="119"/>
        <v>100</v>
      </c>
      <c r="S744" s="77">
        <f t="shared" si="120"/>
        <v>695</v>
      </c>
      <c r="T744" s="77">
        <f>50</f>
        <v>50</v>
      </c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</row>
    <row r="745" spans="1:30" ht="15.75" x14ac:dyDescent="0.25">
      <c r="A745" s="32">
        <v>63613</v>
      </c>
      <c r="B745" s="89">
        <f t="shared" si="121"/>
        <v>28</v>
      </c>
      <c r="C745" s="77">
        <f>122.58</f>
        <v>122.58</v>
      </c>
      <c r="D745" s="77">
        <f>297.941</f>
        <v>297.94099999999997</v>
      </c>
      <c r="E745" s="86">
        <f>89.177</f>
        <v>89.177000000000007</v>
      </c>
      <c r="F745" s="77">
        <f>240.302-40-60-100</f>
        <v>40.301999999999992</v>
      </c>
      <c r="G745" s="80">
        <v>40</v>
      </c>
      <c r="H745" s="77">
        <f>60+100</f>
        <v>160</v>
      </c>
      <c r="I745" s="77">
        <f t="shared" si="113"/>
        <v>0</v>
      </c>
      <c r="J745" s="80">
        <v>100</v>
      </c>
      <c r="K745" s="80">
        <v>300</v>
      </c>
      <c r="L745" s="77">
        <f t="shared" si="117"/>
        <v>1150</v>
      </c>
      <c r="M745" s="88">
        <v>600</v>
      </c>
      <c r="N745" s="77">
        <f>100</f>
        <v>100</v>
      </c>
      <c r="O745" s="80">
        <v>240</v>
      </c>
      <c r="P745" s="80">
        <v>40</v>
      </c>
      <c r="Q745" s="80">
        <f t="shared" si="118"/>
        <v>315</v>
      </c>
      <c r="R745" s="80">
        <f t="shared" si="119"/>
        <v>100</v>
      </c>
      <c r="S745" s="77">
        <f t="shared" si="120"/>
        <v>695</v>
      </c>
      <c r="T745" s="77">
        <f>50</f>
        <v>50</v>
      </c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</row>
    <row r="746" spans="1:30" ht="15.75" x14ac:dyDescent="0.25">
      <c r="A746" s="32">
        <v>63644</v>
      </c>
      <c r="B746" s="89">
        <f t="shared" si="121"/>
        <v>31</v>
      </c>
      <c r="C746" s="77">
        <f>122.58</f>
        <v>122.58</v>
      </c>
      <c r="D746" s="77">
        <f>297.941</f>
        <v>297.94099999999997</v>
      </c>
      <c r="E746" s="86">
        <f>89.177</f>
        <v>89.177000000000007</v>
      </c>
      <c r="F746" s="77">
        <f>240.302-40-60-100</f>
        <v>40.301999999999992</v>
      </c>
      <c r="G746" s="80">
        <v>40</v>
      </c>
      <c r="H746" s="77">
        <f>60+100</f>
        <v>160</v>
      </c>
      <c r="I746" s="77">
        <f t="shared" si="113"/>
        <v>0</v>
      </c>
      <c r="J746" s="80">
        <v>100</v>
      </c>
      <c r="K746" s="80">
        <v>300</v>
      </c>
      <c r="L746" s="77">
        <f t="shared" si="117"/>
        <v>1150</v>
      </c>
      <c r="M746" s="88">
        <v>600</v>
      </c>
      <c r="N746" s="77">
        <f>100</f>
        <v>100</v>
      </c>
      <c r="O746" s="80">
        <v>240</v>
      </c>
      <c r="P746" s="80">
        <v>40</v>
      </c>
      <c r="Q746" s="80">
        <f t="shared" si="118"/>
        <v>315</v>
      </c>
      <c r="R746" s="80">
        <f t="shared" si="119"/>
        <v>100</v>
      </c>
      <c r="S746" s="77">
        <f t="shared" si="120"/>
        <v>695</v>
      </c>
      <c r="T746" s="77">
        <f>50</f>
        <v>50</v>
      </c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</row>
    <row r="747" spans="1:30" ht="15.75" x14ac:dyDescent="0.25">
      <c r="A747" s="32">
        <v>63674</v>
      </c>
      <c r="B747" s="89">
        <f t="shared" si="121"/>
        <v>30</v>
      </c>
      <c r="C747" s="77">
        <f>141.293</f>
        <v>141.29300000000001</v>
      </c>
      <c r="D747" s="77">
        <f>267.993</f>
        <v>267.99299999999999</v>
      </c>
      <c r="E747" s="86">
        <f>115.016</f>
        <v>115.01600000000001</v>
      </c>
      <c r="F747" s="77">
        <f>314.698-40-25-60-100</f>
        <v>89.697999999999979</v>
      </c>
      <c r="G747" s="80">
        <v>40</v>
      </c>
      <c r="H747" s="77">
        <f t="shared" ref="H747:H753" si="123">25+60+100</f>
        <v>185</v>
      </c>
      <c r="I747" s="77">
        <f t="shared" si="113"/>
        <v>0</v>
      </c>
      <c r="J747" s="80">
        <v>100</v>
      </c>
      <c r="K747" s="80">
        <v>300</v>
      </c>
      <c r="L747" s="77">
        <f t="shared" si="117"/>
        <v>1239</v>
      </c>
      <c r="M747" s="88">
        <v>600</v>
      </c>
      <c r="N747" s="77">
        <f>100</f>
        <v>100</v>
      </c>
      <c r="O747" s="80">
        <v>240</v>
      </c>
      <c r="P747" s="80">
        <v>40</v>
      </c>
      <c r="Q747" s="80">
        <f t="shared" si="118"/>
        <v>315</v>
      </c>
      <c r="R747" s="80">
        <f t="shared" si="119"/>
        <v>100</v>
      </c>
      <c r="S747" s="77">
        <f t="shared" si="120"/>
        <v>695</v>
      </c>
      <c r="T747" s="77">
        <f>50</f>
        <v>50</v>
      </c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</row>
    <row r="748" spans="1:30" ht="15.75" x14ac:dyDescent="0.25">
      <c r="A748" s="32">
        <v>63705</v>
      </c>
      <c r="B748" s="89">
        <f t="shared" si="121"/>
        <v>31</v>
      </c>
      <c r="C748" s="77">
        <f>194.205</f>
        <v>194.20500000000001</v>
      </c>
      <c r="D748" s="77">
        <f>267.466</f>
        <v>267.46600000000001</v>
      </c>
      <c r="E748" s="86">
        <f>133.845</f>
        <v>133.845</v>
      </c>
      <c r="F748" s="77">
        <f>278.484-40-25-60-100</f>
        <v>53.48399999999998</v>
      </c>
      <c r="G748" s="80">
        <v>40</v>
      </c>
      <c r="H748" s="77">
        <f t="shared" si="123"/>
        <v>185</v>
      </c>
      <c r="I748" s="77">
        <f t="shared" si="113"/>
        <v>0</v>
      </c>
      <c r="J748" s="80">
        <v>100</v>
      </c>
      <c r="K748" s="80">
        <v>300</v>
      </c>
      <c r="L748" s="77">
        <f t="shared" si="117"/>
        <v>1274</v>
      </c>
      <c r="M748" s="88">
        <v>600</v>
      </c>
      <c r="N748" s="77">
        <f>75</f>
        <v>75</v>
      </c>
      <c r="O748" s="80">
        <v>240</v>
      </c>
      <c r="P748" s="80">
        <v>40</v>
      </c>
      <c r="Q748" s="80">
        <f t="shared" si="118"/>
        <v>315</v>
      </c>
      <c r="R748" s="80">
        <f t="shared" si="119"/>
        <v>100</v>
      </c>
      <c r="S748" s="77">
        <f t="shared" si="120"/>
        <v>695</v>
      </c>
      <c r="T748" s="77">
        <f>50</f>
        <v>50</v>
      </c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</row>
    <row r="749" spans="1:30" ht="15.75" x14ac:dyDescent="0.25">
      <c r="A749" s="32">
        <v>63735</v>
      </c>
      <c r="B749" s="89">
        <f t="shared" si="121"/>
        <v>30</v>
      </c>
      <c r="C749" s="77">
        <f>194.205</f>
        <v>194.20500000000001</v>
      </c>
      <c r="D749" s="77">
        <f>267.466</f>
        <v>267.46600000000001</v>
      </c>
      <c r="E749" s="86">
        <f>133.845</f>
        <v>133.845</v>
      </c>
      <c r="F749" s="77">
        <f>278.484-40-25-60-100</f>
        <v>53.48399999999998</v>
      </c>
      <c r="G749" s="80">
        <v>40</v>
      </c>
      <c r="H749" s="77">
        <f t="shared" si="123"/>
        <v>185</v>
      </c>
      <c r="I749" s="77">
        <f t="shared" si="113"/>
        <v>0</v>
      </c>
      <c r="J749" s="80">
        <v>100</v>
      </c>
      <c r="K749" s="80">
        <v>300</v>
      </c>
      <c r="L749" s="77">
        <f t="shared" si="117"/>
        <v>1274</v>
      </c>
      <c r="M749" s="88">
        <v>600</v>
      </c>
      <c r="N749" s="77">
        <f>30</f>
        <v>30</v>
      </c>
      <c r="O749" s="80">
        <v>240</v>
      </c>
      <c r="P749" s="80">
        <v>40</v>
      </c>
      <c r="Q749" s="80">
        <f t="shared" si="118"/>
        <v>315</v>
      </c>
      <c r="R749" s="80">
        <f t="shared" si="119"/>
        <v>100</v>
      </c>
      <c r="S749" s="77">
        <f t="shared" si="120"/>
        <v>695</v>
      </c>
      <c r="T749" s="77">
        <f>50</f>
        <v>50</v>
      </c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</row>
    <row r="750" spans="1:30" ht="15.75" x14ac:dyDescent="0.25">
      <c r="A750" s="32">
        <v>63766</v>
      </c>
      <c r="B750" s="89">
        <f t="shared" si="121"/>
        <v>31</v>
      </c>
      <c r="C750" s="77">
        <f>194.205</f>
        <v>194.20500000000001</v>
      </c>
      <c r="D750" s="77">
        <f>267.466</f>
        <v>267.46600000000001</v>
      </c>
      <c r="E750" s="86">
        <f>133.845</f>
        <v>133.845</v>
      </c>
      <c r="F750" s="77">
        <f>278.484-40-25-60-100</f>
        <v>53.48399999999998</v>
      </c>
      <c r="G750" s="80">
        <v>40</v>
      </c>
      <c r="H750" s="77">
        <f t="shared" si="123"/>
        <v>185</v>
      </c>
      <c r="I750" s="77">
        <f t="shared" si="113"/>
        <v>0</v>
      </c>
      <c r="J750" s="80">
        <v>100</v>
      </c>
      <c r="K750" s="80">
        <v>300</v>
      </c>
      <c r="L750" s="77">
        <f t="shared" si="117"/>
        <v>1274</v>
      </c>
      <c r="M750" s="88">
        <v>600</v>
      </c>
      <c r="N750" s="77">
        <f>30</f>
        <v>30</v>
      </c>
      <c r="O750" s="80">
        <v>240</v>
      </c>
      <c r="P750" s="80">
        <v>40</v>
      </c>
      <c r="Q750" s="80">
        <f t="shared" si="118"/>
        <v>315</v>
      </c>
      <c r="R750" s="80">
        <f t="shared" si="119"/>
        <v>100</v>
      </c>
      <c r="S750" s="77">
        <f t="shared" si="120"/>
        <v>695</v>
      </c>
      <c r="T750" s="77">
        <f>0</f>
        <v>0</v>
      </c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</row>
    <row r="751" spans="1:30" ht="15.75" x14ac:dyDescent="0.25">
      <c r="A751" s="32">
        <v>63797</v>
      </c>
      <c r="B751" s="89">
        <f t="shared" si="121"/>
        <v>31</v>
      </c>
      <c r="C751" s="77">
        <f>194.205</f>
        <v>194.20500000000001</v>
      </c>
      <c r="D751" s="77">
        <f>267.466</f>
        <v>267.46600000000001</v>
      </c>
      <c r="E751" s="86">
        <f>133.845</f>
        <v>133.845</v>
      </c>
      <c r="F751" s="77">
        <f>278.484-40-25-60-100</f>
        <v>53.48399999999998</v>
      </c>
      <c r="G751" s="80">
        <v>40</v>
      </c>
      <c r="H751" s="77">
        <f t="shared" si="123"/>
        <v>185</v>
      </c>
      <c r="I751" s="77">
        <f t="shared" si="113"/>
        <v>0</v>
      </c>
      <c r="J751" s="80">
        <v>100</v>
      </c>
      <c r="K751" s="80">
        <v>300</v>
      </c>
      <c r="L751" s="77">
        <f t="shared" si="117"/>
        <v>1274</v>
      </c>
      <c r="M751" s="88">
        <v>600</v>
      </c>
      <c r="N751" s="77">
        <f>30</f>
        <v>30</v>
      </c>
      <c r="O751" s="80">
        <v>240</v>
      </c>
      <c r="P751" s="80">
        <v>40</v>
      </c>
      <c r="Q751" s="80">
        <f t="shared" si="118"/>
        <v>315</v>
      </c>
      <c r="R751" s="80">
        <f t="shared" si="119"/>
        <v>100</v>
      </c>
      <c r="S751" s="77">
        <f t="shared" si="120"/>
        <v>695</v>
      </c>
      <c r="T751" s="77">
        <f>0</f>
        <v>0</v>
      </c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</row>
    <row r="752" spans="1:30" ht="15.75" x14ac:dyDescent="0.25">
      <c r="A752" s="32">
        <v>63827</v>
      </c>
      <c r="B752" s="89">
        <f t="shared" si="121"/>
        <v>30</v>
      </c>
      <c r="C752" s="77">
        <f>194.205</f>
        <v>194.20500000000001</v>
      </c>
      <c r="D752" s="77">
        <f>267.466</f>
        <v>267.46600000000001</v>
      </c>
      <c r="E752" s="86">
        <f>133.845</f>
        <v>133.845</v>
      </c>
      <c r="F752" s="77">
        <f>278.484-40-25-60-100</f>
        <v>53.48399999999998</v>
      </c>
      <c r="G752" s="80">
        <v>40</v>
      </c>
      <c r="H752" s="77">
        <f t="shared" si="123"/>
        <v>185</v>
      </c>
      <c r="I752" s="77">
        <f t="shared" si="113"/>
        <v>0</v>
      </c>
      <c r="J752" s="80">
        <v>100</v>
      </c>
      <c r="K752" s="80">
        <v>300</v>
      </c>
      <c r="L752" s="77">
        <f t="shared" si="117"/>
        <v>1274</v>
      </c>
      <c r="M752" s="88">
        <v>600</v>
      </c>
      <c r="N752" s="77">
        <f>30</f>
        <v>30</v>
      </c>
      <c r="O752" s="80">
        <v>240</v>
      </c>
      <c r="P752" s="80">
        <v>40</v>
      </c>
      <c r="Q752" s="80">
        <f t="shared" si="118"/>
        <v>315</v>
      </c>
      <c r="R752" s="80">
        <f t="shared" si="119"/>
        <v>100</v>
      </c>
      <c r="S752" s="77">
        <f t="shared" si="120"/>
        <v>695</v>
      </c>
      <c r="T752" s="77">
        <f>0</f>
        <v>0</v>
      </c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</row>
    <row r="753" spans="1:30" ht="15.75" x14ac:dyDescent="0.25">
      <c r="A753" s="32">
        <v>63858</v>
      </c>
      <c r="B753" s="89">
        <f t="shared" si="121"/>
        <v>31</v>
      </c>
      <c r="C753" s="77">
        <f>131.881</f>
        <v>131.881</v>
      </c>
      <c r="D753" s="77">
        <f>277.167</f>
        <v>277.16699999999997</v>
      </c>
      <c r="E753" s="86">
        <f>79.08</f>
        <v>79.08</v>
      </c>
      <c r="F753" s="77">
        <f>350.872-40-25-60-100</f>
        <v>125.87200000000001</v>
      </c>
      <c r="G753" s="80">
        <v>40</v>
      </c>
      <c r="H753" s="77">
        <f t="shared" si="123"/>
        <v>185</v>
      </c>
      <c r="I753" s="77">
        <f t="shared" si="113"/>
        <v>0</v>
      </c>
      <c r="J753" s="80">
        <v>100</v>
      </c>
      <c r="K753" s="80">
        <v>300</v>
      </c>
      <c r="L753" s="77">
        <f t="shared" si="117"/>
        <v>1239</v>
      </c>
      <c r="M753" s="88">
        <v>600</v>
      </c>
      <c r="N753" s="77">
        <f>75</f>
        <v>75</v>
      </c>
      <c r="O753" s="80">
        <v>240</v>
      </c>
      <c r="P753" s="80">
        <v>40</v>
      </c>
      <c r="Q753" s="80">
        <f t="shared" si="118"/>
        <v>315</v>
      </c>
      <c r="R753" s="80">
        <f t="shared" si="119"/>
        <v>100</v>
      </c>
      <c r="S753" s="77">
        <f t="shared" si="120"/>
        <v>695</v>
      </c>
      <c r="T753" s="77">
        <f>0</f>
        <v>0</v>
      </c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</row>
    <row r="754" spans="1:30" ht="15.75" x14ac:dyDescent="0.25">
      <c r="A754" s="32">
        <v>63888</v>
      </c>
      <c r="B754" s="89">
        <f t="shared" si="121"/>
        <v>30</v>
      </c>
      <c r="C754" s="77">
        <f>122.58</f>
        <v>122.58</v>
      </c>
      <c r="D754" s="77">
        <f>297.941</f>
        <v>297.94099999999997</v>
      </c>
      <c r="E754" s="86">
        <f>89.177</f>
        <v>89.177000000000007</v>
      </c>
      <c r="F754" s="77">
        <f>240.302-40-60-100</f>
        <v>40.301999999999992</v>
      </c>
      <c r="G754" s="80">
        <v>40</v>
      </c>
      <c r="H754" s="77">
        <f>60+100</f>
        <v>160</v>
      </c>
      <c r="I754" s="77">
        <f t="shared" si="113"/>
        <v>0</v>
      </c>
      <c r="J754" s="80">
        <v>100</v>
      </c>
      <c r="K754" s="80">
        <v>300</v>
      </c>
      <c r="L754" s="77">
        <f t="shared" si="117"/>
        <v>1150</v>
      </c>
      <c r="M754" s="88">
        <v>600</v>
      </c>
      <c r="N754" s="77">
        <f>100</f>
        <v>100</v>
      </c>
      <c r="O754" s="80">
        <v>240</v>
      </c>
      <c r="P754" s="80">
        <v>40</v>
      </c>
      <c r="Q754" s="80">
        <f t="shared" si="118"/>
        <v>315</v>
      </c>
      <c r="R754" s="80">
        <f t="shared" si="119"/>
        <v>100</v>
      </c>
      <c r="S754" s="77">
        <f t="shared" si="120"/>
        <v>695</v>
      </c>
      <c r="T754" s="77">
        <f>50</f>
        <v>50</v>
      </c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</row>
    <row r="755" spans="1:30" ht="15.75" x14ac:dyDescent="0.25">
      <c r="A755" s="32">
        <v>63919</v>
      </c>
      <c r="B755" s="89">
        <f t="shared" si="121"/>
        <v>31</v>
      </c>
      <c r="C755" s="77">
        <f>122.58</f>
        <v>122.58</v>
      </c>
      <c r="D755" s="77">
        <f>297.941</f>
        <v>297.94099999999997</v>
      </c>
      <c r="E755" s="86">
        <f>89.177</f>
        <v>89.177000000000007</v>
      </c>
      <c r="F755" s="77">
        <f>240.302-40-60-100</f>
        <v>40.301999999999992</v>
      </c>
      <c r="G755" s="80">
        <v>40</v>
      </c>
      <c r="H755" s="77">
        <f>60+100</f>
        <v>160</v>
      </c>
      <c r="I755" s="77">
        <f t="shared" si="113"/>
        <v>0</v>
      </c>
      <c r="J755" s="80">
        <v>100</v>
      </c>
      <c r="K755" s="80">
        <v>300</v>
      </c>
      <c r="L755" s="77">
        <f t="shared" si="117"/>
        <v>1150</v>
      </c>
      <c r="M755" s="88">
        <v>600</v>
      </c>
      <c r="N755" s="77">
        <f>100</f>
        <v>100</v>
      </c>
      <c r="O755" s="80">
        <v>240</v>
      </c>
      <c r="P755" s="80">
        <v>40</v>
      </c>
      <c r="Q755" s="80">
        <f t="shared" si="118"/>
        <v>315</v>
      </c>
      <c r="R755" s="80">
        <f t="shared" si="119"/>
        <v>100</v>
      </c>
      <c r="S755" s="77">
        <f t="shared" si="120"/>
        <v>695</v>
      </c>
      <c r="T755" s="77">
        <f>50</f>
        <v>50</v>
      </c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</row>
    <row r="756" spans="1:30" ht="15.75" x14ac:dyDescent="0.25">
      <c r="A756" s="32">
        <v>63950</v>
      </c>
      <c r="B756" s="89">
        <f t="shared" si="121"/>
        <v>31</v>
      </c>
      <c r="C756" s="77">
        <f>122.58</f>
        <v>122.58</v>
      </c>
      <c r="D756" s="77">
        <f>297.941</f>
        <v>297.94099999999997</v>
      </c>
      <c r="E756" s="86">
        <f>89.177</f>
        <v>89.177000000000007</v>
      </c>
      <c r="F756" s="77">
        <f>240.302-40-60-100</f>
        <v>40.301999999999992</v>
      </c>
      <c r="G756" s="80">
        <v>40</v>
      </c>
      <c r="H756" s="77">
        <f>60+100</f>
        <v>160</v>
      </c>
      <c r="I756" s="77">
        <f t="shared" ref="I756:I819" si="124">400-J756-K756</f>
        <v>0</v>
      </c>
      <c r="J756" s="80">
        <v>100</v>
      </c>
      <c r="K756" s="80">
        <v>300</v>
      </c>
      <c r="L756" s="77">
        <f t="shared" si="117"/>
        <v>1150</v>
      </c>
      <c r="M756" s="88">
        <v>600</v>
      </c>
      <c r="N756" s="77">
        <f>100</f>
        <v>100</v>
      </c>
      <c r="O756" s="80">
        <v>240</v>
      </c>
      <c r="P756" s="80">
        <v>40</v>
      </c>
      <c r="Q756" s="80">
        <f t="shared" si="118"/>
        <v>315</v>
      </c>
      <c r="R756" s="80">
        <f t="shared" si="119"/>
        <v>100</v>
      </c>
      <c r="S756" s="77">
        <f t="shared" si="120"/>
        <v>695</v>
      </c>
      <c r="T756" s="77">
        <f>50</f>
        <v>50</v>
      </c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</row>
    <row r="757" spans="1:30" ht="15.75" x14ac:dyDescent="0.25">
      <c r="A757" s="32">
        <v>63978</v>
      </c>
      <c r="B757" s="89">
        <f t="shared" si="121"/>
        <v>28</v>
      </c>
      <c r="C757" s="77">
        <f>122.58</f>
        <v>122.58</v>
      </c>
      <c r="D757" s="77">
        <f>297.941</f>
        <v>297.94099999999997</v>
      </c>
      <c r="E757" s="86">
        <f>89.177</f>
        <v>89.177000000000007</v>
      </c>
      <c r="F757" s="77">
        <f>240.302-40-60-100</f>
        <v>40.301999999999992</v>
      </c>
      <c r="G757" s="80">
        <v>40</v>
      </c>
      <c r="H757" s="77">
        <f>60+100</f>
        <v>160</v>
      </c>
      <c r="I757" s="77">
        <f t="shared" si="124"/>
        <v>0</v>
      </c>
      <c r="J757" s="80">
        <v>100</v>
      </c>
      <c r="K757" s="80">
        <v>300</v>
      </c>
      <c r="L757" s="77">
        <f t="shared" si="117"/>
        <v>1150</v>
      </c>
      <c r="M757" s="88">
        <v>600</v>
      </c>
      <c r="N757" s="77">
        <f>100</f>
        <v>100</v>
      </c>
      <c r="O757" s="80">
        <v>240</v>
      </c>
      <c r="P757" s="80">
        <v>40</v>
      </c>
      <c r="Q757" s="80">
        <f t="shared" si="118"/>
        <v>315</v>
      </c>
      <c r="R757" s="80">
        <f t="shared" si="119"/>
        <v>100</v>
      </c>
      <c r="S757" s="77">
        <f t="shared" si="120"/>
        <v>695</v>
      </c>
      <c r="T757" s="77">
        <f>50</f>
        <v>50</v>
      </c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</row>
    <row r="758" spans="1:30" ht="15.75" x14ac:dyDescent="0.25">
      <c r="A758" s="32">
        <v>64009</v>
      </c>
      <c r="B758" s="89">
        <f t="shared" si="121"/>
        <v>31</v>
      </c>
      <c r="C758" s="77">
        <f>122.58</f>
        <v>122.58</v>
      </c>
      <c r="D758" s="77">
        <f>297.941</f>
        <v>297.94099999999997</v>
      </c>
      <c r="E758" s="86">
        <f>89.177</f>
        <v>89.177000000000007</v>
      </c>
      <c r="F758" s="77">
        <f>240.302-40-60-100</f>
        <v>40.301999999999992</v>
      </c>
      <c r="G758" s="80">
        <v>40</v>
      </c>
      <c r="H758" s="77">
        <f>60+100</f>
        <v>160</v>
      </c>
      <c r="I758" s="77">
        <f t="shared" si="124"/>
        <v>0</v>
      </c>
      <c r="J758" s="80">
        <v>100</v>
      </c>
      <c r="K758" s="80">
        <v>300</v>
      </c>
      <c r="L758" s="77">
        <f t="shared" si="117"/>
        <v>1150</v>
      </c>
      <c r="M758" s="88">
        <v>600</v>
      </c>
      <c r="N758" s="77">
        <f>100</f>
        <v>100</v>
      </c>
      <c r="O758" s="80">
        <v>240</v>
      </c>
      <c r="P758" s="80">
        <v>40</v>
      </c>
      <c r="Q758" s="80">
        <f t="shared" si="118"/>
        <v>315</v>
      </c>
      <c r="R758" s="80">
        <f t="shared" si="119"/>
        <v>100</v>
      </c>
      <c r="S758" s="77">
        <f t="shared" si="120"/>
        <v>695</v>
      </c>
      <c r="T758" s="77">
        <f>50</f>
        <v>50</v>
      </c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</row>
    <row r="759" spans="1:30" ht="15.75" x14ac:dyDescent="0.25">
      <c r="A759" s="32">
        <v>64039</v>
      </c>
      <c r="B759" s="89">
        <f t="shared" si="121"/>
        <v>30</v>
      </c>
      <c r="C759" s="77">
        <f>141.293</f>
        <v>141.29300000000001</v>
      </c>
      <c r="D759" s="77">
        <f>267.993</f>
        <v>267.99299999999999</v>
      </c>
      <c r="E759" s="86">
        <f>115.016</f>
        <v>115.01600000000001</v>
      </c>
      <c r="F759" s="77">
        <f>314.698-40-25-60-100</f>
        <v>89.697999999999979</v>
      </c>
      <c r="G759" s="80">
        <v>40</v>
      </c>
      <c r="H759" s="77">
        <f t="shared" ref="H759:H765" si="125">25+60+100</f>
        <v>185</v>
      </c>
      <c r="I759" s="77">
        <f t="shared" si="124"/>
        <v>0</v>
      </c>
      <c r="J759" s="80">
        <v>100</v>
      </c>
      <c r="K759" s="80">
        <v>300</v>
      </c>
      <c r="L759" s="77">
        <f t="shared" si="117"/>
        <v>1239</v>
      </c>
      <c r="M759" s="88">
        <v>600</v>
      </c>
      <c r="N759" s="77">
        <f>100</f>
        <v>100</v>
      </c>
      <c r="O759" s="80">
        <v>240</v>
      </c>
      <c r="P759" s="80">
        <v>40</v>
      </c>
      <c r="Q759" s="80">
        <f t="shared" si="118"/>
        <v>315</v>
      </c>
      <c r="R759" s="80">
        <f t="shared" si="119"/>
        <v>100</v>
      </c>
      <c r="S759" s="77">
        <f t="shared" si="120"/>
        <v>695</v>
      </c>
      <c r="T759" s="77">
        <f>50</f>
        <v>50</v>
      </c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</row>
    <row r="760" spans="1:30" ht="15.75" x14ac:dyDescent="0.25">
      <c r="A760" s="32">
        <v>64070</v>
      </c>
      <c r="B760" s="89">
        <f t="shared" si="121"/>
        <v>31</v>
      </c>
      <c r="C760" s="77">
        <f>194.205</f>
        <v>194.20500000000001</v>
      </c>
      <c r="D760" s="77">
        <f>267.466</f>
        <v>267.46600000000001</v>
      </c>
      <c r="E760" s="86">
        <f>133.845</f>
        <v>133.845</v>
      </c>
      <c r="F760" s="77">
        <f>278.484-40-25-60-100</f>
        <v>53.48399999999998</v>
      </c>
      <c r="G760" s="80">
        <v>40</v>
      </c>
      <c r="H760" s="77">
        <f t="shared" si="125"/>
        <v>185</v>
      </c>
      <c r="I760" s="77">
        <f t="shared" si="124"/>
        <v>0</v>
      </c>
      <c r="J760" s="80">
        <v>100</v>
      </c>
      <c r="K760" s="80">
        <v>300</v>
      </c>
      <c r="L760" s="77">
        <f t="shared" si="117"/>
        <v>1274</v>
      </c>
      <c r="M760" s="88">
        <v>600</v>
      </c>
      <c r="N760" s="77">
        <f>75</f>
        <v>75</v>
      </c>
      <c r="O760" s="80">
        <v>240</v>
      </c>
      <c r="P760" s="80">
        <v>40</v>
      </c>
      <c r="Q760" s="80">
        <f t="shared" si="118"/>
        <v>315</v>
      </c>
      <c r="R760" s="80">
        <f t="shared" si="119"/>
        <v>100</v>
      </c>
      <c r="S760" s="77">
        <f t="shared" si="120"/>
        <v>695</v>
      </c>
      <c r="T760" s="77">
        <f>50</f>
        <v>50</v>
      </c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</row>
    <row r="761" spans="1:30" ht="15.75" x14ac:dyDescent="0.25">
      <c r="A761" s="32">
        <v>64100</v>
      </c>
      <c r="B761" s="89">
        <f t="shared" si="121"/>
        <v>30</v>
      </c>
      <c r="C761" s="77">
        <f>194.205</f>
        <v>194.20500000000001</v>
      </c>
      <c r="D761" s="77">
        <f>267.466</f>
        <v>267.46600000000001</v>
      </c>
      <c r="E761" s="86">
        <f>133.845</f>
        <v>133.845</v>
      </c>
      <c r="F761" s="77">
        <f>278.484-40-25-60-100</f>
        <v>53.48399999999998</v>
      </c>
      <c r="G761" s="80">
        <v>40</v>
      </c>
      <c r="H761" s="77">
        <f t="shared" si="125"/>
        <v>185</v>
      </c>
      <c r="I761" s="77">
        <f t="shared" si="124"/>
        <v>0</v>
      </c>
      <c r="J761" s="80">
        <v>100</v>
      </c>
      <c r="K761" s="80">
        <v>300</v>
      </c>
      <c r="L761" s="77">
        <f t="shared" si="117"/>
        <v>1274</v>
      </c>
      <c r="M761" s="88">
        <v>600</v>
      </c>
      <c r="N761" s="77">
        <f>30</f>
        <v>30</v>
      </c>
      <c r="O761" s="80">
        <v>240</v>
      </c>
      <c r="P761" s="80">
        <v>40</v>
      </c>
      <c r="Q761" s="80">
        <f t="shared" si="118"/>
        <v>315</v>
      </c>
      <c r="R761" s="80">
        <f t="shared" si="119"/>
        <v>100</v>
      </c>
      <c r="S761" s="77">
        <f t="shared" si="120"/>
        <v>695</v>
      </c>
      <c r="T761" s="77">
        <f>50</f>
        <v>50</v>
      </c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</row>
    <row r="762" spans="1:30" ht="15.75" x14ac:dyDescent="0.25">
      <c r="A762" s="32">
        <v>64131</v>
      </c>
      <c r="B762" s="89">
        <f t="shared" si="121"/>
        <v>31</v>
      </c>
      <c r="C762" s="77">
        <f>194.205</f>
        <v>194.20500000000001</v>
      </c>
      <c r="D762" s="77">
        <f>267.466</f>
        <v>267.46600000000001</v>
      </c>
      <c r="E762" s="86">
        <f>133.845</f>
        <v>133.845</v>
      </c>
      <c r="F762" s="77">
        <f>278.484-40-25-60-100</f>
        <v>53.48399999999998</v>
      </c>
      <c r="G762" s="80">
        <v>40</v>
      </c>
      <c r="H762" s="77">
        <f t="shared" si="125"/>
        <v>185</v>
      </c>
      <c r="I762" s="77">
        <f t="shared" si="124"/>
        <v>0</v>
      </c>
      <c r="J762" s="80">
        <v>100</v>
      </c>
      <c r="K762" s="80">
        <v>300</v>
      </c>
      <c r="L762" s="77">
        <f t="shared" si="117"/>
        <v>1274</v>
      </c>
      <c r="M762" s="88">
        <v>600</v>
      </c>
      <c r="N762" s="77">
        <f>30</f>
        <v>30</v>
      </c>
      <c r="O762" s="80">
        <v>240</v>
      </c>
      <c r="P762" s="80">
        <v>40</v>
      </c>
      <c r="Q762" s="80">
        <f t="shared" si="118"/>
        <v>315</v>
      </c>
      <c r="R762" s="80">
        <f t="shared" si="119"/>
        <v>100</v>
      </c>
      <c r="S762" s="77">
        <f t="shared" si="120"/>
        <v>695</v>
      </c>
      <c r="T762" s="77">
        <f>0</f>
        <v>0</v>
      </c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</row>
    <row r="763" spans="1:30" ht="15.75" x14ac:dyDescent="0.25">
      <c r="A763" s="32">
        <v>64162</v>
      </c>
      <c r="B763" s="89">
        <f t="shared" si="121"/>
        <v>31</v>
      </c>
      <c r="C763" s="77">
        <f>194.205</f>
        <v>194.20500000000001</v>
      </c>
      <c r="D763" s="77">
        <f>267.466</f>
        <v>267.46600000000001</v>
      </c>
      <c r="E763" s="86">
        <f>133.845</f>
        <v>133.845</v>
      </c>
      <c r="F763" s="77">
        <f>278.484-40-25-60-100</f>
        <v>53.48399999999998</v>
      </c>
      <c r="G763" s="80">
        <v>40</v>
      </c>
      <c r="H763" s="77">
        <f t="shared" si="125"/>
        <v>185</v>
      </c>
      <c r="I763" s="77">
        <f t="shared" si="124"/>
        <v>0</v>
      </c>
      <c r="J763" s="80">
        <v>100</v>
      </c>
      <c r="K763" s="80">
        <v>300</v>
      </c>
      <c r="L763" s="77">
        <f t="shared" si="117"/>
        <v>1274</v>
      </c>
      <c r="M763" s="88">
        <v>600</v>
      </c>
      <c r="N763" s="77">
        <f>30</f>
        <v>30</v>
      </c>
      <c r="O763" s="80">
        <v>240</v>
      </c>
      <c r="P763" s="80">
        <v>40</v>
      </c>
      <c r="Q763" s="80">
        <f t="shared" si="118"/>
        <v>315</v>
      </c>
      <c r="R763" s="80">
        <f t="shared" si="119"/>
        <v>100</v>
      </c>
      <c r="S763" s="77">
        <f t="shared" si="120"/>
        <v>695</v>
      </c>
      <c r="T763" s="77">
        <f>0</f>
        <v>0</v>
      </c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</row>
    <row r="764" spans="1:30" ht="15.75" x14ac:dyDescent="0.25">
      <c r="A764" s="32">
        <v>64192</v>
      </c>
      <c r="B764" s="89">
        <f t="shared" si="121"/>
        <v>30</v>
      </c>
      <c r="C764" s="77">
        <f>194.205</f>
        <v>194.20500000000001</v>
      </c>
      <c r="D764" s="77">
        <f>267.466</f>
        <v>267.46600000000001</v>
      </c>
      <c r="E764" s="86">
        <f>133.845</f>
        <v>133.845</v>
      </c>
      <c r="F764" s="77">
        <f>278.484-40-25-60-100</f>
        <v>53.48399999999998</v>
      </c>
      <c r="G764" s="80">
        <v>40</v>
      </c>
      <c r="H764" s="77">
        <f t="shared" si="125"/>
        <v>185</v>
      </c>
      <c r="I764" s="77">
        <f t="shared" si="124"/>
        <v>0</v>
      </c>
      <c r="J764" s="80">
        <v>100</v>
      </c>
      <c r="K764" s="80">
        <v>300</v>
      </c>
      <c r="L764" s="77">
        <f t="shared" si="117"/>
        <v>1274</v>
      </c>
      <c r="M764" s="88">
        <v>600</v>
      </c>
      <c r="N764" s="77">
        <f>30</f>
        <v>30</v>
      </c>
      <c r="O764" s="80">
        <v>240</v>
      </c>
      <c r="P764" s="80">
        <v>40</v>
      </c>
      <c r="Q764" s="80">
        <f t="shared" si="118"/>
        <v>315</v>
      </c>
      <c r="R764" s="80">
        <f t="shared" si="119"/>
        <v>100</v>
      </c>
      <c r="S764" s="77">
        <f t="shared" si="120"/>
        <v>695</v>
      </c>
      <c r="T764" s="77">
        <f>0</f>
        <v>0</v>
      </c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</row>
    <row r="765" spans="1:30" ht="15.75" x14ac:dyDescent="0.25">
      <c r="A765" s="32">
        <v>64223</v>
      </c>
      <c r="B765" s="89">
        <f t="shared" si="121"/>
        <v>31</v>
      </c>
      <c r="C765" s="77">
        <f>131.881</f>
        <v>131.881</v>
      </c>
      <c r="D765" s="77">
        <f>277.167</f>
        <v>277.16699999999997</v>
      </c>
      <c r="E765" s="86">
        <f>79.08</f>
        <v>79.08</v>
      </c>
      <c r="F765" s="77">
        <f>350.872-40-25-60-100</f>
        <v>125.87200000000001</v>
      </c>
      <c r="G765" s="80">
        <v>40</v>
      </c>
      <c r="H765" s="77">
        <f t="shared" si="125"/>
        <v>185</v>
      </c>
      <c r="I765" s="77">
        <f t="shared" si="124"/>
        <v>0</v>
      </c>
      <c r="J765" s="80">
        <v>100</v>
      </c>
      <c r="K765" s="80">
        <v>300</v>
      </c>
      <c r="L765" s="77">
        <f t="shared" si="117"/>
        <v>1239</v>
      </c>
      <c r="M765" s="88">
        <v>600</v>
      </c>
      <c r="N765" s="77">
        <f>75</f>
        <v>75</v>
      </c>
      <c r="O765" s="80">
        <v>240</v>
      </c>
      <c r="P765" s="80">
        <v>40</v>
      </c>
      <c r="Q765" s="80">
        <f t="shared" si="118"/>
        <v>315</v>
      </c>
      <c r="R765" s="80">
        <f t="shared" si="119"/>
        <v>100</v>
      </c>
      <c r="S765" s="77">
        <f t="shared" si="120"/>
        <v>695</v>
      </c>
      <c r="T765" s="77">
        <f>0</f>
        <v>0</v>
      </c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</row>
    <row r="766" spans="1:30" ht="15.75" x14ac:dyDescent="0.25">
      <c r="A766" s="32">
        <v>64253</v>
      </c>
      <c r="B766" s="89">
        <f t="shared" si="121"/>
        <v>30</v>
      </c>
      <c r="C766" s="77">
        <f>122.58</f>
        <v>122.58</v>
      </c>
      <c r="D766" s="77">
        <f>297.941</f>
        <v>297.94099999999997</v>
      </c>
      <c r="E766" s="86">
        <f>89.177</f>
        <v>89.177000000000007</v>
      </c>
      <c r="F766" s="77">
        <f>240.302-40-60-100</f>
        <v>40.301999999999992</v>
      </c>
      <c r="G766" s="80">
        <v>40</v>
      </c>
      <c r="H766" s="77">
        <f>60+100</f>
        <v>160</v>
      </c>
      <c r="I766" s="77">
        <f t="shared" si="124"/>
        <v>0</v>
      </c>
      <c r="J766" s="80">
        <v>100</v>
      </c>
      <c r="K766" s="80">
        <v>300</v>
      </c>
      <c r="L766" s="77">
        <f t="shared" si="117"/>
        <v>1150</v>
      </c>
      <c r="M766" s="88">
        <v>600</v>
      </c>
      <c r="N766" s="77">
        <f>100</f>
        <v>100</v>
      </c>
      <c r="O766" s="80">
        <v>240</v>
      </c>
      <c r="P766" s="80">
        <v>40</v>
      </c>
      <c r="Q766" s="80">
        <f t="shared" si="118"/>
        <v>315</v>
      </c>
      <c r="R766" s="80">
        <f t="shared" si="119"/>
        <v>100</v>
      </c>
      <c r="S766" s="77">
        <f t="shared" si="120"/>
        <v>695</v>
      </c>
      <c r="T766" s="77">
        <f>50</f>
        <v>50</v>
      </c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</row>
    <row r="767" spans="1:30" ht="15.75" x14ac:dyDescent="0.25">
      <c r="A767" s="32">
        <v>64284</v>
      </c>
      <c r="B767" s="89">
        <f t="shared" si="121"/>
        <v>31</v>
      </c>
      <c r="C767" s="77">
        <f>122.58</f>
        <v>122.58</v>
      </c>
      <c r="D767" s="77">
        <f>297.941</f>
        <v>297.94099999999997</v>
      </c>
      <c r="E767" s="86">
        <f>89.177</f>
        <v>89.177000000000007</v>
      </c>
      <c r="F767" s="77">
        <f>240.302-40-60-100</f>
        <v>40.301999999999992</v>
      </c>
      <c r="G767" s="80">
        <v>40</v>
      </c>
      <c r="H767" s="77">
        <f>60+100</f>
        <v>160</v>
      </c>
      <c r="I767" s="77">
        <f t="shared" si="124"/>
        <v>0</v>
      </c>
      <c r="J767" s="80">
        <v>100</v>
      </c>
      <c r="K767" s="80">
        <v>300</v>
      </c>
      <c r="L767" s="77">
        <f t="shared" si="117"/>
        <v>1150</v>
      </c>
      <c r="M767" s="88">
        <v>600</v>
      </c>
      <c r="N767" s="77">
        <f>100</f>
        <v>100</v>
      </c>
      <c r="O767" s="80">
        <v>240</v>
      </c>
      <c r="P767" s="80">
        <v>40</v>
      </c>
      <c r="Q767" s="80">
        <f t="shared" si="118"/>
        <v>315</v>
      </c>
      <c r="R767" s="80">
        <f t="shared" si="119"/>
        <v>100</v>
      </c>
      <c r="S767" s="77">
        <f t="shared" si="120"/>
        <v>695</v>
      </c>
      <c r="T767" s="77">
        <f>50</f>
        <v>50</v>
      </c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</row>
    <row r="768" spans="1:30" ht="15.75" x14ac:dyDescent="0.25">
      <c r="A768" s="32">
        <v>64315</v>
      </c>
      <c r="B768" s="89">
        <f t="shared" si="121"/>
        <v>31</v>
      </c>
      <c r="C768" s="77">
        <f>122.58</f>
        <v>122.58</v>
      </c>
      <c r="D768" s="77">
        <f>297.941</f>
        <v>297.94099999999997</v>
      </c>
      <c r="E768" s="86">
        <f>89.177</f>
        <v>89.177000000000007</v>
      </c>
      <c r="F768" s="77">
        <f>240.302-40-60-100</f>
        <v>40.301999999999992</v>
      </c>
      <c r="G768" s="80">
        <v>40</v>
      </c>
      <c r="H768" s="77">
        <f>60+100</f>
        <v>160</v>
      </c>
      <c r="I768" s="77">
        <f t="shared" si="124"/>
        <v>0</v>
      </c>
      <c r="J768" s="80">
        <v>100</v>
      </c>
      <c r="K768" s="80">
        <v>300</v>
      </c>
      <c r="L768" s="77">
        <f t="shared" si="117"/>
        <v>1150</v>
      </c>
      <c r="M768" s="88">
        <v>600</v>
      </c>
      <c r="N768" s="77">
        <f>100</f>
        <v>100</v>
      </c>
      <c r="O768" s="80">
        <v>240</v>
      </c>
      <c r="P768" s="80">
        <v>40</v>
      </c>
      <c r="Q768" s="80">
        <f t="shared" si="118"/>
        <v>315</v>
      </c>
      <c r="R768" s="80">
        <f t="shared" si="119"/>
        <v>100</v>
      </c>
      <c r="S768" s="77">
        <f t="shared" si="120"/>
        <v>695</v>
      </c>
      <c r="T768" s="77">
        <f>50</f>
        <v>50</v>
      </c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</row>
    <row r="769" spans="1:30" ht="15.75" x14ac:dyDescent="0.25">
      <c r="A769" s="32">
        <v>64344</v>
      </c>
      <c r="B769" s="89">
        <f t="shared" si="121"/>
        <v>29</v>
      </c>
      <c r="C769" s="77">
        <f>122.58</f>
        <v>122.58</v>
      </c>
      <c r="D769" s="77">
        <f>297.941</f>
        <v>297.94099999999997</v>
      </c>
      <c r="E769" s="86">
        <f>89.177</f>
        <v>89.177000000000007</v>
      </c>
      <c r="F769" s="77">
        <f>240.302-40-60-100</f>
        <v>40.301999999999992</v>
      </c>
      <c r="G769" s="80">
        <v>40</v>
      </c>
      <c r="H769" s="77">
        <f>60+100</f>
        <v>160</v>
      </c>
      <c r="I769" s="77">
        <f t="shared" si="124"/>
        <v>0</v>
      </c>
      <c r="J769" s="80">
        <v>100</v>
      </c>
      <c r="K769" s="80">
        <v>300</v>
      </c>
      <c r="L769" s="77">
        <f t="shared" si="117"/>
        <v>1150</v>
      </c>
      <c r="M769" s="88">
        <v>600</v>
      </c>
      <c r="N769" s="77">
        <f>100</f>
        <v>100</v>
      </c>
      <c r="O769" s="80">
        <v>240</v>
      </c>
      <c r="P769" s="80">
        <v>40</v>
      </c>
      <c r="Q769" s="80">
        <f t="shared" si="118"/>
        <v>315</v>
      </c>
      <c r="R769" s="80">
        <f t="shared" si="119"/>
        <v>100</v>
      </c>
      <c r="S769" s="77">
        <f t="shared" si="120"/>
        <v>695</v>
      </c>
      <c r="T769" s="77">
        <f>50</f>
        <v>50</v>
      </c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</row>
    <row r="770" spans="1:30" ht="15.75" x14ac:dyDescent="0.25">
      <c r="A770" s="32">
        <v>64375</v>
      </c>
      <c r="B770" s="89">
        <f t="shared" si="121"/>
        <v>31</v>
      </c>
      <c r="C770" s="77">
        <f>122.58</f>
        <v>122.58</v>
      </c>
      <c r="D770" s="77">
        <f>297.941</f>
        <v>297.94099999999997</v>
      </c>
      <c r="E770" s="86">
        <f>89.177</f>
        <v>89.177000000000007</v>
      </c>
      <c r="F770" s="77">
        <f>240.302-40-60-100</f>
        <v>40.301999999999992</v>
      </c>
      <c r="G770" s="80">
        <v>40</v>
      </c>
      <c r="H770" s="77">
        <f>60+100</f>
        <v>160</v>
      </c>
      <c r="I770" s="77">
        <f t="shared" si="124"/>
        <v>0</v>
      </c>
      <c r="J770" s="80">
        <v>100</v>
      </c>
      <c r="K770" s="80">
        <v>300</v>
      </c>
      <c r="L770" s="77">
        <f t="shared" si="117"/>
        <v>1150</v>
      </c>
      <c r="M770" s="88">
        <v>600</v>
      </c>
      <c r="N770" s="77">
        <f>100</f>
        <v>100</v>
      </c>
      <c r="O770" s="80">
        <v>240</v>
      </c>
      <c r="P770" s="80">
        <v>40</v>
      </c>
      <c r="Q770" s="80">
        <f t="shared" si="118"/>
        <v>315</v>
      </c>
      <c r="R770" s="80">
        <f t="shared" si="119"/>
        <v>100</v>
      </c>
      <c r="S770" s="77">
        <f t="shared" si="120"/>
        <v>695</v>
      </c>
      <c r="T770" s="77">
        <f>50</f>
        <v>50</v>
      </c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</row>
    <row r="771" spans="1:30" ht="15.75" x14ac:dyDescent="0.25">
      <c r="A771" s="32">
        <v>64405</v>
      </c>
      <c r="B771" s="89">
        <f t="shared" si="121"/>
        <v>30</v>
      </c>
      <c r="C771" s="77">
        <f>141.293</f>
        <v>141.29300000000001</v>
      </c>
      <c r="D771" s="77">
        <f>267.993</f>
        <v>267.99299999999999</v>
      </c>
      <c r="E771" s="86">
        <f>115.016</f>
        <v>115.01600000000001</v>
      </c>
      <c r="F771" s="77">
        <f>314.698-40-25-60-100</f>
        <v>89.697999999999979</v>
      </c>
      <c r="G771" s="80">
        <v>40</v>
      </c>
      <c r="H771" s="77">
        <f t="shared" ref="H771:H777" si="126">25+60+100</f>
        <v>185</v>
      </c>
      <c r="I771" s="77">
        <f t="shared" si="124"/>
        <v>0</v>
      </c>
      <c r="J771" s="80">
        <v>100</v>
      </c>
      <c r="K771" s="80">
        <v>300</v>
      </c>
      <c r="L771" s="77">
        <f t="shared" si="117"/>
        <v>1239</v>
      </c>
      <c r="M771" s="88">
        <v>600</v>
      </c>
      <c r="N771" s="77">
        <f>100</f>
        <v>100</v>
      </c>
      <c r="O771" s="80">
        <v>240</v>
      </c>
      <c r="P771" s="80">
        <v>40</v>
      </c>
      <c r="Q771" s="80">
        <f t="shared" si="118"/>
        <v>315</v>
      </c>
      <c r="R771" s="80">
        <f t="shared" si="119"/>
        <v>100</v>
      </c>
      <c r="S771" s="77">
        <f t="shared" si="120"/>
        <v>695</v>
      </c>
      <c r="T771" s="77">
        <f>50</f>
        <v>50</v>
      </c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</row>
    <row r="772" spans="1:30" ht="15.75" x14ac:dyDescent="0.25">
      <c r="A772" s="32">
        <v>64436</v>
      </c>
      <c r="B772" s="89">
        <f t="shared" si="121"/>
        <v>31</v>
      </c>
      <c r="C772" s="77">
        <f>194.205</f>
        <v>194.20500000000001</v>
      </c>
      <c r="D772" s="77">
        <f>267.466</f>
        <v>267.46600000000001</v>
      </c>
      <c r="E772" s="86">
        <f>133.845</f>
        <v>133.845</v>
      </c>
      <c r="F772" s="77">
        <f>278.484-40-25-60-100</f>
        <v>53.48399999999998</v>
      </c>
      <c r="G772" s="80">
        <v>40</v>
      </c>
      <c r="H772" s="77">
        <f t="shared" si="126"/>
        <v>185</v>
      </c>
      <c r="I772" s="77">
        <f t="shared" si="124"/>
        <v>0</v>
      </c>
      <c r="J772" s="80">
        <v>100</v>
      </c>
      <c r="K772" s="80">
        <v>300</v>
      </c>
      <c r="L772" s="77">
        <f t="shared" si="117"/>
        <v>1274</v>
      </c>
      <c r="M772" s="88">
        <v>600</v>
      </c>
      <c r="N772" s="77">
        <f>75</f>
        <v>75</v>
      </c>
      <c r="O772" s="80">
        <v>240</v>
      </c>
      <c r="P772" s="80">
        <v>40</v>
      </c>
      <c r="Q772" s="80">
        <f t="shared" si="118"/>
        <v>315</v>
      </c>
      <c r="R772" s="80">
        <f t="shared" si="119"/>
        <v>100</v>
      </c>
      <c r="S772" s="77">
        <f t="shared" si="120"/>
        <v>695</v>
      </c>
      <c r="T772" s="77">
        <f>50</f>
        <v>50</v>
      </c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</row>
    <row r="773" spans="1:30" ht="15.75" x14ac:dyDescent="0.25">
      <c r="A773" s="32">
        <v>64466</v>
      </c>
      <c r="B773" s="89">
        <f t="shared" si="121"/>
        <v>30</v>
      </c>
      <c r="C773" s="77">
        <f>194.205</f>
        <v>194.20500000000001</v>
      </c>
      <c r="D773" s="77">
        <f>267.466</f>
        <v>267.46600000000001</v>
      </c>
      <c r="E773" s="86">
        <f>133.845</f>
        <v>133.845</v>
      </c>
      <c r="F773" s="77">
        <f>278.484-40-25-60-100</f>
        <v>53.48399999999998</v>
      </c>
      <c r="G773" s="80">
        <v>40</v>
      </c>
      <c r="H773" s="77">
        <f t="shared" si="126"/>
        <v>185</v>
      </c>
      <c r="I773" s="77">
        <f t="shared" si="124"/>
        <v>0</v>
      </c>
      <c r="J773" s="80">
        <v>100</v>
      </c>
      <c r="K773" s="80">
        <v>300</v>
      </c>
      <c r="L773" s="77">
        <f t="shared" si="117"/>
        <v>1274</v>
      </c>
      <c r="M773" s="88">
        <v>600</v>
      </c>
      <c r="N773" s="77">
        <f>30</f>
        <v>30</v>
      </c>
      <c r="O773" s="80">
        <v>240</v>
      </c>
      <c r="P773" s="80">
        <v>40</v>
      </c>
      <c r="Q773" s="80">
        <f t="shared" si="118"/>
        <v>315</v>
      </c>
      <c r="R773" s="80">
        <f t="shared" si="119"/>
        <v>100</v>
      </c>
      <c r="S773" s="77">
        <f t="shared" si="120"/>
        <v>695</v>
      </c>
      <c r="T773" s="77">
        <f>50</f>
        <v>50</v>
      </c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</row>
    <row r="774" spans="1:30" ht="15.75" x14ac:dyDescent="0.25">
      <c r="A774" s="32">
        <v>64497</v>
      </c>
      <c r="B774" s="89">
        <f t="shared" si="121"/>
        <v>31</v>
      </c>
      <c r="C774" s="77">
        <f>194.205</f>
        <v>194.20500000000001</v>
      </c>
      <c r="D774" s="77">
        <f>267.466</f>
        <v>267.46600000000001</v>
      </c>
      <c r="E774" s="86">
        <f>133.845</f>
        <v>133.845</v>
      </c>
      <c r="F774" s="77">
        <f>278.484-40-25-60-100</f>
        <v>53.48399999999998</v>
      </c>
      <c r="G774" s="80">
        <v>40</v>
      </c>
      <c r="H774" s="77">
        <f t="shared" si="126"/>
        <v>185</v>
      </c>
      <c r="I774" s="77">
        <f t="shared" si="124"/>
        <v>0</v>
      </c>
      <c r="J774" s="80">
        <v>100</v>
      </c>
      <c r="K774" s="80">
        <v>300</v>
      </c>
      <c r="L774" s="77">
        <f t="shared" si="117"/>
        <v>1274</v>
      </c>
      <c r="M774" s="88">
        <v>600</v>
      </c>
      <c r="N774" s="77">
        <f>30</f>
        <v>30</v>
      </c>
      <c r="O774" s="80">
        <v>240</v>
      </c>
      <c r="P774" s="80">
        <v>40</v>
      </c>
      <c r="Q774" s="80">
        <f t="shared" si="118"/>
        <v>315</v>
      </c>
      <c r="R774" s="80">
        <f t="shared" si="119"/>
        <v>100</v>
      </c>
      <c r="S774" s="77">
        <f t="shared" si="120"/>
        <v>695</v>
      </c>
      <c r="T774" s="77">
        <f>0</f>
        <v>0</v>
      </c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</row>
    <row r="775" spans="1:30" ht="15.75" x14ac:dyDescent="0.25">
      <c r="A775" s="32">
        <v>64528</v>
      </c>
      <c r="B775" s="89">
        <f t="shared" si="121"/>
        <v>31</v>
      </c>
      <c r="C775" s="77">
        <f>194.205</f>
        <v>194.20500000000001</v>
      </c>
      <c r="D775" s="77">
        <f>267.466</f>
        <v>267.46600000000001</v>
      </c>
      <c r="E775" s="86">
        <f>133.845</f>
        <v>133.845</v>
      </c>
      <c r="F775" s="77">
        <f>278.484-40-25-60-100</f>
        <v>53.48399999999998</v>
      </c>
      <c r="G775" s="80">
        <v>40</v>
      </c>
      <c r="H775" s="77">
        <f t="shared" si="126"/>
        <v>185</v>
      </c>
      <c r="I775" s="77">
        <f t="shared" si="124"/>
        <v>0</v>
      </c>
      <c r="J775" s="80">
        <v>100</v>
      </c>
      <c r="K775" s="80">
        <v>300</v>
      </c>
      <c r="L775" s="77">
        <f t="shared" si="117"/>
        <v>1274</v>
      </c>
      <c r="M775" s="88">
        <v>600</v>
      </c>
      <c r="N775" s="77">
        <f>30</f>
        <v>30</v>
      </c>
      <c r="O775" s="80">
        <v>240</v>
      </c>
      <c r="P775" s="80">
        <v>40</v>
      </c>
      <c r="Q775" s="80">
        <f t="shared" si="118"/>
        <v>315</v>
      </c>
      <c r="R775" s="80">
        <f t="shared" si="119"/>
        <v>100</v>
      </c>
      <c r="S775" s="77">
        <f t="shared" si="120"/>
        <v>695</v>
      </c>
      <c r="T775" s="77">
        <f>0</f>
        <v>0</v>
      </c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</row>
    <row r="776" spans="1:30" ht="15.75" x14ac:dyDescent="0.25">
      <c r="A776" s="32">
        <v>64558</v>
      </c>
      <c r="B776" s="89">
        <f t="shared" si="121"/>
        <v>30</v>
      </c>
      <c r="C776" s="77">
        <f>194.205</f>
        <v>194.20500000000001</v>
      </c>
      <c r="D776" s="77">
        <f>267.466</f>
        <v>267.46600000000001</v>
      </c>
      <c r="E776" s="86">
        <f>133.845</f>
        <v>133.845</v>
      </c>
      <c r="F776" s="77">
        <f>278.484-40-25-60-100</f>
        <v>53.48399999999998</v>
      </c>
      <c r="G776" s="80">
        <v>40</v>
      </c>
      <c r="H776" s="77">
        <f t="shared" si="126"/>
        <v>185</v>
      </c>
      <c r="I776" s="77">
        <f t="shared" si="124"/>
        <v>0</v>
      </c>
      <c r="J776" s="80">
        <v>100</v>
      </c>
      <c r="K776" s="80">
        <v>300</v>
      </c>
      <c r="L776" s="77">
        <f t="shared" si="117"/>
        <v>1274</v>
      </c>
      <c r="M776" s="88">
        <v>600</v>
      </c>
      <c r="N776" s="77">
        <f>30</f>
        <v>30</v>
      </c>
      <c r="O776" s="80">
        <v>240</v>
      </c>
      <c r="P776" s="80">
        <v>40</v>
      </c>
      <c r="Q776" s="80">
        <f t="shared" si="118"/>
        <v>315</v>
      </c>
      <c r="R776" s="80">
        <f t="shared" si="119"/>
        <v>100</v>
      </c>
      <c r="S776" s="77">
        <f t="shared" si="120"/>
        <v>695</v>
      </c>
      <c r="T776" s="77">
        <f>0</f>
        <v>0</v>
      </c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</row>
    <row r="777" spans="1:30" ht="15.75" x14ac:dyDescent="0.25">
      <c r="A777" s="32">
        <v>64589</v>
      </c>
      <c r="B777" s="89">
        <f t="shared" si="121"/>
        <v>31</v>
      </c>
      <c r="C777" s="77">
        <f>131.881</f>
        <v>131.881</v>
      </c>
      <c r="D777" s="77">
        <f>277.167</f>
        <v>277.16699999999997</v>
      </c>
      <c r="E777" s="86">
        <f>79.08</f>
        <v>79.08</v>
      </c>
      <c r="F777" s="77">
        <f>350.872-40-25-60-100</f>
        <v>125.87200000000001</v>
      </c>
      <c r="G777" s="80">
        <v>40</v>
      </c>
      <c r="H777" s="77">
        <f t="shared" si="126"/>
        <v>185</v>
      </c>
      <c r="I777" s="77">
        <f t="shared" si="124"/>
        <v>0</v>
      </c>
      <c r="J777" s="80">
        <v>100</v>
      </c>
      <c r="K777" s="80">
        <v>300</v>
      </c>
      <c r="L777" s="77">
        <f t="shared" si="117"/>
        <v>1239</v>
      </c>
      <c r="M777" s="88">
        <v>600</v>
      </c>
      <c r="N777" s="77">
        <f>75</f>
        <v>75</v>
      </c>
      <c r="O777" s="80">
        <v>240</v>
      </c>
      <c r="P777" s="80">
        <v>40</v>
      </c>
      <c r="Q777" s="80">
        <f t="shared" si="118"/>
        <v>315</v>
      </c>
      <c r="R777" s="80">
        <f t="shared" si="119"/>
        <v>100</v>
      </c>
      <c r="S777" s="77">
        <f t="shared" si="120"/>
        <v>695</v>
      </c>
      <c r="T777" s="77">
        <f>0</f>
        <v>0</v>
      </c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</row>
    <row r="778" spans="1:30" ht="15.75" x14ac:dyDescent="0.25">
      <c r="A778" s="32">
        <v>64619</v>
      </c>
      <c r="B778" s="89">
        <f t="shared" si="121"/>
        <v>30</v>
      </c>
      <c r="C778" s="77">
        <f>122.58</f>
        <v>122.58</v>
      </c>
      <c r="D778" s="77">
        <f>297.941</f>
        <v>297.94099999999997</v>
      </c>
      <c r="E778" s="86">
        <f>89.177</f>
        <v>89.177000000000007</v>
      </c>
      <c r="F778" s="77">
        <f>240.302-40-60-100</f>
        <v>40.301999999999992</v>
      </c>
      <c r="G778" s="80">
        <v>40</v>
      </c>
      <c r="H778" s="77">
        <f>60+100</f>
        <v>160</v>
      </c>
      <c r="I778" s="77">
        <f t="shared" si="124"/>
        <v>0</v>
      </c>
      <c r="J778" s="80">
        <v>100</v>
      </c>
      <c r="K778" s="80">
        <v>300</v>
      </c>
      <c r="L778" s="77">
        <f t="shared" si="117"/>
        <v>1150</v>
      </c>
      <c r="M778" s="88">
        <v>600</v>
      </c>
      <c r="N778" s="77">
        <f>100</f>
        <v>100</v>
      </c>
      <c r="O778" s="80">
        <v>240</v>
      </c>
      <c r="P778" s="80">
        <v>40</v>
      </c>
      <c r="Q778" s="80">
        <f t="shared" si="118"/>
        <v>315</v>
      </c>
      <c r="R778" s="80">
        <f t="shared" si="119"/>
        <v>100</v>
      </c>
      <c r="S778" s="77">
        <f t="shared" si="120"/>
        <v>695</v>
      </c>
      <c r="T778" s="77">
        <f>50</f>
        <v>50</v>
      </c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</row>
    <row r="779" spans="1:30" ht="15.75" x14ac:dyDescent="0.25">
      <c r="A779" s="32">
        <v>64650</v>
      </c>
      <c r="B779" s="89">
        <f t="shared" si="121"/>
        <v>31</v>
      </c>
      <c r="C779" s="77">
        <f>122.58</f>
        <v>122.58</v>
      </c>
      <c r="D779" s="77">
        <f>297.941</f>
        <v>297.94099999999997</v>
      </c>
      <c r="E779" s="86">
        <f>89.177</f>
        <v>89.177000000000007</v>
      </c>
      <c r="F779" s="77">
        <f>240.302-40-60-100</f>
        <v>40.301999999999992</v>
      </c>
      <c r="G779" s="80">
        <v>40</v>
      </c>
      <c r="H779" s="77">
        <f>60+100</f>
        <v>160</v>
      </c>
      <c r="I779" s="77">
        <f t="shared" si="124"/>
        <v>0</v>
      </c>
      <c r="J779" s="80">
        <v>100</v>
      </c>
      <c r="K779" s="80">
        <v>300</v>
      </c>
      <c r="L779" s="77">
        <f t="shared" si="117"/>
        <v>1150</v>
      </c>
      <c r="M779" s="88">
        <v>600</v>
      </c>
      <c r="N779" s="77">
        <f>100</f>
        <v>100</v>
      </c>
      <c r="O779" s="80">
        <v>240</v>
      </c>
      <c r="P779" s="80">
        <v>40</v>
      </c>
      <c r="Q779" s="80">
        <f t="shared" si="118"/>
        <v>315</v>
      </c>
      <c r="R779" s="80">
        <f t="shared" si="119"/>
        <v>100</v>
      </c>
      <c r="S779" s="77">
        <f t="shared" si="120"/>
        <v>695</v>
      </c>
      <c r="T779" s="77">
        <f>50</f>
        <v>50</v>
      </c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</row>
    <row r="780" spans="1:30" ht="15.75" x14ac:dyDescent="0.25">
      <c r="A780" s="32">
        <v>64681</v>
      </c>
      <c r="B780" s="89">
        <f t="shared" si="121"/>
        <v>31</v>
      </c>
      <c r="C780" s="77">
        <f>122.58</f>
        <v>122.58</v>
      </c>
      <c r="D780" s="77">
        <f>297.941</f>
        <v>297.94099999999997</v>
      </c>
      <c r="E780" s="86">
        <f>89.177</f>
        <v>89.177000000000007</v>
      </c>
      <c r="F780" s="77">
        <f>240.302-40-60-100</f>
        <v>40.301999999999992</v>
      </c>
      <c r="G780" s="80">
        <v>40</v>
      </c>
      <c r="H780" s="77">
        <f>60+100</f>
        <v>160</v>
      </c>
      <c r="I780" s="77">
        <f t="shared" si="124"/>
        <v>0</v>
      </c>
      <c r="J780" s="80">
        <v>100</v>
      </c>
      <c r="K780" s="80">
        <v>300</v>
      </c>
      <c r="L780" s="77">
        <f t="shared" si="117"/>
        <v>1150</v>
      </c>
      <c r="M780" s="88">
        <v>600</v>
      </c>
      <c r="N780" s="77">
        <f>100</f>
        <v>100</v>
      </c>
      <c r="O780" s="80">
        <v>240</v>
      </c>
      <c r="P780" s="80">
        <v>40</v>
      </c>
      <c r="Q780" s="80">
        <f t="shared" si="118"/>
        <v>315</v>
      </c>
      <c r="R780" s="80">
        <f t="shared" si="119"/>
        <v>100</v>
      </c>
      <c r="S780" s="77">
        <f t="shared" si="120"/>
        <v>695</v>
      </c>
      <c r="T780" s="77">
        <f>50</f>
        <v>50</v>
      </c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</row>
    <row r="781" spans="1:30" ht="15.75" x14ac:dyDescent="0.25">
      <c r="A781" s="32">
        <v>64709</v>
      </c>
      <c r="B781" s="89">
        <f t="shared" si="121"/>
        <v>28</v>
      </c>
      <c r="C781" s="77">
        <f>122.58</f>
        <v>122.58</v>
      </c>
      <c r="D781" s="77">
        <f>297.941</f>
        <v>297.94099999999997</v>
      </c>
      <c r="E781" s="86">
        <f>89.177</f>
        <v>89.177000000000007</v>
      </c>
      <c r="F781" s="77">
        <f>240.302-40-60-100</f>
        <v>40.301999999999992</v>
      </c>
      <c r="G781" s="80">
        <v>40</v>
      </c>
      <c r="H781" s="77">
        <f>60+100</f>
        <v>160</v>
      </c>
      <c r="I781" s="77">
        <f t="shared" si="124"/>
        <v>0</v>
      </c>
      <c r="J781" s="80">
        <v>100</v>
      </c>
      <c r="K781" s="80">
        <v>300</v>
      </c>
      <c r="L781" s="77">
        <f t="shared" si="117"/>
        <v>1150</v>
      </c>
      <c r="M781" s="88">
        <v>600</v>
      </c>
      <c r="N781" s="77">
        <f>100</f>
        <v>100</v>
      </c>
      <c r="O781" s="80">
        <v>240</v>
      </c>
      <c r="P781" s="80">
        <v>40</v>
      </c>
      <c r="Q781" s="80">
        <f t="shared" si="118"/>
        <v>315</v>
      </c>
      <c r="R781" s="80">
        <f t="shared" si="119"/>
        <v>100</v>
      </c>
      <c r="S781" s="77">
        <f t="shared" si="120"/>
        <v>695</v>
      </c>
      <c r="T781" s="77">
        <f>50</f>
        <v>50</v>
      </c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</row>
    <row r="782" spans="1:30" ht="15.75" x14ac:dyDescent="0.25">
      <c r="A782" s="32">
        <v>64740</v>
      </c>
      <c r="B782" s="89">
        <f t="shared" si="121"/>
        <v>31</v>
      </c>
      <c r="C782" s="77">
        <f>122.58</f>
        <v>122.58</v>
      </c>
      <c r="D782" s="77">
        <f>297.941</f>
        <v>297.94099999999997</v>
      </c>
      <c r="E782" s="86">
        <f>89.177</f>
        <v>89.177000000000007</v>
      </c>
      <c r="F782" s="77">
        <f>240.302-40-60-100</f>
        <v>40.301999999999992</v>
      </c>
      <c r="G782" s="80">
        <v>40</v>
      </c>
      <c r="H782" s="77">
        <f>60+100</f>
        <v>160</v>
      </c>
      <c r="I782" s="77">
        <f t="shared" si="124"/>
        <v>0</v>
      </c>
      <c r="J782" s="80">
        <v>100</v>
      </c>
      <c r="K782" s="80">
        <v>300</v>
      </c>
      <c r="L782" s="77">
        <f t="shared" si="117"/>
        <v>1150</v>
      </c>
      <c r="M782" s="88">
        <v>600</v>
      </c>
      <c r="N782" s="77">
        <f>100</f>
        <v>100</v>
      </c>
      <c r="O782" s="80">
        <v>240</v>
      </c>
      <c r="P782" s="80">
        <v>40</v>
      </c>
      <c r="Q782" s="80">
        <f t="shared" si="118"/>
        <v>315</v>
      </c>
      <c r="R782" s="80">
        <f t="shared" si="119"/>
        <v>100</v>
      </c>
      <c r="S782" s="77">
        <f t="shared" si="120"/>
        <v>695</v>
      </c>
      <c r="T782" s="77">
        <f>50</f>
        <v>50</v>
      </c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</row>
    <row r="783" spans="1:30" ht="15.75" x14ac:dyDescent="0.25">
      <c r="A783" s="32">
        <v>64770</v>
      </c>
      <c r="B783" s="89">
        <f t="shared" si="121"/>
        <v>30</v>
      </c>
      <c r="C783" s="77">
        <f>141.293</f>
        <v>141.29300000000001</v>
      </c>
      <c r="D783" s="77">
        <f>267.993</f>
        <v>267.99299999999999</v>
      </c>
      <c r="E783" s="86">
        <f>115.016</f>
        <v>115.01600000000001</v>
      </c>
      <c r="F783" s="77">
        <f>314.698-40-25-60-100</f>
        <v>89.697999999999979</v>
      </c>
      <c r="G783" s="80">
        <v>40</v>
      </c>
      <c r="H783" s="77">
        <f t="shared" ref="H783:H789" si="127">25+60+100</f>
        <v>185</v>
      </c>
      <c r="I783" s="77">
        <f t="shared" si="124"/>
        <v>0</v>
      </c>
      <c r="J783" s="80">
        <v>100</v>
      </c>
      <c r="K783" s="80">
        <v>300</v>
      </c>
      <c r="L783" s="77">
        <f t="shared" si="117"/>
        <v>1239</v>
      </c>
      <c r="M783" s="88">
        <v>600</v>
      </c>
      <c r="N783" s="77">
        <f>100</f>
        <v>100</v>
      </c>
      <c r="O783" s="80">
        <v>240</v>
      </c>
      <c r="P783" s="80">
        <v>40</v>
      </c>
      <c r="Q783" s="80">
        <f t="shared" si="118"/>
        <v>315</v>
      </c>
      <c r="R783" s="80">
        <f t="shared" si="119"/>
        <v>100</v>
      </c>
      <c r="S783" s="77">
        <f t="shared" si="120"/>
        <v>695</v>
      </c>
      <c r="T783" s="77">
        <f>50</f>
        <v>50</v>
      </c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</row>
    <row r="784" spans="1:30" ht="15.75" x14ac:dyDescent="0.25">
      <c r="A784" s="32">
        <v>64801</v>
      </c>
      <c r="B784" s="89">
        <f t="shared" si="121"/>
        <v>31</v>
      </c>
      <c r="C784" s="77">
        <f>194.205</f>
        <v>194.20500000000001</v>
      </c>
      <c r="D784" s="77">
        <f>267.466</f>
        <v>267.46600000000001</v>
      </c>
      <c r="E784" s="86">
        <f>133.845</f>
        <v>133.845</v>
      </c>
      <c r="F784" s="77">
        <f>278.484-40-25-60-100</f>
        <v>53.48399999999998</v>
      </c>
      <c r="G784" s="80">
        <v>40</v>
      </c>
      <c r="H784" s="77">
        <f t="shared" si="127"/>
        <v>185</v>
      </c>
      <c r="I784" s="77">
        <f t="shared" si="124"/>
        <v>0</v>
      </c>
      <c r="J784" s="80">
        <v>100</v>
      </c>
      <c r="K784" s="80">
        <v>300</v>
      </c>
      <c r="L784" s="77">
        <f t="shared" si="117"/>
        <v>1274</v>
      </c>
      <c r="M784" s="88">
        <v>600</v>
      </c>
      <c r="N784" s="77">
        <f>75</f>
        <v>75</v>
      </c>
      <c r="O784" s="80">
        <v>240</v>
      </c>
      <c r="P784" s="80">
        <v>40</v>
      </c>
      <c r="Q784" s="80">
        <f t="shared" si="118"/>
        <v>315</v>
      </c>
      <c r="R784" s="80">
        <f t="shared" si="119"/>
        <v>100</v>
      </c>
      <c r="S784" s="77">
        <f t="shared" si="120"/>
        <v>695</v>
      </c>
      <c r="T784" s="77">
        <f>50</f>
        <v>50</v>
      </c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</row>
    <row r="785" spans="1:30" ht="15.75" x14ac:dyDescent="0.25">
      <c r="A785" s="32">
        <v>64831</v>
      </c>
      <c r="B785" s="89">
        <f t="shared" si="121"/>
        <v>30</v>
      </c>
      <c r="C785" s="77">
        <f>194.205</f>
        <v>194.20500000000001</v>
      </c>
      <c r="D785" s="77">
        <f>267.466</f>
        <v>267.46600000000001</v>
      </c>
      <c r="E785" s="86">
        <f>133.845</f>
        <v>133.845</v>
      </c>
      <c r="F785" s="77">
        <f>278.484-40-25-60-100</f>
        <v>53.48399999999998</v>
      </c>
      <c r="G785" s="80">
        <v>40</v>
      </c>
      <c r="H785" s="77">
        <f t="shared" si="127"/>
        <v>185</v>
      </c>
      <c r="I785" s="77">
        <f t="shared" si="124"/>
        <v>0</v>
      </c>
      <c r="J785" s="80">
        <v>100</v>
      </c>
      <c r="K785" s="80">
        <v>300</v>
      </c>
      <c r="L785" s="77">
        <f t="shared" si="117"/>
        <v>1274</v>
      </c>
      <c r="M785" s="88">
        <v>600</v>
      </c>
      <c r="N785" s="77">
        <f>30</f>
        <v>30</v>
      </c>
      <c r="O785" s="80">
        <v>240</v>
      </c>
      <c r="P785" s="80">
        <v>40</v>
      </c>
      <c r="Q785" s="80">
        <f t="shared" si="118"/>
        <v>315</v>
      </c>
      <c r="R785" s="80">
        <f t="shared" si="119"/>
        <v>100</v>
      </c>
      <c r="S785" s="77">
        <f t="shared" si="120"/>
        <v>695</v>
      </c>
      <c r="T785" s="77">
        <f>50</f>
        <v>50</v>
      </c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</row>
    <row r="786" spans="1:30" ht="15.75" x14ac:dyDescent="0.25">
      <c r="A786" s="32">
        <v>64862</v>
      </c>
      <c r="B786" s="89">
        <f t="shared" si="121"/>
        <v>31</v>
      </c>
      <c r="C786" s="77">
        <f>194.205</f>
        <v>194.20500000000001</v>
      </c>
      <c r="D786" s="77">
        <f>267.466</f>
        <v>267.46600000000001</v>
      </c>
      <c r="E786" s="86">
        <f>133.845</f>
        <v>133.845</v>
      </c>
      <c r="F786" s="77">
        <f>278.484-40-25-60-100</f>
        <v>53.48399999999998</v>
      </c>
      <c r="G786" s="80">
        <v>40</v>
      </c>
      <c r="H786" s="77">
        <f t="shared" si="127"/>
        <v>185</v>
      </c>
      <c r="I786" s="77">
        <f t="shared" si="124"/>
        <v>0</v>
      </c>
      <c r="J786" s="80">
        <v>100</v>
      </c>
      <c r="K786" s="80">
        <v>300</v>
      </c>
      <c r="L786" s="77">
        <f t="shared" si="117"/>
        <v>1274</v>
      </c>
      <c r="M786" s="88">
        <v>600</v>
      </c>
      <c r="N786" s="77">
        <f>30</f>
        <v>30</v>
      </c>
      <c r="O786" s="80">
        <v>240</v>
      </c>
      <c r="P786" s="80">
        <v>40</v>
      </c>
      <c r="Q786" s="80">
        <f t="shared" si="118"/>
        <v>315</v>
      </c>
      <c r="R786" s="80">
        <f t="shared" si="119"/>
        <v>100</v>
      </c>
      <c r="S786" s="77">
        <f t="shared" si="120"/>
        <v>695</v>
      </c>
      <c r="T786" s="77">
        <f>0</f>
        <v>0</v>
      </c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</row>
    <row r="787" spans="1:30" ht="15.75" x14ac:dyDescent="0.25">
      <c r="A787" s="32">
        <v>64893</v>
      </c>
      <c r="B787" s="89">
        <f t="shared" si="121"/>
        <v>31</v>
      </c>
      <c r="C787" s="77">
        <f>194.205</f>
        <v>194.20500000000001</v>
      </c>
      <c r="D787" s="77">
        <f>267.466</f>
        <v>267.46600000000001</v>
      </c>
      <c r="E787" s="86">
        <f>133.845</f>
        <v>133.845</v>
      </c>
      <c r="F787" s="77">
        <f>278.484-40-25-60-100</f>
        <v>53.48399999999998</v>
      </c>
      <c r="G787" s="80">
        <v>40</v>
      </c>
      <c r="H787" s="77">
        <f t="shared" si="127"/>
        <v>185</v>
      </c>
      <c r="I787" s="77">
        <f t="shared" si="124"/>
        <v>0</v>
      </c>
      <c r="J787" s="80">
        <v>100</v>
      </c>
      <c r="K787" s="80">
        <v>300</v>
      </c>
      <c r="L787" s="77">
        <f t="shared" ref="L787:L850" si="128">SUM(C787:K787)</f>
        <v>1274</v>
      </c>
      <c r="M787" s="88">
        <v>600</v>
      </c>
      <c r="N787" s="77">
        <f>30</f>
        <v>30</v>
      </c>
      <c r="O787" s="80">
        <v>240</v>
      </c>
      <c r="P787" s="80">
        <v>40</v>
      </c>
      <c r="Q787" s="80">
        <f t="shared" ref="Q787:Q850" si="129">695-R787-O787-P787</f>
        <v>315</v>
      </c>
      <c r="R787" s="80">
        <f t="shared" ref="R787:R850" si="130">200-J787</f>
        <v>100</v>
      </c>
      <c r="S787" s="77">
        <f t="shared" ref="S787:S850" si="131">SUM(O787:R787)</f>
        <v>695</v>
      </c>
      <c r="T787" s="77">
        <f>0</f>
        <v>0</v>
      </c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</row>
    <row r="788" spans="1:30" ht="15.75" x14ac:dyDescent="0.25">
      <c r="A788" s="32">
        <v>64923</v>
      </c>
      <c r="B788" s="89">
        <f t="shared" si="121"/>
        <v>30</v>
      </c>
      <c r="C788" s="77">
        <f>194.205</f>
        <v>194.20500000000001</v>
      </c>
      <c r="D788" s="77">
        <f>267.466</f>
        <v>267.46600000000001</v>
      </c>
      <c r="E788" s="86">
        <f>133.845</f>
        <v>133.845</v>
      </c>
      <c r="F788" s="77">
        <f>278.484-40-25-60-100</f>
        <v>53.48399999999998</v>
      </c>
      <c r="G788" s="80">
        <v>40</v>
      </c>
      <c r="H788" s="77">
        <f t="shared" si="127"/>
        <v>185</v>
      </c>
      <c r="I788" s="77">
        <f t="shared" si="124"/>
        <v>0</v>
      </c>
      <c r="J788" s="80">
        <v>100</v>
      </c>
      <c r="K788" s="80">
        <v>300</v>
      </c>
      <c r="L788" s="77">
        <f t="shared" si="128"/>
        <v>1274</v>
      </c>
      <c r="M788" s="88">
        <v>600</v>
      </c>
      <c r="N788" s="77">
        <f>30</f>
        <v>30</v>
      </c>
      <c r="O788" s="80">
        <v>240</v>
      </c>
      <c r="P788" s="80">
        <v>40</v>
      </c>
      <c r="Q788" s="80">
        <f t="shared" si="129"/>
        <v>315</v>
      </c>
      <c r="R788" s="80">
        <f t="shared" si="130"/>
        <v>100</v>
      </c>
      <c r="S788" s="77">
        <f t="shared" si="131"/>
        <v>695</v>
      </c>
      <c r="T788" s="77">
        <f>0</f>
        <v>0</v>
      </c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</row>
    <row r="789" spans="1:30" ht="15.75" x14ac:dyDescent="0.25">
      <c r="A789" s="32">
        <v>64954</v>
      </c>
      <c r="B789" s="89">
        <f t="shared" si="121"/>
        <v>31</v>
      </c>
      <c r="C789" s="77">
        <f>131.881</f>
        <v>131.881</v>
      </c>
      <c r="D789" s="77">
        <f>277.167</f>
        <v>277.16699999999997</v>
      </c>
      <c r="E789" s="86">
        <f>79.08</f>
        <v>79.08</v>
      </c>
      <c r="F789" s="77">
        <f>350.872-40-25-60-100</f>
        <v>125.87200000000001</v>
      </c>
      <c r="G789" s="80">
        <v>40</v>
      </c>
      <c r="H789" s="77">
        <f t="shared" si="127"/>
        <v>185</v>
      </c>
      <c r="I789" s="77">
        <f t="shared" si="124"/>
        <v>0</v>
      </c>
      <c r="J789" s="80">
        <v>100</v>
      </c>
      <c r="K789" s="80">
        <v>300</v>
      </c>
      <c r="L789" s="77">
        <f t="shared" si="128"/>
        <v>1239</v>
      </c>
      <c r="M789" s="88">
        <v>600</v>
      </c>
      <c r="N789" s="77">
        <f>75</f>
        <v>75</v>
      </c>
      <c r="O789" s="80">
        <v>240</v>
      </c>
      <c r="P789" s="80">
        <v>40</v>
      </c>
      <c r="Q789" s="80">
        <f t="shared" si="129"/>
        <v>315</v>
      </c>
      <c r="R789" s="80">
        <f t="shared" si="130"/>
        <v>100</v>
      </c>
      <c r="S789" s="77">
        <f t="shared" si="131"/>
        <v>695</v>
      </c>
      <c r="T789" s="77">
        <f>0</f>
        <v>0</v>
      </c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</row>
    <row r="790" spans="1:30" ht="15.75" x14ac:dyDescent="0.25">
      <c r="A790" s="32">
        <v>64984</v>
      </c>
      <c r="B790" s="89">
        <f t="shared" si="121"/>
        <v>30</v>
      </c>
      <c r="C790" s="77">
        <f>122.58</f>
        <v>122.58</v>
      </c>
      <c r="D790" s="77">
        <f>297.941</f>
        <v>297.94099999999997</v>
      </c>
      <c r="E790" s="86">
        <f>89.177</f>
        <v>89.177000000000007</v>
      </c>
      <c r="F790" s="77">
        <f>240.302-40-60-100</f>
        <v>40.301999999999992</v>
      </c>
      <c r="G790" s="80">
        <v>40</v>
      </c>
      <c r="H790" s="77">
        <f>60+100</f>
        <v>160</v>
      </c>
      <c r="I790" s="77">
        <f t="shared" si="124"/>
        <v>0</v>
      </c>
      <c r="J790" s="80">
        <v>100</v>
      </c>
      <c r="K790" s="80">
        <v>300</v>
      </c>
      <c r="L790" s="77">
        <f t="shared" si="128"/>
        <v>1150</v>
      </c>
      <c r="M790" s="88">
        <v>600</v>
      </c>
      <c r="N790" s="77">
        <f>100</f>
        <v>100</v>
      </c>
      <c r="O790" s="80">
        <v>240</v>
      </c>
      <c r="P790" s="80">
        <v>40</v>
      </c>
      <c r="Q790" s="80">
        <f t="shared" si="129"/>
        <v>315</v>
      </c>
      <c r="R790" s="80">
        <f t="shared" si="130"/>
        <v>100</v>
      </c>
      <c r="S790" s="77">
        <f t="shared" si="131"/>
        <v>695</v>
      </c>
      <c r="T790" s="77">
        <f>50</f>
        <v>50</v>
      </c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</row>
    <row r="791" spans="1:30" ht="15.75" x14ac:dyDescent="0.25">
      <c r="A791" s="32">
        <v>65015</v>
      </c>
      <c r="B791" s="89">
        <f t="shared" si="121"/>
        <v>31</v>
      </c>
      <c r="C791" s="77">
        <f>122.58</f>
        <v>122.58</v>
      </c>
      <c r="D791" s="77">
        <f>297.941</f>
        <v>297.94099999999997</v>
      </c>
      <c r="E791" s="86">
        <f>89.177</f>
        <v>89.177000000000007</v>
      </c>
      <c r="F791" s="77">
        <f>240.302-40-60-100</f>
        <v>40.301999999999992</v>
      </c>
      <c r="G791" s="80">
        <v>40</v>
      </c>
      <c r="H791" s="77">
        <f>60+100</f>
        <v>160</v>
      </c>
      <c r="I791" s="77">
        <f t="shared" si="124"/>
        <v>0</v>
      </c>
      <c r="J791" s="80">
        <v>100</v>
      </c>
      <c r="K791" s="80">
        <v>300</v>
      </c>
      <c r="L791" s="77">
        <f t="shared" si="128"/>
        <v>1150</v>
      </c>
      <c r="M791" s="88">
        <v>600</v>
      </c>
      <c r="N791" s="77">
        <f>100</f>
        <v>100</v>
      </c>
      <c r="O791" s="80">
        <v>240</v>
      </c>
      <c r="P791" s="80">
        <v>40</v>
      </c>
      <c r="Q791" s="80">
        <f t="shared" si="129"/>
        <v>315</v>
      </c>
      <c r="R791" s="80">
        <f t="shared" si="130"/>
        <v>100</v>
      </c>
      <c r="S791" s="77">
        <f t="shared" si="131"/>
        <v>695</v>
      </c>
      <c r="T791" s="77">
        <f>50</f>
        <v>50</v>
      </c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</row>
    <row r="792" spans="1:30" ht="15.75" x14ac:dyDescent="0.25">
      <c r="A792" s="32">
        <v>65046</v>
      </c>
      <c r="B792" s="89">
        <f t="shared" ref="B792:B855" si="132">EOMONTH(A792,0)-EOMONTH(A792,-1)</f>
        <v>31</v>
      </c>
      <c r="C792" s="77">
        <f>122.58</f>
        <v>122.58</v>
      </c>
      <c r="D792" s="77">
        <f>297.941</f>
        <v>297.94099999999997</v>
      </c>
      <c r="E792" s="86">
        <f>89.177</f>
        <v>89.177000000000007</v>
      </c>
      <c r="F792" s="77">
        <f>240.302-40-60-100</f>
        <v>40.301999999999992</v>
      </c>
      <c r="G792" s="80">
        <v>40</v>
      </c>
      <c r="H792" s="77">
        <f>60+100</f>
        <v>160</v>
      </c>
      <c r="I792" s="77">
        <f t="shared" si="124"/>
        <v>0</v>
      </c>
      <c r="J792" s="80">
        <v>100</v>
      </c>
      <c r="K792" s="80">
        <v>300</v>
      </c>
      <c r="L792" s="77">
        <f t="shared" si="128"/>
        <v>1150</v>
      </c>
      <c r="M792" s="88">
        <v>600</v>
      </c>
      <c r="N792" s="77">
        <f>100</f>
        <v>100</v>
      </c>
      <c r="O792" s="80">
        <v>240</v>
      </c>
      <c r="P792" s="80">
        <v>40</v>
      </c>
      <c r="Q792" s="80">
        <f t="shared" si="129"/>
        <v>315</v>
      </c>
      <c r="R792" s="80">
        <f t="shared" si="130"/>
        <v>100</v>
      </c>
      <c r="S792" s="77">
        <f t="shared" si="131"/>
        <v>695</v>
      </c>
      <c r="T792" s="77">
        <f>50</f>
        <v>50</v>
      </c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</row>
    <row r="793" spans="1:30" ht="15.75" x14ac:dyDescent="0.25">
      <c r="A793" s="32">
        <v>65074</v>
      </c>
      <c r="B793" s="89">
        <f t="shared" si="132"/>
        <v>28</v>
      </c>
      <c r="C793" s="77">
        <f>122.58</f>
        <v>122.58</v>
      </c>
      <c r="D793" s="77">
        <f>297.941</f>
        <v>297.94099999999997</v>
      </c>
      <c r="E793" s="86">
        <f>89.177</f>
        <v>89.177000000000007</v>
      </c>
      <c r="F793" s="77">
        <f>240.302-40-60-100</f>
        <v>40.301999999999992</v>
      </c>
      <c r="G793" s="80">
        <v>40</v>
      </c>
      <c r="H793" s="77">
        <f>60+100</f>
        <v>160</v>
      </c>
      <c r="I793" s="77">
        <f t="shared" si="124"/>
        <v>0</v>
      </c>
      <c r="J793" s="80">
        <v>100</v>
      </c>
      <c r="K793" s="80">
        <v>300</v>
      </c>
      <c r="L793" s="77">
        <f t="shared" si="128"/>
        <v>1150</v>
      </c>
      <c r="M793" s="88">
        <v>600</v>
      </c>
      <c r="N793" s="77">
        <f>100</f>
        <v>100</v>
      </c>
      <c r="O793" s="80">
        <v>240</v>
      </c>
      <c r="P793" s="80">
        <v>40</v>
      </c>
      <c r="Q793" s="80">
        <f t="shared" si="129"/>
        <v>315</v>
      </c>
      <c r="R793" s="80">
        <f t="shared" si="130"/>
        <v>100</v>
      </c>
      <c r="S793" s="77">
        <f t="shared" si="131"/>
        <v>695</v>
      </c>
      <c r="T793" s="77">
        <f>50</f>
        <v>50</v>
      </c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</row>
    <row r="794" spans="1:30" ht="15.75" x14ac:dyDescent="0.25">
      <c r="A794" s="32">
        <v>65105</v>
      </c>
      <c r="B794" s="89">
        <f t="shared" si="132"/>
        <v>31</v>
      </c>
      <c r="C794" s="77">
        <f>122.58</f>
        <v>122.58</v>
      </c>
      <c r="D794" s="77">
        <f>297.941</f>
        <v>297.94099999999997</v>
      </c>
      <c r="E794" s="86">
        <f>89.177</f>
        <v>89.177000000000007</v>
      </c>
      <c r="F794" s="77">
        <f>240.302-40-60-100</f>
        <v>40.301999999999992</v>
      </c>
      <c r="G794" s="80">
        <v>40</v>
      </c>
      <c r="H794" s="77">
        <f>60+100</f>
        <v>160</v>
      </c>
      <c r="I794" s="77">
        <f t="shared" si="124"/>
        <v>0</v>
      </c>
      <c r="J794" s="80">
        <v>100</v>
      </c>
      <c r="K794" s="80">
        <v>300</v>
      </c>
      <c r="L794" s="77">
        <f t="shared" si="128"/>
        <v>1150</v>
      </c>
      <c r="M794" s="88">
        <v>600</v>
      </c>
      <c r="N794" s="77">
        <f>100</f>
        <v>100</v>
      </c>
      <c r="O794" s="80">
        <v>240</v>
      </c>
      <c r="P794" s="80">
        <v>40</v>
      </c>
      <c r="Q794" s="80">
        <f t="shared" si="129"/>
        <v>315</v>
      </c>
      <c r="R794" s="80">
        <f t="shared" si="130"/>
        <v>100</v>
      </c>
      <c r="S794" s="77">
        <f t="shared" si="131"/>
        <v>695</v>
      </c>
      <c r="T794" s="77">
        <f>50</f>
        <v>50</v>
      </c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</row>
    <row r="795" spans="1:30" ht="15.75" x14ac:dyDescent="0.25">
      <c r="A795" s="32">
        <v>65135</v>
      </c>
      <c r="B795" s="89">
        <f t="shared" si="132"/>
        <v>30</v>
      </c>
      <c r="C795" s="77">
        <f>141.293</f>
        <v>141.29300000000001</v>
      </c>
      <c r="D795" s="77">
        <f>267.993</f>
        <v>267.99299999999999</v>
      </c>
      <c r="E795" s="86">
        <f>115.016</f>
        <v>115.01600000000001</v>
      </c>
      <c r="F795" s="77">
        <f>314.698-40-25-60-100</f>
        <v>89.697999999999979</v>
      </c>
      <c r="G795" s="80">
        <v>40</v>
      </c>
      <c r="H795" s="77">
        <f t="shared" ref="H795:H801" si="133">25+60+100</f>
        <v>185</v>
      </c>
      <c r="I795" s="77">
        <f t="shared" si="124"/>
        <v>0</v>
      </c>
      <c r="J795" s="80">
        <v>100</v>
      </c>
      <c r="K795" s="80">
        <v>300</v>
      </c>
      <c r="L795" s="77">
        <f t="shared" si="128"/>
        <v>1239</v>
      </c>
      <c r="M795" s="88">
        <v>600</v>
      </c>
      <c r="N795" s="77">
        <f>100</f>
        <v>100</v>
      </c>
      <c r="O795" s="80">
        <v>240</v>
      </c>
      <c r="P795" s="80">
        <v>40</v>
      </c>
      <c r="Q795" s="80">
        <f t="shared" si="129"/>
        <v>315</v>
      </c>
      <c r="R795" s="80">
        <f t="shared" si="130"/>
        <v>100</v>
      </c>
      <c r="S795" s="77">
        <f t="shared" si="131"/>
        <v>695</v>
      </c>
      <c r="T795" s="77">
        <f>50</f>
        <v>50</v>
      </c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</row>
    <row r="796" spans="1:30" ht="15.75" x14ac:dyDescent="0.25">
      <c r="A796" s="32">
        <v>65166</v>
      </c>
      <c r="B796" s="89">
        <f t="shared" si="132"/>
        <v>31</v>
      </c>
      <c r="C796" s="77">
        <f>194.205</f>
        <v>194.20500000000001</v>
      </c>
      <c r="D796" s="77">
        <f>267.466</f>
        <v>267.46600000000001</v>
      </c>
      <c r="E796" s="86">
        <f>133.845</f>
        <v>133.845</v>
      </c>
      <c r="F796" s="77">
        <f>278.484-40-25-60-100</f>
        <v>53.48399999999998</v>
      </c>
      <c r="G796" s="80">
        <v>40</v>
      </c>
      <c r="H796" s="77">
        <f t="shared" si="133"/>
        <v>185</v>
      </c>
      <c r="I796" s="77">
        <f t="shared" si="124"/>
        <v>0</v>
      </c>
      <c r="J796" s="80">
        <v>100</v>
      </c>
      <c r="K796" s="80">
        <v>300</v>
      </c>
      <c r="L796" s="77">
        <f t="shared" si="128"/>
        <v>1274</v>
      </c>
      <c r="M796" s="88">
        <v>600</v>
      </c>
      <c r="N796" s="77">
        <f>75</f>
        <v>75</v>
      </c>
      <c r="O796" s="80">
        <v>240</v>
      </c>
      <c r="P796" s="80">
        <v>40</v>
      </c>
      <c r="Q796" s="80">
        <f t="shared" si="129"/>
        <v>315</v>
      </c>
      <c r="R796" s="80">
        <f t="shared" si="130"/>
        <v>100</v>
      </c>
      <c r="S796" s="77">
        <f t="shared" si="131"/>
        <v>695</v>
      </c>
      <c r="T796" s="77">
        <f>50</f>
        <v>50</v>
      </c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</row>
    <row r="797" spans="1:30" ht="15.75" x14ac:dyDescent="0.25">
      <c r="A797" s="32">
        <v>65196</v>
      </c>
      <c r="B797" s="89">
        <f t="shared" si="132"/>
        <v>30</v>
      </c>
      <c r="C797" s="77">
        <f>194.205</f>
        <v>194.20500000000001</v>
      </c>
      <c r="D797" s="77">
        <f>267.466</f>
        <v>267.46600000000001</v>
      </c>
      <c r="E797" s="86">
        <f>133.845</f>
        <v>133.845</v>
      </c>
      <c r="F797" s="77">
        <f>278.484-40-25-60-100</f>
        <v>53.48399999999998</v>
      </c>
      <c r="G797" s="80">
        <v>40</v>
      </c>
      <c r="H797" s="77">
        <f t="shared" si="133"/>
        <v>185</v>
      </c>
      <c r="I797" s="77">
        <f t="shared" si="124"/>
        <v>0</v>
      </c>
      <c r="J797" s="80">
        <v>100</v>
      </c>
      <c r="K797" s="80">
        <v>300</v>
      </c>
      <c r="L797" s="77">
        <f t="shared" si="128"/>
        <v>1274</v>
      </c>
      <c r="M797" s="88">
        <v>600</v>
      </c>
      <c r="N797" s="77">
        <f>30</f>
        <v>30</v>
      </c>
      <c r="O797" s="80">
        <v>240</v>
      </c>
      <c r="P797" s="80">
        <v>40</v>
      </c>
      <c r="Q797" s="80">
        <f t="shared" si="129"/>
        <v>315</v>
      </c>
      <c r="R797" s="80">
        <f t="shared" si="130"/>
        <v>100</v>
      </c>
      <c r="S797" s="77">
        <f t="shared" si="131"/>
        <v>695</v>
      </c>
      <c r="T797" s="77">
        <f>50</f>
        <v>50</v>
      </c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</row>
    <row r="798" spans="1:30" ht="15.75" x14ac:dyDescent="0.25">
      <c r="A798" s="32">
        <v>65227</v>
      </c>
      <c r="B798" s="89">
        <f t="shared" si="132"/>
        <v>31</v>
      </c>
      <c r="C798" s="77">
        <f>194.205</f>
        <v>194.20500000000001</v>
      </c>
      <c r="D798" s="77">
        <f>267.466</f>
        <v>267.46600000000001</v>
      </c>
      <c r="E798" s="86">
        <f>133.845</f>
        <v>133.845</v>
      </c>
      <c r="F798" s="77">
        <f>278.484-40-25-60-100</f>
        <v>53.48399999999998</v>
      </c>
      <c r="G798" s="80">
        <v>40</v>
      </c>
      <c r="H798" s="77">
        <f t="shared" si="133"/>
        <v>185</v>
      </c>
      <c r="I798" s="77">
        <f t="shared" si="124"/>
        <v>0</v>
      </c>
      <c r="J798" s="80">
        <v>100</v>
      </c>
      <c r="K798" s="80">
        <v>300</v>
      </c>
      <c r="L798" s="77">
        <f t="shared" si="128"/>
        <v>1274</v>
      </c>
      <c r="M798" s="88">
        <v>600</v>
      </c>
      <c r="N798" s="77">
        <f>30</f>
        <v>30</v>
      </c>
      <c r="O798" s="80">
        <v>240</v>
      </c>
      <c r="P798" s="80">
        <v>40</v>
      </c>
      <c r="Q798" s="80">
        <f t="shared" si="129"/>
        <v>315</v>
      </c>
      <c r="R798" s="80">
        <f t="shared" si="130"/>
        <v>100</v>
      </c>
      <c r="S798" s="77">
        <f t="shared" si="131"/>
        <v>695</v>
      </c>
      <c r="T798" s="77">
        <f>0</f>
        <v>0</v>
      </c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</row>
    <row r="799" spans="1:30" ht="15.75" x14ac:dyDescent="0.25">
      <c r="A799" s="32">
        <v>65258</v>
      </c>
      <c r="B799" s="89">
        <f t="shared" si="132"/>
        <v>31</v>
      </c>
      <c r="C799" s="77">
        <f>194.205</f>
        <v>194.20500000000001</v>
      </c>
      <c r="D799" s="77">
        <f>267.466</f>
        <v>267.46600000000001</v>
      </c>
      <c r="E799" s="86">
        <f>133.845</f>
        <v>133.845</v>
      </c>
      <c r="F799" s="77">
        <f>278.484-40-25-60-100</f>
        <v>53.48399999999998</v>
      </c>
      <c r="G799" s="80">
        <v>40</v>
      </c>
      <c r="H799" s="77">
        <f t="shared" si="133"/>
        <v>185</v>
      </c>
      <c r="I799" s="77">
        <f t="shared" si="124"/>
        <v>0</v>
      </c>
      <c r="J799" s="80">
        <v>100</v>
      </c>
      <c r="K799" s="80">
        <v>300</v>
      </c>
      <c r="L799" s="77">
        <f t="shared" si="128"/>
        <v>1274</v>
      </c>
      <c r="M799" s="88">
        <v>600</v>
      </c>
      <c r="N799" s="77">
        <f>30</f>
        <v>30</v>
      </c>
      <c r="O799" s="80">
        <v>240</v>
      </c>
      <c r="P799" s="80">
        <v>40</v>
      </c>
      <c r="Q799" s="80">
        <f t="shared" si="129"/>
        <v>315</v>
      </c>
      <c r="R799" s="80">
        <f t="shared" si="130"/>
        <v>100</v>
      </c>
      <c r="S799" s="77">
        <f t="shared" si="131"/>
        <v>695</v>
      </c>
      <c r="T799" s="77">
        <f>0</f>
        <v>0</v>
      </c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</row>
    <row r="800" spans="1:30" ht="15.75" x14ac:dyDescent="0.25">
      <c r="A800" s="32">
        <v>65288</v>
      </c>
      <c r="B800" s="89">
        <f t="shared" si="132"/>
        <v>30</v>
      </c>
      <c r="C800" s="77">
        <f>194.205</f>
        <v>194.20500000000001</v>
      </c>
      <c r="D800" s="77">
        <f>267.466</f>
        <v>267.46600000000001</v>
      </c>
      <c r="E800" s="86">
        <f>133.845</f>
        <v>133.845</v>
      </c>
      <c r="F800" s="77">
        <f>278.484-40-25-60-100</f>
        <v>53.48399999999998</v>
      </c>
      <c r="G800" s="80">
        <v>40</v>
      </c>
      <c r="H800" s="77">
        <f t="shared" si="133"/>
        <v>185</v>
      </c>
      <c r="I800" s="77">
        <f t="shared" si="124"/>
        <v>0</v>
      </c>
      <c r="J800" s="80">
        <v>100</v>
      </c>
      <c r="K800" s="80">
        <v>300</v>
      </c>
      <c r="L800" s="77">
        <f t="shared" si="128"/>
        <v>1274</v>
      </c>
      <c r="M800" s="88">
        <v>600</v>
      </c>
      <c r="N800" s="77">
        <f>30</f>
        <v>30</v>
      </c>
      <c r="O800" s="80">
        <v>240</v>
      </c>
      <c r="P800" s="80">
        <v>40</v>
      </c>
      <c r="Q800" s="80">
        <f t="shared" si="129"/>
        <v>315</v>
      </c>
      <c r="R800" s="80">
        <f t="shared" si="130"/>
        <v>100</v>
      </c>
      <c r="S800" s="77">
        <f t="shared" si="131"/>
        <v>695</v>
      </c>
      <c r="T800" s="77">
        <f>0</f>
        <v>0</v>
      </c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</row>
    <row r="801" spans="1:30" ht="15.75" x14ac:dyDescent="0.25">
      <c r="A801" s="32">
        <v>65319</v>
      </c>
      <c r="B801" s="89">
        <f t="shared" si="132"/>
        <v>31</v>
      </c>
      <c r="C801" s="77">
        <f>131.881</f>
        <v>131.881</v>
      </c>
      <c r="D801" s="77">
        <f>277.167</f>
        <v>277.16699999999997</v>
      </c>
      <c r="E801" s="86">
        <f>79.08</f>
        <v>79.08</v>
      </c>
      <c r="F801" s="77">
        <f>350.872-40-25-60-100</f>
        <v>125.87200000000001</v>
      </c>
      <c r="G801" s="80">
        <v>40</v>
      </c>
      <c r="H801" s="77">
        <f t="shared" si="133"/>
        <v>185</v>
      </c>
      <c r="I801" s="77">
        <f t="shared" si="124"/>
        <v>0</v>
      </c>
      <c r="J801" s="80">
        <v>100</v>
      </c>
      <c r="K801" s="80">
        <v>300</v>
      </c>
      <c r="L801" s="77">
        <f t="shared" si="128"/>
        <v>1239</v>
      </c>
      <c r="M801" s="88">
        <v>600</v>
      </c>
      <c r="N801" s="77">
        <f>75</f>
        <v>75</v>
      </c>
      <c r="O801" s="80">
        <v>240</v>
      </c>
      <c r="P801" s="80">
        <v>40</v>
      </c>
      <c r="Q801" s="80">
        <f t="shared" si="129"/>
        <v>315</v>
      </c>
      <c r="R801" s="80">
        <f t="shared" si="130"/>
        <v>100</v>
      </c>
      <c r="S801" s="77">
        <f t="shared" si="131"/>
        <v>695</v>
      </c>
      <c r="T801" s="77">
        <f>0</f>
        <v>0</v>
      </c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</row>
    <row r="802" spans="1:30" ht="15.75" x14ac:dyDescent="0.25">
      <c r="A802" s="32">
        <v>65349</v>
      </c>
      <c r="B802" s="89">
        <f t="shared" si="132"/>
        <v>30</v>
      </c>
      <c r="C802" s="77">
        <f>122.58</f>
        <v>122.58</v>
      </c>
      <c r="D802" s="77">
        <f>297.941</f>
        <v>297.94099999999997</v>
      </c>
      <c r="E802" s="86">
        <f>89.177</f>
        <v>89.177000000000007</v>
      </c>
      <c r="F802" s="77">
        <f>240.302-40-60-100</f>
        <v>40.301999999999992</v>
      </c>
      <c r="G802" s="80">
        <v>40</v>
      </c>
      <c r="H802" s="77">
        <f>60+100</f>
        <v>160</v>
      </c>
      <c r="I802" s="77">
        <f t="shared" si="124"/>
        <v>0</v>
      </c>
      <c r="J802" s="80">
        <v>100</v>
      </c>
      <c r="K802" s="80">
        <v>300</v>
      </c>
      <c r="L802" s="77">
        <f t="shared" si="128"/>
        <v>1150</v>
      </c>
      <c r="M802" s="88">
        <v>600</v>
      </c>
      <c r="N802" s="77">
        <f>100</f>
        <v>100</v>
      </c>
      <c r="O802" s="80">
        <v>240</v>
      </c>
      <c r="P802" s="80">
        <v>40</v>
      </c>
      <c r="Q802" s="80">
        <f t="shared" si="129"/>
        <v>315</v>
      </c>
      <c r="R802" s="80">
        <f t="shared" si="130"/>
        <v>100</v>
      </c>
      <c r="S802" s="77">
        <f t="shared" si="131"/>
        <v>695</v>
      </c>
      <c r="T802" s="77">
        <f>50</f>
        <v>50</v>
      </c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</row>
    <row r="803" spans="1:30" ht="15.75" x14ac:dyDescent="0.25">
      <c r="A803" s="32">
        <v>65380</v>
      </c>
      <c r="B803" s="89">
        <f t="shared" si="132"/>
        <v>31</v>
      </c>
      <c r="C803" s="77">
        <f>122.58</f>
        <v>122.58</v>
      </c>
      <c r="D803" s="77">
        <f>297.941</f>
        <v>297.94099999999997</v>
      </c>
      <c r="E803" s="86">
        <f>89.177</f>
        <v>89.177000000000007</v>
      </c>
      <c r="F803" s="77">
        <f>240.302-40-60-100</f>
        <v>40.301999999999992</v>
      </c>
      <c r="G803" s="80">
        <v>40</v>
      </c>
      <c r="H803" s="77">
        <f>60+100</f>
        <v>160</v>
      </c>
      <c r="I803" s="77">
        <f t="shared" si="124"/>
        <v>0</v>
      </c>
      <c r="J803" s="80">
        <v>100</v>
      </c>
      <c r="K803" s="80">
        <v>300</v>
      </c>
      <c r="L803" s="77">
        <f t="shared" si="128"/>
        <v>1150</v>
      </c>
      <c r="M803" s="88">
        <v>600</v>
      </c>
      <c r="N803" s="77">
        <f>100</f>
        <v>100</v>
      </c>
      <c r="O803" s="80">
        <v>240</v>
      </c>
      <c r="P803" s="80">
        <v>40</v>
      </c>
      <c r="Q803" s="80">
        <f t="shared" si="129"/>
        <v>315</v>
      </c>
      <c r="R803" s="80">
        <f t="shared" si="130"/>
        <v>100</v>
      </c>
      <c r="S803" s="77">
        <f t="shared" si="131"/>
        <v>695</v>
      </c>
      <c r="T803" s="77">
        <f>50</f>
        <v>50</v>
      </c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</row>
    <row r="804" spans="1:30" ht="15.75" x14ac:dyDescent="0.25">
      <c r="A804" s="32">
        <v>65411</v>
      </c>
      <c r="B804" s="89">
        <f t="shared" si="132"/>
        <v>31</v>
      </c>
      <c r="C804" s="77">
        <f>122.58</f>
        <v>122.58</v>
      </c>
      <c r="D804" s="77">
        <f>297.941</f>
        <v>297.94099999999997</v>
      </c>
      <c r="E804" s="86">
        <f>89.177</f>
        <v>89.177000000000007</v>
      </c>
      <c r="F804" s="77">
        <f>240.302-40-60-100</f>
        <v>40.301999999999992</v>
      </c>
      <c r="G804" s="80">
        <v>40</v>
      </c>
      <c r="H804" s="77">
        <f>60+100</f>
        <v>160</v>
      </c>
      <c r="I804" s="77">
        <f t="shared" si="124"/>
        <v>0</v>
      </c>
      <c r="J804" s="80">
        <v>100</v>
      </c>
      <c r="K804" s="80">
        <v>300</v>
      </c>
      <c r="L804" s="77">
        <f t="shared" si="128"/>
        <v>1150</v>
      </c>
      <c r="M804" s="88">
        <v>600</v>
      </c>
      <c r="N804" s="77">
        <f>100</f>
        <v>100</v>
      </c>
      <c r="O804" s="80">
        <v>240</v>
      </c>
      <c r="P804" s="80">
        <v>40</v>
      </c>
      <c r="Q804" s="80">
        <f t="shared" si="129"/>
        <v>315</v>
      </c>
      <c r="R804" s="80">
        <f t="shared" si="130"/>
        <v>100</v>
      </c>
      <c r="S804" s="77">
        <f t="shared" si="131"/>
        <v>695</v>
      </c>
      <c r="T804" s="77">
        <f>50</f>
        <v>50</v>
      </c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</row>
    <row r="805" spans="1:30" ht="15.75" x14ac:dyDescent="0.25">
      <c r="A805" s="32">
        <v>65439</v>
      </c>
      <c r="B805" s="89">
        <f t="shared" si="132"/>
        <v>28</v>
      </c>
      <c r="C805" s="77">
        <f>122.58</f>
        <v>122.58</v>
      </c>
      <c r="D805" s="77">
        <f>297.941</f>
        <v>297.94099999999997</v>
      </c>
      <c r="E805" s="86">
        <f>89.177</f>
        <v>89.177000000000007</v>
      </c>
      <c r="F805" s="77">
        <f>240.302-40-60-100</f>
        <v>40.301999999999992</v>
      </c>
      <c r="G805" s="80">
        <v>40</v>
      </c>
      <c r="H805" s="77">
        <f>60+100</f>
        <v>160</v>
      </c>
      <c r="I805" s="77">
        <f t="shared" si="124"/>
        <v>0</v>
      </c>
      <c r="J805" s="80">
        <v>100</v>
      </c>
      <c r="K805" s="80">
        <v>300</v>
      </c>
      <c r="L805" s="77">
        <f t="shared" si="128"/>
        <v>1150</v>
      </c>
      <c r="M805" s="88">
        <v>600</v>
      </c>
      <c r="N805" s="77">
        <f>100</f>
        <v>100</v>
      </c>
      <c r="O805" s="80">
        <v>240</v>
      </c>
      <c r="P805" s="80">
        <v>40</v>
      </c>
      <c r="Q805" s="80">
        <f t="shared" si="129"/>
        <v>315</v>
      </c>
      <c r="R805" s="80">
        <f t="shared" si="130"/>
        <v>100</v>
      </c>
      <c r="S805" s="77">
        <f t="shared" si="131"/>
        <v>695</v>
      </c>
      <c r="T805" s="77">
        <f>50</f>
        <v>50</v>
      </c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</row>
    <row r="806" spans="1:30" ht="15.75" x14ac:dyDescent="0.25">
      <c r="A806" s="32">
        <v>65470</v>
      </c>
      <c r="B806" s="89">
        <f t="shared" si="132"/>
        <v>31</v>
      </c>
      <c r="C806" s="77">
        <f>122.58</f>
        <v>122.58</v>
      </c>
      <c r="D806" s="77">
        <f>297.941</f>
        <v>297.94099999999997</v>
      </c>
      <c r="E806" s="86">
        <f>89.177</f>
        <v>89.177000000000007</v>
      </c>
      <c r="F806" s="77">
        <f>240.302-40-60-100</f>
        <v>40.301999999999992</v>
      </c>
      <c r="G806" s="80">
        <v>40</v>
      </c>
      <c r="H806" s="77">
        <f>60+100</f>
        <v>160</v>
      </c>
      <c r="I806" s="77">
        <f t="shared" si="124"/>
        <v>0</v>
      </c>
      <c r="J806" s="80">
        <v>100</v>
      </c>
      <c r="K806" s="80">
        <v>300</v>
      </c>
      <c r="L806" s="77">
        <f t="shared" si="128"/>
        <v>1150</v>
      </c>
      <c r="M806" s="88">
        <v>600</v>
      </c>
      <c r="N806" s="77">
        <f>100</f>
        <v>100</v>
      </c>
      <c r="O806" s="80">
        <v>240</v>
      </c>
      <c r="P806" s="80">
        <v>40</v>
      </c>
      <c r="Q806" s="80">
        <f t="shared" si="129"/>
        <v>315</v>
      </c>
      <c r="R806" s="80">
        <f t="shared" si="130"/>
        <v>100</v>
      </c>
      <c r="S806" s="77">
        <f t="shared" si="131"/>
        <v>695</v>
      </c>
      <c r="T806" s="77">
        <f>50</f>
        <v>50</v>
      </c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</row>
    <row r="807" spans="1:30" ht="15.75" x14ac:dyDescent="0.25">
      <c r="A807" s="32">
        <v>65500</v>
      </c>
      <c r="B807" s="89">
        <f t="shared" si="132"/>
        <v>30</v>
      </c>
      <c r="C807" s="77">
        <f>141.293</f>
        <v>141.29300000000001</v>
      </c>
      <c r="D807" s="77">
        <f>267.993</f>
        <v>267.99299999999999</v>
      </c>
      <c r="E807" s="86">
        <f>115.016</f>
        <v>115.01600000000001</v>
      </c>
      <c r="F807" s="77">
        <f>314.698-40-25-60-100</f>
        <v>89.697999999999979</v>
      </c>
      <c r="G807" s="80">
        <v>40</v>
      </c>
      <c r="H807" s="77">
        <f t="shared" ref="H807:H813" si="134">25+60+100</f>
        <v>185</v>
      </c>
      <c r="I807" s="77">
        <f t="shared" si="124"/>
        <v>0</v>
      </c>
      <c r="J807" s="80">
        <v>100</v>
      </c>
      <c r="K807" s="80">
        <v>300</v>
      </c>
      <c r="L807" s="77">
        <f t="shared" si="128"/>
        <v>1239</v>
      </c>
      <c r="M807" s="88">
        <v>600</v>
      </c>
      <c r="N807" s="77">
        <f>100</f>
        <v>100</v>
      </c>
      <c r="O807" s="80">
        <v>240</v>
      </c>
      <c r="P807" s="80">
        <v>40</v>
      </c>
      <c r="Q807" s="80">
        <f t="shared" si="129"/>
        <v>315</v>
      </c>
      <c r="R807" s="80">
        <f t="shared" si="130"/>
        <v>100</v>
      </c>
      <c r="S807" s="77">
        <f t="shared" si="131"/>
        <v>695</v>
      </c>
      <c r="T807" s="77">
        <f>50</f>
        <v>50</v>
      </c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</row>
    <row r="808" spans="1:30" ht="15.75" x14ac:dyDescent="0.25">
      <c r="A808" s="32">
        <v>65531</v>
      </c>
      <c r="B808" s="89">
        <f t="shared" si="132"/>
        <v>31</v>
      </c>
      <c r="C808" s="77">
        <f>194.205</f>
        <v>194.20500000000001</v>
      </c>
      <c r="D808" s="77">
        <f>267.466</f>
        <v>267.46600000000001</v>
      </c>
      <c r="E808" s="86">
        <f>133.845</f>
        <v>133.845</v>
      </c>
      <c r="F808" s="77">
        <f>278.484-40-25-60-100</f>
        <v>53.48399999999998</v>
      </c>
      <c r="G808" s="80">
        <v>40</v>
      </c>
      <c r="H808" s="77">
        <f t="shared" si="134"/>
        <v>185</v>
      </c>
      <c r="I808" s="77">
        <f t="shared" si="124"/>
        <v>0</v>
      </c>
      <c r="J808" s="80">
        <v>100</v>
      </c>
      <c r="K808" s="80">
        <v>300</v>
      </c>
      <c r="L808" s="77">
        <f t="shared" si="128"/>
        <v>1274</v>
      </c>
      <c r="M808" s="88">
        <v>600</v>
      </c>
      <c r="N808" s="77">
        <f>75</f>
        <v>75</v>
      </c>
      <c r="O808" s="80">
        <v>240</v>
      </c>
      <c r="P808" s="80">
        <v>40</v>
      </c>
      <c r="Q808" s="80">
        <f t="shared" si="129"/>
        <v>315</v>
      </c>
      <c r="R808" s="80">
        <f t="shared" si="130"/>
        <v>100</v>
      </c>
      <c r="S808" s="77">
        <f t="shared" si="131"/>
        <v>695</v>
      </c>
      <c r="T808" s="77">
        <f>50</f>
        <v>50</v>
      </c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</row>
    <row r="809" spans="1:30" ht="15.75" x14ac:dyDescent="0.25">
      <c r="A809" s="32">
        <v>65561</v>
      </c>
      <c r="B809" s="89">
        <f t="shared" si="132"/>
        <v>30</v>
      </c>
      <c r="C809" s="77">
        <f>194.205</f>
        <v>194.20500000000001</v>
      </c>
      <c r="D809" s="77">
        <f>267.466</f>
        <v>267.46600000000001</v>
      </c>
      <c r="E809" s="86">
        <f>133.845</f>
        <v>133.845</v>
      </c>
      <c r="F809" s="77">
        <f>278.484-40-25-60-100</f>
        <v>53.48399999999998</v>
      </c>
      <c r="G809" s="80">
        <v>40</v>
      </c>
      <c r="H809" s="77">
        <f t="shared" si="134"/>
        <v>185</v>
      </c>
      <c r="I809" s="77">
        <f t="shared" si="124"/>
        <v>0</v>
      </c>
      <c r="J809" s="80">
        <v>100</v>
      </c>
      <c r="K809" s="80">
        <v>300</v>
      </c>
      <c r="L809" s="77">
        <f t="shared" si="128"/>
        <v>1274</v>
      </c>
      <c r="M809" s="88">
        <v>600</v>
      </c>
      <c r="N809" s="77">
        <f>30</f>
        <v>30</v>
      </c>
      <c r="O809" s="80">
        <v>240</v>
      </c>
      <c r="P809" s="80">
        <v>40</v>
      </c>
      <c r="Q809" s="80">
        <f t="shared" si="129"/>
        <v>315</v>
      </c>
      <c r="R809" s="80">
        <f t="shared" si="130"/>
        <v>100</v>
      </c>
      <c r="S809" s="77">
        <f t="shared" si="131"/>
        <v>695</v>
      </c>
      <c r="T809" s="77">
        <f>50</f>
        <v>50</v>
      </c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</row>
    <row r="810" spans="1:30" ht="15.75" x14ac:dyDescent="0.25">
      <c r="A810" s="32">
        <v>65592</v>
      </c>
      <c r="B810" s="89">
        <f t="shared" si="132"/>
        <v>31</v>
      </c>
      <c r="C810" s="77">
        <f>194.205</f>
        <v>194.20500000000001</v>
      </c>
      <c r="D810" s="77">
        <f>267.466</f>
        <v>267.46600000000001</v>
      </c>
      <c r="E810" s="86">
        <f>133.845</f>
        <v>133.845</v>
      </c>
      <c r="F810" s="77">
        <f>278.484-40-25-60-100</f>
        <v>53.48399999999998</v>
      </c>
      <c r="G810" s="80">
        <v>40</v>
      </c>
      <c r="H810" s="77">
        <f t="shared" si="134"/>
        <v>185</v>
      </c>
      <c r="I810" s="77">
        <f t="shared" si="124"/>
        <v>0</v>
      </c>
      <c r="J810" s="80">
        <v>100</v>
      </c>
      <c r="K810" s="80">
        <v>300</v>
      </c>
      <c r="L810" s="77">
        <f t="shared" si="128"/>
        <v>1274</v>
      </c>
      <c r="M810" s="88">
        <v>600</v>
      </c>
      <c r="N810" s="77">
        <f>30</f>
        <v>30</v>
      </c>
      <c r="O810" s="80">
        <v>240</v>
      </c>
      <c r="P810" s="80">
        <v>40</v>
      </c>
      <c r="Q810" s="80">
        <f t="shared" si="129"/>
        <v>315</v>
      </c>
      <c r="R810" s="80">
        <f t="shared" si="130"/>
        <v>100</v>
      </c>
      <c r="S810" s="77">
        <f t="shared" si="131"/>
        <v>695</v>
      </c>
      <c r="T810" s="77">
        <f>0</f>
        <v>0</v>
      </c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</row>
    <row r="811" spans="1:30" ht="15.75" x14ac:dyDescent="0.25">
      <c r="A811" s="32">
        <v>65623</v>
      </c>
      <c r="B811" s="89">
        <f t="shared" si="132"/>
        <v>31</v>
      </c>
      <c r="C811" s="77">
        <f>194.205</f>
        <v>194.20500000000001</v>
      </c>
      <c r="D811" s="77">
        <f>267.466</f>
        <v>267.46600000000001</v>
      </c>
      <c r="E811" s="86">
        <f>133.845</f>
        <v>133.845</v>
      </c>
      <c r="F811" s="77">
        <f>278.484-40-25-60-100</f>
        <v>53.48399999999998</v>
      </c>
      <c r="G811" s="80">
        <v>40</v>
      </c>
      <c r="H811" s="77">
        <f t="shared" si="134"/>
        <v>185</v>
      </c>
      <c r="I811" s="77">
        <f t="shared" si="124"/>
        <v>0</v>
      </c>
      <c r="J811" s="80">
        <v>100</v>
      </c>
      <c r="K811" s="80">
        <v>300</v>
      </c>
      <c r="L811" s="77">
        <f t="shared" si="128"/>
        <v>1274</v>
      </c>
      <c r="M811" s="88">
        <v>600</v>
      </c>
      <c r="N811" s="77">
        <f>30</f>
        <v>30</v>
      </c>
      <c r="O811" s="80">
        <v>240</v>
      </c>
      <c r="P811" s="80">
        <v>40</v>
      </c>
      <c r="Q811" s="80">
        <f t="shared" si="129"/>
        <v>315</v>
      </c>
      <c r="R811" s="80">
        <f t="shared" si="130"/>
        <v>100</v>
      </c>
      <c r="S811" s="77">
        <f t="shared" si="131"/>
        <v>695</v>
      </c>
      <c r="T811" s="77">
        <f>0</f>
        <v>0</v>
      </c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</row>
    <row r="812" spans="1:30" ht="15.75" x14ac:dyDescent="0.25">
      <c r="A812" s="32">
        <v>65653</v>
      </c>
      <c r="B812" s="89">
        <f t="shared" si="132"/>
        <v>30</v>
      </c>
      <c r="C812" s="77">
        <f>194.205</f>
        <v>194.20500000000001</v>
      </c>
      <c r="D812" s="77">
        <f>267.466</f>
        <v>267.46600000000001</v>
      </c>
      <c r="E812" s="86">
        <f>133.845</f>
        <v>133.845</v>
      </c>
      <c r="F812" s="77">
        <f>278.484-40-25-60-100</f>
        <v>53.48399999999998</v>
      </c>
      <c r="G812" s="80">
        <v>40</v>
      </c>
      <c r="H812" s="77">
        <f t="shared" si="134"/>
        <v>185</v>
      </c>
      <c r="I812" s="77">
        <f t="shared" si="124"/>
        <v>0</v>
      </c>
      <c r="J812" s="80">
        <v>100</v>
      </c>
      <c r="K812" s="80">
        <v>300</v>
      </c>
      <c r="L812" s="77">
        <f t="shared" si="128"/>
        <v>1274</v>
      </c>
      <c r="M812" s="88">
        <v>600</v>
      </c>
      <c r="N812" s="77">
        <f>30</f>
        <v>30</v>
      </c>
      <c r="O812" s="80">
        <v>240</v>
      </c>
      <c r="P812" s="80">
        <v>40</v>
      </c>
      <c r="Q812" s="80">
        <f t="shared" si="129"/>
        <v>315</v>
      </c>
      <c r="R812" s="80">
        <f t="shared" si="130"/>
        <v>100</v>
      </c>
      <c r="S812" s="77">
        <f t="shared" si="131"/>
        <v>695</v>
      </c>
      <c r="T812" s="77">
        <f>0</f>
        <v>0</v>
      </c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</row>
    <row r="813" spans="1:30" ht="15.75" x14ac:dyDescent="0.25">
      <c r="A813" s="32">
        <v>65684</v>
      </c>
      <c r="B813" s="89">
        <f t="shared" si="132"/>
        <v>31</v>
      </c>
      <c r="C813" s="77">
        <f>131.881</f>
        <v>131.881</v>
      </c>
      <c r="D813" s="77">
        <f>277.167</f>
        <v>277.16699999999997</v>
      </c>
      <c r="E813" s="86">
        <f>79.08</f>
        <v>79.08</v>
      </c>
      <c r="F813" s="77">
        <f>350.872-40-25-60-100</f>
        <v>125.87200000000001</v>
      </c>
      <c r="G813" s="80">
        <v>40</v>
      </c>
      <c r="H813" s="77">
        <f t="shared" si="134"/>
        <v>185</v>
      </c>
      <c r="I813" s="77">
        <f t="shared" si="124"/>
        <v>0</v>
      </c>
      <c r="J813" s="80">
        <v>100</v>
      </c>
      <c r="K813" s="80">
        <v>300</v>
      </c>
      <c r="L813" s="77">
        <f t="shared" si="128"/>
        <v>1239</v>
      </c>
      <c r="M813" s="88">
        <v>600</v>
      </c>
      <c r="N813" s="77">
        <f>75</f>
        <v>75</v>
      </c>
      <c r="O813" s="80">
        <v>240</v>
      </c>
      <c r="P813" s="80">
        <v>40</v>
      </c>
      <c r="Q813" s="80">
        <f t="shared" si="129"/>
        <v>315</v>
      </c>
      <c r="R813" s="80">
        <f t="shared" si="130"/>
        <v>100</v>
      </c>
      <c r="S813" s="77">
        <f t="shared" si="131"/>
        <v>695</v>
      </c>
      <c r="T813" s="77">
        <f>0</f>
        <v>0</v>
      </c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</row>
    <row r="814" spans="1:30" ht="15.75" x14ac:dyDescent="0.25">
      <c r="A814" s="32">
        <v>65714</v>
      </c>
      <c r="B814" s="89">
        <f t="shared" si="132"/>
        <v>30</v>
      </c>
      <c r="C814" s="77">
        <f>122.58</f>
        <v>122.58</v>
      </c>
      <c r="D814" s="77">
        <f>297.941</f>
        <v>297.94099999999997</v>
      </c>
      <c r="E814" s="86">
        <f>89.177</f>
        <v>89.177000000000007</v>
      </c>
      <c r="F814" s="77">
        <f>240.302-40-60-100</f>
        <v>40.301999999999992</v>
      </c>
      <c r="G814" s="80">
        <v>40</v>
      </c>
      <c r="H814" s="77">
        <f>60+100</f>
        <v>160</v>
      </c>
      <c r="I814" s="77">
        <f t="shared" si="124"/>
        <v>0</v>
      </c>
      <c r="J814" s="80">
        <v>100</v>
      </c>
      <c r="K814" s="80">
        <v>300</v>
      </c>
      <c r="L814" s="77">
        <f t="shared" si="128"/>
        <v>1150</v>
      </c>
      <c r="M814" s="88">
        <v>600</v>
      </c>
      <c r="N814" s="77">
        <f>100</f>
        <v>100</v>
      </c>
      <c r="O814" s="80">
        <v>240</v>
      </c>
      <c r="P814" s="80">
        <v>40</v>
      </c>
      <c r="Q814" s="80">
        <f t="shared" si="129"/>
        <v>315</v>
      </c>
      <c r="R814" s="80">
        <f t="shared" si="130"/>
        <v>100</v>
      </c>
      <c r="S814" s="77">
        <f t="shared" si="131"/>
        <v>695</v>
      </c>
      <c r="T814" s="77">
        <f>50</f>
        <v>50</v>
      </c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</row>
    <row r="815" spans="1:30" ht="15.75" x14ac:dyDescent="0.25">
      <c r="A815" s="32">
        <v>65745</v>
      </c>
      <c r="B815" s="89">
        <f t="shared" si="132"/>
        <v>31</v>
      </c>
      <c r="C815" s="77">
        <f>122.58</f>
        <v>122.58</v>
      </c>
      <c r="D815" s="77">
        <f>297.941</f>
        <v>297.94099999999997</v>
      </c>
      <c r="E815" s="86">
        <f>89.177</f>
        <v>89.177000000000007</v>
      </c>
      <c r="F815" s="77">
        <f>240.302-40-60-100</f>
        <v>40.301999999999992</v>
      </c>
      <c r="G815" s="80">
        <v>40</v>
      </c>
      <c r="H815" s="77">
        <f>60+100</f>
        <v>160</v>
      </c>
      <c r="I815" s="77">
        <f t="shared" si="124"/>
        <v>0</v>
      </c>
      <c r="J815" s="80">
        <v>100</v>
      </c>
      <c r="K815" s="80">
        <v>300</v>
      </c>
      <c r="L815" s="77">
        <f t="shared" si="128"/>
        <v>1150</v>
      </c>
      <c r="M815" s="88">
        <v>600</v>
      </c>
      <c r="N815" s="77">
        <f>100</f>
        <v>100</v>
      </c>
      <c r="O815" s="80">
        <v>240</v>
      </c>
      <c r="P815" s="80">
        <v>40</v>
      </c>
      <c r="Q815" s="80">
        <f t="shared" si="129"/>
        <v>315</v>
      </c>
      <c r="R815" s="80">
        <f t="shared" si="130"/>
        <v>100</v>
      </c>
      <c r="S815" s="77">
        <f t="shared" si="131"/>
        <v>695</v>
      </c>
      <c r="T815" s="77">
        <f>50</f>
        <v>50</v>
      </c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</row>
    <row r="816" spans="1:30" ht="15.75" x14ac:dyDescent="0.25">
      <c r="A816" s="32">
        <v>65776</v>
      </c>
      <c r="B816" s="89">
        <f t="shared" si="132"/>
        <v>31</v>
      </c>
      <c r="C816" s="77">
        <f>122.58</f>
        <v>122.58</v>
      </c>
      <c r="D816" s="77">
        <f>297.941</f>
        <v>297.94099999999997</v>
      </c>
      <c r="E816" s="86">
        <f>89.177</f>
        <v>89.177000000000007</v>
      </c>
      <c r="F816" s="77">
        <f>240.302-40-60-100</f>
        <v>40.301999999999992</v>
      </c>
      <c r="G816" s="80">
        <v>40</v>
      </c>
      <c r="H816" s="77">
        <f>60+100</f>
        <v>160</v>
      </c>
      <c r="I816" s="77">
        <f t="shared" si="124"/>
        <v>0</v>
      </c>
      <c r="J816" s="80">
        <v>100</v>
      </c>
      <c r="K816" s="80">
        <v>300</v>
      </c>
      <c r="L816" s="77">
        <f t="shared" si="128"/>
        <v>1150</v>
      </c>
      <c r="M816" s="88">
        <v>600</v>
      </c>
      <c r="N816" s="77">
        <f>100</f>
        <v>100</v>
      </c>
      <c r="O816" s="80">
        <v>240</v>
      </c>
      <c r="P816" s="80">
        <v>40</v>
      </c>
      <c r="Q816" s="80">
        <f t="shared" si="129"/>
        <v>315</v>
      </c>
      <c r="R816" s="80">
        <f t="shared" si="130"/>
        <v>100</v>
      </c>
      <c r="S816" s="77">
        <f t="shared" si="131"/>
        <v>695</v>
      </c>
      <c r="T816" s="77">
        <f>50</f>
        <v>50</v>
      </c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</row>
    <row r="817" spans="1:30" ht="15.75" x14ac:dyDescent="0.25">
      <c r="A817" s="32">
        <v>65805</v>
      </c>
      <c r="B817" s="89">
        <f t="shared" si="132"/>
        <v>29</v>
      </c>
      <c r="C817" s="77">
        <f>122.58</f>
        <v>122.58</v>
      </c>
      <c r="D817" s="77">
        <f>297.941</f>
        <v>297.94099999999997</v>
      </c>
      <c r="E817" s="86">
        <f>89.177</f>
        <v>89.177000000000007</v>
      </c>
      <c r="F817" s="77">
        <f>240.302-40-60-100</f>
        <v>40.301999999999992</v>
      </c>
      <c r="G817" s="80">
        <v>40</v>
      </c>
      <c r="H817" s="77">
        <f>60+100</f>
        <v>160</v>
      </c>
      <c r="I817" s="77">
        <f t="shared" si="124"/>
        <v>0</v>
      </c>
      <c r="J817" s="80">
        <v>100</v>
      </c>
      <c r="K817" s="80">
        <v>300</v>
      </c>
      <c r="L817" s="77">
        <f t="shared" si="128"/>
        <v>1150</v>
      </c>
      <c r="M817" s="88">
        <v>600</v>
      </c>
      <c r="N817" s="77">
        <f>100</f>
        <v>100</v>
      </c>
      <c r="O817" s="80">
        <v>240</v>
      </c>
      <c r="P817" s="80">
        <v>40</v>
      </c>
      <c r="Q817" s="80">
        <f t="shared" si="129"/>
        <v>315</v>
      </c>
      <c r="R817" s="80">
        <f t="shared" si="130"/>
        <v>100</v>
      </c>
      <c r="S817" s="77">
        <f t="shared" si="131"/>
        <v>695</v>
      </c>
      <c r="T817" s="77">
        <f>50</f>
        <v>50</v>
      </c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</row>
    <row r="818" spans="1:30" ht="15.75" x14ac:dyDescent="0.25">
      <c r="A818" s="32">
        <v>65836</v>
      </c>
      <c r="B818" s="89">
        <f t="shared" si="132"/>
        <v>31</v>
      </c>
      <c r="C818" s="77">
        <f>122.58</f>
        <v>122.58</v>
      </c>
      <c r="D818" s="77">
        <f>297.941</f>
        <v>297.94099999999997</v>
      </c>
      <c r="E818" s="86">
        <f>89.177</f>
        <v>89.177000000000007</v>
      </c>
      <c r="F818" s="77">
        <f>240.302-40-60-100</f>
        <v>40.301999999999992</v>
      </c>
      <c r="G818" s="80">
        <v>40</v>
      </c>
      <c r="H818" s="77">
        <f>60+100</f>
        <v>160</v>
      </c>
      <c r="I818" s="77">
        <f t="shared" si="124"/>
        <v>0</v>
      </c>
      <c r="J818" s="80">
        <v>100</v>
      </c>
      <c r="K818" s="80">
        <v>300</v>
      </c>
      <c r="L818" s="77">
        <f t="shared" si="128"/>
        <v>1150</v>
      </c>
      <c r="M818" s="88">
        <v>600</v>
      </c>
      <c r="N818" s="77">
        <f>100</f>
        <v>100</v>
      </c>
      <c r="O818" s="80">
        <v>240</v>
      </c>
      <c r="P818" s="80">
        <v>40</v>
      </c>
      <c r="Q818" s="80">
        <f t="shared" si="129"/>
        <v>315</v>
      </c>
      <c r="R818" s="80">
        <f t="shared" si="130"/>
        <v>100</v>
      </c>
      <c r="S818" s="77">
        <f t="shared" si="131"/>
        <v>695</v>
      </c>
      <c r="T818" s="77">
        <f>50</f>
        <v>50</v>
      </c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</row>
    <row r="819" spans="1:30" ht="15.75" x14ac:dyDescent="0.25">
      <c r="A819" s="32">
        <v>65866</v>
      </c>
      <c r="B819" s="89">
        <f t="shared" si="132"/>
        <v>30</v>
      </c>
      <c r="C819" s="77">
        <f>141.293</f>
        <v>141.29300000000001</v>
      </c>
      <c r="D819" s="77">
        <f>267.993</f>
        <v>267.99299999999999</v>
      </c>
      <c r="E819" s="86">
        <f>115.016</f>
        <v>115.01600000000001</v>
      </c>
      <c r="F819" s="77">
        <f>314.698-40-25-60-100</f>
        <v>89.697999999999979</v>
      </c>
      <c r="G819" s="80">
        <v>40</v>
      </c>
      <c r="H819" s="77">
        <f t="shared" ref="H819:H825" si="135">25+60+100</f>
        <v>185</v>
      </c>
      <c r="I819" s="77">
        <f t="shared" si="124"/>
        <v>0</v>
      </c>
      <c r="J819" s="80">
        <v>100</v>
      </c>
      <c r="K819" s="80">
        <v>300</v>
      </c>
      <c r="L819" s="77">
        <f t="shared" si="128"/>
        <v>1239</v>
      </c>
      <c r="M819" s="88">
        <v>600</v>
      </c>
      <c r="N819" s="77">
        <f>100</f>
        <v>100</v>
      </c>
      <c r="O819" s="80">
        <v>240</v>
      </c>
      <c r="P819" s="80">
        <v>40</v>
      </c>
      <c r="Q819" s="80">
        <f t="shared" si="129"/>
        <v>315</v>
      </c>
      <c r="R819" s="80">
        <f t="shared" si="130"/>
        <v>100</v>
      </c>
      <c r="S819" s="77">
        <f t="shared" si="131"/>
        <v>695</v>
      </c>
      <c r="T819" s="77">
        <f>50</f>
        <v>50</v>
      </c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</row>
    <row r="820" spans="1:30" ht="15.75" x14ac:dyDescent="0.25">
      <c r="A820" s="32">
        <v>65897</v>
      </c>
      <c r="B820" s="89">
        <f t="shared" si="132"/>
        <v>31</v>
      </c>
      <c r="C820" s="77">
        <f>194.205</f>
        <v>194.20500000000001</v>
      </c>
      <c r="D820" s="77">
        <f>267.466</f>
        <v>267.46600000000001</v>
      </c>
      <c r="E820" s="86">
        <f>133.845</f>
        <v>133.845</v>
      </c>
      <c r="F820" s="77">
        <f>278.484-40-25-60-100</f>
        <v>53.48399999999998</v>
      </c>
      <c r="G820" s="80">
        <v>40</v>
      </c>
      <c r="H820" s="77">
        <f t="shared" si="135"/>
        <v>185</v>
      </c>
      <c r="I820" s="77">
        <f t="shared" ref="I820:I883" si="136">400-J820-K820</f>
        <v>0</v>
      </c>
      <c r="J820" s="80">
        <v>100</v>
      </c>
      <c r="K820" s="80">
        <v>300</v>
      </c>
      <c r="L820" s="77">
        <f t="shared" si="128"/>
        <v>1274</v>
      </c>
      <c r="M820" s="88">
        <v>600</v>
      </c>
      <c r="N820" s="77">
        <f>75</f>
        <v>75</v>
      </c>
      <c r="O820" s="80">
        <v>240</v>
      </c>
      <c r="P820" s="80">
        <v>40</v>
      </c>
      <c r="Q820" s="80">
        <f t="shared" si="129"/>
        <v>315</v>
      </c>
      <c r="R820" s="80">
        <f t="shared" si="130"/>
        <v>100</v>
      </c>
      <c r="S820" s="77">
        <f t="shared" si="131"/>
        <v>695</v>
      </c>
      <c r="T820" s="77">
        <f>50</f>
        <v>50</v>
      </c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</row>
    <row r="821" spans="1:30" ht="15.75" x14ac:dyDescent="0.25">
      <c r="A821" s="32">
        <v>65927</v>
      </c>
      <c r="B821" s="89">
        <f t="shared" si="132"/>
        <v>30</v>
      </c>
      <c r="C821" s="77">
        <f>194.205</f>
        <v>194.20500000000001</v>
      </c>
      <c r="D821" s="77">
        <f>267.466</f>
        <v>267.46600000000001</v>
      </c>
      <c r="E821" s="86">
        <f>133.845</f>
        <v>133.845</v>
      </c>
      <c r="F821" s="77">
        <f>278.484-40-25-60-100</f>
        <v>53.48399999999998</v>
      </c>
      <c r="G821" s="80">
        <v>40</v>
      </c>
      <c r="H821" s="77">
        <f t="shared" si="135"/>
        <v>185</v>
      </c>
      <c r="I821" s="77">
        <f t="shared" si="136"/>
        <v>0</v>
      </c>
      <c r="J821" s="80">
        <v>100</v>
      </c>
      <c r="K821" s="80">
        <v>300</v>
      </c>
      <c r="L821" s="77">
        <f t="shared" si="128"/>
        <v>1274</v>
      </c>
      <c r="M821" s="88">
        <v>600</v>
      </c>
      <c r="N821" s="77">
        <f>30</f>
        <v>30</v>
      </c>
      <c r="O821" s="80">
        <v>240</v>
      </c>
      <c r="P821" s="80">
        <v>40</v>
      </c>
      <c r="Q821" s="80">
        <f t="shared" si="129"/>
        <v>315</v>
      </c>
      <c r="R821" s="80">
        <f t="shared" si="130"/>
        <v>100</v>
      </c>
      <c r="S821" s="77">
        <f t="shared" si="131"/>
        <v>695</v>
      </c>
      <c r="T821" s="77">
        <f>50</f>
        <v>50</v>
      </c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</row>
    <row r="822" spans="1:30" ht="15.75" x14ac:dyDescent="0.25">
      <c r="A822" s="32">
        <v>65958</v>
      </c>
      <c r="B822" s="89">
        <f t="shared" si="132"/>
        <v>31</v>
      </c>
      <c r="C822" s="77">
        <f>194.205</f>
        <v>194.20500000000001</v>
      </c>
      <c r="D822" s="77">
        <f>267.466</f>
        <v>267.46600000000001</v>
      </c>
      <c r="E822" s="86">
        <f>133.845</f>
        <v>133.845</v>
      </c>
      <c r="F822" s="77">
        <f>278.484-40-25-60-100</f>
        <v>53.48399999999998</v>
      </c>
      <c r="G822" s="80">
        <v>40</v>
      </c>
      <c r="H822" s="77">
        <f t="shared" si="135"/>
        <v>185</v>
      </c>
      <c r="I822" s="77">
        <f t="shared" si="136"/>
        <v>0</v>
      </c>
      <c r="J822" s="80">
        <v>100</v>
      </c>
      <c r="K822" s="80">
        <v>300</v>
      </c>
      <c r="L822" s="77">
        <f t="shared" si="128"/>
        <v>1274</v>
      </c>
      <c r="M822" s="88">
        <v>600</v>
      </c>
      <c r="N822" s="77">
        <f>30</f>
        <v>30</v>
      </c>
      <c r="O822" s="80">
        <v>240</v>
      </c>
      <c r="P822" s="80">
        <v>40</v>
      </c>
      <c r="Q822" s="80">
        <f t="shared" si="129"/>
        <v>315</v>
      </c>
      <c r="R822" s="80">
        <f t="shared" si="130"/>
        <v>100</v>
      </c>
      <c r="S822" s="77">
        <f t="shared" si="131"/>
        <v>695</v>
      </c>
      <c r="T822" s="77">
        <f>0</f>
        <v>0</v>
      </c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</row>
    <row r="823" spans="1:30" ht="15.75" x14ac:dyDescent="0.25">
      <c r="A823" s="32">
        <v>65989</v>
      </c>
      <c r="B823" s="89">
        <f t="shared" si="132"/>
        <v>31</v>
      </c>
      <c r="C823" s="77">
        <f>194.205</f>
        <v>194.20500000000001</v>
      </c>
      <c r="D823" s="77">
        <f>267.466</f>
        <v>267.46600000000001</v>
      </c>
      <c r="E823" s="86">
        <f>133.845</f>
        <v>133.845</v>
      </c>
      <c r="F823" s="77">
        <f>278.484-40-25-60-100</f>
        <v>53.48399999999998</v>
      </c>
      <c r="G823" s="80">
        <v>40</v>
      </c>
      <c r="H823" s="77">
        <f t="shared" si="135"/>
        <v>185</v>
      </c>
      <c r="I823" s="77">
        <f t="shared" si="136"/>
        <v>0</v>
      </c>
      <c r="J823" s="80">
        <v>100</v>
      </c>
      <c r="K823" s="80">
        <v>300</v>
      </c>
      <c r="L823" s="77">
        <f t="shared" si="128"/>
        <v>1274</v>
      </c>
      <c r="M823" s="88">
        <v>600</v>
      </c>
      <c r="N823" s="77">
        <f>30</f>
        <v>30</v>
      </c>
      <c r="O823" s="80">
        <v>240</v>
      </c>
      <c r="P823" s="80">
        <v>40</v>
      </c>
      <c r="Q823" s="80">
        <f t="shared" si="129"/>
        <v>315</v>
      </c>
      <c r="R823" s="80">
        <f t="shared" si="130"/>
        <v>100</v>
      </c>
      <c r="S823" s="77">
        <f t="shared" si="131"/>
        <v>695</v>
      </c>
      <c r="T823" s="77">
        <f>0</f>
        <v>0</v>
      </c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</row>
    <row r="824" spans="1:30" ht="15.75" x14ac:dyDescent="0.25">
      <c r="A824" s="32">
        <v>66019</v>
      </c>
      <c r="B824" s="89">
        <f t="shared" si="132"/>
        <v>30</v>
      </c>
      <c r="C824" s="77">
        <f>194.205</f>
        <v>194.20500000000001</v>
      </c>
      <c r="D824" s="77">
        <f>267.466</f>
        <v>267.46600000000001</v>
      </c>
      <c r="E824" s="86">
        <f>133.845</f>
        <v>133.845</v>
      </c>
      <c r="F824" s="77">
        <f>278.484-40-25-60-100</f>
        <v>53.48399999999998</v>
      </c>
      <c r="G824" s="80">
        <v>40</v>
      </c>
      <c r="H824" s="77">
        <f t="shared" si="135"/>
        <v>185</v>
      </c>
      <c r="I824" s="77">
        <f t="shared" si="136"/>
        <v>0</v>
      </c>
      <c r="J824" s="80">
        <v>100</v>
      </c>
      <c r="K824" s="80">
        <v>300</v>
      </c>
      <c r="L824" s="77">
        <f t="shared" si="128"/>
        <v>1274</v>
      </c>
      <c r="M824" s="88">
        <v>600</v>
      </c>
      <c r="N824" s="77">
        <f>30</f>
        <v>30</v>
      </c>
      <c r="O824" s="80">
        <v>240</v>
      </c>
      <c r="P824" s="80">
        <v>40</v>
      </c>
      <c r="Q824" s="80">
        <f t="shared" si="129"/>
        <v>315</v>
      </c>
      <c r="R824" s="80">
        <f t="shared" si="130"/>
        <v>100</v>
      </c>
      <c r="S824" s="77">
        <f t="shared" si="131"/>
        <v>695</v>
      </c>
      <c r="T824" s="77">
        <f>0</f>
        <v>0</v>
      </c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</row>
    <row r="825" spans="1:30" ht="15.75" x14ac:dyDescent="0.25">
      <c r="A825" s="32">
        <v>66050</v>
      </c>
      <c r="B825" s="89">
        <f t="shared" si="132"/>
        <v>31</v>
      </c>
      <c r="C825" s="77">
        <f>131.881</f>
        <v>131.881</v>
      </c>
      <c r="D825" s="77">
        <f>277.167</f>
        <v>277.16699999999997</v>
      </c>
      <c r="E825" s="86">
        <f>79.08</f>
        <v>79.08</v>
      </c>
      <c r="F825" s="77">
        <f>350.872-40-25-60-100</f>
        <v>125.87200000000001</v>
      </c>
      <c r="G825" s="80">
        <v>40</v>
      </c>
      <c r="H825" s="77">
        <f t="shared" si="135"/>
        <v>185</v>
      </c>
      <c r="I825" s="77">
        <f t="shared" si="136"/>
        <v>0</v>
      </c>
      <c r="J825" s="80">
        <v>100</v>
      </c>
      <c r="K825" s="80">
        <v>300</v>
      </c>
      <c r="L825" s="77">
        <f t="shared" si="128"/>
        <v>1239</v>
      </c>
      <c r="M825" s="88">
        <v>600</v>
      </c>
      <c r="N825" s="77">
        <f>75</f>
        <v>75</v>
      </c>
      <c r="O825" s="80">
        <v>240</v>
      </c>
      <c r="P825" s="80">
        <v>40</v>
      </c>
      <c r="Q825" s="80">
        <f t="shared" si="129"/>
        <v>315</v>
      </c>
      <c r="R825" s="80">
        <f t="shared" si="130"/>
        <v>100</v>
      </c>
      <c r="S825" s="77">
        <f t="shared" si="131"/>
        <v>695</v>
      </c>
      <c r="T825" s="77">
        <f>0</f>
        <v>0</v>
      </c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</row>
    <row r="826" spans="1:30" ht="15.75" x14ac:dyDescent="0.25">
      <c r="A826" s="32">
        <v>66080</v>
      </c>
      <c r="B826" s="89">
        <f t="shared" si="132"/>
        <v>30</v>
      </c>
      <c r="C826" s="77">
        <f>122.58</f>
        <v>122.58</v>
      </c>
      <c r="D826" s="77">
        <f>297.941</f>
        <v>297.94099999999997</v>
      </c>
      <c r="E826" s="86">
        <f>89.177</f>
        <v>89.177000000000007</v>
      </c>
      <c r="F826" s="77">
        <f>240.302-40-60-100</f>
        <v>40.301999999999992</v>
      </c>
      <c r="G826" s="80">
        <v>40</v>
      </c>
      <c r="H826" s="77">
        <f>60+100</f>
        <v>160</v>
      </c>
      <c r="I826" s="77">
        <f t="shared" si="136"/>
        <v>0</v>
      </c>
      <c r="J826" s="80">
        <v>100</v>
      </c>
      <c r="K826" s="80">
        <v>300</v>
      </c>
      <c r="L826" s="77">
        <f t="shared" si="128"/>
        <v>1150</v>
      </c>
      <c r="M826" s="88">
        <v>600</v>
      </c>
      <c r="N826" s="77">
        <f>100</f>
        <v>100</v>
      </c>
      <c r="O826" s="80">
        <v>240</v>
      </c>
      <c r="P826" s="80">
        <v>40</v>
      </c>
      <c r="Q826" s="80">
        <f t="shared" si="129"/>
        <v>315</v>
      </c>
      <c r="R826" s="80">
        <f t="shared" si="130"/>
        <v>100</v>
      </c>
      <c r="S826" s="77">
        <f t="shared" si="131"/>
        <v>695</v>
      </c>
      <c r="T826" s="77">
        <f>50</f>
        <v>50</v>
      </c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</row>
    <row r="827" spans="1:30" ht="15.75" x14ac:dyDescent="0.25">
      <c r="A827" s="32">
        <v>66111</v>
      </c>
      <c r="B827" s="89">
        <f t="shared" si="132"/>
        <v>31</v>
      </c>
      <c r="C827" s="77">
        <f>122.58</f>
        <v>122.58</v>
      </c>
      <c r="D827" s="77">
        <f>297.941</f>
        <v>297.94099999999997</v>
      </c>
      <c r="E827" s="86">
        <f>89.177</f>
        <v>89.177000000000007</v>
      </c>
      <c r="F827" s="77">
        <f>240.302-40-60-100</f>
        <v>40.301999999999992</v>
      </c>
      <c r="G827" s="80">
        <v>40</v>
      </c>
      <c r="H827" s="77">
        <f>60+100</f>
        <v>160</v>
      </c>
      <c r="I827" s="77">
        <f t="shared" si="136"/>
        <v>0</v>
      </c>
      <c r="J827" s="80">
        <v>100</v>
      </c>
      <c r="K827" s="80">
        <v>300</v>
      </c>
      <c r="L827" s="77">
        <f t="shared" si="128"/>
        <v>1150</v>
      </c>
      <c r="M827" s="88">
        <v>600</v>
      </c>
      <c r="N827" s="77">
        <f>100</f>
        <v>100</v>
      </c>
      <c r="O827" s="80">
        <v>240</v>
      </c>
      <c r="P827" s="80">
        <v>40</v>
      </c>
      <c r="Q827" s="80">
        <f t="shared" si="129"/>
        <v>315</v>
      </c>
      <c r="R827" s="80">
        <f t="shared" si="130"/>
        <v>100</v>
      </c>
      <c r="S827" s="77">
        <f t="shared" si="131"/>
        <v>695</v>
      </c>
      <c r="T827" s="77">
        <f>50</f>
        <v>50</v>
      </c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</row>
    <row r="828" spans="1:30" ht="15.75" x14ac:dyDescent="0.25">
      <c r="A828" s="32">
        <v>66142</v>
      </c>
      <c r="B828" s="89">
        <f t="shared" si="132"/>
        <v>31</v>
      </c>
      <c r="C828" s="77">
        <f>122.58</f>
        <v>122.58</v>
      </c>
      <c r="D828" s="77">
        <f>297.941</f>
        <v>297.94099999999997</v>
      </c>
      <c r="E828" s="86">
        <f>89.177</f>
        <v>89.177000000000007</v>
      </c>
      <c r="F828" s="77">
        <f>240.302-40-60-100</f>
        <v>40.301999999999992</v>
      </c>
      <c r="G828" s="80">
        <v>40</v>
      </c>
      <c r="H828" s="77">
        <f>60+100</f>
        <v>160</v>
      </c>
      <c r="I828" s="77">
        <f t="shared" si="136"/>
        <v>0</v>
      </c>
      <c r="J828" s="80">
        <v>100</v>
      </c>
      <c r="K828" s="80">
        <v>300</v>
      </c>
      <c r="L828" s="77">
        <f t="shared" si="128"/>
        <v>1150</v>
      </c>
      <c r="M828" s="88">
        <v>600</v>
      </c>
      <c r="N828" s="77">
        <f>100</f>
        <v>100</v>
      </c>
      <c r="O828" s="80">
        <v>240</v>
      </c>
      <c r="P828" s="80">
        <v>40</v>
      </c>
      <c r="Q828" s="80">
        <f t="shared" si="129"/>
        <v>315</v>
      </c>
      <c r="R828" s="80">
        <f t="shared" si="130"/>
        <v>100</v>
      </c>
      <c r="S828" s="77">
        <f t="shared" si="131"/>
        <v>695</v>
      </c>
      <c r="T828" s="77">
        <f>50</f>
        <v>50</v>
      </c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</row>
    <row r="829" spans="1:30" ht="15.75" x14ac:dyDescent="0.25">
      <c r="A829" s="32">
        <v>66170</v>
      </c>
      <c r="B829" s="89">
        <f t="shared" si="132"/>
        <v>28</v>
      </c>
      <c r="C829" s="77">
        <f>122.58</f>
        <v>122.58</v>
      </c>
      <c r="D829" s="77">
        <f>297.941</f>
        <v>297.94099999999997</v>
      </c>
      <c r="E829" s="86">
        <f>89.177</f>
        <v>89.177000000000007</v>
      </c>
      <c r="F829" s="77">
        <f>240.302-40-60-100</f>
        <v>40.301999999999992</v>
      </c>
      <c r="G829" s="80">
        <v>40</v>
      </c>
      <c r="H829" s="77">
        <f>60+100</f>
        <v>160</v>
      </c>
      <c r="I829" s="77">
        <f t="shared" si="136"/>
        <v>0</v>
      </c>
      <c r="J829" s="80">
        <v>100</v>
      </c>
      <c r="K829" s="80">
        <v>300</v>
      </c>
      <c r="L829" s="77">
        <f t="shared" si="128"/>
        <v>1150</v>
      </c>
      <c r="M829" s="88">
        <v>600</v>
      </c>
      <c r="N829" s="77">
        <f>100</f>
        <v>100</v>
      </c>
      <c r="O829" s="80">
        <v>240</v>
      </c>
      <c r="P829" s="80">
        <v>40</v>
      </c>
      <c r="Q829" s="80">
        <f t="shared" si="129"/>
        <v>315</v>
      </c>
      <c r="R829" s="80">
        <f t="shared" si="130"/>
        <v>100</v>
      </c>
      <c r="S829" s="77">
        <f t="shared" si="131"/>
        <v>695</v>
      </c>
      <c r="T829" s="77">
        <f>50</f>
        <v>50</v>
      </c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</row>
    <row r="830" spans="1:30" ht="15.75" x14ac:dyDescent="0.25">
      <c r="A830" s="32">
        <v>66201</v>
      </c>
      <c r="B830" s="89">
        <f t="shared" si="132"/>
        <v>31</v>
      </c>
      <c r="C830" s="77">
        <f>122.58</f>
        <v>122.58</v>
      </c>
      <c r="D830" s="77">
        <f>297.941</f>
        <v>297.94099999999997</v>
      </c>
      <c r="E830" s="86">
        <f>89.177</f>
        <v>89.177000000000007</v>
      </c>
      <c r="F830" s="77">
        <f>240.302-40-60-100</f>
        <v>40.301999999999992</v>
      </c>
      <c r="G830" s="80">
        <v>40</v>
      </c>
      <c r="H830" s="77">
        <f>60+100</f>
        <v>160</v>
      </c>
      <c r="I830" s="77">
        <f t="shared" si="136"/>
        <v>0</v>
      </c>
      <c r="J830" s="80">
        <v>100</v>
      </c>
      <c r="K830" s="80">
        <v>300</v>
      </c>
      <c r="L830" s="77">
        <f t="shared" si="128"/>
        <v>1150</v>
      </c>
      <c r="M830" s="88">
        <v>600</v>
      </c>
      <c r="N830" s="77">
        <f>100</f>
        <v>100</v>
      </c>
      <c r="O830" s="80">
        <v>240</v>
      </c>
      <c r="P830" s="80">
        <v>40</v>
      </c>
      <c r="Q830" s="80">
        <f t="shared" si="129"/>
        <v>315</v>
      </c>
      <c r="R830" s="80">
        <f t="shared" si="130"/>
        <v>100</v>
      </c>
      <c r="S830" s="77">
        <f t="shared" si="131"/>
        <v>695</v>
      </c>
      <c r="T830" s="77">
        <f>50</f>
        <v>50</v>
      </c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</row>
    <row r="831" spans="1:30" ht="15.75" x14ac:dyDescent="0.25">
      <c r="A831" s="32">
        <v>66231</v>
      </c>
      <c r="B831" s="89">
        <f t="shared" si="132"/>
        <v>30</v>
      </c>
      <c r="C831" s="77">
        <f>141.293</f>
        <v>141.29300000000001</v>
      </c>
      <c r="D831" s="77">
        <f>267.993</f>
        <v>267.99299999999999</v>
      </c>
      <c r="E831" s="86">
        <f>115.016</f>
        <v>115.01600000000001</v>
      </c>
      <c r="F831" s="77">
        <f>314.698-40-25-60-100</f>
        <v>89.697999999999979</v>
      </c>
      <c r="G831" s="80">
        <v>40</v>
      </c>
      <c r="H831" s="77">
        <f t="shared" ref="H831:H837" si="137">25+60+100</f>
        <v>185</v>
      </c>
      <c r="I831" s="77">
        <f t="shared" si="136"/>
        <v>0</v>
      </c>
      <c r="J831" s="80">
        <v>100</v>
      </c>
      <c r="K831" s="80">
        <v>300</v>
      </c>
      <c r="L831" s="77">
        <f t="shared" si="128"/>
        <v>1239</v>
      </c>
      <c r="M831" s="88">
        <v>600</v>
      </c>
      <c r="N831" s="77">
        <f>100</f>
        <v>100</v>
      </c>
      <c r="O831" s="80">
        <v>240</v>
      </c>
      <c r="P831" s="80">
        <v>40</v>
      </c>
      <c r="Q831" s="80">
        <f t="shared" si="129"/>
        <v>315</v>
      </c>
      <c r="R831" s="80">
        <f t="shared" si="130"/>
        <v>100</v>
      </c>
      <c r="S831" s="77">
        <f t="shared" si="131"/>
        <v>695</v>
      </c>
      <c r="T831" s="77">
        <f>50</f>
        <v>50</v>
      </c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</row>
    <row r="832" spans="1:30" ht="15.75" x14ac:dyDescent="0.25">
      <c r="A832" s="32">
        <v>66262</v>
      </c>
      <c r="B832" s="89">
        <f t="shared" si="132"/>
        <v>31</v>
      </c>
      <c r="C832" s="77">
        <f>194.205</f>
        <v>194.20500000000001</v>
      </c>
      <c r="D832" s="77">
        <f>267.466</f>
        <v>267.46600000000001</v>
      </c>
      <c r="E832" s="86">
        <f>133.845</f>
        <v>133.845</v>
      </c>
      <c r="F832" s="77">
        <f>278.484-40-25-60-100</f>
        <v>53.48399999999998</v>
      </c>
      <c r="G832" s="80">
        <v>40</v>
      </c>
      <c r="H832" s="77">
        <f t="shared" si="137"/>
        <v>185</v>
      </c>
      <c r="I832" s="77">
        <f t="shared" si="136"/>
        <v>0</v>
      </c>
      <c r="J832" s="80">
        <v>100</v>
      </c>
      <c r="K832" s="80">
        <v>300</v>
      </c>
      <c r="L832" s="77">
        <f t="shared" si="128"/>
        <v>1274</v>
      </c>
      <c r="M832" s="88">
        <v>600</v>
      </c>
      <c r="N832" s="77">
        <f>75</f>
        <v>75</v>
      </c>
      <c r="O832" s="80">
        <v>240</v>
      </c>
      <c r="P832" s="80">
        <v>40</v>
      </c>
      <c r="Q832" s="80">
        <f t="shared" si="129"/>
        <v>315</v>
      </c>
      <c r="R832" s="80">
        <f t="shared" si="130"/>
        <v>100</v>
      </c>
      <c r="S832" s="77">
        <f t="shared" si="131"/>
        <v>695</v>
      </c>
      <c r="T832" s="77">
        <f>50</f>
        <v>50</v>
      </c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</row>
    <row r="833" spans="1:30" ht="15.75" x14ac:dyDescent="0.25">
      <c r="A833" s="32">
        <v>66292</v>
      </c>
      <c r="B833" s="89">
        <f t="shared" si="132"/>
        <v>30</v>
      </c>
      <c r="C833" s="77">
        <f>194.205</f>
        <v>194.20500000000001</v>
      </c>
      <c r="D833" s="77">
        <f>267.466</f>
        <v>267.46600000000001</v>
      </c>
      <c r="E833" s="86">
        <f>133.845</f>
        <v>133.845</v>
      </c>
      <c r="F833" s="77">
        <f>278.484-40-25-60-100</f>
        <v>53.48399999999998</v>
      </c>
      <c r="G833" s="80">
        <v>40</v>
      </c>
      <c r="H833" s="77">
        <f t="shared" si="137"/>
        <v>185</v>
      </c>
      <c r="I833" s="77">
        <f t="shared" si="136"/>
        <v>0</v>
      </c>
      <c r="J833" s="80">
        <v>100</v>
      </c>
      <c r="K833" s="80">
        <v>300</v>
      </c>
      <c r="L833" s="77">
        <f t="shared" si="128"/>
        <v>1274</v>
      </c>
      <c r="M833" s="88">
        <v>600</v>
      </c>
      <c r="N833" s="77">
        <f>30</f>
        <v>30</v>
      </c>
      <c r="O833" s="80">
        <v>240</v>
      </c>
      <c r="P833" s="80">
        <v>40</v>
      </c>
      <c r="Q833" s="80">
        <f t="shared" si="129"/>
        <v>315</v>
      </c>
      <c r="R833" s="80">
        <f t="shared" si="130"/>
        <v>100</v>
      </c>
      <c r="S833" s="77">
        <f t="shared" si="131"/>
        <v>695</v>
      </c>
      <c r="T833" s="77">
        <f>50</f>
        <v>50</v>
      </c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</row>
    <row r="834" spans="1:30" ht="15.75" x14ac:dyDescent="0.25">
      <c r="A834" s="32">
        <v>66323</v>
      </c>
      <c r="B834" s="89">
        <f t="shared" si="132"/>
        <v>31</v>
      </c>
      <c r="C834" s="77">
        <f>194.205</f>
        <v>194.20500000000001</v>
      </c>
      <c r="D834" s="77">
        <f>267.466</f>
        <v>267.46600000000001</v>
      </c>
      <c r="E834" s="86">
        <f>133.845</f>
        <v>133.845</v>
      </c>
      <c r="F834" s="77">
        <f>278.484-40-25-60-100</f>
        <v>53.48399999999998</v>
      </c>
      <c r="G834" s="80">
        <v>40</v>
      </c>
      <c r="H834" s="77">
        <f t="shared" si="137"/>
        <v>185</v>
      </c>
      <c r="I834" s="77">
        <f t="shared" si="136"/>
        <v>0</v>
      </c>
      <c r="J834" s="80">
        <v>100</v>
      </c>
      <c r="K834" s="80">
        <v>300</v>
      </c>
      <c r="L834" s="77">
        <f t="shared" si="128"/>
        <v>1274</v>
      </c>
      <c r="M834" s="88">
        <v>600</v>
      </c>
      <c r="N834" s="77">
        <f>30</f>
        <v>30</v>
      </c>
      <c r="O834" s="80">
        <v>240</v>
      </c>
      <c r="P834" s="80">
        <v>40</v>
      </c>
      <c r="Q834" s="80">
        <f t="shared" si="129"/>
        <v>315</v>
      </c>
      <c r="R834" s="80">
        <f t="shared" si="130"/>
        <v>100</v>
      </c>
      <c r="S834" s="77">
        <f t="shared" si="131"/>
        <v>695</v>
      </c>
      <c r="T834" s="77">
        <f>0</f>
        <v>0</v>
      </c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</row>
    <row r="835" spans="1:30" ht="15.75" x14ac:dyDescent="0.25">
      <c r="A835" s="32">
        <v>66354</v>
      </c>
      <c r="B835" s="89">
        <f t="shared" si="132"/>
        <v>31</v>
      </c>
      <c r="C835" s="77">
        <f>194.205</f>
        <v>194.20500000000001</v>
      </c>
      <c r="D835" s="77">
        <f>267.466</f>
        <v>267.46600000000001</v>
      </c>
      <c r="E835" s="86">
        <f>133.845</f>
        <v>133.845</v>
      </c>
      <c r="F835" s="77">
        <f>278.484-40-25-60-100</f>
        <v>53.48399999999998</v>
      </c>
      <c r="G835" s="80">
        <v>40</v>
      </c>
      <c r="H835" s="77">
        <f t="shared" si="137"/>
        <v>185</v>
      </c>
      <c r="I835" s="77">
        <f t="shared" si="136"/>
        <v>0</v>
      </c>
      <c r="J835" s="80">
        <v>100</v>
      </c>
      <c r="K835" s="80">
        <v>300</v>
      </c>
      <c r="L835" s="77">
        <f t="shared" si="128"/>
        <v>1274</v>
      </c>
      <c r="M835" s="88">
        <v>600</v>
      </c>
      <c r="N835" s="77">
        <f>30</f>
        <v>30</v>
      </c>
      <c r="O835" s="80">
        <v>240</v>
      </c>
      <c r="P835" s="80">
        <v>40</v>
      </c>
      <c r="Q835" s="80">
        <f t="shared" si="129"/>
        <v>315</v>
      </c>
      <c r="R835" s="80">
        <f t="shared" si="130"/>
        <v>100</v>
      </c>
      <c r="S835" s="77">
        <f t="shared" si="131"/>
        <v>695</v>
      </c>
      <c r="T835" s="77">
        <f>0</f>
        <v>0</v>
      </c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</row>
    <row r="836" spans="1:30" ht="15.75" x14ac:dyDescent="0.25">
      <c r="A836" s="32">
        <v>66384</v>
      </c>
      <c r="B836" s="89">
        <f t="shared" si="132"/>
        <v>30</v>
      </c>
      <c r="C836" s="77">
        <f>194.205</f>
        <v>194.20500000000001</v>
      </c>
      <c r="D836" s="77">
        <f>267.466</f>
        <v>267.46600000000001</v>
      </c>
      <c r="E836" s="86">
        <f>133.845</f>
        <v>133.845</v>
      </c>
      <c r="F836" s="77">
        <f>278.484-40-25-60-100</f>
        <v>53.48399999999998</v>
      </c>
      <c r="G836" s="80">
        <v>40</v>
      </c>
      <c r="H836" s="77">
        <f t="shared" si="137"/>
        <v>185</v>
      </c>
      <c r="I836" s="77">
        <f t="shared" si="136"/>
        <v>0</v>
      </c>
      <c r="J836" s="80">
        <v>100</v>
      </c>
      <c r="K836" s="80">
        <v>300</v>
      </c>
      <c r="L836" s="77">
        <f t="shared" si="128"/>
        <v>1274</v>
      </c>
      <c r="M836" s="88">
        <v>600</v>
      </c>
      <c r="N836" s="77">
        <f>30</f>
        <v>30</v>
      </c>
      <c r="O836" s="80">
        <v>240</v>
      </c>
      <c r="P836" s="80">
        <v>40</v>
      </c>
      <c r="Q836" s="80">
        <f t="shared" si="129"/>
        <v>315</v>
      </c>
      <c r="R836" s="80">
        <f t="shared" si="130"/>
        <v>100</v>
      </c>
      <c r="S836" s="77">
        <f t="shared" si="131"/>
        <v>695</v>
      </c>
      <c r="T836" s="77">
        <f>0</f>
        <v>0</v>
      </c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</row>
    <row r="837" spans="1:30" ht="15.75" x14ac:dyDescent="0.25">
      <c r="A837" s="32">
        <v>66415</v>
      </c>
      <c r="B837" s="89">
        <f t="shared" si="132"/>
        <v>31</v>
      </c>
      <c r="C837" s="77">
        <f>131.881</f>
        <v>131.881</v>
      </c>
      <c r="D837" s="77">
        <f>277.167</f>
        <v>277.16699999999997</v>
      </c>
      <c r="E837" s="86">
        <f>79.08</f>
        <v>79.08</v>
      </c>
      <c r="F837" s="77">
        <f>350.872-40-25-60-100</f>
        <v>125.87200000000001</v>
      </c>
      <c r="G837" s="80">
        <v>40</v>
      </c>
      <c r="H837" s="77">
        <f t="shared" si="137"/>
        <v>185</v>
      </c>
      <c r="I837" s="77">
        <f t="shared" si="136"/>
        <v>0</v>
      </c>
      <c r="J837" s="80">
        <v>100</v>
      </c>
      <c r="K837" s="80">
        <v>300</v>
      </c>
      <c r="L837" s="77">
        <f t="shared" si="128"/>
        <v>1239</v>
      </c>
      <c r="M837" s="88">
        <v>600</v>
      </c>
      <c r="N837" s="77">
        <f>75</f>
        <v>75</v>
      </c>
      <c r="O837" s="80">
        <v>240</v>
      </c>
      <c r="P837" s="80">
        <v>40</v>
      </c>
      <c r="Q837" s="80">
        <f t="shared" si="129"/>
        <v>315</v>
      </c>
      <c r="R837" s="80">
        <f t="shared" si="130"/>
        <v>100</v>
      </c>
      <c r="S837" s="77">
        <f t="shared" si="131"/>
        <v>695</v>
      </c>
      <c r="T837" s="77">
        <f>0</f>
        <v>0</v>
      </c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</row>
    <row r="838" spans="1:30" ht="15.75" x14ac:dyDescent="0.25">
      <c r="A838" s="32">
        <v>66445</v>
      </c>
      <c r="B838" s="89">
        <f t="shared" si="132"/>
        <v>30</v>
      </c>
      <c r="C838" s="77">
        <f>122.58</f>
        <v>122.58</v>
      </c>
      <c r="D838" s="77">
        <f>297.941</f>
        <v>297.94099999999997</v>
      </c>
      <c r="E838" s="86">
        <f>89.177</f>
        <v>89.177000000000007</v>
      </c>
      <c r="F838" s="77">
        <f>240.302-40-60-100</f>
        <v>40.301999999999992</v>
      </c>
      <c r="G838" s="80">
        <v>40</v>
      </c>
      <c r="H838" s="77">
        <f>60+100</f>
        <v>160</v>
      </c>
      <c r="I838" s="77">
        <f t="shared" si="136"/>
        <v>0</v>
      </c>
      <c r="J838" s="80">
        <v>100</v>
      </c>
      <c r="K838" s="80">
        <v>300</v>
      </c>
      <c r="L838" s="77">
        <f t="shared" si="128"/>
        <v>1150</v>
      </c>
      <c r="M838" s="88">
        <v>600</v>
      </c>
      <c r="N838" s="77">
        <f>100</f>
        <v>100</v>
      </c>
      <c r="O838" s="80">
        <v>240</v>
      </c>
      <c r="P838" s="80">
        <v>40</v>
      </c>
      <c r="Q838" s="80">
        <f t="shared" si="129"/>
        <v>315</v>
      </c>
      <c r="R838" s="80">
        <f t="shared" si="130"/>
        <v>100</v>
      </c>
      <c r="S838" s="77">
        <f t="shared" si="131"/>
        <v>695</v>
      </c>
      <c r="T838" s="77">
        <f>50</f>
        <v>50</v>
      </c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</row>
    <row r="839" spans="1:30" ht="15.75" x14ac:dyDescent="0.25">
      <c r="A839" s="32">
        <v>66476</v>
      </c>
      <c r="B839" s="89">
        <f t="shared" si="132"/>
        <v>31</v>
      </c>
      <c r="C839" s="77">
        <f>122.58</f>
        <v>122.58</v>
      </c>
      <c r="D839" s="77">
        <f>297.941</f>
        <v>297.94099999999997</v>
      </c>
      <c r="E839" s="86">
        <f>89.177</f>
        <v>89.177000000000007</v>
      </c>
      <c r="F839" s="77">
        <f>240.302-40-60-100</f>
        <v>40.301999999999992</v>
      </c>
      <c r="G839" s="80">
        <v>40</v>
      </c>
      <c r="H839" s="77">
        <f>60+100</f>
        <v>160</v>
      </c>
      <c r="I839" s="77">
        <f t="shared" si="136"/>
        <v>0</v>
      </c>
      <c r="J839" s="80">
        <v>100</v>
      </c>
      <c r="K839" s="80">
        <v>300</v>
      </c>
      <c r="L839" s="77">
        <f t="shared" si="128"/>
        <v>1150</v>
      </c>
      <c r="M839" s="88">
        <v>600</v>
      </c>
      <c r="N839" s="77">
        <f>100</f>
        <v>100</v>
      </c>
      <c r="O839" s="80">
        <v>240</v>
      </c>
      <c r="P839" s="80">
        <v>40</v>
      </c>
      <c r="Q839" s="80">
        <f t="shared" si="129"/>
        <v>315</v>
      </c>
      <c r="R839" s="80">
        <f t="shared" si="130"/>
        <v>100</v>
      </c>
      <c r="S839" s="77">
        <f t="shared" si="131"/>
        <v>695</v>
      </c>
      <c r="T839" s="77">
        <f>50</f>
        <v>50</v>
      </c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</row>
    <row r="840" spans="1:30" ht="15.75" x14ac:dyDescent="0.25">
      <c r="A840" s="32">
        <v>66507</v>
      </c>
      <c r="B840" s="89">
        <f t="shared" si="132"/>
        <v>31</v>
      </c>
      <c r="C840" s="77">
        <f>122.58</f>
        <v>122.58</v>
      </c>
      <c r="D840" s="77">
        <f>297.941</f>
        <v>297.94099999999997</v>
      </c>
      <c r="E840" s="86">
        <f>89.177</f>
        <v>89.177000000000007</v>
      </c>
      <c r="F840" s="77">
        <f>240.302-40-60-100</f>
        <v>40.301999999999992</v>
      </c>
      <c r="G840" s="80">
        <v>40</v>
      </c>
      <c r="H840" s="77">
        <f>60+100</f>
        <v>160</v>
      </c>
      <c r="I840" s="77">
        <f t="shared" si="136"/>
        <v>0</v>
      </c>
      <c r="J840" s="80">
        <v>100</v>
      </c>
      <c r="K840" s="80">
        <v>300</v>
      </c>
      <c r="L840" s="77">
        <f t="shared" si="128"/>
        <v>1150</v>
      </c>
      <c r="M840" s="88">
        <v>600</v>
      </c>
      <c r="N840" s="77">
        <f>100</f>
        <v>100</v>
      </c>
      <c r="O840" s="80">
        <v>240</v>
      </c>
      <c r="P840" s="80">
        <v>40</v>
      </c>
      <c r="Q840" s="80">
        <f t="shared" si="129"/>
        <v>315</v>
      </c>
      <c r="R840" s="80">
        <f t="shared" si="130"/>
        <v>100</v>
      </c>
      <c r="S840" s="77">
        <f t="shared" si="131"/>
        <v>695</v>
      </c>
      <c r="T840" s="77">
        <f>50</f>
        <v>50</v>
      </c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</row>
    <row r="841" spans="1:30" ht="15.75" x14ac:dyDescent="0.25">
      <c r="A841" s="32">
        <v>66535</v>
      </c>
      <c r="B841" s="89">
        <f t="shared" si="132"/>
        <v>28</v>
      </c>
      <c r="C841" s="77">
        <f>122.58</f>
        <v>122.58</v>
      </c>
      <c r="D841" s="77">
        <f>297.941</f>
        <v>297.94099999999997</v>
      </c>
      <c r="E841" s="86">
        <f>89.177</f>
        <v>89.177000000000007</v>
      </c>
      <c r="F841" s="77">
        <f>240.302-40-60-100</f>
        <v>40.301999999999992</v>
      </c>
      <c r="G841" s="80">
        <v>40</v>
      </c>
      <c r="H841" s="77">
        <f>60+100</f>
        <v>160</v>
      </c>
      <c r="I841" s="77">
        <f t="shared" si="136"/>
        <v>0</v>
      </c>
      <c r="J841" s="80">
        <v>100</v>
      </c>
      <c r="K841" s="80">
        <v>300</v>
      </c>
      <c r="L841" s="77">
        <f t="shared" si="128"/>
        <v>1150</v>
      </c>
      <c r="M841" s="88">
        <v>600</v>
      </c>
      <c r="N841" s="77">
        <f>100</f>
        <v>100</v>
      </c>
      <c r="O841" s="80">
        <v>240</v>
      </c>
      <c r="P841" s="80">
        <v>40</v>
      </c>
      <c r="Q841" s="80">
        <f t="shared" si="129"/>
        <v>315</v>
      </c>
      <c r="R841" s="80">
        <f t="shared" si="130"/>
        <v>100</v>
      </c>
      <c r="S841" s="77">
        <f t="shared" si="131"/>
        <v>695</v>
      </c>
      <c r="T841" s="77">
        <f>50</f>
        <v>50</v>
      </c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</row>
    <row r="842" spans="1:30" ht="15.75" x14ac:dyDescent="0.25">
      <c r="A842" s="32">
        <v>66566</v>
      </c>
      <c r="B842" s="89">
        <f t="shared" si="132"/>
        <v>31</v>
      </c>
      <c r="C842" s="77">
        <f>122.58</f>
        <v>122.58</v>
      </c>
      <c r="D842" s="77">
        <f>297.941</f>
        <v>297.94099999999997</v>
      </c>
      <c r="E842" s="86">
        <f>89.177</f>
        <v>89.177000000000007</v>
      </c>
      <c r="F842" s="77">
        <f>240.302-40-60-100</f>
        <v>40.301999999999992</v>
      </c>
      <c r="G842" s="80">
        <v>40</v>
      </c>
      <c r="H842" s="77">
        <f>60+100</f>
        <v>160</v>
      </c>
      <c r="I842" s="77">
        <f t="shared" si="136"/>
        <v>0</v>
      </c>
      <c r="J842" s="80">
        <v>100</v>
      </c>
      <c r="K842" s="80">
        <v>300</v>
      </c>
      <c r="L842" s="77">
        <f t="shared" si="128"/>
        <v>1150</v>
      </c>
      <c r="M842" s="88">
        <v>600</v>
      </c>
      <c r="N842" s="77">
        <f>100</f>
        <v>100</v>
      </c>
      <c r="O842" s="80">
        <v>240</v>
      </c>
      <c r="P842" s="80">
        <v>40</v>
      </c>
      <c r="Q842" s="80">
        <f t="shared" si="129"/>
        <v>315</v>
      </c>
      <c r="R842" s="80">
        <f t="shared" si="130"/>
        <v>100</v>
      </c>
      <c r="S842" s="77">
        <f t="shared" si="131"/>
        <v>695</v>
      </c>
      <c r="T842" s="77">
        <f>50</f>
        <v>50</v>
      </c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</row>
    <row r="843" spans="1:30" ht="15.75" x14ac:dyDescent="0.25">
      <c r="A843" s="32">
        <v>66596</v>
      </c>
      <c r="B843" s="89">
        <f t="shared" si="132"/>
        <v>30</v>
      </c>
      <c r="C843" s="77">
        <f>141.293</f>
        <v>141.29300000000001</v>
      </c>
      <c r="D843" s="77">
        <f>267.993</f>
        <v>267.99299999999999</v>
      </c>
      <c r="E843" s="86">
        <f>115.016</f>
        <v>115.01600000000001</v>
      </c>
      <c r="F843" s="77">
        <f>314.698-40-25-60-100</f>
        <v>89.697999999999979</v>
      </c>
      <c r="G843" s="80">
        <v>40</v>
      </c>
      <c r="H843" s="77">
        <f t="shared" ref="H843:H849" si="138">25+60+100</f>
        <v>185</v>
      </c>
      <c r="I843" s="77">
        <f t="shared" si="136"/>
        <v>0</v>
      </c>
      <c r="J843" s="80">
        <v>100</v>
      </c>
      <c r="K843" s="80">
        <v>300</v>
      </c>
      <c r="L843" s="77">
        <f t="shared" si="128"/>
        <v>1239</v>
      </c>
      <c r="M843" s="88">
        <v>600</v>
      </c>
      <c r="N843" s="77">
        <f>100</f>
        <v>100</v>
      </c>
      <c r="O843" s="80">
        <v>240</v>
      </c>
      <c r="P843" s="80">
        <v>40</v>
      </c>
      <c r="Q843" s="80">
        <f t="shared" si="129"/>
        <v>315</v>
      </c>
      <c r="R843" s="80">
        <f t="shared" si="130"/>
        <v>100</v>
      </c>
      <c r="S843" s="77">
        <f t="shared" si="131"/>
        <v>695</v>
      </c>
      <c r="T843" s="77">
        <f>50</f>
        <v>50</v>
      </c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</row>
    <row r="844" spans="1:30" ht="15.75" x14ac:dyDescent="0.25">
      <c r="A844" s="32">
        <v>66627</v>
      </c>
      <c r="B844" s="89">
        <f t="shared" si="132"/>
        <v>31</v>
      </c>
      <c r="C844" s="77">
        <f>194.205</f>
        <v>194.20500000000001</v>
      </c>
      <c r="D844" s="77">
        <f>267.466</f>
        <v>267.46600000000001</v>
      </c>
      <c r="E844" s="86">
        <f>133.845</f>
        <v>133.845</v>
      </c>
      <c r="F844" s="77">
        <f>278.484-40-25-60-100</f>
        <v>53.48399999999998</v>
      </c>
      <c r="G844" s="80">
        <v>40</v>
      </c>
      <c r="H844" s="77">
        <f t="shared" si="138"/>
        <v>185</v>
      </c>
      <c r="I844" s="77">
        <f t="shared" si="136"/>
        <v>0</v>
      </c>
      <c r="J844" s="80">
        <v>100</v>
      </c>
      <c r="K844" s="80">
        <v>300</v>
      </c>
      <c r="L844" s="77">
        <f t="shared" si="128"/>
        <v>1274</v>
      </c>
      <c r="M844" s="88">
        <v>600</v>
      </c>
      <c r="N844" s="77">
        <f>75</f>
        <v>75</v>
      </c>
      <c r="O844" s="80">
        <v>240</v>
      </c>
      <c r="P844" s="80">
        <v>40</v>
      </c>
      <c r="Q844" s="80">
        <f t="shared" si="129"/>
        <v>315</v>
      </c>
      <c r="R844" s="80">
        <f t="shared" si="130"/>
        <v>100</v>
      </c>
      <c r="S844" s="77">
        <f t="shared" si="131"/>
        <v>695</v>
      </c>
      <c r="T844" s="77">
        <f>50</f>
        <v>50</v>
      </c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</row>
    <row r="845" spans="1:30" ht="15.75" x14ac:dyDescent="0.25">
      <c r="A845" s="32">
        <v>66657</v>
      </c>
      <c r="B845" s="89">
        <f t="shared" si="132"/>
        <v>30</v>
      </c>
      <c r="C845" s="77">
        <f>194.205</f>
        <v>194.20500000000001</v>
      </c>
      <c r="D845" s="77">
        <f>267.466</f>
        <v>267.46600000000001</v>
      </c>
      <c r="E845" s="86">
        <f>133.845</f>
        <v>133.845</v>
      </c>
      <c r="F845" s="77">
        <f>278.484-40-25-60-100</f>
        <v>53.48399999999998</v>
      </c>
      <c r="G845" s="80">
        <v>40</v>
      </c>
      <c r="H845" s="77">
        <f t="shared" si="138"/>
        <v>185</v>
      </c>
      <c r="I845" s="77">
        <f t="shared" si="136"/>
        <v>0</v>
      </c>
      <c r="J845" s="80">
        <v>100</v>
      </c>
      <c r="K845" s="80">
        <v>300</v>
      </c>
      <c r="L845" s="77">
        <f t="shared" si="128"/>
        <v>1274</v>
      </c>
      <c r="M845" s="88">
        <v>600</v>
      </c>
      <c r="N845" s="77">
        <f>30</f>
        <v>30</v>
      </c>
      <c r="O845" s="80">
        <v>240</v>
      </c>
      <c r="P845" s="80">
        <v>40</v>
      </c>
      <c r="Q845" s="80">
        <f t="shared" si="129"/>
        <v>315</v>
      </c>
      <c r="R845" s="80">
        <f t="shared" si="130"/>
        <v>100</v>
      </c>
      <c r="S845" s="77">
        <f t="shared" si="131"/>
        <v>695</v>
      </c>
      <c r="T845" s="77">
        <f>50</f>
        <v>50</v>
      </c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</row>
    <row r="846" spans="1:30" ht="15.75" x14ac:dyDescent="0.25">
      <c r="A846" s="32">
        <v>66688</v>
      </c>
      <c r="B846" s="89">
        <f t="shared" si="132"/>
        <v>31</v>
      </c>
      <c r="C846" s="77">
        <f>194.205</f>
        <v>194.20500000000001</v>
      </c>
      <c r="D846" s="77">
        <f>267.466</f>
        <v>267.46600000000001</v>
      </c>
      <c r="E846" s="86">
        <f>133.845</f>
        <v>133.845</v>
      </c>
      <c r="F846" s="77">
        <f>278.484-40-25-60-100</f>
        <v>53.48399999999998</v>
      </c>
      <c r="G846" s="80">
        <v>40</v>
      </c>
      <c r="H846" s="77">
        <f t="shared" si="138"/>
        <v>185</v>
      </c>
      <c r="I846" s="77">
        <f t="shared" si="136"/>
        <v>0</v>
      </c>
      <c r="J846" s="80">
        <v>100</v>
      </c>
      <c r="K846" s="80">
        <v>300</v>
      </c>
      <c r="L846" s="77">
        <f t="shared" si="128"/>
        <v>1274</v>
      </c>
      <c r="M846" s="88">
        <v>600</v>
      </c>
      <c r="N846" s="77">
        <f>30</f>
        <v>30</v>
      </c>
      <c r="O846" s="80">
        <v>240</v>
      </c>
      <c r="P846" s="80">
        <v>40</v>
      </c>
      <c r="Q846" s="80">
        <f t="shared" si="129"/>
        <v>315</v>
      </c>
      <c r="R846" s="80">
        <f t="shared" si="130"/>
        <v>100</v>
      </c>
      <c r="S846" s="77">
        <f t="shared" si="131"/>
        <v>695</v>
      </c>
      <c r="T846" s="77">
        <f>0</f>
        <v>0</v>
      </c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</row>
    <row r="847" spans="1:30" ht="15.75" x14ac:dyDescent="0.25">
      <c r="A847" s="32">
        <v>66719</v>
      </c>
      <c r="B847" s="89">
        <f t="shared" si="132"/>
        <v>31</v>
      </c>
      <c r="C847" s="77">
        <f>194.205</f>
        <v>194.20500000000001</v>
      </c>
      <c r="D847" s="77">
        <f>267.466</f>
        <v>267.46600000000001</v>
      </c>
      <c r="E847" s="86">
        <f>133.845</f>
        <v>133.845</v>
      </c>
      <c r="F847" s="77">
        <f>278.484-40-25-60-100</f>
        <v>53.48399999999998</v>
      </c>
      <c r="G847" s="80">
        <v>40</v>
      </c>
      <c r="H847" s="77">
        <f t="shared" si="138"/>
        <v>185</v>
      </c>
      <c r="I847" s="77">
        <f t="shared" si="136"/>
        <v>0</v>
      </c>
      <c r="J847" s="80">
        <v>100</v>
      </c>
      <c r="K847" s="80">
        <v>300</v>
      </c>
      <c r="L847" s="77">
        <f t="shared" si="128"/>
        <v>1274</v>
      </c>
      <c r="M847" s="88">
        <v>600</v>
      </c>
      <c r="N847" s="77">
        <f>30</f>
        <v>30</v>
      </c>
      <c r="O847" s="80">
        <v>240</v>
      </c>
      <c r="P847" s="80">
        <v>40</v>
      </c>
      <c r="Q847" s="80">
        <f t="shared" si="129"/>
        <v>315</v>
      </c>
      <c r="R847" s="80">
        <f t="shared" si="130"/>
        <v>100</v>
      </c>
      <c r="S847" s="77">
        <f t="shared" si="131"/>
        <v>695</v>
      </c>
      <c r="T847" s="77">
        <f>0</f>
        <v>0</v>
      </c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</row>
    <row r="848" spans="1:30" ht="15.75" x14ac:dyDescent="0.25">
      <c r="A848" s="32">
        <v>66749</v>
      </c>
      <c r="B848" s="89">
        <f t="shared" si="132"/>
        <v>30</v>
      </c>
      <c r="C848" s="77">
        <f>194.205</f>
        <v>194.20500000000001</v>
      </c>
      <c r="D848" s="77">
        <f>267.466</f>
        <v>267.46600000000001</v>
      </c>
      <c r="E848" s="86">
        <f>133.845</f>
        <v>133.845</v>
      </c>
      <c r="F848" s="77">
        <f>278.484-40-25-60-100</f>
        <v>53.48399999999998</v>
      </c>
      <c r="G848" s="80">
        <v>40</v>
      </c>
      <c r="H848" s="77">
        <f t="shared" si="138"/>
        <v>185</v>
      </c>
      <c r="I848" s="77">
        <f t="shared" si="136"/>
        <v>0</v>
      </c>
      <c r="J848" s="80">
        <v>100</v>
      </c>
      <c r="K848" s="80">
        <v>300</v>
      </c>
      <c r="L848" s="77">
        <f t="shared" si="128"/>
        <v>1274</v>
      </c>
      <c r="M848" s="88">
        <v>600</v>
      </c>
      <c r="N848" s="77">
        <f>30</f>
        <v>30</v>
      </c>
      <c r="O848" s="80">
        <v>240</v>
      </c>
      <c r="P848" s="80">
        <v>40</v>
      </c>
      <c r="Q848" s="80">
        <f t="shared" si="129"/>
        <v>315</v>
      </c>
      <c r="R848" s="80">
        <f t="shared" si="130"/>
        <v>100</v>
      </c>
      <c r="S848" s="77">
        <f t="shared" si="131"/>
        <v>695</v>
      </c>
      <c r="T848" s="77">
        <f>0</f>
        <v>0</v>
      </c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</row>
    <row r="849" spans="1:30" ht="15.75" x14ac:dyDescent="0.25">
      <c r="A849" s="32">
        <v>66780</v>
      </c>
      <c r="B849" s="89">
        <f t="shared" si="132"/>
        <v>31</v>
      </c>
      <c r="C849" s="77">
        <f>131.881</f>
        <v>131.881</v>
      </c>
      <c r="D849" s="77">
        <f>277.167</f>
        <v>277.16699999999997</v>
      </c>
      <c r="E849" s="86">
        <f>79.08</f>
        <v>79.08</v>
      </c>
      <c r="F849" s="77">
        <f>350.872-40-25-60-100</f>
        <v>125.87200000000001</v>
      </c>
      <c r="G849" s="80">
        <v>40</v>
      </c>
      <c r="H849" s="77">
        <f t="shared" si="138"/>
        <v>185</v>
      </c>
      <c r="I849" s="77">
        <f t="shared" si="136"/>
        <v>0</v>
      </c>
      <c r="J849" s="80">
        <v>100</v>
      </c>
      <c r="K849" s="80">
        <v>300</v>
      </c>
      <c r="L849" s="77">
        <f t="shared" si="128"/>
        <v>1239</v>
      </c>
      <c r="M849" s="88">
        <v>600</v>
      </c>
      <c r="N849" s="77">
        <f>75</f>
        <v>75</v>
      </c>
      <c r="O849" s="80">
        <v>240</v>
      </c>
      <c r="P849" s="80">
        <v>40</v>
      </c>
      <c r="Q849" s="80">
        <f t="shared" si="129"/>
        <v>315</v>
      </c>
      <c r="R849" s="80">
        <f t="shared" si="130"/>
        <v>100</v>
      </c>
      <c r="S849" s="77">
        <f t="shared" si="131"/>
        <v>695</v>
      </c>
      <c r="T849" s="77">
        <f>0</f>
        <v>0</v>
      </c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</row>
    <row r="850" spans="1:30" ht="15.75" x14ac:dyDescent="0.25">
      <c r="A850" s="32">
        <v>66810</v>
      </c>
      <c r="B850" s="89">
        <f t="shared" si="132"/>
        <v>30</v>
      </c>
      <c r="C850" s="77">
        <f>122.58</f>
        <v>122.58</v>
      </c>
      <c r="D850" s="77">
        <f>297.941</f>
        <v>297.94099999999997</v>
      </c>
      <c r="E850" s="86">
        <f>89.177</f>
        <v>89.177000000000007</v>
      </c>
      <c r="F850" s="77">
        <f>240.302-40-60-100</f>
        <v>40.301999999999992</v>
      </c>
      <c r="G850" s="80">
        <v>40</v>
      </c>
      <c r="H850" s="77">
        <f>60+100</f>
        <v>160</v>
      </c>
      <c r="I850" s="77">
        <f t="shared" si="136"/>
        <v>0</v>
      </c>
      <c r="J850" s="80">
        <v>100</v>
      </c>
      <c r="K850" s="80">
        <v>300</v>
      </c>
      <c r="L850" s="77">
        <f t="shared" si="128"/>
        <v>1150</v>
      </c>
      <c r="M850" s="88">
        <v>600</v>
      </c>
      <c r="N850" s="77">
        <f>100</f>
        <v>100</v>
      </c>
      <c r="O850" s="80">
        <v>240</v>
      </c>
      <c r="P850" s="80">
        <v>40</v>
      </c>
      <c r="Q850" s="80">
        <f t="shared" si="129"/>
        <v>315</v>
      </c>
      <c r="R850" s="80">
        <f t="shared" si="130"/>
        <v>100</v>
      </c>
      <c r="S850" s="77">
        <f t="shared" si="131"/>
        <v>695</v>
      </c>
      <c r="T850" s="77">
        <f>50</f>
        <v>50</v>
      </c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</row>
    <row r="851" spans="1:30" ht="15.75" x14ac:dyDescent="0.25">
      <c r="A851" s="32">
        <v>66841</v>
      </c>
      <c r="B851" s="89">
        <f t="shared" si="132"/>
        <v>31</v>
      </c>
      <c r="C851" s="77">
        <f>122.58</f>
        <v>122.58</v>
      </c>
      <c r="D851" s="77">
        <f>297.941</f>
        <v>297.94099999999997</v>
      </c>
      <c r="E851" s="86">
        <f>89.177</f>
        <v>89.177000000000007</v>
      </c>
      <c r="F851" s="77">
        <f>240.302-40-60-100</f>
        <v>40.301999999999992</v>
      </c>
      <c r="G851" s="80">
        <v>40</v>
      </c>
      <c r="H851" s="77">
        <f>60+100</f>
        <v>160</v>
      </c>
      <c r="I851" s="77">
        <f t="shared" si="136"/>
        <v>0</v>
      </c>
      <c r="J851" s="80">
        <v>100</v>
      </c>
      <c r="K851" s="80">
        <v>300</v>
      </c>
      <c r="L851" s="77">
        <f t="shared" ref="L851:L914" si="139">SUM(C851:K851)</f>
        <v>1150</v>
      </c>
      <c r="M851" s="88">
        <v>600</v>
      </c>
      <c r="N851" s="77">
        <f>100</f>
        <v>100</v>
      </c>
      <c r="O851" s="80">
        <v>240</v>
      </c>
      <c r="P851" s="80">
        <v>40</v>
      </c>
      <c r="Q851" s="80">
        <f t="shared" ref="Q851:Q914" si="140">695-R851-O851-P851</f>
        <v>315</v>
      </c>
      <c r="R851" s="80">
        <f t="shared" ref="R851:R914" si="141">200-J851</f>
        <v>100</v>
      </c>
      <c r="S851" s="77">
        <f t="shared" ref="S851:S914" si="142">SUM(O851:R851)</f>
        <v>695</v>
      </c>
      <c r="T851" s="77">
        <f>50</f>
        <v>50</v>
      </c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</row>
    <row r="852" spans="1:30" ht="15.75" x14ac:dyDescent="0.25">
      <c r="A852" s="32">
        <v>66872</v>
      </c>
      <c r="B852" s="89">
        <f t="shared" si="132"/>
        <v>31</v>
      </c>
      <c r="C852" s="77">
        <f>122.58</f>
        <v>122.58</v>
      </c>
      <c r="D852" s="77">
        <f>297.941</f>
        <v>297.94099999999997</v>
      </c>
      <c r="E852" s="86">
        <f>89.177</f>
        <v>89.177000000000007</v>
      </c>
      <c r="F852" s="77">
        <f>240.302-40-60-100</f>
        <v>40.301999999999992</v>
      </c>
      <c r="G852" s="80">
        <v>40</v>
      </c>
      <c r="H852" s="77">
        <f>60+100</f>
        <v>160</v>
      </c>
      <c r="I852" s="77">
        <f t="shared" si="136"/>
        <v>0</v>
      </c>
      <c r="J852" s="80">
        <v>100</v>
      </c>
      <c r="K852" s="80">
        <v>300</v>
      </c>
      <c r="L852" s="77">
        <f t="shared" si="139"/>
        <v>1150</v>
      </c>
      <c r="M852" s="88">
        <v>600</v>
      </c>
      <c r="N852" s="77">
        <f>100</f>
        <v>100</v>
      </c>
      <c r="O852" s="80">
        <v>240</v>
      </c>
      <c r="P852" s="80">
        <v>40</v>
      </c>
      <c r="Q852" s="80">
        <f t="shared" si="140"/>
        <v>315</v>
      </c>
      <c r="R852" s="80">
        <f t="shared" si="141"/>
        <v>100</v>
      </c>
      <c r="S852" s="77">
        <f t="shared" si="142"/>
        <v>695</v>
      </c>
      <c r="T852" s="77">
        <f>50</f>
        <v>50</v>
      </c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</row>
    <row r="853" spans="1:30" ht="15.75" x14ac:dyDescent="0.25">
      <c r="A853" s="32">
        <v>66900</v>
      </c>
      <c r="B853" s="89">
        <f t="shared" si="132"/>
        <v>28</v>
      </c>
      <c r="C853" s="77">
        <f>122.58</f>
        <v>122.58</v>
      </c>
      <c r="D853" s="77">
        <f>297.941</f>
        <v>297.94099999999997</v>
      </c>
      <c r="E853" s="86">
        <f>89.177</f>
        <v>89.177000000000007</v>
      </c>
      <c r="F853" s="77">
        <f>240.302-40-60-100</f>
        <v>40.301999999999992</v>
      </c>
      <c r="G853" s="80">
        <v>40</v>
      </c>
      <c r="H853" s="77">
        <f>60+100</f>
        <v>160</v>
      </c>
      <c r="I853" s="77">
        <f t="shared" si="136"/>
        <v>0</v>
      </c>
      <c r="J853" s="80">
        <v>100</v>
      </c>
      <c r="K853" s="80">
        <v>300</v>
      </c>
      <c r="L853" s="77">
        <f t="shared" si="139"/>
        <v>1150</v>
      </c>
      <c r="M853" s="88">
        <v>600</v>
      </c>
      <c r="N853" s="77">
        <f>100</f>
        <v>100</v>
      </c>
      <c r="O853" s="80">
        <v>240</v>
      </c>
      <c r="P853" s="80">
        <v>40</v>
      </c>
      <c r="Q853" s="80">
        <f t="shared" si="140"/>
        <v>315</v>
      </c>
      <c r="R853" s="80">
        <f t="shared" si="141"/>
        <v>100</v>
      </c>
      <c r="S853" s="77">
        <f t="shared" si="142"/>
        <v>695</v>
      </c>
      <c r="T853" s="77">
        <f>50</f>
        <v>50</v>
      </c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</row>
    <row r="854" spans="1:30" ht="15.75" x14ac:dyDescent="0.25">
      <c r="A854" s="32">
        <v>66931</v>
      </c>
      <c r="B854" s="89">
        <f t="shared" si="132"/>
        <v>31</v>
      </c>
      <c r="C854" s="77">
        <f>122.58</f>
        <v>122.58</v>
      </c>
      <c r="D854" s="77">
        <f>297.941</f>
        <v>297.94099999999997</v>
      </c>
      <c r="E854" s="86">
        <f>89.177</f>
        <v>89.177000000000007</v>
      </c>
      <c r="F854" s="77">
        <f>240.302-40-60-100</f>
        <v>40.301999999999992</v>
      </c>
      <c r="G854" s="80">
        <v>40</v>
      </c>
      <c r="H854" s="77">
        <f>60+100</f>
        <v>160</v>
      </c>
      <c r="I854" s="77">
        <f t="shared" si="136"/>
        <v>0</v>
      </c>
      <c r="J854" s="80">
        <v>100</v>
      </c>
      <c r="K854" s="80">
        <v>300</v>
      </c>
      <c r="L854" s="77">
        <f t="shared" si="139"/>
        <v>1150</v>
      </c>
      <c r="M854" s="88">
        <v>600</v>
      </c>
      <c r="N854" s="77">
        <f>100</f>
        <v>100</v>
      </c>
      <c r="O854" s="80">
        <v>240</v>
      </c>
      <c r="P854" s="80">
        <v>40</v>
      </c>
      <c r="Q854" s="80">
        <f t="shared" si="140"/>
        <v>315</v>
      </c>
      <c r="R854" s="80">
        <f t="shared" si="141"/>
        <v>100</v>
      </c>
      <c r="S854" s="77">
        <f t="shared" si="142"/>
        <v>695</v>
      </c>
      <c r="T854" s="77">
        <f>50</f>
        <v>50</v>
      </c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</row>
    <row r="855" spans="1:30" ht="15.75" x14ac:dyDescent="0.25">
      <c r="A855" s="32">
        <v>66961</v>
      </c>
      <c r="B855" s="89">
        <f t="shared" si="132"/>
        <v>30</v>
      </c>
      <c r="C855" s="77">
        <f>141.293</f>
        <v>141.29300000000001</v>
      </c>
      <c r="D855" s="77">
        <f>267.993</f>
        <v>267.99299999999999</v>
      </c>
      <c r="E855" s="86">
        <f>115.016</f>
        <v>115.01600000000001</v>
      </c>
      <c r="F855" s="77">
        <f>314.698-40-25-60-100</f>
        <v>89.697999999999979</v>
      </c>
      <c r="G855" s="80">
        <v>40</v>
      </c>
      <c r="H855" s="77">
        <f t="shared" ref="H855:H861" si="143">25+60+100</f>
        <v>185</v>
      </c>
      <c r="I855" s="77">
        <f t="shared" si="136"/>
        <v>0</v>
      </c>
      <c r="J855" s="80">
        <v>100</v>
      </c>
      <c r="K855" s="80">
        <v>300</v>
      </c>
      <c r="L855" s="77">
        <f t="shared" si="139"/>
        <v>1239</v>
      </c>
      <c r="M855" s="88">
        <v>600</v>
      </c>
      <c r="N855" s="77">
        <f>100</f>
        <v>100</v>
      </c>
      <c r="O855" s="80">
        <v>240</v>
      </c>
      <c r="P855" s="80">
        <v>40</v>
      </c>
      <c r="Q855" s="80">
        <f t="shared" si="140"/>
        <v>315</v>
      </c>
      <c r="R855" s="80">
        <f t="shared" si="141"/>
        <v>100</v>
      </c>
      <c r="S855" s="77">
        <f t="shared" si="142"/>
        <v>695</v>
      </c>
      <c r="T855" s="77">
        <f>50</f>
        <v>50</v>
      </c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</row>
    <row r="856" spans="1:30" ht="15.75" x14ac:dyDescent="0.25">
      <c r="A856" s="32">
        <v>66992</v>
      </c>
      <c r="B856" s="89">
        <f t="shared" ref="B856:B919" si="144">EOMONTH(A856,0)-EOMONTH(A856,-1)</f>
        <v>31</v>
      </c>
      <c r="C856" s="77">
        <f>194.205</f>
        <v>194.20500000000001</v>
      </c>
      <c r="D856" s="77">
        <f>267.466</f>
        <v>267.46600000000001</v>
      </c>
      <c r="E856" s="86">
        <f>133.845</f>
        <v>133.845</v>
      </c>
      <c r="F856" s="77">
        <f>278.484-40-25-60-100</f>
        <v>53.48399999999998</v>
      </c>
      <c r="G856" s="80">
        <v>40</v>
      </c>
      <c r="H856" s="77">
        <f t="shared" si="143"/>
        <v>185</v>
      </c>
      <c r="I856" s="77">
        <f t="shared" si="136"/>
        <v>0</v>
      </c>
      <c r="J856" s="80">
        <v>100</v>
      </c>
      <c r="K856" s="80">
        <v>300</v>
      </c>
      <c r="L856" s="77">
        <f t="shared" si="139"/>
        <v>1274</v>
      </c>
      <c r="M856" s="88">
        <v>600</v>
      </c>
      <c r="N856" s="77">
        <f>75</f>
        <v>75</v>
      </c>
      <c r="O856" s="80">
        <v>240</v>
      </c>
      <c r="P856" s="80">
        <v>40</v>
      </c>
      <c r="Q856" s="80">
        <f t="shared" si="140"/>
        <v>315</v>
      </c>
      <c r="R856" s="80">
        <f t="shared" si="141"/>
        <v>100</v>
      </c>
      <c r="S856" s="77">
        <f t="shared" si="142"/>
        <v>695</v>
      </c>
      <c r="T856" s="77">
        <f>50</f>
        <v>50</v>
      </c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</row>
    <row r="857" spans="1:30" ht="15.75" x14ac:dyDescent="0.25">
      <c r="A857" s="32">
        <v>67022</v>
      </c>
      <c r="B857" s="89">
        <f t="shared" si="144"/>
        <v>30</v>
      </c>
      <c r="C857" s="77">
        <f>194.205</f>
        <v>194.20500000000001</v>
      </c>
      <c r="D857" s="77">
        <f>267.466</f>
        <v>267.46600000000001</v>
      </c>
      <c r="E857" s="86">
        <f>133.845</f>
        <v>133.845</v>
      </c>
      <c r="F857" s="77">
        <f>278.484-40-25-60-100</f>
        <v>53.48399999999998</v>
      </c>
      <c r="G857" s="80">
        <v>40</v>
      </c>
      <c r="H857" s="77">
        <f t="shared" si="143"/>
        <v>185</v>
      </c>
      <c r="I857" s="77">
        <f t="shared" si="136"/>
        <v>0</v>
      </c>
      <c r="J857" s="80">
        <v>100</v>
      </c>
      <c r="K857" s="80">
        <v>300</v>
      </c>
      <c r="L857" s="77">
        <f t="shared" si="139"/>
        <v>1274</v>
      </c>
      <c r="M857" s="88">
        <v>600</v>
      </c>
      <c r="N857" s="77">
        <f>30</f>
        <v>30</v>
      </c>
      <c r="O857" s="80">
        <v>240</v>
      </c>
      <c r="P857" s="80">
        <v>40</v>
      </c>
      <c r="Q857" s="80">
        <f t="shared" si="140"/>
        <v>315</v>
      </c>
      <c r="R857" s="80">
        <f t="shared" si="141"/>
        <v>100</v>
      </c>
      <c r="S857" s="77">
        <f t="shared" si="142"/>
        <v>695</v>
      </c>
      <c r="T857" s="77">
        <f>50</f>
        <v>50</v>
      </c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</row>
    <row r="858" spans="1:30" ht="15.75" x14ac:dyDescent="0.25">
      <c r="A858" s="32">
        <v>67053</v>
      </c>
      <c r="B858" s="89">
        <f t="shared" si="144"/>
        <v>31</v>
      </c>
      <c r="C858" s="77">
        <f>194.205</f>
        <v>194.20500000000001</v>
      </c>
      <c r="D858" s="77">
        <f>267.466</f>
        <v>267.46600000000001</v>
      </c>
      <c r="E858" s="86">
        <f>133.845</f>
        <v>133.845</v>
      </c>
      <c r="F858" s="77">
        <f>278.484-40-25-60-100</f>
        <v>53.48399999999998</v>
      </c>
      <c r="G858" s="80">
        <v>40</v>
      </c>
      <c r="H858" s="77">
        <f t="shared" si="143"/>
        <v>185</v>
      </c>
      <c r="I858" s="77">
        <f t="shared" si="136"/>
        <v>0</v>
      </c>
      <c r="J858" s="80">
        <v>100</v>
      </c>
      <c r="K858" s="80">
        <v>300</v>
      </c>
      <c r="L858" s="77">
        <f t="shared" si="139"/>
        <v>1274</v>
      </c>
      <c r="M858" s="88">
        <v>600</v>
      </c>
      <c r="N858" s="77">
        <f>30</f>
        <v>30</v>
      </c>
      <c r="O858" s="80">
        <v>240</v>
      </c>
      <c r="P858" s="80">
        <v>40</v>
      </c>
      <c r="Q858" s="80">
        <f t="shared" si="140"/>
        <v>315</v>
      </c>
      <c r="R858" s="80">
        <f t="shared" si="141"/>
        <v>100</v>
      </c>
      <c r="S858" s="77">
        <f t="shared" si="142"/>
        <v>695</v>
      </c>
      <c r="T858" s="77">
        <f>0</f>
        <v>0</v>
      </c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</row>
    <row r="859" spans="1:30" ht="15.75" x14ac:dyDescent="0.25">
      <c r="A859" s="32">
        <v>67084</v>
      </c>
      <c r="B859" s="89">
        <f t="shared" si="144"/>
        <v>31</v>
      </c>
      <c r="C859" s="77">
        <f>194.205</f>
        <v>194.20500000000001</v>
      </c>
      <c r="D859" s="77">
        <f>267.466</f>
        <v>267.46600000000001</v>
      </c>
      <c r="E859" s="86">
        <f>133.845</f>
        <v>133.845</v>
      </c>
      <c r="F859" s="77">
        <f>278.484-40-25-60-100</f>
        <v>53.48399999999998</v>
      </c>
      <c r="G859" s="80">
        <v>40</v>
      </c>
      <c r="H859" s="77">
        <f t="shared" si="143"/>
        <v>185</v>
      </c>
      <c r="I859" s="77">
        <f t="shared" si="136"/>
        <v>0</v>
      </c>
      <c r="J859" s="80">
        <v>100</v>
      </c>
      <c r="K859" s="80">
        <v>300</v>
      </c>
      <c r="L859" s="77">
        <f t="shared" si="139"/>
        <v>1274</v>
      </c>
      <c r="M859" s="88">
        <v>600</v>
      </c>
      <c r="N859" s="77">
        <f>30</f>
        <v>30</v>
      </c>
      <c r="O859" s="80">
        <v>240</v>
      </c>
      <c r="P859" s="80">
        <v>40</v>
      </c>
      <c r="Q859" s="80">
        <f t="shared" si="140"/>
        <v>315</v>
      </c>
      <c r="R859" s="80">
        <f t="shared" si="141"/>
        <v>100</v>
      </c>
      <c r="S859" s="77">
        <f t="shared" si="142"/>
        <v>695</v>
      </c>
      <c r="T859" s="77">
        <f>0</f>
        <v>0</v>
      </c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</row>
    <row r="860" spans="1:30" ht="15.75" x14ac:dyDescent="0.25">
      <c r="A860" s="32">
        <v>67114</v>
      </c>
      <c r="B860" s="89">
        <f t="shared" si="144"/>
        <v>30</v>
      </c>
      <c r="C860" s="77">
        <f>194.205</f>
        <v>194.20500000000001</v>
      </c>
      <c r="D860" s="77">
        <f>267.466</f>
        <v>267.46600000000001</v>
      </c>
      <c r="E860" s="86">
        <f>133.845</f>
        <v>133.845</v>
      </c>
      <c r="F860" s="77">
        <f>278.484-40-25-60-100</f>
        <v>53.48399999999998</v>
      </c>
      <c r="G860" s="80">
        <v>40</v>
      </c>
      <c r="H860" s="77">
        <f t="shared" si="143"/>
        <v>185</v>
      </c>
      <c r="I860" s="77">
        <f t="shared" si="136"/>
        <v>0</v>
      </c>
      <c r="J860" s="80">
        <v>100</v>
      </c>
      <c r="K860" s="80">
        <v>300</v>
      </c>
      <c r="L860" s="77">
        <f t="shared" si="139"/>
        <v>1274</v>
      </c>
      <c r="M860" s="88">
        <v>600</v>
      </c>
      <c r="N860" s="77">
        <f>30</f>
        <v>30</v>
      </c>
      <c r="O860" s="80">
        <v>240</v>
      </c>
      <c r="P860" s="80">
        <v>40</v>
      </c>
      <c r="Q860" s="80">
        <f t="shared" si="140"/>
        <v>315</v>
      </c>
      <c r="R860" s="80">
        <f t="shared" si="141"/>
        <v>100</v>
      </c>
      <c r="S860" s="77">
        <f t="shared" si="142"/>
        <v>695</v>
      </c>
      <c r="T860" s="77">
        <f>0</f>
        <v>0</v>
      </c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</row>
    <row r="861" spans="1:30" ht="15.75" x14ac:dyDescent="0.25">
      <c r="A861" s="32">
        <v>67145</v>
      </c>
      <c r="B861" s="89">
        <f t="shared" si="144"/>
        <v>31</v>
      </c>
      <c r="C861" s="77">
        <f>131.881</f>
        <v>131.881</v>
      </c>
      <c r="D861" s="77">
        <f>277.167</f>
        <v>277.16699999999997</v>
      </c>
      <c r="E861" s="86">
        <f>79.08</f>
        <v>79.08</v>
      </c>
      <c r="F861" s="77">
        <f>350.872-40-25-60-100</f>
        <v>125.87200000000001</v>
      </c>
      <c r="G861" s="80">
        <v>40</v>
      </c>
      <c r="H861" s="77">
        <f t="shared" si="143"/>
        <v>185</v>
      </c>
      <c r="I861" s="77">
        <f t="shared" si="136"/>
        <v>0</v>
      </c>
      <c r="J861" s="80">
        <v>100</v>
      </c>
      <c r="K861" s="80">
        <v>300</v>
      </c>
      <c r="L861" s="77">
        <f t="shared" si="139"/>
        <v>1239</v>
      </c>
      <c r="M861" s="88">
        <v>600</v>
      </c>
      <c r="N861" s="77">
        <f>75</f>
        <v>75</v>
      </c>
      <c r="O861" s="80">
        <v>240</v>
      </c>
      <c r="P861" s="80">
        <v>40</v>
      </c>
      <c r="Q861" s="80">
        <f t="shared" si="140"/>
        <v>315</v>
      </c>
      <c r="R861" s="80">
        <f t="shared" si="141"/>
        <v>100</v>
      </c>
      <c r="S861" s="77">
        <f t="shared" si="142"/>
        <v>695</v>
      </c>
      <c r="T861" s="77">
        <f>0</f>
        <v>0</v>
      </c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</row>
    <row r="862" spans="1:30" ht="15.75" x14ac:dyDescent="0.25">
      <c r="A862" s="32">
        <v>67175</v>
      </c>
      <c r="B862" s="89">
        <f t="shared" si="144"/>
        <v>30</v>
      </c>
      <c r="C862" s="77">
        <f>122.58</f>
        <v>122.58</v>
      </c>
      <c r="D862" s="77">
        <f>297.941</f>
        <v>297.94099999999997</v>
      </c>
      <c r="E862" s="86">
        <f>89.177</f>
        <v>89.177000000000007</v>
      </c>
      <c r="F862" s="77">
        <f>240.302-40-60-100</f>
        <v>40.301999999999992</v>
      </c>
      <c r="G862" s="80">
        <v>40</v>
      </c>
      <c r="H862" s="77">
        <f>60+100</f>
        <v>160</v>
      </c>
      <c r="I862" s="77">
        <f t="shared" si="136"/>
        <v>0</v>
      </c>
      <c r="J862" s="80">
        <v>100</v>
      </c>
      <c r="K862" s="80">
        <v>300</v>
      </c>
      <c r="L862" s="77">
        <f t="shared" si="139"/>
        <v>1150</v>
      </c>
      <c r="M862" s="88">
        <v>600</v>
      </c>
      <c r="N862" s="77">
        <f>100</f>
        <v>100</v>
      </c>
      <c r="O862" s="80">
        <v>240</v>
      </c>
      <c r="P862" s="80">
        <v>40</v>
      </c>
      <c r="Q862" s="80">
        <f t="shared" si="140"/>
        <v>315</v>
      </c>
      <c r="R862" s="80">
        <f t="shared" si="141"/>
        <v>100</v>
      </c>
      <c r="S862" s="77">
        <f t="shared" si="142"/>
        <v>695</v>
      </c>
      <c r="T862" s="77">
        <f>50</f>
        <v>50</v>
      </c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</row>
    <row r="863" spans="1:30" ht="15.75" x14ac:dyDescent="0.25">
      <c r="A863" s="32">
        <v>67206</v>
      </c>
      <c r="B863" s="89">
        <f t="shared" si="144"/>
        <v>31</v>
      </c>
      <c r="C863" s="77">
        <f>122.58</f>
        <v>122.58</v>
      </c>
      <c r="D863" s="77">
        <f>297.941</f>
        <v>297.94099999999997</v>
      </c>
      <c r="E863" s="86">
        <f>89.177</f>
        <v>89.177000000000007</v>
      </c>
      <c r="F863" s="77">
        <f>240.302-40-60-100</f>
        <v>40.301999999999992</v>
      </c>
      <c r="G863" s="80">
        <v>40</v>
      </c>
      <c r="H863" s="77">
        <f>60+100</f>
        <v>160</v>
      </c>
      <c r="I863" s="77">
        <f t="shared" si="136"/>
        <v>0</v>
      </c>
      <c r="J863" s="80">
        <v>100</v>
      </c>
      <c r="K863" s="80">
        <v>300</v>
      </c>
      <c r="L863" s="77">
        <f t="shared" si="139"/>
        <v>1150</v>
      </c>
      <c r="M863" s="88">
        <v>600</v>
      </c>
      <c r="N863" s="77">
        <f>100</f>
        <v>100</v>
      </c>
      <c r="O863" s="80">
        <v>240</v>
      </c>
      <c r="P863" s="80">
        <v>40</v>
      </c>
      <c r="Q863" s="80">
        <f t="shared" si="140"/>
        <v>315</v>
      </c>
      <c r="R863" s="80">
        <f t="shared" si="141"/>
        <v>100</v>
      </c>
      <c r="S863" s="77">
        <f t="shared" si="142"/>
        <v>695</v>
      </c>
      <c r="T863" s="77">
        <f>50</f>
        <v>50</v>
      </c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</row>
    <row r="864" spans="1:30" ht="15.75" x14ac:dyDescent="0.25">
      <c r="A864" s="32">
        <v>67237</v>
      </c>
      <c r="B864" s="89">
        <f t="shared" si="144"/>
        <v>31</v>
      </c>
      <c r="C864" s="77">
        <f>122.58</f>
        <v>122.58</v>
      </c>
      <c r="D864" s="77">
        <f>297.941</f>
        <v>297.94099999999997</v>
      </c>
      <c r="E864" s="86">
        <f>89.177</f>
        <v>89.177000000000007</v>
      </c>
      <c r="F864" s="77">
        <f>240.302-40-60-100</f>
        <v>40.301999999999992</v>
      </c>
      <c r="G864" s="80">
        <v>40</v>
      </c>
      <c r="H864" s="77">
        <f>60+100</f>
        <v>160</v>
      </c>
      <c r="I864" s="77">
        <f t="shared" si="136"/>
        <v>0</v>
      </c>
      <c r="J864" s="80">
        <v>100</v>
      </c>
      <c r="K864" s="80">
        <v>300</v>
      </c>
      <c r="L864" s="77">
        <f t="shared" si="139"/>
        <v>1150</v>
      </c>
      <c r="M864" s="88">
        <v>600</v>
      </c>
      <c r="N864" s="77">
        <f>100</f>
        <v>100</v>
      </c>
      <c r="O864" s="80">
        <v>240</v>
      </c>
      <c r="P864" s="80">
        <v>40</v>
      </c>
      <c r="Q864" s="80">
        <f t="shared" si="140"/>
        <v>315</v>
      </c>
      <c r="R864" s="80">
        <f t="shared" si="141"/>
        <v>100</v>
      </c>
      <c r="S864" s="77">
        <f t="shared" si="142"/>
        <v>695</v>
      </c>
      <c r="T864" s="77">
        <f>50</f>
        <v>50</v>
      </c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</row>
    <row r="865" spans="1:30" ht="15.75" x14ac:dyDescent="0.25">
      <c r="A865" s="32">
        <v>67266</v>
      </c>
      <c r="B865" s="89">
        <f t="shared" si="144"/>
        <v>29</v>
      </c>
      <c r="C865" s="77">
        <f>122.58</f>
        <v>122.58</v>
      </c>
      <c r="D865" s="77">
        <f>297.941</f>
        <v>297.94099999999997</v>
      </c>
      <c r="E865" s="86">
        <f>89.177</f>
        <v>89.177000000000007</v>
      </c>
      <c r="F865" s="77">
        <f>240.302-40-60-100</f>
        <v>40.301999999999992</v>
      </c>
      <c r="G865" s="80">
        <v>40</v>
      </c>
      <c r="H865" s="77">
        <f>60+100</f>
        <v>160</v>
      </c>
      <c r="I865" s="77">
        <f t="shared" si="136"/>
        <v>0</v>
      </c>
      <c r="J865" s="80">
        <v>100</v>
      </c>
      <c r="K865" s="80">
        <v>300</v>
      </c>
      <c r="L865" s="77">
        <f t="shared" si="139"/>
        <v>1150</v>
      </c>
      <c r="M865" s="88">
        <v>600</v>
      </c>
      <c r="N865" s="77">
        <f>100</f>
        <v>100</v>
      </c>
      <c r="O865" s="80">
        <v>240</v>
      </c>
      <c r="P865" s="80">
        <v>40</v>
      </c>
      <c r="Q865" s="80">
        <f t="shared" si="140"/>
        <v>315</v>
      </c>
      <c r="R865" s="80">
        <f t="shared" si="141"/>
        <v>100</v>
      </c>
      <c r="S865" s="77">
        <f t="shared" si="142"/>
        <v>695</v>
      </c>
      <c r="T865" s="77">
        <f>50</f>
        <v>50</v>
      </c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</row>
    <row r="866" spans="1:30" ht="15.75" x14ac:dyDescent="0.25">
      <c r="A866" s="32">
        <v>67297</v>
      </c>
      <c r="B866" s="89">
        <f t="shared" si="144"/>
        <v>31</v>
      </c>
      <c r="C866" s="77">
        <f>122.58</f>
        <v>122.58</v>
      </c>
      <c r="D866" s="77">
        <f>297.941</f>
        <v>297.94099999999997</v>
      </c>
      <c r="E866" s="86">
        <f>89.177</f>
        <v>89.177000000000007</v>
      </c>
      <c r="F866" s="77">
        <f>240.302-40-60-100</f>
        <v>40.301999999999992</v>
      </c>
      <c r="G866" s="80">
        <v>40</v>
      </c>
      <c r="H866" s="77">
        <f>60+100</f>
        <v>160</v>
      </c>
      <c r="I866" s="77">
        <f t="shared" si="136"/>
        <v>0</v>
      </c>
      <c r="J866" s="80">
        <v>100</v>
      </c>
      <c r="K866" s="80">
        <v>300</v>
      </c>
      <c r="L866" s="77">
        <f t="shared" si="139"/>
        <v>1150</v>
      </c>
      <c r="M866" s="88">
        <v>600</v>
      </c>
      <c r="N866" s="77">
        <f>100</f>
        <v>100</v>
      </c>
      <c r="O866" s="80">
        <v>240</v>
      </c>
      <c r="P866" s="80">
        <v>40</v>
      </c>
      <c r="Q866" s="80">
        <f t="shared" si="140"/>
        <v>315</v>
      </c>
      <c r="R866" s="80">
        <f t="shared" si="141"/>
        <v>100</v>
      </c>
      <c r="S866" s="77">
        <f t="shared" si="142"/>
        <v>695</v>
      </c>
      <c r="T866" s="77">
        <f>50</f>
        <v>50</v>
      </c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</row>
    <row r="867" spans="1:30" ht="15.75" x14ac:dyDescent="0.25">
      <c r="A867" s="32">
        <v>67327</v>
      </c>
      <c r="B867" s="89">
        <f t="shared" si="144"/>
        <v>30</v>
      </c>
      <c r="C867" s="77">
        <f>141.293</f>
        <v>141.29300000000001</v>
      </c>
      <c r="D867" s="77">
        <f>267.993</f>
        <v>267.99299999999999</v>
      </c>
      <c r="E867" s="86">
        <f>115.016</f>
        <v>115.01600000000001</v>
      </c>
      <c r="F867" s="77">
        <f>314.698-40-25-60-100</f>
        <v>89.697999999999979</v>
      </c>
      <c r="G867" s="80">
        <v>40</v>
      </c>
      <c r="H867" s="77">
        <f t="shared" ref="H867:H873" si="145">25+60+100</f>
        <v>185</v>
      </c>
      <c r="I867" s="77">
        <f t="shared" si="136"/>
        <v>0</v>
      </c>
      <c r="J867" s="80">
        <v>100</v>
      </c>
      <c r="K867" s="80">
        <v>300</v>
      </c>
      <c r="L867" s="77">
        <f t="shared" si="139"/>
        <v>1239</v>
      </c>
      <c r="M867" s="88">
        <v>600</v>
      </c>
      <c r="N867" s="77">
        <f>100</f>
        <v>100</v>
      </c>
      <c r="O867" s="80">
        <v>240</v>
      </c>
      <c r="P867" s="80">
        <v>40</v>
      </c>
      <c r="Q867" s="80">
        <f t="shared" si="140"/>
        <v>315</v>
      </c>
      <c r="R867" s="80">
        <f t="shared" si="141"/>
        <v>100</v>
      </c>
      <c r="S867" s="77">
        <f t="shared" si="142"/>
        <v>695</v>
      </c>
      <c r="T867" s="77">
        <f>50</f>
        <v>50</v>
      </c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</row>
    <row r="868" spans="1:30" ht="15.75" x14ac:dyDescent="0.25">
      <c r="A868" s="32">
        <v>67358</v>
      </c>
      <c r="B868" s="89">
        <f t="shared" si="144"/>
        <v>31</v>
      </c>
      <c r="C868" s="77">
        <f>194.205</f>
        <v>194.20500000000001</v>
      </c>
      <c r="D868" s="77">
        <f>267.466</f>
        <v>267.46600000000001</v>
      </c>
      <c r="E868" s="86">
        <f>133.845</f>
        <v>133.845</v>
      </c>
      <c r="F868" s="77">
        <f>278.484-40-25-60-100</f>
        <v>53.48399999999998</v>
      </c>
      <c r="G868" s="80">
        <v>40</v>
      </c>
      <c r="H868" s="77">
        <f t="shared" si="145"/>
        <v>185</v>
      </c>
      <c r="I868" s="77">
        <f t="shared" si="136"/>
        <v>0</v>
      </c>
      <c r="J868" s="80">
        <v>100</v>
      </c>
      <c r="K868" s="80">
        <v>300</v>
      </c>
      <c r="L868" s="77">
        <f t="shared" si="139"/>
        <v>1274</v>
      </c>
      <c r="M868" s="88">
        <v>600</v>
      </c>
      <c r="N868" s="77">
        <f>75</f>
        <v>75</v>
      </c>
      <c r="O868" s="80">
        <v>240</v>
      </c>
      <c r="P868" s="80">
        <v>40</v>
      </c>
      <c r="Q868" s="80">
        <f t="shared" si="140"/>
        <v>315</v>
      </c>
      <c r="R868" s="80">
        <f t="shared" si="141"/>
        <v>100</v>
      </c>
      <c r="S868" s="77">
        <f t="shared" si="142"/>
        <v>695</v>
      </c>
      <c r="T868" s="77">
        <f>50</f>
        <v>50</v>
      </c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</row>
    <row r="869" spans="1:30" ht="15.75" x14ac:dyDescent="0.25">
      <c r="A869" s="32">
        <v>67388</v>
      </c>
      <c r="B869" s="89">
        <f t="shared" si="144"/>
        <v>30</v>
      </c>
      <c r="C869" s="77">
        <f>194.205</f>
        <v>194.20500000000001</v>
      </c>
      <c r="D869" s="77">
        <f>267.466</f>
        <v>267.46600000000001</v>
      </c>
      <c r="E869" s="86">
        <f>133.845</f>
        <v>133.845</v>
      </c>
      <c r="F869" s="77">
        <f>278.484-40-25-60-100</f>
        <v>53.48399999999998</v>
      </c>
      <c r="G869" s="80">
        <v>40</v>
      </c>
      <c r="H869" s="77">
        <f t="shared" si="145"/>
        <v>185</v>
      </c>
      <c r="I869" s="77">
        <f t="shared" si="136"/>
        <v>0</v>
      </c>
      <c r="J869" s="80">
        <v>100</v>
      </c>
      <c r="K869" s="80">
        <v>300</v>
      </c>
      <c r="L869" s="77">
        <f t="shared" si="139"/>
        <v>1274</v>
      </c>
      <c r="M869" s="88">
        <v>600</v>
      </c>
      <c r="N869" s="77">
        <f>30</f>
        <v>30</v>
      </c>
      <c r="O869" s="80">
        <v>240</v>
      </c>
      <c r="P869" s="80">
        <v>40</v>
      </c>
      <c r="Q869" s="80">
        <f t="shared" si="140"/>
        <v>315</v>
      </c>
      <c r="R869" s="80">
        <f t="shared" si="141"/>
        <v>100</v>
      </c>
      <c r="S869" s="77">
        <f t="shared" si="142"/>
        <v>695</v>
      </c>
      <c r="T869" s="77">
        <f>50</f>
        <v>50</v>
      </c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</row>
    <row r="870" spans="1:30" ht="15.75" x14ac:dyDescent="0.25">
      <c r="A870" s="32">
        <v>67419</v>
      </c>
      <c r="B870" s="89">
        <f t="shared" si="144"/>
        <v>31</v>
      </c>
      <c r="C870" s="77">
        <f>194.205</f>
        <v>194.20500000000001</v>
      </c>
      <c r="D870" s="77">
        <f>267.466</f>
        <v>267.46600000000001</v>
      </c>
      <c r="E870" s="86">
        <f>133.845</f>
        <v>133.845</v>
      </c>
      <c r="F870" s="77">
        <f>278.484-40-25-60-100</f>
        <v>53.48399999999998</v>
      </c>
      <c r="G870" s="80">
        <v>40</v>
      </c>
      <c r="H870" s="77">
        <f t="shared" si="145"/>
        <v>185</v>
      </c>
      <c r="I870" s="77">
        <f t="shared" si="136"/>
        <v>0</v>
      </c>
      <c r="J870" s="80">
        <v>100</v>
      </c>
      <c r="K870" s="80">
        <v>300</v>
      </c>
      <c r="L870" s="77">
        <f t="shared" si="139"/>
        <v>1274</v>
      </c>
      <c r="M870" s="88">
        <v>600</v>
      </c>
      <c r="N870" s="77">
        <f>30</f>
        <v>30</v>
      </c>
      <c r="O870" s="80">
        <v>240</v>
      </c>
      <c r="P870" s="80">
        <v>40</v>
      </c>
      <c r="Q870" s="80">
        <f t="shared" si="140"/>
        <v>315</v>
      </c>
      <c r="R870" s="80">
        <f t="shared" si="141"/>
        <v>100</v>
      </c>
      <c r="S870" s="77">
        <f t="shared" si="142"/>
        <v>695</v>
      </c>
      <c r="T870" s="77">
        <f>0</f>
        <v>0</v>
      </c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</row>
    <row r="871" spans="1:30" ht="15.75" x14ac:dyDescent="0.25">
      <c r="A871" s="32">
        <v>67450</v>
      </c>
      <c r="B871" s="89">
        <f t="shared" si="144"/>
        <v>31</v>
      </c>
      <c r="C871" s="77">
        <f>194.205</f>
        <v>194.20500000000001</v>
      </c>
      <c r="D871" s="77">
        <f>267.466</f>
        <v>267.46600000000001</v>
      </c>
      <c r="E871" s="86">
        <f>133.845</f>
        <v>133.845</v>
      </c>
      <c r="F871" s="77">
        <f>278.484-40-25-60-100</f>
        <v>53.48399999999998</v>
      </c>
      <c r="G871" s="80">
        <v>40</v>
      </c>
      <c r="H871" s="77">
        <f t="shared" si="145"/>
        <v>185</v>
      </c>
      <c r="I871" s="77">
        <f t="shared" si="136"/>
        <v>0</v>
      </c>
      <c r="J871" s="80">
        <v>100</v>
      </c>
      <c r="K871" s="80">
        <v>300</v>
      </c>
      <c r="L871" s="77">
        <f t="shared" si="139"/>
        <v>1274</v>
      </c>
      <c r="M871" s="88">
        <v>600</v>
      </c>
      <c r="N871" s="77">
        <f>30</f>
        <v>30</v>
      </c>
      <c r="O871" s="80">
        <v>240</v>
      </c>
      <c r="P871" s="80">
        <v>40</v>
      </c>
      <c r="Q871" s="80">
        <f t="shared" si="140"/>
        <v>315</v>
      </c>
      <c r="R871" s="80">
        <f t="shared" si="141"/>
        <v>100</v>
      </c>
      <c r="S871" s="77">
        <f t="shared" si="142"/>
        <v>695</v>
      </c>
      <c r="T871" s="77">
        <f>0</f>
        <v>0</v>
      </c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</row>
    <row r="872" spans="1:30" ht="15.75" x14ac:dyDescent="0.25">
      <c r="A872" s="32">
        <v>67480</v>
      </c>
      <c r="B872" s="89">
        <f t="shared" si="144"/>
        <v>30</v>
      </c>
      <c r="C872" s="77">
        <f>194.205</f>
        <v>194.20500000000001</v>
      </c>
      <c r="D872" s="77">
        <f>267.466</f>
        <v>267.46600000000001</v>
      </c>
      <c r="E872" s="86">
        <f>133.845</f>
        <v>133.845</v>
      </c>
      <c r="F872" s="77">
        <f>278.484-40-25-60-100</f>
        <v>53.48399999999998</v>
      </c>
      <c r="G872" s="80">
        <v>40</v>
      </c>
      <c r="H872" s="77">
        <f t="shared" si="145"/>
        <v>185</v>
      </c>
      <c r="I872" s="77">
        <f t="shared" si="136"/>
        <v>0</v>
      </c>
      <c r="J872" s="80">
        <v>100</v>
      </c>
      <c r="K872" s="80">
        <v>300</v>
      </c>
      <c r="L872" s="77">
        <f t="shared" si="139"/>
        <v>1274</v>
      </c>
      <c r="M872" s="88">
        <v>600</v>
      </c>
      <c r="N872" s="77">
        <f>30</f>
        <v>30</v>
      </c>
      <c r="O872" s="80">
        <v>240</v>
      </c>
      <c r="P872" s="80">
        <v>40</v>
      </c>
      <c r="Q872" s="80">
        <f t="shared" si="140"/>
        <v>315</v>
      </c>
      <c r="R872" s="80">
        <f t="shared" si="141"/>
        <v>100</v>
      </c>
      <c r="S872" s="77">
        <f t="shared" si="142"/>
        <v>695</v>
      </c>
      <c r="T872" s="77">
        <f>0</f>
        <v>0</v>
      </c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</row>
    <row r="873" spans="1:30" ht="15.75" x14ac:dyDescent="0.25">
      <c r="A873" s="32">
        <v>67511</v>
      </c>
      <c r="B873" s="89">
        <f t="shared" si="144"/>
        <v>31</v>
      </c>
      <c r="C873" s="77">
        <f>131.881</f>
        <v>131.881</v>
      </c>
      <c r="D873" s="77">
        <f>277.167</f>
        <v>277.16699999999997</v>
      </c>
      <c r="E873" s="86">
        <f>79.08</f>
        <v>79.08</v>
      </c>
      <c r="F873" s="77">
        <f>350.872-40-25-60-100</f>
        <v>125.87200000000001</v>
      </c>
      <c r="G873" s="80">
        <v>40</v>
      </c>
      <c r="H873" s="77">
        <f t="shared" si="145"/>
        <v>185</v>
      </c>
      <c r="I873" s="77">
        <f t="shared" si="136"/>
        <v>0</v>
      </c>
      <c r="J873" s="80">
        <v>100</v>
      </c>
      <c r="K873" s="80">
        <v>300</v>
      </c>
      <c r="L873" s="77">
        <f t="shared" si="139"/>
        <v>1239</v>
      </c>
      <c r="M873" s="88">
        <v>600</v>
      </c>
      <c r="N873" s="77">
        <f>75</f>
        <v>75</v>
      </c>
      <c r="O873" s="80">
        <v>240</v>
      </c>
      <c r="P873" s="80">
        <v>40</v>
      </c>
      <c r="Q873" s="80">
        <f t="shared" si="140"/>
        <v>315</v>
      </c>
      <c r="R873" s="80">
        <f t="shared" si="141"/>
        <v>100</v>
      </c>
      <c r="S873" s="77">
        <f t="shared" si="142"/>
        <v>695</v>
      </c>
      <c r="T873" s="77">
        <f>0</f>
        <v>0</v>
      </c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</row>
    <row r="874" spans="1:30" ht="15.75" x14ac:dyDescent="0.25">
      <c r="A874" s="32">
        <v>67541</v>
      </c>
      <c r="B874" s="89">
        <f t="shared" si="144"/>
        <v>30</v>
      </c>
      <c r="C874" s="77">
        <f>122.58</f>
        <v>122.58</v>
      </c>
      <c r="D874" s="77">
        <f>297.941</f>
        <v>297.94099999999997</v>
      </c>
      <c r="E874" s="86">
        <f>89.177</f>
        <v>89.177000000000007</v>
      </c>
      <c r="F874" s="77">
        <f>240.302-40-60-100</f>
        <v>40.301999999999992</v>
      </c>
      <c r="G874" s="80">
        <v>40</v>
      </c>
      <c r="H874" s="77">
        <f>60+100</f>
        <v>160</v>
      </c>
      <c r="I874" s="77">
        <f t="shared" si="136"/>
        <v>0</v>
      </c>
      <c r="J874" s="80">
        <v>100</v>
      </c>
      <c r="K874" s="80">
        <v>300</v>
      </c>
      <c r="L874" s="77">
        <f t="shared" si="139"/>
        <v>1150</v>
      </c>
      <c r="M874" s="88">
        <v>600</v>
      </c>
      <c r="N874" s="77">
        <f>100</f>
        <v>100</v>
      </c>
      <c r="O874" s="80">
        <v>240</v>
      </c>
      <c r="P874" s="80">
        <v>40</v>
      </c>
      <c r="Q874" s="80">
        <f t="shared" si="140"/>
        <v>315</v>
      </c>
      <c r="R874" s="80">
        <f t="shared" si="141"/>
        <v>100</v>
      </c>
      <c r="S874" s="77">
        <f t="shared" si="142"/>
        <v>695</v>
      </c>
      <c r="T874" s="77">
        <f>50</f>
        <v>50</v>
      </c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</row>
    <row r="875" spans="1:30" ht="15.75" x14ac:dyDescent="0.25">
      <c r="A875" s="32">
        <v>67572</v>
      </c>
      <c r="B875" s="89">
        <f t="shared" si="144"/>
        <v>31</v>
      </c>
      <c r="C875" s="77">
        <f>122.58</f>
        <v>122.58</v>
      </c>
      <c r="D875" s="77">
        <f>297.941</f>
        <v>297.94099999999997</v>
      </c>
      <c r="E875" s="86">
        <f>89.177</f>
        <v>89.177000000000007</v>
      </c>
      <c r="F875" s="77">
        <f>240.302-40-60-100</f>
        <v>40.301999999999992</v>
      </c>
      <c r="G875" s="80">
        <v>40</v>
      </c>
      <c r="H875" s="77">
        <f>60+100</f>
        <v>160</v>
      </c>
      <c r="I875" s="77">
        <f t="shared" si="136"/>
        <v>0</v>
      </c>
      <c r="J875" s="80">
        <v>100</v>
      </c>
      <c r="K875" s="80">
        <v>300</v>
      </c>
      <c r="L875" s="77">
        <f t="shared" si="139"/>
        <v>1150</v>
      </c>
      <c r="M875" s="88">
        <v>600</v>
      </c>
      <c r="N875" s="77">
        <f>100</f>
        <v>100</v>
      </c>
      <c r="O875" s="80">
        <v>240</v>
      </c>
      <c r="P875" s="80">
        <v>40</v>
      </c>
      <c r="Q875" s="80">
        <f t="shared" si="140"/>
        <v>315</v>
      </c>
      <c r="R875" s="80">
        <f t="shared" si="141"/>
        <v>100</v>
      </c>
      <c r="S875" s="77">
        <f t="shared" si="142"/>
        <v>695</v>
      </c>
      <c r="T875" s="77">
        <f>50</f>
        <v>50</v>
      </c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</row>
    <row r="876" spans="1:30" ht="15.75" x14ac:dyDescent="0.25">
      <c r="A876" s="32">
        <v>67603</v>
      </c>
      <c r="B876" s="89">
        <f t="shared" si="144"/>
        <v>31</v>
      </c>
      <c r="C876" s="77">
        <f>122.58</f>
        <v>122.58</v>
      </c>
      <c r="D876" s="77">
        <f>297.941</f>
        <v>297.94099999999997</v>
      </c>
      <c r="E876" s="86">
        <f>89.177</f>
        <v>89.177000000000007</v>
      </c>
      <c r="F876" s="77">
        <f>240.302-40-60-100</f>
        <v>40.301999999999992</v>
      </c>
      <c r="G876" s="80">
        <v>40</v>
      </c>
      <c r="H876" s="77">
        <f>60+100</f>
        <v>160</v>
      </c>
      <c r="I876" s="77">
        <f t="shared" si="136"/>
        <v>0</v>
      </c>
      <c r="J876" s="80">
        <v>100</v>
      </c>
      <c r="K876" s="80">
        <v>300</v>
      </c>
      <c r="L876" s="77">
        <f t="shared" si="139"/>
        <v>1150</v>
      </c>
      <c r="M876" s="88">
        <v>600</v>
      </c>
      <c r="N876" s="77">
        <f>100</f>
        <v>100</v>
      </c>
      <c r="O876" s="80">
        <v>240</v>
      </c>
      <c r="P876" s="80">
        <v>40</v>
      </c>
      <c r="Q876" s="80">
        <f t="shared" si="140"/>
        <v>315</v>
      </c>
      <c r="R876" s="80">
        <f t="shared" si="141"/>
        <v>100</v>
      </c>
      <c r="S876" s="77">
        <f t="shared" si="142"/>
        <v>695</v>
      </c>
      <c r="T876" s="77">
        <f>50</f>
        <v>50</v>
      </c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</row>
    <row r="877" spans="1:30" ht="15.75" x14ac:dyDescent="0.25">
      <c r="A877" s="32">
        <v>67631</v>
      </c>
      <c r="B877" s="89">
        <f t="shared" si="144"/>
        <v>28</v>
      </c>
      <c r="C877" s="77">
        <f>122.58</f>
        <v>122.58</v>
      </c>
      <c r="D877" s="77">
        <f>297.941</f>
        <v>297.94099999999997</v>
      </c>
      <c r="E877" s="86">
        <f>89.177</f>
        <v>89.177000000000007</v>
      </c>
      <c r="F877" s="77">
        <f>240.302-40-60-100</f>
        <v>40.301999999999992</v>
      </c>
      <c r="G877" s="80">
        <v>40</v>
      </c>
      <c r="H877" s="77">
        <f>60+100</f>
        <v>160</v>
      </c>
      <c r="I877" s="77">
        <f t="shared" si="136"/>
        <v>0</v>
      </c>
      <c r="J877" s="80">
        <v>100</v>
      </c>
      <c r="K877" s="80">
        <v>300</v>
      </c>
      <c r="L877" s="77">
        <f t="shared" si="139"/>
        <v>1150</v>
      </c>
      <c r="M877" s="88">
        <v>600</v>
      </c>
      <c r="N877" s="77">
        <f>100</f>
        <v>100</v>
      </c>
      <c r="O877" s="80">
        <v>240</v>
      </c>
      <c r="P877" s="80">
        <v>40</v>
      </c>
      <c r="Q877" s="80">
        <f t="shared" si="140"/>
        <v>315</v>
      </c>
      <c r="R877" s="80">
        <f t="shared" si="141"/>
        <v>100</v>
      </c>
      <c r="S877" s="77">
        <f t="shared" si="142"/>
        <v>695</v>
      </c>
      <c r="T877" s="77">
        <f>50</f>
        <v>50</v>
      </c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</row>
    <row r="878" spans="1:30" ht="15.75" x14ac:dyDescent="0.25">
      <c r="A878" s="32">
        <v>67662</v>
      </c>
      <c r="B878" s="89">
        <f t="shared" si="144"/>
        <v>31</v>
      </c>
      <c r="C878" s="77">
        <f>122.58</f>
        <v>122.58</v>
      </c>
      <c r="D878" s="77">
        <f>297.941</f>
        <v>297.94099999999997</v>
      </c>
      <c r="E878" s="86">
        <f>89.177</f>
        <v>89.177000000000007</v>
      </c>
      <c r="F878" s="77">
        <f>240.302-40-60-100</f>
        <v>40.301999999999992</v>
      </c>
      <c r="G878" s="80">
        <v>40</v>
      </c>
      <c r="H878" s="77">
        <f>60+100</f>
        <v>160</v>
      </c>
      <c r="I878" s="77">
        <f t="shared" si="136"/>
        <v>0</v>
      </c>
      <c r="J878" s="80">
        <v>100</v>
      </c>
      <c r="K878" s="80">
        <v>300</v>
      </c>
      <c r="L878" s="77">
        <f t="shared" si="139"/>
        <v>1150</v>
      </c>
      <c r="M878" s="88">
        <v>600</v>
      </c>
      <c r="N878" s="77">
        <f>100</f>
        <v>100</v>
      </c>
      <c r="O878" s="80">
        <v>240</v>
      </c>
      <c r="P878" s="80">
        <v>40</v>
      </c>
      <c r="Q878" s="80">
        <f t="shared" si="140"/>
        <v>315</v>
      </c>
      <c r="R878" s="80">
        <f t="shared" si="141"/>
        <v>100</v>
      </c>
      <c r="S878" s="77">
        <f t="shared" si="142"/>
        <v>695</v>
      </c>
      <c r="T878" s="77">
        <f>50</f>
        <v>50</v>
      </c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</row>
    <row r="879" spans="1:30" ht="15.75" x14ac:dyDescent="0.25">
      <c r="A879" s="32">
        <v>67692</v>
      </c>
      <c r="B879" s="89">
        <f t="shared" si="144"/>
        <v>30</v>
      </c>
      <c r="C879" s="77">
        <f>141.293</f>
        <v>141.29300000000001</v>
      </c>
      <c r="D879" s="77">
        <f>267.993</f>
        <v>267.99299999999999</v>
      </c>
      <c r="E879" s="86">
        <f>115.016</f>
        <v>115.01600000000001</v>
      </c>
      <c r="F879" s="77">
        <f>314.698-40-25-60-100</f>
        <v>89.697999999999979</v>
      </c>
      <c r="G879" s="80">
        <v>40</v>
      </c>
      <c r="H879" s="77">
        <f t="shared" ref="H879:H885" si="146">25+60+100</f>
        <v>185</v>
      </c>
      <c r="I879" s="77">
        <f t="shared" si="136"/>
        <v>0</v>
      </c>
      <c r="J879" s="80">
        <v>100</v>
      </c>
      <c r="K879" s="80">
        <v>300</v>
      </c>
      <c r="L879" s="77">
        <f t="shared" si="139"/>
        <v>1239</v>
      </c>
      <c r="M879" s="88">
        <v>600</v>
      </c>
      <c r="N879" s="77">
        <f>100</f>
        <v>100</v>
      </c>
      <c r="O879" s="80">
        <v>240</v>
      </c>
      <c r="P879" s="80">
        <v>40</v>
      </c>
      <c r="Q879" s="80">
        <f t="shared" si="140"/>
        <v>315</v>
      </c>
      <c r="R879" s="80">
        <f t="shared" si="141"/>
        <v>100</v>
      </c>
      <c r="S879" s="77">
        <f t="shared" si="142"/>
        <v>695</v>
      </c>
      <c r="T879" s="77">
        <f>50</f>
        <v>50</v>
      </c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</row>
    <row r="880" spans="1:30" ht="15.75" x14ac:dyDescent="0.25">
      <c r="A880" s="32">
        <v>67723</v>
      </c>
      <c r="B880" s="89">
        <f t="shared" si="144"/>
        <v>31</v>
      </c>
      <c r="C880" s="77">
        <f>194.205</f>
        <v>194.20500000000001</v>
      </c>
      <c r="D880" s="77">
        <f>267.466</f>
        <v>267.46600000000001</v>
      </c>
      <c r="E880" s="86">
        <f>133.845</f>
        <v>133.845</v>
      </c>
      <c r="F880" s="77">
        <f>278.484-40-25-60-100</f>
        <v>53.48399999999998</v>
      </c>
      <c r="G880" s="80">
        <v>40</v>
      </c>
      <c r="H880" s="77">
        <f t="shared" si="146"/>
        <v>185</v>
      </c>
      <c r="I880" s="77">
        <f t="shared" si="136"/>
        <v>0</v>
      </c>
      <c r="J880" s="80">
        <v>100</v>
      </c>
      <c r="K880" s="80">
        <v>300</v>
      </c>
      <c r="L880" s="77">
        <f t="shared" si="139"/>
        <v>1274</v>
      </c>
      <c r="M880" s="88">
        <v>600</v>
      </c>
      <c r="N880" s="77">
        <f>75</f>
        <v>75</v>
      </c>
      <c r="O880" s="80">
        <v>240</v>
      </c>
      <c r="P880" s="80">
        <v>40</v>
      </c>
      <c r="Q880" s="80">
        <f t="shared" si="140"/>
        <v>315</v>
      </c>
      <c r="R880" s="80">
        <f t="shared" si="141"/>
        <v>100</v>
      </c>
      <c r="S880" s="77">
        <f t="shared" si="142"/>
        <v>695</v>
      </c>
      <c r="T880" s="77">
        <f>50</f>
        <v>50</v>
      </c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</row>
    <row r="881" spans="1:30" ht="15.75" x14ac:dyDescent="0.25">
      <c r="A881" s="32">
        <v>67753</v>
      </c>
      <c r="B881" s="89">
        <f t="shared" si="144"/>
        <v>30</v>
      </c>
      <c r="C881" s="77">
        <f>194.205</f>
        <v>194.20500000000001</v>
      </c>
      <c r="D881" s="77">
        <f>267.466</f>
        <v>267.46600000000001</v>
      </c>
      <c r="E881" s="86">
        <f>133.845</f>
        <v>133.845</v>
      </c>
      <c r="F881" s="77">
        <f>278.484-40-25-60-100</f>
        <v>53.48399999999998</v>
      </c>
      <c r="G881" s="80">
        <v>40</v>
      </c>
      <c r="H881" s="77">
        <f t="shared" si="146"/>
        <v>185</v>
      </c>
      <c r="I881" s="77">
        <f t="shared" si="136"/>
        <v>0</v>
      </c>
      <c r="J881" s="80">
        <v>100</v>
      </c>
      <c r="K881" s="80">
        <v>300</v>
      </c>
      <c r="L881" s="77">
        <f t="shared" si="139"/>
        <v>1274</v>
      </c>
      <c r="M881" s="88">
        <v>600</v>
      </c>
      <c r="N881" s="77">
        <f>30</f>
        <v>30</v>
      </c>
      <c r="O881" s="80">
        <v>240</v>
      </c>
      <c r="P881" s="80">
        <v>40</v>
      </c>
      <c r="Q881" s="80">
        <f t="shared" si="140"/>
        <v>315</v>
      </c>
      <c r="R881" s="80">
        <f t="shared" si="141"/>
        <v>100</v>
      </c>
      <c r="S881" s="77">
        <f t="shared" si="142"/>
        <v>695</v>
      </c>
      <c r="T881" s="77">
        <f>50</f>
        <v>50</v>
      </c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</row>
    <row r="882" spans="1:30" ht="15.75" x14ac:dyDescent="0.25">
      <c r="A882" s="32">
        <v>67784</v>
      </c>
      <c r="B882" s="89">
        <f t="shared" si="144"/>
        <v>31</v>
      </c>
      <c r="C882" s="77">
        <f>194.205</f>
        <v>194.20500000000001</v>
      </c>
      <c r="D882" s="77">
        <f>267.466</f>
        <v>267.46600000000001</v>
      </c>
      <c r="E882" s="86">
        <f>133.845</f>
        <v>133.845</v>
      </c>
      <c r="F882" s="77">
        <f>278.484-40-25-60-100</f>
        <v>53.48399999999998</v>
      </c>
      <c r="G882" s="80">
        <v>40</v>
      </c>
      <c r="H882" s="77">
        <f t="shared" si="146"/>
        <v>185</v>
      </c>
      <c r="I882" s="77">
        <f t="shared" si="136"/>
        <v>0</v>
      </c>
      <c r="J882" s="80">
        <v>100</v>
      </c>
      <c r="K882" s="80">
        <v>300</v>
      </c>
      <c r="L882" s="77">
        <f t="shared" si="139"/>
        <v>1274</v>
      </c>
      <c r="M882" s="88">
        <v>600</v>
      </c>
      <c r="N882" s="77">
        <f>30</f>
        <v>30</v>
      </c>
      <c r="O882" s="80">
        <v>240</v>
      </c>
      <c r="P882" s="80">
        <v>40</v>
      </c>
      <c r="Q882" s="80">
        <f t="shared" si="140"/>
        <v>315</v>
      </c>
      <c r="R882" s="80">
        <f t="shared" si="141"/>
        <v>100</v>
      </c>
      <c r="S882" s="77">
        <f t="shared" si="142"/>
        <v>695</v>
      </c>
      <c r="T882" s="77">
        <f>0</f>
        <v>0</v>
      </c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</row>
    <row r="883" spans="1:30" ht="15.75" x14ac:dyDescent="0.25">
      <c r="A883" s="32">
        <v>67815</v>
      </c>
      <c r="B883" s="89">
        <f t="shared" si="144"/>
        <v>31</v>
      </c>
      <c r="C883" s="77">
        <f>194.205</f>
        <v>194.20500000000001</v>
      </c>
      <c r="D883" s="77">
        <f>267.466</f>
        <v>267.46600000000001</v>
      </c>
      <c r="E883" s="86">
        <f>133.845</f>
        <v>133.845</v>
      </c>
      <c r="F883" s="77">
        <f>278.484-40-25-60-100</f>
        <v>53.48399999999998</v>
      </c>
      <c r="G883" s="80">
        <v>40</v>
      </c>
      <c r="H883" s="77">
        <f t="shared" si="146"/>
        <v>185</v>
      </c>
      <c r="I883" s="77">
        <f t="shared" si="136"/>
        <v>0</v>
      </c>
      <c r="J883" s="80">
        <v>100</v>
      </c>
      <c r="K883" s="80">
        <v>300</v>
      </c>
      <c r="L883" s="77">
        <f t="shared" si="139"/>
        <v>1274</v>
      </c>
      <c r="M883" s="88">
        <v>600</v>
      </c>
      <c r="N883" s="77">
        <f>30</f>
        <v>30</v>
      </c>
      <c r="O883" s="80">
        <v>240</v>
      </c>
      <c r="P883" s="80">
        <v>40</v>
      </c>
      <c r="Q883" s="80">
        <f t="shared" si="140"/>
        <v>315</v>
      </c>
      <c r="R883" s="80">
        <f t="shared" si="141"/>
        <v>100</v>
      </c>
      <c r="S883" s="77">
        <f t="shared" si="142"/>
        <v>695</v>
      </c>
      <c r="T883" s="77">
        <f>0</f>
        <v>0</v>
      </c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</row>
    <row r="884" spans="1:30" ht="15.75" x14ac:dyDescent="0.25">
      <c r="A884" s="32">
        <v>67845</v>
      </c>
      <c r="B884" s="89">
        <f t="shared" si="144"/>
        <v>30</v>
      </c>
      <c r="C884" s="77">
        <f>194.205</f>
        <v>194.20500000000001</v>
      </c>
      <c r="D884" s="77">
        <f>267.466</f>
        <v>267.46600000000001</v>
      </c>
      <c r="E884" s="86">
        <f>133.845</f>
        <v>133.845</v>
      </c>
      <c r="F884" s="77">
        <f>278.484-40-25-60-100</f>
        <v>53.48399999999998</v>
      </c>
      <c r="G884" s="80">
        <v>40</v>
      </c>
      <c r="H884" s="77">
        <f t="shared" si="146"/>
        <v>185</v>
      </c>
      <c r="I884" s="77">
        <f t="shared" ref="I884:I947" si="147">400-J884-K884</f>
        <v>0</v>
      </c>
      <c r="J884" s="80">
        <v>100</v>
      </c>
      <c r="K884" s="80">
        <v>300</v>
      </c>
      <c r="L884" s="77">
        <f t="shared" si="139"/>
        <v>1274</v>
      </c>
      <c r="M884" s="88">
        <v>600</v>
      </c>
      <c r="N884" s="77">
        <f>30</f>
        <v>30</v>
      </c>
      <c r="O884" s="80">
        <v>240</v>
      </c>
      <c r="P884" s="80">
        <v>40</v>
      </c>
      <c r="Q884" s="80">
        <f t="shared" si="140"/>
        <v>315</v>
      </c>
      <c r="R884" s="80">
        <f t="shared" si="141"/>
        <v>100</v>
      </c>
      <c r="S884" s="77">
        <f t="shared" si="142"/>
        <v>695</v>
      </c>
      <c r="T884" s="77">
        <f>0</f>
        <v>0</v>
      </c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</row>
    <row r="885" spans="1:30" ht="15.75" x14ac:dyDescent="0.25">
      <c r="A885" s="32">
        <v>67876</v>
      </c>
      <c r="B885" s="89">
        <f t="shared" si="144"/>
        <v>31</v>
      </c>
      <c r="C885" s="77">
        <f>131.881</f>
        <v>131.881</v>
      </c>
      <c r="D885" s="77">
        <f>277.167</f>
        <v>277.16699999999997</v>
      </c>
      <c r="E885" s="86">
        <f>79.08</f>
        <v>79.08</v>
      </c>
      <c r="F885" s="77">
        <f>350.872-40-25-60-100</f>
        <v>125.87200000000001</v>
      </c>
      <c r="G885" s="80">
        <v>40</v>
      </c>
      <c r="H885" s="77">
        <f t="shared" si="146"/>
        <v>185</v>
      </c>
      <c r="I885" s="77">
        <f t="shared" si="147"/>
        <v>0</v>
      </c>
      <c r="J885" s="80">
        <v>100</v>
      </c>
      <c r="K885" s="80">
        <v>300</v>
      </c>
      <c r="L885" s="77">
        <f t="shared" si="139"/>
        <v>1239</v>
      </c>
      <c r="M885" s="88">
        <v>600</v>
      </c>
      <c r="N885" s="77">
        <f>75</f>
        <v>75</v>
      </c>
      <c r="O885" s="80">
        <v>240</v>
      </c>
      <c r="P885" s="80">
        <v>40</v>
      </c>
      <c r="Q885" s="80">
        <f t="shared" si="140"/>
        <v>315</v>
      </c>
      <c r="R885" s="80">
        <f t="shared" si="141"/>
        <v>100</v>
      </c>
      <c r="S885" s="77">
        <f t="shared" si="142"/>
        <v>695</v>
      </c>
      <c r="T885" s="77">
        <f>0</f>
        <v>0</v>
      </c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</row>
    <row r="886" spans="1:30" ht="15.75" x14ac:dyDescent="0.25">
      <c r="A886" s="32">
        <v>67906</v>
      </c>
      <c r="B886" s="89">
        <f t="shared" si="144"/>
        <v>30</v>
      </c>
      <c r="C886" s="77">
        <f>122.58</f>
        <v>122.58</v>
      </c>
      <c r="D886" s="77">
        <f>297.941</f>
        <v>297.94099999999997</v>
      </c>
      <c r="E886" s="86">
        <f>89.177</f>
        <v>89.177000000000007</v>
      </c>
      <c r="F886" s="77">
        <f>240.302-40-60-100</f>
        <v>40.301999999999992</v>
      </c>
      <c r="G886" s="80">
        <v>40</v>
      </c>
      <c r="H886" s="77">
        <f>60+100</f>
        <v>160</v>
      </c>
      <c r="I886" s="77">
        <f t="shared" si="147"/>
        <v>0</v>
      </c>
      <c r="J886" s="80">
        <v>100</v>
      </c>
      <c r="K886" s="80">
        <v>300</v>
      </c>
      <c r="L886" s="77">
        <f t="shared" si="139"/>
        <v>1150</v>
      </c>
      <c r="M886" s="88">
        <v>600</v>
      </c>
      <c r="N886" s="77">
        <f>100</f>
        <v>100</v>
      </c>
      <c r="O886" s="80">
        <v>240</v>
      </c>
      <c r="P886" s="80">
        <v>40</v>
      </c>
      <c r="Q886" s="80">
        <f t="shared" si="140"/>
        <v>315</v>
      </c>
      <c r="R886" s="80">
        <f t="shared" si="141"/>
        <v>100</v>
      </c>
      <c r="S886" s="77">
        <f t="shared" si="142"/>
        <v>695</v>
      </c>
      <c r="T886" s="77">
        <f>50</f>
        <v>50</v>
      </c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</row>
    <row r="887" spans="1:30" ht="15.75" x14ac:dyDescent="0.25">
      <c r="A887" s="32">
        <v>67937</v>
      </c>
      <c r="B887" s="89">
        <f t="shared" si="144"/>
        <v>31</v>
      </c>
      <c r="C887" s="77">
        <f>122.58</f>
        <v>122.58</v>
      </c>
      <c r="D887" s="77">
        <f>297.941</f>
        <v>297.94099999999997</v>
      </c>
      <c r="E887" s="86">
        <f>89.177</f>
        <v>89.177000000000007</v>
      </c>
      <c r="F887" s="77">
        <f>240.302-40-60-100</f>
        <v>40.301999999999992</v>
      </c>
      <c r="G887" s="80">
        <v>40</v>
      </c>
      <c r="H887" s="77">
        <f>60+100</f>
        <v>160</v>
      </c>
      <c r="I887" s="77">
        <f t="shared" si="147"/>
        <v>0</v>
      </c>
      <c r="J887" s="80">
        <v>100</v>
      </c>
      <c r="K887" s="80">
        <v>300</v>
      </c>
      <c r="L887" s="77">
        <f t="shared" si="139"/>
        <v>1150</v>
      </c>
      <c r="M887" s="88">
        <v>600</v>
      </c>
      <c r="N887" s="77">
        <f>100</f>
        <v>100</v>
      </c>
      <c r="O887" s="80">
        <v>240</v>
      </c>
      <c r="P887" s="80">
        <v>40</v>
      </c>
      <c r="Q887" s="80">
        <f t="shared" si="140"/>
        <v>315</v>
      </c>
      <c r="R887" s="80">
        <f t="shared" si="141"/>
        <v>100</v>
      </c>
      <c r="S887" s="77">
        <f t="shared" si="142"/>
        <v>695</v>
      </c>
      <c r="T887" s="77">
        <f>50</f>
        <v>50</v>
      </c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</row>
    <row r="888" spans="1:30" ht="15.75" x14ac:dyDescent="0.25">
      <c r="A888" s="32">
        <v>67968</v>
      </c>
      <c r="B888" s="89">
        <f t="shared" si="144"/>
        <v>31</v>
      </c>
      <c r="C888" s="77">
        <f>122.58</f>
        <v>122.58</v>
      </c>
      <c r="D888" s="77">
        <f>297.941</f>
        <v>297.94099999999997</v>
      </c>
      <c r="E888" s="86">
        <f>89.177</f>
        <v>89.177000000000007</v>
      </c>
      <c r="F888" s="77">
        <f>240.302-40-60-100</f>
        <v>40.301999999999992</v>
      </c>
      <c r="G888" s="80">
        <v>40</v>
      </c>
      <c r="H888" s="77">
        <f>60+100</f>
        <v>160</v>
      </c>
      <c r="I888" s="77">
        <f t="shared" si="147"/>
        <v>0</v>
      </c>
      <c r="J888" s="80">
        <v>100</v>
      </c>
      <c r="K888" s="80">
        <v>300</v>
      </c>
      <c r="L888" s="77">
        <f t="shared" si="139"/>
        <v>1150</v>
      </c>
      <c r="M888" s="88">
        <v>600</v>
      </c>
      <c r="N888" s="77">
        <f>100</f>
        <v>100</v>
      </c>
      <c r="O888" s="80">
        <v>240</v>
      </c>
      <c r="P888" s="80">
        <v>40</v>
      </c>
      <c r="Q888" s="80">
        <f t="shared" si="140"/>
        <v>315</v>
      </c>
      <c r="R888" s="80">
        <f t="shared" si="141"/>
        <v>100</v>
      </c>
      <c r="S888" s="77">
        <f t="shared" si="142"/>
        <v>695</v>
      </c>
      <c r="T888" s="77">
        <f>50</f>
        <v>50</v>
      </c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</row>
    <row r="889" spans="1:30" ht="15.75" x14ac:dyDescent="0.25">
      <c r="A889" s="32">
        <v>67996</v>
      </c>
      <c r="B889" s="89">
        <f t="shared" si="144"/>
        <v>28</v>
      </c>
      <c r="C889" s="77">
        <f>122.58</f>
        <v>122.58</v>
      </c>
      <c r="D889" s="77">
        <f>297.941</f>
        <v>297.94099999999997</v>
      </c>
      <c r="E889" s="86">
        <f>89.177</f>
        <v>89.177000000000007</v>
      </c>
      <c r="F889" s="77">
        <f>240.302-40-60-100</f>
        <v>40.301999999999992</v>
      </c>
      <c r="G889" s="80">
        <v>40</v>
      </c>
      <c r="H889" s="77">
        <f>60+100</f>
        <v>160</v>
      </c>
      <c r="I889" s="77">
        <f t="shared" si="147"/>
        <v>0</v>
      </c>
      <c r="J889" s="80">
        <v>100</v>
      </c>
      <c r="K889" s="80">
        <v>300</v>
      </c>
      <c r="L889" s="77">
        <f t="shared" si="139"/>
        <v>1150</v>
      </c>
      <c r="M889" s="88">
        <v>600</v>
      </c>
      <c r="N889" s="77">
        <f>100</f>
        <v>100</v>
      </c>
      <c r="O889" s="80">
        <v>240</v>
      </c>
      <c r="P889" s="80">
        <v>40</v>
      </c>
      <c r="Q889" s="80">
        <f t="shared" si="140"/>
        <v>315</v>
      </c>
      <c r="R889" s="80">
        <f t="shared" si="141"/>
        <v>100</v>
      </c>
      <c r="S889" s="77">
        <f t="shared" si="142"/>
        <v>695</v>
      </c>
      <c r="T889" s="77">
        <f>50</f>
        <v>50</v>
      </c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</row>
    <row r="890" spans="1:30" ht="15.75" x14ac:dyDescent="0.25">
      <c r="A890" s="32">
        <v>68027</v>
      </c>
      <c r="B890" s="89">
        <f t="shared" si="144"/>
        <v>31</v>
      </c>
      <c r="C890" s="77">
        <f>122.58</f>
        <v>122.58</v>
      </c>
      <c r="D890" s="77">
        <f>297.941</f>
        <v>297.94099999999997</v>
      </c>
      <c r="E890" s="86">
        <f>89.177</f>
        <v>89.177000000000007</v>
      </c>
      <c r="F890" s="77">
        <f>240.302-40-60-100</f>
        <v>40.301999999999992</v>
      </c>
      <c r="G890" s="80">
        <v>40</v>
      </c>
      <c r="H890" s="77">
        <f>60+100</f>
        <v>160</v>
      </c>
      <c r="I890" s="77">
        <f t="shared" si="147"/>
        <v>0</v>
      </c>
      <c r="J890" s="80">
        <v>100</v>
      </c>
      <c r="K890" s="80">
        <v>300</v>
      </c>
      <c r="L890" s="77">
        <f t="shared" si="139"/>
        <v>1150</v>
      </c>
      <c r="M890" s="88">
        <v>600</v>
      </c>
      <c r="N890" s="77">
        <f>100</f>
        <v>100</v>
      </c>
      <c r="O890" s="80">
        <v>240</v>
      </c>
      <c r="P890" s="80">
        <v>40</v>
      </c>
      <c r="Q890" s="80">
        <f t="shared" si="140"/>
        <v>315</v>
      </c>
      <c r="R890" s="80">
        <f t="shared" si="141"/>
        <v>100</v>
      </c>
      <c r="S890" s="77">
        <f t="shared" si="142"/>
        <v>695</v>
      </c>
      <c r="T890" s="77">
        <f>50</f>
        <v>50</v>
      </c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</row>
    <row r="891" spans="1:30" ht="15.75" x14ac:dyDescent="0.25">
      <c r="A891" s="32">
        <v>68057</v>
      </c>
      <c r="B891" s="89">
        <f t="shared" si="144"/>
        <v>30</v>
      </c>
      <c r="C891" s="77">
        <f>141.293</f>
        <v>141.29300000000001</v>
      </c>
      <c r="D891" s="77">
        <f>267.993</f>
        <v>267.99299999999999</v>
      </c>
      <c r="E891" s="86">
        <f>115.016</f>
        <v>115.01600000000001</v>
      </c>
      <c r="F891" s="77">
        <f>314.698-40-25-60-100</f>
        <v>89.697999999999979</v>
      </c>
      <c r="G891" s="80">
        <v>40</v>
      </c>
      <c r="H891" s="77">
        <f t="shared" ref="H891:H897" si="148">25+60+100</f>
        <v>185</v>
      </c>
      <c r="I891" s="77">
        <f t="shared" si="147"/>
        <v>0</v>
      </c>
      <c r="J891" s="80">
        <v>100</v>
      </c>
      <c r="K891" s="80">
        <v>300</v>
      </c>
      <c r="L891" s="77">
        <f t="shared" si="139"/>
        <v>1239</v>
      </c>
      <c r="M891" s="88">
        <v>600</v>
      </c>
      <c r="N891" s="77">
        <f>100</f>
        <v>100</v>
      </c>
      <c r="O891" s="80">
        <v>240</v>
      </c>
      <c r="P891" s="80">
        <v>40</v>
      </c>
      <c r="Q891" s="80">
        <f t="shared" si="140"/>
        <v>315</v>
      </c>
      <c r="R891" s="80">
        <f t="shared" si="141"/>
        <v>100</v>
      </c>
      <c r="S891" s="77">
        <f t="shared" si="142"/>
        <v>695</v>
      </c>
      <c r="T891" s="77">
        <f>50</f>
        <v>50</v>
      </c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</row>
    <row r="892" spans="1:30" ht="15.75" x14ac:dyDescent="0.25">
      <c r="A892" s="32">
        <v>68088</v>
      </c>
      <c r="B892" s="89">
        <f t="shared" si="144"/>
        <v>31</v>
      </c>
      <c r="C892" s="77">
        <f>194.205</f>
        <v>194.20500000000001</v>
      </c>
      <c r="D892" s="77">
        <f>267.466</f>
        <v>267.46600000000001</v>
      </c>
      <c r="E892" s="86">
        <f>133.845</f>
        <v>133.845</v>
      </c>
      <c r="F892" s="77">
        <f>278.484-40-25-60-100</f>
        <v>53.48399999999998</v>
      </c>
      <c r="G892" s="80">
        <v>40</v>
      </c>
      <c r="H892" s="77">
        <f t="shared" si="148"/>
        <v>185</v>
      </c>
      <c r="I892" s="77">
        <f t="shared" si="147"/>
        <v>0</v>
      </c>
      <c r="J892" s="80">
        <v>100</v>
      </c>
      <c r="K892" s="80">
        <v>300</v>
      </c>
      <c r="L892" s="77">
        <f t="shared" si="139"/>
        <v>1274</v>
      </c>
      <c r="M892" s="88">
        <v>600</v>
      </c>
      <c r="N892" s="77">
        <f>75</f>
        <v>75</v>
      </c>
      <c r="O892" s="80">
        <v>240</v>
      </c>
      <c r="P892" s="80">
        <v>40</v>
      </c>
      <c r="Q892" s="80">
        <f t="shared" si="140"/>
        <v>315</v>
      </c>
      <c r="R892" s="80">
        <f t="shared" si="141"/>
        <v>100</v>
      </c>
      <c r="S892" s="77">
        <f t="shared" si="142"/>
        <v>695</v>
      </c>
      <c r="T892" s="77">
        <f>50</f>
        <v>50</v>
      </c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</row>
    <row r="893" spans="1:30" ht="15.75" x14ac:dyDescent="0.25">
      <c r="A893" s="32">
        <v>68118</v>
      </c>
      <c r="B893" s="89">
        <f t="shared" si="144"/>
        <v>30</v>
      </c>
      <c r="C893" s="77">
        <f>194.205</f>
        <v>194.20500000000001</v>
      </c>
      <c r="D893" s="77">
        <f>267.466</f>
        <v>267.46600000000001</v>
      </c>
      <c r="E893" s="86">
        <f>133.845</f>
        <v>133.845</v>
      </c>
      <c r="F893" s="77">
        <f>278.484-40-25-60-100</f>
        <v>53.48399999999998</v>
      </c>
      <c r="G893" s="80">
        <v>40</v>
      </c>
      <c r="H893" s="77">
        <f t="shared" si="148"/>
        <v>185</v>
      </c>
      <c r="I893" s="77">
        <f t="shared" si="147"/>
        <v>0</v>
      </c>
      <c r="J893" s="80">
        <v>100</v>
      </c>
      <c r="K893" s="80">
        <v>300</v>
      </c>
      <c r="L893" s="77">
        <f t="shared" si="139"/>
        <v>1274</v>
      </c>
      <c r="M893" s="88">
        <v>600</v>
      </c>
      <c r="N893" s="77">
        <f>30</f>
        <v>30</v>
      </c>
      <c r="O893" s="80">
        <v>240</v>
      </c>
      <c r="P893" s="80">
        <v>40</v>
      </c>
      <c r="Q893" s="80">
        <f t="shared" si="140"/>
        <v>315</v>
      </c>
      <c r="R893" s="80">
        <f t="shared" si="141"/>
        <v>100</v>
      </c>
      <c r="S893" s="77">
        <f t="shared" si="142"/>
        <v>695</v>
      </c>
      <c r="T893" s="77">
        <f>50</f>
        <v>50</v>
      </c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</row>
    <row r="894" spans="1:30" ht="15.75" x14ac:dyDescent="0.25">
      <c r="A894" s="32">
        <v>68149</v>
      </c>
      <c r="B894" s="89">
        <f t="shared" si="144"/>
        <v>31</v>
      </c>
      <c r="C894" s="77">
        <f>194.205</f>
        <v>194.20500000000001</v>
      </c>
      <c r="D894" s="77">
        <f>267.466</f>
        <v>267.46600000000001</v>
      </c>
      <c r="E894" s="86">
        <f>133.845</f>
        <v>133.845</v>
      </c>
      <c r="F894" s="77">
        <f>278.484-40-25-60-100</f>
        <v>53.48399999999998</v>
      </c>
      <c r="G894" s="80">
        <v>40</v>
      </c>
      <c r="H894" s="77">
        <f t="shared" si="148"/>
        <v>185</v>
      </c>
      <c r="I894" s="77">
        <f t="shared" si="147"/>
        <v>0</v>
      </c>
      <c r="J894" s="80">
        <v>100</v>
      </c>
      <c r="K894" s="80">
        <v>300</v>
      </c>
      <c r="L894" s="77">
        <f t="shared" si="139"/>
        <v>1274</v>
      </c>
      <c r="M894" s="88">
        <v>600</v>
      </c>
      <c r="N894" s="77">
        <f>30</f>
        <v>30</v>
      </c>
      <c r="O894" s="80">
        <v>240</v>
      </c>
      <c r="P894" s="80">
        <v>40</v>
      </c>
      <c r="Q894" s="80">
        <f t="shared" si="140"/>
        <v>315</v>
      </c>
      <c r="R894" s="80">
        <f t="shared" si="141"/>
        <v>100</v>
      </c>
      <c r="S894" s="77">
        <f t="shared" si="142"/>
        <v>695</v>
      </c>
      <c r="T894" s="77">
        <f>0</f>
        <v>0</v>
      </c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</row>
    <row r="895" spans="1:30" ht="15.75" x14ac:dyDescent="0.25">
      <c r="A895" s="32">
        <v>68180</v>
      </c>
      <c r="B895" s="89">
        <f t="shared" si="144"/>
        <v>31</v>
      </c>
      <c r="C895" s="77">
        <f>194.205</f>
        <v>194.20500000000001</v>
      </c>
      <c r="D895" s="77">
        <f>267.466</f>
        <v>267.46600000000001</v>
      </c>
      <c r="E895" s="86">
        <f>133.845</f>
        <v>133.845</v>
      </c>
      <c r="F895" s="77">
        <f>278.484-40-25-60-100</f>
        <v>53.48399999999998</v>
      </c>
      <c r="G895" s="80">
        <v>40</v>
      </c>
      <c r="H895" s="77">
        <f t="shared" si="148"/>
        <v>185</v>
      </c>
      <c r="I895" s="77">
        <f t="shared" si="147"/>
        <v>0</v>
      </c>
      <c r="J895" s="80">
        <v>100</v>
      </c>
      <c r="K895" s="80">
        <v>300</v>
      </c>
      <c r="L895" s="77">
        <f t="shared" si="139"/>
        <v>1274</v>
      </c>
      <c r="M895" s="88">
        <v>600</v>
      </c>
      <c r="N895" s="77">
        <f>30</f>
        <v>30</v>
      </c>
      <c r="O895" s="80">
        <v>240</v>
      </c>
      <c r="P895" s="80">
        <v>40</v>
      </c>
      <c r="Q895" s="80">
        <f t="shared" si="140"/>
        <v>315</v>
      </c>
      <c r="R895" s="80">
        <f t="shared" si="141"/>
        <v>100</v>
      </c>
      <c r="S895" s="77">
        <f t="shared" si="142"/>
        <v>695</v>
      </c>
      <c r="T895" s="77">
        <f>0</f>
        <v>0</v>
      </c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</row>
    <row r="896" spans="1:30" ht="15.75" x14ac:dyDescent="0.25">
      <c r="A896" s="32">
        <v>68210</v>
      </c>
      <c r="B896" s="89">
        <f t="shared" si="144"/>
        <v>30</v>
      </c>
      <c r="C896" s="77">
        <f>194.205</f>
        <v>194.20500000000001</v>
      </c>
      <c r="D896" s="77">
        <f>267.466</f>
        <v>267.46600000000001</v>
      </c>
      <c r="E896" s="86">
        <f>133.845</f>
        <v>133.845</v>
      </c>
      <c r="F896" s="77">
        <f>278.484-40-25-60-100</f>
        <v>53.48399999999998</v>
      </c>
      <c r="G896" s="80">
        <v>40</v>
      </c>
      <c r="H896" s="77">
        <f t="shared" si="148"/>
        <v>185</v>
      </c>
      <c r="I896" s="77">
        <f t="shared" si="147"/>
        <v>0</v>
      </c>
      <c r="J896" s="80">
        <v>100</v>
      </c>
      <c r="K896" s="80">
        <v>300</v>
      </c>
      <c r="L896" s="77">
        <f t="shared" si="139"/>
        <v>1274</v>
      </c>
      <c r="M896" s="88">
        <v>600</v>
      </c>
      <c r="N896" s="77">
        <f>30</f>
        <v>30</v>
      </c>
      <c r="O896" s="80">
        <v>240</v>
      </c>
      <c r="P896" s="80">
        <v>40</v>
      </c>
      <c r="Q896" s="80">
        <f t="shared" si="140"/>
        <v>315</v>
      </c>
      <c r="R896" s="80">
        <f t="shared" si="141"/>
        <v>100</v>
      </c>
      <c r="S896" s="77">
        <f t="shared" si="142"/>
        <v>695</v>
      </c>
      <c r="T896" s="77">
        <f>0</f>
        <v>0</v>
      </c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</row>
    <row r="897" spans="1:30" ht="15.75" x14ac:dyDescent="0.25">
      <c r="A897" s="32">
        <v>68241</v>
      </c>
      <c r="B897" s="89">
        <f t="shared" si="144"/>
        <v>31</v>
      </c>
      <c r="C897" s="77">
        <f>131.881</f>
        <v>131.881</v>
      </c>
      <c r="D897" s="77">
        <f>277.167</f>
        <v>277.16699999999997</v>
      </c>
      <c r="E897" s="86">
        <f>79.08</f>
        <v>79.08</v>
      </c>
      <c r="F897" s="77">
        <f>350.872-40-25-60-100</f>
        <v>125.87200000000001</v>
      </c>
      <c r="G897" s="80">
        <v>40</v>
      </c>
      <c r="H897" s="77">
        <f t="shared" si="148"/>
        <v>185</v>
      </c>
      <c r="I897" s="77">
        <f t="shared" si="147"/>
        <v>0</v>
      </c>
      <c r="J897" s="80">
        <v>100</v>
      </c>
      <c r="K897" s="80">
        <v>300</v>
      </c>
      <c r="L897" s="77">
        <f t="shared" si="139"/>
        <v>1239</v>
      </c>
      <c r="M897" s="88">
        <v>600</v>
      </c>
      <c r="N897" s="77">
        <f>75</f>
        <v>75</v>
      </c>
      <c r="O897" s="80">
        <v>240</v>
      </c>
      <c r="P897" s="80">
        <v>40</v>
      </c>
      <c r="Q897" s="80">
        <f t="shared" si="140"/>
        <v>315</v>
      </c>
      <c r="R897" s="80">
        <f t="shared" si="141"/>
        <v>100</v>
      </c>
      <c r="S897" s="77">
        <f t="shared" si="142"/>
        <v>695</v>
      </c>
      <c r="T897" s="77">
        <f>0</f>
        <v>0</v>
      </c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</row>
    <row r="898" spans="1:30" ht="15.75" x14ac:dyDescent="0.25">
      <c r="A898" s="32">
        <v>68271</v>
      </c>
      <c r="B898" s="89">
        <f t="shared" si="144"/>
        <v>30</v>
      </c>
      <c r="C898" s="77">
        <f>122.58</f>
        <v>122.58</v>
      </c>
      <c r="D898" s="77">
        <f>297.941</f>
        <v>297.94099999999997</v>
      </c>
      <c r="E898" s="86">
        <f>89.177</f>
        <v>89.177000000000007</v>
      </c>
      <c r="F898" s="77">
        <f>240.302-40-60-100</f>
        <v>40.301999999999992</v>
      </c>
      <c r="G898" s="80">
        <v>40</v>
      </c>
      <c r="H898" s="77">
        <f>60+100</f>
        <v>160</v>
      </c>
      <c r="I898" s="77">
        <f t="shared" si="147"/>
        <v>0</v>
      </c>
      <c r="J898" s="80">
        <v>100</v>
      </c>
      <c r="K898" s="80">
        <v>300</v>
      </c>
      <c r="L898" s="77">
        <f t="shared" si="139"/>
        <v>1150</v>
      </c>
      <c r="M898" s="88">
        <v>600</v>
      </c>
      <c r="N898" s="77">
        <f>100</f>
        <v>100</v>
      </c>
      <c r="O898" s="80">
        <v>240</v>
      </c>
      <c r="P898" s="80">
        <v>40</v>
      </c>
      <c r="Q898" s="80">
        <f t="shared" si="140"/>
        <v>315</v>
      </c>
      <c r="R898" s="80">
        <f t="shared" si="141"/>
        <v>100</v>
      </c>
      <c r="S898" s="77">
        <f t="shared" si="142"/>
        <v>695</v>
      </c>
      <c r="T898" s="77">
        <f>50</f>
        <v>50</v>
      </c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</row>
    <row r="899" spans="1:30" ht="15.75" x14ac:dyDescent="0.25">
      <c r="A899" s="32">
        <v>68302</v>
      </c>
      <c r="B899" s="89">
        <f t="shared" si="144"/>
        <v>31</v>
      </c>
      <c r="C899" s="77">
        <f>122.58</f>
        <v>122.58</v>
      </c>
      <c r="D899" s="77">
        <f>297.941</f>
        <v>297.94099999999997</v>
      </c>
      <c r="E899" s="86">
        <f>89.177</f>
        <v>89.177000000000007</v>
      </c>
      <c r="F899" s="77">
        <f>240.302-40-60-100</f>
        <v>40.301999999999992</v>
      </c>
      <c r="G899" s="80">
        <v>40</v>
      </c>
      <c r="H899" s="77">
        <f>60+100</f>
        <v>160</v>
      </c>
      <c r="I899" s="77">
        <f t="shared" si="147"/>
        <v>0</v>
      </c>
      <c r="J899" s="80">
        <v>100</v>
      </c>
      <c r="K899" s="80">
        <v>300</v>
      </c>
      <c r="L899" s="77">
        <f t="shared" si="139"/>
        <v>1150</v>
      </c>
      <c r="M899" s="88">
        <v>600</v>
      </c>
      <c r="N899" s="77">
        <f>100</f>
        <v>100</v>
      </c>
      <c r="O899" s="80">
        <v>240</v>
      </c>
      <c r="P899" s="80">
        <v>40</v>
      </c>
      <c r="Q899" s="80">
        <f t="shared" si="140"/>
        <v>315</v>
      </c>
      <c r="R899" s="80">
        <f t="shared" si="141"/>
        <v>100</v>
      </c>
      <c r="S899" s="77">
        <f t="shared" si="142"/>
        <v>695</v>
      </c>
      <c r="T899" s="77">
        <f>50</f>
        <v>50</v>
      </c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</row>
    <row r="900" spans="1:30" ht="15.75" x14ac:dyDescent="0.25">
      <c r="A900" s="32">
        <v>68333</v>
      </c>
      <c r="B900" s="89">
        <f t="shared" si="144"/>
        <v>31</v>
      </c>
      <c r="C900" s="77">
        <f>122.58</f>
        <v>122.58</v>
      </c>
      <c r="D900" s="77">
        <f>297.941</f>
        <v>297.94099999999997</v>
      </c>
      <c r="E900" s="86">
        <f>89.177</f>
        <v>89.177000000000007</v>
      </c>
      <c r="F900" s="77">
        <f>240.302-40-60-100</f>
        <v>40.301999999999992</v>
      </c>
      <c r="G900" s="80">
        <v>40</v>
      </c>
      <c r="H900" s="77">
        <f>60+100</f>
        <v>160</v>
      </c>
      <c r="I900" s="77">
        <f t="shared" si="147"/>
        <v>0</v>
      </c>
      <c r="J900" s="80">
        <v>100</v>
      </c>
      <c r="K900" s="80">
        <v>300</v>
      </c>
      <c r="L900" s="77">
        <f t="shared" si="139"/>
        <v>1150</v>
      </c>
      <c r="M900" s="88">
        <v>600</v>
      </c>
      <c r="N900" s="77">
        <f>100</f>
        <v>100</v>
      </c>
      <c r="O900" s="80">
        <v>240</v>
      </c>
      <c r="P900" s="80">
        <v>40</v>
      </c>
      <c r="Q900" s="80">
        <f t="shared" si="140"/>
        <v>315</v>
      </c>
      <c r="R900" s="80">
        <f t="shared" si="141"/>
        <v>100</v>
      </c>
      <c r="S900" s="77">
        <f t="shared" si="142"/>
        <v>695</v>
      </c>
      <c r="T900" s="77">
        <f>50</f>
        <v>50</v>
      </c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</row>
    <row r="901" spans="1:30" ht="15.75" x14ac:dyDescent="0.25">
      <c r="A901" s="32">
        <v>68361</v>
      </c>
      <c r="B901" s="89">
        <f t="shared" si="144"/>
        <v>28</v>
      </c>
      <c r="C901" s="77">
        <f>122.58</f>
        <v>122.58</v>
      </c>
      <c r="D901" s="77">
        <f>297.941</f>
        <v>297.94099999999997</v>
      </c>
      <c r="E901" s="86">
        <f>89.177</f>
        <v>89.177000000000007</v>
      </c>
      <c r="F901" s="77">
        <f>240.302-40-60-100</f>
        <v>40.301999999999992</v>
      </c>
      <c r="G901" s="80">
        <v>40</v>
      </c>
      <c r="H901" s="77">
        <f>60+100</f>
        <v>160</v>
      </c>
      <c r="I901" s="77">
        <f t="shared" si="147"/>
        <v>0</v>
      </c>
      <c r="J901" s="80">
        <v>100</v>
      </c>
      <c r="K901" s="80">
        <v>300</v>
      </c>
      <c r="L901" s="77">
        <f t="shared" si="139"/>
        <v>1150</v>
      </c>
      <c r="M901" s="88">
        <v>600</v>
      </c>
      <c r="N901" s="77">
        <f>100</f>
        <v>100</v>
      </c>
      <c r="O901" s="80">
        <v>240</v>
      </c>
      <c r="P901" s="80">
        <v>40</v>
      </c>
      <c r="Q901" s="80">
        <f t="shared" si="140"/>
        <v>315</v>
      </c>
      <c r="R901" s="80">
        <f t="shared" si="141"/>
        <v>100</v>
      </c>
      <c r="S901" s="77">
        <f t="shared" si="142"/>
        <v>695</v>
      </c>
      <c r="T901" s="77">
        <f>50</f>
        <v>50</v>
      </c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</row>
    <row r="902" spans="1:30" ht="15.75" x14ac:dyDescent="0.25">
      <c r="A902" s="32">
        <v>68392</v>
      </c>
      <c r="B902" s="89">
        <f t="shared" si="144"/>
        <v>31</v>
      </c>
      <c r="C902" s="77">
        <f>122.58</f>
        <v>122.58</v>
      </c>
      <c r="D902" s="77">
        <f>297.941</f>
        <v>297.94099999999997</v>
      </c>
      <c r="E902" s="86">
        <f>89.177</f>
        <v>89.177000000000007</v>
      </c>
      <c r="F902" s="77">
        <f>240.302-40-60-100</f>
        <v>40.301999999999992</v>
      </c>
      <c r="G902" s="80">
        <v>40</v>
      </c>
      <c r="H902" s="77">
        <f>60+100</f>
        <v>160</v>
      </c>
      <c r="I902" s="77">
        <f t="shared" si="147"/>
        <v>0</v>
      </c>
      <c r="J902" s="80">
        <v>100</v>
      </c>
      <c r="K902" s="80">
        <v>300</v>
      </c>
      <c r="L902" s="77">
        <f t="shared" si="139"/>
        <v>1150</v>
      </c>
      <c r="M902" s="88">
        <v>600</v>
      </c>
      <c r="N902" s="77">
        <f>100</f>
        <v>100</v>
      </c>
      <c r="O902" s="80">
        <v>240</v>
      </c>
      <c r="P902" s="80">
        <v>40</v>
      </c>
      <c r="Q902" s="80">
        <f t="shared" si="140"/>
        <v>315</v>
      </c>
      <c r="R902" s="80">
        <f t="shared" si="141"/>
        <v>100</v>
      </c>
      <c r="S902" s="77">
        <f t="shared" si="142"/>
        <v>695</v>
      </c>
      <c r="T902" s="77">
        <f>50</f>
        <v>50</v>
      </c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</row>
    <row r="903" spans="1:30" ht="15.75" x14ac:dyDescent="0.25">
      <c r="A903" s="32">
        <v>68422</v>
      </c>
      <c r="B903" s="89">
        <f t="shared" si="144"/>
        <v>30</v>
      </c>
      <c r="C903" s="77">
        <f>141.293</f>
        <v>141.29300000000001</v>
      </c>
      <c r="D903" s="77">
        <f>267.993</f>
        <v>267.99299999999999</v>
      </c>
      <c r="E903" s="86">
        <f>115.016</f>
        <v>115.01600000000001</v>
      </c>
      <c r="F903" s="77">
        <f>314.698-40-25-60-100</f>
        <v>89.697999999999979</v>
      </c>
      <c r="G903" s="80">
        <v>40</v>
      </c>
      <c r="H903" s="77">
        <f t="shared" ref="H903:H909" si="149">25+60+100</f>
        <v>185</v>
      </c>
      <c r="I903" s="77">
        <f t="shared" si="147"/>
        <v>0</v>
      </c>
      <c r="J903" s="80">
        <v>100</v>
      </c>
      <c r="K903" s="80">
        <v>300</v>
      </c>
      <c r="L903" s="77">
        <f t="shared" si="139"/>
        <v>1239</v>
      </c>
      <c r="M903" s="88">
        <v>600</v>
      </c>
      <c r="N903" s="77">
        <f>100</f>
        <v>100</v>
      </c>
      <c r="O903" s="80">
        <v>240</v>
      </c>
      <c r="P903" s="80">
        <v>40</v>
      </c>
      <c r="Q903" s="80">
        <f t="shared" si="140"/>
        <v>315</v>
      </c>
      <c r="R903" s="80">
        <f t="shared" si="141"/>
        <v>100</v>
      </c>
      <c r="S903" s="77">
        <f t="shared" si="142"/>
        <v>695</v>
      </c>
      <c r="T903" s="77">
        <f>50</f>
        <v>50</v>
      </c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</row>
    <row r="904" spans="1:30" ht="15.75" x14ac:dyDescent="0.25">
      <c r="A904" s="32">
        <v>68453</v>
      </c>
      <c r="B904" s="89">
        <f t="shared" si="144"/>
        <v>31</v>
      </c>
      <c r="C904" s="77">
        <f>194.205</f>
        <v>194.20500000000001</v>
      </c>
      <c r="D904" s="77">
        <f>267.466</f>
        <v>267.46600000000001</v>
      </c>
      <c r="E904" s="86">
        <f>133.845</f>
        <v>133.845</v>
      </c>
      <c r="F904" s="77">
        <f>278.484-40-25-60-100</f>
        <v>53.48399999999998</v>
      </c>
      <c r="G904" s="80">
        <v>40</v>
      </c>
      <c r="H904" s="77">
        <f t="shared" si="149"/>
        <v>185</v>
      </c>
      <c r="I904" s="77">
        <f t="shared" si="147"/>
        <v>0</v>
      </c>
      <c r="J904" s="80">
        <v>100</v>
      </c>
      <c r="K904" s="80">
        <v>300</v>
      </c>
      <c r="L904" s="77">
        <f t="shared" si="139"/>
        <v>1274</v>
      </c>
      <c r="M904" s="88">
        <v>600</v>
      </c>
      <c r="N904" s="77">
        <f>75</f>
        <v>75</v>
      </c>
      <c r="O904" s="80">
        <v>240</v>
      </c>
      <c r="P904" s="80">
        <v>40</v>
      </c>
      <c r="Q904" s="80">
        <f t="shared" si="140"/>
        <v>315</v>
      </c>
      <c r="R904" s="80">
        <f t="shared" si="141"/>
        <v>100</v>
      </c>
      <c r="S904" s="77">
        <f t="shared" si="142"/>
        <v>695</v>
      </c>
      <c r="T904" s="77">
        <f>50</f>
        <v>50</v>
      </c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</row>
    <row r="905" spans="1:30" ht="15.75" x14ac:dyDescent="0.25">
      <c r="A905" s="32">
        <v>68483</v>
      </c>
      <c r="B905" s="89">
        <f t="shared" si="144"/>
        <v>30</v>
      </c>
      <c r="C905" s="77">
        <f>194.205</f>
        <v>194.20500000000001</v>
      </c>
      <c r="D905" s="77">
        <f>267.466</f>
        <v>267.46600000000001</v>
      </c>
      <c r="E905" s="86">
        <f>133.845</f>
        <v>133.845</v>
      </c>
      <c r="F905" s="77">
        <f>278.484-40-25-60-100</f>
        <v>53.48399999999998</v>
      </c>
      <c r="G905" s="80">
        <v>40</v>
      </c>
      <c r="H905" s="77">
        <f t="shared" si="149"/>
        <v>185</v>
      </c>
      <c r="I905" s="77">
        <f t="shared" si="147"/>
        <v>0</v>
      </c>
      <c r="J905" s="80">
        <v>100</v>
      </c>
      <c r="K905" s="80">
        <v>300</v>
      </c>
      <c r="L905" s="77">
        <f t="shared" si="139"/>
        <v>1274</v>
      </c>
      <c r="M905" s="88">
        <v>600</v>
      </c>
      <c r="N905" s="77">
        <f>30</f>
        <v>30</v>
      </c>
      <c r="O905" s="80">
        <v>240</v>
      </c>
      <c r="P905" s="80">
        <v>40</v>
      </c>
      <c r="Q905" s="80">
        <f t="shared" si="140"/>
        <v>315</v>
      </c>
      <c r="R905" s="80">
        <f t="shared" si="141"/>
        <v>100</v>
      </c>
      <c r="S905" s="77">
        <f t="shared" si="142"/>
        <v>695</v>
      </c>
      <c r="T905" s="77">
        <f>50</f>
        <v>50</v>
      </c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</row>
    <row r="906" spans="1:30" ht="15.75" x14ac:dyDescent="0.25">
      <c r="A906" s="32">
        <v>68514</v>
      </c>
      <c r="B906" s="89">
        <f t="shared" si="144"/>
        <v>31</v>
      </c>
      <c r="C906" s="77">
        <f>194.205</f>
        <v>194.20500000000001</v>
      </c>
      <c r="D906" s="77">
        <f>267.466</f>
        <v>267.46600000000001</v>
      </c>
      <c r="E906" s="86">
        <f>133.845</f>
        <v>133.845</v>
      </c>
      <c r="F906" s="77">
        <f>278.484-40-25-60-100</f>
        <v>53.48399999999998</v>
      </c>
      <c r="G906" s="80">
        <v>40</v>
      </c>
      <c r="H906" s="77">
        <f t="shared" si="149"/>
        <v>185</v>
      </c>
      <c r="I906" s="77">
        <f t="shared" si="147"/>
        <v>0</v>
      </c>
      <c r="J906" s="80">
        <v>100</v>
      </c>
      <c r="K906" s="80">
        <v>300</v>
      </c>
      <c r="L906" s="77">
        <f t="shared" si="139"/>
        <v>1274</v>
      </c>
      <c r="M906" s="88">
        <v>600</v>
      </c>
      <c r="N906" s="77">
        <f>30</f>
        <v>30</v>
      </c>
      <c r="O906" s="80">
        <v>240</v>
      </c>
      <c r="P906" s="80">
        <v>40</v>
      </c>
      <c r="Q906" s="80">
        <f t="shared" si="140"/>
        <v>315</v>
      </c>
      <c r="R906" s="80">
        <f t="shared" si="141"/>
        <v>100</v>
      </c>
      <c r="S906" s="77">
        <f t="shared" si="142"/>
        <v>695</v>
      </c>
      <c r="T906" s="77">
        <f>0</f>
        <v>0</v>
      </c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</row>
    <row r="907" spans="1:30" ht="15.75" x14ac:dyDescent="0.25">
      <c r="A907" s="32">
        <v>68545</v>
      </c>
      <c r="B907" s="89">
        <f t="shared" si="144"/>
        <v>31</v>
      </c>
      <c r="C907" s="77">
        <f>194.205</f>
        <v>194.20500000000001</v>
      </c>
      <c r="D907" s="77">
        <f>267.466</f>
        <v>267.46600000000001</v>
      </c>
      <c r="E907" s="86">
        <f>133.845</f>
        <v>133.845</v>
      </c>
      <c r="F907" s="77">
        <f>278.484-40-25-60-100</f>
        <v>53.48399999999998</v>
      </c>
      <c r="G907" s="80">
        <v>40</v>
      </c>
      <c r="H907" s="77">
        <f t="shared" si="149"/>
        <v>185</v>
      </c>
      <c r="I907" s="77">
        <f t="shared" si="147"/>
        <v>0</v>
      </c>
      <c r="J907" s="80">
        <v>100</v>
      </c>
      <c r="K907" s="80">
        <v>300</v>
      </c>
      <c r="L907" s="77">
        <f t="shared" si="139"/>
        <v>1274</v>
      </c>
      <c r="M907" s="88">
        <v>600</v>
      </c>
      <c r="N907" s="77">
        <f>30</f>
        <v>30</v>
      </c>
      <c r="O907" s="80">
        <v>240</v>
      </c>
      <c r="P907" s="80">
        <v>40</v>
      </c>
      <c r="Q907" s="80">
        <f t="shared" si="140"/>
        <v>315</v>
      </c>
      <c r="R907" s="80">
        <f t="shared" si="141"/>
        <v>100</v>
      </c>
      <c r="S907" s="77">
        <f t="shared" si="142"/>
        <v>695</v>
      </c>
      <c r="T907" s="77">
        <f>0</f>
        <v>0</v>
      </c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</row>
    <row r="908" spans="1:30" ht="15.75" x14ac:dyDescent="0.25">
      <c r="A908" s="32">
        <v>68575</v>
      </c>
      <c r="B908" s="89">
        <f t="shared" si="144"/>
        <v>30</v>
      </c>
      <c r="C908" s="77">
        <f>194.205</f>
        <v>194.20500000000001</v>
      </c>
      <c r="D908" s="77">
        <f>267.466</f>
        <v>267.46600000000001</v>
      </c>
      <c r="E908" s="86">
        <f>133.845</f>
        <v>133.845</v>
      </c>
      <c r="F908" s="77">
        <f>278.484-40-25-60-100</f>
        <v>53.48399999999998</v>
      </c>
      <c r="G908" s="80">
        <v>40</v>
      </c>
      <c r="H908" s="77">
        <f t="shared" si="149"/>
        <v>185</v>
      </c>
      <c r="I908" s="77">
        <f t="shared" si="147"/>
        <v>0</v>
      </c>
      <c r="J908" s="80">
        <v>100</v>
      </c>
      <c r="K908" s="80">
        <v>300</v>
      </c>
      <c r="L908" s="77">
        <f t="shared" si="139"/>
        <v>1274</v>
      </c>
      <c r="M908" s="88">
        <v>600</v>
      </c>
      <c r="N908" s="77">
        <f>30</f>
        <v>30</v>
      </c>
      <c r="O908" s="80">
        <v>240</v>
      </c>
      <c r="P908" s="80">
        <v>40</v>
      </c>
      <c r="Q908" s="80">
        <f t="shared" si="140"/>
        <v>315</v>
      </c>
      <c r="R908" s="80">
        <f t="shared" si="141"/>
        <v>100</v>
      </c>
      <c r="S908" s="77">
        <f t="shared" si="142"/>
        <v>695</v>
      </c>
      <c r="T908" s="77">
        <f>0</f>
        <v>0</v>
      </c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</row>
    <row r="909" spans="1:30" ht="15.75" x14ac:dyDescent="0.25">
      <c r="A909" s="32">
        <v>68606</v>
      </c>
      <c r="B909" s="89">
        <f t="shared" si="144"/>
        <v>31</v>
      </c>
      <c r="C909" s="77">
        <f>131.881</f>
        <v>131.881</v>
      </c>
      <c r="D909" s="77">
        <f>277.167</f>
        <v>277.16699999999997</v>
      </c>
      <c r="E909" s="86">
        <f>79.08</f>
        <v>79.08</v>
      </c>
      <c r="F909" s="77">
        <f>350.872-40-25-60-100</f>
        <v>125.87200000000001</v>
      </c>
      <c r="G909" s="80">
        <v>40</v>
      </c>
      <c r="H909" s="77">
        <f t="shared" si="149"/>
        <v>185</v>
      </c>
      <c r="I909" s="77">
        <f t="shared" si="147"/>
        <v>0</v>
      </c>
      <c r="J909" s="80">
        <v>100</v>
      </c>
      <c r="K909" s="80">
        <v>300</v>
      </c>
      <c r="L909" s="77">
        <f t="shared" si="139"/>
        <v>1239</v>
      </c>
      <c r="M909" s="88">
        <v>600</v>
      </c>
      <c r="N909" s="77">
        <f>75</f>
        <v>75</v>
      </c>
      <c r="O909" s="80">
        <v>240</v>
      </c>
      <c r="P909" s="80">
        <v>40</v>
      </c>
      <c r="Q909" s="80">
        <f t="shared" si="140"/>
        <v>315</v>
      </c>
      <c r="R909" s="80">
        <f t="shared" si="141"/>
        <v>100</v>
      </c>
      <c r="S909" s="77">
        <f t="shared" si="142"/>
        <v>695</v>
      </c>
      <c r="T909" s="77">
        <f>0</f>
        <v>0</v>
      </c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</row>
    <row r="910" spans="1:30" ht="15.75" x14ac:dyDescent="0.25">
      <c r="A910" s="32">
        <v>68636</v>
      </c>
      <c r="B910" s="89">
        <f t="shared" si="144"/>
        <v>30</v>
      </c>
      <c r="C910" s="77">
        <f>122.58</f>
        <v>122.58</v>
      </c>
      <c r="D910" s="77">
        <f>297.941</f>
        <v>297.94099999999997</v>
      </c>
      <c r="E910" s="86">
        <f>89.177</f>
        <v>89.177000000000007</v>
      </c>
      <c r="F910" s="77">
        <f>240.302-40-60-100</f>
        <v>40.301999999999992</v>
      </c>
      <c r="G910" s="80">
        <v>40</v>
      </c>
      <c r="H910" s="77">
        <f>60+100</f>
        <v>160</v>
      </c>
      <c r="I910" s="77">
        <f t="shared" si="147"/>
        <v>0</v>
      </c>
      <c r="J910" s="80">
        <v>100</v>
      </c>
      <c r="K910" s="80">
        <v>300</v>
      </c>
      <c r="L910" s="77">
        <f t="shared" si="139"/>
        <v>1150</v>
      </c>
      <c r="M910" s="88">
        <v>600</v>
      </c>
      <c r="N910" s="77">
        <f>100</f>
        <v>100</v>
      </c>
      <c r="O910" s="80">
        <v>240</v>
      </c>
      <c r="P910" s="80">
        <v>40</v>
      </c>
      <c r="Q910" s="80">
        <f t="shared" si="140"/>
        <v>315</v>
      </c>
      <c r="R910" s="80">
        <f t="shared" si="141"/>
        <v>100</v>
      </c>
      <c r="S910" s="77">
        <f t="shared" si="142"/>
        <v>695</v>
      </c>
      <c r="T910" s="77">
        <f>50</f>
        <v>50</v>
      </c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</row>
    <row r="911" spans="1:30" ht="15.75" x14ac:dyDescent="0.25">
      <c r="A911" s="32">
        <v>68667</v>
      </c>
      <c r="B911" s="89">
        <f t="shared" si="144"/>
        <v>31</v>
      </c>
      <c r="C911" s="77">
        <f>122.58</f>
        <v>122.58</v>
      </c>
      <c r="D911" s="77">
        <f>297.941</f>
        <v>297.94099999999997</v>
      </c>
      <c r="E911" s="86">
        <f>89.177</f>
        <v>89.177000000000007</v>
      </c>
      <c r="F911" s="77">
        <f>240.302-40-60-100</f>
        <v>40.301999999999992</v>
      </c>
      <c r="G911" s="80">
        <v>40</v>
      </c>
      <c r="H911" s="77">
        <f>60+100</f>
        <v>160</v>
      </c>
      <c r="I911" s="77">
        <f t="shared" si="147"/>
        <v>0</v>
      </c>
      <c r="J911" s="80">
        <v>100</v>
      </c>
      <c r="K911" s="80">
        <v>300</v>
      </c>
      <c r="L911" s="77">
        <f t="shared" si="139"/>
        <v>1150</v>
      </c>
      <c r="M911" s="88">
        <v>600</v>
      </c>
      <c r="N911" s="77">
        <f>100</f>
        <v>100</v>
      </c>
      <c r="O911" s="80">
        <v>240</v>
      </c>
      <c r="P911" s="80">
        <v>40</v>
      </c>
      <c r="Q911" s="80">
        <f t="shared" si="140"/>
        <v>315</v>
      </c>
      <c r="R911" s="80">
        <f t="shared" si="141"/>
        <v>100</v>
      </c>
      <c r="S911" s="77">
        <f t="shared" si="142"/>
        <v>695</v>
      </c>
      <c r="T911" s="77">
        <f>50</f>
        <v>50</v>
      </c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</row>
    <row r="912" spans="1:30" ht="15.75" x14ac:dyDescent="0.25">
      <c r="A912" s="32">
        <v>68698</v>
      </c>
      <c r="B912" s="89">
        <f t="shared" si="144"/>
        <v>31</v>
      </c>
      <c r="C912" s="77">
        <f>122.58</f>
        <v>122.58</v>
      </c>
      <c r="D912" s="77">
        <f>297.941</f>
        <v>297.94099999999997</v>
      </c>
      <c r="E912" s="86">
        <f>89.177</f>
        <v>89.177000000000007</v>
      </c>
      <c r="F912" s="77">
        <f>240.302-40-60-100</f>
        <v>40.301999999999992</v>
      </c>
      <c r="G912" s="80">
        <v>40</v>
      </c>
      <c r="H912" s="77">
        <f>60+100</f>
        <v>160</v>
      </c>
      <c r="I912" s="77">
        <f t="shared" si="147"/>
        <v>0</v>
      </c>
      <c r="J912" s="80">
        <v>100</v>
      </c>
      <c r="K912" s="80">
        <v>300</v>
      </c>
      <c r="L912" s="77">
        <f t="shared" si="139"/>
        <v>1150</v>
      </c>
      <c r="M912" s="88">
        <v>600</v>
      </c>
      <c r="N912" s="77">
        <f>100</f>
        <v>100</v>
      </c>
      <c r="O912" s="80">
        <v>240</v>
      </c>
      <c r="P912" s="80">
        <v>40</v>
      </c>
      <c r="Q912" s="80">
        <f t="shared" si="140"/>
        <v>315</v>
      </c>
      <c r="R912" s="80">
        <f t="shared" si="141"/>
        <v>100</v>
      </c>
      <c r="S912" s="77">
        <f t="shared" si="142"/>
        <v>695</v>
      </c>
      <c r="T912" s="77">
        <f>50</f>
        <v>50</v>
      </c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</row>
    <row r="913" spans="1:30" ht="15.75" x14ac:dyDescent="0.25">
      <c r="A913" s="32">
        <v>68727</v>
      </c>
      <c r="B913" s="89">
        <f t="shared" si="144"/>
        <v>29</v>
      </c>
      <c r="C913" s="77">
        <f>122.58</f>
        <v>122.58</v>
      </c>
      <c r="D913" s="77">
        <f>297.941</f>
        <v>297.94099999999997</v>
      </c>
      <c r="E913" s="86">
        <f>89.177</f>
        <v>89.177000000000007</v>
      </c>
      <c r="F913" s="77">
        <f>240.302-40-60-100</f>
        <v>40.301999999999992</v>
      </c>
      <c r="G913" s="80">
        <v>40</v>
      </c>
      <c r="H913" s="77">
        <f>60+100</f>
        <v>160</v>
      </c>
      <c r="I913" s="77">
        <f t="shared" si="147"/>
        <v>0</v>
      </c>
      <c r="J913" s="80">
        <v>100</v>
      </c>
      <c r="K913" s="80">
        <v>300</v>
      </c>
      <c r="L913" s="77">
        <f t="shared" si="139"/>
        <v>1150</v>
      </c>
      <c r="M913" s="88">
        <v>600</v>
      </c>
      <c r="N913" s="77">
        <f>100</f>
        <v>100</v>
      </c>
      <c r="O913" s="80">
        <v>240</v>
      </c>
      <c r="P913" s="80">
        <v>40</v>
      </c>
      <c r="Q913" s="80">
        <f t="shared" si="140"/>
        <v>315</v>
      </c>
      <c r="R913" s="80">
        <f t="shared" si="141"/>
        <v>100</v>
      </c>
      <c r="S913" s="77">
        <f t="shared" si="142"/>
        <v>695</v>
      </c>
      <c r="T913" s="77">
        <f>50</f>
        <v>50</v>
      </c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</row>
    <row r="914" spans="1:30" ht="15.75" x14ac:dyDescent="0.25">
      <c r="A914" s="32">
        <v>68758</v>
      </c>
      <c r="B914" s="89">
        <f t="shared" si="144"/>
        <v>31</v>
      </c>
      <c r="C914" s="77">
        <f>122.58</f>
        <v>122.58</v>
      </c>
      <c r="D914" s="77">
        <f>297.941</f>
        <v>297.94099999999997</v>
      </c>
      <c r="E914" s="86">
        <f>89.177</f>
        <v>89.177000000000007</v>
      </c>
      <c r="F914" s="77">
        <f>240.302-40-60-100</f>
        <v>40.301999999999992</v>
      </c>
      <c r="G914" s="80">
        <v>40</v>
      </c>
      <c r="H914" s="77">
        <f>60+100</f>
        <v>160</v>
      </c>
      <c r="I914" s="77">
        <f t="shared" si="147"/>
        <v>0</v>
      </c>
      <c r="J914" s="80">
        <v>100</v>
      </c>
      <c r="K914" s="80">
        <v>300</v>
      </c>
      <c r="L914" s="77">
        <f t="shared" si="139"/>
        <v>1150</v>
      </c>
      <c r="M914" s="88">
        <v>600</v>
      </c>
      <c r="N914" s="77">
        <f>100</f>
        <v>100</v>
      </c>
      <c r="O914" s="80">
        <v>240</v>
      </c>
      <c r="P914" s="80">
        <v>40</v>
      </c>
      <c r="Q914" s="80">
        <f t="shared" si="140"/>
        <v>315</v>
      </c>
      <c r="R914" s="80">
        <f t="shared" si="141"/>
        <v>100</v>
      </c>
      <c r="S914" s="77">
        <f t="shared" si="142"/>
        <v>695</v>
      </c>
      <c r="T914" s="77">
        <f>50</f>
        <v>50</v>
      </c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</row>
    <row r="915" spans="1:30" ht="15.75" x14ac:dyDescent="0.25">
      <c r="A915" s="32">
        <v>68788</v>
      </c>
      <c r="B915" s="89">
        <f t="shared" si="144"/>
        <v>30</v>
      </c>
      <c r="C915" s="77">
        <f>141.293</f>
        <v>141.29300000000001</v>
      </c>
      <c r="D915" s="77">
        <f>267.993</f>
        <v>267.99299999999999</v>
      </c>
      <c r="E915" s="86">
        <f>115.016</f>
        <v>115.01600000000001</v>
      </c>
      <c r="F915" s="77">
        <f>314.698-40-25-60-100</f>
        <v>89.697999999999979</v>
      </c>
      <c r="G915" s="80">
        <v>40</v>
      </c>
      <c r="H915" s="77">
        <f t="shared" ref="H915:H921" si="150">25+60+100</f>
        <v>185</v>
      </c>
      <c r="I915" s="77">
        <f t="shared" si="147"/>
        <v>0</v>
      </c>
      <c r="J915" s="80">
        <v>100</v>
      </c>
      <c r="K915" s="80">
        <v>300</v>
      </c>
      <c r="L915" s="77">
        <f t="shared" ref="L915:L978" si="151">SUM(C915:K915)</f>
        <v>1239</v>
      </c>
      <c r="M915" s="88">
        <v>600</v>
      </c>
      <c r="N915" s="77">
        <f>100</f>
        <v>100</v>
      </c>
      <c r="O915" s="80">
        <v>240</v>
      </c>
      <c r="P915" s="80">
        <v>40</v>
      </c>
      <c r="Q915" s="80">
        <f t="shared" ref="Q915:Q978" si="152">695-R915-O915-P915</f>
        <v>315</v>
      </c>
      <c r="R915" s="80">
        <f t="shared" ref="R915:R978" si="153">200-J915</f>
        <v>100</v>
      </c>
      <c r="S915" s="77">
        <f t="shared" ref="S915:S978" si="154">SUM(O915:R915)</f>
        <v>695</v>
      </c>
      <c r="T915" s="77">
        <f>50</f>
        <v>50</v>
      </c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</row>
    <row r="916" spans="1:30" ht="15.75" x14ac:dyDescent="0.25">
      <c r="A916" s="32">
        <v>68819</v>
      </c>
      <c r="B916" s="89">
        <f t="shared" si="144"/>
        <v>31</v>
      </c>
      <c r="C916" s="77">
        <f>194.205</f>
        <v>194.20500000000001</v>
      </c>
      <c r="D916" s="77">
        <f>267.466</f>
        <v>267.46600000000001</v>
      </c>
      <c r="E916" s="86">
        <f>133.845</f>
        <v>133.845</v>
      </c>
      <c r="F916" s="77">
        <f>278.484-40-25-60-100</f>
        <v>53.48399999999998</v>
      </c>
      <c r="G916" s="80">
        <v>40</v>
      </c>
      <c r="H916" s="77">
        <f t="shared" si="150"/>
        <v>185</v>
      </c>
      <c r="I916" s="77">
        <f t="shared" si="147"/>
        <v>0</v>
      </c>
      <c r="J916" s="80">
        <v>100</v>
      </c>
      <c r="K916" s="80">
        <v>300</v>
      </c>
      <c r="L916" s="77">
        <f t="shared" si="151"/>
        <v>1274</v>
      </c>
      <c r="M916" s="88">
        <v>600</v>
      </c>
      <c r="N916" s="77">
        <f>75</f>
        <v>75</v>
      </c>
      <c r="O916" s="80">
        <v>240</v>
      </c>
      <c r="P916" s="80">
        <v>40</v>
      </c>
      <c r="Q916" s="80">
        <f t="shared" si="152"/>
        <v>315</v>
      </c>
      <c r="R916" s="80">
        <f t="shared" si="153"/>
        <v>100</v>
      </c>
      <c r="S916" s="77">
        <f t="shared" si="154"/>
        <v>695</v>
      </c>
      <c r="T916" s="77">
        <f>50</f>
        <v>50</v>
      </c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</row>
    <row r="917" spans="1:30" ht="15.75" x14ac:dyDescent="0.25">
      <c r="A917" s="32">
        <v>68849</v>
      </c>
      <c r="B917" s="89">
        <f t="shared" si="144"/>
        <v>30</v>
      </c>
      <c r="C917" s="77">
        <f>194.205</f>
        <v>194.20500000000001</v>
      </c>
      <c r="D917" s="77">
        <f>267.466</f>
        <v>267.46600000000001</v>
      </c>
      <c r="E917" s="86">
        <f>133.845</f>
        <v>133.845</v>
      </c>
      <c r="F917" s="77">
        <f>278.484-40-25-60-100</f>
        <v>53.48399999999998</v>
      </c>
      <c r="G917" s="80">
        <v>40</v>
      </c>
      <c r="H917" s="77">
        <f t="shared" si="150"/>
        <v>185</v>
      </c>
      <c r="I917" s="77">
        <f t="shared" si="147"/>
        <v>0</v>
      </c>
      <c r="J917" s="80">
        <v>100</v>
      </c>
      <c r="K917" s="80">
        <v>300</v>
      </c>
      <c r="L917" s="77">
        <f t="shared" si="151"/>
        <v>1274</v>
      </c>
      <c r="M917" s="88">
        <v>600</v>
      </c>
      <c r="N917" s="77">
        <f>30</f>
        <v>30</v>
      </c>
      <c r="O917" s="80">
        <v>240</v>
      </c>
      <c r="P917" s="80">
        <v>40</v>
      </c>
      <c r="Q917" s="80">
        <f t="shared" si="152"/>
        <v>315</v>
      </c>
      <c r="R917" s="80">
        <f t="shared" si="153"/>
        <v>100</v>
      </c>
      <c r="S917" s="77">
        <f t="shared" si="154"/>
        <v>695</v>
      </c>
      <c r="T917" s="77">
        <f>50</f>
        <v>50</v>
      </c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</row>
    <row r="918" spans="1:30" ht="15.75" x14ac:dyDescent="0.25">
      <c r="A918" s="32">
        <v>68880</v>
      </c>
      <c r="B918" s="89">
        <f t="shared" si="144"/>
        <v>31</v>
      </c>
      <c r="C918" s="77">
        <f>194.205</f>
        <v>194.20500000000001</v>
      </c>
      <c r="D918" s="77">
        <f>267.466</f>
        <v>267.46600000000001</v>
      </c>
      <c r="E918" s="86">
        <f>133.845</f>
        <v>133.845</v>
      </c>
      <c r="F918" s="77">
        <f>278.484-40-25-60-100</f>
        <v>53.48399999999998</v>
      </c>
      <c r="G918" s="80">
        <v>40</v>
      </c>
      <c r="H918" s="77">
        <f t="shared" si="150"/>
        <v>185</v>
      </c>
      <c r="I918" s="77">
        <f t="shared" si="147"/>
        <v>0</v>
      </c>
      <c r="J918" s="80">
        <v>100</v>
      </c>
      <c r="K918" s="80">
        <v>300</v>
      </c>
      <c r="L918" s="77">
        <f t="shared" si="151"/>
        <v>1274</v>
      </c>
      <c r="M918" s="88">
        <v>600</v>
      </c>
      <c r="N918" s="77">
        <f>30</f>
        <v>30</v>
      </c>
      <c r="O918" s="80">
        <v>240</v>
      </c>
      <c r="P918" s="80">
        <v>40</v>
      </c>
      <c r="Q918" s="80">
        <f t="shared" si="152"/>
        <v>315</v>
      </c>
      <c r="R918" s="80">
        <f t="shared" si="153"/>
        <v>100</v>
      </c>
      <c r="S918" s="77">
        <f t="shared" si="154"/>
        <v>695</v>
      </c>
      <c r="T918" s="77">
        <f>0</f>
        <v>0</v>
      </c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</row>
    <row r="919" spans="1:30" ht="15.75" x14ac:dyDescent="0.25">
      <c r="A919" s="32">
        <v>68911</v>
      </c>
      <c r="B919" s="89">
        <f t="shared" si="144"/>
        <v>31</v>
      </c>
      <c r="C919" s="77">
        <f>194.205</f>
        <v>194.20500000000001</v>
      </c>
      <c r="D919" s="77">
        <f>267.466</f>
        <v>267.46600000000001</v>
      </c>
      <c r="E919" s="86">
        <f>133.845</f>
        <v>133.845</v>
      </c>
      <c r="F919" s="77">
        <f>278.484-40-25-60-100</f>
        <v>53.48399999999998</v>
      </c>
      <c r="G919" s="80">
        <v>40</v>
      </c>
      <c r="H919" s="77">
        <f t="shared" si="150"/>
        <v>185</v>
      </c>
      <c r="I919" s="77">
        <f t="shared" si="147"/>
        <v>0</v>
      </c>
      <c r="J919" s="80">
        <v>100</v>
      </c>
      <c r="K919" s="80">
        <v>300</v>
      </c>
      <c r="L919" s="77">
        <f t="shared" si="151"/>
        <v>1274</v>
      </c>
      <c r="M919" s="88">
        <v>600</v>
      </c>
      <c r="N919" s="77">
        <f>30</f>
        <v>30</v>
      </c>
      <c r="O919" s="80">
        <v>240</v>
      </c>
      <c r="P919" s="80">
        <v>40</v>
      </c>
      <c r="Q919" s="80">
        <f t="shared" si="152"/>
        <v>315</v>
      </c>
      <c r="R919" s="80">
        <f t="shared" si="153"/>
        <v>100</v>
      </c>
      <c r="S919" s="77">
        <f t="shared" si="154"/>
        <v>695</v>
      </c>
      <c r="T919" s="77">
        <f>0</f>
        <v>0</v>
      </c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</row>
    <row r="920" spans="1:30" ht="15.75" x14ac:dyDescent="0.25">
      <c r="A920" s="32">
        <v>68941</v>
      </c>
      <c r="B920" s="89">
        <f t="shared" ref="B920:B983" si="155">EOMONTH(A920,0)-EOMONTH(A920,-1)</f>
        <v>30</v>
      </c>
      <c r="C920" s="77">
        <f>194.205</f>
        <v>194.20500000000001</v>
      </c>
      <c r="D920" s="77">
        <f>267.466</f>
        <v>267.46600000000001</v>
      </c>
      <c r="E920" s="86">
        <f>133.845</f>
        <v>133.845</v>
      </c>
      <c r="F920" s="77">
        <f>278.484-40-25-60-100</f>
        <v>53.48399999999998</v>
      </c>
      <c r="G920" s="80">
        <v>40</v>
      </c>
      <c r="H920" s="77">
        <f t="shared" si="150"/>
        <v>185</v>
      </c>
      <c r="I920" s="77">
        <f t="shared" si="147"/>
        <v>0</v>
      </c>
      <c r="J920" s="80">
        <v>100</v>
      </c>
      <c r="K920" s="80">
        <v>300</v>
      </c>
      <c r="L920" s="77">
        <f t="shared" si="151"/>
        <v>1274</v>
      </c>
      <c r="M920" s="88">
        <v>600</v>
      </c>
      <c r="N920" s="77">
        <f>30</f>
        <v>30</v>
      </c>
      <c r="O920" s="80">
        <v>240</v>
      </c>
      <c r="P920" s="80">
        <v>40</v>
      </c>
      <c r="Q920" s="80">
        <f t="shared" si="152"/>
        <v>315</v>
      </c>
      <c r="R920" s="80">
        <f t="shared" si="153"/>
        <v>100</v>
      </c>
      <c r="S920" s="77">
        <f t="shared" si="154"/>
        <v>695</v>
      </c>
      <c r="T920" s="77">
        <f>0</f>
        <v>0</v>
      </c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</row>
    <row r="921" spans="1:30" ht="15.75" x14ac:dyDescent="0.25">
      <c r="A921" s="32">
        <v>68972</v>
      </c>
      <c r="B921" s="89">
        <f t="shared" si="155"/>
        <v>31</v>
      </c>
      <c r="C921" s="77">
        <f>131.881</f>
        <v>131.881</v>
      </c>
      <c r="D921" s="77">
        <f>277.167</f>
        <v>277.16699999999997</v>
      </c>
      <c r="E921" s="86">
        <f>79.08</f>
        <v>79.08</v>
      </c>
      <c r="F921" s="77">
        <f>350.872-40-25-60-100</f>
        <v>125.87200000000001</v>
      </c>
      <c r="G921" s="80">
        <v>40</v>
      </c>
      <c r="H921" s="77">
        <f t="shared" si="150"/>
        <v>185</v>
      </c>
      <c r="I921" s="77">
        <f t="shared" si="147"/>
        <v>0</v>
      </c>
      <c r="J921" s="80">
        <v>100</v>
      </c>
      <c r="K921" s="80">
        <v>300</v>
      </c>
      <c r="L921" s="77">
        <f t="shared" si="151"/>
        <v>1239</v>
      </c>
      <c r="M921" s="88">
        <v>600</v>
      </c>
      <c r="N921" s="77">
        <f>75</f>
        <v>75</v>
      </c>
      <c r="O921" s="80">
        <v>240</v>
      </c>
      <c r="P921" s="80">
        <v>40</v>
      </c>
      <c r="Q921" s="80">
        <f t="shared" si="152"/>
        <v>315</v>
      </c>
      <c r="R921" s="80">
        <f t="shared" si="153"/>
        <v>100</v>
      </c>
      <c r="S921" s="77">
        <f t="shared" si="154"/>
        <v>695</v>
      </c>
      <c r="T921" s="77">
        <f>0</f>
        <v>0</v>
      </c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</row>
    <row r="922" spans="1:30" ht="15.75" x14ac:dyDescent="0.25">
      <c r="A922" s="32">
        <v>69002</v>
      </c>
      <c r="B922" s="89">
        <f t="shared" si="155"/>
        <v>30</v>
      </c>
      <c r="C922" s="77">
        <f>122.58</f>
        <v>122.58</v>
      </c>
      <c r="D922" s="77">
        <f>297.941</f>
        <v>297.94099999999997</v>
      </c>
      <c r="E922" s="86">
        <f>89.177</f>
        <v>89.177000000000007</v>
      </c>
      <c r="F922" s="77">
        <f>240.302-40-60-100</f>
        <v>40.301999999999992</v>
      </c>
      <c r="G922" s="80">
        <v>40</v>
      </c>
      <c r="H922" s="77">
        <f>60+100</f>
        <v>160</v>
      </c>
      <c r="I922" s="77">
        <f t="shared" si="147"/>
        <v>0</v>
      </c>
      <c r="J922" s="80">
        <v>100</v>
      </c>
      <c r="K922" s="80">
        <v>300</v>
      </c>
      <c r="L922" s="77">
        <f t="shared" si="151"/>
        <v>1150</v>
      </c>
      <c r="M922" s="88">
        <v>600</v>
      </c>
      <c r="N922" s="77">
        <f>100</f>
        <v>100</v>
      </c>
      <c r="O922" s="80">
        <v>240</v>
      </c>
      <c r="P922" s="80">
        <v>40</v>
      </c>
      <c r="Q922" s="80">
        <f t="shared" si="152"/>
        <v>315</v>
      </c>
      <c r="R922" s="80">
        <f t="shared" si="153"/>
        <v>100</v>
      </c>
      <c r="S922" s="77">
        <f t="shared" si="154"/>
        <v>695</v>
      </c>
      <c r="T922" s="77">
        <f>50</f>
        <v>50</v>
      </c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</row>
    <row r="923" spans="1:30" ht="15.75" x14ac:dyDescent="0.25">
      <c r="A923" s="32">
        <v>69033</v>
      </c>
      <c r="B923" s="89">
        <f t="shared" si="155"/>
        <v>31</v>
      </c>
      <c r="C923" s="77">
        <f>122.58</f>
        <v>122.58</v>
      </c>
      <c r="D923" s="77">
        <f>297.941</f>
        <v>297.94099999999997</v>
      </c>
      <c r="E923" s="86">
        <f>89.177</f>
        <v>89.177000000000007</v>
      </c>
      <c r="F923" s="77">
        <f>240.302-40-60-100</f>
        <v>40.301999999999992</v>
      </c>
      <c r="G923" s="80">
        <v>40</v>
      </c>
      <c r="H923" s="77">
        <f>60+100</f>
        <v>160</v>
      </c>
      <c r="I923" s="77">
        <f t="shared" si="147"/>
        <v>0</v>
      </c>
      <c r="J923" s="80">
        <v>100</v>
      </c>
      <c r="K923" s="80">
        <v>300</v>
      </c>
      <c r="L923" s="77">
        <f t="shared" si="151"/>
        <v>1150</v>
      </c>
      <c r="M923" s="88">
        <v>600</v>
      </c>
      <c r="N923" s="77">
        <f>100</f>
        <v>100</v>
      </c>
      <c r="O923" s="80">
        <v>240</v>
      </c>
      <c r="P923" s="80">
        <v>40</v>
      </c>
      <c r="Q923" s="80">
        <f t="shared" si="152"/>
        <v>315</v>
      </c>
      <c r="R923" s="80">
        <f t="shared" si="153"/>
        <v>100</v>
      </c>
      <c r="S923" s="77">
        <f t="shared" si="154"/>
        <v>695</v>
      </c>
      <c r="T923" s="77">
        <f>50</f>
        <v>50</v>
      </c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</row>
    <row r="924" spans="1:30" ht="15.75" x14ac:dyDescent="0.25">
      <c r="A924" s="32">
        <v>69064</v>
      </c>
      <c r="B924" s="89">
        <f t="shared" si="155"/>
        <v>31</v>
      </c>
      <c r="C924" s="77">
        <f>122.58</f>
        <v>122.58</v>
      </c>
      <c r="D924" s="77">
        <f>297.941</f>
        <v>297.94099999999997</v>
      </c>
      <c r="E924" s="86">
        <f>89.177</f>
        <v>89.177000000000007</v>
      </c>
      <c r="F924" s="77">
        <f>240.302-40-60-100</f>
        <v>40.301999999999992</v>
      </c>
      <c r="G924" s="80">
        <v>40</v>
      </c>
      <c r="H924" s="77">
        <f>60+100</f>
        <v>160</v>
      </c>
      <c r="I924" s="77">
        <f t="shared" si="147"/>
        <v>0</v>
      </c>
      <c r="J924" s="80">
        <v>100</v>
      </c>
      <c r="K924" s="80">
        <v>300</v>
      </c>
      <c r="L924" s="77">
        <f t="shared" si="151"/>
        <v>1150</v>
      </c>
      <c r="M924" s="88">
        <v>600</v>
      </c>
      <c r="N924" s="77">
        <f>100</f>
        <v>100</v>
      </c>
      <c r="O924" s="80">
        <v>240</v>
      </c>
      <c r="P924" s="80">
        <v>40</v>
      </c>
      <c r="Q924" s="80">
        <f t="shared" si="152"/>
        <v>315</v>
      </c>
      <c r="R924" s="80">
        <f t="shared" si="153"/>
        <v>100</v>
      </c>
      <c r="S924" s="77">
        <f t="shared" si="154"/>
        <v>695</v>
      </c>
      <c r="T924" s="77">
        <f>50</f>
        <v>50</v>
      </c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</row>
    <row r="925" spans="1:30" ht="15.75" x14ac:dyDescent="0.25">
      <c r="A925" s="32">
        <v>69092</v>
      </c>
      <c r="B925" s="89">
        <f t="shared" si="155"/>
        <v>28</v>
      </c>
      <c r="C925" s="77">
        <f>122.58</f>
        <v>122.58</v>
      </c>
      <c r="D925" s="77">
        <f>297.941</f>
        <v>297.94099999999997</v>
      </c>
      <c r="E925" s="86">
        <f>89.177</f>
        <v>89.177000000000007</v>
      </c>
      <c r="F925" s="77">
        <f>240.302-40-60-100</f>
        <v>40.301999999999992</v>
      </c>
      <c r="G925" s="80">
        <v>40</v>
      </c>
      <c r="H925" s="77">
        <f>60+100</f>
        <v>160</v>
      </c>
      <c r="I925" s="77">
        <f t="shared" si="147"/>
        <v>0</v>
      </c>
      <c r="J925" s="80">
        <v>100</v>
      </c>
      <c r="K925" s="80">
        <v>300</v>
      </c>
      <c r="L925" s="77">
        <f t="shared" si="151"/>
        <v>1150</v>
      </c>
      <c r="M925" s="88">
        <v>600</v>
      </c>
      <c r="N925" s="77">
        <f>100</f>
        <v>100</v>
      </c>
      <c r="O925" s="80">
        <v>240</v>
      </c>
      <c r="P925" s="80">
        <v>40</v>
      </c>
      <c r="Q925" s="80">
        <f t="shared" si="152"/>
        <v>315</v>
      </c>
      <c r="R925" s="80">
        <f t="shared" si="153"/>
        <v>100</v>
      </c>
      <c r="S925" s="77">
        <f t="shared" si="154"/>
        <v>695</v>
      </c>
      <c r="T925" s="77">
        <f>50</f>
        <v>50</v>
      </c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</row>
    <row r="926" spans="1:30" ht="15.75" x14ac:dyDescent="0.25">
      <c r="A926" s="32">
        <v>69123</v>
      </c>
      <c r="B926" s="89">
        <f t="shared" si="155"/>
        <v>31</v>
      </c>
      <c r="C926" s="77">
        <f>122.58</f>
        <v>122.58</v>
      </c>
      <c r="D926" s="77">
        <f>297.941</f>
        <v>297.94099999999997</v>
      </c>
      <c r="E926" s="86">
        <f>89.177</f>
        <v>89.177000000000007</v>
      </c>
      <c r="F926" s="77">
        <f>240.302-40-60-100</f>
        <v>40.301999999999992</v>
      </c>
      <c r="G926" s="80">
        <v>40</v>
      </c>
      <c r="H926" s="77">
        <f>60+100</f>
        <v>160</v>
      </c>
      <c r="I926" s="77">
        <f t="shared" si="147"/>
        <v>0</v>
      </c>
      <c r="J926" s="80">
        <v>100</v>
      </c>
      <c r="K926" s="80">
        <v>300</v>
      </c>
      <c r="L926" s="77">
        <f t="shared" si="151"/>
        <v>1150</v>
      </c>
      <c r="M926" s="88">
        <v>600</v>
      </c>
      <c r="N926" s="77">
        <f>100</f>
        <v>100</v>
      </c>
      <c r="O926" s="80">
        <v>240</v>
      </c>
      <c r="P926" s="80">
        <v>40</v>
      </c>
      <c r="Q926" s="80">
        <f t="shared" si="152"/>
        <v>315</v>
      </c>
      <c r="R926" s="80">
        <f t="shared" si="153"/>
        <v>100</v>
      </c>
      <c r="S926" s="77">
        <f t="shared" si="154"/>
        <v>695</v>
      </c>
      <c r="T926" s="77">
        <f>50</f>
        <v>50</v>
      </c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</row>
    <row r="927" spans="1:30" ht="15.75" x14ac:dyDescent="0.25">
      <c r="A927" s="32">
        <v>69153</v>
      </c>
      <c r="B927" s="89">
        <f t="shared" si="155"/>
        <v>30</v>
      </c>
      <c r="C927" s="77">
        <f>141.293</f>
        <v>141.29300000000001</v>
      </c>
      <c r="D927" s="77">
        <f>267.993</f>
        <v>267.99299999999999</v>
      </c>
      <c r="E927" s="86">
        <f>115.016</f>
        <v>115.01600000000001</v>
      </c>
      <c r="F927" s="77">
        <f>314.698-40-25-60-100</f>
        <v>89.697999999999979</v>
      </c>
      <c r="G927" s="80">
        <v>40</v>
      </c>
      <c r="H927" s="77">
        <f t="shared" ref="H927:H933" si="156">25+60+100</f>
        <v>185</v>
      </c>
      <c r="I927" s="77">
        <f t="shared" si="147"/>
        <v>0</v>
      </c>
      <c r="J927" s="80">
        <v>100</v>
      </c>
      <c r="K927" s="80">
        <v>300</v>
      </c>
      <c r="L927" s="77">
        <f t="shared" si="151"/>
        <v>1239</v>
      </c>
      <c r="M927" s="88">
        <v>600</v>
      </c>
      <c r="N927" s="77">
        <f>100</f>
        <v>100</v>
      </c>
      <c r="O927" s="80">
        <v>240</v>
      </c>
      <c r="P927" s="80">
        <v>40</v>
      </c>
      <c r="Q927" s="80">
        <f t="shared" si="152"/>
        <v>315</v>
      </c>
      <c r="R927" s="80">
        <f t="shared" si="153"/>
        <v>100</v>
      </c>
      <c r="S927" s="77">
        <f t="shared" si="154"/>
        <v>695</v>
      </c>
      <c r="T927" s="77">
        <f>50</f>
        <v>50</v>
      </c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</row>
    <row r="928" spans="1:30" ht="15.75" x14ac:dyDescent="0.25">
      <c r="A928" s="32">
        <v>69184</v>
      </c>
      <c r="B928" s="89">
        <f t="shared" si="155"/>
        <v>31</v>
      </c>
      <c r="C928" s="77">
        <f>194.205</f>
        <v>194.20500000000001</v>
      </c>
      <c r="D928" s="77">
        <f>267.466</f>
        <v>267.46600000000001</v>
      </c>
      <c r="E928" s="86">
        <f>133.845</f>
        <v>133.845</v>
      </c>
      <c r="F928" s="77">
        <f>278.484-40-25-60-100</f>
        <v>53.48399999999998</v>
      </c>
      <c r="G928" s="80">
        <v>40</v>
      </c>
      <c r="H928" s="77">
        <f t="shared" si="156"/>
        <v>185</v>
      </c>
      <c r="I928" s="77">
        <f t="shared" si="147"/>
        <v>0</v>
      </c>
      <c r="J928" s="80">
        <v>100</v>
      </c>
      <c r="K928" s="80">
        <v>300</v>
      </c>
      <c r="L928" s="77">
        <f t="shared" si="151"/>
        <v>1274</v>
      </c>
      <c r="M928" s="88">
        <v>600</v>
      </c>
      <c r="N928" s="77">
        <f>75</f>
        <v>75</v>
      </c>
      <c r="O928" s="80">
        <v>240</v>
      </c>
      <c r="P928" s="80">
        <v>40</v>
      </c>
      <c r="Q928" s="80">
        <f t="shared" si="152"/>
        <v>315</v>
      </c>
      <c r="R928" s="80">
        <f t="shared" si="153"/>
        <v>100</v>
      </c>
      <c r="S928" s="77">
        <f t="shared" si="154"/>
        <v>695</v>
      </c>
      <c r="T928" s="77">
        <f>50</f>
        <v>50</v>
      </c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</row>
    <row r="929" spans="1:30" ht="15.75" x14ac:dyDescent="0.25">
      <c r="A929" s="32">
        <v>69214</v>
      </c>
      <c r="B929" s="89">
        <f t="shared" si="155"/>
        <v>30</v>
      </c>
      <c r="C929" s="77">
        <f>194.205</f>
        <v>194.20500000000001</v>
      </c>
      <c r="D929" s="77">
        <f>267.466</f>
        <v>267.46600000000001</v>
      </c>
      <c r="E929" s="86">
        <f>133.845</f>
        <v>133.845</v>
      </c>
      <c r="F929" s="77">
        <f>278.484-40-25-60-100</f>
        <v>53.48399999999998</v>
      </c>
      <c r="G929" s="80">
        <v>40</v>
      </c>
      <c r="H929" s="77">
        <f t="shared" si="156"/>
        <v>185</v>
      </c>
      <c r="I929" s="77">
        <f t="shared" si="147"/>
        <v>0</v>
      </c>
      <c r="J929" s="80">
        <v>100</v>
      </c>
      <c r="K929" s="80">
        <v>300</v>
      </c>
      <c r="L929" s="77">
        <f t="shared" si="151"/>
        <v>1274</v>
      </c>
      <c r="M929" s="88">
        <v>600</v>
      </c>
      <c r="N929" s="77">
        <f>30</f>
        <v>30</v>
      </c>
      <c r="O929" s="80">
        <v>240</v>
      </c>
      <c r="P929" s="80">
        <v>40</v>
      </c>
      <c r="Q929" s="80">
        <f t="shared" si="152"/>
        <v>315</v>
      </c>
      <c r="R929" s="80">
        <f t="shared" si="153"/>
        <v>100</v>
      </c>
      <c r="S929" s="77">
        <f t="shared" si="154"/>
        <v>695</v>
      </c>
      <c r="T929" s="77">
        <f>50</f>
        <v>50</v>
      </c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</row>
    <row r="930" spans="1:30" ht="15.75" x14ac:dyDescent="0.25">
      <c r="A930" s="32">
        <v>69245</v>
      </c>
      <c r="B930" s="89">
        <f t="shared" si="155"/>
        <v>31</v>
      </c>
      <c r="C930" s="77">
        <f>194.205</f>
        <v>194.20500000000001</v>
      </c>
      <c r="D930" s="77">
        <f>267.466</f>
        <v>267.46600000000001</v>
      </c>
      <c r="E930" s="86">
        <f>133.845</f>
        <v>133.845</v>
      </c>
      <c r="F930" s="77">
        <f>278.484-40-25-60-100</f>
        <v>53.48399999999998</v>
      </c>
      <c r="G930" s="80">
        <v>40</v>
      </c>
      <c r="H930" s="77">
        <f t="shared" si="156"/>
        <v>185</v>
      </c>
      <c r="I930" s="77">
        <f t="shared" si="147"/>
        <v>0</v>
      </c>
      <c r="J930" s="80">
        <v>100</v>
      </c>
      <c r="K930" s="80">
        <v>300</v>
      </c>
      <c r="L930" s="77">
        <f t="shared" si="151"/>
        <v>1274</v>
      </c>
      <c r="M930" s="88">
        <v>600</v>
      </c>
      <c r="N930" s="77">
        <f>30</f>
        <v>30</v>
      </c>
      <c r="O930" s="80">
        <v>240</v>
      </c>
      <c r="P930" s="80">
        <v>40</v>
      </c>
      <c r="Q930" s="80">
        <f t="shared" si="152"/>
        <v>315</v>
      </c>
      <c r="R930" s="80">
        <f t="shared" si="153"/>
        <v>100</v>
      </c>
      <c r="S930" s="77">
        <f t="shared" si="154"/>
        <v>695</v>
      </c>
      <c r="T930" s="77">
        <f>0</f>
        <v>0</v>
      </c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</row>
    <row r="931" spans="1:30" ht="15.75" x14ac:dyDescent="0.25">
      <c r="A931" s="32">
        <v>69276</v>
      </c>
      <c r="B931" s="89">
        <f t="shared" si="155"/>
        <v>31</v>
      </c>
      <c r="C931" s="77">
        <f>194.205</f>
        <v>194.20500000000001</v>
      </c>
      <c r="D931" s="77">
        <f>267.466</f>
        <v>267.46600000000001</v>
      </c>
      <c r="E931" s="86">
        <f>133.845</f>
        <v>133.845</v>
      </c>
      <c r="F931" s="77">
        <f>278.484-40-25-60-100</f>
        <v>53.48399999999998</v>
      </c>
      <c r="G931" s="80">
        <v>40</v>
      </c>
      <c r="H931" s="77">
        <f t="shared" si="156"/>
        <v>185</v>
      </c>
      <c r="I931" s="77">
        <f t="shared" si="147"/>
        <v>0</v>
      </c>
      <c r="J931" s="80">
        <v>100</v>
      </c>
      <c r="K931" s="80">
        <v>300</v>
      </c>
      <c r="L931" s="77">
        <f t="shared" si="151"/>
        <v>1274</v>
      </c>
      <c r="M931" s="88">
        <v>600</v>
      </c>
      <c r="N931" s="77">
        <f>30</f>
        <v>30</v>
      </c>
      <c r="O931" s="80">
        <v>240</v>
      </c>
      <c r="P931" s="80">
        <v>40</v>
      </c>
      <c r="Q931" s="80">
        <f t="shared" si="152"/>
        <v>315</v>
      </c>
      <c r="R931" s="80">
        <f t="shared" si="153"/>
        <v>100</v>
      </c>
      <c r="S931" s="77">
        <f t="shared" si="154"/>
        <v>695</v>
      </c>
      <c r="T931" s="77">
        <f>0</f>
        <v>0</v>
      </c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</row>
    <row r="932" spans="1:30" ht="15.75" x14ac:dyDescent="0.25">
      <c r="A932" s="32">
        <v>69306</v>
      </c>
      <c r="B932" s="89">
        <f t="shared" si="155"/>
        <v>30</v>
      </c>
      <c r="C932" s="77">
        <f>194.205</f>
        <v>194.20500000000001</v>
      </c>
      <c r="D932" s="77">
        <f>267.466</f>
        <v>267.46600000000001</v>
      </c>
      <c r="E932" s="86">
        <f>133.845</f>
        <v>133.845</v>
      </c>
      <c r="F932" s="77">
        <f>278.484-40-25-60-100</f>
        <v>53.48399999999998</v>
      </c>
      <c r="G932" s="80">
        <v>40</v>
      </c>
      <c r="H932" s="77">
        <f t="shared" si="156"/>
        <v>185</v>
      </c>
      <c r="I932" s="77">
        <f t="shared" si="147"/>
        <v>0</v>
      </c>
      <c r="J932" s="80">
        <v>100</v>
      </c>
      <c r="K932" s="80">
        <v>300</v>
      </c>
      <c r="L932" s="77">
        <f t="shared" si="151"/>
        <v>1274</v>
      </c>
      <c r="M932" s="88">
        <v>600</v>
      </c>
      <c r="N932" s="77">
        <f>30</f>
        <v>30</v>
      </c>
      <c r="O932" s="80">
        <v>240</v>
      </c>
      <c r="P932" s="80">
        <v>40</v>
      </c>
      <c r="Q932" s="80">
        <f t="shared" si="152"/>
        <v>315</v>
      </c>
      <c r="R932" s="80">
        <f t="shared" si="153"/>
        <v>100</v>
      </c>
      <c r="S932" s="77">
        <f t="shared" si="154"/>
        <v>695</v>
      </c>
      <c r="T932" s="77">
        <f>0</f>
        <v>0</v>
      </c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</row>
    <row r="933" spans="1:30" ht="15.75" x14ac:dyDescent="0.25">
      <c r="A933" s="32">
        <v>69337</v>
      </c>
      <c r="B933" s="89">
        <f t="shared" si="155"/>
        <v>31</v>
      </c>
      <c r="C933" s="77">
        <f>131.881</f>
        <v>131.881</v>
      </c>
      <c r="D933" s="77">
        <f>277.167</f>
        <v>277.16699999999997</v>
      </c>
      <c r="E933" s="86">
        <f>79.08</f>
        <v>79.08</v>
      </c>
      <c r="F933" s="77">
        <f>350.872-40-25-60-100</f>
        <v>125.87200000000001</v>
      </c>
      <c r="G933" s="80">
        <v>40</v>
      </c>
      <c r="H933" s="77">
        <f t="shared" si="156"/>
        <v>185</v>
      </c>
      <c r="I933" s="77">
        <f t="shared" si="147"/>
        <v>0</v>
      </c>
      <c r="J933" s="80">
        <v>100</v>
      </c>
      <c r="K933" s="80">
        <v>300</v>
      </c>
      <c r="L933" s="77">
        <f t="shared" si="151"/>
        <v>1239</v>
      </c>
      <c r="M933" s="88">
        <v>600</v>
      </c>
      <c r="N933" s="77">
        <f>75</f>
        <v>75</v>
      </c>
      <c r="O933" s="80">
        <v>240</v>
      </c>
      <c r="P933" s="80">
        <v>40</v>
      </c>
      <c r="Q933" s="80">
        <f t="shared" si="152"/>
        <v>315</v>
      </c>
      <c r="R933" s="80">
        <f t="shared" si="153"/>
        <v>100</v>
      </c>
      <c r="S933" s="77">
        <f t="shared" si="154"/>
        <v>695</v>
      </c>
      <c r="T933" s="77">
        <f>0</f>
        <v>0</v>
      </c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</row>
    <row r="934" spans="1:30" ht="15.75" x14ac:dyDescent="0.25">
      <c r="A934" s="32">
        <v>69367</v>
      </c>
      <c r="B934" s="89">
        <f t="shared" si="155"/>
        <v>30</v>
      </c>
      <c r="C934" s="77">
        <f>122.58</f>
        <v>122.58</v>
      </c>
      <c r="D934" s="77">
        <f>297.941</f>
        <v>297.94099999999997</v>
      </c>
      <c r="E934" s="86">
        <f>89.177</f>
        <v>89.177000000000007</v>
      </c>
      <c r="F934" s="77">
        <f>240.302-40-60-100</f>
        <v>40.301999999999992</v>
      </c>
      <c r="G934" s="80">
        <v>40</v>
      </c>
      <c r="H934" s="77">
        <f>60+100</f>
        <v>160</v>
      </c>
      <c r="I934" s="77">
        <f t="shared" si="147"/>
        <v>0</v>
      </c>
      <c r="J934" s="80">
        <v>100</v>
      </c>
      <c r="K934" s="80">
        <v>300</v>
      </c>
      <c r="L934" s="77">
        <f t="shared" si="151"/>
        <v>1150</v>
      </c>
      <c r="M934" s="88">
        <v>600</v>
      </c>
      <c r="N934" s="77">
        <f>100</f>
        <v>100</v>
      </c>
      <c r="O934" s="80">
        <v>240</v>
      </c>
      <c r="P934" s="80">
        <v>40</v>
      </c>
      <c r="Q934" s="80">
        <f t="shared" si="152"/>
        <v>315</v>
      </c>
      <c r="R934" s="80">
        <f t="shared" si="153"/>
        <v>100</v>
      </c>
      <c r="S934" s="77">
        <f t="shared" si="154"/>
        <v>695</v>
      </c>
      <c r="T934" s="77">
        <f>50</f>
        <v>50</v>
      </c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</row>
    <row r="935" spans="1:30" ht="15.75" x14ac:dyDescent="0.25">
      <c r="A935" s="32">
        <v>69398</v>
      </c>
      <c r="B935" s="89">
        <f t="shared" si="155"/>
        <v>31</v>
      </c>
      <c r="C935" s="77">
        <f>122.58</f>
        <v>122.58</v>
      </c>
      <c r="D935" s="77">
        <f>297.941</f>
        <v>297.94099999999997</v>
      </c>
      <c r="E935" s="86">
        <f>89.177</f>
        <v>89.177000000000007</v>
      </c>
      <c r="F935" s="77">
        <f>240.302-40-60-100</f>
        <v>40.301999999999992</v>
      </c>
      <c r="G935" s="80">
        <v>40</v>
      </c>
      <c r="H935" s="77">
        <f>60+100</f>
        <v>160</v>
      </c>
      <c r="I935" s="77">
        <f t="shared" si="147"/>
        <v>0</v>
      </c>
      <c r="J935" s="80">
        <v>100</v>
      </c>
      <c r="K935" s="80">
        <v>300</v>
      </c>
      <c r="L935" s="77">
        <f t="shared" si="151"/>
        <v>1150</v>
      </c>
      <c r="M935" s="88">
        <v>600</v>
      </c>
      <c r="N935" s="77">
        <f>100</f>
        <v>100</v>
      </c>
      <c r="O935" s="80">
        <v>240</v>
      </c>
      <c r="P935" s="80">
        <v>40</v>
      </c>
      <c r="Q935" s="80">
        <f t="shared" si="152"/>
        <v>315</v>
      </c>
      <c r="R935" s="80">
        <f t="shared" si="153"/>
        <v>100</v>
      </c>
      <c r="S935" s="77">
        <f t="shared" si="154"/>
        <v>695</v>
      </c>
      <c r="T935" s="77">
        <f>50</f>
        <v>50</v>
      </c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</row>
    <row r="936" spans="1:30" ht="15.75" x14ac:dyDescent="0.25">
      <c r="A936" s="32">
        <v>69429</v>
      </c>
      <c r="B936" s="89">
        <f t="shared" si="155"/>
        <v>31</v>
      </c>
      <c r="C936" s="77">
        <f>122.58</f>
        <v>122.58</v>
      </c>
      <c r="D936" s="77">
        <f>297.941</f>
        <v>297.94099999999997</v>
      </c>
      <c r="E936" s="86">
        <f>89.177</f>
        <v>89.177000000000007</v>
      </c>
      <c r="F936" s="77">
        <f>240.302-40-60-100</f>
        <v>40.301999999999992</v>
      </c>
      <c r="G936" s="80">
        <v>40</v>
      </c>
      <c r="H936" s="77">
        <f>60+100</f>
        <v>160</v>
      </c>
      <c r="I936" s="77">
        <f t="shared" si="147"/>
        <v>0</v>
      </c>
      <c r="J936" s="80">
        <v>100</v>
      </c>
      <c r="K936" s="80">
        <v>300</v>
      </c>
      <c r="L936" s="77">
        <f t="shared" si="151"/>
        <v>1150</v>
      </c>
      <c r="M936" s="88">
        <v>600</v>
      </c>
      <c r="N936" s="77">
        <f>100</f>
        <v>100</v>
      </c>
      <c r="O936" s="80">
        <v>240</v>
      </c>
      <c r="P936" s="80">
        <v>40</v>
      </c>
      <c r="Q936" s="80">
        <f t="shared" si="152"/>
        <v>315</v>
      </c>
      <c r="R936" s="80">
        <f t="shared" si="153"/>
        <v>100</v>
      </c>
      <c r="S936" s="77">
        <f t="shared" si="154"/>
        <v>695</v>
      </c>
      <c r="T936" s="77">
        <f>50</f>
        <v>50</v>
      </c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</row>
    <row r="937" spans="1:30" ht="15.75" x14ac:dyDescent="0.25">
      <c r="A937" s="32">
        <v>69457</v>
      </c>
      <c r="B937" s="89">
        <f t="shared" si="155"/>
        <v>28</v>
      </c>
      <c r="C937" s="77">
        <f>122.58</f>
        <v>122.58</v>
      </c>
      <c r="D937" s="77">
        <f>297.941</f>
        <v>297.94099999999997</v>
      </c>
      <c r="E937" s="86">
        <f>89.177</f>
        <v>89.177000000000007</v>
      </c>
      <c r="F937" s="77">
        <f>240.302-40-60-100</f>
        <v>40.301999999999992</v>
      </c>
      <c r="G937" s="80">
        <v>40</v>
      </c>
      <c r="H937" s="77">
        <f>60+100</f>
        <v>160</v>
      </c>
      <c r="I937" s="77">
        <f t="shared" si="147"/>
        <v>0</v>
      </c>
      <c r="J937" s="80">
        <v>100</v>
      </c>
      <c r="K937" s="80">
        <v>300</v>
      </c>
      <c r="L937" s="77">
        <f t="shared" si="151"/>
        <v>1150</v>
      </c>
      <c r="M937" s="88">
        <v>600</v>
      </c>
      <c r="N937" s="77">
        <f>100</f>
        <v>100</v>
      </c>
      <c r="O937" s="80">
        <v>240</v>
      </c>
      <c r="P937" s="80">
        <v>40</v>
      </c>
      <c r="Q937" s="80">
        <f t="shared" si="152"/>
        <v>315</v>
      </c>
      <c r="R937" s="80">
        <f t="shared" si="153"/>
        <v>100</v>
      </c>
      <c r="S937" s="77">
        <f t="shared" si="154"/>
        <v>695</v>
      </c>
      <c r="T937" s="77">
        <f>50</f>
        <v>50</v>
      </c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</row>
    <row r="938" spans="1:30" ht="15.75" x14ac:dyDescent="0.25">
      <c r="A938" s="32">
        <v>69488</v>
      </c>
      <c r="B938" s="89">
        <f t="shared" si="155"/>
        <v>31</v>
      </c>
      <c r="C938" s="77">
        <f>122.58</f>
        <v>122.58</v>
      </c>
      <c r="D938" s="77">
        <f>297.941</f>
        <v>297.94099999999997</v>
      </c>
      <c r="E938" s="86">
        <f>89.177</f>
        <v>89.177000000000007</v>
      </c>
      <c r="F938" s="77">
        <f>240.302-40-60-100</f>
        <v>40.301999999999992</v>
      </c>
      <c r="G938" s="80">
        <v>40</v>
      </c>
      <c r="H938" s="77">
        <f>60+100</f>
        <v>160</v>
      </c>
      <c r="I938" s="77">
        <f t="shared" si="147"/>
        <v>0</v>
      </c>
      <c r="J938" s="80">
        <v>100</v>
      </c>
      <c r="K938" s="80">
        <v>300</v>
      </c>
      <c r="L938" s="77">
        <f t="shared" si="151"/>
        <v>1150</v>
      </c>
      <c r="M938" s="88">
        <v>600</v>
      </c>
      <c r="N938" s="77">
        <f>100</f>
        <v>100</v>
      </c>
      <c r="O938" s="80">
        <v>240</v>
      </c>
      <c r="P938" s="80">
        <v>40</v>
      </c>
      <c r="Q938" s="80">
        <f t="shared" si="152"/>
        <v>315</v>
      </c>
      <c r="R938" s="80">
        <f t="shared" si="153"/>
        <v>100</v>
      </c>
      <c r="S938" s="77">
        <f t="shared" si="154"/>
        <v>695</v>
      </c>
      <c r="T938" s="77">
        <f>50</f>
        <v>50</v>
      </c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</row>
    <row r="939" spans="1:30" ht="15.75" x14ac:dyDescent="0.25">
      <c r="A939" s="32">
        <v>69518</v>
      </c>
      <c r="B939" s="89">
        <f t="shared" si="155"/>
        <v>30</v>
      </c>
      <c r="C939" s="77">
        <f>141.293</f>
        <v>141.29300000000001</v>
      </c>
      <c r="D939" s="77">
        <f>267.993</f>
        <v>267.99299999999999</v>
      </c>
      <c r="E939" s="86">
        <f>115.016</f>
        <v>115.01600000000001</v>
      </c>
      <c r="F939" s="77">
        <f>314.698-40-25-60-100</f>
        <v>89.697999999999979</v>
      </c>
      <c r="G939" s="80">
        <v>40</v>
      </c>
      <c r="H939" s="77">
        <f t="shared" ref="H939:H945" si="157">25+60+100</f>
        <v>185</v>
      </c>
      <c r="I939" s="77">
        <f t="shared" si="147"/>
        <v>0</v>
      </c>
      <c r="J939" s="80">
        <v>100</v>
      </c>
      <c r="K939" s="80">
        <v>300</v>
      </c>
      <c r="L939" s="77">
        <f t="shared" si="151"/>
        <v>1239</v>
      </c>
      <c r="M939" s="88">
        <v>600</v>
      </c>
      <c r="N939" s="77">
        <f>100</f>
        <v>100</v>
      </c>
      <c r="O939" s="80">
        <v>240</v>
      </c>
      <c r="P939" s="80">
        <v>40</v>
      </c>
      <c r="Q939" s="80">
        <f t="shared" si="152"/>
        <v>315</v>
      </c>
      <c r="R939" s="80">
        <f t="shared" si="153"/>
        <v>100</v>
      </c>
      <c r="S939" s="77">
        <f t="shared" si="154"/>
        <v>695</v>
      </c>
      <c r="T939" s="77">
        <f>50</f>
        <v>50</v>
      </c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</row>
    <row r="940" spans="1:30" ht="15.75" x14ac:dyDescent="0.25">
      <c r="A940" s="32">
        <v>69549</v>
      </c>
      <c r="B940" s="89">
        <f t="shared" si="155"/>
        <v>31</v>
      </c>
      <c r="C940" s="77">
        <f>194.205</f>
        <v>194.20500000000001</v>
      </c>
      <c r="D940" s="77">
        <f>267.466</f>
        <v>267.46600000000001</v>
      </c>
      <c r="E940" s="86">
        <f>133.845</f>
        <v>133.845</v>
      </c>
      <c r="F940" s="77">
        <f>278.484-40-25-60-100</f>
        <v>53.48399999999998</v>
      </c>
      <c r="G940" s="80">
        <v>40</v>
      </c>
      <c r="H940" s="77">
        <f t="shared" si="157"/>
        <v>185</v>
      </c>
      <c r="I940" s="77">
        <f t="shared" si="147"/>
        <v>0</v>
      </c>
      <c r="J940" s="80">
        <v>100</v>
      </c>
      <c r="K940" s="80">
        <v>300</v>
      </c>
      <c r="L940" s="77">
        <f t="shared" si="151"/>
        <v>1274</v>
      </c>
      <c r="M940" s="88">
        <v>600</v>
      </c>
      <c r="N940" s="77">
        <f>75</f>
        <v>75</v>
      </c>
      <c r="O940" s="80">
        <v>240</v>
      </c>
      <c r="P940" s="80">
        <v>40</v>
      </c>
      <c r="Q940" s="80">
        <f t="shared" si="152"/>
        <v>315</v>
      </c>
      <c r="R940" s="80">
        <f t="shared" si="153"/>
        <v>100</v>
      </c>
      <c r="S940" s="77">
        <f t="shared" si="154"/>
        <v>695</v>
      </c>
      <c r="T940" s="77">
        <f>50</f>
        <v>50</v>
      </c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</row>
    <row r="941" spans="1:30" ht="15.75" x14ac:dyDescent="0.25">
      <c r="A941" s="32">
        <v>69579</v>
      </c>
      <c r="B941" s="89">
        <f t="shared" si="155"/>
        <v>30</v>
      </c>
      <c r="C941" s="77">
        <f>194.205</f>
        <v>194.20500000000001</v>
      </c>
      <c r="D941" s="77">
        <f>267.466</f>
        <v>267.46600000000001</v>
      </c>
      <c r="E941" s="86">
        <f>133.845</f>
        <v>133.845</v>
      </c>
      <c r="F941" s="77">
        <f>278.484-40-25-60-100</f>
        <v>53.48399999999998</v>
      </c>
      <c r="G941" s="80">
        <v>40</v>
      </c>
      <c r="H941" s="77">
        <f t="shared" si="157"/>
        <v>185</v>
      </c>
      <c r="I941" s="77">
        <f t="shared" si="147"/>
        <v>0</v>
      </c>
      <c r="J941" s="80">
        <v>100</v>
      </c>
      <c r="K941" s="80">
        <v>300</v>
      </c>
      <c r="L941" s="77">
        <f t="shared" si="151"/>
        <v>1274</v>
      </c>
      <c r="M941" s="88">
        <v>600</v>
      </c>
      <c r="N941" s="77">
        <f>30</f>
        <v>30</v>
      </c>
      <c r="O941" s="80">
        <v>240</v>
      </c>
      <c r="P941" s="80">
        <v>40</v>
      </c>
      <c r="Q941" s="80">
        <f t="shared" si="152"/>
        <v>315</v>
      </c>
      <c r="R941" s="80">
        <f t="shared" si="153"/>
        <v>100</v>
      </c>
      <c r="S941" s="77">
        <f t="shared" si="154"/>
        <v>695</v>
      </c>
      <c r="T941" s="77">
        <f>50</f>
        <v>50</v>
      </c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</row>
    <row r="942" spans="1:30" ht="15.75" x14ac:dyDescent="0.25">
      <c r="A942" s="32">
        <v>69610</v>
      </c>
      <c r="B942" s="89">
        <f t="shared" si="155"/>
        <v>31</v>
      </c>
      <c r="C942" s="77">
        <f>194.205</f>
        <v>194.20500000000001</v>
      </c>
      <c r="D942" s="77">
        <f>267.466</f>
        <v>267.46600000000001</v>
      </c>
      <c r="E942" s="86">
        <f>133.845</f>
        <v>133.845</v>
      </c>
      <c r="F942" s="77">
        <f>278.484-40-25-60-100</f>
        <v>53.48399999999998</v>
      </c>
      <c r="G942" s="80">
        <v>40</v>
      </c>
      <c r="H942" s="77">
        <f t="shared" si="157"/>
        <v>185</v>
      </c>
      <c r="I942" s="77">
        <f t="shared" si="147"/>
        <v>0</v>
      </c>
      <c r="J942" s="80">
        <v>100</v>
      </c>
      <c r="K942" s="80">
        <v>300</v>
      </c>
      <c r="L942" s="77">
        <f t="shared" si="151"/>
        <v>1274</v>
      </c>
      <c r="M942" s="88">
        <v>600</v>
      </c>
      <c r="N942" s="77">
        <f>30</f>
        <v>30</v>
      </c>
      <c r="O942" s="80">
        <v>240</v>
      </c>
      <c r="P942" s="80">
        <v>40</v>
      </c>
      <c r="Q942" s="80">
        <f t="shared" si="152"/>
        <v>315</v>
      </c>
      <c r="R942" s="80">
        <f t="shared" si="153"/>
        <v>100</v>
      </c>
      <c r="S942" s="77">
        <f t="shared" si="154"/>
        <v>695</v>
      </c>
      <c r="T942" s="77">
        <f>0</f>
        <v>0</v>
      </c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</row>
    <row r="943" spans="1:30" ht="15.75" x14ac:dyDescent="0.25">
      <c r="A943" s="32">
        <v>69641</v>
      </c>
      <c r="B943" s="89">
        <f t="shared" si="155"/>
        <v>31</v>
      </c>
      <c r="C943" s="77">
        <f>194.205</f>
        <v>194.20500000000001</v>
      </c>
      <c r="D943" s="77">
        <f>267.466</f>
        <v>267.46600000000001</v>
      </c>
      <c r="E943" s="86">
        <f>133.845</f>
        <v>133.845</v>
      </c>
      <c r="F943" s="77">
        <f>278.484-40-25-60-100</f>
        <v>53.48399999999998</v>
      </c>
      <c r="G943" s="80">
        <v>40</v>
      </c>
      <c r="H943" s="77">
        <f t="shared" si="157"/>
        <v>185</v>
      </c>
      <c r="I943" s="77">
        <f t="shared" si="147"/>
        <v>0</v>
      </c>
      <c r="J943" s="80">
        <v>100</v>
      </c>
      <c r="K943" s="80">
        <v>300</v>
      </c>
      <c r="L943" s="77">
        <f t="shared" si="151"/>
        <v>1274</v>
      </c>
      <c r="M943" s="88">
        <v>600</v>
      </c>
      <c r="N943" s="77">
        <f>30</f>
        <v>30</v>
      </c>
      <c r="O943" s="80">
        <v>240</v>
      </c>
      <c r="P943" s="80">
        <v>40</v>
      </c>
      <c r="Q943" s="80">
        <f t="shared" si="152"/>
        <v>315</v>
      </c>
      <c r="R943" s="80">
        <f t="shared" si="153"/>
        <v>100</v>
      </c>
      <c r="S943" s="77">
        <f t="shared" si="154"/>
        <v>695</v>
      </c>
      <c r="T943" s="77">
        <f>0</f>
        <v>0</v>
      </c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</row>
    <row r="944" spans="1:30" ht="15.75" x14ac:dyDescent="0.25">
      <c r="A944" s="32">
        <v>69671</v>
      </c>
      <c r="B944" s="89">
        <f t="shared" si="155"/>
        <v>30</v>
      </c>
      <c r="C944" s="77">
        <f>194.205</f>
        <v>194.20500000000001</v>
      </c>
      <c r="D944" s="77">
        <f>267.466</f>
        <v>267.46600000000001</v>
      </c>
      <c r="E944" s="86">
        <f>133.845</f>
        <v>133.845</v>
      </c>
      <c r="F944" s="77">
        <f>278.484-40-25-60-100</f>
        <v>53.48399999999998</v>
      </c>
      <c r="G944" s="80">
        <v>40</v>
      </c>
      <c r="H944" s="77">
        <f t="shared" si="157"/>
        <v>185</v>
      </c>
      <c r="I944" s="77">
        <f t="shared" si="147"/>
        <v>0</v>
      </c>
      <c r="J944" s="80">
        <v>100</v>
      </c>
      <c r="K944" s="80">
        <v>300</v>
      </c>
      <c r="L944" s="77">
        <f t="shared" si="151"/>
        <v>1274</v>
      </c>
      <c r="M944" s="88">
        <v>600</v>
      </c>
      <c r="N944" s="77">
        <f>30</f>
        <v>30</v>
      </c>
      <c r="O944" s="80">
        <v>240</v>
      </c>
      <c r="P944" s="80">
        <v>40</v>
      </c>
      <c r="Q944" s="80">
        <f t="shared" si="152"/>
        <v>315</v>
      </c>
      <c r="R944" s="80">
        <f t="shared" si="153"/>
        <v>100</v>
      </c>
      <c r="S944" s="77">
        <f t="shared" si="154"/>
        <v>695</v>
      </c>
      <c r="T944" s="77">
        <f>0</f>
        <v>0</v>
      </c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</row>
    <row r="945" spans="1:30" ht="15.75" x14ac:dyDescent="0.25">
      <c r="A945" s="32">
        <v>69702</v>
      </c>
      <c r="B945" s="89">
        <f t="shared" si="155"/>
        <v>31</v>
      </c>
      <c r="C945" s="77">
        <f>131.881</f>
        <v>131.881</v>
      </c>
      <c r="D945" s="77">
        <f>277.167</f>
        <v>277.16699999999997</v>
      </c>
      <c r="E945" s="86">
        <f>79.08</f>
        <v>79.08</v>
      </c>
      <c r="F945" s="77">
        <f>350.872-40-25-60-100</f>
        <v>125.87200000000001</v>
      </c>
      <c r="G945" s="80">
        <v>40</v>
      </c>
      <c r="H945" s="77">
        <f t="shared" si="157"/>
        <v>185</v>
      </c>
      <c r="I945" s="77">
        <f t="shared" si="147"/>
        <v>0</v>
      </c>
      <c r="J945" s="80">
        <v>100</v>
      </c>
      <c r="K945" s="80">
        <v>300</v>
      </c>
      <c r="L945" s="77">
        <f t="shared" si="151"/>
        <v>1239</v>
      </c>
      <c r="M945" s="88">
        <v>600</v>
      </c>
      <c r="N945" s="77">
        <f>75</f>
        <v>75</v>
      </c>
      <c r="O945" s="80">
        <v>240</v>
      </c>
      <c r="P945" s="80">
        <v>40</v>
      </c>
      <c r="Q945" s="80">
        <f t="shared" si="152"/>
        <v>315</v>
      </c>
      <c r="R945" s="80">
        <f t="shared" si="153"/>
        <v>100</v>
      </c>
      <c r="S945" s="77">
        <f t="shared" si="154"/>
        <v>695</v>
      </c>
      <c r="T945" s="77">
        <f>0</f>
        <v>0</v>
      </c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</row>
    <row r="946" spans="1:30" ht="15.75" x14ac:dyDescent="0.25">
      <c r="A946" s="32">
        <v>69732</v>
      </c>
      <c r="B946" s="89">
        <f t="shared" si="155"/>
        <v>30</v>
      </c>
      <c r="C946" s="77">
        <f>122.58</f>
        <v>122.58</v>
      </c>
      <c r="D946" s="77">
        <f>297.941</f>
        <v>297.94099999999997</v>
      </c>
      <c r="E946" s="86">
        <f>89.177</f>
        <v>89.177000000000007</v>
      </c>
      <c r="F946" s="77">
        <f>240.302-40-60-100</f>
        <v>40.301999999999992</v>
      </c>
      <c r="G946" s="80">
        <v>40</v>
      </c>
      <c r="H946" s="77">
        <f>60+100</f>
        <v>160</v>
      </c>
      <c r="I946" s="77">
        <f t="shared" si="147"/>
        <v>0</v>
      </c>
      <c r="J946" s="80">
        <v>100</v>
      </c>
      <c r="K946" s="80">
        <v>300</v>
      </c>
      <c r="L946" s="77">
        <f t="shared" si="151"/>
        <v>1150</v>
      </c>
      <c r="M946" s="88">
        <v>600</v>
      </c>
      <c r="N946" s="77">
        <f>100</f>
        <v>100</v>
      </c>
      <c r="O946" s="80">
        <v>240</v>
      </c>
      <c r="P946" s="80">
        <v>40</v>
      </c>
      <c r="Q946" s="80">
        <f t="shared" si="152"/>
        <v>315</v>
      </c>
      <c r="R946" s="80">
        <f t="shared" si="153"/>
        <v>100</v>
      </c>
      <c r="S946" s="77">
        <f t="shared" si="154"/>
        <v>695</v>
      </c>
      <c r="T946" s="77">
        <f>50</f>
        <v>50</v>
      </c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</row>
    <row r="947" spans="1:30" ht="15.75" x14ac:dyDescent="0.25">
      <c r="A947" s="32">
        <v>69763</v>
      </c>
      <c r="B947" s="89">
        <f t="shared" si="155"/>
        <v>31</v>
      </c>
      <c r="C947" s="77">
        <f>122.58</f>
        <v>122.58</v>
      </c>
      <c r="D947" s="77">
        <f>297.941</f>
        <v>297.94099999999997</v>
      </c>
      <c r="E947" s="86">
        <f>89.177</f>
        <v>89.177000000000007</v>
      </c>
      <c r="F947" s="77">
        <f>240.302-40-60-100</f>
        <v>40.301999999999992</v>
      </c>
      <c r="G947" s="80">
        <v>40</v>
      </c>
      <c r="H947" s="77">
        <f>60+100</f>
        <v>160</v>
      </c>
      <c r="I947" s="77">
        <f t="shared" si="147"/>
        <v>0</v>
      </c>
      <c r="J947" s="80">
        <v>100</v>
      </c>
      <c r="K947" s="80">
        <v>300</v>
      </c>
      <c r="L947" s="77">
        <f t="shared" si="151"/>
        <v>1150</v>
      </c>
      <c r="M947" s="88">
        <v>600</v>
      </c>
      <c r="N947" s="77">
        <f>100</f>
        <v>100</v>
      </c>
      <c r="O947" s="80">
        <v>240</v>
      </c>
      <c r="P947" s="80">
        <v>40</v>
      </c>
      <c r="Q947" s="80">
        <f t="shared" si="152"/>
        <v>315</v>
      </c>
      <c r="R947" s="80">
        <f t="shared" si="153"/>
        <v>100</v>
      </c>
      <c r="S947" s="77">
        <f t="shared" si="154"/>
        <v>695</v>
      </c>
      <c r="T947" s="77">
        <f>50</f>
        <v>50</v>
      </c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</row>
    <row r="948" spans="1:30" ht="15.75" x14ac:dyDescent="0.25">
      <c r="A948" s="32">
        <v>69794</v>
      </c>
      <c r="B948" s="89">
        <f t="shared" si="155"/>
        <v>31</v>
      </c>
      <c r="C948" s="77">
        <f>122.58</f>
        <v>122.58</v>
      </c>
      <c r="D948" s="77">
        <f>297.941</f>
        <v>297.94099999999997</v>
      </c>
      <c r="E948" s="86">
        <f>89.177</f>
        <v>89.177000000000007</v>
      </c>
      <c r="F948" s="77">
        <f>240.302-40-60-100</f>
        <v>40.301999999999992</v>
      </c>
      <c r="G948" s="80">
        <v>40</v>
      </c>
      <c r="H948" s="77">
        <f>60+100</f>
        <v>160</v>
      </c>
      <c r="I948" s="77">
        <f t="shared" ref="I948:I1011" si="158">400-J948-K948</f>
        <v>0</v>
      </c>
      <c r="J948" s="80">
        <v>100</v>
      </c>
      <c r="K948" s="80">
        <v>300</v>
      </c>
      <c r="L948" s="77">
        <f t="shared" si="151"/>
        <v>1150</v>
      </c>
      <c r="M948" s="88">
        <v>600</v>
      </c>
      <c r="N948" s="77">
        <f>100</f>
        <v>100</v>
      </c>
      <c r="O948" s="80">
        <v>240</v>
      </c>
      <c r="P948" s="80">
        <v>40</v>
      </c>
      <c r="Q948" s="80">
        <f t="shared" si="152"/>
        <v>315</v>
      </c>
      <c r="R948" s="80">
        <f t="shared" si="153"/>
        <v>100</v>
      </c>
      <c r="S948" s="77">
        <f t="shared" si="154"/>
        <v>695</v>
      </c>
      <c r="T948" s="77">
        <f>50</f>
        <v>50</v>
      </c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</row>
    <row r="949" spans="1:30" ht="15.75" x14ac:dyDescent="0.25">
      <c r="A949" s="32">
        <v>69822</v>
      </c>
      <c r="B949" s="89">
        <f t="shared" si="155"/>
        <v>28</v>
      </c>
      <c r="C949" s="77">
        <f>122.58</f>
        <v>122.58</v>
      </c>
      <c r="D949" s="77">
        <f>297.941</f>
        <v>297.94099999999997</v>
      </c>
      <c r="E949" s="86">
        <f>89.177</f>
        <v>89.177000000000007</v>
      </c>
      <c r="F949" s="77">
        <f>240.302-40-60-100</f>
        <v>40.301999999999992</v>
      </c>
      <c r="G949" s="80">
        <v>40</v>
      </c>
      <c r="H949" s="77">
        <f>60+100</f>
        <v>160</v>
      </c>
      <c r="I949" s="77">
        <f t="shared" si="158"/>
        <v>0</v>
      </c>
      <c r="J949" s="80">
        <v>100</v>
      </c>
      <c r="K949" s="80">
        <v>300</v>
      </c>
      <c r="L949" s="77">
        <f t="shared" si="151"/>
        <v>1150</v>
      </c>
      <c r="M949" s="88">
        <v>600</v>
      </c>
      <c r="N949" s="77">
        <f>100</f>
        <v>100</v>
      </c>
      <c r="O949" s="80">
        <v>240</v>
      </c>
      <c r="P949" s="80">
        <v>40</v>
      </c>
      <c r="Q949" s="80">
        <f t="shared" si="152"/>
        <v>315</v>
      </c>
      <c r="R949" s="80">
        <f t="shared" si="153"/>
        <v>100</v>
      </c>
      <c r="S949" s="77">
        <f t="shared" si="154"/>
        <v>695</v>
      </c>
      <c r="T949" s="77">
        <f>50</f>
        <v>50</v>
      </c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</row>
    <row r="950" spans="1:30" ht="15.75" x14ac:dyDescent="0.25">
      <c r="A950" s="32">
        <v>69853</v>
      </c>
      <c r="B950" s="89">
        <f t="shared" si="155"/>
        <v>31</v>
      </c>
      <c r="C950" s="77">
        <f>122.58</f>
        <v>122.58</v>
      </c>
      <c r="D950" s="77">
        <f>297.941</f>
        <v>297.94099999999997</v>
      </c>
      <c r="E950" s="86">
        <f>89.177</f>
        <v>89.177000000000007</v>
      </c>
      <c r="F950" s="77">
        <f>240.302-40-60-100</f>
        <v>40.301999999999992</v>
      </c>
      <c r="G950" s="80">
        <v>40</v>
      </c>
      <c r="H950" s="77">
        <f>60+100</f>
        <v>160</v>
      </c>
      <c r="I950" s="77">
        <f t="shared" si="158"/>
        <v>0</v>
      </c>
      <c r="J950" s="80">
        <v>100</v>
      </c>
      <c r="K950" s="80">
        <v>300</v>
      </c>
      <c r="L950" s="77">
        <f t="shared" si="151"/>
        <v>1150</v>
      </c>
      <c r="M950" s="88">
        <v>600</v>
      </c>
      <c r="N950" s="77">
        <f>100</f>
        <v>100</v>
      </c>
      <c r="O950" s="80">
        <v>240</v>
      </c>
      <c r="P950" s="80">
        <v>40</v>
      </c>
      <c r="Q950" s="80">
        <f t="shared" si="152"/>
        <v>315</v>
      </c>
      <c r="R950" s="80">
        <f t="shared" si="153"/>
        <v>100</v>
      </c>
      <c r="S950" s="77">
        <f t="shared" si="154"/>
        <v>695</v>
      </c>
      <c r="T950" s="77">
        <f>50</f>
        <v>50</v>
      </c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</row>
    <row r="951" spans="1:30" ht="15.75" x14ac:dyDescent="0.25">
      <c r="A951" s="32">
        <v>69883</v>
      </c>
      <c r="B951" s="89">
        <f t="shared" si="155"/>
        <v>30</v>
      </c>
      <c r="C951" s="77">
        <f>141.293</f>
        <v>141.29300000000001</v>
      </c>
      <c r="D951" s="77">
        <f>267.993</f>
        <v>267.99299999999999</v>
      </c>
      <c r="E951" s="86">
        <f>115.016</f>
        <v>115.01600000000001</v>
      </c>
      <c r="F951" s="77">
        <f>314.698-40-25-60-100</f>
        <v>89.697999999999979</v>
      </c>
      <c r="G951" s="80">
        <v>40</v>
      </c>
      <c r="H951" s="77">
        <f t="shared" ref="H951:H957" si="159">25+60+100</f>
        <v>185</v>
      </c>
      <c r="I951" s="77">
        <f t="shared" si="158"/>
        <v>0</v>
      </c>
      <c r="J951" s="80">
        <v>100</v>
      </c>
      <c r="K951" s="80">
        <v>300</v>
      </c>
      <c r="L951" s="77">
        <f t="shared" si="151"/>
        <v>1239</v>
      </c>
      <c r="M951" s="88">
        <v>600</v>
      </c>
      <c r="N951" s="77">
        <f>100</f>
        <v>100</v>
      </c>
      <c r="O951" s="80">
        <v>240</v>
      </c>
      <c r="P951" s="80">
        <v>40</v>
      </c>
      <c r="Q951" s="80">
        <f t="shared" si="152"/>
        <v>315</v>
      </c>
      <c r="R951" s="80">
        <f t="shared" si="153"/>
        <v>100</v>
      </c>
      <c r="S951" s="77">
        <f t="shared" si="154"/>
        <v>695</v>
      </c>
      <c r="T951" s="77">
        <f>50</f>
        <v>50</v>
      </c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</row>
    <row r="952" spans="1:30" ht="15.75" x14ac:dyDescent="0.25">
      <c r="A952" s="32">
        <v>69914</v>
      </c>
      <c r="B952" s="89">
        <f t="shared" si="155"/>
        <v>31</v>
      </c>
      <c r="C952" s="77">
        <f>194.205</f>
        <v>194.20500000000001</v>
      </c>
      <c r="D952" s="77">
        <f>267.466</f>
        <v>267.46600000000001</v>
      </c>
      <c r="E952" s="86">
        <f>133.845</f>
        <v>133.845</v>
      </c>
      <c r="F952" s="77">
        <f>278.484-40-25-60-100</f>
        <v>53.48399999999998</v>
      </c>
      <c r="G952" s="80">
        <v>40</v>
      </c>
      <c r="H952" s="77">
        <f t="shared" si="159"/>
        <v>185</v>
      </c>
      <c r="I952" s="77">
        <f t="shared" si="158"/>
        <v>0</v>
      </c>
      <c r="J952" s="80">
        <v>100</v>
      </c>
      <c r="K952" s="80">
        <v>300</v>
      </c>
      <c r="L952" s="77">
        <f t="shared" si="151"/>
        <v>1274</v>
      </c>
      <c r="M952" s="88">
        <v>600</v>
      </c>
      <c r="N952" s="77">
        <f>75</f>
        <v>75</v>
      </c>
      <c r="O952" s="80">
        <v>240</v>
      </c>
      <c r="P952" s="80">
        <v>40</v>
      </c>
      <c r="Q952" s="80">
        <f t="shared" si="152"/>
        <v>315</v>
      </c>
      <c r="R952" s="80">
        <f t="shared" si="153"/>
        <v>100</v>
      </c>
      <c r="S952" s="77">
        <f t="shared" si="154"/>
        <v>695</v>
      </c>
      <c r="T952" s="77">
        <f>50</f>
        <v>50</v>
      </c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</row>
    <row r="953" spans="1:30" ht="15.75" x14ac:dyDescent="0.25">
      <c r="A953" s="32">
        <v>69944</v>
      </c>
      <c r="B953" s="89">
        <f t="shared" si="155"/>
        <v>30</v>
      </c>
      <c r="C953" s="77">
        <f>194.205</f>
        <v>194.20500000000001</v>
      </c>
      <c r="D953" s="77">
        <f>267.466</f>
        <v>267.46600000000001</v>
      </c>
      <c r="E953" s="86">
        <f>133.845</f>
        <v>133.845</v>
      </c>
      <c r="F953" s="77">
        <f>278.484-40-25-60-100</f>
        <v>53.48399999999998</v>
      </c>
      <c r="G953" s="80">
        <v>40</v>
      </c>
      <c r="H953" s="77">
        <f t="shared" si="159"/>
        <v>185</v>
      </c>
      <c r="I953" s="77">
        <f t="shared" si="158"/>
        <v>0</v>
      </c>
      <c r="J953" s="80">
        <v>100</v>
      </c>
      <c r="K953" s="80">
        <v>300</v>
      </c>
      <c r="L953" s="77">
        <f t="shared" si="151"/>
        <v>1274</v>
      </c>
      <c r="M953" s="88">
        <v>600</v>
      </c>
      <c r="N953" s="77">
        <f>30</f>
        <v>30</v>
      </c>
      <c r="O953" s="80">
        <v>240</v>
      </c>
      <c r="P953" s="80">
        <v>40</v>
      </c>
      <c r="Q953" s="80">
        <f t="shared" si="152"/>
        <v>315</v>
      </c>
      <c r="R953" s="80">
        <f t="shared" si="153"/>
        <v>100</v>
      </c>
      <c r="S953" s="77">
        <f t="shared" si="154"/>
        <v>695</v>
      </c>
      <c r="T953" s="77">
        <f>50</f>
        <v>50</v>
      </c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</row>
    <row r="954" spans="1:30" ht="15.75" x14ac:dyDescent="0.25">
      <c r="A954" s="32">
        <v>69975</v>
      </c>
      <c r="B954" s="89">
        <f t="shared" si="155"/>
        <v>31</v>
      </c>
      <c r="C954" s="77">
        <f>194.205</f>
        <v>194.20500000000001</v>
      </c>
      <c r="D954" s="77">
        <f>267.466</f>
        <v>267.46600000000001</v>
      </c>
      <c r="E954" s="86">
        <f>133.845</f>
        <v>133.845</v>
      </c>
      <c r="F954" s="77">
        <f>278.484-40-25-60-100</f>
        <v>53.48399999999998</v>
      </c>
      <c r="G954" s="80">
        <v>40</v>
      </c>
      <c r="H954" s="77">
        <f t="shared" si="159"/>
        <v>185</v>
      </c>
      <c r="I954" s="77">
        <f t="shared" si="158"/>
        <v>0</v>
      </c>
      <c r="J954" s="80">
        <v>100</v>
      </c>
      <c r="K954" s="80">
        <v>300</v>
      </c>
      <c r="L954" s="77">
        <f t="shared" si="151"/>
        <v>1274</v>
      </c>
      <c r="M954" s="88">
        <v>600</v>
      </c>
      <c r="N954" s="77">
        <f>30</f>
        <v>30</v>
      </c>
      <c r="O954" s="80">
        <v>240</v>
      </c>
      <c r="P954" s="80">
        <v>40</v>
      </c>
      <c r="Q954" s="80">
        <f t="shared" si="152"/>
        <v>315</v>
      </c>
      <c r="R954" s="80">
        <f t="shared" si="153"/>
        <v>100</v>
      </c>
      <c r="S954" s="77">
        <f t="shared" si="154"/>
        <v>695</v>
      </c>
      <c r="T954" s="77">
        <f>0</f>
        <v>0</v>
      </c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</row>
    <row r="955" spans="1:30" ht="15.75" x14ac:dyDescent="0.25">
      <c r="A955" s="32">
        <v>70006</v>
      </c>
      <c r="B955" s="89">
        <f t="shared" si="155"/>
        <v>31</v>
      </c>
      <c r="C955" s="77">
        <f>194.205</f>
        <v>194.20500000000001</v>
      </c>
      <c r="D955" s="77">
        <f>267.466</f>
        <v>267.46600000000001</v>
      </c>
      <c r="E955" s="86">
        <f>133.845</f>
        <v>133.845</v>
      </c>
      <c r="F955" s="77">
        <f>278.484-40-25-60-100</f>
        <v>53.48399999999998</v>
      </c>
      <c r="G955" s="80">
        <v>40</v>
      </c>
      <c r="H955" s="77">
        <f t="shared" si="159"/>
        <v>185</v>
      </c>
      <c r="I955" s="77">
        <f t="shared" si="158"/>
        <v>0</v>
      </c>
      <c r="J955" s="80">
        <v>100</v>
      </c>
      <c r="K955" s="80">
        <v>300</v>
      </c>
      <c r="L955" s="77">
        <f t="shared" si="151"/>
        <v>1274</v>
      </c>
      <c r="M955" s="88">
        <v>600</v>
      </c>
      <c r="N955" s="77">
        <f>30</f>
        <v>30</v>
      </c>
      <c r="O955" s="80">
        <v>240</v>
      </c>
      <c r="P955" s="80">
        <v>40</v>
      </c>
      <c r="Q955" s="80">
        <f t="shared" si="152"/>
        <v>315</v>
      </c>
      <c r="R955" s="80">
        <f t="shared" si="153"/>
        <v>100</v>
      </c>
      <c r="S955" s="77">
        <f t="shared" si="154"/>
        <v>695</v>
      </c>
      <c r="T955" s="77">
        <f>0</f>
        <v>0</v>
      </c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</row>
    <row r="956" spans="1:30" ht="15.75" x14ac:dyDescent="0.25">
      <c r="A956" s="32">
        <v>70036</v>
      </c>
      <c r="B956" s="89">
        <f t="shared" si="155"/>
        <v>30</v>
      </c>
      <c r="C956" s="77">
        <f>194.205</f>
        <v>194.20500000000001</v>
      </c>
      <c r="D956" s="77">
        <f>267.466</f>
        <v>267.46600000000001</v>
      </c>
      <c r="E956" s="86">
        <f>133.845</f>
        <v>133.845</v>
      </c>
      <c r="F956" s="77">
        <f>278.484-40-25-60-100</f>
        <v>53.48399999999998</v>
      </c>
      <c r="G956" s="80">
        <v>40</v>
      </c>
      <c r="H956" s="77">
        <f t="shared" si="159"/>
        <v>185</v>
      </c>
      <c r="I956" s="77">
        <f t="shared" si="158"/>
        <v>0</v>
      </c>
      <c r="J956" s="80">
        <v>100</v>
      </c>
      <c r="K956" s="80">
        <v>300</v>
      </c>
      <c r="L956" s="77">
        <f t="shared" si="151"/>
        <v>1274</v>
      </c>
      <c r="M956" s="88">
        <v>600</v>
      </c>
      <c r="N956" s="77">
        <f>30</f>
        <v>30</v>
      </c>
      <c r="O956" s="80">
        <v>240</v>
      </c>
      <c r="P956" s="80">
        <v>40</v>
      </c>
      <c r="Q956" s="80">
        <f t="shared" si="152"/>
        <v>315</v>
      </c>
      <c r="R956" s="80">
        <f t="shared" si="153"/>
        <v>100</v>
      </c>
      <c r="S956" s="77">
        <f t="shared" si="154"/>
        <v>695</v>
      </c>
      <c r="T956" s="77">
        <f>0</f>
        <v>0</v>
      </c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</row>
    <row r="957" spans="1:30" ht="15.75" x14ac:dyDescent="0.25">
      <c r="A957" s="32">
        <v>70067</v>
      </c>
      <c r="B957" s="89">
        <f t="shared" si="155"/>
        <v>31</v>
      </c>
      <c r="C957" s="77">
        <f>131.881</f>
        <v>131.881</v>
      </c>
      <c r="D957" s="77">
        <f>277.167</f>
        <v>277.16699999999997</v>
      </c>
      <c r="E957" s="86">
        <f>79.08</f>
        <v>79.08</v>
      </c>
      <c r="F957" s="77">
        <f>350.872-40-25-60-100</f>
        <v>125.87200000000001</v>
      </c>
      <c r="G957" s="80">
        <v>40</v>
      </c>
      <c r="H957" s="77">
        <f t="shared" si="159"/>
        <v>185</v>
      </c>
      <c r="I957" s="77">
        <f t="shared" si="158"/>
        <v>0</v>
      </c>
      <c r="J957" s="80">
        <v>100</v>
      </c>
      <c r="K957" s="80">
        <v>300</v>
      </c>
      <c r="L957" s="77">
        <f t="shared" si="151"/>
        <v>1239</v>
      </c>
      <c r="M957" s="88">
        <v>600</v>
      </c>
      <c r="N957" s="77">
        <f>75</f>
        <v>75</v>
      </c>
      <c r="O957" s="80">
        <v>240</v>
      </c>
      <c r="P957" s="80">
        <v>40</v>
      </c>
      <c r="Q957" s="80">
        <f t="shared" si="152"/>
        <v>315</v>
      </c>
      <c r="R957" s="80">
        <f t="shared" si="153"/>
        <v>100</v>
      </c>
      <c r="S957" s="77">
        <f t="shared" si="154"/>
        <v>695</v>
      </c>
      <c r="T957" s="77">
        <f>0</f>
        <v>0</v>
      </c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</row>
    <row r="958" spans="1:30" ht="15.75" x14ac:dyDescent="0.25">
      <c r="A958" s="32">
        <v>70097</v>
      </c>
      <c r="B958" s="89">
        <f t="shared" si="155"/>
        <v>30</v>
      </c>
      <c r="C958" s="77">
        <f>122.58</f>
        <v>122.58</v>
      </c>
      <c r="D958" s="77">
        <f>297.941</f>
        <v>297.94099999999997</v>
      </c>
      <c r="E958" s="86">
        <f>89.177</f>
        <v>89.177000000000007</v>
      </c>
      <c r="F958" s="77">
        <f>240.302-40-60-100</f>
        <v>40.301999999999992</v>
      </c>
      <c r="G958" s="80">
        <v>40</v>
      </c>
      <c r="H958" s="77">
        <f>60+100</f>
        <v>160</v>
      </c>
      <c r="I958" s="77">
        <f t="shared" si="158"/>
        <v>0</v>
      </c>
      <c r="J958" s="80">
        <v>100</v>
      </c>
      <c r="K958" s="80">
        <v>300</v>
      </c>
      <c r="L958" s="77">
        <f t="shared" si="151"/>
        <v>1150</v>
      </c>
      <c r="M958" s="88">
        <v>600</v>
      </c>
      <c r="N958" s="77">
        <f>100</f>
        <v>100</v>
      </c>
      <c r="O958" s="80">
        <v>240</v>
      </c>
      <c r="P958" s="80">
        <v>40</v>
      </c>
      <c r="Q958" s="80">
        <f t="shared" si="152"/>
        <v>315</v>
      </c>
      <c r="R958" s="80">
        <f t="shared" si="153"/>
        <v>100</v>
      </c>
      <c r="S958" s="77">
        <f t="shared" si="154"/>
        <v>695</v>
      </c>
      <c r="T958" s="77">
        <f>50</f>
        <v>50</v>
      </c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</row>
    <row r="959" spans="1:30" ht="15.75" x14ac:dyDescent="0.25">
      <c r="A959" s="32">
        <v>70128</v>
      </c>
      <c r="B959" s="89">
        <f t="shared" si="155"/>
        <v>31</v>
      </c>
      <c r="C959" s="77">
        <f>122.58</f>
        <v>122.58</v>
      </c>
      <c r="D959" s="77">
        <f>297.941</f>
        <v>297.94099999999997</v>
      </c>
      <c r="E959" s="86">
        <f>89.177</f>
        <v>89.177000000000007</v>
      </c>
      <c r="F959" s="77">
        <f>240.302-40-60-100</f>
        <v>40.301999999999992</v>
      </c>
      <c r="G959" s="80">
        <v>40</v>
      </c>
      <c r="H959" s="77">
        <f>60+100</f>
        <v>160</v>
      </c>
      <c r="I959" s="77">
        <f t="shared" si="158"/>
        <v>0</v>
      </c>
      <c r="J959" s="80">
        <v>100</v>
      </c>
      <c r="K959" s="80">
        <v>300</v>
      </c>
      <c r="L959" s="77">
        <f t="shared" si="151"/>
        <v>1150</v>
      </c>
      <c r="M959" s="88">
        <v>600</v>
      </c>
      <c r="N959" s="77">
        <f>100</f>
        <v>100</v>
      </c>
      <c r="O959" s="80">
        <v>240</v>
      </c>
      <c r="P959" s="80">
        <v>40</v>
      </c>
      <c r="Q959" s="80">
        <f t="shared" si="152"/>
        <v>315</v>
      </c>
      <c r="R959" s="80">
        <f t="shared" si="153"/>
        <v>100</v>
      </c>
      <c r="S959" s="77">
        <f t="shared" si="154"/>
        <v>695</v>
      </c>
      <c r="T959" s="77">
        <f>50</f>
        <v>50</v>
      </c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</row>
    <row r="960" spans="1:30" ht="15.75" x14ac:dyDescent="0.25">
      <c r="A960" s="32">
        <v>70159</v>
      </c>
      <c r="B960" s="89">
        <f t="shared" si="155"/>
        <v>31</v>
      </c>
      <c r="C960" s="77">
        <f>122.58</f>
        <v>122.58</v>
      </c>
      <c r="D960" s="77">
        <f>297.941</f>
        <v>297.94099999999997</v>
      </c>
      <c r="E960" s="86">
        <f>89.177</f>
        <v>89.177000000000007</v>
      </c>
      <c r="F960" s="77">
        <f>240.302-40-60-100</f>
        <v>40.301999999999992</v>
      </c>
      <c r="G960" s="80">
        <v>40</v>
      </c>
      <c r="H960" s="77">
        <f>60+100</f>
        <v>160</v>
      </c>
      <c r="I960" s="77">
        <f t="shared" si="158"/>
        <v>0</v>
      </c>
      <c r="J960" s="80">
        <v>100</v>
      </c>
      <c r="K960" s="80">
        <v>300</v>
      </c>
      <c r="L960" s="77">
        <f t="shared" si="151"/>
        <v>1150</v>
      </c>
      <c r="M960" s="88">
        <v>600</v>
      </c>
      <c r="N960" s="77">
        <f>100</f>
        <v>100</v>
      </c>
      <c r="O960" s="80">
        <v>240</v>
      </c>
      <c r="P960" s="80">
        <v>40</v>
      </c>
      <c r="Q960" s="80">
        <f t="shared" si="152"/>
        <v>315</v>
      </c>
      <c r="R960" s="80">
        <f t="shared" si="153"/>
        <v>100</v>
      </c>
      <c r="S960" s="77">
        <f t="shared" si="154"/>
        <v>695</v>
      </c>
      <c r="T960" s="77">
        <f>50</f>
        <v>50</v>
      </c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</row>
    <row r="961" spans="1:30" ht="15.75" x14ac:dyDescent="0.25">
      <c r="A961" s="32">
        <v>70188</v>
      </c>
      <c r="B961" s="89">
        <f t="shared" si="155"/>
        <v>29</v>
      </c>
      <c r="C961" s="77">
        <f>122.58</f>
        <v>122.58</v>
      </c>
      <c r="D961" s="77">
        <f>297.941</f>
        <v>297.94099999999997</v>
      </c>
      <c r="E961" s="86">
        <f>89.177</f>
        <v>89.177000000000007</v>
      </c>
      <c r="F961" s="77">
        <f>240.302-40-60-100</f>
        <v>40.301999999999992</v>
      </c>
      <c r="G961" s="80">
        <v>40</v>
      </c>
      <c r="H961" s="77">
        <f>60+100</f>
        <v>160</v>
      </c>
      <c r="I961" s="77">
        <f t="shared" si="158"/>
        <v>0</v>
      </c>
      <c r="J961" s="80">
        <v>100</v>
      </c>
      <c r="K961" s="80">
        <v>300</v>
      </c>
      <c r="L961" s="77">
        <f t="shared" si="151"/>
        <v>1150</v>
      </c>
      <c r="M961" s="88">
        <v>600</v>
      </c>
      <c r="N961" s="77">
        <f>100</f>
        <v>100</v>
      </c>
      <c r="O961" s="80">
        <v>240</v>
      </c>
      <c r="P961" s="80">
        <v>40</v>
      </c>
      <c r="Q961" s="80">
        <f t="shared" si="152"/>
        <v>315</v>
      </c>
      <c r="R961" s="80">
        <f t="shared" si="153"/>
        <v>100</v>
      </c>
      <c r="S961" s="77">
        <f t="shared" si="154"/>
        <v>695</v>
      </c>
      <c r="T961" s="77">
        <f>50</f>
        <v>50</v>
      </c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</row>
    <row r="962" spans="1:30" ht="15.75" x14ac:dyDescent="0.25">
      <c r="A962" s="32">
        <v>70219</v>
      </c>
      <c r="B962" s="89">
        <f t="shared" si="155"/>
        <v>31</v>
      </c>
      <c r="C962" s="77">
        <f>122.58</f>
        <v>122.58</v>
      </c>
      <c r="D962" s="77">
        <f>297.941</f>
        <v>297.94099999999997</v>
      </c>
      <c r="E962" s="86">
        <f>89.177</f>
        <v>89.177000000000007</v>
      </c>
      <c r="F962" s="77">
        <f>240.302-40-60-100</f>
        <v>40.301999999999992</v>
      </c>
      <c r="G962" s="80">
        <v>40</v>
      </c>
      <c r="H962" s="77">
        <f>60+100</f>
        <v>160</v>
      </c>
      <c r="I962" s="77">
        <f t="shared" si="158"/>
        <v>0</v>
      </c>
      <c r="J962" s="80">
        <v>100</v>
      </c>
      <c r="K962" s="80">
        <v>300</v>
      </c>
      <c r="L962" s="77">
        <f t="shared" si="151"/>
        <v>1150</v>
      </c>
      <c r="M962" s="88">
        <v>600</v>
      </c>
      <c r="N962" s="77">
        <f>100</f>
        <v>100</v>
      </c>
      <c r="O962" s="80">
        <v>240</v>
      </c>
      <c r="P962" s="80">
        <v>40</v>
      </c>
      <c r="Q962" s="80">
        <f t="shared" si="152"/>
        <v>315</v>
      </c>
      <c r="R962" s="80">
        <f t="shared" si="153"/>
        <v>100</v>
      </c>
      <c r="S962" s="77">
        <f t="shared" si="154"/>
        <v>695</v>
      </c>
      <c r="T962" s="77">
        <f>50</f>
        <v>50</v>
      </c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</row>
    <row r="963" spans="1:30" ht="15.75" x14ac:dyDescent="0.25">
      <c r="A963" s="32">
        <v>70249</v>
      </c>
      <c r="B963" s="89">
        <f t="shared" si="155"/>
        <v>30</v>
      </c>
      <c r="C963" s="77">
        <f>141.293</f>
        <v>141.29300000000001</v>
      </c>
      <c r="D963" s="77">
        <f>267.993</f>
        <v>267.99299999999999</v>
      </c>
      <c r="E963" s="86">
        <f>115.016</f>
        <v>115.01600000000001</v>
      </c>
      <c r="F963" s="77">
        <f>314.698-40-25-60-100</f>
        <v>89.697999999999979</v>
      </c>
      <c r="G963" s="80">
        <v>40</v>
      </c>
      <c r="H963" s="77">
        <f t="shared" ref="H963:H969" si="160">25+60+100</f>
        <v>185</v>
      </c>
      <c r="I963" s="77">
        <f t="shared" si="158"/>
        <v>0</v>
      </c>
      <c r="J963" s="80">
        <v>100</v>
      </c>
      <c r="K963" s="80">
        <v>300</v>
      </c>
      <c r="L963" s="77">
        <f t="shared" si="151"/>
        <v>1239</v>
      </c>
      <c r="M963" s="88">
        <v>600</v>
      </c>
      <c r="N963" s="77">
        <f>100</f>
        <v>100</v>
      </c>
      <c r="O963" s="80">
        <v>240</v>
      </c>
      <c r="P963" s="80">
        <v>40</v>
      </c>
      <c r="Q963" s="80">
        <f t="shared" si="152"/>
        <v>315</v>
      </c>
      <c r="R963" s="80">
        <f t="shared" si="153"/>
        <v>100</v>
      </c>
      <c r="S963" s="77">
        <f t="shared" si="154"/>
        <v>695</v>
      </c>
      <c r="T963" s="77">
        <f>50</f>
        <v>50</v>
      </c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</row>
    <row r="964" spans="1:30" ht="15.75" x14ac:dyDescent="0.25">
      <c r="A964" s="32">
        <v>70280</v>
      </c>
      <c r="B964" s="89">
        <f t="shared" si="155"/>
        <v>31</v>
      </c>
      <c r="C964" s="77">
        <f>194.205</f>
        <v>194.20500000000001</v>
      </c>
      <c r="D964" s="77">
        <f>267.466</f>
        <v>267.46600000000001</v>
      </c>
      <c r="E964" s="86">
        <f>133.845</f>
        <v>133.845</v>
      </c>
      <c r="F964" s="77">
        <f>278.484-40-25-60-100</f>
        <v>53.48399999999998</v>
      </c>
      <c r="G964" s="80">
        <v>40</v>
      </c>
      <c r="H964" s="77">
        <f t="shared" si="160"/>
        <v>185</v>
      </c>
      <c r="I964" s="77">
        <f t="shared" si="158"/>
        <v>0</v>
      </c>
      <c r="J964" s="80">
        <v>100</v>
      </c>
      <c r="K964" s="80">
        <v>300</v>
      </c>
      <c r="L964" s="77">
        <f t="shared" si="151"/>
        <v>1274</v>
      </c>
      <c r="M964" s="88">
        <v>600</v>
      </c>
      <c r="N964" s="77">
        <f>75</f>
        <v>75</v>
      </c>
      <c r="O964" s="80">
        <v>240</v>
      </c>
      <c r="P964" s="80">
        <v>40</v>
      </c>
      <c r="Q964" s="80">
        <f t="shared" si="152"/>
        <v>315</v>
      </c>
      <c r="R964" s="80">
        <f t="shared" si="153"/>
        <v>100</v>
      </c>
      <c r="S964" s="77">
        <f t="shared" si="154"/>
        <v>695</v>
      </c>
      <c r="T964" s="77">
        <f>50</f>
        <v>50</v>
      </c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</row>
    <row r="965" spans="1:30" ht="15.75" x14ac:dyDescent="0.25">
      <c r="A965" s="32">
        <v>70310</v>
      </c>
      <c r="B965" s="89">
        <f t="shared" si="155"/>
        <v>30</v>
      </c>
      <c r="C965" s="77">
        <f>194.205</f>
        <v>194.20500000000001</v>
      </c>
      <c r="D965" s="77">
        <f>267.466</f>
        <v>267.46600000000001</v>
      </c>
      <c r="E965" s="86">
        <f>133.845</f>
        <v>133.845</v>
      </c>
      <c r="F965" s="77">
        <f>278.484-40-25-60-100</f>
        <v>53.48399999999998</v>
      </c>
      <c r="G965" s="80">
        <v>40</v>
      </c>
      <c r="H965" s="77">
        <f t="shared" si="160"/>
        <v>185</v>
      </c>
      <c r="I965" s="77">
        <f t="shared" si="158"/>
        <v>0</v>
      </c>
      <c r="J965" s="80">
        <v>100</v>
      </c>
      <c r="K965" s="80">
        <v>300</v>
      </c>
      <c r="L965" s="77">
        <f t="shared" si="151"/>
        <v>1274</v>
      </c>
      <c r="M965" s="88">
        <v>600</v>
      </c>
      <c r="N965" s="77">
        <f>30</f>
        <v>30</v>
      </c>
      <c r="O965" s="80">
        <v>240</v>
      </c>
      <c r="P965" s="80">
        <v>40</v>
      </c>
      <c r="Q965" s="80">
        <f t="shared" si="152"/>
        <v>315</v>
      </c>
      <c r="R965" s="80">
        <f t="shared" si="153"/>
        <v>100</v>
      </c>
      <c r="S965" s="77">
        <f t="shared" si="154"/>
        <v>695</v>
      </c>
      <c r="T965" s="77">
        <f>50</f>
        <v>50</v>
      </c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</row>
    <row r="966" spans="1:30" ht="15.75" x14ac:dyDescent="0.25">
      <c r="A966" s="32">
        <v>70341</v>
      </c>
      <c r="B966" s="89">
        <f t="shared" si="155"/>
        <v>31</v>
      </c>
      <c r="C966" s="77">
        <f>194.205</f>
        <v>194.20500000000001</v>
      </c>
      <c r="D966" s="77">
        <f>267.466</f>
        <v>267.46600000000001</v>
      </c>
      <c r="E966" s="86">
        <f>133.845</f>
        <v>133.845</v>
      </c>
      <c r="F966" s="77">
        <f>278.484-40-25-60-100</f>
        <v>53.48399999999998</v>
      </c>
      <c r="G966" s="80">
        <v>40</v>
      </c>
      <c r="H966" s="77">
        <f t="shared" si="160"/>
        <v>185</v>
      </c>
      <c r="I966" s="77">
        <f t="shared" si="158"/>
        <v>0</v>
      </c>
      <c r="J966" s="80">
        <v>100</v>
      </c>
      <c r="K966" s="80">
        <v>300</v>
      </c>
      <c r="L966" s="77">
        <f t="shared" si="151"/>
        <v>1274</v>
      </c>
      <c r="M966" s="88">
        <v>600</v>
      </c>
      <c r="N966" s="77">
        <f>30</f>
        <v>30</v>
      </c>
      <c r="O966" s="80">
        <v>240</v>
      </c>
      <c r="P966" s="80">
        <v>40</v>
      </c>
      <c r="Q966" s="80">
        <f t="shared" si="152"/>
        <v>315</v>
      </c>
      <c r="R966" s="80">
        <f t="shared" si="153"/>
        <v>100</v>
      </c>
      <c r="S966" s="77">
        <f t="shared" si="154"/>
        <v>695</v>
      </c>
      <c r="T966" s="77">
        <f>0</f>
        <v>0</v>
      </c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</row>
    <row r="967" spans="1:30" ht="15.75" x14ac:dyDescent="0.25">
      <c r="A967" s="32">
        <v>70372</v>
      </c>
      <c r="B967" s="89">
        <f t="shared" si="155"/>
        <v>31</v>
      </c>
      <c r="C967" s="77">
        <f>194.205</f>
        <v>194.20500000000001</v>
      </c>
      <c r="D967" s="77">
        <f>267.466</f>
        <v>267.46600000000001</v>
      </c>
      <c r="E967" s="86">
        <f>133.845</f>
        <v>133.845</v>
      </c>
      <c r="F967" s="77">
        <f>278.484-40-25-60-100</f>
        <v>53.48399999999998</v>
      </c>
      <c r="G967" s="80">
        <v>40</v>
      </c>
      <c r="H967" s="77">
        <f t="shared" si="160"/>
        <v>185</v>
      </c>
      <c r="I967" s="77">
        <f t="shared" si="158"/>
        <v>0</v>
      </c>
      <c r="J967" s="80">
        <v>100</v>
      </c>
      <c r="K967" s="80">
        <v>300</v>
      </c>
      <c r="L967" s="77">
        <f t="shared" si="151"/>
        <v>1274</v>
      </c>
      <c r="M967" s="88">
        <v>600</v>
      </c>
      <c r="N967" s="77">
        <f>30</f>
        <v>30</v>
      </c>
      <c r="O967" s="80">
        <v>240</v>
      </c>
      <c r="P967" s="80">
        <v>40</v>
      </c>
      <c r="Q967" s="80">
        <f t="shared" si="152"/>
        <v>315</v>
      </c>
      <c r="R967" s="80">
        <f t="shared" si="153"/>
        <v>100</v>
      </c>
      <c r="S967" s="77">
        <f t="shared" si="154"/>
        <v>695</v>
      </c>
      <c r="T967" s="77">
        <f>0</f>
        <v>0</v>
      </c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</row>
    <row r="968" spans="1:30" ht="15.75" x14ac:dyDescent="0.25">
      <c r="A968" s="32">
        <v>70402</v>
      </c>
      <c r="B968" s="89">
        <f t="shared" si="155"/>
        <v>30</v>
      </c>
      <c r="C968" s="77">
        <f>194.205</f>
        <v>194.20500000000001</v>
      </c>
      <c r="D968" s="77">
        <f>267.466</f>
        <v>267.46600000000001</v>
      </c>
      <c r="E968" s="86">
        <f>133.845</f>
        <v>133.845</v>
      </c>
      <c r="F968" s="77">
        <f>278.484-40-25-60-100</f>
        <v>53.48399999999998</v>
      </c>
      <c r="G968" s="80">
        <v>40</v>
      </c>
      <c r="H968" s="77">
        <f t="shared" si="160"/>
        <v>185</v>
      </c>
      <c r="I968" s="77">
        <f t="shared" si="158"/>
        <v>0</v>
      </c>
      <c r="J968" s="80">
        <v>100</v>
      </c>
      <c r="K968" s="80">
        <v>300</v>
      </c>
      <c r="L968" s="77">
        <f t="shared" si="151"/>
        <v>1274</v>
      </c>
      <c r="M968" s="88">
        <v>600</v>
      </c>
      <c r="N968" s="77">
        <f>30</f>
        <v>30</v>
      </c>
      <c r="O968" s="80">
        <v>240</v>
      </c>
      <c r="P968" s="80">
        <v>40</v>
      </c>
      <c r="Q968" s="80">
        <f t="shared" si="152"/>
        <v>315</v>
      </c>
      <c r="R968" s="80">
        <f t="shared" si="153"/>
        <v>100</v>
      </c>
      <c r="S968" s="77">
        <f t="shared" si="154"/>
        <v>695</v>
      </c>
      <c r="T968" s="77">
        <f>0</f>
        <v>0</v>
      </c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</row>
    <row r="969" spans="1:30" ht="15.75" x14ac:dyDescent="0.25">
      <c r="A969" s="32">
        <v>70433</v>
      </c>
      <c r="B969" s="89">
        <f t="shared" si="155"/>
        <v>31</v>
      </c>
      <c r="C969" s="77">
        <f>131.881</f>
        <v>131.881</v>
      </c>
      <c r="D969" s="77">
        <f>277.167</f>
        <v>277.16699999999997</v>
      </c>
      <c r="E969" s="86">
        <f>79.08</f>
        <v>79.08</v>
      </c>
      <c r="F969" s="77">
        <f>350.872-40-25-60-100</f>
        <v>125.87200000000001</v>
      </c>
      <c r="G969" s="80">
        <v>40</v>
      </c>
      <c r="H969" s="77">
        <f t="shared" si="160"/>
        <v>185</v>
      </c>
      <c r="I969" s="77">
        <f t="shared" si="158"/>
        <v>0</v>
      </c>
      <c r="J969" s="80">
        <v>100</v>
      </c>
      <c r="K969" s="80">
        <v>300</v>
      </c>
      <c r="L969" s="77">
        <f t="shared" si="151"/>
        <v>1239</v>
      </c>
      <c r="M969" s="88">
        <v>600</v>
      </c>
      <c r="N969" s="77">
        <f>75</f>
        <v>75</v>
      </c>
      <c r="O969" s="80">
        <v>240</v>
      </c>
      <c r="P969" s="80">
        <v>40</v>
      </c>
      <c r="Q969" s="80">
        <f t="shared" si="152"/>
        <v>315</v>
      </c>
      <c r="R969" s="80">
        <f t="shared" si="153"/>
        <v>100</v>
      </c>
      <c r="S969" s="77">
        <f t="shared" si="154"/>
        <v>695</v>
      </c>
      <c r="T969" s="77">
        <f>0</f>
        <v>0</v>
      </c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</row>
    <row r="970" spans="1:30" ht="15.75" x14ac:dyDescent="0.25">
      <c r="A970" s="32">
        <v>70463</v>
      </c>
      <c r="B970" s="89">
        <f t="shared" si="155"/>
        <v>30</v>
      </c>
      <c r="C970" s="77">
        <f>122.58</f>
        <v>122.58</v>
      </c>
      <c r="D970" s="77">
        <f>297.941</f>
        <v>297.94099999999997</v>
      </c>
      <c r="E970" s="86">
        <f>89.177</f>
        <v>89.177000000000007</v>
      </c>
      <c r="F970" s="77">
        <f>240.302-40-60-100</f>
        <v>40.301999999999992</v>
      </c>
      <c r="G970" s="80">
        <v>40</v>
      </c>
      <c r="H970" s="77">
        <f>60+100</f>
        <v>160</v>
      </c>
      <c r="I970" s="77">
        <f t="shared" si="158"/>
        <v>0</v>
      </c>
      <c r="J970" s="80">
        <v>100</v>
      </c>
      <c r="K970" s="80">
        <v>300</v>
      </c>
      <c r="L970" s="77">
        <f t="shared" si="151"/>
        <v>1150</v>
      </c>
      <c r="M970" s="88">
        <v>600</v>
      </c>
      <c r="N970" s="77">
        <f>100</f>
        <v>100</v>
      </c>
      <c r="O970" s="80">
        <v>240</v>
      </c>
      <c r="P970" s="80">
        <v>40</v>
      </c>
      <c r="Q970" s="80">
        <f t="shared" si="152"/>
        <v>315</v>
      </c>
      <c r="R970" s="80">
        <f t="shared" si="153"/>
        <v>100</v>
      </c>
      <c r="S970" s="77">
        <f t="shared" si="154"/>
        <v>695</v>
      </c>
      <c r="T970" s="77">
        <f>50</f>
        <v>50</v>
      </c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</row>
    <row r="971" spans="1:30" ht="15.75" x14ac:dyDescent="0.25">
      <c r="A971" s="32">
        <v>70494</v>
      </c>
      <c r="B971" s="89">
        <f t="shared" si="155"/>
        <v>31</v>
      </c>
      <c r="C971" s="77">
        <f>122.58</f>
        <v>122.58</v>
      </c>
      <c r="D971" s="77">
        <f>297.941</f>
        <v>297.94099999999997</v>
      </c>
      <c r="E971" s="86">
        <f>89.177</f>
        <v>89.177000000000007</v>
      </c>
      <c r="F971" s="77">
        <f>240.302-40-60-100</f>
        <v>40.301999999999992</v>
      </c>
      <c r="G971" s="80">
        <v>40</v>
      </c>
      <c r="H971" s="77">
        <f>60+100</f>
        <v>160</v>
      </c>
      <c r="I971" s="77">
        <f t="shared" si="158"/>
        <v>0</v>
      </c>
      <c r="J971" s="80">
        <v>100</v>
      </c>
      <c r="K971" s="80">
        <v>300</v>
      </c>
      <c r="L971" s="77">
        <f t="shared" si="151"/>
        <v>1150</v>
      </c>
      <c r="M971" s="88">
        <v>600</v>
      </c>
      <c r="N971" s="77">
        <f>100</f>
        <v>100</v>
      </c>
      <c r="O971" s="80">
        <v>240</v>
      </c>
      <c r="P971" s="80">
        <v>40</v>
      </c>
      <c r="Q971" s="80">
        <f t="shared" si="152"/>
        <v>315</v>
      </c>
      <c r="R971" s="80">
        <f t="shared" si="153"/>
        <v>100</v>
      </c>
      <c r="S971" s="77">
        <f t="shared" si="154"/>
        <v>695</v>
      </c>
      <c r="T971" s="77">
        <f>50</f>
        <v>50</v>
      </c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</row>
    <row r="972" spans="1:30" ht="15.75" x14ac:dyDescent="0.25">
      <c r="A972" s="32">
        <v>70525</v>
      </c>
      <c r="B972" s="89">
        <f t="shared" si="155"/>
        <v>31</v>
      </c>
      <c r="C972" s="77">
        <f>122.58</f>
        <v>122.58</v>
      </c>
      <c r="D972" s="77">
        <f>297.941</f>
        <v>297.94099999999997</v>
      </c>
      <c r="E972" s="86">
        <f>89.177</f>
        <v>89.177000000000007</v>
      </c>
      <c r="F972" s="77">
        <f>240.302-40-60-100</f>
        <v>40.301999999999992</v>
      </c>
      <c r="G972" s="80">
        <v>40</v>
      </c>
      <c r="H972" s="77">
        <f>60+100</f>
        <v>160</v>
      </c>
      <c r="I972" s="77">
        <f t="shared" si="158"/>
        <v>0</v>
      </c>
      <c r="J972" s="80">
        <v>100</v>
      </c>
      <c r="K972" s="80">
        <v>300</v>
      </c>
      <c r="L972" s="77">
        <f t="shared" si="151"/>
        <v>1150</v>
      </c>
      <c r="M972" s="88">
        <v>600</v>
      </c>
      <c r="N972" s="77">
        <f>100</f>
        <v>100</v>
      </c>
      <c r="O972" s="80">
        <v>240</v>
      </c>
      <c r="P972" s="80">
        <v>40</v>
      </c>
      <c r="Q972" s="80">
        <f t="shared" si="152"/>
        <v>315</v>
      </c>
      <c r="R972" s="80">
        <f t="shared" si="153"/>
        <v>100</v>
      </c>
      <c r="S972" s="77">
        <f t="shared" si="154"/>
        <v>695</v>
      </c>
      <c r="T972" s="77">
        <f>50</f>
        <v>50</v>
      </c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</row>
    <row r="973" spans="1:30" ht="15.75" x14ac:dyDescent="0.25">
      <c r="A973" s="32">
        <v>70553</v>
      </c>
      <c r="B973" s="89">
        <f t="shared" si="155"/>
        <v>28</v>
      </c>
      <c r="C973" s="77">
        <f>122.58</f>
        <v>122.58</v>
      </c>
      <c r="D973" s="77">
        <f>297.941</f>
        <v>297.94099999999997</v>
      </c>
      <c r="E973" s="86">
        <f>89.177</f>
        <v>89.177000000000007</v>
      </c>
      <c r="F973" s="77">
        <f>240.302-40-60-100</f>
        <v>40.301999999999992</v>
      </c>
      <c r="G973" s="80">
        <v>40</v>
      </c>
      <c r="H973" s="77">
        <f>60+100</f>
        <v>160</v>
      </c>
      <c r="I973" s="77">
        <f t="shared" si="158"/>
        <v>0</v>
      </c>
      <c r="J973" s="80">
        <v>100</v>
      </c>
      <c r="K973" s="80">
        <v>300</v>
      </c>
      <c r="L973" s="77">
        <f t="shared" si="151"/>
        <v>1150</v>
      </c>
      <c r="M973" s="88">
        <v>600</v>
      </c>
      <c r="N973" s="77">
        <f>100</f>
        <v>100</v>
      </c>
      <c r="O973" s="80">
        <v>240</v>
      </c>
      <c r="P973" s="80">
        <v>40</v>
      </c>
      <c r="Q973" s="80">
        <f t="shared" si="152"/>
        <v>315</v>
      </c>
      <c r="R973" s="80">
        <f t="shared" si="153"/>
        <v>100</v>
      </c>
      <c r="S973" s="77">
        <f t="shared" si="154"/>
        <v>695</v>
      </c>
      <c r="T973" s="77">
        <f>50</f>
        <v>50</v>
      </c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</row>
    <row r="974" spans="1:30" ht="15.75" x14ac:dyDescent="0.25">
      <c r="A974" s="32">
        <v>70584</v>
      </c>
      <c r="B974" s="89">
        <f t="shared" si="155"/>
        <v>31</v>
      </c>
      <c r="C974" s="77">
        <f>122.58</f>
        <v>122.58</v>
      </c>
      <c r="D974" s="77">
        <f>297.941</f>
        <v>297.94099999999997</v>
      </c>
      <c r="E974" s="86">
        <f>89.177</f>
        <v>89.177000000000007</v>
      </c>
      <c r="F974" s="77">
        <f>240.302-40-60-100</f>
        <v>40.301999999999992</v>
      </c>
      <c r="G974" s="80">
        <v>40</v>
      </c>
      <c r="H974" s="77">
        <f>60+100</f>
        <v>160</v>
      </c>
      <c r="I974" s="77">
        <f t="shared" si="158"/>
        <v>0</v>
      </c>
      <c r="J974" s="80">
        <v>100</v>
      </c>
      <c r="K974" s="80">
        <v>300</v>
      </c>
      <c r="L974" s="77">
        <f t="shared" si="151"/>
        <v>1150</v>
      </c>
      <c r="M974" s="88">
        <v>600</v>
      </c>
      <c r="N974" s="77">
        <f>100</f>
        <v>100</v>
      </c>
      <c r="O974" s="80">
        <v>240</v>
      </c>
      <c r="P974" s="80">
        <v>40</v>
      </c>
      <c r="Q974" s="80">
        <f t="shared" si="152"/>
        <v>315</v>
      </c>
      <c r="R974" s="80">
        <f t="shared" si="153"/>
        <v>100</v>
      </c>
      <c r="S974" s="77">
        <f t="shared" si="154"/>
        <v>695</v>
      </c>
      <c r="T974" s="77">
        <f>50</f>
        <v>50</v>
      </c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</row>
    <row r="975" spans="1:30" ht="15.75" x14ac:dyDescent="0.25">
      <c r="A975" s="32">
        <v>70614</v>
      </c>
      <c r="B975" s="89">
        <f t="shared" si="155"/>
        <v>30</v>
      </c>
      <c r="C975" s="77">
        <f>141.293</f>
        <v>141.29300000000001</v>
      </c>
      <c r="D975" s="77">
        <f>267.993</f>
        <v>267.99299999999999</v>
      </c>
      <c r="E975" s="86">
        <f>115.016</f>
        <v>115.01600000000001</v>
      </c>
      <c r="F975" s="77">
        <f>314.698-40-25-60-100</f>
        <v>89.697999999999979</v>
      </c>
      <c r="G975" s="80">
        <v>40</v>
      </c>
      <c r="H975" s="77">
        <f t="shared" ref="H975:H981" si="161">25+60+100</f>
        <v>185</v>
      </c>
      <c r="I975" s="77">
        <f t="shared" si="158"/>
        <v>0</v>
      </c>
      <c r="J975" s="80">
        <v>100</v>
      </c>
      <c r="K975" s="80">
        <v>300</v>
      </c>
      <c r="L975" s="77">
        <f t="shared" si="151"/>
        <v>1239</v>
      </c>
      <c r="M975" s="88">
        <v>600</v>
      </c>
      <c r="N975" s="77">
        <f>100</f>
        <v>100</v>
      </c>
      <c r="O975" s="80">
        <v>240</v>
      </c>
      <c r="P975" s="80">
        <v>40</v>
      </c>
      <c r="Q975" s="80">
        <f t="shared" si="152"/>
        <v>315</v>
      </c>
      <c r="R975" s="80">
        <f t="shared" si="153"/>
        <v>100</v>
      </c>
      <c r="S975" s="77">
        <f t="shared" si="154"/>
        <v>695</v>
      </c>
      <c r="T975" s="77">
        <f>50</f>
        <v>50</v>
      </c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</row>
    <row r="976" spans="1:30" ht="15.75" x14ac:dyDescent="0.25">
      <c r="A976" s="32">
        <v>70645</v>
      </c>
      <c r="B976" s="89">
        <f t="shared" si="155"/>
        <v>31</v>
      </c>
      <c r="C976" s="77">
        <f>194.205</f>
        <v>194.20500000000001</v>
      </c>
      <c r="D976" s="77">
        <f>267.466</f>
        <v>267.46600000000001</v>
      </c>
      <c r="E976" s="86">
        <f>133.845</f>
        <v>133.845</v>
      </c>
      <c r="F976" s="77">
        <f>278.484-40-25-60-100</f>
        <v>53.48399999999998</v>
      </c>
      <c r="G976" s="80">
        <v>40</v>
      </c>
      <c r="H976" s="77">
        <f t="shared" si="161"/>
        <v>185</v>
      </c>
      <c r="I976" s="77">
        <f t="shared" si="158"/>
        <v>0</v>
      </c>
      <c r="J976" s="80">
        <v>100</v>
      </c>
      <c r="K976" s="80">
        <v>300</v>
      </c>
      <c r="L976" s="77">
        <f t="shared" si="151"/>
        <v>1274</v>
      </c>
      <c r="M976" s="88">
        <v>600</v>
      </c>
      <c r="N976" s="77">
        <f>75</f>
        <v>75</v>
      </c>
      <c r="O976" s="80">
        <v>240</v>
      </c>
      <c r="P976" s="80">
        <v>40</v>
      </c>
      <c r="Q976" s="80">
        <f t="shared" si="152"/>
        <v>315</v>
      </c>
      <c r="R976" s="80">
        <f t="shared" si="153"/>
        <v>100</v>
      </c>
      <c r="S976" s="77">
        <f t="shared" si="154"/>
        <v>695</v>
      </c>
      <c r="T976" s="77">
        <f>50</f>
        <v>50</v>
      </c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</row>
    <row r="977" spans="1:30" ht="15.75" x14ac:dyDescent="0.25">
      <c r="A977" s="32">
        <v>70675</v>
      </c>
      <c r="B977" s="89">
        <f t="shared" si="155"/>
        <v>30</v>
      </c>
      <c r="C977" s="77">
        <f>194.205</f>
        <v>194.20500000000001</v>
      </c>
      <c r="D977" s="77">
        <f>267.466</f>
        <v>267.46600000000001</v>
      </c>
      <c r="E977" s="86">
        <f>133.845</f>
        <v>133.845</v>
      </c>
      <c r="F977" s="77">
        <f>278.484-40-25-60-100</f>
        <v>53.48399999999998</v>
      </c>
      <c r="G977" s="80">
        <v>40</v>
      </c>
      <c r="H977" s="77">
        <f t="shared" si="161"/>
        <v>185</v>
      </c>
      <c r="I977" s="77">
        <f t="shared" si="158"/>
        <v>0</v>
      </c>
      <c r="J977" s="80">
        <v>100</v>
      </c>
      <c r="K977" s="80">
        <v>300</v>
      </c>
      <c r="L977" s="77">
        <f t="shared" si="151"/>
        <v>1274</v>
      </c>
      <c r="M977" s="88">
        <v>600</v>
      </c>
      <c r="N977" s="77">
        <f>30</f>
        <v>30</v>
      </c>
      <c r="O977" s="80">
        <v>240</v>
      </c>
      <c r="P977" s="80">
        <v>40</v>
      </c>
      <c r="Q977" s="80">
        <f t="shared" si="152"/>
        <v>315</v>
      </c>
      <c r="R977" s="80">
        <f t="shared" si="153"/>
        <v>100</v>
      </c>
      <c r="S977" s="77">
        <f t="shared" si="154"/>
        <v>695</v>
      </c>
      <c r="T977" s="77">
        <f>50</f>
        <v>50</v>
      </c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</row>
    <row r="978" spans="1:30" ht="15.75" x14ac:dyDescent="0.25">
      <c r="A978" s="32">
        <v>70706</v>
      </c>
      <c r="B978" s="89">
        <f t="shared" si="155"/>
        <v>31</v>
      </c>
      <c r="C978" s="77">
        <f>194.205</f>
        <v>194.20500000000001</v>
      </c>
      <c r="D978" s="77">
        <f>267.466</f>
        <v>267.46600000000001</v>
      </c>
      <c r="E978" s="86">
        <f>133.845</f>
        <v>133.845</v>
      </c>
      <c r="F978" s="77">
        <f>278.484-40-25-60-100</f>
        <v>53.48399999999998</v>
      </c>
      <c r="G978" s="80">
        <v>40</v>
      </c>
      <c r="H978" s="77">
        <f t="shared" si="161"/>
        <v>185</v>
      </c>
      <c r="I978" s="77">
        <f t="shared" si="158"/>
        <v>0</v>
      </c>
      <c r="J978" s="80">
        <v>100</v>
      </c>
      <c r="K978" s="80">
        <v>300</v>
      </c>
      <c r="L978" s="77">
        <f t="shared" si="151"/>
        <v>1274</v>
      </c>
      <c r="M978" s="88">
        <v>600</v>
      </c>
      <c r="N978" s="77">
        <f>30</f>
        <v>30</v>
      </c>
      <c r="O978" s="80">
        <v>240</v>
      </c>
      <c r="P978" s="80">
        <v>40</v>
      </c>
      <c r="Q978" s="80">
        <f t="shared" si="152"/>
        <v>315</v>
      </c>
      <c r="R978" s="80">
        <f t="shared" si="153"/>
        <v>100</v>
      </c>
      <c r="S978" s="77">
        <f t="shared" si="154"/>
        <v>695</v>
      </c>
      <c r="T978" s="77">
        <f>0</f>
        <v>0</v>
      </c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</row>
    <row r="979" spans="1:30" ht="15.75" x14ac:dyDescent="0.25">
      <c r="A979" s="32">
        <v>70737</v>
      </c>
      <c r="B979" s="89">
        <f t="shared" si="155"/>
        <v>31</v>
      </c>
      <c r="C979" s="77">
        <f>194.205</f>
        <v>194.20500000000001</v>
      </c>
      <c r="D979" s="77">
        <f>267.466</f>
        <v>267.46600000000001</v>
      </c>
      <c r="E979" s="86">
        <f>133.845</f>
        <v>133.845</v>
      </c>
      <c r="F979" s="77">
        <f>278.484-40-25-60-100</f>
        <v>53.48399999999998</v>
      </c>
      <c r="G979" s="80">
        <v>40</v>
      </c>
      <c r="H979" s="77">
        <f t="shared" si="161"/>
        <v>185</v>
      </c>
      <c r="I979" s="77">
        <f t="shared" si="158"/>
        <v>0</v>
      </c>
      <c r="J979" s="80">
        <v>100</v>
      </c>
      <c r="K979" s="80">
        <v>300</v>
      </c>
      <c r="L979" s="77">
        <f t="shared" ref="L979:L1042" si="162">SUM(C979:K979)</f>
        <v>1274</v>
      </c>
      <c r="M979" s="88">
        <v>600</v>
      </c>
      <c r="N979" s="77">
        <f>30</f>
        <v>30</v>
      </c>
      <c r="O979" s="80">
        <v>240</v>
      </c>
      <c r="P979" s="80">
        <v>40</v>
      </c>
      <c r="Q979" s="80">
        <f t="shared" ref="Q979:Q1042" si="163">695-R979-O979-P979</f>
        <v>315</v>
      </c>
      <c r="R979" s="80">
        <f t="shared" ref="R979:R1042" si="164">200-J979</f>
        <v>100</v>
      </c>
      <c r="S979" s="77">
        <f t="shared" ref="S979:S1042" si="165">SUM(O979:R979)</f>
        <v>695</v>
      </c>
      <c r="T979" s="77">
        <f>0</f>
        <v>0</v>
      </c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</row>
    <row r="980" spans="1:30" ht="15.75" x14ac:dyDescent="0.25">
      <c r="A980" s="32">
        <v>70767</v>
      </c>
      <c r="B980" s="89">
        <f t="shared" si="155"/>
        <v>30</v>
      </c>
      <c r="C980" s="77">
        <f>194.205</f>
        <v>194.20500000000001</v>
      </c>
      <c r="D980" s="77">
        <f>267.466</f>
        <v>267.46600000000001</v>
      </c>
      <c r="E980" s="86">
        <f>133.845</f>
        <v>133.845</v>
      </c>
      <c r="F980" s="77">
        <f>278.484-40-25-60-100</f>
        <v>53.48399999999998</v>
      </c>
      <c r="G980" s="80">
        <v>40</v>
      </c>
      <c r="H980" s="77">
        <f t="shared" si="161"/>
        <v>185</v>
      </c>
      <c r="I980" s="77">
        <f t="shared" si="158"/>
        <v>0</v>
      </c>
      <c r="J980" s="80">
        <v>100</v>
      </c>
      <c r="K980" s="80">
        <v>300</v>
      </c>
      <c r="L980" s="77">
        <f t="shared" si="162"/>
        <v>1274</v>
      </c>
      <c r="M980" s="88">
        <v>600</v>
      </c>
      <c r="N980" s="77">
        <f>30</f>
        <v>30</v>
      </c>
      <c r="O980" s="80">
        <v>240</v>
      </c>
      <c r="P980" s="80">
        <v>40</v>
      </c>
      <c r="Q980" s="80">
        <f t="shared" si="163"/>
        <v>315</v>
      </c>
      <c r="R980" s="80">
        <f t="shared" si="164"/>
        <v>100</v>
      </c>
      <c r="S980" s="77">
        <f t="shared" si="165"/>
        <v>695</v>
      </c>
      <c r="T980" s="77">
        <f>0</f>
        <v>0</v>
      </c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</row>
    <row r="981" spans="1:30" ht="15.75" x14ac:dyDescent="0.25">
      <c r="A981" s="32">
        <v>70798</v>
      </c>
      <c r="B981" s="89">
        <f t="shared" si="155"/>
        <v>31</v>
      </c>
      <c r="C981" s="77">
        <f>131.881</f>
        <v>131.881</v>
      </c>
      <c r="D981" s="77">
        <f>277.167</f>
        <v>277.16699999999997</v>
      </c>
      <c r="E981" s="86">
        <f>79.08</f>
        <v>79.08</v>
      </c>
      <c r="F981" s="77">
        <f>350.872-40-25-60-100</f>
        <v>125.87200000000001</v>
      </c>
      <c r="G981" s="80">
        <v>40</v>
      </c>
      <c r="H981" s="77">
        <f t="shared" si="161"/>
        <v>185</v>
      </c>
      <c r="I981" s="77">
        <f t="shared" si="158"/>
        <v>0</v>
      </c>
      <c r="J981" s="80">
        <v>100</v>
      </c>
      <c r="K981" s="80">
        <v>300</v>
      </c>
      <c r="L981" s="77">
        <f t="shared" si="162"/>
        <v>1239</v>
      </c>
      <c r="M981" s="88">
        <v>600</v>
      </c>
      <c r="N981" s="77">
        <f>75</f>
        <v>75</v>
      </c>
      <c r="O981" s="80">
        <v>240</v>
      </c>
      <c r="P981" s="80">
        <v>40</v>
      </c>
      <c r="Q981" s="80">
        <f t="shared" si="163"/>
        <v>315</v>
      </c>
      <c r="R981" s="80">
        <f t="shared" si="164"/>
        <v>100</v>
      </c>
      <c r="S981" s="77">
        <f t="shared" si="165"/>
        <v>695</v>
      </c>
      <c r="T981" s="77">
        <f>0</f>
        <v>0</v>
      </c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</row>
    <row r="982" spans="1:30" ht="15.75" x14ac:dyDescent="0.25">
      <c r="A982" s="32">
        <v>70828</v>
      </c>
      <c r="B982" s="89">
        <f t="shared" si="155"/>
        <v>30</v>
      </c>
      <c r="C982" s="77">
        <f>122.58</f>
        <v>122.58</v>
      </c>
      <c r="D982" s="77">
        <f>297.941</f>
        <v>297.94099999999997</v>
      </c>
      <c r="E982" s="86">
        <f>89.177</f>
        <v>89.177000000000007</v>
      </c>
      <c r="F982" s="77">
        <f>240.302-40-60-100</f>
        <v>40.301999999999992</v>
      </c>
      <c r="G982" s="80">
        <v>40</v>
      </c>
      <c r="H982" s="77">
        <f>60+100</f>
        <v>160</v>
      </c>
      <c r="I982" s="77">
        <f t="shared" si="158"/>
        <v>0</v>
      </c>
      <c r="J982" s="80">
        <v>100</v>
      </c>
      <c r="K982" s="80">
        <v>300</v>
      </c>
      <c r="L982" s="77">
        <f t="shared" si="162"/>
        <v>1150</v>
      </c>
      <c r="M982" s="88">
        <v>600</v>
      </c>
      <c r="N982" s="77">
        <f>100</f>
        <v>100</v>
      </c>
      <c r="O982" s="80">
        <v>240</v>
      </c>
      <c r="P982" s="80">
        <v>40</v>
      </c>
      <c r="Q982" s="80">
        <f t="shared" si="163"/>
        <v>315</v>
      </c>
      <c r="R982" s="80">
        <f t="shared" si="164"/>
        <v>100</v>
      </c>
      <c r="S982" s="77">
        <f t="shared" si="165"/>
        <v>695</v>
      </c>
      <c r="T982" s="77">
        <f>50</f>
        <v>50</v>
      </c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</row>
    <row r="983" spans="1:30" ht="15.75" x14ac:dyDescent="0.25">
      <c r="A983" s="32">
        <v>70859</v>
      </c>
      <c r="B983" s="89">
        <f t="shared" si="155"/>
        <v>31</v>
      </c>
      <c r="C983" s="77">
        <f>122.58</f>
        <v>122.58</v>
      </c>
      <c r="D983" s="77">
        <f>297.941</f>
        <v>297.94099999999997</v>
      </c>
      <c r="E983" s="86">
        <f>89.177</f>
        <v>89.177000000000007</v>
      </c>
      <c r="F983" s="77">
        <f>240.302-40-60-100</f>
        <v>40.301999999999992</v>
      </c>
      <c r="G983" s="80">
        <v>40</v>
      </c>
      <c r="H983" s="77">
        <f>60+100</f>
        <v>160</v>
      </c>
      <c r="I983" s="77">
        <f t="shared" si="158"/>
        <v>0</v>
      </c>
      <c r="J983" s="80">
        <v>100</v>
      </c>
      <c r="K983" s="80">
        <v>300</v>
      </c>
      <c r="L983" s="77">
        <f t="shared" si="162"/>
        <v>1150</v>
      </c>
      <c r="M983" s="88">
        <v>600</v>
      </c>
      <c r="N983" s="77">
        <f>100</f>
        <v>100</v>
      </c>
      <c r="O983" s="80">
        <v>240</v>
      </c>
      <c r="P983" s="80">
        <v>40</v>
      </c>
      <c r="Q983" s="80">
        <f t="shared" si="163"/>
        <v>315</v>
      </c>
      <c r="R983" s="80">
        <f t="shared" si="164"/>
        <v>100</v>
      </c>
      <c r="S983" s="77">
        <f t="shared" si="165"/>
        <v>695</v>
      </c>
      <c r="T983" s="77">
        <f>50</f>
        <v>50</v>
      </c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</row>
    <row r="984" spans="1:30" ht="15.75" x14ac:dyDescent="0.25">
      <c r="A984" s="32">
        <v>70890</v>
      </c>
      <c r="B984" s="89">
        <f t="shared" ref="B984:B1047" si="166">EOMONTH(A984,0)-EOMONTH(A984,-1)</f>
        <v>31</v>
      </c>
      <c r="C984" s="77">
        <f>122.58</f>
        <v>122.58</v>
      </c>
      <c r="D984" s="77">
        <f>297.941</f>
        <v>297.94099999999997</v>
      </c>
      <c r="E984" s="86">
        <f>89.177</f>
        <v>89.177000000000007</v>
      </c>
      <c r="F984" s="77">
        <f>240.302-40-60-100</f>
        <v>40.301999999999992</v>
      </c>
      <c r="G984" s="80">
        <v>40</v>
      </c>
      <c r="H984" s="77">
        <f>60+100</f>
        <v>160</v>
      </c>
      <c r="I984" s="77">
        <f t="shared" si="158"/>
        <v>0</v>
      </c>
      <c r="J984" s="80">
        <v>100</v>
      </c>
      <c r="K984" s="80">
        <v>300</v>
      </c>
      <c r="L984" s="77">
        <f t="shared" si="162"/>
        <v>1150</v>
      </c>
      <c r="M984" s="88">
        <v>600</v>
      </c>
      <c r="N984" s="77">
        <f>100</f>
        <v>100</v>
      </c>
      <c r="O984" s="80">
        <v>240</v>
      </c>
      <c r="P984" s="80">
        <v>40</v>
      </c>
      <c r="Q984" s="80">
        <f t="shared" si="163"/>
        <v>315</v>
      </c>
      <c r="R984" s="80">
        <f t="shared" si="164"/>
        <v>100</v>
      </c>
      <c r="S984" s="77">
        <f t="shared" si="165"/>
        <v>695</v>
      </c>
      <c r="T984" s="77">
        <f>50</f>
        <v>50</v>
      </c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</row>
    <row r="985" spans="1:30" ht="15.75" x14ac:dyDescent="0.25">
      <c r="A985" s="32">
        <v>70918</v>
      </c>
      <c r="B985" s="89">
        <f t="shared" si="166"/>
        <v>28</v>
      </c>
      <c r="C985" s="77">
        <f>122.58</f>
        <v>122.58</v>
      </c>
      <c r="D985" s="77">
        <f>297.941</f>
        <v>297.94099999999997</v>
      </c>
      <c r="E985" s="86">
        <f>89.177</f>
        <v>89.177000000000007</v>
      </c>
      <c r="F985" s="77">
        <f>240.302-40-60-100</f>
        <v>40.301999999999992</v>
      </c>
      <c r="G985" s="80">
        <v>40</v>
      </c>
      <c r="H985" s="77">
        <f>60+100</f>
        <v>160</v>
      </c>
      <c r="I985" s="77">
        <f t="shared" si="158"/>
        <v>0</v>
      </c>
      <c r="J985" s="80">
        <v>100</v>
      </c>
      <c r="K985" s="80">
        <v>300</v>
      </c>
      <c r="L985" s="77">
        <f t="shared" si="162"/>
        <v>1150</v>
      </c>
      <c r="M985" s="88">
        <v>600</v>
      </c>
      <c r="N985" s="77">
        <f>100</f>
        <v>100</v>
      </c>
      <c r="O985" s="80">
        <v>240</v>
      </c>
      <c r="P985" s="80">
        <v>40</v>
      </c>
      <c r="Q985" s="80">
        <f t="shared" si="163"/>
        <v>315</v>
      </c>
      <c r="R985" s="80">
        <f t="shared" si="164"/>
        <v>100</v>
      </c>
      <c r="S985" s="77">
        <f t="shared" si="165"/>
        <v>695</v>
      </c>
      <c r="T985" s="77">
        <f>50</f>
        <v>50</v>
      </c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</row>
    <row r="986" spans="1:30" ht="15.75" x14ac:dyDescent="0.25">
      <c r="A986" s="32">
        <v>70949</v>
      </c>
      <c r="B986" s="89">
        <f t="shared" si="166"/>
        <v>31</v>
      </c>
      <c r="C986" s="77">
        <f>122.58</f>
        <v>122.58</v>
      </c>
      <c r="D986" s="77">
        <f>297.941</f>
        <v>297.94099999999997</v>
      </c>
      <c r="E986" s="86">
        <f>89.177</f>
        <v>89.177000000000007</v>
      </c>
      <c r="F986" s="77">
        <f>240.302-40-60-100</f>
        <v>40.301999999999992</v>
      </c>
      <c r="G986" s="80">
        <v>40</v>
      </c>
      <c r="H986" s="77">
        <f>60+100</f>
        <v>160</v>
      </c>
      <c r="I986" s="77">
        <f t="shared" si="158"/>
        <v>0</v>
      </c>
      <c r="J986" s="80">
        <v>100</v>
      </c>
      <c r="K986" s="80">
        <v>300</v>
      </c>
      <c r="L986" s="77">
        <f t="shared" si="162"/>
        <v>1150</v>
      </c>
      <c r="M986" s="88">
        <v>600</v>
      </c>
      <c r="N986" s="77">
        <f>100</f>
        <v>100</v>
      </c>
      <c r="O986" s="80">
        <v>240</v>
      </c>
      <c r="P986" s="80">
        <v>40</v>
      </c>
      <c r="Q986" s="80">
        <f t="shared" si="163"/>
        <v>315</v>
      </c>
      <c r="R986" s="80">
        <f t="shared" si="164"/>
        <v>100</v>
      </c>
      <c r="S986" s="77">
        <f t="shared" si="165"/>
        <v>695</v>
      </c>
      <c r="T986" s="77">
        <f>50</f>
        <v>50</v>
      </c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</row>
    <row r="987" spans="1:30" ht="15.75" x14ac:dyDescent="0.25">
      <c r="A987" s="32">
        <v>70979</v>
      </c>
      <c r="B987" s="89">
        <f t="shared" si="166"/>
        <v>30</v>
      </c>
      <c r="C987" s="77">
        <f>141.293</f>
        <v>141.29300000000001</v>
      </c>
      <c r="D987" s="77">
        <f>267.993</f>
        <v>267.99299999999999</v>
      </c>
      <c r="E987" s="86">
        <f>115.016</f>
        <v>115.01600000000001</v>
      </c>
      <c r="F987" s="77">
        <f>314.698-40-25-60-100</f>
        <v>89.697999999999979</v>
      </c>
      <c r="G987" s="80">
        <v>40</v>
      </c>
      <c r="H987" s="77">
        <f t="shared" ref="H987:H993" si="167">25+60+100</f>
        <v>185</v>
      </c>
      <c r="I987" s="77">
        <f t="shared" si="158"/>
        <v>0</v>
      </c>
      <c r="J987" s="80">
        <v>100</v>
      </c>
      <c r="K987" s="80">
        <v>300</v>
      </c>
      <c r="L987" s="77">
        <f t="shared" si="162"/>
        <v>1239</v>
      </c>
      <c r="M987" s="88">
        <v>600</v>
      </c>
      <c r="N987" s="77">
        <f>100</f>
        <v>100</v>
      </c>
      <c r="O987" s="80">
        <v>240</v>
      </c>
      <c r="P987" s="80">
        <v>40</v>
      </c>
      <c r="Q987" s="80">
        <f t="shared" si="163"/>
        <v>315</v>
      </c>
      <c r="R987" s="80">
        <f t="shared" si="164"/>
        <v>100</v>
      </c>
      <c r="S987" s="77">
        <f t="shared" si="165"/>
        <v>695</v>
      </c>
      <c r="T987" s="77">
        <f>50</f>
        <v>50</v>
      </c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</row>
    <row r="988" spans="1:30" ht="15.75" x14ac:dyDescent="0.25">
      <c r="A988" s="32">
        <v>71010</v>
      </c>
      <c r="B988" s="89">
        <f t="shared" si="166"/>
        <v>31</v>
      </c>
      <c r="C988" s="77">
        <f>194.205</f>
        <v>194.20500000000001</v>
      </c>
      <c r="D988" s="77">
        <f>267.466</f>
        <v>267.46600000000001</v>
      </c>
      <c r="E988" s="86">
        <f>133.845</f>
        <v>133.845</v>
      </c>
      <c r="F988" s="77">
        <f>278.484-40-25-60-100</f>
        <v>53.48399999999998</v>
      </c>
      <c r="G988" s="80">
        <v>40</v>
      </c>
      <c r="H988" s="77">
        <f t="shared" si="167"/>
        <v>185</v>
      </c>
      <c r="I988" s="77">
        <f t="shared" si="158"/>
        <v>0</v>
      </c>
      <c r="J988" s="80">
        <v>100</v>
      </c>
      <c r="K988" s="80">
        <v>300</v>
      </c>
      <c r="L988" s="77">
        <f t="shared" si="162"/>
        <v>1274</v>
      </c>
      <c r="M988" s="88">
        <v>600</v>
      </c>
      <c r="N988" s="77">
        <f>75</f>
        <v>75</v>
      </c>
      <c r="O988" s="80">
        <v>240</v>
      </c>
      <c r="P988" s="80">
        <v>40</v>
      </c>
      <c r="Q988" s="80">
        <f t="shared" si="163"/>
        <v>315</v>
      </c>
      <c r="R988" s="80">
        <f t="shared" si="164"/>
        <v>100</v>
      </c>
      <c r="S988" s="77">
        <f t="shared" si="165"/>
        <v>695</v>
      </c>
      <c r="T988" s="77">
        <f>50</f>
        <v>50</v>
      </c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</row>
    <row r="989" spans="1:30" ht="15.75" x14ac:dyDescent="0.25">
      <c r="A989" s="32">
        <v>71040</v>
      </c>
      <c r="B989" s="89">
        <f t="shared" si="166"/>
        <v>30</v>
      </c>
      <c r="C989" s="77">
        <f>194.205</f>
        <v>194.20500000000001</v>
      </c>
      <c r="D989" s="77">
        <f>267.466</f>
        <v>267.46600000000001</v>
      </c>
      <c r="E989" s="86">
        <f>133.845</f>
        <v>133.845</v>
      </c>
      <c r="F989" s="77">
        <f>278.484-40-25-60-100</f>
        <v>53.48399999999998</v>
      </c>
      <c r="G989" s="80">
        <v>40</v>
      </c>
      <c r="H989" s="77">
        <f t="shared" si="167"/>
        <v>185</v>
      </c>
      <c r="I989" s="77">
        <f t="shared" si="158"/>
        <v>0</v>
      </c>
      <c r="J989" s="80">
        <v>100</v>
      </c>
      <c r="K989" s="80">
        <v>300</v>
      </c>
      <c r="L989" s="77">
        <f t="shared" si="162"/>
        <v>1274</v>
      </c>
      <c r="M989" s="88">
        <v>600</v>
      </c>
      <c r="N989" s="77">
        <f>30</f>
        <v>30</v>
      </c>
      <c r="O989" s="80">
        <v>240</v>
      </c>
      <c r="P989" s="80">
        <v>40</v>
      </c>
      <c r="Q989" s="80">
        <f t="shared" si="163"/>
        <v>315</v>
      </c>
      <c r="R989" s="80">
        <f t="shared" si="164"/>
        <v>100</v>
      </c>
      <c r="S989" s="77">
        <f t="shared" si="165"/>
        <v>695</v>
      </c>
      <c r="T989" s="77">
        <f>50</f>
        <v>50</v>
      </c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</row>
    <row r="990" spans="1:30" ht="15.75" x14ac:dyDescent="0.25">
      <c r="A990" s="32">
        <v>71071</v>
      </c>
      <c r="B990" s="89">
        <f t="shared" si="166"/>
        <v>31</v>
      </c>
      <c r="C990" s="77">
        <f>194.205</f>
        <v>194.20500000000001</v>
      </c>
      <c r="D990" s="77">
        <f>267.466</f>
        <v>267.46600000000001</v>
      </c>
      <c r="E990" s="86">
        <f>133.845</f>
        <v>133.845</v>
      </c>
      <c r="F990" s="77">
        <f>278.484-40-25-60-100</f>
        <v>53.48399999999998</v>
      </c>
      <c r="G990" s="80">
        <v>40</v>
      </c>
      <c r="H990" s="77">
        <f t="shared" si="167"/>
        <v>185</v>
      </c>
      <c r="I990" s="77">
        <f t="shared" si="158"/>
        <v>0</v>
      </c>
      <c r="J990" s="80">
        <v>100</v>
      </c>
      <c r="K990" s="80">
        <v>300</v>
      </c>
      <c r="L990" s="77">
        <f t="shared" si="162"/>
        <v>1274</v>
      </c>
      <c r="M990" s="88">
        <v>600</v>
      </c>
      <c r="N990" s="77">
        <f>30</f>
        <v>30</v>
      </c>
      <c r="O990" s="80">
        <v>240</v>
      </c>
      <c r="P990" s="80">
        <v>40</v>
      </c>
      <c r="Q990" s="80">
        <f t="shared" si="163"/>
        <v>315</v>
      </c>
      <c r="R990" s="80">
        <f t="shared" si="164"/>
        <v>100</v>
      </c>
      <c r="S990" s="77">
        <f t="shared" si="165"/>
        <v>695</v>
      </c>
      <c r="T990" s="77">
        <f>0</f>
        <v>0</v>
      </c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</row>
    <row r="991" spans="1:30" ht="15.75" x14ac:dyDescent="0.25">
      <c r="A991" s="32">
        <v>71102</v>
      </c>
      <c r="B991" s="89">
        <f t="shared" si="166"/>
        <v>31</v>
      </c>
      <c r="C991" s="77">
        <f>194.205</f>
        <v>194.20500000000001</v>
      </c>
      <c r="D991" s="77">
        <f>267.466</f>
        <v>267.46600000000001</v>
      </c>
      <c r="E991" s="86">
        <f>133.845</f>
        <v>133.845</v>
      </c>
      <c r="F991" s="77">
        <f>278.484-40-25-60-100</f>
        <v>53.48399999999998</v>
      </c>
      <c r="G991" s="80">
        <v>40</v>
      </c>
      <c r="H991" s="77">
        <f t="shared" si="167"/>
        <v>185</v>
      </c>
      <c r="I991" s="77">
        <f t="shared" si="158"/>
        <v>0</v>
      </c>
      <c r="J991" s="80">
        <v>100</v>
      </c>
      <c r="K991" s="80">
        <v>300</v>
      </c>
      <c r="L991" s="77">
        <f t="shared" si="162"/>
        <v>1274</v>
      </c>
      <c r="M991" s="88">
        <v>600</v>
      </c>
      <c r="N991" s="77">
        <f>30</f>
        <v>30</v>
      </c>
      <c r="O991" s="80">
        <v>240</v>
      </c>
      <c r="P991" s="80">
        <v>40</v>
      </c>
      <c r="Q991" s="80">
        <f t="shared" si="163"/>
        <v>315</v>
      </c>
      <c r="R991" s="80">
        <f t="shared" si="164"/>
        <v>100</v>
      </c>
      <c r="S991" s="77">
        <f t="shared" si="165"/>
        <v>695</v>
      </c>
      <c r="T991" s="77">
        <f>0</f>
        <v>0</v>
      </c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</row>
    <row r="992" spans="1:30" ht="15.75" x14ac:dyDescent="0.25">
      <c r="A992" s="32">
        <v>71132</v>
      </c>
      <c r="B992" s="89">
        <f t="shared" si="166"/>
        <v>30</v>
      </c>
      <c r="C992" s="77">
        <f>194.205</f>
        <v>194.20500000000001</v>
      </c>
      <c r="D992" s="77">
        <f>267.466</f>
        <v>267.46600000000001</v>
      </c>
      <c r="E992" s="86">
        <f>133.845</f>
        <v>133.845</v>
      </c>
      <c r="F992" s="77">
        <f>278.484-40-25-60-100</f>
        <v>53.48399999999998</v>
      </c>
      <c r="G992" s="80">
        <v>40</v>
      </c>
      <c r="H992" s="77">
        <f t="shared" si="167"/>
        <v>185</v>
      </c>
      <c r="I992" s="77">
        <f t="shared" si="158"/>
        <v>0</v>
      </c>
      <c r="J992" s="80">
        <v>100</v>
      </c>
      <c r="K992" s="80">
        <v>300</v>
      </c>
      <c r="L992" s="77">
        <f t="shared" si="162"/>
        <v>1274</v>
      </c>
      <c r="M992" s="88">
        <v>600</v>
      </c>
      <c r="N992" s="77">
        <f>30</f>
        <v>30</v>
      </c>
      <c r="O992" s="80">
        <v>240</v>
      </c>
      <c r="P992" s="80">
        <v>40</v>
      </c>
      <c r="Q992" s="80">
        <f t="shared" si="163"/>
        <v>315</v>
      </c>
      <c r="R992" s="80">
        <f t="shared" si="164"/>
        <v>100</v>
      </c>
      <c r="S992" s="77">
        <f t="shared" si="165"/>
        <v>695</v>
      </c>
      <c r="T992" s="77">
        <f>0</f>
        <v>0</v>
      </c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</row>
    <row r="993" spans="1:30" ht="15.75" x14ac:dyDescent="0.25">
      <c r="A993" s="32">
        <v>71163</v>
      </c>
      <c r="B993" s="89">
        <f t="shared" si="166"/>
        <v>31</v>
      </c>
      <c r="C993" s="77">
        <f>131.881</f>
        <v>131.881</v>
      </c>
      <c r="D993" s="77">
        <f>277.167</f>
        <v>277.16699999999997</v>
      </c>
      <c r="E993" s="86">
        <f>79.08</f>
        <v>79.08</v>
      </c>
      <c r="F993" s="77">
        <f>350.872-40-25-60-100</f>
        <v>125.87200000000001</v>
      </c>
      <c r="G993" s="80">
        <v>40</v>
      </c>
      <c r="H993" s="77">
        <f t="shared" si="167"/>
        <v>185</v>
      </c>
      <c r="I993" s="77">
        <f t="shared" si="158"/>
        <v>0</v>
      </c>
      <c r="J993" s="80">
        <v>100</v>
      </c>
      <c r="K993" s="80">
        <v>300</v>
      </c>
      <c r="L993" s="77">
        <f t="shared" si="162"/>
        <v>1239</v>
      </c>
      <c r="M993" s="88">
        <v>600</v>
      </c>
      <c r="N993" s="77">
        <f>75</f>
        <v>75</v>
      </c>
      <c r="O993" s="80">
        <v>240</v>
      </c>
      <c r="P993" s="80">
        <v>40</v>
      </c>
      <c r="Q993" s="80">
        <f t="shared" si="163"/>
        <v>315</v>
      </c>
      <c r="R993" s="80">
        <f t="shared" si="164"/>
        <v>100</v>
      </c>
      <c r="S993" s="77">
        <f t="shared" si="165"/>
        <v>695</v>
      </c>
      <c r="T993" s="77">
        <f>0</f>
        <v>0</v>
      </c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</row>
    <row r="994" spans="1:30" ht="15.75" x14ac:dyDescent="0.25">
      <c r="A994" s="32">
        <v>71193</v>
      </c>
      <c r="B994" s="89">
        <f t="shared" si="166"/>
        <v>30</v>
      </c>
      <c r="C994" s="77">
        <f>122.58</f>
        <v>122.58</v>
      </c>
      <c r="D994" s="77">
        <f>297.941</f>
        <v>297.94099999999997</v>
      </c>
      <c r="E994" s="86">
        <f>89.177</f>
        <v>89.177000000000007</v>
      </c>
      <c r="F994" s="77">
        <f>240.302-40-60-100</f>
        <v>40.301999999999992</v>
      </c>
      <c r="G994" s="80">
        <v>40</v>
      </c>
      <c r="H994" s="77">
        <f>60+100</f>
        <v>160</v>
      </c>
      <c r="I994" s="77">
        <f t="shared" si="158"/>
        <v>0</v>
      </c>
      <c r="J994" s="80">
        <v>100</v>
      </c>
      <c r="K994" s="80">
        <v>300</v>
      </c>
      <c r="L994" s="77">
        <f t="shared" si="162"/>
        <v>1150</v>
      </c>
      <c r="M994" s="88">
        <v>600</v>
      </c>
      <c r="N994" s="77">
        <f>100</f>
        <v>100</v>
      </c>
      <c r="O994" s="80">
        <v>240</v>
      </c>
      <c r="P994" s="80">
        <v>40</v>
      </c>
      <c r="Q994" s="80">
        <f t="shared" si="163"/>
        <v>315</v>
      </c>
      <c r="R994" s="80">
        <f t="shared" si="164"/>
        <v>100</v>
      </c>
      <c r="S994" s="77">
        <f t="shared" si="165"/>
        <v>695</v>
      </c>
      <c r="T994" s="77">
        <f>50</f>
        <v>50</v>
      </c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</row>
    <row r="995" spans="1:30" ht="15.75" x14ac:dyDescent="0.25">
      <c r="A995" s="32">
        <v>71224</v>
      </c>
      <c r="B995" s="89">
        <f t="shared" si="166"/>
        <v>31</v>
      </c>
      <c r="C995" s="77">
        <f>122.58</f>
        <v>122.58</v>
      </c>
      <c r="D995" s="77">
        <f>297.941</f>
        <v>297.94099999999997</v>
      </c>
      <c r="E995" s="86">
        <f>89.177</f>
        <v>89.177000000000007</v>
      </c>
      <c r="F995" s="77">
        <f>240.302-40-60-100</f>
        <v>40.301999999999992</v>
      </c>
      <c r="G995" s="80">
        <v>40</v>
      </c>
      <c r="H995" s="77">
        <f>60+100</f>
        <v>160</v>
      </c>
      <c r="I995" s="77">
        <f t="shared" si="158"/>
        <v>0</v>
      </c>
      <c r="J995" s="80">
        <v>100</v>
      </c>
      <c r="K995" s="80">
        <v>300</v>
      </c>
      <c r="L995" s="77">
        <f t="shared" si="162"/>
        <v>1150</v>
      </c>
      <c r="M995" s="88">
        <v>600</v>
      </c>
      <c r="N995" s="77">
        <f>100</f>
        <v>100</v>
      </c>
      <c r="O995" s="80">
        <v>240</v>
      </c>
      <c r="P995" s="80">
        <v>40</v>
      </c>
      <c r="Q995" s="80">
        <f t="shared" si="163"/>
        <v>315</v>
      </c>
      <c r="R995" s="80">
        <f t="shared" si="164"/>
        <v>100</v>
      </c>
      <c r="S995" s="77">
        <f t="shared" si="165"/>
        <v>695</v>
      </c>
      <c r="T995" s="77">
        <f>50</f>
        <v>50</v>
      </c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</row>
    <row r="996" spans="1:30" ht="15.75" x14ac:dyDescent="0.25">
      <c r="A996" s="32">
        <v>71255</v>
      </c>
      <c r="B996" s="89">
        <f t="shared" si="166"/>
        <v>31</v>
      </c>
      <c r="C996" s="77">
        <f>122.58</f>
        <v>122.58</v>
      </c>
      <c r="D996" s="77">
        <f>297.941</f>
        <v>297.94099999999997</v>
      </c>
      <c r="E996" s="86">
        <f>89.177</f>
        <v>89.177000000000007</v>
      </c>
      <c r="F996" s="77">
        <f>240.302-40-60-100</f>
        <v>40.301999999999992</v>
      </c>
      <c r="G996" s="80">
        <v>40</v>
      </c>
      <c r="H996" s="77">
        <f>60+100</f>
        <v>160</v>
      </c>
      <c r="I996" s="77">
        <f t="shared" si="158"/>
        <v>0</v>
      </c>
      <c r="J996" s="80">
        <v>100</v>
      </c>
      <c r="K996" s="80">
        <v>300</v>
      </c>
      <c r="L996" s="77">
        <f t="shared" si="162"/>
        <v>1150</v>
      </c>
      <c r="M996" s="88">
        <v>600</v>
      </c>
      <c r="N996" s="77">
        <f>100</f>
        <v>100</v>
      </c>
      <c r="O996" s="80">
        <v>240</v>
      </c>
      <c r="P996" s="80">
        <v>40</v>
      </c>
      <c r="Q996" s="80">
        <f t="shared" si="163"/>
        <v>315</v>
      </c>
      <c r="R996" s="80">
        <f t="shared" si="164"/>
        <v>100</v>
      </c>
      <c r="S996" s="77">
        <f t="shared" si="165"/>
        <v>695</v>
      </c>
      <c r="T996" s="77">
        <f>50</f>
        <v>50</v>
      </c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</row>
    <row r="997" spans="1:30" ht="15.75" x14ac:dyDescent="0.25">
      <c r="A997" s="32">
        <v>71283</v>
      </c>
      <c r="B997" s="89">
        <f t="shared" si="166"/>
        <v>28</v>
      </c>
      <c r="C997" s="77">
        <f>122.58</f>
        <v>122.58</v>
      </c>
      <c r="D997" s="77">
        <f>297.941</f>
        <v>297.94099999999997</v>
      </c>
      <c r="E997" s="86">
        <f>89.177</f>
        <v>89.177000000000007</v>
      </c>
      <c r="F997" s="77">
        <f>240.302-40-60-100</f>
        <v>40.301999999999992</v>
      </c>
      <c r="G997" s="80">
        <v>40</v>
      </c>
      <c r="H997" s="77">
        <f>60+100</f>
        <v>160</v>
      </c>
      <c r="I997" s="77">
        <f t="shared" si="158"/>
        <v>0</v>
      </c>
      <c r="J997" s="80">
        <v>100</v>
      </c>
      <c r="K997" s="80">
        <v>300</v>
      </c>
      <c r="L997" s="77">
        <f t="shared" si="162"/>
        <v>1150</v>
      </c>
      <c r="M997" s="88">
        <v>600</v>
      </c>
      <c r="N997" s="77">
        <f>100</f>
        <v>100</v>
      </c>
      <c r="O997" s="80">
        <v>240</v>
      </c>
      <c r="P997" s="80">
        <v>40</v>
      </c>
      <c r="Q997" s="80">
        <f t="shared" si="163"/>
        <v>315</v>
      </c>
      <c r="R997" s="80">
        <f t="shared" si="164"/>
        <v>100</v>
      </c>
      <c r="S997" s="77">
        <f t="shared" si="165"/>
        <v>695</v>
      </c>
      <c r="T997" s="77">
        <f>50</f>
        <v>50</v>
      </c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</row>
    <row r="998" spans="1:30" ht="15.75" x14ac:dyDescent="0.25">
      <c r="A998" s="32">
        <v>71314</v>
      </c>
      <c r="B998" s="89">
        <f t="shared" si="166"/>
        <v>31</v>
      </c>
      <c r="C998" s="77">
        <f>122.58</f>
        <v>122.58</v>
      </c>
      <c r="D998" s="77">
        <f>297.941</f>
        <v>297.94099999999997</v>
      </c>
      <c r="E998" s="86">
        <f>89.177</f>
        <v>89.177000000000007</v>
      </c>
      <c r="F998" s="77">
        <f>240.302-40-60-100</f>
        <v>40.301999999999992</v>
      </c>
      <c r="G998" s="80">
        <v>40</v>
      </c>
      <c r="H998" s="77">
        <f>60+100</f>
        <v>160</v>
      </c>
      <c r="I998" s="77">
        <f t="shared" si="158"/>
        <v>0</v>
      </c>
      <c r="J998" s="80">
        <v>100</v>
      </c>
      <c r="K998" s="80">
        <v>300</v>
      </c>
      <c r="L998" s="77">
        <f t="shared" si="162"/>
        <v>1150</v>
      </c>
      <c r="M998" s="88">
        <v>600</v>
      </c>
      <c r="N998" s="77">
        <f>100</f>
        <v>100</v>
      </c>
      <c r="O998" s="80">
        <v>240</v>
      </c>
      <c r="P998" s="80">
        <v>40</v>
      </c>
      <c r="Q998" s="80">
        <f t="shared" si="163"/>
        <v>315</v>
      </c>
      <c r="R998" s="80">
        <f t="shared" si="164"/>
        <v>100</v>
      </c>
      <c r="S998" s="77">
        <f t="shared" si="165"/>
        <v>695</v>
      </c>
      <c r="T998" s="77">
        <f>50</f>
        <v>50</v>
      </c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</row>
    <row r="999" spans="1:30" ht="15.75" x14ac:dyDescent="0.25">
      <c r="A999" s="32">
        <v>71344</v>
      </c>
      <c r="B999" s="89">
        <f t="shared" si="166"/>
        <v>30</v>
      </c>
      <c r="C999" s="77">
        <f>141.293</f>
        <v>141.29300000000001</v>
      </c>
      <c r="D999" s="77">
        <f>267.993</f>
        <v>267.99299999999999</v>
      </c>
      <c r="E999" s="86">
        <f>115.016</f>
        <v>115.01600000000001</v>
      </c>
      <c r="F999" s="77">
        <f>314.698-40-25-60-100</f>
        <v>89.697999999999979</v>
      </c>
      <c r="G999" s="80">
        <v>40</v>
      </c>
      <c r="H999" s="77">
        <f t="shared" ref="H999:H1005" si="168">25+60+100</f>
        <v>185</v>
      </c>
      <c r="I999" s="77">
        <f t="shared" si="158"/>
        <v>0</v>
      </c>
      <c r="J999" s="80">
        <v>100</v>
      </c>
      <c r="K999" s="80">
        <v>300</v>
      </c>
      <c r="L999" s="77">
        <f t="shared" si="162"/>
        <v>1239</v>
      </c>
      <c r="M999" s="88">
        <v>600</v>
      </c>
      <c r="N999" s="77">
        <f>100</f>
        <v>100</v>
      </c>
      <c r="O999" s="80">
        <v>240</v>
      </c>
      <c r="P999" s="80">
        <v>40</v>
      </c>
      <c r="Q999" s="80">
        <f t="shared" si="163"/>
        <v>315</v>
      </c>
      <c r="R999" s="80">
        <f t="shared" si="164"/>
        <v>100</v>
      </c>
      <c r="S999" s="77">
        <f t="shared" si="165"/>
        <v>695</v>
      </c>
      <c r="T999" s="77">
        <f>50</f>
        <v>50</v>
      </c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</row>
    <row r="1000" spans="1:30" ht="15.75" x14ac:dyDescent="0.25">
      <c r="A1000" s="32">
        <v>71375</v>
      </c>
      <c r="B1000" s="89">
        <f t="shared" si="166"/>
        <v>31</v>
      </c>
      <c r="C1000" s="77">
        <f>194.205</f>
        <v>194.20500000000001</v>
      </c>
      <c r="D1000" s="77">
        <f>267.466</f>
        <v>267.46600000000001</v>
      </c>
      <c r="E1000" s="86">
        <f>133.845</f>
        <v>133.845</v>
      </c>
      <c r="F1000" s="77">
        <f>278.484-40-25-60-100</f>
        <v>53.48399999999998</v>
      </c>
      <c r="G1000" s="80">
        <v>40</v>
      </c>
      <c r="H1000" s="77">
        <f t="shared" si="168"/>
        <v>185</v>
      </c>
      <c r="I1000" s="77">
        <f t="shared" si="158"/>
        <v>0</v>
      </c>
      <c r="J1000" s="80">
        <v>100</v>
      </c>
      <c r="K1000" s="80">
        <v>300</v>
      </c>
      <c r="L1000" s="77">
        <f t="shared" si="162"/>
        <v>1274</v>
      </c>
      <c r="M1000" s="88">
        <v>600</v>
      </c>
      <c r="N1000" s="77">
        <f>75</f>
        <v>75</v>
      </c>
      <c r="O1000" s="80">
        <v>240</v>
      </c>
      <c r="P1000" s="80">
        <v>40</v>
      </c>
      <c r="Q1000" s="80">
        <f t="shared" si="163"/>
        <v>315</v>
      </c>
      <c r="R1000" s="80">
        <f t="shared" si="164"/>
        <v>100</v>
      </c>
      <c r="S1000" s="77">
        <f t="shared" si="165"/>
        <v>695</v>
      </c>
      <c r="T1000" s="77">
        <f>50</f>
        <v>50</v>
      </c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</row>
    <row r="1001" spans="1:30" ht="15.75" x14ac:dyDescent="0.25">
      <c r="A1001" s="32">
        <v>71405</v>
      </c>
      <c r="B1001" s="89">
        <f t="shared" si="166"/>
        <v>30</v>
      </c>
      <c r="C1001" s="77">
        <f>194.205</f>
        <v>194.20500000000001</v>
      </c>
      <c r="D1001" s="77">
        <f>267.466</f>
        <v>267.46600000000001</v>
      </c>
      <c r="E1001" s="86">
        <f>133.845</f>
        <v>133.845</v>
      </c>
      <c r="F1001" s="77">
        <f>278.484-40-25-60-100</f>
        <v>53.48399999999998</v>
      </c>
      <c r="G1001" s="80">
        <v>40</v>
      </c>
      <c r="H1001" s="77">
        <f t="shared" si="168"/>
        <v>185</v>
      </c>
      <c r="I1001" s="77">
        <f t="shared" si="158"/>
        <v>0</v>
      </c>
      <c r="J1001" s="80">
        <v>100</v>
      </c>
      <c r="K1001" s="80">
        <v>300</v>
      </c>
      <c r="L1001" s="77">
        <f t="shared" si="162"/>
        <v>1274</v>
      </c>
      <c r="M1001" s="88">
        <v>600</v>
      </c>
      <c r="N1001" s="77">
        <f>30</f>
        <v>30</v>
      </c>
      <c r="O1001" s="80">
        <v>240</v>
      </c>
      <c r="P1001" s="80">
        <v>40</v>
      </c>
      <c r="Q1001" s="80">
        <f t="shared" si="163"/>
        <v>315</v>
      </c>
      <c r="R1001" s="80">
        <f t="shared" si="164"/>
        <v>100</v>
      </c>
      <c r="S1001" s="77">
        <f t="shared" si="165"/>
        <v>695</v>
      </c>
      <c r="T1001" s="77">
        <f>50</f>
        <v>50</v>
      </c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</row>
    <row r="1002" spans="1:30" ht="15.75" x14ac:dyDescent="0.25">
      <c r="A1002" s="32">
        <v>71436</v>
      </c>
      <c r="B1002" s="89">
        <f t="shared" si="166"/>
        <v>31</v>
      </c>
      <c r="C1002" s="77">
        <f>194.205</f>
        <v>194.20500000000001</v>
      </c>
      <c r="D1002" s="77">
        <f>267.466</f>
        <v>267.46600000000001</v>
      </c>
      <c r="E1002" s="86">
        <f>133.845</f>
        <v>133.845</v>
      </c>
      <c r="F1002" s="77">
        <f>278.484-40-25-60-100</f>
        <v>53.48399999999998</v>
      </c>
      <c r="G1002" s="80">
        <v>40</v>
      </c>
      <c r="H1002" s="77">
        <f t="shared" si="168"/>
        <v>185</v>
      </c>
      <c r="I1002" s="77">
        <f t="shared" si="158"/>
        <v>0</v>
      </c>
      <c r="J1002" s="80">
        <v>100</v>
      </c>
      <c r="K1002" s="80">
        <v>300</v>
      </c>
      <c r="L1002" s="77">
        <f t="shared" si="162"/>
        <v>1274</v>
      </c>
      <c r="M1002" s="88">
        <v>600</v>
      </c>
      <c r="N1002" s="77">
        <f>30</f>
        <v>30</v>
      </c>
      <c r="O1002" s="80">
        <v>240</v>
      </c>
      <c r="P1002" s="80">
        <v>40</v>
      </c>
      <c r="Q1002" s="80">
        <f t="shared" si="163"/>
        <v>315</v>
      </c>
      <c r="R1002" s="80">
        <f t="shared" si="164"/>
        <v>100</v>
      </c>
      <c r="S1002" s="77">
        <f t="shared" si="165"/>
        <v>695</v>
      </c>
      <c r="T1002" s="77">
        <f>0</f>
        <v>0</v>
      </c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</row>
    <row r="1003" spans="1:30" ht="15.75" x14ac:dyDescent="0.25">
      <c r="A1003" s="32">
        <v>71467</v>
      </c>
      <c r="B1003" s="89">
        <f t="shared" si="166"/>
        <v>31</v>
      </c>
      <c r="C1003" s="77">
        <f>194.205</f>
        <v>194.20500000000001</v>
      </c>
      <c r="D1003" s="77">
        <f>267.466</f>
        <v>267.46600000000001</v>
      </c>
      <c r="E1003" s="86">
        <f>133.845</f>
        <v>133.845</v>
      </c>
      <c r="F1003" s="77">
        <f>278.484-40-25-60-100</f>
        <v>53.48399999999998</v>
      </c>
      <c r="G1003" s="80">
        <v>40</v>
      </c>
      <c r="H1003" s="77">
        <f t="shared" si="168"/>
        <v>185</v>
      </c>
      <c r="I1003" s="77">
        <f t="shared" si="158"/>
        <v>0</v>
      </c>
      <c r="J1003" s="80">
        <v>100</v>
      </c>
      <c r="K1003" s="80">
        <v>300</v>
      </c>
      <c r="L1003" s="77">
        <f t="shared" si="162"/>
        <v>1274</v>
      </c>
      <c r="M1003" s="88">
        <v>600</v>
      </c>
      <c r="N1003" s="77">
        <f>30</f>
        <v>30</v>
      </c>
      <c r="O1003" s="80">
        <v>240</v>
      </c>
      <c r="P1003" s="80">
        <v>40</v>
      </c>
      <c r="Q1003" s="80">
        <f t="shared" si="163"/>
        <v>315</v>
      </c>
      <c r="R1003" s="80">
        <f t="shared" si="164"/>
        <v>100</v>
      </c>
      <c r="S1003" s="77">
        <f t="shared" si="165"/>
        <v>695</v>
      </c>
      <c r="T1003" s="77">
        <f>0</f>
        <v>0</v>
      </c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</row>
    <row r="1004" spans="1:30" ht="15.75" x14ac:dyDescent="0.25">
      <c r="A1004" s="32">
        <v>71497</v>
      </c>
      <c r="B1004" s="89">
        <f t="shared" si="166"/>
        <v>30</v>
      </c>
      <c r="C1004" s="77">
        <f>194.205</f>
        <v>194.20500000000001</v>
      </c>
      <c r="D1004" s="77">
        <f>267.466</f>
        <v>267.46600000000001</v>
      </c>
      <c r="E1004" s="86">
        <f>133.845</f>
        <v>133.845</v>
      </c>
      <c r="F1004" s="77">
        <f>278.484-40-25-60-100</f>
        <v>53.48399999999998</v>
      </c>
      <c r="G1004" s="80">
        <v>40</v>
      </c>
      <c r="H1004" s="77">
        <f t="shared" si="168"/>
        <v>185</v>
      </c>
      <c r="I1004" s="77">
        <f t="shared" si="158"/>
        <v>0</v>
      </c>
      <c r="J1004" s="80">
        <v>100</v>
      </c>
      <c r="K1004" s="80">
        <v>300</v>
      </c>
      <c r="L1004" s="77">
        <f t="shared" si="162"/>
        <v>1274</v>
      </c>
      <c r="M1004" s="88">
        <v>600</v>
      </c>
      <c r="N1004" s="77">
        <f>30</f>
        <v>30</v>
      </c>
      <c r="O1004" s="80">
        <v>240</v>
      </c>
      <c r="P1004" s="80">
        <v>40</v>
      </c>
      <c r="Q1004" s="80">
        <f t="shared" si="163"/>
        <v>315</v>
      </c>
      <c r="R1004" s="80">
        <f t="shared" si="164"/>
        <v>100</v>
      </c>
      <c r="S1004" s="77">
        <f t="shared" si="165"/>
        <v>695</v>
      </c>
      <c r="T1004" s="77">
        <f>0</f>
        <v>0</v>
      </c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</row>
    <row r="1005" spans="1:30" ht="15.75" x14ac:dyDescent="0.25">
      <c r="A1005" s="32">
        <v>71528</v>
      </c>
      <c r="B1005" s="89">
        <f t="shared" si="166"/>
        <v>31</v>
      </c>
      <c r="C1005" s="77">
        <f>131.881</f>
        <v>131.881</v>
      </c>
      <c r="D1005" s="77">
        <f>277.167</f>
        <v>277.16699999999997</v>
      </c>
      <c r="E1005" s="86">
        <f>79.08</f>
        <v>79.08</v>
      </c>
      <c r="F1005" s="77">
        <f>350.872-40-25-60-100</f>
        <v>125.87200000000001</v>
      </c>
      <c r="G1005" s="80">
        <v>40</v>
      </c>
      <c r="H1005" s="77">
        <f t="shared" si="168"/>
        <v>185</v>
      </c>
      <c r="I1005" s="77">
        <f t="shared" si="158"/>
        <v>0</v>
      </c>
      <c r="J1005" s="80">
        <v>100</v>
      </c>
      <c r="K1005" s="80">
        <v>300</v>
      </c>
      <c r="L1005" s="77">
        <f t="shared" si="162"/>
        <v>1239</v>
      </c>
      <c r="M1005" s="88">
        <v>600</v>
      </c>
      <c r="N1005" s="77">
        <f>75</f>
        <v>75</v>
      </c>
      <c r="O1005" s="80">
        <v>240</v>
      </c>
      <c r="P1005" s="80">
        <v>40</v>
      </c>
      <c r="Q1005" s="80">
        <f t="shared" si="163"/>
        <v>315</v>
      </c>
      <c r="R1005" s="80">
        <f t="shared" si="164"/>
        <v>100</v>
      </c>
      <c r="S1005" s="77">
        <f t="shared" si="165"/>
        <v>695</v>
      </c>
      <c r="T1005" s="77">
        <f>0</f>
        <v>0</v>
      </c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</row>
    <row r="1006" spans="1:30" ht="15.75" x14ac:dyDescent="0.25">
      <c r="A1006" s="32">
        <v>71558</v>
      </c>
      <c r="B1006" s="89">
        <f t="shared" si="166"/>
        <v>30</v>
      </c>
      <c r="C1006" s="77">
        <f>122.58</f>
        <v>122.58</v>
      </c>
      <c r="D1006" s="77">
        <f>297.941</f>
        <v>297.94099999999997</v>
      </c>
      <c r="E1006" s="86">
        <f>89.177</f>
        <v>89.177000000000007</v>
      </c>
      <c r="F1006" s="77">
        <f>240.302-40-60-100</f>
        <v>40.301999999999992</v>
      </c>
      <c r="G1006" s="80">
        <v>40</v>
      </c>
      <c r="H1006" s="77">
        <f>60+100</f>
        <v>160</v>
      </c>
      <c r="I1006" s="77">
        <f t="shared" si="158"/>
        <v>0</v>
      </c>
      <c r="J1006" s="80">
        <v>100</v>
      </c>
      <c r="K1006" s="80">
        <v>300</v>
      </c>
      <c r="L1006" s="77">
        <f t="shared" si="162"/>
        <v>1150</v>
      </c>
      <c r="M1006" s="88">
        <v>600</v>
      </c>
      <c r="N1006" s="77">
        <f>100</f>
        <v>100</v>
      </c>
      <c r="O1006" s="80">
        <v>240</v>
      </c>
      <c r="P1006" s="80">
        <v>40</v>
      </c>
      <c r="Q1006" s="80">
        <f t="shared" si="163"/>
        <v>315</v>
      </c>
      <c r="R1006" s="80">
        <f t="shared" si="164"/>
        <v>100</v>
      </c>
      <c r="S1006" s="77">
        <f t="shared" si="165"/>
        <v>695</v>
      </c>
      <c r="T1006" s="77">
        <f>50</f>
        <v>50</v>
      </c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</row>
    <row r="1007" spans="1:30" ht="15.75" x14ac:dyDescent="0.25">
      <c r="A1007" s="32">
        <v>71589</v>
      </c>
      <c r="B1007" s="89">
        <f t="shared" si="166"/>
        <v>31</v>
      </c>
      <c r="C1007" s="77">
        <f>122.58</f>
        <v>122.58</v>
      </c>
      <c r="D1007" s="77">
        <f>297.941</f>
        <v>297.94099999999997</v>
      </c>
      <c r="E1007" s="86">
        <f>89.177</f>
        <v>89.177000000000007</v>
      </c>
      <c r="F1007" s="77">
        <f>240.302-40-60-100</f>
        <v>40.301999999999992</v>
      </c>
      <c r="G1007" s="80">
        <v>40</v>
      </c>
      <c r="H1007" s="77">
        <f>60+100</f>
        <v>160</v>
      </c>
      <c r="I1007" s="77">
        <f t="shared" si="158"/>
        <v>0</v>
      </c>
      <c r="J1007" s="80">
        <v>100</v>
      </c>
      <c r="K1007" s="80">
        <v>300</v>
      </c>
      <c r="L1007" s="77">
        <f t="shared" si="162"/>
        <v>1150</v>
      </c>
      <c r="M1007" s="88">
        <v>600</v>
      </c>
      <c r="N1007" s="77">
        <f>100</f>
        <v>100</v>
      </c>
      <c r="O1007" s="80">
        <v>240</v>
      </c>
      <c r="P1007" s="80">
        <v>40</v>
      </c>
      <c r="Q1007" s="80">
        <f t="shared" si="163"/>
        <v>315</v>
      </c>
      <c r="R1007" s="80">
        <f t="shared" si="164"/>
        <v>100</v>
      </c>
      <c r="S1007" s="77">
        <f t="shared" si="165"/>
        <v>695</v>
      </c>
      <c r="T1007" s="77">
        <f>50</f>
        <v>50</v>
      </c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</row>
    <row r="1008" spans="1:30" ht="15.75" x14ac:dyDescent="0.25">
      <c r="A1008" s="32">
        <v>71620</v>
      </c>
      <c r="B1008" s="89">
        <f t="shared" si="166"/>
        <v>31</v>
      </c>
      <c r="C1008" s="77">
        <f>122.58</f>
        <v>122.58</v>
      </c>
      <c r="D1008" s="77">
        <f>297.941</f>
        <v>297.94099999999997</v>
      </c>
      <c r="E1008" s="86">
        <f>89.177</f>
        <v>89.177000000000007</v>
      </c>
      <c r="F1008" s="77">
        <f>240.302-40-60-100</f>
        <v>40.301999999999992</v>
      </c>
      <c r="G1008" s="80">
        <v>40</v>
      </c>
      <c r="H1008" s="77">
        <f>60+100</f>
        <v>160</v>
      </c>
      <c r="I1008" s="77">
        <f t="shared" si="158"/>
        <v>0</v>
      </c>
      <c r="J1008" s="80">
        <v>100</v>
      </c>
      <c r="K1008" s="80">
        <v>300</v>
      </c>
      <c r="L1008" s="77">
        <f t="shared" si="162"/>
        <v>1150</v>
      </c>
      <c r="M1008" s="88">
        <v>600</v>
      </c>
      <c r="N1008" s="77">
        <f>100</f>
        <v>100</v>
      </c>
      <c r="O1008" s="80">
        <v>240</v>
      </c>
      <c r="P1008" s="80">
        <v>40</v>
      </c>
      <c r="Q1008" s="80">
        <f t="shared" si="163"/>
        <v>315</v>
      </c>
      <c r="R1008" s="80">
        <f t="shared" si="164"/>
        <v>100</v>
      </c>
      <c r="S1008" s="77">
        <f t="shared" si="165"/>
        <v>695</v>
      </c>
      <c r="T1008" s="77">
        <f>50</f>
        <v>50</v>
      </c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</row>
    <row r="1009" spans="1:30" ht="15.75" x14ac:dyDescent="0.25">
      <c r="A1009" s="32">
        <v>71649</v>
      </c>
      <c r="B1009" s="89">
        <f t="shared" si="166"/>
        <v>29</v>
      </c>
      <c r="C1009" s="77">
        <f>122.58</f>
        <v>122.58</v>
      </c>
      <c r="D1009" s="77">
        <f>297.941</f>
        <v>297.94099999999997</v>
      </c>
      <c r="E1009" s="86">
        <f>89.177</f>
        <v>89.177000000000007</v>
      </c>
      <c r="F1009" s="77">
        <f>240.302-40-60-100</f>
        <v>40.301999999999992</v>
      </c>
      <c r="G1009" s="80">
        <v>40</v>
      </c>
      <c r="H1009" s="77">
        <f>60+100</f>
        <v>160</v>
      </c>
      <c r="I1009" s="77">
        <f t="shared" si="158"/>
        <v>0</v>
      </c>
      <c r="J1009" s="80">
        <v>100</v>
      </c>
      <c r="K1009" s="80">
        <v>300</v>
      </c>
      <c r="L1009" s="77">
        <f t="shared" si="162"/>
        <v>1150</v>
      </c>
      <c r="M1009" s="88">
        <v>600</v>
      </c>
      <c r="N1009" s="77">
        <f>100</f>
        <v>100</v>
      </c>
      <c r="O1009" s="80">
        <v>240</v>
      </c>
      <c r="P1009" s="80">
        <v>40</v>
      </c>
      <c r="Q1009" s="80">
        <f t="shared" si="163"/>
        <v>315</v>
      </c>
      <c r="R1009" s="80">
        <f t="shared" si="164"/>
        <v>100</v>
      </c>
      <c r="S1009" s="77">
        <f t="shared" si="165"/>
        <v>695</v>
      </c>
      <c r="T1009" s="77">
        <f>50</f>
        <v>50</v>
      </c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</row>
    <row r="1010" spans="1:30" ht="15.75" x14ac:dyDescent="0.25">
      <c r="A1010" s="32">
        <v>71680</v>
      </c>
      <c r="B1010" s="89">
        <f t="shared" si="166"/>
        <v>31</v>
      </c>
      <c r="C1010" s="77">
        <f>122.58</f>
        <v>122.58</v>
      </c>
      <c r="D1010" s="77">
        <f>297.941</f>
        <v>297.94099999999997</v>
      </c>
      <c r="E1010" s="86">
        <f>89.177</f>
        <v>89.177000000000007</v>
      </c>
      <c r="F1010" s="77">
        <f>240.302-40-60-100</f>
        <v>40.301999999999992</v>
      </c>
      <c r="G1010" s="80">
        <v>40</v>
      </c>
      <c r="H1010" s="77">
        <f>60+100</f>
        <v>160</v>
      </c>
      <c r="I1010" s="77">
        <f t="shared" si="158"/>
        <v>0</v>
      </c>
      <c r="J1010" s="80">
        <v>100</v>
      </c>
      <c r="K1010" s="80">
        <v>300</v>
      </c>
      <c r="L1010" s="77">
        <f t="shared" si="162"/>
        <v>1150</v>
      </c>
      <c r="M1010" s="88">
        <v>600</v>
      </c>
      <c r="N1010" s="77">
        <f>100</f>
        <v>100</v>
      </c>
      <c r="O1010" s="80">
        <v>240</v>
      </c>
      <c r="P1010" s="80">
        <v>40</v>
      </c>
      <c r="Q1010" s="80">
        <f t="shared" si="163"/>
        <v>315</v>
      </c>
      <c r="R1010" s="80">
        <f t="shared" si="164"/>
        <v>100</v>
      </c>
      <c r="S1010" s="77">
        <f t="shared" si="165"/>
        <v>695</v>
      </c>
      <c r="T1010" s="77">
        <f>50</f>
        <v>50</v>
      </c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</row>
    <row r="1011" spans="1:30" ht="15.75" x14ac:dyDescent="0.25">
      <c r="A1011" s="32">
        <v>71710</v>
      </c>
      <c r="B1011" s="89">
        <f t="shared" si="166"/>
        <v>30</v>
      </c>
      <c r="C1011" s="77">
        <f>141.293</f>
        <v>141.29300000000001</v>
      </c>
      <c r="D1011" s="77">
        <f>267.993</f>
        <v>267.99299999999999</v>
      </c>
      <c r="E1011" s="86">
        <f>115.016</f>
        <v>115.01600000000001</v>
      </c>
      <c r="F1011" s="77">
        <f>314.698-40-25-60-100</f>
        <v>89.697999999999979</v>
      </c>
      <c r="G1011" s="80">
        <v>40</v>
      </c>
      <c r="H1011" s="77">
        <f t="shared" ref="H1011:H1017" si="169">25+60+100</f>
        <v>185</v>
      </c>
      <c r="I1011" s="77">
        <f t="shared" si="158"/>
        <v>0</v>
      </c>
      <c r="J1011" s="80">
        <v>100</v>
      </c>
      <c r="K1011" s="80">
        <v>300</v>
      </c>
      <c r="L1011" s="77">
        <f t="shared" si="162"/>
        <v>1239</v>
      </c>
      <c r="M1011" s="88">
        <v>600</v>
      </c>
      <c r="N1011" s="77">
        <f>100</f>
        <v>100</v>
      </c>
      <c r="O1011" s="80">
        <v>240</v>
      </c>
      <c r="P1011" s="80">
        <v>40</v>
      </c>
      <c r="Q1011" s="80">
        <f t="shared" si="163"/>
        <v>315</v>
      </c>
      <c r="R1011" s="80">
        <f t="shared" si="164"/>
        <v>100</v>
      </c>
      <c r="S1011" s="77">
        <f t="shared" si="165"/>
        <v>695</v>
      </c>
      <c r="T1011" s="77">
        <f>50</f>
        <v>50</v>
      </c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</row>
    <row r="1012" spans="1:30" ht="15.75" x14ac:dyDescent="0.25">
      <c r="A1012" s="32">
        <v>71741</v>
      </c>
      <c r="B1012" s="89">
        <f t="shared" si="166"/>
        <v>31</v>
      </c>
      <c r="C1012" s="77">
        <f>194.205</f>
        <v>194.20500000000001</v>
      </c>
      <c r="D1012" s="77">
        <f>267.466</f>
        <v>267.46600000000001</v>
      </c>
      <c r="E1012" s="86">
        <f>133.845</f>
        <v>133.845</v>
      </c>
      <c r="F1012" s="77">
        <f>278.484-40-25-60-100</f>
        <v>53.48399999999998</v>
      </c>
      <c r="G1012" s="80">
        <v>40</v>
      </c>
      <c r="H1012" s="77">
        <f t="shared" si="169"/>
        <v>185</v>
      </c>
      <c r="I1012" s="77">
        <f t="shared" ref="I1012:I1067" si="170">400-J1012-K1012</f>
        <v>0</v>
      </c>
      <c r="J1012" s="80">
        <v>100</v>
      </c>
      <c r="K1012" s="80">
        <v>300</v>
      </c>
      <c r="L1012" s="77">
        <f t="shared" si="162"/>
        <v>1274</v>
      </c>
      <c r="M1012" s="88">
        <v>600</v>
      </c>
      <c r="N1012" s="77">
        <f>75</f>
        <v>75</v>
      </c>
      <c r="O1012" s="80">
        <v>240</v>
      </c>
      <c r="P1012" s="80">
        <v>40</v>
      </c>
      <c r="Q1012" s="80">
        <f t="shared" si="163"/>
        <v>315</v>
      </c>
      <c r="R1012" s="80">
        <f t="shared" si="164"/>
        <v>100</v>
      </c>
      <c r="S1012" s="77">
        <f t="shared" si="165"/>
        <v>695</v>
      </c>
      <c r="T1012" s="77">
        <f>50</f>
        <v>50</v>
      </c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</row>
    <row r="1013" spans="1:30" ht="15.75" x14ac:dyDescent="0.25">
      <c r="A1013" s="32">
        <v>71771</v>
      </c>
      <c r="B1013" s="89">
        <f t="shared" si="166"/>
        <v>30</v>
      </c>
      <c r="C1013" s="77">
        <f>194.205</f>
        <v>194.20500000000001</v>
      </c>
      <c r="D1013" s="77">
        <f>267.466</f>
        <v>267.46600000000001</v>
      </c>
      <c r="E1013" s="86">
        <f>133.845</f>
        <v>133.845</v>
      </c>
      <c r="F1013" s="77">
        <f>278.484-40-25-60-100</f>
        <v>53.48399999999998</v>
      </c>
      <c r="G1013" s="80">
        <v>40</v>
      </c>
      <c r="H1013" s="77">
        <f t="shared" si="169"/>
        <v>185</v>
      </c>
      <c r="I1013" s="77">
        <f t="shared" si="170"/>
        <v>0</v>
      </c>
      <c r="J1013" s="80">
        <v>100</v>
      </c>
      <c r="K1013" s="80">
        <v>300</v>
      </c>
      <c r="L1013" s="77">
        <f t="shared" si="162"/>
        <v>1274</v>
      </c>
      <c r="M1013" s="88">
        <v>600</v>
      </c>
      <c r="N1013" s="77">
        <f>30</f>
        <v>30</v>
      </c>
      <c r="O1013" s="80">
        <v>240</v>
      </c>
      <c r="P1013" s="80">
        <v>40</v>
      </c>
      <c r="Q1013" s="80">
        <f t="shared" si="163"/>
        <v>315</v>
      </c>
      <c r="R1013" s="80">
        <f t="shared" si="164"/>
        <v>100</v>
      </c>
      <c r="S1013" s="77">
        <f t="shared" si="165"/>
        <v>695</v>
      </c>
      <c r="T1013" s="77">
        <f>50</f>
        <v>50</v>
      </c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</row>
    <row r="1014" spans="1:30" ht="15.75" x14ac:dyDescent="0.25">
      <c r="A1014" s="32">
        <v>71802</v>
      </c>
      <c r="B1014" s="89">
        <f t="shared" si="166"/>
        <v>31</v>
      </c>
      <c r="C1014" s="77">
        <f>194.205</f>
        <v>194.20500000000001</v>
      </c>
      <c r="D1014" s="77">
        <f>267.466</f>
        <v>267.46600000000001</v>
      </c>
      <c r="E1014" s="86">
        <f>133.845</f>
        <v>133.845</v>
      </c>
      <c r="F1014" s="77">
        <f>278.484-40-25-60-100</f>
        <v>53.48399999999998</v>
      </c>
      <c r="G1014" s="80">
        <v>40</v>
      </c>
      <c r="H1014" s="77">
        <f t="shared" si="169"/>
        <v>185</v>
      </c>
      <c r="I1014" s="77">
        <f t="shared" si="170"/>
        <v>0</v>
      </c>
      <c r="J1014" s="80">
        <v>100</v>
      </c>
      <c r="K1014" s="80">
        <v>300</v>
      </c>
      <c r="L1014" s="77">
        <f t="shared" si="162"/>
        <v>1274</v>
      </c>
      <c r="M1014" s="88">
        <v>600</v>
      </c>
      <c r="N1014" s="77">
        <f>30</f>
        <v>30</v>
      </c>
      <c r="O1014" s="80">
        <v>240</v>
      </c>
      <c r="P1014" s="80">
        <v>40</v>
      </c>
      <c r="Q1014" s="80">
        <f t="shared" si="163"/>
        <v>315</v>
      </c>
      <c r="R1014" s="80">
        <f t="shared" si="164"/>
        <v>100</v>
      </c>
      <c r="S1014" s="77">
        <f t="shared" si="165"/>
        <v>695</v>
      </c>
      <c r="T1014" s="77">
        <f>0</f>
        <v>0</v>
      </c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</row>
    <row r="1015" spans="1:30" ht="15.75" x14ac:dyDescent="0.25">
      <c r="A1015" s="32">
        <v>71833</v>
      </c>
      <c r="B1015" s="89">
        <f t="shared" si="166"/>
        <v>31</v>
      </c>
      <c r="C1015" s="77">
        <f>194.205</f>
        <v>194.20500000000001</v>
      </c>
      <c r="D1015" s="77">
        <f>267.466</f>
        <v>267.46600000000001</v>
      </c>
      <c r="E1015" s="86">
        <f>133.845</f>
        <v>133.845</v>
      </c>
      <c r="F1015" s="77">
        <f>278.484-40-25-60-100</f>
        <v>53.48399999999998</v>
      </c>
      <c r="G1015" s="80">
        <v>40</v>
      </c>
      <c r="H1015" s="77">
        <f t="shared" si="169"/>
        <v>185</v>
      </c>
      <c r="I1015" s="77">
        <f t="shared" si="170"/>
        <v>0</v>
      </c>
      <c r="J1015" s="80">
        <v>100</v>
      </c>
      <c r="K1015" s="80">
        <v>300</v>
      </c>
      <c r="L1015" s="77">
        <f t="shared" si="162"/>
        <v>1274</v>
      </c>
      <c r="M1015" s="88">
        <v>600</v>
      </c>
      <c r="N1015" s="77">
        <f>30</f>
        <v>30</v>
      </c>
      <c r="O1015" s="80">
        <v>240</v>
      </c>
      <c r="P1015" s="80">
        <v>40</v>
      </c>
      <c r="Q1015" s="80">
        <f t="shared" si="163"/>
        <v>315</v>
      </c>
      <c r="R1015" s="80">
        <f t="shared" si="164"/>
        <v>100</v>
      </c>
      <c r="S1015" s="77">
        <f t="shared" si="165"/>
        <v>695</v>
      </c>
      <c r="T1015" s="77">
        <f>0</f>
        <v>0</v>
      </c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</row>
    <row r="1016" spans="1:30" ht="15.75" x14ac:dyDescent="0.25">
      <c r="A1016" s="32">
        <v>71863</v>
      </c>
      <c r="B1016" s="89">
        <f t="shared" si="166"/>
        <v>30</v>
      </c>
      <c r="C1016" s="77">
        <f>194.205</f>
        <v>194.20500000000001</v>
      </c>
      <c r="D1016" s="77">
        <f>267.466</f>
        <v>267.46600000000001</v>
      </c>
      <c r="E1016" s="86">
        <f>133.845</f>
        <v>133.845</v>
      </c>
      <c r="F1016" s="77">
        <f>278.484-40-25-60-100</f>
        <v>53.48399999999998</v>
      </c>
      <c r="G1016" s="80">
        <v>40</v>
      </c>
      <c r="H1016" s="77">
        <f t="shared" si="169"/>
        <v>185</v>
      </c>
      <c r="I1016" s="77">
        <f t="shared" si="170"/>
        <v>0</v>
      </c>
      <c r="J1016" s="80">
        <v>100</v>
      </c>
      <c r="K1016" s="80">
        <v>300</v>
      </c>
      <c r="L1016" s="77">
        <f t="shared" si="162"/>
        <v>1274</v>
      </c>
      <c r="M1016" s="88">
        <v>600</v>
      </c>
      <c r="N1016" s="77">
        <f>30</f>
        <v>30</v>
      </c>
      <c r="O1016" s="80">
        <v>240</v>
      </c>
      <c r="P1016" s="80">
        <v>40</v>
      </c>
      <c r="Q1016" s="80">
        <f t="shared" si="163"/>
        <v>315</v>
      </c>
      <c r="R1016" s="80">
        <f t="shared" si="164"/>
        <v>100</v>
      </c>
      <c r="S1016" s="77">
        <f t="shared" si="165"/>
        <v>695</v>
      </c>
      <c r="T1016" s="77">
        <f>0</f>
        <v>0</v>
      </c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</row>
    <row r="1017" spans="1:30" ht="15.75" x14ac:dyDescent="0.25">
      <c r="A1017" s="32">
        <v>71894</v>
      </c>
      <c r="B1017" s="89">
        <f t="shared" si="166"/>
        <v>31</v>
      </c>
      <c r="C1017" s="77">
        <f>131.881</f>
        <v>131.881</v>
      </c>
      <c r="D1017" s="77">
        <f>277.167</f>
        <v>277.16699999999997</v>
      </c>
      <c r="E1017" s="86">
        <f>79.08</f>
        <v>79.08</v>
      </c>
      <c r="F1017" s="77">
        <f>350.872-40-25-60-100</f>
        <v>125.87200000000001</v>
      </c>
      <c r="G1017" s="80">
        <v>40</v>
      </c>
      <c r="H1017" s="77">
        <f t="shared" si="169"/>
        <v>185</v>
      </c>
      <c r="I1017" s="77">
        <f t="shared" si="170"/>
        <v>0</v>
      </c>
      <c r="J1017" s="80">
        <v>100</v>
      </c>
      <c r="K1017" s="80">
        <v>300</v>
      </c>
      <c r="L1017" s="77">
        <f t="shared" si="162"/>
        <v>1239</v>
      </c>
      <c r="M1017" s="88">
        <v>600</v>
      </c>
      <c r="N1017" s="77">
        <f>75</f>
        <v>75</v>
      </c>
      <c r="O1017" s="80">
        <v>240</v>
      </c>
      <c r="P1017" s="80">
        <v>40</v>
      </c>
      <c r="Q1017" s="80">
        <f t="shared" si="163"/>
        <v>315</v>
      </c>
      <c r="R1017" s="80">
        <f t="shared" si="164"/>
        <v>100</v>
      </c>
      <c r="S1017" s="77">
        <f t="shared" si="165"/>
        <v>695</v>
      </c>
      <c r="T1017" s="77">
        <f>0</f>
        <v>0</v>
      </c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</row>
    <row r="1018" spans="1:30" ht="15.75" x14ac:dyDescent="0.25">
      <c r="A1018" s="32">
        <v>71924</v>
      </c>
      <c r="B1018" s="89">
        <f t="shared" si="166"/>
        <v>30</v>
      </c>
      <c r="C1018" s="77">
        <f>122.58</f>
        <v>122.58</v>
      </c>
      <c r="D1018" s="77">
        <f>297.941</f>
        <v>297.94099999999997</v>
      </c>
      <c r="E1018" s="86">
        <f>89.177</f>
        <v>89.177000000000007</v>
      </c>
      <c r="F1018" s="77">
        <f>240.302-40-60-100</f>
        <v>40.301999999999992</v>
      </c>
      <c r="G1018" s="80">
        <v>40</v>
      </c>
      <c r="H1018" s="77">
        <f>60+100</f>
        <v>160</v>
      </c>
      <c r="I1018" s="77">
        <f t="shared" si="170"/>
        <v>0</v>
      </c>
      <c r="J1018" s="80">
        <v>100</v>
      </c>
      <c r="K1018" s="80">
        <v>300</v>
      </c>
      <c r="L1018" s="77">
        <f t="shared" si="162"/>
        <v>1150</v>
      </c>
      <c r="M1018" s="88">
        <v>600</v>
      </c>
      <c r="N1018" s="77">
        <f>100</f>
        <v>100</v>
      </c>
      <c r="O1018" s="80">
        <v>240</v>
      </c>
      <c r="P1018" s="80">
        <v>40</v>
      </c>
      <c r="Q1018" s="80">
        <f t="shared" si="163"/>
        <v>315</v>
      </c>
      <c r="R1018" s="80">
        <f t="shared" si="164"/>
        <v>100</v>
      </c>
      <c r="S1018" s="77">
        <f t="shared" si="165"/>
        <v>695</v>
      </c>
      <c r="T1018" s="77">
        <f>50</f>
        <v>50</v>
      </c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</row>
    <row r="1019" spans="1:30" ht="15.75" x14ac:dyDescent="0.25">
      <c r="A1019" s="32">
        <v>71955</v>
      </c>
      <c r="B1019" s="89">
        <f t="shared" si="166"/>
        <v>31</v>
      </c>
      <c r="C1019" s="77">
        <f>122.58</f>
        <v>122.58</v>
      </c>
      <c r="D1019" s="77">
        <f>297.941</f>
        <v>297.94099999999997</v>
      </c>
      <c r="E1019" s="86">
        <f>89.177</f>
        <v>89.177000000000007</v>
      </c>
      <c r="F1019" s="77">
        <f>240.302-40-60-100</f>
        <v>40.301999999999992</v>
      </c>
      <c r="G1019" s="80">
        <v>40</v>
      </c>
      <c r="H1019" s="77">
        <f>60+100</f>
        <v>160</v>
      </c>
      <c r="I1019" s="77">
        <f t="shared" si="170"/>
        <v>0</v>
      </c>
      <c r="J1019" s="80">
        <v>100</v>
      </c>
      <c r="K1019" s="80">
        <v>300</v>
      </c>
      <c r="L1019" s="77">
        <f t="shared" si="162"/>
        <v>1150</v>
      </c>
      <c r="M1019" s="88">
        <v>600</v>
      </c>
      <c r="N1019" s="77">
        <f>100</f>
        <v>100</v>
      </c>
      <c r="O1019" s="80">
        <v>240</v>
      </c>
      <c r="P1019" s="80">
        <v>40</v>
      </c>
      <c r="Q1019" s="80">
        <f t="shared" si="163"/>
        <v>315</v>
      </c>
      <c r="R1019" s="80">
        <f t="shared" si="164"/>
        <v>100</v>
      </c>
      <c r="S1019" s="77">
        <f t="shared" si="165"/>
        <v>695</v>
      </c>
      <c r="T1019" s="77">
        <f>50</f>
        <v>50</v>
      </c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</row>
    <row r="1020" spans="1:30" ht="15.75" x14ac:dyDescent="0.25">
      <c r="A1020" s="32">
        <v>71986</v>
      </c>
      <c r="B1020" s="89">
        <f t="shared" si="166"/>
        <v>31</v>
      </c>
      <c r="C1020" s="77">
        <f>122.58</f>
        <v>122.58</v>
      </c>
      <c r="D1020" s="77">
        <f>297.941</f>
        <v>297.94099999999997</v>
      </c>
      <c r="E1020" s="86">
        <f>89.177</f>
        <v>89.177000000000007</v>
      </c>
      <c r="F1020" s="77">
        <f>240.302-40-60-100</f>
        <v>40.301999999999992</v>
      </c>
      <c r="G1020" s="80">
        <v>40</v>
      </c>
      <c r="H1020" s="77">
        <f>60+100</f>
        <v>160</v>
      </c>
      <c r="I1020" s="77">
        <f t="shared" si="170"/>
        <v>0</v>
      </c>
      <c r="J1020" s="80">
        <v>100</v>
      </c>
      <c r="K1020" s="80">
        <v>300</v>
      </c>
      <c r="L1020" s="77">
        <f t="shared" si="162"/>
        <v>1150</v>
      </c>
      <c r="M1020" s="88">
        <v>600</v>
      </c>
      <c r="N1020" s="77">
        <f>100</f>
        <v>100</v>
      </c>
      <c r="O1020" s="80">
        <v>240</v>
      </c>
      <c r="P1020" s="80">
        <v>40</v>
      </c>
      <c r="Q1020" s="80">
        <f t="shared" si="163"/>
        <v>315</v>
      </c>
      <c r="R1020" s="80">
        <f t="shared" si="164"/>
        <v>100</v>
      </c>
      <c r="S1020" s="77">
        <f t="shared" si="165"/>
        <v>695</v>
      </c>
      <c r="T1020" s="77">
        <f>50</f>
        <v>50</v>
      </c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</row>
    <row r="1021" spans="1:30" ht="15.75" x14ac:dyDescent="0.25">
      <c r="A1021" s="32">
        <v>72014</v>
      </c>
      <c r="B1021" s="89">
        <f t="shared" si="166"/>
        <v>28</v>
      </c>
      <c r="C1021" s="77">
        <f>122.58</f>
        <v>122.58</v>
      </c>
      <c r="D1021" s="77">
        <f>297.941</f>
        <v>297.94099999999997</v>
      </c>
      <c r="E1021" s="86">
        <f>89.177</f>
        <v>89.177000000000007</v>
      </c>
      <c r="F1021" s="77">
        <f>240.302-40-60-100</f>
        <v>40.301999999999992</v>
      </c>
      <c r="G1021" s="80">
        <v>40</v>
      </c>
      <c r="H1021" s="77">
        <f>60+100</f>
        <v>160</v>
      </c>
      <c r="I1021" s="77">
        <f t="shared" si="170"/>
        <v>0</v>
      </c>
      <c r="J1021" s="80">
        <v>100</v>
      </c>
      <c r="K1021" s="80">
        <v>300</v>
      </c>
      <c r="L1021" s="77">
        <f t="shared" si="162"/>
        <v>1150</v>
      </c>
      <c r="M1021" s="88">
        <v>600</v>
      </c>
      <c r="N1021" s="77">
        <f>100</f>
        <v>100</v>
      </c>
      <c r="O1021" s="80">
        <v>240</v>
      </c>
      <c r="P1021" s="80">
        <v>40</v>
      </c>
      <c r="Q1021" s="80">
        <f t="shared" si="163"/>
        <v>315</v>
      </c>
      <c r="R1021" s="80">
        <f t="shared" si="164"/>
        <v>100</v>
      </c>
      <c r="S1021" s="77">
        <f t="shared" si="165"/>
        <v>695</v>
      </c>
      <c r="T1021" s="77">
        <f>50</f>
        <v>50</v>
      </c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</row>
    <row r="1022" spans="1:30" ht="15.75" x14ac:dyDescent="0.25">
      <c r="A1022" s="32">
        <v>72045</v>
      </c>
      <c r="B1022" s="89">
        <f t="shared" si="166"/>
        <v>31</v>
      </c>
      <c r="C1022" s="77">
        <f>122.58</f>
        <v>122.58</v>
      </c>
      <c r="D1022" s="77">
        <f>297.941</f>
        <v>297.94099999999997</v>
      </c>
      <c r="E1022" s="86">
        <f>89.177</f>
        <v>89.177000000000007</v>
      </c>
      <c r="F1022" s="77">
        <f>240.302-40-60-100</f>
        <v>40.301999999999992</v>
      </c>
      <c r="G1022" s="80">
        <v>40</v>
      </c>
      <c r="H1022" s="77">
        <f>60+100</f>
        <v>160</v>
      </c>
      <c r="I1022" s="77">
        <f t="shared" si="170"/>
        <v>0</v>
      </c>
      <c r="J1022" s="80">
        <v>100</v>
      </c>
      <c r="K1022" s="80">
        <v>300</v>
      </c>
      <c r="L1022" s="77">
        <f t="shared" si="162"/>
        <v>1150</v>
      </c>
      <c r="M1022" s="88">
        <v>600</v>
      </c>
      <c r="N1022" s="77">
        <f>100</f>
        <v>100</v>
      </c>
      <c r="O1022" s="80">
        <v>240</v>
      </c>
      <c r="P1022" s="80">
        <v>40</v>
      </c>
      <c r="Q1022" s="80">
        <f t="shared" si="163"/>
        <v>315</v>
      </c>
      <c r="R1022" s="80">
        <f t="shared" si="164"/>
        <v>100</v>
      </c>
      <c r="S1022" s="77">
        <f t="shared" si="165"/>
        <v>695</v>
      </c>
      <c r="T1022" s="77">
        <f>50</f>
        <v>50</v>
      </c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</row>
    <row r="1023" spans="1:30" ht="15.75" x14ac:dyDescent="0.25">
      <c r="A1023" s="32">
        <v>72075</v>
      </c>
      <c r="B1023" s="89">
        <f t="shared" si="166"/>
        <v>30</v>
      </c>
      <c r="C1023" s="77">
        <f>141.293</f>
        <v>141.29300000000001</v>
      </c>
      <c r="D1023" s="77">
        <f>267.993</f>
        <v>267.99299999999999</v>
      </c>
      <c r="E1023" s="86">
        <f>115.016</f>
        <v>115.01600000000001</v>
      </c>
      <c r="F1023" s="77">
        <f>314.698-40-25-60-100</f>
        <v>89.697999999999979</v>
      </c>
      <c r="G1023" s="80">
        <v>40</v>
      </c>
      <c r="H1023" s="77">
        <f t="shared" ref="H1023:H1029" si="171">25+60+100</f>
        <v>185</v>
      </c>
      <c r="I1023" s="77">
        <f t="shared" si="170"/>
        <v>0</v>
      </c>
      <c r="J1023" s="80">
        <v>100</v>
      </c>
      <c r="K1023" s="80">
        <v>300</v>
      </c>
      <c r="L1023" s="77">
        <f t="shared" si="162"/>
        <v>1239</v>
      </c>
      <c r="M1023" s="88">
        <v>600</v>
      </c>
      <c r="N1023" s="77">
        <f>100</f>
        <v>100</v>
      </c>
      <c r="O1023" s="80">
        <v>240</v>
      </c>
      <c r="P1023" s="80">
        <v>40</v>
      </c>
      <c r="Q1023" s="80">
        <f t="shared" si="163"/>
        <v>315</v>
      </c>
      <c r="R1023" s="80">
        <f t="shared" si="164"/>
        <v>100</v>
      </c>
      <c r="S1023" s="77">
        <f t="shared" si="165"/>
        <v>695</v>
      </c>
      <c r="T1023" s="77">
        <f>50</f>
        <v>50</v>
      </c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</row>
    <row r="1024" spans="1:30" ht="15.75" x14ac:dyDescent="0.25">
      <c r="A1024" s="32">
        <v>72106</v>
      </c>
      <c r="B1024" s="89">
        <f t="shared" si="166"/>
        <v>31</v>
      </c>
      <c r="C1024" s="77">
        <f>194.205</f>
        <v>194.20500000000001</v>
      </c>
      <c r="D1024" s="77">
        <f>267.466</f>
        <v>267.46600000000001</v>
      </c>
      <c r="E1024" s="86">
        <f>133.845</f>
        <v>133.845</v>
      </c>
      <c r="F1024" s="77">
        <f>278.484-40-25-60-100</f>
        <v>53.48399999999998</v>
      </c>
      <c r="G1024" s="80">
        <v>40</v>
      </c>
      <c r="H1024" s="77">
        <f t="shared" si="171"/>
        <v>185</v>
      </c>
      <c r="I1024" s="77">
        <f t="shared" si="170"/>
        <v>0</v>
      </c>
      <c r="J1024" s="80">
        <v>100</v>
      </c>
      <c r="K1024" s="80">
        <v>300</v>
      </c>
      <c r="L1024" s="77">
        <f t="shared" si="162"/>
        <v>1274</v>
      </c>
      <c r="M1024" s="88">
        <v>600</v>
      </c>
      <c r="N1024" s="77">
        <f>75</f>
        <v>75</v>
      </c>
      <c r="O1024" s="80">
        <v>240</v>
      </c>
      <c r="P1024" s="80">
        <v>40</v>
      </c>
      <c r="Q1024" s="80">
        <f t="shared" si="163"/>
        <v>315</v>
      </c>
      <c r="R1024" s="80">
        <f t="shared" si="164"/>
        <v>100</v>
      </c>
      <c r="S1024" s="77">
        <f t="shared" si="165"/>
        <v>695</v>
      </c>
      <c r="T1024" s="77">
        <f>50</f>
        <v>50</v>
      </c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</row>
    <row r="1025" spans="1:30" ht="15.75" x14ac:dyDescent="0.25">
      <c r="A1025" s="32">
        <v>72136</v>
      </c>
      <c r="B1025" s="89">
        <f t="shared" si="166"/>
        <v>30</v>
      </c>
      <c r="C1025" s="77">
        <f>194.205</f>
        <v>194.20500000000001</v>
      </c>
      <c r="D1025" s="77">
        <f>267.466</f>
        <v>267.46600000000001</v>
      </c>
      <c r="E1025" s="86">
        <f>133.845</f>
        <v>133.845</v>
      </c>
      <c r="F1025" s="77">
        <f>278.484-40-25-60-100</f>
        <v>53.48399999999998</v>
      </c>
      <c r="G1025" s="80">
        <v>40</v>
      </c>
      <c r="H1025" s="77">
        <f t="shared" si="171"/>
        <v>185</v>
      </c>
      <c r="I1025" s="77">
        <f t="shared" si="170"/>
        <v>0</v>
      </c>
      <c r="J1025" s="80">
        <v>100</v>
      </c>
      <c r="K1025" s="80">
        <v>300</v>
      </c>
      <c r="L1025" s="77">
        <f t="shared" si="162"/>
        <v>1274</v>
      </c>
      <c r="M1025" s="88">
        <v>600</v>
      </c>
      <c r="N1025" s="77">
        <f>30</f>
        <v>30</v>
      </c>
      <c r="O1025" s="80">
        <v>240</v>
      </c>
      <c r="P1025" s="80">
        <v>40</v>
      </c>
      <c r="Q1025" s="80">
        <f t="shared" si="163"/>
        <v>315</v>
      </c>
      <c r="R1025" s="80">
        <f t="shared" si="164"/>
        <v>100</v>
      </c>
      <c r="S1025" s="77">
        <f t="shared" si="165"/>
        <v>695</v>
      </c>
      <c r="T1025" s="77">
        <f>50</f>
        <v>50</v>
      </c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</row>
    <row r="1026" spans="1:30" ht="15.75" x14ac:dyDescent="0.25">
      <c r="A1026" s="32">
        <v>72167</v>
      </c>
      <c r="B1026" s="89">
        <f t="shared" si="166"/>
        <v>31</v>
      </c>
      <c r="C1026" s="77">
        <f>194.205</f>
        <v>194.20500000000001</v>
      </c>
      <c r="D1026" s="77">
        <f>267.466</f>
        <v>267.46600000000001</v>
      </c>
      <c r="E1026" s="86">
        <f>133.845</f>
        <v>133.845</v>
      </c>
      <c r="F1026" s="77">
        <f>278.484-40-25-60-100</f>
        <v>53.48399999999998</v>
      </c>
      <c r="G1026" s="80">
        <v>40</v>
      </c>
      <c r="H1026" s="77">
        <f t="shared" si="171"/>
        <v>185</v>
      </c>
      <c r="I1026" s="77">
        <f t="shared" si="170"/>
        <v>0</v>
      </c>
      <c r="J1026" s="80">
        <v>100</v>
      </c>
      <c r="K1026" s="80">
        <v>300</v>
      </c>
      <c r="L1026" s="77">
        <f t="shared" si="162"/>
        <v>1274</v>
      </c>
      <c r="M1026" s="88">
        <v>600</v>
      </c>
      <c r="N1026" s="77">
        <f>30</f>
        <v>30</v>
      </c>
      <c r="O1026" s="80">
        <v>240</v>
      </c>
      <c r="P1026" s="80">
        <v>40</v>
      </c>
      <c r="Q1026" s="80">
        <f t="shared" si="163"/>
        <v>315</v>
      </c>
      <c r="R1026" s="80">
        <f t="shared" si="164"/>
        <v>100</v>
      </c>
      <c r="S1026" s="77">
        <f t="shared" si="165"/>
        <v>695</v>
      </c>
      <c r="T1026" s="77">
        <f>0</f>
        <v>0</v>
      </c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</row>
    <row r="1027" spans="1:30" ht="15.75" x14ac:dyDescent="0.25">
      <c r="A1027" s="32">
        <v>72198</v>
      </c>
      <c r="B1027" s="89">
        <f t="shared" si="166"/>
        <v>31</v>
      </c>
      <c r="C1027" s="77">
        <f>194.205</f>
        <v>194.20500000000001</v>
      </c>
      <c r="D1027" s="77">
        <f>267.466</f>
        <v>267.46600000000001</v>
      </c>
      <c r="E1027" s="86">
        <f>133.845</f>
        <v>133.845</v>
      </c>
      <c r="F1027" s="77">
        <f>278.484-40-25-60-100</f>
        <v>53.48399999999998</v>
      </c>
      <c r="G1027" s="80">
        <v>40</v>
      </c>
      <c r="H1027" s="77">
        <f t="shared" si="171"/>
        <v>185</v>
      </c>
      <c r="I1027" s="77">
        <f t="shared" si="170"/>
        <v>0</v>
      </c>
      <c r="J1027" s="80">
        <v>100</v>
      </c>
      <c r="K1027" s="80">
        <v>300</v>
      </c>
      <c r="L1027" s="77">
        <f t="shared" si="162"/>
        <v>1274</v>
      </c>
      <c r="M1027" s="88">
        <v>600</v>
      </c>
      <c r="N1027" s="77">
        <f>30</f>
        <v>30</v>
      </c>
      <c r="O1027" s="80">
        <v>240</v>
      </c>
      <c r="P1027" s="80">
        <v>40</v>
      </c>
      <c r="Q1027" s="80">
        <f t="shared" si="163"/>
        <v>315</v>
      </c>
      <c r="R1027" s="80">
        <f t="shared" si="164"/>
        <v>100</v>
      </c>
      <c r="S1027" s="77">
        <f t="shared" si="165"/>
        <v>695</v>
      </c>
      <c r="T1027" s="77">
        <f>0</f>
        <v>0</v>
      </c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</row>
    <row r="1028" spans="1:30" ht="15.75" x14ac:dyDescent="0.25">
      <c r="A1028" s="32">
        <v>72228</v>
      </c>
      <c r="B1028" s="89">
        <f t="shared" si="166"/>
        <v>30</v>
      </c>
      <c r="C1028" s="77">
        <f>194.205</f>
        <v>194.20500000000001</v>
      </c>
      <c r="D1028" s="77">
        <f>267.466</f>
        <v>267.46600000000001</v>
      </c>
      <c r="E1028" s="86">
        <f>133.845</f>
        <v>133.845</v>
      </c>
      <c r="F1028" s="77">
        <f>278.484-40-25-60-100</f>
        <v>53.48399999999998</v>
      </c>
      <c r="G1028" s="80">
        <v>40</v>
      </c>
      <c r="H1028" s="77">
        <f t="shared" si="171"/>
        <v>185</v>
      </c>
      <c r="I1028" s="77">
        <f t="shared" si="170"/>
        <v>0</v>
      </c>
      <c r="J1028" s="80">
        <v>100</v>
      </c>
      <c r="K1028" s="80">
        <v>300</v>
      </c>
      <c r="L1028" s="77">
        <f t="shared" si="162"/>
        <v>1274</v>
      </c>
      <c r="M1028" s="88">
        <v>600</v>
      </c>
      <c r="N1028" s="77">
        <f>30</f>
        <v>30</v>
      </c>
      <c r="O1028" s="80">
        <v>240</v>
      </c>
      <c r="P1028" s="80">
        <v>40</v>
      </c>
      <c r="Q1028" s="80">
        <f t="shared" si="163"/>
        <v>315</v>
      </c>
      <c r="R1028" s="80">
        <f t="shared" si="164"/>
        <v>100</v>
      </c>
      <c r="S1028" s="77">
        <f t="shared" si="165"/>
        <v>695</v>
      </c>
      <c r="T1028" s="77">
        <f>0</f>
        <v>0</v>
      </c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</row>
    <row r="1029" spans="1:30" ht="15.75" x14ac:dyDescent="0.25">
      <c r="A1029" s="32">
        <v>72259</v>
      </c>
      <c r="B1029" s="89">
        <f t="shared" si="166"/>
        <v>31</v>
      </c>
      <c r="C1029" s="77">
        <f>131.881</f>
        <v>131.881</v>
      </c>
      <c r="D1029" s="77">
        <f>277.167</f>
        <v>277.16699999999997</v>
      </c>
      <c r="E1029" s="86">
        <f>79.08</f>
        <v>79.08</v>
      </c>
      <c r="F1029" s="77">
        <f>350.872-40-25-60-100</f>
        <v>125.87200000000001</v>
      </c>
      <c r="G1029" s="80">
        <v>40</v>
      </c>
      <c r="H1029" s="77">
        <f t="shared" si="171"/>
        <v>185</v>
      </c>
      <c r="I1029" s="77">
        <f t="shared" si="170"/>
        <v>0</v>
      </c>
      <c r="J1029" s="80">
        <v>100</v>
      </c>
      <c r="K1029" s="80">
        <v>300</v>
      </c>
      <c r="L1029" s="77">
        <f t="shared" si="162"/>
        <v>1239</v>
      </c>
      <c r="M1029" s="88">
        <v>600</v>
      </c>
      <c r="N1029" s="77">
        <f>75</f>
        <v>75</v>
      </c>
      <c r="O1029" s="80">
        <v>240</v>
      </c>
      <c r="P1029" s="80">
        <v>40</v>
      </c>
      <c r="Q1029" s="80">
        <f t="shared" si="163"/>
        <v>315</v>
      </c>
      <c r="R1029" s="80">
        <f t="shared" si="164"/>
        <v>100</v>
      </c>
      <c r="S1029" s="77">
        <f t="shared" si="165"/>
        <v>695</v>
      </c>
      <c r="T1029" s="77">
        <f>0</f>
        <v>0</v>
      </c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</row>
    <row r="1030" spans="1:30" ht="15.75" x14ac:dyDescent="0.25">
      <c r="A1030" s="32">
        <v>72289</v>
      </c>
      <c r="B1030" s="89">
        <f t="shared" si="166"/>
        <v>30</v>
      </c>
      <c r="C1030" s="77">
        <f>122.58</f>
        <v>122.58</v>
      </c>
      <c r="D1030" s="77">
        <f>297.941</f>
        <v>297.94099999999997</v>
      </c>
      <c r="E1030" s="86">
        <f>89.177</f>
        <v>89.177000000000007</v>
      </c>
      <c r="F1030" s="77">
        <f>240.302-40-60-100</f>
        <v>40.301999999999992</v>
      </c>
      <c r="G1030" s="80">
        <v>40</v>
      </c>
      <c r="H1030" s="77">
        <f>60+100</f>
        <v>160</v>
      </c>
      <c r="I1030" s="77">
        <f t="shared" si="170"/>
        <v>0</v>
      </c>
      <c r="J1030" s="80">
        <v>100</v>
      </c>
      <c r="K1030" s="80">
        <v>300</v>
      </c>
      <c r="L1030" s="77">
        <f t="shared" si="162"/>
        <v>1150</v>
      </c>
      <c r="M1030" s="88">
        <v>600</v>
      </c>
      <c r="N1030" s="77">
        <f>100</f>
        <v>100</v>
      </c>
      <c r="O1030" s="80">
        <v>240</v>
      </c>
      <c r="P1030" s="80">
        <v>40</v>
      </c>
      <c r="Q1030" s="80">
        <f t="shared" si="163"/>
        <v>315</v>
      </c>
      <c r="R1030" s="80">
        <f t="shared" si="164"/>
        <v>100</v>
      </c>
      <c r="S1030" s="77">
        <f t="shared" si="165"/>
        <v>695</v>
      </c>
      <c r="T1030" s="77">
        <f>50</f>
        <v>50</v>
      </c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</row>
    <row r="1031" spans="1:30" ht="15.75" x14ac:dyDescent="0.25">
      <c r="A1031" s="32">
        <v>72320</v>
      </c>
      <c r="B1031" s="89">
        <f t="shared" si="166"/>
        <v>31</v>
      </c>
      <c r="C1031" s="77">
        <f>122.58</f>
        <v>122.58</v>
      </c>
      <c r="D1031" s="77">
        <f>297.941</f>
        <v>297.94099999999997</v>
      </c>
      <c r="E1031" s="86">
        <f>89.177</f>
        <v>89.177000000000007</v>
      </c>
      <c r="F1031" s="77">
        <f>240.302-40-60-100</f>
        <v>40.301999999999992</v>
      </c>
      <c r="G1031" s="80">
        <v>40</v>
      </c>
      <c r="H1031" s="77">
        <f>60+100</f>
        <v>160</v>
      </c>
      <c r="I1031" s="77">
        <f t="shared" si="170"/>
        <v>0</v>
      </c>
      <c r="J1031" s="80">
        <v>100</v>
      </c>
      <c r="K1031" s="80">
        <v>300</v>
      </c>
      <c r="L1031" s="77">
        <f t="shared" si="162"/>
        <v>1150</v>
      </c>
      <c r="M1031" s="88">
        <v>600</v>
      </c>
      <c r="N1031" s="77">
        <f>100</f>
        <v>100</v>
      </c>
      <c r="O1031" s="80">
        <v>240</v>
      </c>
      <c r="P1031" s="80">
        <v>40</v>
      </c>
      <c r="Q1031" s="80">
        <f t="shared" si="163"/>
        <v>315</v>
      </c>
      <c r="R1031" s="80">
        <f t="shared" si="164"/>
        <v>100</v>
      </c>
      <c r="S1031" s="77">
        <f t="shared" si="165"/>
        <v>695</v>
      </c>
      <c r="T1031" s="77">
        <f>50</f>
        <v>50</v>
      </c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</row>
    <row r="1032" spans="1:30" ht="15.75" x14ac:dyDescent="0.25">
      <c r="A1032" s="32">
        <v>72351</v>
      </c>
      <c r="B1032" s="89">
        <f t="shared" si="166"/>
        <v>31</v>
      </c>
      <c r="C1032" s="77">
        <f>122.58</f>
        <v>122.58</v>
      </c>
      <c r="D1032" s="77">
        <f>297.941</f>
        <v>297.94099999999997</v>
      </c>
      <c r="E1032" s="86">
        <f>89.177</f>
        <v>89.177000000000007</v>
      </c>
      <c r="F1032" s="77">
        <f>240.302-40-60-100</f>
        <v>40.301999999999992</v>
      </c>
      <c r="G1032" s="80">
        <v>40</v>
      </c>
      <c r="H1032" s="77">
        <f>60+100</f>
        <v>160</v>
      </c>
      <c r="I1032" s="77">
        <f t="shared" si="170"/>
        <v>0</v>
      </c>
      <c r="J1032" s="80">
        <v>100</v>
      </c>
      <c r="K1032" s="80">
        <v>300</v>
      </c>
      <c r="L1032" s="77">
        <f t="shared" si="162"/>
        <v>1150</v>
      </c>
      <c r="M1032" s="88">
        <v>600</v>
      </c>
      <c r="N1032" s="77">
        <f>100</f>
        <v>100</v>
      </c>
      <c r="O1032" s="80">
        <v>240</v>
      </c>
      <c r="P1032" s="80">
        <v>40</v>
      </c>
      <c r="Q1032" s="80">
        <f t="shared" si="163"/>
        <v>315</v>
      </c>
      <c r="R1032" s="80">
        <f t="shared" si="164"/>
        <v>100</v>
      </c>
      <c r="S1032" s="77">
        <f t="shared" si="165"/>
        <v>695</v>
      </c>
      <c r="T1032" s="77">
        <f>50</f>
        <v>50</v>
      </c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</row>
    <row r="1033" spans="1:30" ht="15.75" x14ac:dyDescent="0.25">
      <c r="A1033" s="32">
        <v>72379</v>
      </c>
      <c r="B1033" s="89">
        <f t="shared" si="166"/>
        <v>28</v>
      </c>
      <c r="C1033" s="77">
        <f>122.58</f>
        <v>122.58</v>
      </c>
      <c r="D1033" s="77">
        <f>297.941</f>
        <v>297.94099999999997</v>
      </c>
      <c r="E1033" s="86">
        <f>89.177</f>
        <v>89.177000000000007</v>
      </c>
      <c r="F1033" s="77">
        <f>240.302-40-60-100</f>
        <v>40.301999999999992</v>
      </c>
      <c r="G1033" s="80">
        <v>40</v>
      </c>
      <c r="H1033" s="77">
        <f>60+100</f>
        <v>160</v>
      </c>
      <c r="I1033" s="77">
        <f t="shared" si="170"/>
        <v>0</v>
      </c>
      <c r="J1033" s="80">
        <v>100</v>
      </c>
      <c r="K1033" s="80">
        <v>300</v>
      </c>
      <c r="L1033" s="77">
        <f t="shared" si="162"/>
        <v>1150</v>
      </c>
      <c r="M1033" s="88">
        <v>600</v>
      </c>
      <c r="N1033" s="77">
        <f>100</f>
        <v>100</v>
      </c>
      <c r="O1033" s="80">
        <v>240</v>
      </c>
      <c r="P1033" s="80">
        <v>40</v>
      </c>
      <c r="Q1033" s="80">
        <f t="shared" si="163"/>
        <v>315</v>
      </c>
      <c r="R1033" s="80">
        <f t="shared" si="164"/>
        <v>100</v>
      </c>
      <c r="S1033" s="77">
        <f t="shared" si="165"/>
        <v>695</v>
      </c>
      <c r="T1033" s="77">
        <f>50</f>
        <v>50</v>
      </c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</row>
    <row r="1034" spans="1:30" ht="15.75" x14ac:dyDescent="0.25">
      <c r="A1034" s="32">
        <v>72410</v>
      </c>
      <c r="B1034" s="89">
        <f t="shared" si="166"/>
        <v>31</v>
      </c>
      <c r="C1034" s="77">
        <f>122.58</f>
        <v>122.58</v>
      </c>
      <c r="D1034" s="77">
        <f>297.941</f>
        <v>297.94099999999997</v>
      </c>
      <c r="E1034" s="86">
        <f>89.177</f>
        <v>89.177000000000007</v>
      </c>
      <c r="F1034" s="77">
        <f>240.302-40-60-100</f>
        <v>40.301999999999992</v>
      </c>
      <c r="G1034" s="80">
        <v>40</v>
      </c>
      <c r="H1034" s="77">
        <f>60+100</f>
        <v>160</v>
      </c>
      <c r="I1034" s="77">
        <f t="shared" si="170"/>
        <v>0</v>
      </c>
      <c r="J1034" s="80">
        <v>100</v>
      </c>
      <c r="K1034" s="80">
        <v>300</v>
      </c>
      <c r="L1034" s="77">
        <f t="shared" si="162"/>
        <v>1150</v>
      </c>
      <c r="M1034" s="88">
        <v>600</v>
      </c>
      <c r="N1034" s="77">
        <f>100</f>
        <v>100</v>
      </c>
      <c r="O1034" s="80">
        <v>240</v>
      </c>
      <c r="P1034" s="80">
        <v>40</v>
      </c>
      <c r="Q1034" s="80">
        <f t="shared" si="163"/>
        <v>315</v>
      </c>
      <c r="R1034" s="80">
        <f t="shared" si="164"/>
        <v>100</v>
      </c>
      <c r="S1034" s="77">
        <f t="shared" si="165"/>
        <v>695</v>
      </c>
      <c r="T1034" s="77">
        <f>50</f>
        <v>50</v>
      </c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</row>
    <row r="1035" spans="1:30" ht="15.75" x14ac:dyDescent="0.25">
      <c r="A1035" s="32">
        <v>72440</v>
      </c>
      <c r="B1035" s="89">
        <f t="shared" si="166"/>
        <v>30</v>
      </c>
      <c r="C1035" s="77">
        <f>141.293</f>
        <v>141.29300000000001</v>
      </c>
      <c r="D1035" s="77">
        <f>267.993</f>
        <v>267.99299999999999</v>
      </c>
      <c r="E1035" s="86">
        <f>115.016</f>
        <v>115.01600000000001</v>
      </c>
      <c r="F1035" s="77">
        <f>314.698-40-25-60-100</f>
        <v>89.697999999999979</v>
      </c>
      <c r="G1035" s="80">
        <v>40</v>
      </c>
      <c r="H1035" s="77">
        <f t="shared" ref="H1035:H1041" si="172">25+60+100</f>
        <v>185</v>
      </c>
      <c r="I1035" s="77">
        <f t="shared" si="170"/>
        <v>0</v>
      </c>
      <c r="J1035" s="80">
        <v>100</v>
      </c>
      <c r="K1035" s="80">
        <v>300</v>
      </c>
      <c r="L1035" s="77">
        <f t="shared" si="162"/>
        <v>1239</v>
      </c>
      <c r="M1035" s="88">
        <v>600</v>
      </c>
      <c r="N1035" s="77">
        <f>100</f>
        <v>100</v>
      </c>
      <c r="O1035" s="80">
        <v>240</v>
      </c>
      <c r="P1035" s="80">
        <v>40</v>
      </c>
      <c r="Q1035" s="80">
        <f t="shared" si="163"/>
        <v>315</v>
      </c>
      <c r="R1035" s="80">
        <f t="shared" si="164"/>
        <v>100</v>
      </c>
      <c r="S1035" s="77">
        <f t="shared" si="165"/>
        <v>695</v>
      </c>
      <c r="T1035" s="77">
        <f>50</f>
        <v>50</v>
      </c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</row>
    <row r="1036" spans="1:30" ht="15.75" x14ac:dyDescent="0.25">
      <c r="A1036" s="32">
        <v>72471</v>
      </c>
      <c r="B1036" s="89">
        <f t="shared" si="166"/>
        <v>31</v>
      </c>
      <c r="C1036" s="77">
        <f>194.205</f>
        <v>194.20500000000001</v>
      </c>
      <c r="D1036" s="77">
        <f>267.466</f>
        <v>267.46600000000001</v>
      </c>
      <c r="E1036" s="86">
        <f>133.845</f>
        <v>133.845</v>
      </c>
      <c r="F1036" s="77">
        <f>278.484-40-25-60-100</f>
        <v>53.48399999999998</v>
      </c>
      <c r="G1036" s="80">
        <v>40</v>
      </c>
      <c r="H1036" s="77">
        <f t="shared" si="172"/>
        <v>185</v>
      </c>
      <c r="I1036" s="77">
        <f t="shared" si="170"/>
        <v>0</v>
      </c>
      <c r="J1036" s="80">
        <v>100</v>
      </c>
      <c r="K1036" s="80">
        <v>300</v>
      </c>
      <c r="L1036" s="77">
        <f t="shared" si="162"/>
        <v>1274</v>
      </c>
      <c r="M1036" s="88">
        <v>600</v>
      </c>
      <c r="N1036" s="77">
        <f>75</f>
        <v>75</v>
      </c>
      <c r="O1036" s="80">
        <v>240</v>
      </c>
      <c r="P1036" s="80">
        <v>40</v>
      </c>
      <c r="Q1036" s="80">
        <f t="shared" si="163"/>
        <v>315</v>
      </c>
      <c r="R1036" s="80">
        <f t="shared" si="164"/>
        <v>100</v>
      </c>
      <c r="S1036" s="77">
        <f t="shared" si="165"/>
        <v>695</v>
      </c>
      <c r="T1036" s="77">
        <f>50</f>
        <v>50</v>
      </c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</row>
    <row r="1037" spans="1:30" ht="15.75" x14ac:dyDescent="0.25">
      <c r="A1037" s="32">
        <v>72501</v>
      </c>
      <c r="B1037" s="89">
        <f t="shared" si="166"/>
        <v>30</v>
      </c>
      <c r="C1037" s="77">
        <f>194.205</f>
        <v>194.20500000000001</v>
      </c>
      <c r="D1037" s="77">
        <f>267.466</f>
        <v>267.46600000000001</v>
      </c>
      <c r="E1037" s="86">
        <f>133.845</f>
        <v>133.845</v>
      </c>
      <c r="F1037" s="77">
        <f>278.484-40-25-60-100</f>
        <v>53.48399999999998</v>
      </c>
      <c r="G1037" s="80">
        <v>40</v>
      </c>
      <c r="H1037" s="77">
        <f t="shared" si="172"/>
        <v>185</v>
      </c>
      <c r="I1037" s="77">
        <f t="shared" si="170"/>
        <v>0</v>
      </c>
      <c r="J1037" s="80">
        <v>100</v>
      </c>
      <c r="K1037" s="80">
        <v>300</v>
      </c>
      <c r="L1037" s="77">
        <f t="shared" si="162"/>
        <v>1274</v>
      </c>
      <c r="M1037" s="88">
        <v>600</v>
      </c>
      <c r="N1037" s="77">
        <f>30</f>
        <v>30</v>
      </c>
      <c r="O1037" s="80">
        <v>240</v>
      </c>
      <c r="P1037" s="80">
        <v>40</v>
      </c>
      <c r="Q1037" s="80">
        <f t="shared" si="163"/>
        <v>315</v>
      </c>
      <c r="R1037" s="80">
        <f t="shared" si="164"/>
        <v>100</v>
      </c>
      <c r="S1037" s="77">
        <f t="shared" si="165"/>
        <v>695</v>
      </c>
      <c r="T1037" s="77">
        <f>50</f>
        <v>50</v>
      </c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</row>
    <row r="1038" spans="1:30" ht="15.75" x14ac:dyDescent="0.25">
      <c r="A1038" s="32">
        <v>72532</v>
      </c>
      <c r="B1038" s="89">
        <f t="shared" si="166"/>
        <v>31</v>
      </c>
      <c r="C1038" s="77">
        <f>194.205</f>
        <v>194.20500000000001</v>
      </c>
      <c r="D1038" s="77">
        <f>267.466</f>
        <v>267.46600000000001</v>
      </c>
      <c r="E1038" s="86">
        <f>133.845</f>
        <v>133.845</v>
      </c>
      <c r="F1038" s="77">
        <f>278.484-40-25-60-100</f>
        <v>53.48399999999998</v>
      </c>
      <c r="G1038" s="80">
        <v>40</v>
      </c>
      <c r="H1038" s="77">
        <f t="shared" si="172"/>
        <v>185</v>
      </c>
      <c r="I1038" s="77">
        <f t="shared" si="170"/>
        <v>0</v>
      </c>
      <c r="J1038" s="80">
        <v>100</v>
      </c>
      <c r="K1038" s="80">
        <v>300</v>
      </c>
      <c r="L1038" s="77">
        <f t="shared" si="162"/>
        <v>1274</v>
      </c>
      <c r="M1038" s="88">
        <v>600</v>
      </c>
      <c r="N1038" s="77">
        <f>30</f>
        <v>30</v>
      </c>
      <c r="O1038" s="80">
        <v>240</v>
      </c>
      <c r="P1038" s="80">
        <v>40</v>
      </c>
      <c r="Q1038" s="80">
        <f t="shared" si="163"/>
        <v>315</v>
      </c>
      <c r="R1038" s="80">
        <f t="shared" si="164"/>
        <v>100</v>
      </c>
      <c r="S1038" s="77">
        <f t="shared" si="165"/>
        <v>695</v>
      </c>
      <c r="T1038" s="77">
        <f>0</f>
        <v>0</v>
      </c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</row>
    <row r="1039" spans="1:30" ht="15.75" x14ac:dyDescent="0.25">
      <c r="A1039" s="32">
        <v>72563</v>
      </c>
      <c r="B1039" s="89">
        <f t="shared" si="166"/>
        <v>31</v>
      </c>
      <c r="C1039" s="77">
        <f>194.205</f>
        <v>194.20500000000001</v>
      </c>
      <c r="D1039" s="77">
        <f>267.466</f>
        <v>267.46600000000001</v>
      </c>
      <c r="E1039" s="86">
        <f>133.845</f>
        <v>133.845</v>
      </c>
      <c r="F1039" s="77">
        <f>278.484-40-25-60-100</f>
        <v>53.48399999999998</v>
      </c>
      <c r="G1039" s="80">
        <v>40</v>
      </c>
      <c r="H1039" s="77">
        <f t="shared" si="172"/>
        <v>185</v>
      </c>
      <c r="I1039" s="77">
        <f t="shared" si="170"/>
        <v>0</v>
      </c>
      <c r="J1039" s="80">
        <v>100</v>
      </c>
      <c r="K1039" s="80">
        <v>300</v>
      </c>
      <c r="L1039" s="77">
        <f t="shared" si="162"/>
        <v>1274</v>
      </c>
      <c r="M1039" s="88">
        <v>600</v>
      </c>
      <c r="N1039" s="77">
        <f>30</f>
        <v>30</v>
      </c>
      <c r="O1039" s="80">
        <v>240</v>
      </c>
      <c r="P1039" s="80">
        <v>40</v>
      </c>
      <c r="Q1039" s="80">
        <f t="shared" si="163"/>
        <v>315</v>
      </c>
      <c r="R1039" s="80">
        <f t="shared" si="164"/>
        <v>100</v>
      </c>
      <c r="S1039" s="77">
        <f t="shared" si="165"/>
        <v>695</v>
      </c>
      <c r="T1039" s="77">
        <f>0</f>
        <v>0</v>
      </c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</row>
    <row r="1040" spans="1:30" ht="15.75" x14ac:dyDescent="0.25">
      <c r="A1040" s="32">
        <v>72593</v>
      </c>
      <c r="B1040" s="89">
        <f t="shared" si="166"/>
        <v>30</v>
      </c>
      <c r="C1040" s="77">
        <f>194.205</f>
        <v>194.20500000000001</v>
      </c>
      <c r="D1040" s="77">
        <f>267.466</f>
        <v>267.46600000000001</v>
      </c>
      <c r="E1040" s="86">
        <f>133.845</f>
        <v>133.845</v>
      </c>
      <c r="F1040" s="77">
        <f>278.484-40-25-60-100</f>
        <v>53.48399999999998</v>
      </c>
      <c r="G1040" s="80">
        <v>40</v>
      </c>
      <c r="H1040" s="77">
        <f t="shared" si="172"/>
        <v>185</v>
      </c>
      <c r="I1040" s="77">
        <f t="shared" si="170"/>
        <v>0</v>
      </c>
      <c r="J1040" s="80">
        <v>100</v>
      </c>
      <c r="K1040" s="80">
        <v>300</v>
      </c>
      <c r="L1040" s="77">
        <f t="shared" si="162"/>
        <v>1274</v>
      </c>
      <c r="M1040" s="88">
        <v>600</v>
      </c>
      <c r="N1040" s="77">
        <f>30</f>
        <v>30</v>
      </c>
      <c r="O1040" s="80">
        <v>240</v>
      </c>
      <c r="P1040" s="80">
        <v>40</v>
      </c>
      <c r="Q1040" s="80">
        <f t="shared" si="163"/>
        <v>315</v>
      </c>
      <c r="R1040" s="80">
        <f t="shared" si="164"/>
        <v>100</v>
      </c>
      <c r="S1040" s="77">
        <f t="shared" si="165"/>
        <v>695</v>
      </c>
      <c r="T1040" s="77">
        <f>0</f>
        <v>0</v>
      </c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</row>
    <row r="1041" spans="1:30" ht="15.75" x14ac:dyDescent="0.25">
      <c r="A1041" s="32">
        <v>72624</v>
      </c>
      <c r="B1041" s="89">
        <f t="shared" si="166"/>
        <v>31</v>
      </c>
      <c r="C1041" s="77">
        <f>131.881</f>
        <v>131.881</v>
      </c>
      <c r="D1041" s="77">
        <f>277.167</f>
        <v>277.16699999999997</v>
      </c>
      <c r="E1041" s="86">
        <f>79.08</f>
        <v>79.08</v>
      </c>
      <c r="F1041" s="77">
        <f>350.872-40-25-60-100</f>
        <v>125.87200000000001</v>
      </c>
      <c r="G1041" s="80">
        <v>40</v>
      </c>
      <c r="H1041" s="77">
        <f t="shared" si="172"/>
        <v>185</v>
      </c>
      <c r="I1041" s="77">
        <f t="shared" si="170"/>
        <v>0</v>
      </c>
      <c r="J1041" s="80">
        <v>100</v>
      </c>
      <c r="K1041" s="80">
        <v>300</v>
      </c>
      <c r="L1041" s="77">
        <f t="shared" si="162"/>
        <v>1239</v>
      </c>
      <c r="M1041" s="88">
        <v>600</v>
      </c>
      <c r="N1041" s="77">
        <f>75</f>
        <v>75</v>
      </c>
      <c r="O1041" s="80">
        <v>240</v>
      </c>
      <c r="P1041" s="80">
        <v>40</v>
      </c>
      <c r="Q1041" s="80">
        <f t="shared" si="163"/>
        <v>315</v>
      </c>
      <c r="R1041" s="80">
        <f t="shared" si="164"/>
        <v>100</v>
      </c>
      <c r="S1041" s="77">
        <f t="shared" si="165"/>
        <v>695</v>
      </c>
      <c r="T1041" s="77">
        <f>0</f>
        <v>0</v>
      </c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</row>
    <row r="1042" spans="1:30" ht="15.75" x14ac:dyDescent="0.25">
      <c r="A1042" s="32">
        <v>72654</v>
      </c>
      <c r="B1042" s="89">
        <f t="shared" si="166"/>
        <v>30</v>
      </c>
      <c r="C1042" s="77">
        <f>122.58</f>
        <v>122.58</v>
      </c>
      <c r="D1042" s="77">
        <f>297.941</f>
        <v>297.94099999999997</v>
      </c>
      <c r="E1042" s="86">
        <f>89.177</f>
        <v>89.177000000000007</v>
      </c>
      <c r="F1042" s="77">
        <f>240.302-40-60-100</f>
        <v>40.301999999999992</v>
      </c>
      <c r="G1042" s="80">
        <v>40</v>
      </c>
      <c r="H1042" s="77">
        <f>60+100</f>
        <v>160</v>
      </c>
      <c r="I1042" s="77">
        <f t="shared" si="170"/>
        <v>0</v>
      </c>
      <c r="J1042" s="80">
        <v>100</v>
      </c>
      <c r="K1042" s="80">
        <v>300</v>
      </c>
      <c r="L1042" s="77">
        <f t="shared" si="162"/>
        <v>1150</v>
      </c>
      <c r="M1042" s="88">
        <v>600</v>
      </c>
      <c r="N1042" s="77">
        <f>100</f>
        <v>100</v>
      </c>
      <c r="O1042" s="80">
        <v>240</v>
      </c>
      <c r="P1042" s="80">
        <v>40</v>
      </c>
      <c r="Q1042" s="80">
        <f t="shared" si="163"/>
        <v>315</v>
      </c>
      <c r="R1042" s="80">
        <f t="shared" si="164"/>
        <v>100</v>
      </c>
      <c r="S1042" s="77">
        <f t="shared" si="165"/>
        <v>695</v>
      </c>
      <c r="T1042" s="77">
        <f>50</f>
        <v>50</v>
      </c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</row>
    <row r="1043" spans="1:30" ht="15.75" x14ac:dyDescent="0.25">
      <c r="A1043" s="32">
        <v>72685</v>
      </c>
      <c r="B1043" s="89">
        <f t="shared" si="166"/>
        <v>31</v>
      </c>
      <c r="C1043" s="77">
        <f>122.58</f>
        <v>122.58</v>
      </c>
      <c r="D1043" s="77">
        <f>297.941</f>
        <v>297.94099999999997</v>
      </c>
      <c r="E1043" s="86">
        <f>89.177</f>
        <v>89.177000000000007</v>
      </c>
      <c r="F1043" s="77">
        <f>240.302-40-60-100</f>
        <v>40.301999999999992</v>
      </c>
      <c r="G1043" s="80">
        <v>40</v>
      </c>
      <c r="H1043" s="77">
        <f>60+100</f>
        <v>160</v>
      </c>
      <c r="I1043" s="77">
        <f t="shared" si="170"/>
        <v>0</v>
      </c>
      <c r="J1043" s="80">
        <v>100</v>
      </c>
      <c r="K1043" s="80">
        <v>300</v>
      </c>
      <c r="L1043" s="77">
        <f t="shared" ref="L1043:L1067" si="173">SUM(C1043:K1043)</f>
        <v>1150</v>
      </c>
      <c r="M1043" s="88">
        <v>600</v>
      </c>
      <c r="N1043" s="77">
        <f>100</f>
        <v>100</v>
      </c>
      <c r="O1043" s="80">
        <v>240</v>
      </c>
      <c r="P1043" s="80">
        <v>40</v>
      </c>
      <c r="Q1043" s="80">
        <f t="shared" ref="Q1043:Q1067" si="174">695-R1043-O1043-P1043</f>
        <v>315</v>
      </c>
      <c r="R1043" s="80">
        <f t="shared" ref="R1043:R1067" si="175">200-J1043</f>
        <v>100</v>
      </c>
      <c r="S1043" s="77">
        <f t="shared" ref="S1043:S1067" si="176">SUM(O1043:R1043)</f>
        <v>695</v>
      </c>
      <c r="T1043" s="77">
        <f>50</f>
        <v>50</v>
      </c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</row>
    <row r="1044" spans="1:30" ht="15.75" x14ac:dyDescent="0.25">
      <c r="A1044" s="32">
        <v>72716</v>
      </c>
      <c r="B1044" s="89">
        <f t="shared" si="166"/>
        <v>31</v>
      </c>
      <c r="C1044" s="77">
        <f>122.58</f>
        <v>122.58</v>
      </c>
      <c r="D1044" s="77">
        <f>297.941</f>
        <v>297.94099999999997</v>
      </c>
      <c r="E1044" s="86">
        <f>89.177</f>
        <v>89.177000000000007</v>
      </c>
      <c r="F1044" s="77">
        <f>240.302-40-60-100</f>
        <v>40.301999999999992</v>
      </c>
      <c r="G1044" s="80">
        <v>40</v>
      </c>
      <c r="H1044" s="77">
        <f>60+100</f>
        <v>160</v>
      </c>
      <c r="I1044" s="77">
        <f t="shared" si="170"/>
        <v>0</v>
      </c>
      <c r="J1044" s="80">
        <v>100</v>
      </c>
      <c r="K1044" s="80">
        <v>300</v>
      </c>
      <c r="L1044" s="77">
        <f t="shared" si="173"/>
        <v>1150</v>
      </c>
      <c r="M1044" s="88">
        <v>600</v>
      </c>
      <c r="N1044" s="77">
        <f>100</f>
        <v>100</v>
      </c>
      <c r="O1044" s="80">
        <v>240</v>
      </c>
      <c r="P1044" s="80">
        <v>40</v>
      </c>
      <c r="Q1044" s="80">
        <f t="shared" si="174"/>
        <v>315</v>
      </c>
      <c r="R1044" s="80">
        <f t="shared" si="175"/>
        <v>100</v>
      </c>
      <c r="S1044" s="77">
        <f t="shared" si="176"/>
        <v>695</v>
      </c>
      <c r="T1044" s="77">
        <f>50</f>
        <v>50</v>
      </c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</row>
    <row r="1045" spans="1:30" ht="15.75" x14ac:dyDescent="0.25">
      <c r="A1045" s="32">
        <v>72744</v>
      </c>
      <c r="B1045" s="89">
        <f t="shared" si="166"/>
        <v>28</v>
      </c>
      <c r="C1045" s="77">
        <f>122.58</f>
        <v>122.58</v>
      </c>
      <c r="D1045" s="77">
        <f>297.941</f>
        <v>297.94099999999997</v>
      </c>
      <c r="E1045" s="86">
        <f>89.177</f>
        <v>89.177000000000007</v>
      </c>
      <c r="F1045" s="77">
        <f>240.302-40-60-100</f>
        <v>40.301999999999992</v>
      </c>
      <c r="G1045" s="80">
        <v>40</v>
      </c>
      <c r="H1045" s="77">
        <f>60+100</f>
        <v>160</v>
      </c>
      <c r="I1045" s="77">
        <f t="shared" si="170"/>
        <v>0</v>
      </c>
      <c r="J1045" s="80">
        <v>100</v>
      </c>
      <c r="K1045" s="80">
        <v>300</v>
      </c>
      <c r="L1045" s="77">
        <f t="shared" si="173"/>
        <v>1150</v>
      </c>
      <c r="M1045" s="88">
        <v>600</v>
      </c>
      <c r="N1045" s="77">
        <f>100</f>
        <v>100</v>
      </c>
      <c r="O1045" s="80">
        <v>240</v>
      </c>
      <c r="P1045" s="80">
        <v>40</v>
      </c>
      <c r="Q1045" s="80">
        <f t="shared" si="174"/>
        <v>315</v>
      </c>
      <c r="R1045" s="80">
        <f t="shared" si="175"/>
        <v>100</v>
      </c>
      <c r="S1045" s="77">
        <f t="shared" si="176"/>
        <v>695</v>
      </c>
      <c r="T1045" s="77">
        <f>50</f>
        <v>50</v>
      </c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</row>
    <row r="1046" spans="1:30" ht="15.75" x14ac:dyDescent="0.25">
      <c r="A1046" s="32">
        <v>72775</v>
      </c>
      <c r="B1046" s="89">
        <f t="shared" si="166"/>
        <v>31</v>
      </c>
      <c r="C1046" s="77">
        <f>122.58</f>
        <v>122.58</v>
      </c>
      <c r="D1046" s="77">
        <f>297.941</f>
        <v>297.94099999999997</v>
      </c>
      <c r="E1046" s="86">
        <f>89.177</f>
        <v>89.177000000000007</v>
      </c>
      <c r="F1046" s="77">
        <f>240.302-40-60-100</f>
        <v>40.301999999999992</v>
      </c>
      <c r="G1046" s="80">
        <v>40</v>
      </c>
      <c r="H1046" s="77">
        <f>60+100</f>
        <v>160</v>
      </c>
      <c r="I1046" s="77">
        <f t="shared" si="170"/>
        <v>0</v>
      </c>
      <c r="J1046" s="80">
        <v>100</v>
      </c>
      <c r="K1046" s="80">
        <v>300</v>
      </c>
      <c r="L1046" s="77">
        <f t="shared" si="173"/>
        <v>1150</v>
      </c>
      <c r="M1046" s="88">
        <v>600</v>
      </c>
      <c r="N1046" s="77">
        <f>100</f>
        <v>100</v>
      </c>
      <c r="O1046" s="80">
        <v>240</v>
      </c>
      <c r="P1046" s="80">
        <v>40</v>
      </c>
      <c r="Q1046" s="80">
        <f t="shared" si="174"/>
        <v>315</v>
      </c>
      <c r="R1046" s="80">
        <f t="shared" si="175"/>
        <v>100</v>
      </c>
      <c r="S1046" s="77">
        <f t="shared" si="176"/>
        <v>695</v>
      </c>
      <c r="T1046" s="77">
        <f>50</f>
        <v>50</v>
      </c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</row>
    <row r="1047" spans="1:30" ht="15.75" x14ac:dyDescent="0.25">
      <c r="A1047" s="32">
        <v>72805</v>
      </c>
      <c r="B1047" s="89">
        <f t="shared" si="166"/>
        <v>30</v>
      </c>
      <c r="C1047" s="77">
        <f>141.293</f>
        <v>141.29300000000001</v>
      </c>
      <c r="D1047" s="77">
        <f>267.993</f>
        <v>267.99299999999999</v>
      </c>
      <c r="E1047" s="86">
        <f>115.016</f>
        <v>115.01600000000001</v>
      </c>
      <c r="F1047" s="77">
        <f>314.698-40-25-60-100</f>
        <v>89.697999999999979</v>
      </c>
      <c r="G1047" s="80">
        <v>40</v>
      </c>
      <c r="H1047" s="77">
        <f t="shared" ref="H1047:H1053" si="177">25+60+100</f>
        <v>185</v>
      </c>
      <c r="I1047" s="77">
        <f t="shared" si="170"/>
        <v>0</v>
      </c>
      <c r="J1047" s="80">
        <v>100</v>
      </c>
      <c r="K1047" s="80">
        <v>300</v>
      </c>
      <c r="L1047" s="77">
        <f t="shared" si="173"/>
        <v>1239</v>
      </c>
      <c r="M1047" s="88">
        <v>600</v>
      </c>
      <c r="N1047" s="77">
        <f>100</f>
        <v>100</v>
      </c>
      <c r="O1047" s="80">
        <v>240</v>
      </c>
      <c r="P1047" s="80">
        <v>40</v>
      </c>
      <c r="Q1047" s="80">
        <f t="shared" si="174"/>
        <v>315</v>
      </c>
      <c r="R1047" s="80">
        <f t="shared" si="175"/>
        <v>100</v>
      </c>
      <c r="S1047" s="77">
        <f t="shared" si="176"/>
        <v>695</v>
      </c>
      <c r="T1047" s="77">
        <f>50</f>
        <v>50</v>
      </c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</row>
    <row r="1048" spans="1:30" ht="15.75" x14ac:dyDescent="0.25">
      <c r="A1048" s="32">
        <v>72836</v>
      </c>
      <c r="B1048" s="89">
        <f t="shared" ref="B1048:B1067" si="178">EOMONTH(A1048,0)-EOMONTH(A1048,-1)</f>
        <v>31</v>
      </c>
      <c r="C1048" s="77">
        <f>194.205</f>
        <v>194.20500000000001</v>
      </c>
      <c r="D1048" s="77">
        <f>267.466</f>
        <v>267.46600000000001</v>
      </c>
      <c r="E1048" s="86">
        <f>133.845</f>
        <v>133.845</v>
      </c>
      <c r="F1048" s="77">
        <f>278.484-40-25-60-100</f>
        <v>53.48399999999998</v>
      </c>
      <c r="G1048" s="80">
        <v>40</v>
      </c>
      <c r="H1048" s="77">
        <f t="shared" si="177"/>
        <v>185</v>
      </c>
      <c r="I1048" s="77">
        <f t="shared" si="170"/>
        <v>0</v>
      </c>
      <c r="J1048" s="80">
        <v>100</v>
      </c>
      <c r="K1048" s="80">
        <v>300</v>
      </c>
      <c r="L1048" s="77">
        <f t="shared" si="173"/>
        <v>1274</v>
      </c>
      <c r="M1048" s="88">
        <v>600</v>
      </c>
      <c r="N1048" s="77">
        <f>75</f>
        <v>75</v>
      </c>
      <c r="O1048" s="80">
        <v>240</v>
      </c>
      <c r="P1048" s="80">
        <v>40</v>
      </c>
      <c r="Q1048" s="80">
        <f t="shared" si="174"/>
        <v>315</v>
      </c>
      <c r="R1048" s="80">
        <f t="shared" si="175"/>
        <v>100</v>
      </c>
      <c r="S1048" s="77">
        <f t="shared" si="176"/>
        <v>695</v>
      </c>
      <c r="T1048" s="77">
        <f>50</f>
        <v>50</v>
      </c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</row>
    <row r="1049" spans="1:30" ht="15.75" x14ac:dyDescent="0.25">
      <c r="A1049" s="32">
        <v>72866</v>
      </c>
      <c r="B1049" s="89">
        <f t="shared" si="178"/>
        <v>30</v>
      </c>
      <c r="C1049" s="77">
        <f>194.205</f>
        <v>194.20500000000001</v>
      </c>
      <c r="D1049" s="77">
        <f>267.466</f>
        <v>267.46600000000001</v>
      </c>
      <c r="E1049" s="86">
        <f>133.845</f>
        <v>133.845</v>
      </c>
      <c r="F1049" s="77">
        <f>278.484-40-25-60-100</f>
        <v>53.48399999999998</v>
      </c>
      <c r="G1049" s="80">
        <v>40</v>
      </c>
      <c r="H1049" s="77">
        <f t="shared" si="177"/>
        <v>185</v>
      </c>
      <c r="I1049" s="77">
        <f t="shared" si="170"/>
        <v>0</v>
      </c>
      <c r="J1049" s="80">
        <v>100</v>
      </c>
      <c r="K1049" s="80">
        <v>300</v>
      </c>
      <c r="L1049" s="77">
        <f t="shared" si="173"/>
        <v>1274</v>
      </c>
      <c r="M1049" s="88">
        <v>600</v>
      </c>
      <c r="N1049" s="77">
        <f>30</f>
        <v>30</v>
      </c>
      <c r="O1049" s="80">
        <v>240</v>
      </c>
      <c r="P1049" s="80">
        <v>40</v>
      </c>
      <c r="Q1049" s="80">
        <f t="shared" si="174"/>
        <v>315</v>
      </c>
      <c r="R1049" s="80">
        <f t="shared" si="175"/>
        <v>100</v>
      </c>
      <c r="S1049" s="77">
        <f t="shared" si="176"/>
        <v>695</v>
      </c>
      <c r="T1049" s="77">
        <f>50</f>
        <v>50</v>
      </c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</row>
    <row r="1050" spans="1:30" ht="15.75" x14ac:dyDescent="0.25">
      <c r="A1050" s="32">
        <v>72897</v>
      </c>
      <c r="B1050" s="89">
        <f t="shared" si="178"/>
        <v>31</v>
      </c>
      <c r="C1050" s="77">
        <f>194.205</f>
        <v>194.20500000000001</v>
      </c>
      <c r="D1050" s="77">
        <f>267.466</f>
        <v>267.46600000000001</v>
      </c>
      <c r="E1050" s="86">
        <f>133.845</f>
        <v>133.845</v>
      </c>
      <c r="F1050" s="77">
        <f>278.484-40-25-60-100</f>
        <v>53.48399999999998</v>
      </c>
      <c r="G1050" s="80">
        <v>40</v>
      </c>
      <c r="H1050" s="77">
        <f t="shared" si="177"/>
        <v>185</v>
      </c>
      <c r="I1050" s="77">
        <f t="shared" si="170"/>
        <v>0</v>
      </c>
      <c r="J1050" s="80">
        <v>100</v>
      </c>
      <c r="K1050" s="80">
        <v>300</v>
      </c>
      <c r="L1050" s="77">
        <f t="shared" si="173"/>
        <v>1274</v>
      </c>
      <c r="M1050" s="88">
        <v>600</v>
      </c>
      <c r="N1050" s="77">
        <f>30</f>
        <v>30</v>
      </c>
      <c r="O1050" s="80">
        <v>240</v>
      </c>
      <c r="P1050" s="80">
        <v>40</v>
      </c>
      <c r="Q1050" s="80">
        <f t="shared" si="174"/>
        <v>315</v>
      </c>
      <c r="R1050" s="80">
        <f t="shared" si="175"/>
        <v>100</v>
      </c>
      <c r="S1050" s="77">
        <f t="shared" si="176"/>
        <v>695</v>
      </c>
      <c r="T1050" s="77">
        <f>0</f>
        <v>0</v>
      </c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</row>
    <row r="1051" spans="1:30" ht="15.75" x14ac:dyDescent="0.25">
      <c r="A1051" s="32">
        <v>72928</v>
      </c>
      <c r="B1051" s="89">
        <f t="shared" si="178"/>
        <v>31</v>
      </c>
      <c r="C1051" s="77">
        <f>194.205</f>
        <v>194.20500000000001</v>
      </c>
      <c r="D1051" s="77">
        <f>267.466</f>
        <v>267.46600000000001</v>
      </c>
      <c r="E1051" s="86">
        <f>133.845</f>
        <v>133.845</v>
      </c>
      <c r="F1051" s="77">
        <f>278.484-40-25-60-100</f>
        <v>53.48399999999998</v>
      </c>
      <c r="G1051" s="80">
        <v>40</v>
      </c>
      <c r="H1051" s="77">
        <f t="shared" si="177"/>
        <v>185</v>
      </c>
      <c r="I1051" s="77">
        <f t="shared" si="170"/>
        <v>0</v>
      </c>
      <c r="J1051" s="80">
        <v>100</v>
      </c>
      <c r="K1051" s="80">
        <v>300</v>
      </c>
      <c r="L1051" s="77">
        <f t="shared" si="173"/>
        <v>1274</v>
      </c>
      <c r="M1051" s="88">
        <v>600</v>
      </c>
      <c r="N1051" s="77">
        <f>30</f>
        <v>30</v>
      </c>
      <c r="O1051" s="80">
        <v>240</v>
      </c>
      <c r="P1051" s="80">
        <v>40</v>
      </c>
      <c r="Q1051" s="80">
        <f t="shared" si="174"/>
        <v>315</v>
      </c>
      <c r="R1051" s="80">
        <f t="shared" si="175"/>
        <v>100</v>
      </c>
      <c r="S1051" s="77">
        <f t="shared" si="176"/>
        <v>695</v>
      </c>
      <c r="T1051" s="77">
        <f>0</f>
        <v>0</v>
      </c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</row>
    <row r="1052" spans="1:30" ht="15.75" x14ac:dyDescent="0.25">
      <c r="A1052" s="32">
        <v>72958</v>
      </c>
      <c r="B1052" s="89">
        <f t="shared" si="178"/>
        <v>30</v>
      </c>
      <c r="C1052" s="77">
        <f>194.205</f>
        <v>194.20500000000001</v>
      </c>
      <c r="D1052" s="77">
        <f>267.466</f>
        <v>267.46600000000001</v>
      </c>
      <c r="E1052" s="86">
        <f>133.845</f>
        <v>133.845</v>
      </c>
      <c r="F1052" s="77">
        <f>278.484-40-25-60-100</f>
        <v>53.48399999999998</v>
      </c>
      <c r="G1052" s="80">
        <v>40</v>
      </c>
      <c r="H1052" s="77">
        <f t="shared" si="177"/>
        <v>185</v>
      </c>
      <c r="I1052" s="77">
        <f t="shared" si="170"/>
        <v>0</v>
      </c>
      <c r="J1052" s="80">
        <v>100</v>
      </c>
      <c r="K1052" s="80">
        <v>300</v>
      </c>
      <c r="L1052" s="77">
        <f t="shared" si="173"/>
        <v>1274</v>
      </c>
      <c r="M1052" s="88">
        <v>600</v>
      </c>
      <c r="N1052" s="77">
        <f>30</f>
        <v>30</v>
      </c>
      <c r="O1052" s="80">
        <v>240</v>
      </c>
      <c r="P1052" s="80">
        <v>40</v>
      </c>
      <c r="Q1052" s="80">
        <f t="shared" si="174"/>
        <v>315</v>
      </c>
      <c r="R1052" s="80">
        <f t="shared" si="175"/>
        <v>100</v>
      </c>
      <c r="S1052" s="77">
        <f t="shared" si="176"/>
        <v>695</v>
      </c>
      <c r="T1052" s="77">
        <f>0</f>
        <v>0</v>
      </c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</row>
    <row r="1053" spans="1:30" ht="15.75" x14ac:dyDescent="0.25">
      <c r="A1053" s="32">
        <v>72989</v>
      </c>
      <c r="B1053" s="89">
        <f t="shared" si="178"/>
        <v>31</v>
      </c>
      <c r="C1053" s="77">
        <f>131.881</f>
        <v>131.881</v>
      </c>
      <c r="D1053" s="77">
        <f>277.167</f>
        <v>277.16699999999997</v>
      </c>
      <c r="E1053" s="86">
        <f>79.08</f>
        <v>79.08</v>
      </c>
      <c r="F1053" s="77">
        <f>350.872-40-25-60-100</f>
        <v>125.87200000000001</v>
      </c>
      <c r="G1053" s="80">
        <v>40</v>
      </c>
      <c r="H1053" s="77">
        <f t="shared" si="177"/>
        <v>185</v>
      </c>
      <c r="I1053" s="77">
        <f t="shared" si="170"/>
        <v>0</v>
      </c>
      <c r="J1053" s="80">
        <v>100</v>
      </c>
      <c r="K1053" s="80">
        <v>300</v>
      </c>
      <c r="L1053" s="77">
        <f t="shared" si="173"/>
        <v>1239</v>
      </c>
      <c r="M1053" s="88">
        <v>600</v>
      </c>
      <c r="N1053" s="77">
        <f>75</f>
        <v>75</v>
      </c>
      <c r="O1053" s="80">
        <v>240</v>
      </c>
      <c r="P1053" s="80">
        <v>40</v>
      </c>
      <c r="Q1053" s="80">
        <f t="shared" si="174"/>
        <v>315</v>
      </c>
      <c r="R1053" s="80">
        <f t="shared" si="175"/>
        <v>100</v>
      </c>
      <c r="S1053" s="77">
        <f t="shared" si="176"/>
        <v>695</v>
      </c>
      <c r="T1053" s="77">
        <f>0</f>
        <v>0</v>
      </c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</row>
    <row r="1054" spans="1:30" ht="15.75" x14ac:dyDescent="0.25">
      <c r="A1054" s="32">
        <v>73019</v>
      </c>
      <c r="B1054" s="89">
        <f t="shared" si="178"/>
        <v>30</v>
      </c>
      <c r="C1054" s="77">
        <f>122.58</f>
        <v>122.58</v>
      </c>
      <c r="D1054" s="77">
        <f>297.941</f>
        <v>297.94099999999997</v>
      </c>
      <c r="E1054" s="86">
        <f>89.177</f>
        <v>89.177000000000007</v>
      </c>
      <c r="F1054" s="77">
        <f>240.302-40-60-100</f>
        <v>40.301999999999992</v>
      </c>
      <c r="G1054" s="80">
        <v>40</v>
      </c>
      <c r="H1054" s="77">
        <f>60+100</f>
        <v>160</v>
      </c>
      <c r="I1054" s="77">
        <f t="shared" si="170"/>
        <v>0</v>
      </c>
      <c r="J1054" s="80">
        <v>100</v>
      </c>
      <c r="K1054" s="80">
        <v>300</v>
      </c>
      <c r="L1054" s="77">
        <f t="shared" si="173"/>
        <v>1150</v>
      </c>
      <c r="M1054" s="88">
        <v>600</v>
      </c>
      <c r="N1054" s="77">
        <f>100</f>
        <v>100</v>
      </c>
      <c r="O1054" s="80">
        <v>240</v>
      </c>
      <c r="P1054" s="80">
        <v>40</v>
      </c>
      <c r="Q1054" s="80">
        <f t="shared" si="174"/>
        <v>315</v>
      </c>
      <c r="R1054" s="80">
        <f t="shared" si="175"/>
        <v>100</v>
      </c>
      <c r="S1054" s="77">
        <f t="shared" si="176"/>
        <v>695</v>
      </c>
      <c r="T1054" s="77">
        <f>50</f>
        <v>50</v>
      </c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</row>
    <row r="1055" spans="1:30" ht="15.75" x14ac:dyDescent="0.25">
      <c r="A1055" s="32">
        <v>73050</v>
      </c>
      <c r="B1055" s="89">
        <f t="shared" si="178"/>
        <v>31</v>
      </c>
      <c r="C1055" s="77">
        <f>122.58</f>
        <v>122.58</v>
      </c>
      <c r="D1055" s="77">
        <f>297.941</f>
        <v>297.94099999999997</v>
      </c>
      <c r="E1055" s="86">
        <f>89.177</f>
        <v>89.177000000000007</v>
      </c>
      <c r="F1055" s="77">
        <f>240.302-40-60-100</f>
        <v>40.301999999999992</v>
      </c>
      <c r="G1055" s="80">
        <v>40</v>
      </c>
      <c r="H1055" s="77">
        <f>60+100</f>
        <v>160</v>
      </c>
      <c r="I1055" s="77">
        <f t="shared" si="170"/>
        <v>0</v>
      </c>
      <c r="J1055" s="80">
        <v>100</v>
      </c>
      <c r="K1055" s="80">
        <v>300</v>
      </c>
      <c r="L1055" s="77">
        <f t="shared" si="173"/>
        <v>1150</v>
      </c>
      <c r="M1055" s="88">
        <v>600</v>
      </c>
      <c r="N1055" s="77">
        <f>100</f>
        <v>100</v>
      </c>
      <c r="O1055" s="80">
        <v>240</v>
      </c>
      <c r="P1055" s="80">
        <v>40</v>
      </c>
      <c r="Q1055" s="80">
        <f t="shared" si="174"/>
        <v>315</v>
      </c>
      <c r="R1055" s="80">
        <f t="shared" si="175"/>
        <v>100</v>
      </c>
      <c r="S1055" s="77">
        <f t="shared" si="176"/>
        <v>695</v>
      </c>
      <c r="T1055" s="77">
        <f>50</f>
        <v>50</v>
      </c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</row>
    <row r="1056" spans="1:30" ht="15.75" x14ac:dyDescent="0.25">
      <c r="A1056" s="32">
        <v>73081</v>
      </c>
      <c r="B1056" s="89">
        <f t="shared" si="178"/>
        <v>31</v>
      </c>
      <c r="C1056" s="77">
        <f>122.58</f>
        <v>122.58</v>
      </c>
      <c r="D1056" s="77">
        <f>297.941</f>
        <v>297.94099999999997</v>
      </c>
      <c r="E1056" s="86">
        <f>89.177</f>
        <v>89.177000000000007</v>
      </c>
      <c r="F1056" s="77">
        <f>240.302-40-60-100</f>
        <v>40.301999999999992</v>
      </c>
      <c r="G1056" s="80">
        <v>40</v>
      </c>
      <c r="H1056" s="77">
        <f>60+100</f>
        <v>160</v>
      </c>
      <c r="I1056" s="77">
        <f t="shared" si="170"/>
        <v>0</v>
      </c>
      <c r="J1056" s="80">
        <v>100</v>
      </c>
      <c r="K1056" s="80">
        <v>300</v>
      </c>
      <c r="L1056" s="77">
        <f t="shared" si="173"/>
        <v>1150</v>
      </c>
      <c r="M1056" s="88">
        <v>600</v>
      </c>
      <c r="N1056" s="77">
        <f>100</f>
        <v>100</v>
      </c>
      <c r="O1056" s="80">
        <v>240</v>
      </c>
      <c r="P1056" s="80">
        <v>40</v>
      </c>
      <c r="Q1056" s="80">
        <f t="shared" si="174"/>
        <v>315</v>
      </c>
      <c r="R1056" s="80">
        <f t="shared" si="175"/>
        <v>100</v>
      </c>
      <c r="S1056" s="77">
        <f t="shared" si="176"/>
        <v>695</v>
      </c>
      <c r="T1056" s="77">
        <f>50</f>
        <v>50</v>
      </c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</row>
    <row r="1057" spans="1:30" ht="15.75" x14ac:dyDescent="0.25">
      <c r="A1057" s="32">
        <v>73109</v>
      </c>
      <c r="B1057" s="89">
        <f t="shared" si="178"/>
        <v>28</v>
      </c>
      <c r="C1057" s="77">
        <f>122.58</f>
        <v>122.58</v>
      </c>
      <c r="D1057" s="77">
        <f>297.941</f>
        <v>297.94099999999997</v>
      </c>
      <c r="E1057" s="86">
        <f>89.177</f>
        <v>89.177000000000007</v>
      </c>
      <c r="F1057" s="77">
        <f>240.302-40-60-100</f>
        <v>40.301999999999992</v>
      </c>
      <c r="G1057" s="80">
        <v>40</v>
      </c>
      <c r="H1057" s="77">
        <f>60+100</f>
        <v>160</v>
      </c>
      <c r="I1057" s="77">
        <f t="shared" si="170"/>
        <v>0</v>
      </c>
      <c r="J1057" s="80">
        <v>100</v>
      </c>
      <c r="K1057" s="80">
        <v>300</v>
      </c>
      <c r="L1057" s="77">
        <f t="shared" si="173"/>
        <v>1150</v>
      </c>
      <c r="M1057" s="88">
        <v>600</v>
      </c>
      <c r="N1057" s="77">
        <f>100</f>
        <v>100</v>
      </c>
      <c r="O1057" s="80">
        <v>240</v>
      </c>
      <c r="P1057" s="80">
        <v>40</v>
      </c>
      <c r="Q1057" s="80">
        <f t="shared" si="174"/>
        <v>315</v>
      </c>
      <c r="R1057" s="80">
        <f t="shared" si="175"/>
        <v>100</v>
      </c>
      <c r="S1057" s="77">
        <f t="shared" si="176"/>
        <v>695</v>
      </c>
      <c r="T1057" s="77">
        <f>50</f>
        <v>50</v>
      </c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</row>
    <row r="1058" spans="1:30" ht="15.75" x14ac:dyDescent="0.25">
      <c r="A1058" s="32">
        <v>73140</v>
      </c>
      <c r="B1058" s="89">
        <f t="shared" si="178"/>
        <v>31</v>
      </c>
      <c r="C1058" s="77">
        <f>122.58</f>
        <v>122.58</v>
      </c>
      <c r="D1058" s="77">
        <f>297.941</f>
        <v>297.94099999999997</v>
      </c>
      <c r="E1058" s="86">
        <f>89.177</f>
        <v>89.177000000000007</v>
      </c>
      <c r="F1058" s="77">
        <f>240.302-40-60-100</f>
        <v>40.301999999999992</v>
      </c>
      <c r="G1058" s="80">
        <v>40</v>
      </c>
      <c r="H1058" s="77">
        <f>60+100</f>
        <v>160</v>
      </c>
      <c r="I1058" s="77">
        <f t="shared" si="170"/>
        <v>0</v>
      </c>
      <c r="J1058" s="80">
        <v>100</v>
      </c>
      <c r="K1058" s="80">
        <v>300</v>
      </c>
      <c r="L1058" s="77">
        <f t="shared" si="173"/>
        <v>1150</v>
      </c>
      <c r="M1058" s="88">
        <v>600</v>
      </c>
      <c r="N1058" s="77">
        <f>100</f>
        <v>100</v>
      </c>
      <c r="O1058" s="80">
        <v>240</v>
      </c>
      <c r="P1058" s="80">
        <v>40</v>
      </c>
      <c r="Q1058" s="80">
        <f t="shared" si="174"/>
        <v>315</v>
      </c>
      <c r="R1058" s="80">
        <f t="shared" si="175"/>
        <v>100</v>
      </c>
      <c r="S1058" s="77">
        <f t="shared" si="176"/>
        <v>695</v>
      </c>
      <c r="T1058" s="77">
        <f>50</f>
        <v>50</v>
      </c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</row>
    <row r="1059" spans="1:30" ht="15.75" x14ac:dyDescent="0.25">
      <c r="A1059" s="32">
        <v>73170</v>
      </c>
      <c r="B1059" s="89">
        <f t="shared" si="178"/>
        <v>30</v>
      </c>
      <c r="C1059" s="77">
        <f>141.293</f>
        <v>141.29300000000001</v>
      </c>
      <c r="D1059" s="77">
        <f>267.993</f>
        <v>267.99299999999999</v>
      </c>
      <c r="E1059" s="86">
        <f>115.016</f>
        <v>115.01600000000001</v>
      </c>
      <c r="F1059" s="77">
        <f>314.698-40-25-60-100</f>
        <v>89.697999999999979</v>
      </c>
      <c r="G1059" s="80">
        <v>40</v>
      </c>
      <c r="H1059" s="77">
        <f t="shared" ref="H1059:H1065" si="179">25+60+100</f>
        <v>185</v>
      </c>
      <c r="I1059" s="77">
        <f t="shared" si="170"/>
        <v>0</v>
      </c>
      <c r="J1059" s="80">
        <v>100</v>
      </c>
      <c r="K1059" s="80">
        <v>300</v>
      </c>
      <c r="L1059" s="77">
        <f t="shared" si="173"/>
        <v>1239</v>
      </c>
      <c r="M1059" s="88">
        <v>600</v>
      </c>
      <c r="N1059" s="77">
        <f>100</f>
        <v>100</v>
      </c>
      <c r="O1059" s="80">
        <v>240</v>
      </c>
      <c r="P1059" s="80">
        <v>40</v>
      </c>
      <c r="Q1059" s="80">
        <f t="shared" si="174"/>
        <v>315</v>
      </c>
      <c r="R1059" s="80">
        <f t="shared" si="175"/>
        <v>100</v>
      </c>
      <c r="S1059" s="77">
        <f t="shared" si="176"/>
        <v>695</v>
      </c>
      <c r="T1059" s="77">
        <f>50</f>
        <v>50</v>
      </c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</row>
    <row r="1060" spans="1:30" ht="15.75" x14ac:dyDescent="0.25">
      <c r="A1060" s="32">
        <v>73201</v>
      </c>
      <c r="B1060" s="89">
        <f t="shared" si="178"/>
        <v>31</v>
      </c>
      <c r="C1060" s="77">
        <f>194.205</f>
        <v>194.20500000000001</v>
      </c>
      <c r="D1060" s="77">
        <f>267.466</f>
        <v>267.46600000000001</v>
      </c>
      <c r="E1060" s="86">
        <f>133.845</f>
        <v>133.845</v>
      </c>
      <c r="F1060" s="77">
        <f>278.484-40-25-60-100</f>
        <v>53.48399999999998</v>
      </c>
      <c r="G1060" s="80">
        <v>40</v>
      </c>
      <c r="H1060" s="77">
        <f t="shared" si="179"/>
        <v>185</v>
      </c>
      <c r="I1060" s="77">
        <f t="shared" si="170"/>
        <v>0</v>
      </c>
      <c r="J1060" s="80">
        <v>100</v>
      </c>
      <c r="K1060" s="80">
        <v>300</v>
      </c>
      <c r="L1060" s="77">
        <f t="shared" si="173"/>
        <v>1274</v>
      </c>
      <c r="M1060" s="88">
        <v>600</v>
      </c>
      <c r="N1060" s="77">
        <f>75</f>
        <v>75</v>
      </c>
      <c r="O1060" s="80">
        <v>240</v>
      </c>
      <c r="P1060" s="80">
        <v>40</v>
      </c>
      <c r="Q1060" s="80">
        <f t="shared" si="174"/>
        <v>315</v>
      </c>
      <c r="R1060" s="80">
        <f t="shared" si="175"/>
        <v>100</v>
      </c>
      <c r="S1060" s="77">
        <f t="shared" si="176"/>
        <v>695</v>
      </c>
      <c r="T1060" s="77">
        <f>50</f>
        <v>50</v>
      </c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</row>
    <row r="1061" spans="1:30" ht="15.75" x14ac:dyDescent="0.25">
      <c r="A1061" s="32">
        <v>73231</v>
      </c>
      <c r="B1061" s="89">
        <f t="shared" si="178"/>
        <v>30</v>
      </c>
      <c r="C1061" s="77">
        <f>194.205</f>
        <v>194.20500000000001</v>
      </c>
      <c r="D1061" s="77">
        <f>267.466</f>
        <v>267.46600000000001</v>
      </c>
      <c r="E1061" s="86">
        <f>133.845</f>
        <v>133.845</v>
      </c>
      <c r="F1061" s="77">
        <f>278.484-40-25-60-100</f>
        <v>53.48399999999998</v>
      </c>
      <c r="G1061" s="80">
        <v>40</v>
      </c>
      <c r="H1061" s="77">
        <f t="shared" si="179"/>
        <v>185</v>
      </c>
      <c r="I1061" s="77">
        <f t="shared" si="170"/>
        <v>0</v>
      </c>
      <c r="J1061" s="80">
        <v>100</v>
      </c>
      <c r="K1061" s="80">
        <v>300</v>
      </c>
      <c r="L1061" s="77">
        <f t="shared" si="173"/>
        <v>1274</v>
      </c>
      <c r="M1061" s="88">
        <v>600</v>
      </c>
      <c r="N1061" s="77">
        <f>30</f>
        <v>30</v>
      </c>
      <c r="O1061" s="80">
        <v>240</v>
      </c>
      <c r="P1061" s="80">
        <v>40</v>
      </c>
      <c r="Q1061" s="80">
        <f t="shared" si="174"/>
        <v>315</v>
      </c>
      <c r="R1061" s="80">
        <f t="shared" si="175"/>
        <v>100</v>
      </c>
      <c r="S1061" s="77">
        <f t="shared" si="176"/>
        <v>695</v>
      </c>
      <c r="T1061" s="77">
        <f>50</f>
        <v>50</v>
      </c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</row>
    <row r="1062" spans="1:30" ht="15.75" x14ac:dyDescent="0.25">
      <c r="A1062" s="32">
        <v>73262</v>
      </c>
      <c r="B1062" s="89">
        <f t="shared" si="178"/>
        <v>31</v>
      </c>
      <c r="C1062" s="77">
        <f>194.205</f>
        <v>194.20500000000001</v>
      </c>
      <c r="D1062" s="77">
        <f>267.466</f>
        <v>267.46600000000001</v>
      </c>
      <c r="E1062" s="86">
        <f>133.845</f>
        <v>133.845</v>
      </c>
      <c r="F1062" s="77">
        <f>278.484-40-25-60-100</f>
        <v>53.48399999999998</v>
      </c>
      <c r="G1062" s="80">
        <v>40</v>
      </c>
      <c r="H1062" s="77">
        <f t="shared" si="179"/>
        <v>185</v>
      </c>
      <c r="I1062" s="77">
        <f t="shared" si="170"/>
        <v>0</v>
      </c>
      <c r="J1062" s="80">
        <v>100</v>
      </c>
      <c r="K1062" s="80">
        <v>300</v>
      </c>
      <c r="L1062" s="77">
        <f t="shared" si="173"/>
        <v>1274</v>
      </c>
      <c r="M1062" s="88">
        <v>600</v>
      </c>
      <c r="N1062" s="77">
        <f>30</f>
        <v>30</v>
      </c>
      <c r="O1062" s="80">
        <v>240</v>
      </c>
      <c r="P1062" s="80">
        <v>40</v>
      </c>
      <c r="Q1062" s="80">
        <f t="shared" si="174"/>
        <v>315</v>
      </c>
      <c r="R1062" s="80">
        <f t="shared" si="175"/>
        <v>100</v>
      </c>
      <c r="S1062" s="77">
        <f t="shared" si="176"/>
        <v>695</v>
      </c>
      <c r="T1062" s="77">
        <f>0</f>
        <v>0</v>
      </c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</row>
    <row r="1063" spans="1:30" ht="15.75" x14ac:dyDescent="0.25">
      <c r="A1063" s="32">
        <v>73293</v>
      </c>
      <c r="B1063" s="89">
        <f t="shared" si="178"/>
        <v>31</v>
      </c>
      <c r="C1063" s="77">
        <f>194.205</f>
        <v>194.20500000000001</v>
      </c>
      <c r="D1063" s="77">
        <f>267.466</f>
        <v>267.46600000000001</v>
      </c>
      <c r="E1063" s="86">
        <f>133.845</f>
        <v>133.845</v>
      </c>
      <c r="F1063" s="77">
        <f>278.484-40-25-60-100</f>
        <v>53.48399999999998</v>
      </c>
      <c r="G1063" s="80">
        <v>40</v>
      </c>
      <c r="H1063" s="77">
        <f t="shared" si="179"/>
        <v>185</v>
      </c>
      <c r="I1063" s="77">
        <f t="shared" si="170"/>
        <v>0</v>
      </c>
      <c r="J1063" s="80">
        <v>100</v>
      </c>
      <c r="K1063" s="80">
        <v>300</v>
      </c>
      <c r="L1063" s="77">
        <f t="shared" si="173"/>
        <v>1274</v>
      </c>
      <c r="M1063" s="88">
        <v>600</v>
      </c>
      <c r="N1063" s="77">
        <f>30</f>
        <v>30</v>
      </c>
      <c r="O1063" s="80">
        <v>240</v>
      </c>
      <c r="P1063" s="80">
        <v>40</v>
      </c>
      <c r="Q1063" s="80">
        <f t="shared" si="174"/>
        <v>315</v>
      </c>
      <c r="R1063" s="80">
        <f t="shared" si="175"/>
        <v>100</v>
      </c>
      <c r="S1063" s="77">
        <f t="shared" si="176"/>
        <v>695</v>
      </c>
      <c r="T1063" s="77">
        <f>0</f>
        <v>0</v>
      </c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</row>
    <row r="1064" spans="1:30" ht="15.75" x14ac:dyDescent="0.25">
      <c r="A1064" s="32">
        <v>73323</v>
      </c>
      <c r="B1064" s="89">
        <f t="shared" si="178"/>
        <v>30</v>
      </c>
      <c r="C1064" s="77">
        <f>194.205</f>
        <v>194.20500000000001</v>
      </c>
      <c r="D1064" s="77">
        <f>267.466</f>
        <v>267.46600000000001</v>
      </c>
      <c r="E1064" s="86">
        <f>133.845</f>
        <v>133.845</v>
      </c>
      <c r="F1064" s="77">
        <f>278.484-40-25-60-100</f>
        <v>53.48399999999998</v>
      </c>
      <c r="G1064" s="80">
        <v>40</v>
      </c>
      <c r="H1064" s="77">
        <f t="shared" si="179"/>
        <v>185</v>
      </c>
      <c r="I1064" s="77">
        <f t="shared" si="170"/>
        <v>0</v>
      </c>
      <c r="J1064" s="80">
        <v>100</v>
      </c>
      <c r="K1064" s="80">
        <v>300</v>
      </c>
      <c r="L1064" s="77">
        <f t="shared" si="173"/>
        <v>1274</v>
      </c>
      <c r="M1064" s="88">
        <v>600</v>
      </c>
      <c r="N1064" s="77">
        <f>30</f>
        <v>30</v>
      </c>
      <c r="O1064" s="80">
        <v>240</v>
      </c>
      <c r="P1064" s="80">
        <v>40</v>
      </c>
      <c r="Q1064" s="80">
        <f t="shared" si="174"/>
        <v>315</v>
      </c>
      <c r="R1064" s="80">
        <f t="shared" si="175"/>
        <v>100</v>
      </c>
      <c r="S1064" s="77">
        <f t="shared" si="176"/>
        <v>695</v>
      </c>
      <c r="T1064" s="77">
        <f>0</f>
        <v>0</v>
      </c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</row>
    <row r="1065" spans="1:30" ht="15.75" x14ac:dyDescent="0.25">
      <c r="A1065" s="32">
        <v>73354</v>
      </c>
      <c r="B1065" s="89">
        <f t="shared" si="178"/>
        <v>31</v>
      </c>
      <c r="C1065" s="77">
        <f>131.881</f>
        <v>131.881</v>
      </c>
      <c r="D1065" s="77">
        <f>277.167</f>
        <v>277.16699999999997</v>
      </c>
      <c r="E1065" s="86">
        <f>79.08</f>
        <v>79.08</v>
      </c>
      <c r="F1065" s="77">
        <f>350.872-40-25-60-100</f>
        <v>125.87200000000001</v>
      </c>
      <c r="G1065" s="80">
        <v>40</v>
      </c>
      <c r="H1065" s="77">
        <f t="shared" si="179"/>
        <v>185</v>
      </c>
      <c r="I1065" s="77">
        <f t="shared" si="170"/>
        <v>0</v>
      </c>
      <c r="J1065" s="80">
        <v>100</v>
      </c>
      <c r="K1065" s="80">
        <v>300</v>
      </c>
      <c r="L1065" s="77">
        <f t="shared" si="173"/>
        <v>1239</v>
      </c>
      <c r="M1065" s="88">
        <v>600</v>
      </c>
      <c r="N1065" s="77">
        <f>75</f>
        <v>75</v>
      </c>
      <c r="O1065" s="80">
        <v>240</v>
      </c>
      <c r="P1065" s="80">
        <v>40</v>
      </c>
      <c r="Q1065" s="80">
        <f t="shared" si="174"/>
        <v>315</v>
      </c>
      <c r="R1065" s="80">
        <f t="shared" si="175"/>
        <v>100</v>
      </c>
      <c r="S1065" s="77">
        <f t="shared" si="176"/>
        <v>695</v>
      </c>
      <c r="T1065" s="77">
        <f>0</f>
        <v>0</v>
      </c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</row>
    <row r="1066" spans="1:30" ht="15.75" x14ac:dyDescent="0.25">
      <c r="A1066" s="32">
        <v>73384</v>
      </c>
      <c r="B1066" s="89">
        <f t="shared" si="178"/>
        <v>30</v>
      </c>
      <c r="C1066" s="77">
        <f>122.58</f>
        <v>122.58</v>
      </c>
      <c r="D1066" s="77">
        <f>297.941</f>
        <v>297.94099999999997</v>
      </c>
      <c r="E1066" s="86">
        <f>89.177</f>
        <v>89.177000000000007</v>
      </c>
      <c r="F1066" s="77">
        <f>240.302-40-60-100</f>
        <v>40.301999999999992</v>
      </c>
      <c r="G1066" s="80">
        <v>40</v>
      </c>
      <c r="H1066" s="77">
        <f>60+100</f>
        <v>160</v>
      </c>
      <c r="I1066" s="77">
        <f t="shared" si="170"/>
        <v>0</v>
      </c>
      <c r="J1066" s="80">
        <v>100</v>
      </c>
      <c r="K1066" s="80">
        <v>300</v>
      </c>
      <c r="L1066" s="77">
        <f t="shared" si="173"/>
        <v>1150</v>
      </c>
      <c r="M1066" s="88">
        <v>600</v>
      </c>
      <c r="N1066" s="77">
        <f>100</f>
        <v>100</v>
      </c>
      <c r="O1066" s="80">
        <v>240</v>
      </c>
      <c r="P1066" s="80">
        <v>40</v>
      </c>
      <c r="Q1066" s="80">
        <f t="shared" si="174"/>
        <v>315</v>
      </c>
      <c r="R1066" s="80">
        <f t="shared" si="175"/>
        <v>100</v>
      </c>
      <c r="S1066" s="77">
        <f t="shared" si="176"/>
        <v>695</v>
      </c>
      <c r="T1066" s="77">
        <f>50</f>
        <v>50</v>
      </c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</row>
    <row r="1067" spans="1:30" ht="15.75" x14ac:dyDescent="0.25">
      <c r="A1067" s="32">
        <v>73415</v>
      </c>
      <c r="B1067" s="89">
        <f t="shared" si="178"/>
        <v>31</v>
      </c>
      <c r="C1067" s="77">
        <f>122.58</f>
        <v>122.58</v>
      </c>
      <c r="D1067" s="77">
        <f>297.941</f>
        <v>297.94099999999997</v>
      </c>
      <c r="E1067" s="86">
        <f>89.177</f>
        <v>89.177000000000007</v>
      </c>
      <c r="F1067" s="77">
        <f>240.302-40-60-100</f>
        <v>40.301999999999992</v>
      </c>
      <c r="G1067" s="80">
        <v>40</v>
      </c>
      <c r="H1067" s="77">
        <f>60+100</f>
        <v>160</v>
      </c>
      <c r="I1067" s="77">
        <f t="shared" si="170"/>
        <v>0</v>
      </c>
      <c r="J1067" s="80">
        <v>100</v>
      </c>
      <c r="K1067" s="80">
        <v>300</v>
      </c>
      <c r="L1067" s="77">
        <f t="shared" si="173"/>
        <v>1150</v>
      </c>
      <c r="M1067" s="88">
        <v>600</v>
      </c>
      <c r="N1067" s="77">
        <f>100</f>
        <v>100</v>
      </c>
      <c r="O1067" s="80">
        <v>240</v>
      </c>
      <c r="P1067" s="80">
        <v>40</v>
      </c>
      <c r="Q1067" s="80">
        <f t="shared" si="174"/>
        <v>315</v>
      </c>
      <c r="R1067" s="80">
        <f t="shared" si="175"/>
        <v>100</v>
      </c>
      <c r="S1067" s="77">
        <f t="shared" si="176"/>
        <v>695</v>
      </c>
      <c r="T1067" s="77">
        <f>50</f>
        <v>50</v>
      </c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</row>
    <row r="1068" spans="1:30" ht="15" x14ac:dyDescent="0.2">
      <c r="A1068" s="12"/>
      <c r="B1068" s="87"/>
      <c r="C1068" s="77"/>
      <c r="D1068" s="77"/>
      <c r="E1068" s="86"/>
      <c r="F1068" s="77"/>
      <c r="G1068" s="77"/>
      <c r="H1068" s="77"/>
      <c r="I1068" s="77"/>
      <c r="J1068" s="77"/>
      <c r="K1068" s="77"/>
      <c r="L1068" s="77"/>
      <c r="M1068" s="77"/>
      <c r="N1068" s="77"/>
      <c r="O1068" s="80"/>
      <c r="P1068" s="80"/>
      <c r="Q1068" s="80"/>
      <c r="R1068" s="80"/>
      <c r="S1068" s="77"/>
      <c r="T1068" s="77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</row>
    <row r="1069" spans="1:30" ht="15" x14ac:dyDescent="0.2">
      <c r="A1069" s="10">
        <v>2013</v>
      </c>
      <c r="B1069" s="10">
        <f t="shared" ref="B1069:B1100" si="180">DATE(A1069+1,1,1)-DATE(A1069,1,1)</f>
        <v>365</v>
      </c>
      <c r="C1069" s="81">
        <f t="shared" ref="C1069:L1069" si="181">AVERAGE(C12:C23)</f>
        <v>154.75825</v>
      </c>
      <c r="D1069" s="81">
        <f t="shared" si="181"/>
        <v>281.0162499999999</v>
      </c>
      <c r="E1069" s="81">
        <f t="shared" si="181"/>
        <v>109.1005</v>
      </c>
      <c r="F1069" s="81">
        <f t="shared" si="181"/>
        <v>217.04166666666666</v>
      </c>
      <c r="G1069" s="81">
        <f t="shared" si="181"/>
        <v>40</v>
      </c>
      <c r="H1069" s="81">
        <f t="shared" si="181"/>
        <v>14.583333333333334</v>
      </c>
      <c r="I1069" s="81">
        <f t="shared" si="181"/>
        <v>12.5</v>
      </c>
      <c r="J1069" s="81">
        <f t="shared" si="181"/>
        <v>100</v>
      </c>
      <c r="K1069" s="81">
        <f t="shared" si="181"/>
        <v>300</v>
      </c>
      <c r="L1069" s="81">
        <f t="shared" si="181"/>
        <v>1229</v>
      </c>
      <c r="M1069" s="85"/>
      <c r="N1069" s="81">
        <f t="shared" ref="N1069:T1069" si="182">AVERAGE(N12:N23)</f>
        <v>97.5</v>
      </c>
      <c r="O1069" s="82">
        <f t="shared" si="182"/>
        <v>240</v>
      </c>
      <c r="P1069" s="82">
        <f t="shared" si="182"/>
        <v>70</v>
      </c>
      <c r="Q1069" s="82">
        <f t="shared" si="182"/>
        <v>285</v>
      </c>
      <c r="R1069" s="82">
        <f t="shared" si="182"/>
        <v>100</v>
      </c>
      <c r="S1069" s="81">
        <f t="shared" si="182"/>
        <v>695</v>
      </c>
      <c r="T1069" s="81">
        <f t="shared" si="182"/>
        <v>33.333333333333336</v>
      </c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</row>
    <row r="1070" spans="1:30" ht="15.75" x14ac:dyDescent="0.25">
      <c r="A1070" s="10">
        <v>2014</v>
      </c>
      <c r="B1070" s="10">
        <f t="shared" si="180"/>
        <v>365</v>
      </c>
      <c r="C1070" s="81">
        <f t="shared" ref="C1070:L1070" si="183">AVERAGE(C24:C35)</f>
        <v>154.75825</v>
      </c>
      <c r="D1070" s="81">
        <f t="shared" si="183"/>
        <v>281.0162499999999</v>
      </c>
      <c r="E1070" s="81">
        <f t="shared" si="183"/>
        <v>109.1005</v>
      </c>
      <c r="F1070" s="81">
        <f t="shared" si="183"/>
        <v>217.04166666666666</v>
      </c>
      <c r="G1070" s="81">
        <f t="shared" si="183"/>
        <v>40</v>
      </c>
      <c r="H1070" s="81">
        <f t="shared" si="183"/>
        <v>14.583333333333334</v>
      </c>
      <c r="I1070" s="81">
        <f t="shared" si="183"/>
        <v>20.833333333333332</v>
      </c>
      <c r="J1070" s="81">
        <f t="shared" si="183"/>
        <v>100</v>
      </c>
      <c r="K1070" s="81">
        <f t="shared" si="183"/>
        <v>300</v>
      </c>
      <c r="L1070" s="81">
        <f t="shared" si="183"/>
        <v>1237.3333333333333</v>
      </c>
      <c r="M1070" s="84"/>
      <c r="N1070" s="81">
        <f t="shared" ref="N1070:T1070" si="184">AVERAGE(N24:N35)</f>
        <v>72.5</v>
      </c>
      <c r="O1070" s="82">
        <f t="shared" si="184"/>
        <v>240</v>
      </c>
      <c r="P1070" s="82">
        <f t="shared" si="184"/>
        <v>70</v>
      </c>
      <c r="Q1070" s="82">
        <f t="shared" si="184"/>
        <v>285</v>
      </c>
      <c r="R1070" s="82">
        <f t="shared" si="184"/>
        <v>100</v>
      </c>
      <c r="S1070" s="81">
        <f t="shared" si="184"/>
        <v>695</v>
      </c>
      <c r="T1070" s="81">
        <f t="shared" si="184"/>
        <v>33.333333333333336</v>
      </c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</row>
    <row r="1071" spans="1:30" ht="15.75" x14ac:dyDescent="0.25">
      <c r="A1071" s="10">
        <v>2015</v>
      </c>
      <c r="B1071" s="10">
        <f t="shared" si="180"/>
        <v>365</v>
      </c>
      <c r="C1071" s="81">
        <f t="shared" ref="C1071:L1071" si="185">AVERAGE(C36:C47)</f>
        <v>154.75825</v>
      </c>
      <c r="D1071" s="81">
        <f t="shared" si="185"/>
        <v>281.0162499999999</v>
      </c>
      <c r="E1071" s="81">
        <f t="shared" si="185"/>
        <v>109.1005</v>
      </c>
      <c r="F1071" s="81">
        <f t="shared" si="185"/>
        <v>97.041666666666629</v>
      </c>
      <c r="G1071" s="81">
        <f t="shared" si="185"/>
        <v>40</v>
      </c>
      <c r="H1071" s="81">
        <f t="shared" si="185"/>
        <v>134.58333333333334</v>
      </c>
      <c r="I1071" s="81">
        <f t="shared" si="185"/>
        <v>20.833333333333332</v>
      </c>
      <c r="J1071" s="81">
        <f t="shared" si="185"/>
        <v>100</v>
      </c>
      <c r="K1071" s="81">
        <f t="shared" si="185"/>
        <v>300</v>
      </c>
      <c r="L1071" s="81">
        <f t="shared" si="185"/>
        <v>1237.3333333333333</v>
      </c>
      <c r="M1071" s="84"/>
      <c r="N1071" s="81">
        <f t="shared" ref="N1071:T1071" si="186">AVERAGE(N36:N47)</f>
        <v>72.5</v>
      </c>
      <c r="O1071" s="82">
        <f t="shared" si="186"/>
        <v>240</v>
      </c>
      <c r="P1071" s="82">
        <f t="shared" si="186"/>
        <v>100</v>
      </c>
      <c r="Q1071" s="82">
        <f t="shared" si="186"/>
        <v>255</v>
      </c>
      <c r="R1071" s="82">
        <f t="shared" si="186"/>
        <v>100</v>
      </c>
      <c r="S1071" s="81">
        <f t="shared" si="186"/>
        <v>695</v>
      </c>
      <c r="T1071" s="81">
        <f t="shared" si="186"/>
        <v>33.333333333333336</v>
      </c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</row>
    <row r="1072" spans="1:30" ht="15.75" x14ac:dyDescent="0.25">
      <c r="A1072" s="10">
        <v>2016</v>
      </c>
      <c r="B1072" s="10">
        <f t="shared" si="180"/>
        <v>366</v>
      </c>
      <c r="C1072" s="81">
        <f t="shared" ref="C1072:L1072" si="187">AVERAGE(C48:C59)</f>
        <v>154.75825</v>
      </c>
      <c r="D1072" s="81">
        <f t="shared" si="187"/>
        <v>281.0162499999999</v>
      </c>
      <c r="E1072" s="81">
        <f t="shared" si="187"/>
        <v>109.1005</v>
      </c>
      <c r="F1072" s="81">
        <f t="shared" si="187"/>
        <v>57.041666666666664</v>
      </c>
      <c r="G1072" s="81">
        <f t="shared" si="187"/>
        <v>40</v>
      </c>
      <c r="H1072" s="81">
        <f t="shared" si="187"/>
        <v>174.58333333333334</v>
      </c>
      <c r="I1072" s="81">
        <f t="shared" si="187"/>
        <v>0</v>
      </c>
      <c r="J1072" s="81">
        <f t="shared" si="187"/>
        <v>100</v>
      </c>
      <c r="K1072" s="81">
        <f t="shared" si="187"/>
        <v>300</v>
      </c>
      <c r="L1072" s="81">
        <f t="shared" si="187"/>
        <v>1216.5</v>
      </c>
      <c r="M1072" s="84"/>
      <c r="N1072" s="81">
        <f t="shared" ref="N1072:T1072" si="188">AVERAGE(N48:N59)</f>
        <v>72.5</v>
      </c>
      <c r="O1072" s="82">
        <f t="shared" si="188"/>
        <v>240</v>
      </c>
      <c r="P1072" s="82">
        <f t="shared" si="188"/>
        <v>110</v>
      </c>
      <c r="Q1072" s="82">
        <f t="shared" si="188"/>
        <v>245</v>
      </c>
      <c r="R1072" s="82">
        <f t="shared" si="188"/>
        <v>100</v>
      </c>
      <c r="S1072" s="81">
        <f t="shared" si="188"/>
        <v>695</v>
      </c>
      <c r="T1072" s="81">
        <f t="shared" si="188"/>
        <v>33.333333333333336</v>
      </c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</row>
    <row r="1073" spans="1:30" ht="15" x14ac:dyDescent="0.2">
      <c r="A1073" s="10">
        <v>2017</v>
      </c>
      <c r="B1073" s="10">
        <f t="shared" si="180"/>
        <v>365</v>
      </c>
      <c r="C1073" s="81">
        <f t="shared" ref="C1073:T1073" si="189">AVERAGE(C60:C71)</f>
        <v>154.75825</v>
      </c>
      <c r="D1073" s="81">
        <f t="shared" si="189"/>
        <v>281.0162499999999</v>
      </c>
      <c r="E1073" s="81">
        <f t="shared" si="189"/>
        <v>109.1005</v>
      </c>
      <c r="F1073" s="81">
        <f t="shared" si="189"/>
        <v>57.041666666666664</v>
      </c>
      <c r="G1073" s="81">
        <f t="shared" si="189"/>
        <v>40</v>
      </c>
      <c r="H1073" s="81">
        <f t="shared" si="189"/>
        <v>174.58333333333334</v>
      </c>
      <c r="I1073" s="81">
        <f t="shared" si="189"/>
        <v>0</v>
      </c>
      <c r="J1073" s="81">
        <f t="shared" si="189"/>
        <v>100</v>
      </c>
      <c r="K1073" s="81">
        <f t="shared" si="189"/>
        <v>300</v>
      </c>
      <c r="L1073" s="81">
        <f t="shared" si="189"/>
        <v>1216.5</v>
      </c>
      <c r="M1073" s="83">
        <f t="shared" si="189"/>
        <v>400</v>
      </c>
      <c r="N1073" s="81">
        <f t="shared" si="189"/>
        <v>72.5</v>
      </c>
      <c r="O1073" s="82">
        <f t="shared" si="189"/>
        <v>240</v>
      </c>
      <c r="P1073" s="82">
        <f t="shared" si="189"/>
        <v>110</v>
      </c>
      <c r="Q1073" s="82">
        <f t="shared" si="189"/>
        <v>245</v>
      </c>
      <c r="R1073" s="82">
        <f t="shared" si="189"/>
        <v>100</v>
      </c>
      <c r="S1073" s="81">
        <f t="shared" si="189"/>
        <v>695</v>
      </c>
      <c r="T1073" s="81">
        <f t="shared" si="189"/>
        <v>33.333333333333336</v>
      </c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</row>
    <row r="1074" spans="1:30" ht="15" x14ac:dyDescent="0.2">
      <c r="A1074" s="10">
        <v>2018</v>
      </c>
      <c r="B1074" s="10">
        <f t="shared" si="180"/>
        <v>365</v>
      </c>
      <c r="C1074" s="81">
        <f t="shared" ref="C1074:T1074" si="190">AVERAGE(C72:C83)</f>
        <v>154.75825</v>
      </c>
      <c r="D1074" s="81">
        <f t="shared" si="190"/>
        <v>281.0162499999999</v>
      </c>
      <c r="E1074" s="81">
        <f t="shared" si="190"/>
        <v>109.1005</v>
      </c>
      <c r="F1074" s="81">
        <f t="shared" si="190"/>
        <v>57.041666666666664</v>
      </c>
      <c r="G1074" s="81">
        <f t="shared" si="190"/>
        <v>40</v>
      </c>
      <c r="H1074" s="81">
        <f t="shared" si="190"/>
        <v>174.58333333333334</v>
      </c>
      <c r="I1074" s="81">
        <f t="shared" si="190"/>
        <v>0</v>
      </c>
      <c r="J1074" s="81">
        <f t="shared" si="190"/>
        <v>100</v>
      </c>
      <c r="K1074" s="81">
        <f t="shared" si="190"/>
        <v>300</v>
      </c>
      <c r="L1074" s="81">
        <f t="shared" si="190"/>
        <v>1216.5</v>
      </c>
      <c r="M1074" s="83">
        <f t="shared" si="190"/>
        <v>400</v>
      </c>
      <c r="N1074" s="81">
        <f t="shared" si="190"/>
        <v>72.5</v>
      </c>
      <c r="O1074" s="82">
        <f t="shared" si="190"/>
        <v>240</v>
      </c>
      <c r="P1074" s="82">
        <f t="shared" si="190"/>
        <v>110</v>
      </c>
      <c r="Q1074" s="82">
        <f t="shared" si="190"/>
        <v>245</v>
      </c>
      <c r="R1074" s="82">
        <f t="shared" si="190"/>
        <v>100</v>
      </c>
      <c r="S1074" s="81">
        <f t="shared" si="190"/>
        <v>695</v>
      </c>
      <c r="T1074" s="81">
        <f t="shared" si="190"/>
        <v>33.333333333333336</v>
      </c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</row>
    <row r="1075" spans="1:30" ht="15" x14ac:dyDescent="0.2">
      <c r="A1075" s="10">
        <v>2019</v>
      </c>
      <c r="B1075" s="10">
        <f t="shared" si="180"/>
        <v>365</v>
      </c>
      <c r="C1075" s="81">
        <f t="shared" ref="C1075:T1075" si="191">AVERAGE(C84:C95)</f>
        <v>154.75825</v>
      </c>
      <c r="D1075" s="81">
        <f t="shared" si="191"/>
        <v>281.0162499999999</v>
      </c>
      <c r="E1075" s="81">
        <f t="shared" si="191"/>
        <v>109.1005</v>
      </c>
      <c r="F1075" s="81">
        <f t="shared" si="191"/>
        <v>57.041666666666664</v>
      </c>
      <c r="G1075" s="81">
        <f t="shared" si="191"/>
        <v>40</v>
      </c>
      <c r="H1075" s="81">
        <f t="shared" si="191"/>
        <v>174.58333333333334</v>
      </c>
      <c r="I1075" s="81">
        <f t="shared" si="191"/>
        <v>0</v>
      </c>
      <c r="J1075" s="81">
        <f t="shared" si="191"/>
        <v>100</v>
      </c>
      <c r="K1075" s="81">
        <f t="shared" si="191"/>
        <v>300</v>
      </c>
      <c r="L1075" s="81">
        <f t="shared" si="191"/>
        <v>1216.5</v>
      </c>
      <c r="M1075" s="83">
        <f t="shared" si="191"/>
        <v>400</v>
      </c>
      <c r="N1075" s="81">
        <f t="shared" si="191"/>
        <v>72.5</v>
      </c>
      <c r="O1075" s="82">
        <f t="shared" si="191"/>
        <v>240</v>
      </c>
      <c r="P1075" s="82">
        <f t="shared" si="191"/>
        <v>110</v>
      </c>
      <c r="Q1075" s="82">
        <f t="shared" si="191"/>
        <v>245</v>
      </c>
      <c r="R1075" s="82">
        <f t="shared" si="191"/>
        <v>100</v>
      </c>
      <c r="S1075" s="81">
        <f t="shared" si="191"/>
        <v>695</v>
      </c>
      <c r="T1075" s="81">
        <f t="shared" si="191"/>
        <v>33.333333333333336</v>
      </c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</row>
    <row r="1076" spans="1:30" ht="15" x14ac:dyDescent="0.2">
      <c r="A1076" s="10">
        <v>2020</v>
      </c>
      <c r="B1076" s="10">
        <f t="shared" si="180"/>
        <v>366</v>
      </c>
      <c r="C1076" s="81">
        <f t="shared" ref="C1076:T1076" si="192">AVERAGE(C96:C107)</f>
        <v>154.75825</v>
      </c>
      <c r="D1076" s="81">
        <f t="shared" si="192"/>
        <v>281.0162499999999</v>
      </c>
      <c r="E1076" s="81">
        <f t="shared" si="192"/>
        <v>109.1005</v>
      </c>
      <c r="F1076" s="81">
        <f t="shared" si="192"/>
        <v>57.041666666666664</v>
      </c>
      <c r="G1076" s="81">
        <f t="shared" si="192"/>
        <v>40</v>
      </c>
      <c r="H1076" s="81">
        <f t="shared" si="192"/>
        <v>174.58333333333334</v>
      </c>
      <c r="I1076" s="81">
        <f t="shared" si="192"/>
        <v>0</v>
      </c>
      <c r="J1076" s="81">
        <f t="shared" si="192"/>
        <v>100</v>
      </c>
      <c r="K1076" s="81">
        <f t="shared" si="192"/>
        <v>300</v>
      </c>
      <c r="L1076" s="81">
        <f t="shared" si="192"/>
        <v>1216.5</v>
      </c>
      <c r="M1076" s="83">
        <f t="shared" si="192"/>
        <v>533.33333333333337</v>
      </c>
      <c r="N1076" s="81">
        <f t="shared" si="192"/>
        <v>72.5</v>
      </c>
      <c r="O1076" s="82">
        <f t="shared" si="192"/>
        <v>240</v>
      </c>
      <c r="P1076" s="82">
        <f t="shared" si="192"/>
        <v>110</v>
      </c>
      <c r="Q1076" s="82">
        <f t="shared" si="192"/>
        <v>245</v>
      </c>
      <c r="R1076" s="82">
        <f t="shared" si="192"/>
        <v>100</v>
      </c>
      <c r="S1076" s="81">
        <f t="shared" si="192"/>
        <v>695</v>
      </c>
      <c r="T1076" s="81">
        <f t="shared" si="192"/>
        <v>33.333333333333336</v>
      </c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</row>
    <row r="1077" spans="1:30" ht="15" x14ac:dyDescent="0.2">
      <c r="A1077" s="10">
        <v>2021</v>
      </c>
      <c r="B1077" s="10">
        <f t="shared" si="180"/>
        <v>365</v>
      </c>
      <c r="C1077" s="81">
        <f t="shared" ref="C1077:T1077" si="193">AVERAGE(C108:C119)</f>
        <v>154.75825</v>
      </c>
      <c r="D1077" s="81">
        <f t="shared" si="193"/>
        <v>281.0162499999999</v>
      </c>
      <c r="E1077" s="81">
        <f t="shared" si="193"/>
        <v>109.1005</v>
      </c>
      <c r="F1077" s="81">
        <f t="shared" si="193"/>
        <v>57.041666666666664</v>
      </c>
      <c r="G1077" s="81">
        <f t="shared" si="193"/>
        <v>40</v>
      </c>
      <c r="H1077" s="81">
        <f t="shared" si="193"/>
        <v>174.58333333333334</v>
      </c>
      <c r="I1077" s="81">
        <f t="shared" si="193"/>
        <v>0</v>
      </c>
      <c r="J1077" s="81">
        <f t="shared" si="193"/>
        <v>100</v>
      </c>
      <c r="K1077" s="81">
        <f t="shared" si="193"/>
        <v>300</v>
      </c>
      <c r="L1077" s="81">
        <f t="shared" si="193"/>
        <v>1216.5</v>
      </c>
      <c r="M1077" s="83">
        <f t="shared" si="193"/>
        <v>600</v>
      </c>
      <c r="N1077" s="81">
        <f t="shared" si="193"/>
        <v>72.5</v>
      </c>
      <c r="O1077" s="82">
        <f t="shared" si="193"/>
        <v>240</v>
      </c>
      <c r="P1077" s="82">
        <f t="shared" si="193"/>
        <v>110</v>
      </c>
      <c r="Q1077" s="82">
        <f t="shared" si="193"/>
        <v>245</v>
      </c>
      <c r="R1077" s="82">
        <f t="shared" si="193"/>
        <v>100</v>
      </c>
      <c r="S1077" s="81">
        <f t="shared" si="193"/>
        <v>695</v>
      </c>
      <c r="T1077" s="81">
        <f t="shared" si="193"/>
        <v>33.333333333333336</v>
      </c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</row>
    <row r="1078" spans="1:30" ht="15" x14ac:dyDescent="0.2">
      <c r="A1078" s="10">
        <v>2022</v>
      </c>
      <c r="B1078" s="10">
        <f t="shared" si="180"/>
        <v>365</v>
      </c>
      <c r="C1078" s="81">
        <f t="shared" ref="C1078:T1078" si="194">AVERAGE(C120:C131)</f>
        <v>154.75825</v>
      </c>
      <c r="D1078" s="81">
        <f t="shared" si="194"/>
        <v>281.0162499999999</v>
      </c>
      <c r="E1078" s="81">
        <f t="shared" si="194"/>
        <v>109.1005</v>
      </c>
      <c r="F1078" s="81">
        <f t="shared" si="194"/>
        <v>57.041666666666664</v>
      </c>
      <c r="G1078" s="81">
        <f t="shared" si="194"/>
        <v>40</v>
      </c>
      <c r="H1078" s="81">
        <f t="shared" si="194"/>
        <v>174.58333333333334</v>
      </c>
      <c r="I1078" s="81">
        <f t="shared" si="194"/>
        <v>0</v>
      </c>
      <c r="J1078" s="81">
        <f t="shared" si="194"/>
        <v>100</v>
      </c>
      <c r="K1078" s="81">
        <f t="shared" si="194"/>
        <v>300</v>
      </c>
      <c r="L1078" s="81">
        <f t="shared" si="194"/>
        <v>1216.5</v>
      </c>
      <c r="M1078" s="83">
        <f t="shared" si="194"/>
        <v>600</v>
      </c>
      <c r="N1078" s="81">
        <f t="shared" si="194"/>
        <v>72.5</v>
      </c>
      <c r="O1078" s="82">
        <f t="shared" si="194"/>
        <v>240</v>
      </c>
      <c r="P1078" s="82">
        <f t="shared" si="194"/>
        <v>110</v>
      </c>
      <c r="Q1078" s="82">
        <f t="shared" si="194"/>
        <v>245</v>
      </c>
      <c r="R1078" s="82">
        <f t="shared" si="194"/>
        <v>100</v>
      </c>
      <c r="S1078" s="81">
        <f t="shared" si="194"/>
        <v>695</v>
      </c>
      <c r="T1078" s="81">
        <f t="shared" si="194"/>
        <v>33.333333333333336</v>
      </c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</row>
    <row r="1079" spans="1:30" ht="15" x14ac:dyDescent="0.2">
      <c r="A1079" s="10">
        <v>2023</v>
      </c>
      <c r="B1079" s="10">
        <f t="shared" si="180"/>
        <v>365</v>
      </c>
      <c r="C1079" s="81">
        <f t="shared" ref="C1079:T1079" si="195">AVERAGE(C132:C143)</f>
        <v>154.75825</v>
      </c>
      <c r="D1079" s="81">
        <f t="shared" si="195"/>
        <v>281.0162499999999</v>
      </c>
      <c r="E1079" s="81">
        <f t="shared" si="195"/>
        <v>109.1005</v>
      </c>
      <c r="F1079" s="81">
        <f t="shared" si="195"/>
        <v>57.041666666666664</v>
      </c>
      <c r="G1079" s="81">
        <f t="shared" si="195"/>
        <v>40</v>
      </c>
      <c r="H1079" s="81">
        <f t="shared" si="195"/>
        <v>174.58333333333334</v>
      </c>
      <c r="I1079" s="81">
        <f t="shared" si="195"/>
        <v>0</v>
      </c>
      <c r="J1079" s="81">
        <f t="shared" si="195"/>
        <v>100</v>
      </c>
      <c r="K1079" s="81">
        <f t="shared" si="195"/>
        <v>300</v>
      </c>
      <c r="L1079" s="81">
        <f t="shared" si="195"/>
        <v>1216.5</v>
      </c>
      <c r="M1079" s="83">
        <f t="shared" si="195"/>
        <v>600</v>
      </c>
      <c r="N1079" s="81">
        <f t="shared" si="195"/>
        <v>72.5</v>
      </c>
      <c r="O1079" s="82">
        <f t="shared" si="195"/>
        <v>240</v>
      </c>
      <c r="P1079" s="82">
        <f t="shared" si="195"/>
        <v>110</v>
      </c>
      <c r="Q1079" s="82">
        <f t="shared" si="195"/>
        <v>245</v>
      </c>
      <c r="R1079" s="82">
        <f t="shared" si="195"/>
        <v>100</v>
      </c>
      <c r="S1079" s="81">
        <f t="shared" si="195"/>
        <v>695</v>
      </c>
      <c r="T1079" s="81">
        <f t="shared" si="195"/>
        <v>33.333333333333336</v>
      </c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</row>
    <row r="1080" spans="1:30" ht="15" x14ac:dyDescent="0.2">
      <c r="A1080" s="10">
        <v>2024</v>
      </c>
      <c r="B1080" s="10">
        <f t="shared" si="180"/>
        <v>366</v>
      </c>
      <c r="C1080" s="81">
        <f t="shared" ref="C1080:T1080" si="196">AVERAGE(C144:C155)</f>
        <v>154.75825</v>
      </c>
      <c r="D1080" s="81">
        <f t="shared" si="196"/>
        <v>281.0162499999999</v>
      </c>
      <c r="E1080" s="81">
        <f t="shared" si="196"/>
        <v>109.1005</v>
      </c>
      <c r="F1080" s="81">
        <f t="shared" si="196"/>
        <v>57.041666666666664</v>
      </c>
      <c r="G1080" s="81">
        <f t="shared" si="196"/>
        <v>40</v>
      </c>
      <c r="H1080" s="81">
        <f t="shared" si="196"/>
        <v>174.58333333333334</v>
      </c>
      <c r="I1080" s="81">
        <f t="shared" si="196"/>
        <v>0</v>
      </c>
      <c r="J1080" s="81">
        <f t="shared" si="196"/>
        <v>100</v>
      </c>
      <c r="K1080" s="81">
        <f t="shared" si="196"/>
        <v>300</v>
      </c>
      <c r="L1080" s="81">
        <f t="shared" si="196"/>
        <v>1216.5</v>
      </c>
      <c r="M1080" s="83">
        <f t="shared" si="196"/>
        <v>600</v>
      </c>
      <c r="N1080" s="81">
        <f t="shared" si="196"/>
        <v>72.5</v>
      </c>
      <c r="O1080" s="82">
        <f t="shared" si="196"/>
        <v>240</v>
      </c>
      <c r="P1080" s="82">
        <f t="shared" si="196"/>
        <v>110</v>
      </c>
      <c r="Q1080" s="82">
        <f t="shared" si="196"/>
        <v>245</v>
      </c>
      <c r="R1080" s="82">
        <f t="shared" si="196"/>
        <v>100</v>
      </c>
      <c r="S1080" s="81">
        <f t="shared" si="196"/>
        <v>695</v>
      </c>
      <c r="T1080" s="81">
        <f t="shared" si="196"/>
        <v>33.333333333333336</v>
      </c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</row>
    <row r="1081" spans="1:30" ht="15" x14ac:dyDescent="0.2">
      <c r="A1081" s="10">
        <v>2025</v>
      </c>
      <c r="B1081" s="10">
        <f t="shared" si="180"/>
        <v>365</v>
      </c>
      <c r="C1081" s="81">
        <f t="shared" ref="C1081:T1081" si="197">AVERAGE(C156:C167)</f>
        <v>154.75825</v>
      </c>
      <c r="D1081" s="81">
        <f t="shared" si="197"/>
        <v>281.0162499999999</v>
      </c>
      <c r="E1081" s="81">
        <f t="shared" si="197"/>
        <v>109.1005</v>
      </c>
      <c r="F1081" s="81">
        <f t="shared" si="197"/>
        <v>57.041666666666664</v>
      </c>
      <c r="G1081" s="81">
        <f t="shared" si="197"/>
        <v>40</v>
      </c>
      <c r="H1081" s="81">
        <f t="shared" si="197"/>
        <v>174.58333333333334</v>
      </c>
      <c r="I1081" s="81">
        <f t="shared" si="197"/>
        <v>0</v>
      </c>
      <c r="J1081" s="81">
        <f t="shared" si="197"/>
        <v>100</v>
      </c>
      <c r="K1081" s="81">
        <f t="shared" si="197"/>
        <v>300</v>
      </c>
      <c r="L1081" s="81">
        <f t="shared" si="197"/>
        <v>1216.5</v>
      </c>
      <c r="M1081" s="83">
        <f t="shared" si="197"/>
        <v>600</v>
      </c>
      <c r="N1081" s="81">
        <f t="shared" si="197"/>
        <v>72.5</v>
      </c>
      <c r="O1081" s="82">
        <f t="shared" si="197"/>
        <v>240</v>
      </c>
      <c r="P1081" s="82">
        <f t="shared" si="197"/>
        <v>110</v>
      </c>
      <c r="Q1081" s="82">
        <f t="shared" si="197"/>
        <v>245</v>
      </c>
      <c r="R1081" s="82">
        <f t="shared" si="197"/>
        <v>100</v>
      </c>
      <c r="S1081" s="81">
        <f t="shared" si="197"/>
        <v>695</v>
      </c>
      <c r="T1081" s="81">
        <f t="shared" si="197"/>
        <v>33.333333333333336</v>
      </c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</row>
    <row r="1082" spans="1:30" ht="15" x14ac:dyDescent="0.2">
      <c r="A1082" s="10">
        <v>2026</v>
      </c>
      <c r="B1082" s="10">
        <f t="shared" si="180"/>
        <v>365</v>
      </c>
      <c r="C1082" s="81">
        <f t="shared" ref="C1082:T1082" si="198">AVERAGE(C168:C179)</f>
        <v>154.75825</v>
      </c>
      <c r="D1082" s="81">
        <f t="shared" si="198"/>
        <v>281.0162499999999</v>
      </c>
      <c r="E1082" s="81">
        <f t="shared" si="198"/>
        <v>109.1005</v>
      </c>
      <c r="F1082" s="81">
        <f t="shared" si="198"/>
        <v>57.041666666666664</v>
      </c>
      <c r="G1082" s="81">
        <f t="shared" si="198"/>
        <v>40</v>
      </c>
      <c r="H1082" s="81">
        <f t="shared" si="198"/>
        <v>174.58333333333334</v>
      </c>
      <c r="I1082" s="81">
        <f t="shared" si="198"/>
        <v>0</v>
      </c>
      <c r="J1082" s="81">
        <f t="shared" si="198"/>
        <v>100</v>
      </c>
      <c r="K1082" s="81">
        <f t="shared" si="198"/>
        <v>300</v>
      </c>
      <c r="L1082" s="81">
        <f t="shared" si="198"/>
        <v>1216.5</v>
      </c>
      <c r="M1082" s="83">
        <f t="shared" si="198"/>
        <v>600</v>
      </c>
      <c r="N1082" s="81">
        <f t="shared" si="198"/>
        <v>72.5</v>
      </c>
      <c r="O1082" s="82">
        <f t="shared" si="198"/>
        <v>240</v>
      </c>
      <c r="P1082" s="82">
        <f t="shared" si="198"/>
        <v>110</v>
      </c>
      <c r="Q1082" s="82">
        <f t="shared" si="198"/>
        <v>245</v>
      </c>
      <c r="R1082" s="82">
        <f t="shared" si="198"/>
        <v>100</v>
      </c>
      <c r="S1082" s="81">
        <f t="shared" si="198"/>
        <v>695</v>
      </c>
      <c r="T1082" s="81">
        <f t="shared" si="198"/>
        <v>33.333333333333336</v>
      </c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</row>
    <row r="1083" spans="1:30" ht="15" x14ac:dyDescent="0.2">
      <c r="A1083" s="10">
        <v>2027</v>
      </c>
      <c r="B1083" s="10">
        <f t="shared" si="180"/>
        <v>365</v>
      </c>
      <c r="C1083" s="81">
        <f t="shared" ref="C1083:T1083" si="199">AVERAGE(C180:C191)</f>
        <v>154.75825</v>
      </c>
      <c r="D1083" s="81">
        <f t="shared" si="199"/>
        <v>281.0162499999999</v>
      </c>
      <c r="E1083" s="81">
        <f t="shared" si="199"/>
        <v>109.1005</v>
      </c>
      <c r="F1083" s="81">
        <f t="shared" si="199"/>
        <v>57.041666666666664</v>
      </c>
      <c r="G1083" s="81">
        <f t="shared" si="199"/>
        <v>40</v>
      </c>
      <c r="H1083" s="81">
        <f t="shared" si="199"/>
        <v>174.58333333333334</v>
      </c>
      <c r="I1083" s="81">
        <f t="shared" si="199"/>
        <v>0</v>
      </c>
      <c r="J1083" s="81">
        <f t="shared" si="199"/>
        <v>100</v>
      </c>
      <c r="K1083" s="81">
        <f t="shared" si="199"/>
        <v>300</v>
      </c>
      <c r="L1083" s="81">
        <f t="shared" si="199"/>
        <v>1216.5</v>
      </c>
      <c r="M1083" s="83">
        <f t="shared" si="199"/>
        <v>600</v>
      </c>
      <c r="N1083" s="81">
        <f t="shared" si="199"/>
        <v>72.5</v>
      </c>
      <c r="O1083" s="82">
        <f t="shared" si="199"/>
        <v>240</v>
      </c>
      <c r="P1083" s="82">
        <f t="shared" si="199"/>
        <v>110</v>
      </c>
      <c r="Q1083" s="82">
        <f t="shared" si="199"/>
        <v>245</v>
      </c>
      <c r="R1083" s="82">
        <f t="shared" si="199"/>
        <v>100</v>
      </c>
      <c r="S1083" s="81">
        <f t="shared" si="199"/>
        <v>695</v>
      </c>
      <c r="T1083" s="81">
        <f t="shared" si="199"/>
        <v>33.333333333333336</v>
      </c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</row>
    <row r="1084" spans="1:30" ht="15" x14ac:dyDescent="0.2">
      <c r="A1084" s="10">
        <v>2028</v>
      </c>
      <c r="B1084" s="10">
        <f t="shared" si="180"/>
        <v>366</v>
      </c>
      <c r="C1084" s="81">
        <f t="shared" ref="C1084:T1084" si="200">AVERAGE(C192:C203)</f>
        <v>154.75825</v>
      </c>
      <c r="D1084" s="81">
        <f t="shared" si="200"/>
        <v>281.0162499999999</v>
      </c>
      <c r="E1084" s="81">
        <f t="shared" si="200"/>
        <v>109.1005</v>
      </c>
      <c r="F1084" s="81">
        <f t="shared" si="200"/>
        <v>57.041666666666664</v>
      </c>
      <c r="G1084" s="81">
        <f t="shared" si="200"/>
        <v>40</v>
      </c>
      <c r="H1084" s="81">
        <f t="shared" si="200"/>
        <v>174.58333333333334</v>
      </c>
      <c r="I1084" s="81">
        <f t="shared" si="200"/>
        <v>0</v>
      </c>
      <c r="J1084" s="81">
        <f t="shared" si="200"/>
        <v>100</v>
      </c>
      <c r="K1084" s="81">
        <f t="shared" si="200"/>
        <v>300</v>
      </c>
      <c r="L1084" s="81">
        <f t="shared" si="200"/>
        <v>1216.5</v>
      </c>
      <c r="M1084" s="83">
        <f t="shared" si="200"/>
        <v>600</v>
      </c>
      <c r="N1084" s="81">
        <f t="shared" si="200"/>
        <v>72.5</v>
      </c>
      <c r="O1084" s="82">
        <f t="shared" si="200"/>
        <v>240</v>
      </c>
      <c r="P1084" s="82">
        <f t="shared" si="200"/>
        <v>110</v>
      </c>
      <c r="Q1084" s="82">
        <f t="shared" si="200"/>
        <v>245</v>
      </c>
      <c r="R1084" s="82">
        <f t="shared" si="200"/>
        <v>100</v>
      </c>
      <c r="S1084" s="81">
        <f t="shared" si="200"/>
        <v>695</v>
      </c>
      <c r="T1084" s="81">
        <f t="shared" si="200"/>
        <v>33.333333333333336</v>
      </c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</row>
    <row r="1085" spans="1:30" ht="15" x14ac:dyDescent="0.2">
      <c r="A1085" s="10">
        <v>2029</v>
      </c>
      <c r="B1085" s="10">
        <f t="shared" si="180"/>
        <v>365</v>
      </c>
      <c r="C1085" s="81">
        <f t="shared" ref="C1085:T1085" si="201">AVERAGE(C204:C215)</f>
        <v>154.75825</v>
      </c>
      <c r="D1085" s="81">
        <f t="shared" si="201"/>
        <v>281.0162499999999</v>
      </c>
      <c r="E1085" s="81">
        <f t="shared" si="201"/>
        <v>109.1005</v>
      </c>
      <c r="F1085" s="81">
        <f t="shared" si="201"/>
        <v>57.041666666666664</v>
      </c>
      <c r="G1085" s="81">
        <f t="shared" si="201"/>
        <v>40</v>
      </c>
      <c r="H1085" s="81">
        <f t="shared" si="201"/>
        <v>174.58333333333334</v>
      </c>
      <c r="I1085" s="81">
        <f t="shared" si="201"/>
        <v>0</v>
      </c>
      <c r="J1085" s="81">
        <f t="shared" si="201"/>
        <v>100</v>
      </c>
      <c r="K1085" s="81">
        <f t="shared" si="201"/>
        <v>300</v>
      </c>
      <c r="L1085" s="81">
        <f t="shared" si="201"/>
        <v>1216.5</v>
      </c>
      <c r="M1085" s="83">
        <f t="shared" si="201"/>
        <v>600</v>
      </c>
      <c r="N1085" s="81">
        <f t="shared" si="201"/>
        <v>72.5</v>
      </c>
      <c r="O1085" s="82">
        <f t="shared" si="201"/>
        <v>240</v>
      </c>
      <c r="P1085" s="82">
        <f t="shared" si="201"/>
        <v>110</v>
      </c>
      <c r="Q1085" s="82">
        <f t="shared" si="201"/>
        <v>245</v>
      </c>
      <c r="R1085" s="82">
        <f t="shared" si="201"/>
        <v>100</v>
      </c>
      <c r="S1085" s="81">
        <f t="shared" si="201"/>
        <v>695</v>
      </c>
      <c r="T1085" s="81">
        <f t="shared" si="201"/>
        <v>33.333333333333336</v>
      </c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</row>
    <row r="1086" spans="1:30" ht="15" x14ac:dyDescent="0.2">
      <c r="A1086" s="10">
        <v>2030</v>
      </c>
      <c r="B1086" s="10">
        <f t="shared" si="180"/>
        <v>365</v>
      </c>
      <c r="C1086" s="81">
        <f t="shared" ref="C1086:T1086" si="202">AVERAGE(C216:C227)</f>
        <v>154.75825</v>
      </c>
      <c r="D1086" s="81">
        <f t="shared" si="202"/>
        <v>281.0162499999999</v>
      </c>
      <c r="E1086" s="81">
        <f t="shared" si="202"/>
        <v>109.1005</v>
      </c>
      <c r="F1086" s="81">
        <f t="shared" si="202"/>
        <v>57.041666666666664</v>
      </c>
      <c r="G1086" s="81">
        <f t="shared" si="202"/>
        <v>40</v>
      </c>
      <c r="H1086" s="81">
        <f t="shared" si="202"/>
        <v>174.58333333333334</v>
      </c>
      <c r="I1086" s="81">
        <f t="shared" si="202"/>
        <v>0</v>
      </c>
      <c r="J1086" s="81">
        <f t="shared" si="202"/>
        <v>100</v>
      </c>
      <c r="K1086" s="81">
        <f t="shared" si="202"/>
        <v>300</v>
      </c>
      <c r="L1086" s="81">
        <f t="shared" si="202"/>
        <v>1216.5</v>
      </c>
      <c r="M1086" s="83">
        <f t="shared" si="202"/>
        <v>600</v>
      </c>
      <c r="N1086" s="81">
        <f t="shared" si="202"/>
        <v>72.5</v>
      </c>
      <c r="O1086" s="82">
        <f t="shared" si="202"/>
        <v>240</v>
      </c>
      <c r="P1086" s="82">
        <f t="shared" si="202"/>
        <v>110</v>
      </c>
      <c r="Q1086" s="82">
        <f t="shared" si="202"/>
        <v>245</v>
      </c>
      <c r="R1086" s="82">
        <f t="shared" si="202"/>
        <v>100</v>
      </c>
      <c r="S1086" s="81">
        <f t="shared" si="202"/>
        <v>695</v>
      </c>
      <c r="T1086" s="81">
        <f t="shared" si="202"/>
        <v>33.333333333333336</v>
      </c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</row>
    <row r="1087" spans="1:30" ht="15" x14ac:dyDescent="0.2">
      <c r="A1087" s="10">
        <v>2031</v>
      </c>
      <c r="B1087" s="10">
        <f t="shared" si="180"/>
        <v>365</v>
      </c>
      <c r="C1087" s="81">
        <f t="shared" ref="C1087:T1087" si="203">AVERAGE(C228:C239)</f>
        <v>154.75825</v>
      </c>
      <c r="D1087" s="81">
        <f t="shared" si="203"/>
        <v>281.0162499999999</v>
      </c>
      <c r="E1087" s="81">
        <f t="shared" si="203"/>
        <v>109.1005</v>
      </c>
      <c r="F1087" s="81">
        <f t="shared" si="203"/>
        <v>57.041666666666664</v>
      </c>
      <c r="G1087" s="81">
        <f t="shared" si="203"/>
        <v>40</v>
      </c>
      <c r="H1087" s="81">
        <f t="shared" si="203"/>
        <v>174.58333333333334</v>
      </c>
      <c r="I1087" s="81">
        <f t="shared" si="203"/>
        <v>0</v>
      </c>
      <c r="J1087" s="81">
        <f t="shared" si="203"/>
        <v>100</v>
      </c>
      <c r="K1087" s="81">
        <f t="shared" si="203"/>
        <v>300</v>
      </c>
      <c r="L1087" s="81">
        <f t="shared" si="203"/>
        <v>1216.5</v>
      </c>
      <c r="M1087" s="83">
        <f t="shared" si="203"/>
        <v>600</v>
      </c>
      <c r="N1087" s="81">
        <f t="shared" si="203"/>
        <v>72.5</v>
      </c>
      <c r="O1087" s="82">
        <f t="shared" si="203"/>
        <v>240</v>
      </c>
      <c r="P1087" s="82">
        <f t="shared" si="203"/>
        <v>110</v>
      </c>
      <c r="Q1087" s="82">
        <f t="shared" si="203"/>
        <v>245</v>
      </c>
      <c r="R1087" s="82">
        <f t="shared" si="203"/>
        <v>100</v>
      </c>
      <c r="S1087" s="81">
        <f t="shared" si="203"/>
        <v>695</v>
      </c>
      <c r="T1087" s="81">
        <f t="shared" si="203"/>
        <v>33.333333333333336</v>
      </c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</row>
    <row r="1088" spans="1:30" ht="15" x14ac:dyDescent="0.2">
      <c r="A1088" s="10">
        <v>2032</v>
      </c>
      <c r="B1088" s="10">
        <f t="shared" si="180"/>
        <v>366</v>
      </c>
      <c r="C1088" s="81">
        <f t="shared" ref="C1088:T1088" si="204">AVERAGE(C240:C251)</f>
        <v>154.75825</v>
      </c>
      <c r="D1088" s="81">
        <f t="shared" si="204"/>
        <v>281.0162499999999</v>
      </c>
      <c r="E1088" s="81">
        <f t="shared" si="204"/>
        <v>109.1005</v>
      </c>
      <c r="F1088" s="81">
        <f t="shared" si="204"/>
        <v>57.041666666666664</v>
      </c>
      <c r="G1088" s="81">
        <f t="shared" si="204"/>
        <v>40</v>
      </c>
      <c r="H1088" s="81">
        <f t="shared" si="204"/>
        <v>174.58333333333334</v>
      </c>
      <c r="I1088" s="81">
        <f t="shared" si="204"/>
        <v>0</v>
      </c>
      <c r="J1088" s="81">
        <f t="shared" si="204"/>
        <v>100</v>
      </c>
      <c r="K1088" s="81">
        <f t="shared" si="204"/>
        <v>300</v>
      </c>
      <c r="L1088" s="81">
        <f t="shared" si="204"/>
        <v>1216.5</v>
      </c>
      <c r="M1088" s="83">
        <f t="shared" si="204"/>
        <v>600</v>
      </c>
      <c r="N1088" s="81">
        <f t="shared" si="204"/>
        <v>72.5</v>
      </c>
      <c r="O1088" s="82">
        <f t="shared" si="204"/>
        <v>240</v>
      </c>
      <c r="P1088" s="82">
        <f t="shared" si="204"/>
        <v>110</v>
      </c>
      <c r="Q1088" s="82">
        <f t="shared" si="204"/>
        <v>245</v>
      </c>
      <c r="R1088" s="82">
        <f t="shared" si="204"/>
        <v>100</v>
      </c>
      <c r="S1088" s="81">
        <f t="shared" si="204"/>
        <v>695</v>
      </c>
      <c r="T1088" s="81">
        <f t="shared" si="204"/>
        <v>33.333333333333336</v>
      </c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</row>
    <row r="1089" spans="1:30" ht="15" x14ac:dyDescent="0.2">
      <c r="A1089" s="10">
        <v>2033</v>
      </c>
      <c r="B1089" s="10">
        <f t="shared" si="180"/>
        <v>365</v>
      </c>
      <c r="C1089" s="81">
        <f t="shared" ref="C1089:T1089" si="205">AVERAGE(C252:C263)</f>
        <v>154.75825</v>
      </c>
      <c r="D1089" s="81">
        <f t="shared" si="205"/>
        <v>281.0162499999999</v>
      </c>
      <c r="E1089" s="81">
        <f t="shared" si="205"/>
        <v>109.1005</v>
      </c>
      <c r="F1089" s="81">
        <f t="shared" si="205"/>
        <v>57.041666666666664</v>
      </c>
      <c r="G1089" s="81">
        <f t="shared" si="205"/>
        <v>40</v>
      </c>
      <c r="H1089" s="81">
        <f t="shared" si="205"/>
        <v>174.58333333333334</v>
      </c>
      <c r="I1089" s="81">
        <f t="shared" si="205"/>
        <v>0</v>
      </c>
      <c r="J1089" s="81">
        <f t="shared" si="205"/>
        <v>100</v>
      </c>
      <c r="K1089" s="81">
        <f t="shared" si="205"/>
        <v>300</v>
      </c>
      <c r="L1089" s="81">
        <f t="shared" si="205"/>
        <v>1216.5</v>
      </c>
      <c r="M1089" s="83">
        <f t="shared" si="205"/>
        <v>600</v>
      </c>
      <c r="N1089" s="81">
        <f t="shared" si="205"/>
        <v>72.5</v>
      </c>
      <c r="O1089" s="82">
        <f t="shared" si="205"/>
        <v>240</v>
      </c>
      <c r="P1089" s="82">
        <f t="shared" si="205"/>
        <v>110</v>
      </c>
      <c r="Q1089" s="82">
        <f t="shared" si="205"/>
        <v>245</v>
      </c>
      <c r="R1089" s="82">
        <f t="shared" si="205"/>
        <v>100</v>
      </c>
      <c r="S1089" s="81">
        <f t="shared" si="205"/>
        <v>695</v>
      </c>
      <c r="T1089" s="81">
        <f t="shared" si="205"/>
        <v>33.333333333333336</v>
      </c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</row>
    <row r="1090" spans="1:30" ht="15" x14ac:dyDescent="0.2">
      <c r="A1090" s="10">
        <v>2034</v>
      </c>
      <c r="B1090" s="10">
        <f t="shared" si="180"/>
        <v>365</v>
      </c>
      <c r="C1090" s="81">
        <f t="shared" ref="C1090:T1090" si="206">AVERAGE(C264:C275)</f>
        <v>154.75825</v>
      </c>
      <c r="D1090" s="81">
        <f t="shared" si="206"/>
        <v>281.0162499999999</v>
      </c>
      <c r="E1090" s="81">
        <f t="shared" si="206"/>
        <v>109.1005</v>
      </c>
      <c r="F1090" s="81">
        <f t="shared" si="206"/>
        <v>57.041666666666664</v>
      </c>
      <c r="G1090" s="81">
        <f t="shared" si="206"/>
        <v>40</v>
      </c>
      <c r="H1090" s="81">
        <f t="shared" si="206"/>
        <v>174.58333333333334</v>
      </c>
      <c r="I1090" s="81">
        <f t="shared" si="206"/>
        <v>0</v>
      </c>
      <c r="J1090" s="81">
        <f t="shared" si="206"/>
        <v>100</v>
      </c>
      <c r="K1090" s="81">
        <f t="shared" si="206"/>
        <v>300</v>
      </c>
      <c r="L1090" s="81">
        <f t="shared" si="206"/>
        <v>1216.5</v>
      </c>
      <c r="M1090" s="83">
        <f t="shared" si="206"/>
        <v>600</v>
      </c>
      <c r="N1090" s="81">
        <f t="shared" si="206"/>
        <v>72.5</v>
      </c>
      <c r="O1090" s="82">
        <f t="shared" si="206"/>
        <v>240</v>
      </c>
      <c r="P1090" s="82">
        <f t="shared" si="206"/>
        <v>110</v>
      </c>
      <c r="Q1090" s="82">
        <f t="shared" si="206"/>
        <v>245</v>
      </c>
      <c r="R1090" s="82">
        <f t="shared" si="206"/>
        <v>100</v>
      </c>
      <c r="S1090" s="81">
        <f t="shared" si="206"/>
        <v>695</v>
      </c>
      <c r="T1090" s="81">
        <f t="shared" si="206"/>
        <v>33.333333333333336</v>
      </c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</row>
    <row r="1091" spans="1:30" ht="15" x14ac:dyDescent="0.2">
      <c r="A1091" s="10">
        <v>2035</v>
      </c>
      <c r="B1091" s="10">
        <f t="shared" si="180"/>
        <v>365</v>
      </c>
      <c r="C1091" s="81">
        <f t="shared" ref="C1091:T1091" si="207">AVERAGE(C276:C287)</f>
        <v>154.75825</v>
      </c>
      <c r="D1091" s="81">
        <f t="shared" si="207"/>
        <v>281.0162499999999</v>
      </c>
      <c r="E1091" s="81">
        <f t="shared" si="207"/>
        <v>109.1005</v>
      </c>
      <c r="F1091" s="81">
        <f t="shared" si="207"/>
        <v>57.041666666666664</v>
      </c>
      <c r="G1091" s="81">
        <f t="shared" si="207"/>
        <v>40</v>
      </c>
      <c r="H1091" s="81">
        <f t="shared" si="207"/>
        <v>174.58333333333334</v>
      </c>
      <c r="I1091" s="81">
        <f t="shared" si="207"/>
        <v>0</v>
      </c>
      <c r="J1091" s="81">
        <f t="shared" si="207"/>
        <v>100</v>
      </c>
      <c r="K1091" s="81">
        <f t="shared" si="207"/>
        <v>300</v>
      </c>
      <c r="L1091" s="81">
        <f t="shared" si="207"/>
        <v>1216.5</v>
      </c>
      <c r="M1091" s="83">
        <f t="shared" si="207"/>
        <v>600</v>
      </c>
      <c r="N1091" s="81">
        <f t="shared" si="207"/>
        <v>72.5</v>
      </c>
      <c r="O1091" s="82">
        <f t="shared" si="207"/>
        <v>240</v>
      </c>
      <c r="P1091" s="82">
        <f t="shared" si="207"/>
        <v>110</v>
      </c>
      <c r="Q1091" s="82">
        <f t="shared" si="207"/>
        <v>245</v>
      </c>
      <c r="R1091" s="82">
        <f t="shared" si="207"/>
        <v>100</v>
      </c>
      <c r="S1091" s="81">
        <f t="shared" si="207"/>
        <v>695</v>
      </c>
      <c r="T1091" s="81">
        <f t="shared" si="207"/>
        <v>33.333333333333336</v>
      </c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</row>
    <row r="1092" spans="1:30" ht="15" x14ac:dyDescent="0.2">
      <c r="A1092" s="10">
        <v>2036</v>
      </c>
      <c r="B1092" s="10">
        <f t="shared" si="180"/>
        <v>366</v>
      </c>
      <c r="C1092" s="81">
        <f t="shared" ref="C1092:T1092" si="208">AVERAGE(C288:C299)</f>
        <v>154.75825</v>
      </c>
      <c r="D1092" s="81">
        <f t="shared" si="208"/>
        <v>281.0162499999999</v>
      </c>
      <c r="E1092" s="81">
        <f t="shared" si="208"/>
        <v>109.1005</v>
      </c>
      <c r="F1092" s="81">
        <f t="shared" si="208"/>
        <v>57.041666666666664</v>
      </c>
      <c r="G1092" s="81">
        <f t="shared" si="208"/>
        <v>40</v>
      </c>
      <c r="H1092" s="81">
        <f t="shared" si="208"/>
        <v>174.58333333333334</v>
      </c>
      <c r="I1092" s="81">
        <f t="shared" si="208"/>
        <v>0</v>
      </c>
      <c r="J1092" s="81">
        <f t="shared" si="208"/>
        <v>100</v>
      </c>
      <c r="K1092" s="81">
        <f t="shared" si="208"/>
        <v>300</v>
      </c>
      <c r="L1092" s="81">
        <f t="shared" si="208"/>
        <v>1216.5</v>
      </c>
      <c r="M1092" s="83">
        <f t="shared" si="208"/>
        <v>600</v>
      </c>
      <c r="N1092" s="81">
        <f t="shared" si="208"/>
        <v>72.5</v>
      </c>
      <c r="O1092" s="82">
        <f t="shared" si="208"/>
        <v>240</v>
      </c>
      <c r="P1092" s="82">
        <f t="shared" si="208"/>
        <v>110</v>
      </c>
      <c r="Q1092" s="82">
        <f t="shared" si="208"/>
        <v>245</v>
      </c>
      <c r="R1092" s="82">
        <f t="shared" si="208"/>
        <v>100</v>
      </c>
      <c r="S1092" s="81">
        <f t="shared" si="208"/>
        <v>695</v>
      </c>
      <c r="T1092" s="81">
        <f t="shared" si="208"/>
        <v>33.333333333333336</v>
      </c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</row>
    <row r="1093" spans="1:30" ht="15" x14ac:dyDescent="0.2">
      <c r="A1093" s="10">
        <v>2037</v>
      </c>
      <c r="B1093" s="10">
        <f t="shared" si="180"/>
        <v>365</v>
      </c>
      <c r="C1093" s="81">
        <f t="shared" ref="C1093:T1093" si="209">AVERAGE(C300:C311)</f>
        <v>154.75825</v>
      </c>
      <c r="D1093" s="81">
        <f t="shared" si="209"/>
        <v>281.0162499999999</v>
      </c>
      <c r="E1093" s="81">
        <f t="shared" si="209"/>
        <v>109.1005</v>
      </c>
      <c r="F1093" s="81">
        <f t="shared" si="209"/>
        <v>57.041666666666664</v>
      </c>
      <c r="G1093" s="81">
        <f t="shared" si="209"/>
        <v>40</v>
      </c>
      <c r="H1093" s="81">
        <f t="shared" si="209"/>
        <v>174.58333333333334</v>
      </c>
      <c r="I1093" s="81">
        <f t="shared" si="209"/>
        <v>0</v>
      </c>
      <c r="J1093" s="81">
        <f t="shared" si="209"/>
        <v>100</v>
      </c>
      <c r="K1093" s="81">
        <f t="shared" si="209"/>
        <v>300</v>
      </c>
      <c r="L1093" s="81">
        <f t="shared" si="209"/>
        <v>1216.5</v>
      </c>
      <c r="M1093" s="83">
        <f t="shared" si="209"/>
        <v>600</v>
      </c>
      <c r="N1093" s="81">
        <f t="shared" si="209"/>
        <v>72.5</v>
      </c>
      <c r="O1093" s="82">
        <f t="shared" si="209"/>
        <v>240</v>
      </c>
      <c r="P1093" s="82">
        <f t="shared" si="209"/>
        <v>110</v>
      </c>
      <c r="Q1093" s="82">
        <f t="shared" si="209"/>
        <v>245</v>
      </c>
      <c r="R1093" s="82">
        <f t="shared" si="209"/>
        <v>100</v>
      </c>
      <c r="S1093" s="81">
        <f t="shared" si="209"/>
        <v>695</v>
      </c>
      <c r="T1093" s="81">
        <f t="shared" si="209"/>
        <v>33.333333333333336</v>
      </c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</row>
    <row r="1094" spans="1:30" ht="15" x14ac:dyDescent="0.2">
      <c r="A1094" s="10">
        <f t="shared" ref="A1094:A1125" si="210">A1093+1</f>
        <v>2038</v>
      </c>
      <c r="B1094" s="10">
        <f t="shared" si="180"/>
        <v>365</v>
      </c>
      <c r="C1094" s="77">
        <f t="shared" ref="C1094:T1094" si="211">AVERAGE(C312:C323)</f>
        <v>154.75825</v>
      </c>
      <c r="D1094" s="77">
        <f t="shared" si="211"/>
        <v>281.0162499999999</v>
      </c>
      <c r="E1094" s="77">
        <f t="shared" si="211"/>
        <v>109.1005</v>
      </c>
      <c r="F1094" s="77">
        <f t="shared" si="211"/>
        <v>57.041666666666664</v>
      </c>
      <c r="G1094" s="77">
        <f t="shared" si="211"/>
        <v>40</v>
      </c>
      <c r="H1094" s="77">
        <f t="shared" si="211"/>
        <v>174.58333333333334</v>
      </c>
      <c r="I1094" s="77">
        <f t="shared" si="211"/>
        <v>0</v>
      </c>
      <c r="J1094" s="77">
        <f t="shared" si="211"/>
        <v>100</v>
      </c>
      <c r="K1094" s="77">
        <f t="shared" si="211"/>
        <v>300</v>
      </c>
      <c r="L1094" s="77">
        <f t="shared" si="211"/>
        <v>1216.5</v>
      </c>
      <c r="M1094" s="79">
        <f t="shared" si="211"/>
        <v>600</v>
      </c>
      <c r="N1094" s="77">
        <f t="shared" si="211"/>
        <v>72.5</v>
      </c>
      <c r="O1094" s="80">
        <f t="shared" si="211"/>
        <v>240</v>
      </c>
      <c r="P1094" s="80">
        <f t="shared" si="211"/>
        <v>110</v>
      </c>
      <c r="Q1094" s="80">
        <f t="shared" si="211"/>
        <v>245</v>
      </c>
      <c r="R1094" s="80">
        <f t="shared" si="211"/>
        <v>100</v>
      </c>
      <c r="S1094" s="77">
        <f t="shared" si="211"/>
        <v>695</v>
      </c>
      <c r="T1094" s="77">
        <f t="shared" si="211"/>
        <v>33.333333333333336</v>
      </c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</row>
    <row r="1095" spans="1:30" ht="15" x14ac:dyDescent="0.2">
      <c r="A1095" s="10">
        <f t="shared" si="210"/>
        <v>2039</v>
      </c>
      <c r="B1095" s="10">
        <f t="shared" si="180"/>
        <v>365</v>
      </c>
      <c r="C1095" s="77">
        <f t="shared" ref="C1095:T1095" si="212">AVERAGE(C324:C335)</f>
        <v>154.75825</v>
      </c>
      <c r="D1095" s="77">
        <f t="shared" si="212"/>
        <v>281.0162499999999</v>
      </c>
      <c r="E1095" s="77">
        <f t="shared" si="212"/>
        <v>109.1005</v>
      </c>
      <c r="F1095" s="77">
        <f t="shared" si="212"/>
        <v>57.041666666666664</v>
      </c>
      <c r="G1095" s="77">
        <f t="shared" si="212"/>
        <v>40</v>
      </c>
      <c r="H1095" s="77">
        <f t="shared" si="212"/>
        <v>174.58333333333334</v>
      </c>
      <c r="I1095" s="77">
        <f t="shared" si="212"/>
        <v>0</v>
      </c>
      <c r="J1095" s="77">
        <f t="shared" si="212"/>
        <v>100</v>
      </c>
      <c r="K1095" s="77">
        <f t="shared" si="212"/>
        <v>300</v>
      </c>
      <c r="L1095" s="77">
        <f t="shared" si="212"/>
        <v>1216.5</v>
      </c>
      <c r="M1095" s="79">
        <f t="shared" si="212"/>
        <v>600</v>
      </c>
      <c r="N1095" s="77">
        <f t="shared" si="212"/>
        <v>72.5</v>
      </c>
      <c r="O1095" s="80">
        <f t="shared" si="212"/>
        <v>240</v>
      </c>
      <c r="P1095" s="80">
        <f t="shared" si="212"/>
        <v>110</v>
      </c>
      <c r="Q1095" s="80">
        <f t="shared" si="212"/>
        <v>245</v>
      </c>
      <c r="R1095" s="80">
        <f t="shared" si="212"/>
        <v>100</v>
      </c>
      <c r="S1095" s="77">
        <f t="shared" si="212"/>
        <v>695</v>
      </c>
      <c r="T1095" s="77">
        <f t="shared" si="212"/>
        <v>33.333333333333336</v>
      </c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</row>
    <row r="1096" spans="1:30" ht="15" x14ac:dyDescent="0.2">
      <c r="A1096" s="10">
        <f t="shared" si="210"/>
        <v>2040</v>
      </c>
      <c r="B1096" s="10">
        <f t="shared" si="180"/>
        <v>366</v>
      </c>
      <c r="C1096" s="77">
        <f t="shared" ref="C1096:T1096" si="213">AVERAGE(C336:C347)</f>
        <v>154.75825</v>
      </c>
      <c r="D1096" s="77">
        <f t="shared" si="213"/>
        <v>281.0162499999999</v>
      </c>
      <c r="E1096" s="77">
        <f t="shared" si="213"/>
        <v>109.1005</v>
      </c>
      <c r="F1096" s="77">
        <f t="shared" si="213"/>
        <v>57.041666666666664</v>
      </c>
      <c r="G1096" s="77">
        <f t="shared" si="213"/>
        <v>40</v>
      </c>
      <c r="H1096" s="77">
        <f t="shared" si="213"/>
        <v>174.58333333333334</v>
      </c>
      <c r="I1096" s="77">
        <f t="shared" si="213"/>
        <v>0</v>
      </c>
      <c r="J1096" s="77">
        <f t="shared" si="213"/>
        <v>100</v>
      </c>
      <c r="K1096" s="77">
        <f t="shared" si="213"/>
        <v>300</v>
      </c>
      <c r="L1096" s="77">
        <f t="shared" si="213"/>
        <v>1216.5</v>
      </c>
      <c r="M1096" s="79">
        <f t="shared" si="213"/>
        <v>600</v>
      </c>
      <c r="N1096" s="77">
        <f t="shared" si="213"/>
        <v>72.5</v>
      </c>
      <c r="O1096" s="80">
        <f t="shared" si="213"/>
        <v>240</v>
      </c>
      <c r="P1096" s="80">
        <f t="shared" si="213"/>
        <v>110</v>
      </c>
      <c r="Q1096" s="80">
        <f t="shared" si="213"/>
        <v>245</v>
      </c>
      <c r="R1096" s="80">
        <f t="shared" si="213"/>
        <v>100</v>
      </c>
      <c r="S1096" s="77">
        <f t="shared" si="213"/>
        <v>695</v>
      </c>
      <c r="T1096" s="77">
        <f t="shared" si="213"/>
        <v>33.333333333333336</v>
      </c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</row>
    <row r="1097" spans="1:30" ht="15" x14ac:dyDescent="0.2">
      <c r="A1097" s="10">
        <f t="shared" si="210"/>
        <v>2041</v>
      </c>
      <c r="B1097" s="10">
        <f t="shared" si="180"/>
        <v>365</v>
      </c>
      <c r="C1097" s="77">
        <f t="shared" ref="C1097:T1097" si="214">AVERAGE(C348:C359)</f>
        <v>154.75825</v>
      </c>
      <c r="D1097" s="77">
        <f t="shared" si="214"/>
        <v>281.0162499999999</v>
      </c>
      <c r="E1097" s="77">
        <f t="shared" si="214"/>
        <v>109.1005</v>
      </c>
      <c r="F1097" s="77">
        <f t="shared" si="214"/>
        <v>57.041666666666664</v>
      </c>
      <c r="G1097" s="77">
        <f t="shared" si="214"/>
        <v>40</v>
      </c>
      <c r="H1097" s="77">
        <f t="shared" si="214"/>
        <v>174.58333333333334</v>
      </c>
      <c r="I1097" s="77">
        <f t="shared" si="214"/>
        <v>0</v>
      </c>
      <c r="J1097" s="77">
        <f t="shared" si="214"/>
        <v>100</v>
      </c>
      <c r="K1097" s="77">
        <f t="shared" si="214"/>
        <v>300</v>
      </c>
      <c r="L1097" s="77">
        <f t="shared" si="214"/>
        <v>1216.5</v>
      </c>
      <c r="M1097" s="79">
        <f t="shared" si="214"/>
        <v>600</v>
      </c>
      <c r="N1097" s="77">
        <f t="shared" si="214"/>
        <v>72.5</v>
      </c>
      <c r="O1097" s="80">
        <f t="shared" si="214"/>
        <v>240</v>
      </c>
      <c r="P1097" s="80">
        <f t="shared" si="214"/>
        <v>110</v>
      </c>
      <c r="Q1097" s="80">
        <f t="shared" si="214"/>
        <v>245</v>
      </c>
      <c r="R1097" s="80">
        <f t="shared" si="214"/>
        <v>100</v>
      </c>
      <c r="S1097" s="77">
        <f t="shared" si="214"/>
        <v>695</v>
      </c>
      <c r="T1097" s="77">
        <f t="shared" si="214"/>
        <v>33.333333333333336</v>
      </c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</row>
    <row r="1098" spans="1:30" ht="15" x14ac:dyDescent="0.2">
      <c r="A1098" s="10">
        <f t="shared" si="210"/>
        <v>2042</v>
      </c>
      <c r="B1098" s="10">
        <f t="shared" si="180"/>
        <v>365</v>
      </c>
      <c r="C1098" s="77">
        <f t="shared" ref="C1098:T1098" si="215">AVERAGE(C360:C371)</f>
        <v>154.75825</v>
      </c>
      <c r="D1098" s="77">
        <f t="shared" si="215"/>
        <v>281.0162499999999</v>
      </c>
      <c r="E1098" s="77">
        <f t="shared" si="215"/>
        <v>109.1005</v>
      </c>
      <c r="F1098" s="77">
        <f t="shared" si="215"/>
        <v>57.041666666666664</v>
      </c>
      <c r="G1098" s="77">
        <f t="shared" si="215"/>
        <v>40</v>
      </c>
      <c r="H1098" s="77">
        <f t="shared" si="215"/>
        <v>174.58333333333334</v>
      </c>
      <c r="I1098" s="77">
        <f t="shared" si="215"/>
        <v>0</v>
      </c>
      <c r="J1098" s="77">
        <f t="shared" si="215"/>
        <v>100</v>
      </c>
      <c r="K1098" s="77">
        <f t="shared" si="215"/>
        <v>300</v>
      </c>
      <c r="L1098" s="77">
        <f t="shared" si="215"/>
        <v>1216.5</v>
      </c>
      <c r="M1098" s="79">
        <f t="shared" si="215"/>
        <v>600</v>
      </c>
      <c r="N1098" s="77">
        <f t="shared" si="215"/>
        <v>72.5</v>
      </c>
      <c r="O1098" s="80">
        <f t="shared" si="215"/>
        <v>240</v>
      </c>
      <c r="P1098" s="80">
        <f t="shared" si="215"/>
        <v>110</v>
      </c>
      <c r="Q1098" s="80">
        <f t="shared" si="215"/>
        <v>245</v>
      </c>
      <c r="R1098" s="80">
        <f t="shared" si="215"/>
        <v>100</v>
      </c>
      <c r="S1098" s="77">
        <f t="shared" si="215"/>
        <v>695</v>
      </c>
      <c r="T1098" s="77">
        <f t="shared" si="215"/>
        <v>33.333333333333336</v>
      </c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</row>
    <row r="1099" spans="1:30" ht="15" x14ac:dyDescent="0.2">
      <c r="A1099" s="10">
        <f t="shared" si="210"/>
        <v>2043</v>
      </c>
      <c r="B1099" s="10">
        <f t="shared" si="180"/>
        <v>365</v>
      </c>
      <c r="C1099" s="77">
        <f t="shared" ref="C1099:T1099" si="216">AVERAGE(C372:C383)</f>
        <v>154.75825</v>
      </c>
      <c r="D1099" s="77">
        <f t="shared" si="216"/>
        <v>281.0162499999999</v>
      </c>
      <c r="E1099" s="77">
        <f t="shared" si="216"/>
        <v>109.1005</v>
      </c>
      <c r="F1099" s="77">
        <f t="shared" si="216"/>
        <v>57.041666666666664</v>
      </c>
      <c r="G1099" s="77">
        <f t="shared" si="216"/>
        <v>40</v>
      </c>
      <c r="H1099" s="77">
        <f t="shared" si="216"/>
        <v>174.58333333333334</v>
      </c>
      <c r="I1099" s="77">
        <f t="shared" si="216"/>
        <v>0</v>
      </c>
      <c r="J1099" s="77">
        <f t="shared" si="216"/>
        <v>100</v>
      </c>
      <c r="K1099" s="77">
        <f t="shared" si="216"/>
        <v>300</v>
      </c>
      <c r="L1099" s="77">
        <f t="shared" si="216"/>
        <v>1216.5</v>
      </c>
      <c r="M1099" s="79">
        <f t="shared" si="216"/>
        <v>600</v>
      </c>
      <c r="N1099" s="77">
        <f t="shared" si="216"/>
        <v>72.5</v>
      </c>
      <c r="O1099" s="80">
        <f t="shared" si="216"/>
        <v>240</v>
      </c>
      <c r="P1099" s="80">
        <f t="shared" si="216"/>
        <v>110</v>
      </c>
      <c r="Q1099" s="80">
        <f t="shared" si="216"/>
        <v>245</v>
      </c>
      <c r="R1099" s="80">
        <f t="shared" si="216"/>
        <v>100</v>
      </c>
      <c r="S1099" s="77">
        <f t="shared" si="216"/>
        <v>695</v>
      </c>
      <c r="T1099" s="77">
        <f t="shared" si="216"/>
        <v>33.333333333333336</v>
      </c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</row>
    <row r="1100" spans="1:30" ht="15" x14ac:dyDescent="0.2">
      <c r="A1100" s="10">
        <f t="shared" si="210"/>
        <v>2044</v>
      </c>
      <c r="B1100" s="10">
        <f t="shared" si="180"/>
        <v>366</v>
      </c>
      <c r="C1100" s="77">
        <f t="shared" ref="C1100:T1100" si="217">AVERAGE(C384:C395)</f>
        <v>154.75825</v>
      </c>
      <c r="D1100" s="77">
        <f t="shared" si="217"/>
        <v>281.0162499999999</v>
      </c>
      <c r="E1100" s="77">
        <f t="shared" si="217"/>
        <v>109.1005</v>
      </c>
      <c r="F1100" s="77">
        <f t="shared" si="217"/>
        <v>57.041666666666664</v>
      </c>
      <c r="G1100" s="77">
        <f t="shared" si="217"/>
        <v>40</v>
      </c>
      <c r="H1100" s="77">
        <f t="shared" si="217"/>
        <v>174.58333333333334</v>
      </c>
      <c r="I1100" s="77">
        <f t="shared" si="217"/>
        <v>0</v>
      </c>
      <c r="J1100" s="77">
        <f t="shared" si="217"/>
        <v>100</v>
      </c>
      <c r="K1100" s="77">
        <f t="shared" si="217"/>
        <v>300</v>
      </c>
      <c r="L1100" s="77">
        <f t="shared" si="217"/>
        <v>1216.5</v>
      </c>
      <c r="M1100" s="79">
        <f t="shared" si="217"/>
        <v>600</v>
      </c>
      <c r="N1100" s="77">
        <f t="shared" si="217"/>
        <v>72.5</v>
      </c>
      <c r="O1100" s="80">
        <f t="shared" si="217"/>
        <v>240</v>
      </c>
      <c r="P1100" s="80">
        <f t="shared" si="217"/>
        <v>110</v>
      </c>
      <c r="Q1100" s="80">
        <f t="shared" si="217"/>
        <v>245</v>
      </c>
      <c r="R1100" s="80">
        <f t="shared" si="217"/>
        <v>100</v>
      </c>
      <c r="S1100" s="77">
        <f t="shared" si="217"/>
        <v>695</v>
      </c>
      <c r="T1100" s="77">
        <f t="shared" si="217"/>
        <v>33.333333333333336</v>
      </c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</row>
    <row r="1101" spans="1:30" ht="15" x14ac:dyDescent="0.2">
      <c r="A1101" s="10">
        <f t="shared" si="210"/>
        <v>2045</v>
      </c>
      <c r="B1101" s="10">
        <f t="shared" ref="B1101:B1132" si="218">DATE(A1101+1,1,1)-DATE(A1101,1,1)</f>
        <v>365</v>
      </c>
      <c r="C1101" s="77">
        <f t="shared" ref="C1101:T1101" si="219">AVERAGE(C396:C407)</f>
        <v>154.75825</v>
      </c>
      <c r="D1101" s="77">
        <f t="shared" si="219"/>
        <v>281.0162499999999</v>
      </c>
      <c r="E1101" s="77">
        <f t="shared" si="219"/>
        <v>109.1005</v>
      </c>
      <c r="F1101" s="77">
        <f t="shared" si="219"/>
        <v>57.041666666666664</v>
      </c>
      <c r="G1101" s="77">
        <f t="shared" si="219"/>
        <v>40</v>
      </c>
      <c r="H1101" s="77">
        <f t="shared" si="219"/>
        <v>174.58333333333334</v>
      </c>
      <c r="I1101" s="77">
        <f t="shared" si="219"/>
        <v>0</v>
      </c>
      <c r="J1101" s="77">
        <f t="shared" si="219"/>
        <v>100</v>
      </c>
      <c r="K1101" s="77">
        <f t="shared" si="219"/>
        <v>300</v>
      </c>
      <c r="L1101" s="77">
        <f t="shared" si="219"/>
        <v>1216.5</v>
      </c>
      <c r="M1101" s="79">
        <f t="shared" si="219"/>
        <v>600</v>
      </c>
      <c r="N1101" s="77">
        <f t="shared" si="219"/>
        <v>72.5</v>
      </c>
      <c r="O1101" s="80">
        <f t="shared" si="219"/>
        <v>240</v>
      </c>
      <c r="P1101" s="80">
        <f t="shared" si="219"/>
        <v>110</v>
      </c>
      <c r="Q1101" s="80">
        <f t="shared" si="219"/>
        <v>245</v>
      </c>
      <c r="R1101" s="80">
        <f t="shared" si="219"/>
        <v>100</v>
      </c>
      <c r="S1101" s="77">
        <f t="shared" si="219"/>
        <v>695</v>
      </c>
      <c r="T1101" s="77">
        <f t="shared" si="219"/>
        <v>33.333333333333336</v>
      </c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</row>
    <row r="1102" spans="1:30" ht="15" x14ac:dyDescent="0.2">
      <c r="A1102" s="10">
        <f t="shared" si="210"/>
        <v>2046</v>
      </c>
      <c r="B1102" s="10">
        <f t="shared" si="218"/>
        <v>365</v>
      </c>
      <c r="C1102" s="77">
        <f t="shared" ref="C1102:T1102" si="220">AVERAGE(C408:C419)</f>
        <v>154.75825</v>
      </c>
      <c r="D1102" s="77">
        <f t="shared" si="220"/>
        <v>281.0162499999999</v>
      </c>
      <c r="E1102" s="77">
        <f t="shared" si="220"/>
        <v>109.1005</v>
      </c>
      <c r="F1102" s="77">
        <f t="shared" si="220"/>
        <v>57.041666666666664</v>
      </c>
      <c r="G1102" s="77">
        <f t="shared" si="220"/>
        <v>40</v>
      </c>
      <c r="H1102" s="77">
        <f t="shared" si="220"/>
        <v>174.58333333333334</v>
      </c>
      <c r="I1102" s="77">
        <f t="shared" si="220"/>
        <v>0</v>
      </c>
      <c r="J1102" s="77">
        <f t="shared" si="220"/>
        <v>100</v>
      </c>
      <c r="K1102" s="77">
        <f t="shared" si="220"/>
        <v>300</v>
      </c>
      <c r="L1102" s="77">
        <f t="shared" si="220"/>
        <v>1216.5</v>
      </c>
      <c r="M1102" s="79">
        <f t="shared" si="220"/>
        <v>600</v>
      </c>
      <c r="N1102" s="77">
        <f t="shared" si="220"/>
        <v>72.5</v>
      </c>
      <c r="O1102" s="80">
        <f t="shared" si="220"/>
        <v>240</v>
      </c>
      <c r="P1102" s="80">
        <f t="shared" si="220"/>
        <v>110</v>
      </c>
      <c r="Q1102" s="80">
        <f t="shared" si="220"/>
        <v>245</v>
      </c>
      <c r="R1102" s="80">
        <f t="shared" si="220"/>
        <v>100</v>
      </c>
      <c r="S1102" s="77">
        <f t="shared" si="220"/>
        <v>695</v>
      </c>
      <c r="T1102" s="77">
        <f t="shared" si="220"/>
        <v>33.333333333333336</v>
      </c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</row>
    <row r="1103" spans="1:30" ht="15" x14ac:dyDescent="0.2">
      <c r="A1103" s="10">
        <f t="shared" si="210"/>
        <v>2047</v>
      </c>
      <c r="B1103" s="10">
        <f t="shared" si="218"/>
        <v>365</v>
      </c>
      <c r="C1103" s="77">
        <f t="shared" ref="C1103:T1103" si="221">AVERAGE(C420:C431)</f>
        <v>154.75825</v>
      </c>
      <c r="D1103" s="77">
        <f t="shared" si="221"/>
        <v>281.0162499999999</v>
      </c>
      <c r="E1103" s="77">
        <f t="shared" si="221"/>
        <v>109.1005</v>
      </c>
      <c r="F1103" s="77">
        <f t="shared" si="221"/>
        <v>57.041666666666664</v>
      </c>
      <c r="G1103" s="77">
        <f t="shared" si="221"/>
        <v>40</v>
      </c>
      <c r="H1103" s="77">
        <f t="shared" si="221"/>
        <v>174.58333333333334</v>
      </c>
      <c r="I1103" s="77">
        <f t="shared" si="221"/>
        <v>0</v>
      </c>
      <c r="J1103" s="77">
        <f t="shared" si="221"/>
        <v>100</v>
      </c>
      <c r="K1103" s="77">
        <f t="shared" si="221"/>
        <v>300</v>
      </c>
      <c r="L1103" s="77">
        <f t="shared" si="221"/>
        <v>1216.5</v>
      </c>
      <c r="M1103" s="79">
        <f t="shared" si="221"/>
        <v>600</v>
      </c>
      <c r="N1103" s="77">
        <f t="shared" si="221"/>
        <v>72.5</v>
      </c>
      <c r="O1103" s="80">
        <f t="shared" si="221"/>
        <v>240</v>
      </c>
      <c r="P1103" s="80">
        <f t="shared" si="221"/>
        <v>110</v>
      </c>
      <c r="Q1103" s="80">
        <f t="shared" si="221"/>
        <v>245</v>
      </c>
      <c r="R1103" s="80">
        <f t="shared" si="221"/>
        <v>100</v>
      </c>
      <c r="S1103" s="77">
        <f t="shared" si="221"/>
        <v>695</v>
      </c>
      <c r="T1103" s="77">
        <f t="shared" si="221"/>
        <v>33.333333333333336</v>
      </c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</row>
    <row r="1104" spans="1:30" ht="15" x14ac:dyDescent="0.2">
      <c r="A1104" s="10">
        <f t="shared" si="210"/>
        <v>2048</v>
      </c>
      <c r="B1104" s="10">
        <f t="shared" si="218"/>
        <v>366</v>
      </c>
      <c r="C1104" s="77">
        <f t="shared" ref="C1104:T1104" si="222">AVERAGE(C432:C443)</f>
        <v>154.75825</v>
      </c>
      <c r="D1104" s="77">
        <f t="shared" si="222"/>
        <v>281.0162499999999</v>
      </c>
      <c r="E1104" s="77">
        <f t="shared" si="222"/>
        <v>109.1005</v>
      </c>
      <c r="F1104" s="77">
        <f t="shared" si="222"/>
        <v>57.041666666666664</v>
      </c>
      <c r="G1104" s="77">
        <f t="shared" si="222"/>
        <v>40</v>
      </c>
      <c r="H1104" s="77">
        <f t="shared" si="222"/>
        <v>174.58333333333334</v>
      </c>
      <c r="I1104" s="77">
        <f t="shared" si="222"/>
        <v>0</v>
      </c>
      <c r="J1104" s="77">
        <f t="shared" si="222"/>
        <v>100</v>
      </c>
      <c r="K1104" s="77">
        <f t="shared" si="222"/>
        <v>300</v>
      </c>
      <c r="L1104" s="77">
        <f t="shared" si="222"/>
        <v>1216.5</v>
      </c>
      <c r="M1104" s="79">
        <f t="shared" si="222"/>
        <v>600</v>
      </c>
      <c r="N1104" s="77">
        <f t="shared" si="222"/>
        <v>72.5</v>
      </c>
      <c r="O1104" s="80">
        <f t="shared" si="222"/>
        <v>240</v>
      </c>
      <c r="P1104" s="80">
        <f t="shared" si="222"/>
        <v>110</v>
      </c>
      <c r="Q1104" s="80">
        <f t="shared" si="222"/>
        <v>245</v>
      </c>
      <c r="R1104" s="80">
        <f t="shared" si="222"/>
        <v>100</v>
      </c>
      <c r="S1104" s="77">
        <f t="shared" si="222"/>
        <v>695</v>
      </c>
      <c r="T1104" s="77">
        <f t="shared" si="222"/>
        <v>33.333333333333336</v>
      </c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</row>
    <row r="1105" spans="1:30" ht="15" x14ac:dyDescent="0.2">
      <c r="A1105" s="10">
        <f t="shared" si="210"/>
        <v>2049</v>
      </c>
      <c r="B1105" s="10">
        <f t="shared" si="218"/>
        <v>365</v>
      </c>
      <c r="C1105" s="77">
        <f t="shared" ref="C1105:T1105" si="223">AVERAGE(C444:C455)</f>
        <v>154.75825</v>
      </c>
      <c r="D1105" s="77">
        <f t="shared" si="223"/>
        <v>281.0162499999999</v>
      </c>
      <c r="E1105" s="77">
        <f t="shared" si="223"/>
        <v>109.1005</v>
      </c>
      <c r="F1105" s="77">
        <f t="shared" si="223"/>
        <v>57.041666666666664</v>
      </c>
      <c r="G1105" s="77">
        <f t="shared" si="223"/>
        <v>40</v>
      </c>
      <c r="H1105" s="77">
        <f t="shared" si="223"/>
        <v>174.58333333333334</v>
      </c>
      <c r="I1105" s="77">
        <f t="shared" si="223"/>
        <v>0</v>
      </c>
      <c r="J1105" s="77">
        <f t="shared" si="223"/>
        <v>100</v>
      </c>
      <c r="K1105" s="77">
        <f t="shared" si="223"/>
        <v>300</v>
      </c>
      <c r="L1105" s="77">
        <f t="shared" si="223"/>
        <v>1216.5</v>
      </c>
      <c r="M1105" s="79">
        <f t="shared" si="223"/>
        <v>600</v>
      </c>
      <c r="N1105" s="77">
        <f t="shared" si="223"/>
        <v>72.5</v>
      </c>
      <c r="O1105" s="80">
        <f t="shared" si="223"/>
        <v>240</v>
      </c>
      <c r="P1105" s="80">
        <f t="shared" si="223"/>
        <v>110</v>
      </c>
      <c r="Q1105" s="80">
        <f t="shared" si="223"/>
        <v>245</v>
      </c>
      <c r="R1105" s="80">
        <f t="shared" si="223"/>
        <v>100</v>
      </c>
      <c r="S1105" s="77">
        <f t="shared" si="223"/>
        <v>695</v>
      </c>
      <c r="T1105" s="77">
        <f t="shared" si="223"/>
        <v>33.333333333333336</v>
      </c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</row>
    <row r="1106" spans="1:30" ht="15" x14ac:dyDescent="0.2">
      <c r="A1106" s="10">
        <f t="shared" si="210"/>
        <v>2050</v>
      </c>
      <c r="B1106" s="10">
        <f t="shared" si="218"/>
        <v>365</v>
      </c>
      <c r="C1106" s="77">
        <f t="shared" ref="C1106:T1106" si="224">AVERAGE(C456:C467)</f>
        <v>154.75825</v>
      </c>
      <c r="D1106" s="77">
        <f t="shared" si="224"/>
        <v>281.0162499999999</v>
      </c>
      <c r="E1106" s="77">
        <f t="shared" si="224"/>
        <v>109.1005</v>
      </c>
      <c r="F1106" s="77">
        <f t="shared" si="224"/>
        <v>57.041666666666664</v>
      </c>
      <c r="G1106" s="77">
        <f t="shared" si="224"/>
        <v>40</v>
      </c>
      <c r="H1106" s="77">
        <f t="shared" si="224"/>
        <v>174.58333333333334</v>
      </c>
      <c r="I1106" s="77">
        <f t="shared" si="224"/>
        <v>0</v>
      </c>
      <c r="J1106" s="77">
        <f t="shared" si="224"/>
        <v>100</v>
      </c>
      <c r="K1106" s="77">
        <f t="shared" si="224"/>
        <v>300</v>
      </c>
      <c r="L1106" s="77">
        <f t="shared" si="224"/>
        <v>1216.5</v>
      </c>
      <c r="M1106" s="79">
        <f t="shared" si="224"/>
        <v>600</v>
      </c>
      <c r="N1106" s="77">
        <f t="shared" si="224"/>
        <v>72.5</v>
      </c>
      <c r="O1106" s="80">
        <f t="shared" si="224"/>
        <v>240</v>
      </c>
      <c r="P1106" s="80">
        <f t="shared" si="224"/>
        <v>110</v>
      </c>
      <c r="Q1106" s="80">
        <f t="shared" si="224"/>
        <v>245</v>
      </c>
      <c r="R1106" s="80">
        <f t="shared" si="224"/>
        <v>100</v>
      </c>
      <c r="S1106" s="77">
        <f t="shared" si="224"/>
        <v>695</v>
      </c>
      <c r="T1106" s="77">
        <f t="shared" si="224"/>
        <v>33.333333333333336</v>
      </c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</row>
    <row r="1107" spans="1:30" ht="15" x14ac:dyDescent="0.2">
      <c r="A1107" s="10">
        <f t="shared" si="210"/>
        <v>2051</v>
      </c>
      <c r="B1107" s="10">
        <f t="shared" si="218"/>
        <v>365</v>
      </c>
      <c r="C1107" s="77">
        <f t="shared" ref="C1107:T1107" si="225">AVERAGE(C468:C479)</f>
        <v>154.75825</v>
      </c>
      <c r="D1107" s="77">
        <f t="shared" si="225"/>
        <v>281.0162499999999</v>
      </c>
      <c r="E1107" s="77">
        <f t="shared" si="225"/>
        <v>109.1005</v>
      </c>
      <c r="F1107" s="77">
        <f t="shared" si="225"/>
        <v>57.041666666666664</v>
      </c>
      <c r="G1107" s="77">
        <f t="shared" si="225"/>
        <v>40</v>
      </c>
      <c r="H1107" s="77">
        <f t="shared" si="225"/>
        <v>174.58333333333334</v>
      </c>
      <c r="I1107" s="77">
        <f t="shared" si="225"/>
        <v>0</v>
      </c>
      <c r="J1107" s="77">
        <f t="shared" si="225"/>
        <v>100</v>
      </c>
      <c r="K1107" s="77">
        <f t="shared" si="225"/>
        <v>300</v>
      </c>
      <c r="L1107" s="77">
        <f t="shared" si="225"/>
        <v>1216.5</v>
      </c>
      <c r="M1107" s="79">
        <f t="shared" si="225"/>
        <v>600</v>
      </c>
      <c r="N1107" s="77">
        <f t="shared" si="225"/>
        <v>72.5</v>
      </c>
      <c r="O1107" s="80">
        <f t="shared" si="225"/>
        <v>240</v>
      </c>
      <c r="P1107" s="80">
        <f t="shared" si="225"/>
        <v>110</v>
      </c>
      <c r="Q1107" s="80">
        <f t="shared" si="225"/>
        <v>245</v>
      </c>
      <c r="R1107" s="80">
        <f t="shared" si="225"/>
        <v>100</v>
      </c>
      <c r="S1107" s="77">
        <f t="shared" si="225"/>
        <v>695</v>
      </c>
      <c r="T1107" s="77">
        <f t="shared" si="225"/>
        <v>33.333333333333336</v>
      </c>
      <c r="U1107" s="78"/>
      <c r="V1107" s="78"/>
      <c r="W1107" s="78"/>
      <c r="X1107" s="78"/>
      <c r="Y1107" s="78"/>
      <c r="Z1107" s="78"/>
      <c r="AA1107" s="78"/>
      <c r="AB1107" s="78"/>
      <c r="AC1107" s="78"/>
      <c r="AD1107" s="78"/>
    </row>
    <row r="1108" spans="1:30" ht="15" x14ac:dyDescent="0.2">
      <c r="A1108" s="10">
        <f t="shared" si="210"/>
        <v>2052</v>
      </c>
      <c r="B1108" s="10">
        <f t="shared" si="218"/>
        <v>366</v>
      </c>
      <c r="C1108" s="77">
        <f t="shared" ref="C1108:T1108" si="226">AVERAGE(C480:C491)</f>
        <v>154.75825</v>
      </c>
      <c r="D1108" s="77">
        <f t="shared" si="226"/>
        <v>281.0162499999999</v>
      </c>
      <c r="E1108" s="77">
        <f t="shared" si="226"/>
        <v>109.1005</v>
      </c>
      <c r="F1108" s="77">
        <f t="shared" si="226"/>
        <v>57.041666666666664</v>
      </c>
      <c r="G1108" s="77">
        <f t="shared" si="226"/>
        <v>40</v>
      </c>
      <c r="H1108" s="77">
        <f t="shared" si="226"/>
        <v>174.58333333333334</v>
      </c>
      <c r="I1108" s="77">
        <f t="shared" si="226"/>
        <v>0</v>
      </c>
      <c r="J1108" s="77">
        <f t="shared" si="226"/>
        <v>100</v>
      </c>
      <c r="K1108" s="77">
        <f t="shared" si="226"/>
        <v>300</v>
      </c>
      <c r="L1108" s="77">
        <f t="shared" si="226"/>
        <v>1216.5</v>
      </c>
      <c r="M1108" s="79">
        <f t="shared" si="226"/>
        <v>600</v>
      </c>
      <c r="N1108" s="77">
        <f t="shared" si="226"/>
        <v>72.5</v>
      </c>
      <c r="O1108" s="80">
        <f t="shared" si="226"/>
        <v>240</v>
      </c>
      <c r="P1108" s="80">
        <f t="shared" si="226"/>
        <v>110</v>
      </c>
      <c r="Q1108" s="80">
        <f t="shared" si="226"/>
        <v>245</v>
      </c>
      <c r="R1108" s="80">
        <f t="shared" si="226"/>
        <v>100</v>
      </c>
      <c r="S1108" s="77">
        <f t="shared" si="226"/>
        <v>695</v>
      </c>
      <c r="T1108" s="77">
        <f t="shared" si="226"/>
        <v>33.333333333333336</v>
      </c>
      <c r="U1108" s="78"/>
      <c r="V1108" s="78"/>
      <c r="W1108" s="78"/>
      <c r="X1108" s="78"/>
      <c r="Y1108" s="78"/>
      <c r="Z1108" s="78"/>
      <c r="AA1108" s="78"/>
      <c r="AB1108" s="78"/>
      <c r="AC1108" s="78"/>
      <c r="AD1108" s="78"/>
    </row>
    <row r="1109" spans="1:30" ht="15" x14ac:dyDescent="0.2">
      <c r="A1109" s="10">
        <f t="shared" si="210"/>
        <v>2053</v>
      </c>
      <c r="B1109" s="10">
        <f t="shared" si="218"/>
        <v>365</v>
      </c>
      <c r="C1109" s="77">
        <f t="shared" ref="C1109:T1109" si="227">AVERAGE(C492:C503)</f>
        <v>154.75825</v>
      </c>
      <c r="D1109" s="77">
        <f t="shared" si="227"/>
        <v>281.0162499999999</v>
      </c>
      <c r="E1109" s="77">
        <f t="shared" si="227"/>
        <v>109.1005</v>
      </c>
      <c r="F1109" s="77">
        <f t="shared" si="227"/>
        <v>57.041666666666664</v>
      </c>
      <c r="G1109" s="77">
        <f t="shared" si="227"/>
        <v>40</v>
      </c>
      <c r="H1109" s="77">
        <f t="shared" si="227"/>
        <v>174.58333333333334</v>
      </c>
      <c r="I1109" s="77">
        <f t="shared" si="227"/>
        <v>0</v>
      </c>
      <c r="J1109" s="77">
        <f t="shared" si="227"/>
        <v>100</v>
      </c>
      <c r="K1109" s="77">
        <f t="shared" si="227"/>
        <v>300</v>
      </c>
      <c r="L1109" s="77">
        <f t="shared" si="227"/>
        <v>1216.5</v>
      </c>
      <c r="M1109" s="79">
        <f t="shared" si="227"/>
        <v>600</v>
      </c>
      <c r="N1109" s="77">
        <f t="shared" si="227"/>
        <v>72.5</v>
      </c>
      <c r="O1109" s="80">
        <f t="shared" si="227"/>
        <v>240</v>
      </c>
      <c r="P1109" s="80">
        <f t="shared" si="227"/>
        <v>110</v>
      </c>
      <c r="Q1109" s="80">
        <f t="shared" si="227"/>
        <v>245</v>
      </c>
      <c r="R1109" s="80">
        <f t="shared" si="227"/>
        <v>100</v>
      </c>
      <c r="S1109" s="77">
        <f t="shared" si="227"/>
        <v>695</v>
      </c>
      <c r="T1109" s="77">
        <f t="shared" si="227"/>
        <v>33.333333333333336</v>
      </c>
      <c r="U1109" s="78"/>
      <c r="V1109" s="78"/>
      <c r="W1109" s="78"/>
      <c r="X1109" s="78"/>
      <c r="Y1109" s="78"/>
      <c r="Z1109" s="78"/>
      <c r="AA1109" s="78"/>
      <c r="AB1109" s="78"/>
      <c r="AC1109" s="78"/>
      <c r="AD1109" s="78"/>
    </row>
    <row r="1110" spans="1:30" ht="15" x14ac:dyDescent="0.2">
      <c r="A1110" s="10">
        <f t="shared" si="210"/>
        <v>2054</v>
      </c>
      <c r="B1110" s="10">
        <f t="shared" si="218"/>
        <v>365</v>
      </c>
      <c r="C1110" s="77">
        <f t="shared" ref="C1110:T1110" si="228">AVERAGE(C504:C515)</f>
        <v>154.75825</v>
      </c>
      <c r="D1110" s="77">
        <f t="shared" si="228"/>
        <v>281.0162499999999</v>
      </c>
      <c r="E1110" s="77">
        <f t="shared" si="228"/>
        <v>109.1005</v>
      </c>
      <c r="F1110" s="77">
        <f t="shared" si="228"/>
        <v>57.041666666666664</v>
      </c>
      <c r="G1110" s="77">
        <f t="shared" si="228"/>
        <v>40</v>
      </c>
      <c r="H1110" s="77">
        <f t="shared" si="228"/>
        <v>174.58333333333334</v>
      </c>
      <c r="I1110" s="77">
        <f t="shared" si="228"/>
        <v>0</v>
      </c>
      <c r="J1110" s="77">
        <f t="shared" si="228"/>
        <v>100</v>
      </c>
      <c r="K1110" s="77">
        <f t="shared" si="228"/>
        <v>300</v>
      </c>
      <c r="L1110" s="77">
        <f t="shared" si="228"/>
        <v>1216.5</v>
      </c>
      <c r="M1110" s="79">
        <f t="shared" si="228"/>
        <v>600</v>
      </c>
      <c r="N1110" s="77">
        <f t="shared" si="228"/>
        <v>72.5</v>
      </c>
      <c r="O1110" s="77">
        <f t="shared" si="228"/>
        <v>240</v>
      </c>
      <c r="P1110" s="77">
        <f t="shared" si="228"/>
        <v>110</v>
      </c>
      <c r="Q1110" s="77">
        <f t="shared" si="228"/>
        <v>245</v>
      </c>
      <c r="R1110" s="77">
        <f t="shared" si="228"/>
        <v>100</v>
      </c>
      <c r="S1110" s="77">
        <f t="shared" si="228"/>
        <v>695</v>
      </c>
      <c r="T1110" s="77">
        <f t="shared" si="228"/>
        <v>33.333333333333336</v>
      </c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</row>
    <row r="1111" spans="1:30" ht="15" x14ac:dyDescent="0.2">
      <c r="A1111" s="10">
        <f t="shared" si="210"/>
        <v>2055</v>
      </c>
      <c r="B1111" s="10">
        <f t="shared" si="218"/>
        <v>365</v>
      </c>
      <c r="C1111" s="77">
        <f t="shared" ref="C1111:T1111" si="229">AVERAGE(C505:C516)</f>
        <v>154.75825</v>
      </c>
      <c r="D1111" s="77">
        <f t="shared" si="229"/>
        <v>281.0162499999999</v>
      </c>
      <c r="E1111" s="77">
        <f t="shared" si="229"/>
        <v>109.1005</v>
      </c>
      <c r="F1111" s="77">
        <f t="shared" si="229"/>
        <v>57.041666666666657</v>
      </c>
      <c r="G1111" s="77">
        <f t="shared" si="229"/>
        <v>40</v>
      </c>
      <c r="H1111" s="77">
        <f t="shared" si="229"/>
        <v>174.58333333333334</v>
      </c>
      <c r="I1111" s="77">
        <f t="shared" si="229"/>
        <v>0</v>
      </c>
      <c r="J1111" s="77">
        <f t="shared" si="229"/>
        <v>100</v>
      </c>
      <c r="K1111" s="77">
        <f t="shared" si="229"/>
        <v>300</v>
      </c>
      <c r="L1111" s="77">
        <f t="shared" si="229"/>
        <v>1216.5</v>
      </c>
      <c r="M1111" s="79">
        <f t="shared" si="229"/>
        <v>600</v>
      </c>
      <c r="N1111" s="77">
        <f t="shared" si="229"/>
        <v>72.5</v>
      </c>
      <c r="O1111" s="77">
        <f t="shared" si="229"/>
        <v>240</v>
      </c>
      <c r="P1111" s="77">
        <f t="shared" si="229"/>
        <v>110</v>
      </c>
      <c r="Q1111" s="77">
        <f t="shared" si="229"/>
        <v>245</v>
      </c>
      <c r="R1111" s="77">
        <f t="shared" si="229"/>
        <v>100</v>
      </c>
      <c r="S1111" s="77">
        <f t="shared" si="229"/>
        <v>695</v>
      </c>
      <c r="T1111" s="77">
        <f t="shared" si="229"/>
        <v>33.333333333333336</v>
      </c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</row>
    <row r="1112" spans="1:30" ht="15" x14ac:dyDescent="0.2">
      <c r="A1112" s="10">
        <f t="shared" si="210"/>
        <v>2056</v>
      </c>
      <c r="B1112" s="10">
        <f t="shared" si="218"/>
        <v>366</v>
      </c>
      <c r="C1112" s="77">
        <f t="shared" ref="C1112:T1112" si="230">AVERAGE(C506:C517)</f>
        <v>154.75824999999998</v>
      </c>
      <c r="D1112" s="77">
        <f t="shared" si="230"/>
        <v>281.0162499999999</v>
      </c>
      <c r="E1112" s="77">
        <f t="shared" si="230"/>
        <v>109.1005</v>
      </c>
      <c r="F1112" s="77">
        <f t="shared" si="230"/>
        <v>57.041666666666664</v>
      </c>
      <c r="G1112" s="77">
        <f t="shared" si="230"/>
        <v>40</v>
      </c>
      <c r="H1112" s="77">
        <f t="shared" si="230"/>
        <v>174.58333333333334</v>
      </c>
      <c r="I1112" s="77">
        <f t="shared" si="230"/>
        <v>0</v>
      </c>
      <c r="J1112" s="77">
        <f t="shared" si="230"/>
        <v>100</v>
      </c>
      <c r="K1112" s="77">
        <f t="shared" si="230"/>
        <v>300</v>
      </c>
      <c r="L1112" s="77">
        <f t="shared" si="230"/>
        <v>1216.5</v>
      </c>
      <c r="M1112" s="79">
        <f t="shared" si="230"/>
        <v>600</v>
      </c>
      <c r="N1112" s="77">
        <f t="shared" si="230"/>
        <v>72.5</v>
      </c>
      <c r="O1112" s="77">
        <f t="shared" si="230"/>
        <v>240</v>
      </c>
      <c r="P1112" s="77">
        <f t="shared" si="230"/>
        <v>110</v>
      </c>
      <c r="Q1112" s="77">
        <f t="shared" si="230"/>
        <v>245</v>
      </c>
      <c r="R1112" s="77">
        <f t="shared" si="230"/>
        <v>100</v>
      </c>
      <c r="S1112" s="77">
        <f t="shared" si="230"/>
        <v>695</v>
      </c>
      <c r="T1112" s="77">
        <f t="shared" si="230"/>
        <v>33.333333333333336</v>
      </c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</row>
    <row r="1113" spans="1:30" ht="15" x14ac:dyDescent="0.2">
      <c r="A1113" s="10">
        <f t="shared" si="210"/>
        <v>2057</v>
      </c>
      <c r="B1113" s="10">
        <f t="shared" si="218"/>
        <v>365</v>
      </c>
      <c r="C1113" s="77">
        <f t="shared" ref="C1113:T1113" si="231">AVERAGE(C507:C518)</f>
        <v>154.75825</v>
      </c>
      <c r="D1113" s="77">
        <f t="shared" si="231"/>
        <v>281.0162499999999</v>
      </c>
      <c r="E1113" s="77">
        <f t="shared" si="231"/>
        <v>109.1005</v>
      </c>
      <c r="F1113" s="77">
        <f t="shared" si="231"/>
        <v>57.041666666666664</v>
      </c>
      <c r="G1113" s="77">
        <f t="shared" si="231"/>
        <v>40</v>
      </c>
      <c r="H1113" s="77">
        <f t="shared" si="231"/>
        <v>174.58333333333334</v>
      </c>
      <c r="I1113" s="77">
        <f t="shared" si="231"/>
        <v>0</v>
      </c>
      <c r="J1113" s="77">
        <f t="shared" si="231"/>
        <v>100</v>
      </c>
      <c r="K1113" s="77">
        <f t="shared" si="231"/>
        <v>300</v>
      </c>
      <c r="L1113" s="77">
        <f t="shared" si="231"/>
        <v>1216.5</v>
      </c>
      <c r="M1113" s="79">
        <f t="shared" si="231"/>
        <v>600</v>
      </c>
      <c r="N1113" s="77">
        <f t="shared" si="231"/>
        <v>72.5</v>
      </c>
      <c r="O1113" s="77">
        <f t="shared" si="231"/>
        <v>240</v>
      </c>
      <c r="P1113" s="77">
        <f t="shared" si="231"/>
        <v>110</v>
      </c>
      <c r="Q1113" s="77">
        <f t="shared" si="231"/>
        <v>245</v>
      </c>
      <c r="R1113" s="77">
        <f t="shared" si="231"/>
        <v>100</v>
      </c>
      <c r="S1113" s="77">
        <f t="shared" si="231"/>
        <v>695</v>
      </c>
      <c r="T1113" s="77">
        <f t="shared" si="231"/>
        <v>33.333333333333336</v>
      </c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</row>
    <row r="1114" spans="1:30" ht="15" x14ac:dyDescent="0.2">
      <c r="A1114" s="10">
        <f t="shared" si="210"/>
        <v>2058</v>
      </c>
      <c r="B1114" s="10">
        <f t="shared" si="218"/>
        <v>365</v>
      </c>
      <c r="C1114" s="77">
        <f t="shared" ref="C1114:T1114" si="232">AVERAGE(C508:C519)</f>
        <v>154.75824999999998</v>
      </c>
      <c r="D1114" s="77">
        <f t="shared" si="232"/>
        <v>281.01624999999996</v>
      </c>
      <c r="E1114" s="77">
        <f t="shared" si="232"/>
        <v>109.10050000000001</v>
      </c>
      <c r="F1114" s="77">
        <f t="shared" si="232"/>
        <v>57.041666666666664</v>
      </c>
      <c r="G1114" s="77">
        <f t="shared" si="232"/>
        <v>40</v>
      </c>
      <c r="H1114" s="77">
        <f t="shared" si="232"/>
        <v>174.58333333333334</v>
      </c>
      <c r="I1114" s="77">
        <f t="shared" si="232"/>
        <v>0</v>
      </c>
      <c r="J1114" s="77">
        <f t="shared" si="232"/>
        <v>100</v>
      </c>
      <c r="K1114" s="77">
        <f t="shared" si="232"/>
        <v>300</v>
      </c>
      <c r="L1114" s="77">
        <f t="shared" si="232"/>
        <v>1216.5</v>
      </c>
      <c r="M1114" s="79">
        <f t="shared" si="232"/>
        <v>600</v>
      </c>
      <c r="N1114" s="77">
        <f t="shared" si="232"/>
        <v>72.5</v>
      </c>
      <c r="O1114" s="77">
        <f t="shared" si="232"/>
        <v>240</v>
      </c>
      <c r="P1114" s="77">
        <f t="shared" si="232"/>
        <v>110</v>
      </c>
      <c r="Q1114" s="77">
        <f t="shared" si="232"/>
        <v>245</v>
      </c>
      <c r="R1114" s="77">
        <f t="shared" si="232"/>
        <v>100</v>
      </c>
      <c r="S1114" s="77">
        <f t="shared" si="232"/>
        <v>695</v>
      </c>
      <c r="T1114" s="77">
        <f t="shared" si="232"/>
        <v>33.333333333333336</v>
      </c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</row>
    <row r="1115" spans="1:30" ht="15" x14ac:dyDescent="0.2">
      <c r="A1115" s="10">
        <f t="shared" si="210"/>
        <v>2059</v>
      </c>
      <c r="B1115" s="10">
        <f t="shared" si="218"/>
        <v>365</v>
      </c>
      <c r="C1115" s="77">
        <f t="shared" ref="C1115:T1115" si="233">AVERAGE(C509:C520)</f>
        <v>154.75824999999998</v>
      </c>
      <c r="D1115" s="77">
        <f t="shared" si="233"/>
        <v>281.01624999999996</v>
      </c>
      <c r="E1115" s="77">
        <f t="shared" si="233"/>
        <v>109.10050000000001</v>
      </c>
      <c r="F1115" s="77">
        <f t="shared" si="233"/>
        <v>57.041666666666664</v>
      </c>
      <c r="G1115" s="77">
        <f t="shared" si="233"/>
        <v>40</v>
      </c>
      <c r="H1115" s="77">
        <f t="shared" si="233"/>
        <v>174.58333333333334</v>
      </c>
      <c r="I1115" s="77">
        <f t="shared" si="233"/>
        <v>0</v>
      </c>
      <c r="J1115" s="77">
        <f t="shared" si="233"/>
        <v>100</v>
      </c>
      <c r="K1115" s="77">
        <f t="shared" si="233"/>
        <v>300</v>
      </c>
      <c r="L1115" s="77">
        <f t="shared" si="233"/>
        <v>1216.5</v>
      </c>
      <c r="M1115" s="79">
        <f t="shared" si="233"/>
        <v>600</v>
      </c>
      <c r="N1115" s="77">
        <f t="shared" si="233"/>
        <v>72.5</v>
      </c>
      <c r="O1115" s="77">
        <f t="shared" si="233"/>
        <v>240</v>
      </c>
      <c r="P1115" s="77">
        <f t="shared" si="233"/>
        <v>110</v>
      </c>
      <c r="Q1115" s="77">
        <f t="shared" si="233"/>
        <v>245</v>
      </c>
      <c r="R1115" s="77">
        <f t="shared" si="233"/>
        <v>100</v>
      </c>
      <c r="S1115" s="77">
        <f t="shared" si="233"/>
        <v>695</v>
      </c>
      <c r="T1115" s="77">
        <f t="shared" si="233"/>
        <v>33.333333333333336</v>
      </c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</row>
    <row r="1116" spans="1:30" ht="15" x14ac:dyDescent="0.2">
      <c r="A1116" s="10">
        <f t="shared" si="210"/>
        <v>2060</v>
      </c>
      <c r="B1116" s="10">
        <f t="shared" si="218"/>
        <v>366</v>
      </c>
      <c r="C1116" s="77">
        <f t="shared" ref="C1116:T1116" si="234">AVERAGE(C510:C521)</f>
        <v>154.75824999999998</v>
      </c>
      <c r="D1116" s="77">
        <f t="shared" si="234"/>
        <v>281.01624999999996</v>
      </c>
      <c r="E1116" s="77">
        <f t="shared" si="234"/>
        <v>109.10050000000001</v>
      </c>
      <c r="F1116" s="77">
        <f t="shared" si="234"/>
        <v>57.041666666666664</v>
      </c>
      <c r="G1116" s="77">
        <f t="shared" si="234"/>
        <v>40</v>
      </c>
      <c r="H1116" s="77">
        <f t="shared" si="234"/>
        <v>174.58333333333334</v>
      </c>
      <c r="I1116" s="77">
        <f t="shared" si="234"/>
        <v>0</v>
      </c>
      <c r="J1116" s="77">
        <f t="shared" si="234"/>
        <v>100</v>
      </c>
      <c r="K1116" s="77">
        <f t="shared" si="234"/>
        <v>300</v>
      </c>
      <c r="L1116" s="77">
        <f t="shared" si="234"/>
        <v>1216.5</v>
      </c>
      <c r="M1116" s="79">
        <f t="shared" si="234"/>
        <v>600</v>
      </c>
      <c r="N1116" s="77">
        <f t="shared" si="234"/>
        <v>72.5</v>
      </c>
      <c r="O1116" s="77">
        <f t="shared" si="234"/>
        <v>240</v>
      </c>
      <c r="P1116" s="77">
        <f t="shared" si="234"/>
        <v>110</v>
      </c>
      <c r="Q1116" s="77">
        <f t="shared" si="234"/>
        <v>245</v>
      </c>
      <c r="R1116" s="77">
        <f t="shared" si="234"/>
        <v>100</v>
      </c>
      <c r="S1116" s="77">
        <f t="shared" si="234"/>
        <v>695</v>
      </c>
      <c r="T1116" s="77">
        <f t="shared" si="234"/>
        <v>33.333333333333336</v>
      </c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</row>
    <row r="1117" spans="1:30" ht="15" x14ac:dyDescent="0.2">
      <c r="A1117" s="10">
        <f t="shared" si="210"/>
        <v>2061</v>
      </c>
      <c r="B1117" s="10">
        <f t="shared" si="218"/>
        <v>365</v>
      </c>
      <c r="C1117" s="77">
        <f t="shared" ref="C1117:T1117" si="235">AVERAGE(C511:C522)</f>
        <v>154.75825</v>
      </c>
      <c r="D1117" s="77">
        <f t="shared" si="235"/>
        <v>281.01624999999996</v>
      </c>
      <c r="E1117" s="77">
        <f t="shared" si="235"/>
        <v>109.10050000000001</v>
      </c>
      <c r="F1117" s="77">
        <f t="shared" si="235"/>
        <v>57.04166666666665</v>
      </c>
      <c r="G1117" s="77">
        <f t="shared" si="235"/>
        <v>40</v>
      </c>
      <c r="H1117" s="77">
        <f t="shared" si="235"/>
        <v>174.58333333333334</v>
      </c>
      <c r="I1117" s="77">
        <f t="shared" si="235"/>
        <v>0</v>
      </c>
      <c r="J1117" s="77">
        <f t="shared" si="235"/>
        <v>100</v>
      </c>
      <c r="K1117" s="77">
        <f t="shared" si="235"/>
        <v>300</v>
      </c>
      <c r="L1117" s="77">
        <f t="shared" si="235"/>
        <v>1216.5</v>
      </c>
      <c r="M1117" s="79">
        <f t="shared" si="235"/>
        <v>600</v>
      </c>
      <c r="N1117" s="77">
        <f t="shared" si="235"/>
        <v>72.5</v>
      </c>
      <c r="O1117" s="77">
        <f t="shared" si="235"/>
        <v>240</v>
      </c>
      <c r="P1117" s="77">
        <f t="shared" si="235"/>
        <v>110</v>
      </c>
      <c r="Q1117" s="77">
        <f t="shared" si="235"/>
        <v>245</v>
      </c>
      <c r="R1117" s="77">
        <f t="shared" si="235"/>
        <v>100</v>
      </c>
      <c r="S1117" s="77">
        <f t="shared" si="235"/>
        <v>695</v>
      </c>
      <c r="T1117" s="77">
        <f t="shared" si="235"/>
        <v>33.333333333333336</v>
      </c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</row>
    <row r="1118" spans="1:30" ht="15" x14ac:dyDescent="0.2">
      <c r="A1118" s="10">
        <f t="shared" si="210"/>
        <v>2062</v>
      </c>
      <c r="B1118" s="10">
        <f t="shared" si="218"/>
        <v>365</v>
      </c>
      <c r="C1118" s="77">
        <f t="shared" ref="C1118:L1127" ca="1" si="236">AVERAGE(OFFSET(C$600,($A1118-$A$1118)*12,0,12,1))</f>
        <v>154.75825</v>
      </c>
      <c r="D1118" s="77">
        <f t="shared" ca="1" si="236"/>
        <v>281.0162499999999</v>
      </c>
      <c r="E1118" s="77">
        <f t="shared" ca="1" si="236"/>
        <v>109.1005</v>
      </c>
      <c r="F1118" s="77">
        <f t="shared" ca="1" si="236"/>
        <v>57.041666666666664</v>
      </c>
      <c r="G1118" s="77">
        <f t="shared" ca="1" si="236"/>
        <v>40</v>
      </c>
      <c r="H1118" s="77">
        <f t="shared" ca="1" si="236"/>
        <v>174.58333333333334</v>
      </c>
      <c r="I1118" s="77">
        <f t="shared" ca="1" si="236"/>
        <v>0</v>
      </c>
      <c r="J1118" s="77">
        <f t="shared" ca="1" si="236"/>
        <v>100</v>
      </c>
      <c r="K1118" s="77">
        <f t="shared" ca="1" si="236"/>
        <v>300</v>
      </c>
      <c r="L1118" s="77">
        <f t="shared" ca="1" si="236"/>
        <v>1216.5</v>
      </c>
      <c r="M1118" s="77">
        <f t="shared" ref="M1118:T1127" ca="1" si="237">AVERAGE(OFFSET(M$600,($A1118-$A$1118)*12,0,12,1))</f>
        <v>600</v>
      </c>
      <c r="N1118" s="77">
        <f t="shared" ca="1" si="237"/>
        <v>72.5</v>
      </c>
      <c r="O1118" s="77">
        <f t="shared" ca="1" si="237"/>
        <v>240</v>
      </c>
      <c r="P1118" s="77">
        <f t="shared" ca="1" si="237"/>
        <v>40</v>
      </c>
      <c r="Q1118" s="77">
        <f t="shared" ca="1" si="237"/>
        <v>315</v>
      </c>
      <c r="R1118" s="77">
        <f t="shared" ca="1" si="237"/>
        <v>100</v>
      </c>
      <c r="S1118" s="77">
        <f t="shared" ca="1" si="237"/>
        <v>695</v>
      </c>
      <c r="T1118" s="77">
        <f t="shared" ca="1" si="237"/>
        <v>33.333333333333336</v>
      </c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</row>
    <row r="1119" spans="1:30" ht="15" x14ac:dyDescent="0.2">
      <c r="A1119" s="10">
        <f t="shared" si="210"/>
        <v>2063</v>
      </c>
      <c r="B1119" s="10">
        <f t="shared" si="218"/>
        <v>365</v>
      </c>
      <c r="C1119" s="77">
        <f t="shared" ca="1" si="236"/>
        <v>154.75825</v>
      </c>
      <c r="D1119" s="77">
        <f t="shared" ca="1" si="236"/>
        <v>281.0162499999999</v>
      </c>
      <c r="E1119" s="77">
        <f t="shared" ca="1" si="236"/>
        <v>109.1005</v>
      </c>
      <c r="F1119" s="77">
        <f t="shared" ca="1" si="236"/>
        <v>57.041666666666664</v>
      </c>
      <c r="G1119" s="77">
        <f t="shared" ca="1" si="236"/>
        <v>40</v>
      </c>
      <c r="H1119" s="77">
        <f t="shared" ca="1" si="236"/>
        <v>174.58333333333334</v>
      </c>
      <c r="I1119" s="77">
        <f t="shared" ca="1" si="236"/>
        <v>0</v>
      </c>
      <c r="J1119" s="77">
        <f t="shared" ca="1" si="236"/>
        <v>100</v>
      </c>
      <c r="K1119" s="77">
        <f t="shared" ca="1" si="236"/>
        <v>300</v>
      </c>
      <c r="L1119" s="77">
        <f t="shared" ca="1" si="236"/>
        <v>1216.5</v>
      </c>
      <c r="M1119" s="77">
        <f t="shared" ca="1" si="237"/>
        <v>600</v>
      </c>
      <c r="N1119" s="77">
        <f t="shared" ca="1" si="237"/>
        <v>72.5</v>
      </c>
      <c r="O1119" s="77">
        <f t="shared" ca="1" si="237"/>
        <v>240</v>
      </c>
      <c r="P1119" s="77">
        <f t="shared" ca="1" si="237"/>
        <v>40</v>
      </c>
      <c r="Q1119" s="77">
        <f t="shared" ca="1" si="237"/>
        <v>315</v>
      </c>
      <c r="R1119" s="77">
        <f t="shared" ca="1" si="237"/>
        <v>100</v>
      </c>
      <c r="S1119" s="77">
        <f t="shared" ca="1" si="237"/>
        <v>695</v>
      </c>
      <c r="T1119" s="77">
        <f t="shared" ca="1" si="237"/>
        <v>33.333333333333336</v>
      </c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</row>
    <row r="1120" spans="1:30" ht="15" x14ac:dyDescent="0.2">
      <c r="A1120" s="10">
        <f t="shared" si="210"/>
        <v>2064</v>
      </c>
      <c r="B1120" s="10">
        <f t="shared" si="218"/>
        <v>366</v>
      </c>
      <c r="C1120" s="77">
        <f t="shared" ca="1" si="236"/>
        <v>154.75825</v>
      </c>
      <c r="D1120" s="77">
        <f t="shared" ca="1" si="236"/>
        <v>281.0162499999999</v>
      </c>
      <c r="E1120" s="77">
        <f t="shared" ca="1" si="236"/>
        <v>109.1005</v>
      </c>
      <c r="F1120" s="77">
        <f t="shared" ca="1" si="236"/>
        <v>57.041666666666664</v>
      </c>
      <c r="G1120" s="77">
        <f t="shared" ca="1" si="236"/>
        <v>40</v>
      </c>
      <c r="H1120" s="77">
        <f t="shared" ca="1" si="236"/>
        <v>174.58333333333334</v>
      </c>
      <c r="I1120" s="77">
        <f t="shared" ca="1" si="236"/>
        <v>0</v>
      </c>
      <c r="J1120" s="77">
        <f t="shared" ca="1" si="236"/>
        <v>100</v>
      </c>
      <c r="K1120" s="77">
        <f t="shared" ca="1" si="236"/>
        <v>300</v>
      </c>
      <c r="L1120" s="77">
        <f t="shared" ca="1" si="236"/>
        <v>1216.5</v>
      </c>
      <c r="M1120" s="77">
        <f t="shared" ca="1" si="237"/>
        <v>600</v>
      </c>
      <c r="N1120" s="77">
        <f t="shared" ca="1" si="237"/>
        <v>72.5</v>
      </c>
      <c r="O1120" s="77">
        <f t="shared" ca="1" si="237"/>
        <v>240</v>
      </c>
      <c r="P1120" s="77">
        <f t="shared" ca="1" si="237"/>
        <v>40</v>
      </c>
      <c r="Q1120" s="77">
        <f t="shared" ca="1" si="237"/>
        <v>315</v>
      </c>
      <c r="R1120" s="77">
        <f t="shared" ca="1" si="237"/>
        <v>100</v>
      </c>
      <c r="S1120" s="77">
        <f t="shared" ca="1" si="237"/>
        <v>695</v>
      </c>
      <c r="T1120" s="77">
        <f t="shared" ca="1" si="237"/>
        <v>33.333333333333336</v>
      </c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</row>
    <row r="1121" spans="1:30" ht="15" x14ac:dyDescent="0.2">
      <c r="A1121" s="10">
        <f t="shared" si="210"/>
        <v>2065</v>
      </c>
      <c r="B1121" s="10">
        <f t="shared" si="218"/>
        <v>365</v>
      </c>
      <c r="C1121" s="77">
        <f t="shared" ca="1" si="236"/>
        <v>154.75825</v>
      </c>
      <c r="D1121" s="77">
        <f t="shared" ca="1" si="236"/>
        <v>281.0162499999999</v>
      </c>
      <c r="E1121" s="77">
        <f t="shared" ca="1" si="236"/>
        <v>109.1005</v>
      </c>
      <c r="F1121" s="77">
        <f t="shared" ca="1" si="236"/>
        <v>57.041666666666664</v>
      </c>
      <c r="G1121" s="77">
        <f t="shared" ca="1" si="236"/>
        <v>40</v>
      </c>
      <c r="H1121" s="77">
        <f t="shared" ca="1" si="236"/>
        <v>174.58333333333334</v>
      </c>
      <c r="I1121" s="77">
        <f t="shared" ca="1" si="236"/>
        <v>0</v>
      </c>
      <c r="J1121" s="77">
        <f t="shared" ca="1" si="236"/>
        <v>100</v>
      </c>
      <c r="K1121" s="77">
        <f t="shared" ca="1" si="236"/>
        <v>300</v>
      </c>
      <c r="L1121" s="77">
        <f t="shared" ca="1" si="236"/>
        <v>1216.5</v>
      </c>
      <c r="M1121" s="77">
        <f t="shared" ca="1" si="237"/>
        <v>600</v>
      </c>
      <c r="N1121" s="77">
        <f t="shared" ca="1" si="237"/>
        <v>72.5</v>
      </c>
      <c r="O1121" s="77">
        <f t="shared" ca="1" si="237"/>
        <v>240</v>
      </c>
      <c r="P1121" s="77">
        <f t="shared" ca="1" si="237"/>
        <v>40</v>
      </c>
      <c r="Q1121" s="77">
        <f t="shared" ca="1" si="237"/>
        <v>315</v>
      </c>
      <c r="R1121" s="77">
        <f t="shared" ca="1" si="237"/>
        <v>100</v>
      </c>
      <c r="S1121" s="77">
        <f t="shared" ca="1" si="237"/>
        <v>695</v>
      </c>
      <c r="T1121" s="77">
        <f t="shared" ca="1" si="237"/>
        <v>33.333333333333336</v>
      </c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</row>
    <row r="1122" spans="1:30" ht="15" x14ac:dyDescent="0.2">
      <c r="A1122" s="10">
        <f t="shared" si="210"/>
        <v>2066</v>
      </c>
      <c r="B1122" s="10">
        <f t="shared" si="218"/>
        <v>365</v>
      </c>
      <c r="C1122" s="77">
        <f t="shared" ca="1" si="236"/>
        <v>154.75825</v>
      </c>
      <c r="D1122" s="77">
        <f t="shared" ca="1" si="236"/>
        <v>281.0162499999999</v>
      </c>
      <c r="E1122" s="77">
        <f t="shared" ca="1" si="236"/>
        <v>109.1005</v>
      </c>
      <c r="F1122" s="77">
        <f t="shared" ca="1" si="236"/>
        <v>57.041666666666664</v>
      </c>
      <c r="G1122" s="77">
        <f t="shared" ca="1" si="236"/>
        <v>40</v>
      </c>
      <c r="H1122" s="77">
        <f t="shared" ca="1" si="236"/>
        <v>174.58333333333334</v>
      </c>
      <c r="I1122" s="77">
        <f t="shared" ca="1" si="236"/>
        <v>0</v>
      </c>
      <c r="J1122" s="77">
        <f t="shared" ca="1" si="236"/>
        <v>100</v>
      </c>
      <c r="K1122" s="77">
        <f t="shared" ca="1" si="236"/>
        <v>300</v>
      </c>
      <c r="L1122" s="77">
        <f t="shared" ca="1" si="236"/>
        <v>1216.5</v>
      </c>
      <c r="M1122" s="77">
        <f t="shared" ca="1" si="237"/>
        <v>600</v>
      </c>
      <c r="N1122" s="77">
        <f t="shared" ca="1" si="237"/>
        <v>72.5</v>
      </c>
      <c r="O1122" s="77">
        <f t="shared" ca="1" si="237"/>
        <v>240</v>
      </c>
      <c r="P1122" s="77">
        <f t="shared" ca="1" si="237"/>
        <v>40</v>
      </c>
      <c r="Q1122" s="77">
        <f t="shared" ca="1" si="237"/>
        <v>315</v>
      </c>
      <c r="R1122" s="77">
        <f t="shared" ca="1" si="237"/>
        <v>100</v>
      </c>
      <c r="S1122" s="77">
        <f t="shared" ca="1" si="237"/>
        <v>695</v>
      </c>
      <c r="T1122" s="77">
        <f t="shared" ca="1" si="237"/>
        <v>33.333333333333336</v>
      </c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</row>
    <row r="1123" spans="1:30" ht="15" x14ac:dyDescent="0.2">
      <c r="A1123" s="10">
        <f t="shared" si="210"/>
        <v>2067</v>
      </c>
      <c r="B1123" s="10">
        <f t="shared" si="218"/>
        <v>365</v>
      </c>
      <c r="C1123" s="77">
        <f t="shared" ca="1" si="236"/>
        <v>154.75825</v>
      </c>
      <c r="D1123" s="77">
        <f t="shared" ca="1" si="236"/>
        <v>281.0162499999999</v>
      </c>
      <c r="E1123" s="77">
        <f t="shared" ca="1" si="236"/>
        <v>109.1005</v>
      </c>
      <c r="F1123" s="77">
        <f t="shared" ca="1" si="236"/>
        <v>57.041666666666664</v>
      </c>
      <c r="G1123" s="77">
        <f t="shared" ca="1" si="236"/>
        <v>40</v>
      </c>
      <c r="H1123" s="77">
        <f t="shared" ca="1" si="236"/>
        <v>174.58333333333334</v>
      </c>
      <c r="I1123" s="77">
        <f t="shared" ca="1" si="236"/>
        <v>0</v>
      </c>
      <c r="J1123" s="77">
        <f t="shared" ca="1" si="236"/>
        <v>100</v>
      </c>
      <c r="K1123" s="77">
        <f t="shared" ca="1" si="236"/>
        <v>300</v>
      </c>
      <c r="L1123" s="77">
        <f t="shared" ca="1" si="236"/>
        <v>1216.5</v>
      </c>
      <c r="M1123" s="77">
        <f t="shared" ca="1" si="237"/>
        <v>600</v>
      </c>
      <c r="N1123" s="77">
        <f t="shared" ca="1" si="237"/>
        <v>72.5</v>
      </c>
      <c r="O1123" s="77">
        <f t="shared" ca="1" si="237"/>
        <v>240</v>
      </c>
      <c r="P1123" s="77">
        <f t="shared" ca="1" si="237"/>
        <v>40</v>
      </c>
      <c r="Q1123" s="77">
        <f t="shared" ca="1" si="237"/>
        <v>315</v>
      </c>
      <c r="R1123" s="77">
        <f t="shared" ca="1" si="237"/>
        <v>100</v>
      </c>
      <c r="S1123" s="77">
        <f t="shared" ca="1" si="237"/>
        <v>695</v>
      </c>
      <c r="T1123" s="77">
        <f t="shared" ca="1" si="237"/>
        <v>33.333333333333336</v>
      </c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</row>
    <row r="1124" spans="1:30" ht="15" x14ac:dyDescent="0.2">
      <c r="A1124" s="10">
        <f t="shared" si="210"/>
        <v>2068</v>
      </c>
      <c r="B1124" s="10">
        <f t="shared" si="218"/>
        <v>366</v>
      </c>
      <c r="C1124" s="77">
        <f t="shared" ca="1" si="236"/>
        <v>154.75825</v>
      </c>
      <c r="D1124" s="77">
        <f t="shared" ca="1" si="236"/>
        <v>281.0162499999999</v>
      </c>
      <c r="E1124" s="77">
        <f t="shared" ca="1" si="236"/>
        <v>109.1005</v>
      </c>
      <c r="F1124" s="77">
        <f t="shared" ca="1" si="236"/>
        <v>57.041666666666664</v>
      </c>
      <c r="G1124" s="77">
        <f t="shared" ca="1" si="236"/>
        <v>40</v>
      </c>
      <c r="H1124" s="77">
        <f t="shared" ca="1" si="236"/>
        <v>174.58333333333334</v>
      </c>
      <c r="I1124" s="77">
        <f t="shared" ca="1" si="236"/>
        <v>0</v>
      </c>
      <c r="J1124" s="77">
        <f t="shared" ca="1" si="236"/>
        <v>100</v>
      </c>
      <c r="K1124" s="77">
        <f t="shared" ca="1" si="236"/>
        <v>300</v>
      </c>
      <c r="L1124" s="77">
        <f t="shared" ca="1" si="236"/>
        <v>1216.5</v>
      </c>
      <c r="M1124" s="77">
        <f t="shared" ca="1" si="237"/>
        <v>600</v>
      </c>
      <c r="N1124" s="77">
        <f t="shared" ca="1" si="237"/>
        <v>72.5</v>
      </c>
      <c r="O1124" s="77">
        <f t="shared" ca="1" si="237"/>
        <v>240</v>
      </c>
      <c r="P1124" s="77">
        <f t="shared" ca="1" si="237"/>
        <v>40</v>
      </c>
      <c r="Q1124" s="77">
        <f t="shared" ca="1" si="237"/>
        <v>315</v>
      </c>
      <c r="R1124" s="77">
        <f t="shared" ca="1" si="237"/>
        <v>100</v>
      </c>
      <c r="S1124" s="77">
        <f t="shared" ca="1" si="237"/>
        <v>695</v>
      </c>
      <c r="T1124" s="77">
        <f t="shared" ca="1" si="237"/>
        <v>33.333333333333336</v>
      </c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</row>
    <row r="1125" spans="1:30" ht="15" x14ac:dyDescent="0.2">
      <c r="A1125" s="10">
        <f t="shared" si="210"/>
        <v>2069</v>
      </c>
      <c r="B1125" s="10">
        <f t="shared" si="218"/>
        <v>365</v>
      </c>
      <c r="C1125" s="77">
        <f t="shared" ca="1" si="236"/>
        <v>154.75825</v>
      </c>
      <c r="D1125" s="77">
        <f t="shared" ca="1" si="236"/>
        <v>281.0162499999999</v>
      </c>
      <c r="E1125" s="77">
        <f t="shared" ca="1" si="236"/>
        <v>109.1005</v>
      </c>
      <c r="F1125" s="77">
        <f t="shared" ca="1" si="236"/>
        <v>57.041666666666664</v>
      </c>
      <c r="G1125" s="77">
        <f t="shared" ca="1" si="236"/>
        <v>40</v>
      </c>
      <c r="H1125" s="77">
        <f t="shared" ca="1" si="236"/>
        <v>174.58333333333334</v>
      </c>
      <c r="I1125" s="77">
        <f t="shared" ca="1" si="236"/>
        <v>0</v>
      </c>
      <c r="J1125" s="77">
        <f t="shared" ca="1" si="236"/>
        <v>100</v>
      </c>
      <c r="K1125" s="77">
        <f t="shared" ca="1" si="236"/>
        <v>300</v>
      </c>
      <c r="L1125" s="77">
        <f t="shared" ca="1" si="236"/>
        <v>1216.5</v>
      </c>
      <c r="M1125" s="77">
        <f t="shared" ca="1" si="237"/>
        <v>600</v>
      </c>
      <c r="N1125" s="77">
        <f t="shared" ca="1" si="237"/>
        <v>72.5</v>
      </c>
      <c r="O1125" s="77">
        <f t="shared" ca="1" si="237"/>
        <v>240</v>
      </c>
      <c r="P1125" s="77">
        <f t="shared" ca="1" si="237"/>
        <v>40</v>
      </c>
      <c r="Q1125" s="77">
        <f t="shared" ca="1" si="237"/>
        <v>315</v>
      </c>
      <c r="R1125" s="77">
        <f t="shared" ca="1" si="237"/>
        <v>100</v>
      </c>
      <c r="S1125" s="77">
        <f t="shared" ca="1" si="237"/>
        <v>695</v>
      </c>
      <c r="T1125" s="77">
        <f t="shared" ca="1" si="237"/>
        <v>33.333333333333336</v>
      </c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</row>
    <row r="1126" spans="1:30" ht="15" x14ac:dyDescent="0.2">
      <c r="A1126" s="10">
        <f t="shared" ref="A1126:A1156" si="238">A1125+1</f>
        <v>2070</v>
      </c>
      <c r="B1126" s="10">
        <f t="shared" si="218"/>
        <v>365</v>
      </c>
      <c r="C1126" s="77">
        <f t="shared" ca="1" si="236"/>
        <v>154.75825</v>
      </c>
      <c r="D1126" s="77">
        <f t="shared" ca="1" si="236"/>
        <v>281.0162499999999</v>
      </c>
      <c r="E1126" s="77">
        <f t="shared" ca="1" si="236"/>
        <v>109.1005</v>
      </c>
      <c r="F1126" s="77">
        <f t="shared" ca="1" si="236"/>
        <v>57.041666666666664</v>
      </c>
      <c r="G1126" s="77">
        <f t="shared" ca="1" si="236"/>
        <v>40</v>
      </c>
      <c r="H1126" s="77">
        <f t="shared" ca="1" si="236"/>
        <v>174.58333333333334</v>
      </c>
      <c r="I1126" s="77">
        <f t="shared" ca="1" si="236"/>
        <v>0</v>
      </c>
      <c r="J1126" s="77">
        <f t="shared" ca="1" si="236"/>
        <v>100</v>
      </c>
      <c r="K1126" s="77">
        <f t="shared" ca="1" si="236"/>
        <v>300</v>
      </c>
      <c r="L1126" s="77">
        <f t="shared" ca="1" si="236"/>
        <v>1216.5</v>
      </c>
      <c r="M1126" s="77">
        <f t="shared" ca="1" si="237"/>
        <v>600</v>
      </c>
      <c r="N1126" s="77">
        <f t="shared" ca="1" si="237"/>
        <v>72.5</v>
      </c>
      <c r="O1126" s="77">
        <f t="shared" ca="1" si="237"/>
        <v>240</v>
      </c>
      <c r="P1126" s="77">
        <f t="shared" ca="1" si="237"/>
        <v>40</v>
      </c>
      <c r="Q1126" s="77">
        <f t="shared" ca="1" si="237"/>
        <v>315</v>
      </c>
      <c r="R1126" s="77">
        <f t="shared" ca="1" si="237"/>
        <v>100</v>
      </c>
      <c r="S1126" s="77">
        <f t="shared" ca="1" si="237"/>
        <v>695</v>
      </c>
      <c r="T1126" s="77">
        <f t="shared" ca="1" si="237"/>
        <v>33.333333333333336</v>
      </c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</row>
    <row r="1127" spans="1:30" ht="15" x14ac:dyDescent="0.2">
      <c r="A1127" s="10">
        <f t="shared" si="238"/>
        <v>2071</v>
      </c>
      <c r="B1127" s="10">
        <f t="shared" si="218"/>
        <v>365</v>
      </c>
      <c r="C1127" s="77">
        <f t="shared" ca="1" si="236"/>
        <v>154.75825</v>
      </c>
      <c r="D1127" s="77">
        <f t="shared" ca="1" si="236"/>
        <v>281.0162499999999</v>
      </c>
      <c r="E1127" s="77">
        <f t="shared" ca="1" si="236"/>
        <v>109.1005</v>
      </c>
      <c r="F1127" s="77">
        <f t="shared" ca="1" si="236"/>
        <v>57.041666666666664</v>
      </c>
      <c r="G1127" s="77">
        <f t="shared" ca="1" si="236"/>
        <v>40</v>
      </c>
      <c r="H1127" s="77">
        <f t="shared" ca="1" si="236"/>
        <v>174.58333333333334</v>
      </c>
      <c r="I1127" s="77">
        <f t="shared" ca="1" si="236"/>
        <v>0</v>
      </c>
      <c r="J1127" s="77">
        <f t="shared" ca="1" si="236"/>
        <v>100</v>
      </c>
      <c r="K1127" s="77">
        <f t="shared" ca="1" si="236"/>
        <v>300</v>
      </c>
      <c r="L1127" s="77">
        <f t="shared" ca="1" si="236"/>
        <v>1216.5</v>
      </c>
      <c r="M1127" s="77">
        <f t="shared" ca="1" si="237"/>
        <v>600</v>
      </c>
      <c r="N1127" s="77">
        <f t="shared" ca="1" si="237"/>
        <v>72.5</v>
      </c>
      <c r="O1127" s="77">
        <f t="shared" ca="1" si="237"/>
        <v>240</v>
      </c>
      <c r="P1127" s="77">
        <f t="shared" ca="1" si="237"/>
        <v>40</v>
      </c>
      <c r="Q1127" s="77">
        <f t="shared" ca="1" si="237"/>
        <v>315</v>
      </c>
      <c r="R1127" s="77">
        <f t="shared" ca="1" si="237"/>
        <v>100</v>
      </c>
      <c r="S1127" s="77">
        <f t="shared" ca="1" si="237"/>
        <v>695</v>
      </c>
      <c r="T1127" s="77">
        <f t="shared" ca="1" si="237"/>
        <v>33.333333333333336</v>
      </c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</row>
    <row r="1128" spans="1:30" ht="15" x14ac:dyDescent="0.2">
      <c r="A1128" s="10">
        <f t="shared" si="238"/>
        <v>2072</v>
      </c>
      <c r="B1128" s="10">
        <f t="shared" si="218"/>
        <v>366</v>
      </c>
      <c r="C1128" s="77">
        <f t="shared" ref="C1128:L1137" ca="1" si="239">AVERAGE(OFFSET(C$600,($A1128-$A$1118)*12,0,12,1))</f>
        <v>154.75825</v>
      </c>
      <c r="D1128" s="77">
        <f t="shared" ca="1" si="239"/>
        <v>281.0162499999999</v>
      </c>
      <c r="E1128" s="77">
        <f t="shared" ca="1" si="239"/>
        <v>109.1005</v>
      </c>
      <c r="F1128" s="77">
        <f t="shared" ca="1" si="239"/>
        <v>57.041666666666664</v>
      </c>
      <c r="G1128" s="77">
        <f t="shared" ca="1" si="239"/>
        <v>40</v>
      </c>
      <c r="H1128" s="77">
        <f t="shared" ca="1" si="239"/>
        <v>174.58333333333334</v>
      </c>
      <c r="I1128" s="77">
        <f t="shared" ca="1" si="239"/>
        <v>0</v>
      </c>
      <c r="J1128" s="77">
        <f t="shared" ca="1" si="239"/>
        <v>100</v>
      </c>
      <c r="K1128" s="77">
        <f t="shared" ca="1" si="239"/>
        <v>300</v>
      </c>
      <c r="L1128" s="77">
        <f t="shared" ca="1" si="239"/>
        <v>1216.5</v>
      </c>
      <c r="M1128" s="77">
        <f t="shared" ref="M1128:T1137" ca="1" si="240">AVERAGE(OFFSET(M$600,($A1128-$A$1118)*12,0,12,1))</f>
        <v>600</v>
      </c>
      <c r="N1128" s="77">
        <f t="shared" ca="1" si="240"/>
        <v>72.5</v>
      </c>
      <c r="O1128" s="77">
        <f t="shared" ca="1" si="240"/>
        <v>240</v>
      </c>
      <c r="P1128" s="77">
        <f t="shared" ca="1" si="240"/>
        <v>40</v>
      </c>
      <c r="Q1128" s="77">
        <f t="shared" ca="1" si="240"/>
        <v>315</v>
      </c>
      <c r="R1128" s="77">
        <f t="shared" ca="1" si="240"/>
        <v>100</v>
      </c>
      <c r="S1128" s="77">
        <f t="shared" ca="1" si="240"/>
        <v>695</v>
      </c>
      <c r="T1128" s="77">
        <f t="shared" ca="1" si="240"/>
        <v>33.333333333333336</v>
      </c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</row>
    <row r="1129" spans="1:30" ht="15" x14ac:dyDescent="0.2">
      <c r="A1129" s="10">
        <f t="shared" si="238"/>
        <v>2073</v>
      </c>
      <c r="B1129" s="10">
        <f t="shared" si="218"/>
        <v>365</v>
      </c>
      <c r="C1129" s="77">
        <f t="shared" ca="1" si="239"/>
        <v>154.75825</v>
      </c>
      <c r="D1129" s="77">
        <f t="shared" ca="1" si="239"/>
        <v>281.0162499999999</v>
      </c>
      <c r="E1129" s="77">
        <f t="shared" ca="1" si="239"/>
        <v>109.1005</v>
      </c>
      <c r="F1129" s="77">
        <f t="shared" ca="1" si="239"/>
        <v>57.041666666666664</v>
      </c>
      <c r="G1129" s="77">
        <f t="shared" ca="1" si="239"/>
        <v>40</v>
      </c>
      <c r="H1129" s="77">
        <f t="shared" ca="1" si="239"/>
        <v>174.58333333333334</v>
      </c>
      <c r="I1129" s="77">
        <f t="shared" ca="1" si="239"/>
        <v>0</v>
      </c>
      <c r="J1129" s="77">
        <f t="shared" ca="1" si="239"/>
        <v>100</v>
      </c>
      <c r="K1129" s="77">
        <f t="shared" ca="1" si="239"/>
        <v>300</v>
      </c>
      <c r="L1129" s="77">
        <f t="shared" ca="1" si="239"/>
        <v>1216.5</v>
      </c>
      <c r="M1129" s="77">
        <f t="shared" ca="1" si="240"/>
        <v>600</v>
      </c>
      <c r="N1129" s="77">
        <f t="shared" ca="1" si="240"/>
        <v>72.5</v>
      </c>
      <c r="O1129" s="77">
        <f t="shared" ca="1" si="240"/>
        <v>240</v>
      </c>
      <c r="P1129" s="77">
        <f t="shared" ca="1" si="240"/>
        <v>40</v>
      </c>
      <c r="Q1129" s="77">
        <f t="shared" ca="1" si="240"/>
        <v>315</v>
      </c>
      <c r="R1129" s="77">
        <f t="shared" ca="1" si="240"/>
        <v>100</v>
      </c>
      <c r="S1129" s="77">
        <f t="shared" ca="1" si="240"/>
        <v>695</v>
      </c>
      <c r="T1129" s="77">
        <f t="shared" ca="1" si="240"/>
        <v>33.333333333333336</v>
      </c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</row>
    <row r="1130" spans="1:30" ht="15" x14ac:dyDescent="0.2">
      <c r="A1130" s="10">
        <f t="shared" si="238"/>
        <v>2074</v>
      </c>
      <c r="B1130" s="10">
        <f t="shared" si="218"/>
        <v>365</v>
      </c>
      <c r="C1130" s="77">
        <f t="shared" ca="1" si="239"/>
        <v>154.75825</v>
      </c>
      <c r="D1130" s="77">
        <f t="shared" ca="1" si="239"/>
        <v>281.0162499999999</v>
      </c>
      <c r="E1130" s="77">
        <f t="shared" ca="1" si="239"/>
        <v>109.1005</v>
      </c>
      <c r="F1130" s="77">
        <f t="shared" ca="1" si="239"/>
        <v>57.041666666666664</v>
      </c>
      <c r="G1130" s="77">
        <f t="shared" ca="1" si="239"/>
        <v>40</v>
      </c>
      <c r="H1130" s="77">
        <f t="shared" ca="1" si="239"/>
        <v>174.58333333333334</v>
      </c>
      <c r="I1130" s="77">
        <f t="shared" ca="1" si="239"/>
        <v>0</v>
      </c>
      <c r="J1130" s="77">
        <f t="shared" ca="1" si="239"/>
        <v>100</v>
      </c>
      <c r="K1130" s="77">
        <f t="shared" ca="1" si="239"/>
        <v>300</v>
      </c>
      <c r="L1130" s="77">
        <f t="shared" ca="1" si="239"/>
        <v>1216.5</v>
      </c>
      <c r="M1130" s="77">
        <f t="shared" ca="1" si="240"/>
        <v>600</v>
      </c>
      <c r="N1130" s="77">
        <f t="shared" ca="1" si="240"/>
        <v>72.5</v>
      </c>
      <c r="O1130" s="77">
        <f t="shared" ca="1" si="240"/>
        <v>240</v>
      </c>
      <c r="P1130" s="77">
        <f t="shared" ca="1" si="240"/>
        <v>40</v>
      </c>
      <c r="Q1130" s="77">
        <f t="shared" ca="1" si="240"/>
        <v>315</v>
      </c>
      <c r="R1130" s="77">
        <f t="shared" ca="1" si="240"/>
        <v>100</v>
      </c>
      <c r="S1130" s="77">
        <f t="shared" ca="1" si="240"/>
        <v>695</v>
      </c>
      <c r="T1130" s="77">
        <f t="shared" ca="1" si="240"/>
        <v>33.333333333333336</v>
      </c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</row>
    <row r="1131" spans="1:30" ht="15" x14ac:dyDescent="0.2">
      <c r="A1131" s="10">
        <f t="shared" si="238"/>
        <v>2075</v>
      </c>
      <c r="B1131" s="10">
        <f t="shared" si="218"/>
        <v>365</v>
      </c>
      <c r="C1131" s="77">
        <f t="shared" ca="1" si="239"/>
        <v>154.75825</v>
      </c>
      <c r="D1131" s="77">
        <f t="shared" ca="1" si="239"/>
        <v>281.0162499999999</v>
      </c>
      <c r="E1131" s="77">
        <f t="shared" ca="1" si="239"/>
        <v>109.1005</v>
      </c>
      <c r="F1131" s="77">
        <f t="shared" ca="1" si="239"/>
        <v>57.041666666666664</v>
      </c>
      <c r="G1131" s="77">
        <f t="shared" ca="1" si="239"/>
        <v>40</v>
      </c>
      <c r="H1131" s="77">
        <f t="shared" ca="1" si="239"/>
        <v>174.58333333333334</v>
      </c>
      <c r="I1131" s="77">
        <f t="shared" ca="1" si="239"/>
        <v>0</v>
      </c>
      <c r="J1131" s="77">
        <f t="shared" ca="1" si="239"/>
        <v>100</v>
      </c>
      <c r="K1131" s="77">
        <f t="shared" ca="1" si="239"/>
        <v>300</v>
      </c>
      <c r="L1131" s="77">
        <f t="shared" ca="1" si="239"/>
        <v>1216.5</v>
      </c>
      <c r="M1131" s="77">
        <f t="shared" ca="1" si="240"/>
        <v>600</v>
      </c>
      <c r="N1131" s="77">
        <f t="shared" ca="1" si="240"/>
        <v>72.5</v>
      </c>
      <c r="O1131" s="77">
        <f t="shared" ca="1" si="240"/>
        <v>240</v>
      </c>
      <c r="P1131" s="77">
        <f t="shared" ca="1" si="240"/>
        <v>40</v>
      </c>
      <c r="Q1131" s="77">
        <f t="shared" ca="1" si="240"/>
        <v>315</v>
      </c>
      <c r="R1131" s="77">
        <f t="shared" ca="1" si="240"/>
        <v>100</v>
      </c>
      <c r="S1131" s="77">
        <f t="shared" ca="1" si="240"/>
        <v>695</v>
      </c>
      <c r="T1131" s="77">
        <f t="shared" ca="1" si="240"/>
        <v>33.333333333333336</v>
      </c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</row>
    <row r="1132" spans="1:30" ht="15" x14ac:dyDescent="0.2">
      <c r="A1132" s="10">
        <f t="shared" si="238"/>
        <v>2076</v>
      </c>
      <c r="B1132" s="10">
        <f t="shared" si="218"/>
        <v>366</v>
      </c>
      <c r="C1132" s="77">
        <f t="shared" ca="1" si="239"/>
        <v>154.75825</v>
      </c>
      <c r="D1132" s="77">
        <f t="shared" ca="1" si="239"/>
        <v>281.0162499999999</v>
      </c>
      <c r="E1132" s="77">
        <f t="shared" ca="1" si="239"/>
        <v>109.1005</v>
      </c>
      <c r="F1132" s="77">
        <f t="shared" ca="1" si="239"/>
        <v>57.041666666666664</v>
      </c>
      <c r="G1132" s="77">
        <f t="shared" ca="1" si="239"/>
        <v>40</v>
      </c>
      <c r="H1132" s="77">
        <f t="shared" ca="1" si="239"/>
        <v>174.58333333333334</v>
      </c>
      <c r="I1132" s="77">
        <f t="shared" ca="1" si="239"/>
        <v>0</v>
      </c>
      <c r="J1132" s="77">
        <f t="shared" ca="1" si="239"/>
        <v>100</v>
      </c>
      <c r="K1132" s="77">
        <f t="shared" ca="1" si="239"/>
        <v>300</v>
      </c>
      <c r="L1132" s="77">
        <f t="shared" ca="1" si="239"/>
        <v>1216.5</v>
      </c>
      <c r="M1132" s="77">
        <f t="shared" ca="1" si="240"/>
        <v>600</v>
      </c>
      <c r="N1132" s="77">
        <f t="shared" ca="1" si="240"/>
        <v>72.5</v>
      </c>
      <c r="O1132" s="77">
        <f t="shared" ca="1" si="240"/>
        <v>240</v>
      </c>
      <c r="P1132" s="77">
        <f t="shared" ca="1" si="240"/>
        <v>40</v>
      </c>
      <c r="Q1132" s="77">
        <f t="shared" ca="1" si="240"/>
        <v>315</v>
      </c>
      <c r="R1132" s="77">
        <f t="shared" ca="1" si="240"/>
        <v>100</v>
      </c>
      <c r="S1132" s="77">
        <f t="shared" ca="1" si="240"/>
        <v>695</v>
      </c>
      <c r="T1132" s="77">
        <f t="shared" ca="1" si="240"/>
        <v>33.333333333333336</v>
      </c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</row>
    <row r="1133" spans="1:30" ht="15" x14ac:dyDescent="0.2">
      <c r="A1133" s="10">
        <f t="shared" si="238"/>
        <v>2077</v>
      </c>
      <c r="B1133" s="10">
        <f t="shared" ref="B1133:B1156" si="241">DATE(A1133+1,1,1)-DATE(A1133,1,1)</f>
        <v>365</v>
      </c>
      <c r="C1133" s="77">
        <f t="shared" ca="1" si="239"/>
        <v>154.75825</v>
      </c>
      <c r="D1133" s="77">
        <f t="shared" ca="1" si="239"/>
        <v>281.0162499999999</v>
      </c>
      <c r="E1133" s="77">
        <f t="shared" ca="1" si="239"/>
        <v>109.1005</v>
      </c>
      <c r="F1133" s="77">
        <f t="shared" ca="1" si="239"/>
        <v>57.041666666666664</v>
      </c>
      <c r="G1133" s="77">
        <f t="shared" ca="1" si="239"/>
        <v>40</v>
      </c>
      <c r="H1133" s="77">
        <f t="shared" ca="1" si="239"/>
        <v>174.58333333333334</v>
      </c>
      <c r="I1133" s="77">
        <f t="shared" ca="1" si="239"/>
        <v>0</v>
      </c>
      <c r="J1133" s="77">
        <f t="shared" ca="1" si="239"/>
        <v>100</v>
      </c>
      <c r="K1133" s="77">
        <f t="shared" ca="1" si="239"/>
        <v>300</v>
      </c>
      <c r="L1133" s="77">
        <f t="shared" ca="1" si="239"/>
        <v>1216.5</v>
      </c>
      <c r="M1133" s="77">
        <f t="shared" ca="1" si="240"/>
        <v>600</v>
      </c>
      <c r="N1133" s="77">
        <f t="shared" ca="1" si="240"/>
        <v>72.5</v>
      </c>
      <c r="O1133" s="77">
        <f t="shared" ca="1" si="240"/>
        <v>240</v>
      </c>
      <c r="P1133" s="77">
        <f t="shared" ca="1" si="240"/>
        <v>40</v>
      </c>
      <c r="Q1133" s="77">
        <f t="shared" ca="1" si="240"/>
        <v>315</v>
      </c>
      <c r="R1133" s="77">
        <f t="shared" ca="1" si="240"/>
        <v>100</v>
      </c>
      <c r="S1133" s="77">
        <f t="shared" ca="1" si="240"/>
        <v>695</v>
      </c>
      <c r="T1133" s="77">
        <f t="shared" ca="1" si="240"/>
        <v>33.333333333333336</v>
      </c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</row>
    <row r="1134" spans="1:30" ht="15" x14ac:dyDescent="0.2">
      <c r="A1134" s="10">
        <f t="shared" si="238"/>
        <v>2078</v>
      </c>
      <c r="B1134" s="10">
        <f t="shared" si="241"/>
        <v>365</v>
      </c>
      <c r="C1134" s="77">
        <f t="shared" ca="1" si="239"/>
        <v>154.75825</v>
      </c>
      <c r="D1134" s="77">
        <f t="shared" ca="1" si="239"/>
        <v>281.0162499999999</v>
      </c>
      <c r="E1134" s="77">
        <f t="shared" ca="1" si="239"/>
        <v>109.1005</v>
      </c>
      <c r="F1134" s="77">
        <f t="shared" ca="1" si="239"/>
        <v>57.041666666666664</v>
      </c>
      <c r="G1134" s="77">
        <f t="shared" ca="1" si="239"/>
        <v>40</v>
      </c>
      <c r="H1134" s="77">
        <f t="shared" ca="1" si="239"/>
        <v>174.58333333333334</v>
      </c>
      <c r="I1134" s="77">
        <f t="shared" ca="1" si="239"/>
        <v>0</v>
      </c>
      <c r="J1134" s="77">
        <f t="shared" ca="1" si="239"/>
        <v>100</v>
      </c>
      <c r="K1134" s="77">
        <f t="shared" ca="1" si="239"/>
        <v>300</v>
      </c>
      <c r="L1134" s="77">
        <f t="shared" ca="1" si="239"/>
        <v>1216.5</v>
      </c>
      <c r="M1134" s="77">
        <f t="shared" ca="1" si="240"/>
        <v>600</v>
      </c>
      <c r="N1134" s="77">
        <f t="shared" ca="1" si="240"/>
        <v>72.5</v>
      </c>
      <c r="O1134" s="77">
        <f t="shared" ca="1" si="240"/>
        <v>240</v>
      </c>
      <c r="P1134" s="77">
        <f t="shared" ca="1" si="240"/>
        <v>40</v>
      </c>
      <c r="Q1134" s="77">
        <f t="shared" ca="1" si="240"/>
        <v>315</v>
      </c>
      <c r="R1134" s="77">
        <f t="shared" ca="1" si="240"/>
        <v>100</v>
      </c>
      <c r="S1134" s="77">
        <f t="shared" ca="1" si="240"/>
        <v>695</v>
      </c>
      <c r="T1134" s="77">
        <f t="shared" ca="1" si="240"/>
        <v>33.333333333333336</v>
      </c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</row>
    <row r="1135" spans="1:30" ht="15" x14ac:dyDescent="0.2">
      <c r="A1135" s="10">
        <f t="shared" si="238"/>
        <v>2079</v>
      </c>
      <c r="B1135" s="10">
        <f t="shared" si="241"/>
        <v>365</v>
      </c>
      <c r="C1135" s="77">
        <f t="shared" ca="1" si="239"/>
        <v>154.75825</v>
      </c>
      <c r="D1135" s="77">
        <f t="shared" ca="1" si="239"/>
        <v>281.0162499999999</v>
      </c>
      <c r="E1135" s="77">
        <f t="shared" ca="1" si="239"/>
        <v>109.1005</v>
      </c>
      <c r="F1135" s="77">
        <f t="shared" ca="1" si="239"/>
        <v>57.041666666666664</v>
      </c>
      <c r="G1135" s="77">
        <f t="shared" ca="1" si="239"/>
        <v>40</v>
      </c>
      <c r="H1135" s="77">
        <f t="shared" ca="1" si="239"/>
        <v>174.58333333333334</v>
      </c>
      <c r="I1135" s="77">
        <f t="shared" ca="1" si="239"/>
        <v>0</v>
      </c>
      <c r="J1135" s="77">
        <f t="shared" ca="1" si="239"/>
        <v>100</v>
      </c>
      <c r="K1135" s="77">
        <f t="shared" ca="1" si="239"/>
        <v>300</v>
      </c>
      <c r="L1135" s="77">
        <f t="shared" ca="1" si="239"/>
        <v>1216.5</v>
      </c>
      <c r="M1135" s="77">
        <f t="shared" ca="1" si="240"/>
        <v>600</v>
      </c>
      <c r="N1135" s="77">
        <f t="shared" ca="1" si="240"/>
        <v>72.5</v>
      </c>
      <c r="O1135" s="77">
        <f t="shared" ca="1" si="240"/>
        <v>240</v>
      </c>
      <c r="P1135" s="77">
        <f t="shared" ca="1" si="240"/>
        <v>40</v>
      </c>
      <c r="Q1135" s="77">
        <f t="shared" ca="1" si="240"/>
        <v>315</v>
      </c>
      <c r="R1135" s="77">
        <f t="shared" ca="1" si="240"/>
        <v>100</v>
      </c>
      <c r="S1135" s="77">
        <f t="shared" ca="1" si="240"/>
        <v>695</v>
      </c>
      <c r="T1135" s="77">
        <f t="shared" ca="1" si="240"/>
        <v>33.333333333333336</v>
      </c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</row>
    <row r="1136" spans="1:30" ht="15" x14ac:dyDescent="0.2">
      <c r="A1136" s="10">
        <f t="shared" si="238"/>
        <v>2080</v>
      </c>
      <c r="B1136" s="10">
        <f t="shared" si="241"/>
        <v>366</v>
      </c>
      <c r="C1136" s="77">
        <f t="shared" ca="1" si="239"/>
        <v>154.75825</v>
      </c>
      <c r="D1136" s="77">
        <f t="shared" ca="1" si="239"/>
        <v>281.0162499999999</v>
      </c>
      <c r="E1136" s="77">
        <f t="shared" ca="1" si="239"/>
        <v>109.1005</v>
      </c>
      <c r="F1136" s="77">
        <f t="shared" ca="1" si="239"/>
        <v>57.041666666666664</v>
      </c>
      <c r="G1136" s="77">
        <f t="shared" ca="1" si="239"/>
        <v>40</v>
      </c>
      <c r="H1136" s="77">
        <f t="shared" ca="1" si="239"/>
        <v>174.58333333333334</v>
      </c>
      <c r="I1136" s="77">
        <f t="shared" ca="1" si="239"/>
        <v>0</v>
      </c>
      <c r="J1136" s="77">
        <f t="shared" ca="1" si="239"/>
        <v>100</v>
      </c>
      <c r="K1136" s="77">
        <f t="shared" ca="1" si="239"/>
        <v>300</v>
      </c>
      <c r="L1136" s="77">
        <f t="shared" ca="1" si="239"/>
        <v>1216.5</v>
      </c>
      <c r="M1136" s="77">
        <f t="shared" ca="1" si="240"/>
        <v>600</v>
      </c>
      <c r="N1136" s="77">
        <f t="shared" ca="1" si="240"/>
        <v>72.5</v>
      </c>
      <c r="O1136" s="77">
        <f t="shared" ca="1" si="240"/>
        <v>240</v>
      </c>
      <c r="P1136" s="77">
        <f t="shared" ca="1" si="240"/>
        <v>40</v>
      </c>
      <c r="Q1136" s="77">
        <f t="shared" ca="1" si="240"/>
        <v>315</v>
      </c>
      <c r="R1136" s="77">
        <f t="shared" ca="1" si="240"/>
        <v>100</v>
      </c>
      <c r="S1136" s="77">
        <f t="shared" ca="1" si="240"/>
        <v>695</v>
      </c>
      <c r="T1136" s="77">
        <f t="shared" ca="1" si="240"/>
        <v>33.333333333333336</v>
      </c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</row>
    <row r="1137" spans="1:30" ht="15" x14ac:dyDescent="0.2">
      <c r="A1137" s="10">
        <f t="shared" si="238"/>
        <v>2081</v>
      </c>
      <c r="B1137" s="10">
        <f t="shared" si="241"/>
        <v>365</v>
      </c>
      <c r="C1137" s="77">
        <f t="shared" ca="1" si="239"/>
        <v>154.75825</v>
      </c>
      <c r="D1137" s="77">
        <f t="shared" ca="1" si="239"/>
        <v>281.0162499999999</v>
      </c>
      <c r="E1137" s="77">
        <f t="shared" ca="1" si="239"/>
        <v>109.1005</v>
      </c>
      <c r="F1137" s="77">
        <f t="shared" ca="1" si="239"/>
        <v>57.041666666666664</v>
      </c>
      <c r="G1137" s="77">
        <f t="shared" ca="1" si="239"/>
        <v>40</v>
      </c>
      <c r="H1137" s="77">
        <f t="shared" ca="1" si="239"/>
        <v>174.58333333333334</v>
      </c>
      <c r="I1137" s="77">
        <f t="shared" ca="1" si="239"/>
        <v>0</v>
      </c>
      <c r="J1137" s="77">
        <f t="shared" ca="1" si="239"/>
        <v>100</v>
      </c>
      <c r="K1137" s="77">
        <f t="shared" ca="1" si="239"/>
        <v>300</v>
      </c>
      <c r="L1137" s="77">
        <f t="shared" ca="1" si="239"/>
        <v>1216.5</v>
      </c>
      <c r="M1137" s="77">
        <f t="shared" ca="1" si="240"/>
        <v>600</v>
      </c>
      <c r="N1137" s="77">
        <f t="shared" ca="1" si="240"/>
        <v>72.5</v>
      </c>
      <c r="O1137" s="77">
        <f t="shared" ca="1" si="240"/>
        <v>240</v>
      </c>
      <c r="P1137" s="77">
        <f t="shared" ca="1" si="240"/>
        <v>40</v>
      </c>
      <c r="Q1137" s="77">
        <f t="shared" ca="1" si="240"/>
        <v>315</v>
      </c>
      <c r="R1137" s="77">
        <f t="shared" ca="1" si="240"/>
        <v>100</v>
      </c>
      <c r="S1137" s="77">
        <f t="shared" ca="1" si="240"/>
        <v>695</v>
      </c>
      <c r="T1137" s="77">
        <f t="shared" ca="1" si="240"/>
        <v>33.333333333333336</v>
      </c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</row>
    <row r="1138" spans="1:30" ht="15" x14ac:dyDescent="0.2">
      <c r="A1138" s="10">
        <f t="shared" si="238"/>
        <v>2082</v>
      </c>
      <c r="B1138" s="10">
        <f t="shared" si="241"/>
        <v>365</v>
      </c>
      <c r="C1138" s="77">
        <f t="shared" ref="C1138:L1147" ca="1" si="242">AVERAGE(OFFSET(C$600,($A1138-$A$1118)*12,0,12,1))</f>
        <v>154.75825</v>
      </c>
      <c r="D1138" s="77">
        <f t="shared" ca="1" si="242"/>
        <v>281.0162499999999</v>
      </c>
      <c r="E1138" s="77">
        <f t="shared" ca="1" si="242"/>
        <v>109.1005</v>
      </c>
      <c r="F1138" s="77">
        <f t="shared" ca="1" si="242"/>
        <v>57.041666666666664</v>
      </c>
      <c r="G1138" s="77">
        <f t="shared" ca="1" si="242"/>
        <v>40</v>
      </c>
      <c r="H1138" s="77">
        <f t="shared" ca="1" si="242"/>
        <v>174.58333333333334</v>
      </c>
      <c r="I1138" s="77">
        <f t="shared" ca="1" si="242"/>
        <v>0</v>
      </c>
      <c r="J1138" s="77">
        <f t="shared" ca="1" si="242"/>
        <v>100</v>
      </c>
      <c r="K1138" s="77">
        <f t="shared" ca="1" si="242"/>
        <v>300</v>
      </c>
      <c r="L1138" s="77">
        <f t="shared" ca="1" si="242"/>
        <v>1216.5</v>
      </c>
      <c r="M1138" s="77">
        <f t="shared" ref="M1138:T1147" ca="1" si="243">AVERAGE(OFFSET(M$600,($A1138-$A$1118)*12,0,12,1))</f>
        <v>600</v>
      </c>
      <c r="N1138" s="77">
        <f t="shared" ca="1" si="243"/>
        <v>72.5</v>
      </c>
      <c r="O1138" s="77">
        <f t="shared" ca="1" si="243"/>
        <v>240</v>
      </c>
      <c r="P1138" s="77">
        <f t="shared" ca="1" si="243"/>
        <v>40</v>
      </c>
      <c r="Q1138" s="77">
        <f t="shared" ca="1" si="243"/>
        <v>315</v>
      </c>
      <c r="R1138" s="77">
        <f t="shared" ca="1" si="243"/>
        <v>100</v>
      </c>
      <c r="S1138" s="77">
        <f t="shared" ca="1" si="243"/>
        <v>695</v>
      </c>
      <c r="T1138" s="77">
        <f t="shared" ca="1" si="243"/>
        <v>33.333333333333336</v>
      </c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</row>
    <row r="1139" spans="1:30" ht="15" x14ac:dyDescent="0.2">
      <c r="A1139" s="10">
        <f t="shared" si="238"/>
        <v>2083</v>
      </c>
      <c r="B1139" s="10">
        <f t="shared" si="241"/>
        <v>365</v>
      </c>
      <c r="C1139" s="77">
        <f t="shared" ca="1" si="242"/>
        <v>154.75825</v>
      </c>
      <c r="D1139" s="77">
        <f t="shared" ca="1" si="242"/>
        <v>281.0162499999999</v>
      </c>
      <c r="E1139" s="77">
        <f t="shared" ca="1" si="242"/>
        <v>109.1005</v>
      </c>
      <c r="F1139" s="77">
        <f t="shared" ca="1" si="242"/>
        <v>57.041666666666664</v>
      </c>
      <c r="G1139" s="77">
        <f t="shared" ca="1" si="242"/>
        <v>40</v>
      </c>
      <c r="H1139" s="77">
        <f t="shared" ca="1" si="242"/>
        <v>174.58333333333334</v>
      </c>
      <c r="I1139" s="77">
        <f t="shared" ca="1" si="242"/>
        <v>0</v>
      </c>
      <c r="J1139" s="77">
        <f t="shared" ca="1" si="242"/>
        <v>100</v>
      </c>
      <c r="K1139" s="77">
        <f t="shared" ca="1" si="242"/>
        <v>300</v>
      </c>
      <c r="L1139" s="77">
        <f t="shared" ca="1" si="242"/>
        <v>1216.5</v>
      </c>
      <c r="M1139" s="77">
        <f t="shared" ca="1" si="243"/>
        <v>600</v>
      </c>
      <c r="N1139" s="77">
        <f t="shared" ca="1" si="243"/>
        <v>72.5</v>
      </c>
      <c r="O1139" s="77">
        <f t="shared" ca="1" si="243"/>
        <v>240</v>
      </c>
      <c r="P1139" s="77">
        <f t="shared" ca="1" si="243"/>
        <v>40</v>
      </c>
      <c r="Q1139" s="77">
        <f t="shared" ca="1" si="243"/>
        <v>315</v>
      </c>
      <c r="R1139" s="77">
        <f t="shared" ca="1" si="243"/>
        <v>100</v>
      </c>
      <c r="S1139" s="77">
        <f t="shared" ca="1" si="243"/>
        <v>695</v>
      </c>
      <c r="T1139" s="77">
        <f t="shared" ca="1" si="243"/>
        <v>33.333333333333336</v>
      </c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</row>
    <row r="1140" spans="1:30" ht="15" x14ac:dyDescent="0.2">
      <c r="A1140" s="10">
        <f t="shared" si="238"/>
        <v>2084</v>
      </c>
      <c r="B1140" s="10">
        <f t="shared" si="241"/>
        <v>366</v>
      </c>
      <c r="C1140" s="77">
        <f t="shared" ca="1" si="242"/>
        <v>154.75825</v>
      </c>
      <c r="D1140" s="77">
        <f t="shared" ca="1" si="242"/>
        <v>281.0162499999999</v>
      </c>
      <c r="E1140" s="77">
        <f t="shared" ca="1" si="242"/>
        <v>109.1005</v>
      </c>
      <c r="F1140" s="77">
        <f t="shared" ca="1" si="242"/>
        <v>57.041666666666664</v>
      </c>
      <c r="G1140" s="77">
        <f t="shared" ca="1" si="242"/>
        <v>40</v>
      </c>
      <c r="H1140" s="77">
        <f t="shared" ca="1" si="242"/>
        <v>174.58333333333334</v>
      </c>
      <c r="I1140" s="77">
        <f t="shared" ca="1" si="242"/>
        <v>0</v>
      </c>
      <c r="J1140" s="77">
        <f t="shared" ca="1" si="242"/>
        <v>100</v>
      </c>
      <c r="K1140" s="77">
        <f t="shared" ca="1" si="242"/>
        <v>300</v>
      </c>
      <c r="L1140" s="77">
        <f t="shared" ca="1" si="242"/>
        <v>1216.5</v>
      </c>
      <c r="M1140" s="77">
        <f t="shared" ca="1" si="243"/>
        <v>600</v>
      </c>
      <c r="N1140" s="77">
        <f t="shared" ca="1" si="243"/>
        <v>72.5</v>
      </c>
      <c r="O1140" s="77">
        <f t="shared" ca="1" si="243"/>
        <v>240</v>
      </c>
      <c r="P1140" s="77">
        <f t="shared" ca="1" si="243"/>
        <v>40</v>
      </c>
      <c r="Q1140" s="77">
        <f t="shared" ca="1" si="243"/>
        <v>315</v>
      </c>
      <c r="R1140" s="77">
        <f t="shared" ca="1" si="243"/>
        <v>100</v>
      </c>
      <c r="S1140" s="77">
        <f t="shared" ca="1" si="243"/>
        <v>695</v>
      </c>
      <c r="T1140" s="77">
        <f t="shared" ca="1" si="243"/>
        <v>33.333333333333336</v>
      </c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</row>
    <row r="1141" spans="1:30" ht="15" x14ac:dyDescent="0.2">
      <c r="A1141" s="10">
        <f t="shared" si="238"/>
        <v>2085</v>
      </c>
      <c r="B1141" s="10">
        <f t="shared" si="241"/>
        <v>365</v>
      </c>
      <c r="C1141" s="77">
        <f t="shared" ca="1" si="242"/>
        <v>154.75825</v>
      </c>
      <c r="D1141" s="77">
        <f t="shared" ca="1" si="242"/>
        <v>281.0162499999999</v>
      </c>
      <c r="E1141" s="77">
        <f t="shared" ca="1" si="242"/>
        <v>109.1005</v>
      </c>
      <c r="F1141" s="77">
        <f t="shared" ca="1" si="242"/>
        <v>57.041666666666664</v>
      </c>
      <c r="G1141" s="77">
        <f t="shared" ca="1" si="242"/>
        <v>40</v>
      </c>
      <c r="H1141" s="77">
        <f t="shared" ca="1" si="242"/>
        <v>174.58333333333334</v>
      </c>
      <c r="I1141" s="77">
        <f t="shared" ca="1" si="242"/>
        <v>0</v>
      </c>
      <c r="J1141" s="77">
        <f t="shared" ca="1" si="242"/>
        <v>100</v>
      </c>
      <c r="K1141" s="77">
        <f t="shared" ca="1" si="242"/>
        <v>300</v>
      </c>
      <c r="L1141" s="77">
        <f t="shared" ca="1" si="242"/>
        <v>1216.5</v>
      </c>
      <c r="M1141" s="77">
        <f t="shared" ca="1" si="243"/>
        <v>600</v>
      </c>
      <c r="N1141" s="77">
        <f t="shared" ca="1" si="243"/>
        <v>72.5</v>
      </c>
      <c r="O1141" s="77">
        <f t="shared" ca="1" si="243"/>
        <v>240</v>
      </c>
      <c r="P1141" s="77">
        <f t="shared" ca="1" si="243"/>
        <v>40</v>
      </c>
      <c r="Q1141" s="77">
        <f t="shared" ca="1" si="243"/>
        <v>315</v>
      </c>
      <c r="R1141" s="77">
        <f t="shared" ca="1" si="243"/>
        <v>100</v>
      </c>
      <c r="S1141" s="77">
        <f t="shared" ca="1" si="243"/>
        <v>695</v>
      </c>
      <c r="T1141" s="77">
        <f t="shared" ca="1" si="243"/>
        <v>33.333333333333336</v>
      </c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</row>
    <row r="1142" spans="1:30" ht="15" x14ac:dyDescent="0.2">
      <c r="A1142" s="10">
        <f t="shared" si="238"/>
        <v>2086</v>
      </c>
      <c r="B1142" s="10">
        <f t="shared" si="241"/>
        <v>365</v>
      </c>
      <c r="C1142" s="77">
        <f t="shared" ca="1" si="242"/>
        <v>154.75825</v>
      </c>
      <c r="D1142" s="77">
        <f t="shared" ca="1" si="242"/>
        <v>281.0162499999999</v>
      </c>
      <c r="E1142" s="77">
        <f t="shared" ca="1" si="242"/>
        <v>109.1005</v>
      </c>
      <c r="F1142" s="77">
        <f t="shared" ca="1" si="242"/>
        <v>57.041666666666664</v>
      </c>
      <c r="G1142" s="77">
        <f t="shared" ca="1" si="242"/>
        <v>40</v>
      </c>
      <c r="H1142" s="77">
        <f t="shared" ca="1" si="242"/>
        <v>174.58333333333334</v>
      </c>
      <c r="I1142" s="77">
        <f t="shared" ca="1" si="242"/>
        <v>0</v>
      </c>
      <c r="J1142" s="77">
        <f t="shared" ca="1" si="242"/>
        <v>100</v>
      </c>
      <c r="K1142" s="77">
        <f t="shared" ca="1" si="242"/>
        <v>300</v>
      </c>
      <c r="L1142" s="77">
        <f t="shared" ca="1" si="242"/>
        <v>1216.5</v>
      </c>
      <c r="M1142" s="77">
        <f t="shared" ca="1" si="243"/>
        <v>600</v>
      </c>
      <c r="N1142" s="77">
        <f t="shared" ca="1" si="243"/>
        <v>72.5</v>
      </c>
      <c r="O1142" s="77">
        <f t="shared" ca="1" si="243"/>
        <v>240</v>
      </c>
      <c r="P1142" s="77">
        <f t="shared" ca="1" si="243"/>
        <v>40</v>
      </c>
      <c r="Q1142" s="77">
        <f t="shared" ca="1" si="243"/>
        <v>315</v>
      </c>
      <c r="R1142" s="77">
        <f t="shared" ca="1" si="243"/>
        <v>100</v>
      </c>
      <c r="S1142" s="77">
        <f t="shared" ca="1" si="243"/>
        <v>695</v>
      </c>
      <c r="T1142" s="77">
        <f t="shared" ca="1" si="243"/>
        <v>33.333333333333336</v>
      </c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</row>
    <row r="1143" spans="1:30" ht="15" x14ac:dyDescent="0.2">
      <c r="A1143" s="10">
        <f t="shared" si="238"/>
        <v>2087</v>
      </c>
      <c r="B1143" s="10">
        <f t="shared" si="241"/>
        <v>365</v>
      </c>
      <c r="C1143" s="77">
        <f t="shared" ca="1" si="242"/>
        <v>154.75825</v>
      </c>
      <c r="D1143" s="77">
        <f t="shared" ca="1" si="242"/>
        <v>281.0162499999999</v>
      </c>
      <c r="E1143" s="77">
        <f t="shared" ca="1" si="242"/>
        <v>109.1005</v>
      </c>
      <c r="F1143" s="77">
        <f t="shared" ca="1" si="242"/>
        <v>57.041666666666664</v>
      </c>
      <c r="G1143" s="77">
        <f t="shared" ca="1" si="242"/>
        <v>40</v>
      </c>
      <c r="H1143" s="77">
        <f t="shared" ca="1" si="242"/>
        <v>174.58333333333334</v>
      </c>
      <c r="I1143" s="77">
        <f t="shared" ca="1" si="242"/>
        <v>0</v>
      </c>
      <c r="J1143" s="77">
        <f t="shared" ca="1" si="242"/>
        <v>100</v>
      </c>
      <c r="K1143" s="77">
        <f t="shared" ca="1" si="242"/>
        <v>300</v>
      </c>
      <c r="L1143" s="77">
        <f t="shared" ca="1" si="242"/>
        <v>1216.5</v>
      </c>
      <c r="M1143" s="77">
        <f t="shared" ca="1" si="243"/>
        <v>600</v>
      </c>
      <c r="N1143" s="77">
        <f t="shared" ca="1" si="243"/>
        <v>72.5</v>
      </c>
      <c r="O1143" s="77">
        <f t="shared" ca="1" si="243"/>
        <v>240</v>
      </c>
      <c r="P1143" s="77">
        <f t="shared" ca="1" si="243"/>
        <v>40</v>
      </c>
      <c r="Q1143" s="77">
        <f t="shared" ca="1" si="243"/>
        <v>315</v>
      </c>
      <c r="R1143" s="77">
        <f t="shared" ca="1" si="243"/>
        <v>100</v>
      </c>
      <c r="S1143" s="77">
        <f t="shared" ca="1" si="243"/>
        <v>695</v>
      </c>
      <c r="T1143" s="77">
        <f t="shared" ca="1" si="243"/>
        <v>33.333333333333336</v>
      </c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</row>
    <row r="1144" spans="1:30" ht="15" x14ac:dyDescent="0.2">
      <c r="A1144" s="10">
        <f t="shared" si="238"/>
        <v>2088</v>
      </c>
      <c r="B1144" s="10">
        <f t="shared" si="241"/>
        <v>366</v>
      </c>
      <c r="C1144" s="77">
        <f t="shared" ca="1" si="242"/>
        <v>154.75825</v>
      </c>
      <c r="D1144" s="77">
        <f t="shared" ca="1" si="242"/>
        <v>281.0162499999999</v>
      </c>
      <c r="E1144" s="77">
        <f t="shared" ca="1" si="242"/>
        <v>109.1005</v>
      </c>
      <c r="F1144" s="77">
        <f t="shared" ca="1" si="242"/>
        <v>57.041666666666664</v>
      </c>
      <c r="G1144" s="77">
        <f t="shared" ca="1" si="242"/>
        <v>40</v>
      </c>
      <c r="H1144" s="77">
        <f t="shared" ca="1" si="242"/>
        <v>174.58333333333334</v>
      </c>
      <c r="I1144" s="77">
        <f t="shared" ca="1" si="242"/>
        <v>0</v>
      </c>
      <c r="J1144" s="77">
        <f t="shared" ca="1" si="242"/>
        <v>100</v>
      </c>
      <c r="K1144" s="77">
        <f t="shared" ca="1" si="242"/>
        <v>300</v>
      </c>
      <c r="L1144" s="77">
        <f t="shared" ca="1" si="242"/>
        <v>1216.5</v>
      </c>
      <c r="M1144" s="77">
        <f t="shared" ca="1" si="243"/>
        <v>600</v>
      </c>
      <c r="N1144" s="77">
        <f t="shared" ca="1" si="243"/>
        <v>72.5</v>
      </c>
      <c r="O1144" s="77">
        <f t="shared" ca="1" si="243"/>
        <v>240</v>
      </c>
      <c r="P1144" s="77">
        <f t="shared" ca="1" si="243"/>
        <v>40</v>
      </c>
      <c r="Q1144" s="77">
        <f t="shared" ca="1" si="243"/>
        <v>315</v>
      </c>
      <c r="R1144" s="77">
        <f t="shared" ca="1" si="243"/>
        <v>100</v>
      </c>
      <c r="S1144" s="77">
        <f t="shared" ca="1" si="243"/>
        <v>695</v>
      </c>
      <c r="T1144" s="77">
        <f t="shared" ca="1" si="243"/>
        <v>33.333333333333336</v>
      </c>
      <c r="U1144" s="78"/>
      <c r="V1144" s="78"/>
      <c r="W1144" s="78"/>
      <c r="X1144" s="78"/>
      <c r="Y1144" s="78"/>
      <c r="Z1144" s="78"/>
      <c r="AA1144" s="78"/>
      <c r="AB1144" s="78"/>
      <c r="AC1144" s="78"/>
      <c r="AD1144" s="78"/>
    </row>
    <row r="1145" spans="1:30" ht="15" x14ac:dyDescent="0.2">
      <c r="A1145" s="10">
        <f t="shared" si="238"/>
        <v>2089</v>
      </c>
      <c r="B1145" s="10">
        <f t="shared" si="241"/>
        <v>365</v>
      </c>
      <c r="C1145" s="77">
        <f t="shared" ca="1" si="242"/>
        <v>154.75825</v>
      </c>
      <c r="D1145" s="77">
        <f t="shared" ca="1" si="242"/>
        <v>281.0162499999999</v>
      </c>
      <c r="E1145" s="77">
        <f t="shared" ca="1" si="242"/>
        <v>109.1005</v>
      </c>
      <c r="F1145" s="77">
        <f t="shared" ca="1" si="242"/>
        <v>57.041666666666664</v>
      </c>
      <c r="G1145" s="77">
        <f t="shared" ca="1" si="242"/>
        <v>40</v>
      </c>
      <c r="H1145" s="77">
        <f t="shared" ca="1" si="242"/>
        <v>174.58333333333334</v>
      </c>
      <c r="I1145" s="77">
        <f t="shared" ca="1" si="242"/>
        <v>0</v>
      </c>
      <c r="J1145" s="77">
        <f t="shared" ca="1" si="242"/>
        <v>100</v>
      </c>
      <c r="K1145" s="77">
        <f t="shared" ca="1" si="242"/>
        <v>300</v>
      </c>
      <c r="L1145" s="77">
        <f t="shared" ca="1" si="242"/>
        <v>1216.5</v>
      </c>
      <c r="M1145" s="77">
        <f t="shared" ca="1" si="243"/>
        <v>600</v>
      </c>
      <c r="N1145" s="77">
        <f t="shared" ca="1" si="243"/>
        <v>72.5</v>
      </c>
      <c r="O1145" s="77">
        <f t="shared" ca="1" si="243"/>
        <v>240</v>
      </c>
      <c r="P1145" s="77">
        <f t="shared" ca="1" si="243"/>
        <v>40</v>
      </c>
      <c r="Q1145" s="77">
        <f t="shared" ca="1" si="243"/>
        <v>315</v>
      </c>
      <c r="R1145" s="77">
        <f t="shared" ca="1" si="243"/>
        <v>100</v>
      </c>
      <c r="S1145" s="77">
        <f t="shared" ca="1" si="243"/>
        <v>695</v>
      </c>
      <c r="T1145" s="77">
        <f t="shared" ca="1" si="243"/>
        <v>33.333333333333336</v>
      </c>
      <c r="U1145" s="78"/>
      <c r="V1145" s="78"/>
      <c r="W1145" s="78"/>
      <c r="X1145" s="78"/>
      <c r="Y1145" s="78"/>
      <c r="Z1145" s="78"/>
      <c r="AA1145" s="78"/>
      <c r="AB1145" s="78"/>
      <c r="AC1145" s="78"/>
      <c r="AD1145" s="78"/>
    </row>
    <row r="1146" spans="1:30" ht="15" x14ac:dyDescent="0.2">
      <c r="A1146" s="10">
        <f t="shared" si="238"/>
        <v>2090</v>
      </c>
      <c r="B1146" s="10">
        <f t="shared" si="241"/>
        <v>365</v>
      </c>
      <c r="C1146" s="77">
        <f t="shared" ca="1" si="242"/>
        <v>154.75825</v>
      </c>
      <c r="D1146" s="77">
        <f t="shared" ca="1" si="242"/>
        <v>281.0162499999999</v>
      </c>
      <c r="E1146" s="77">
        <f t="shared" ca="1" si="242"/>
        <v>109.1005</v>
      </c>
      <c r="F1146" s="77">
        <f t="shared" ca="1" si="242"/>
        <v>57.041666666666664</v>
      </c>
      <c r="G1146" s="77">
        <f t="shared" ca="1" si="242"/>
        <v>40</v>
      </c>
      <c r="H1146" s="77">
        <f t="shared" ca="1" si="242"/>
        <v>174.58333333333334</v>
      </c>
      <c r="I1146" s="77">
        <f t="shared" ca="1" si="242"/>
        <v>0</v>
      </c>
      <c r="J1146" s="77">
        <f t="shared" ca="1" si="242"/>
        <v>100</v>
      </c>
      <c r="K1146" s="77">
        <f t="shared" ca="1" si="242"/>
        <v>300</v>
      </c>
      <c r="L1146" s="77">
        <f t="shared" ca="1" si="242"/>
        <v>1216.5</v>
      </c>
      <c r="M1146" s="77">
        <f t="shared" ca="1" si="243"/>
        <v>600</v>
      </c>
      <c r="N1146" s="77">
        <f t="shared" ca="1" si="243"/>
        <v>72.5</v>
      </c>
      <c r="O1146" s="77">
        <f t="shared" ca="1" si="243"/>
        <v>240</v>
      </c>
      <c r="P1146" s="77">
        <f t="shared" ca="1" si="243"/>
        <v>40</v>
      </c>
      <c r="Q1146" s="77">
        <f t="shared" ca="1" si="243"/>
        <v>315</v>
      </c>
      <c r="R1146" s="77">
        <f t="shared" ca="1" si="243"/>
        <v>100</v>
      </c>
      <c r="S1146" s="77">
        <f t="shared" ca="1" si="243"/>
        <v>695</v>
      </c>
      <c r="T1146" s="77">
        <f t="shared" ca="1" si="243"/>
        <v>33.333333333333336</v>
      </c>
      <c r="U1146" s="78"/>
      <c r="V1146" s="78"/>
      <c r="W1146" s="78"/>
      <c r="X1146" s="78"/>
      <c r="Y1146" s="78"/>
      <c r="Z1146" s="78"/>
      <c r="AA1146" s="78"/>
      <c r="AB1146" s="78"/>
      <c r="AC1146" s="78"/>
      <c r="AD1146" s="78"/>
    </row>
    <row r="1147" spans="1:30" ht="15" x14ac:dyDescent="0.2">
      <c r="A1147" s="10">
        <f t="shared" si="238"/>
        <v>2091</v>
      </c>
      <c r="B1147" s="10">
        <f t="shared" si="241"/>
        <v>365</v>
      </c>
      <c r="C1147" s="77">
        <f t="shared" ca="1" si="242"/>
        <v>154.75825</v>
      </c>
      <c r="D1147" s="77">
        <f t="shared" ca="1" si="242"/>
        <v>281.0162499999999</v>
      </c>
      <c r="E1147" s="77">
        <f t="shared" ca="1" si="242"/>
        <v>109.1005</v>
      </c>
      <c r="F1147" s="77">
        <f t="shared" ca="1" si="242"/>
        <v>57.041666666666664</v>
      </c>
      <c r="G1147" s="77">
        <f t="shared" ca="1" si="242"/>
        <v>40</v>
      </c>
      <c r="H1147" s="77">
        <f t="shared" ca="1" si="242"/>
        <v>174.58333333333334</v>
      </c>
      <c r="I1147" s="77">
        <f t="shared" ca="1" si="242"/>
        <v>0</v>
      </c>
      <c r="J1147" s="77">
        <f t="shared" ca="1" si="242"/>
        <v>100</v>
      </c>
      <c r="K1147" s="77">
        <f t="shared" ca="1" si="242"/>
        <v>300</v>
      </c>
      <c r="L1147" s="77">
        <f t="shared" ca="1" si="242"/>
        <v>1216.5</v>
      </c>
      <c r="M1147" s="77">
        <f t="shared" ca="1" si="243"/>
        <v>600</v>
      </c>
      <c r="N1147" s="77">
        <f t="shared" ca="1" si="243"/>
        <v>72.5</v>
      </c>
      <c r="O1147" s="77">
        <f t="shared" ca="1" si="243"/>
        <v>240</v>
      </c>
      <c r="P1147" s="77">
        <f t="shared" ca="1" si="243"/>
        <v>40</v>
      </c>
      <c r="Q1147" s="77">
        <f t="shared" ca="1" si="243"/>
        <v>315</v>
      </c>
      <c r="R1147" s="77">
        <f t="shared" ca="1" si="243"/>
        <v>100</v>
      </c>
      <c r="S1147" s="77">
        <f t="shared" ca="1" si="243"/>
        <v>695</v>
      </c>
      <c r="T1147" s="77">
        <f t="shared" ca="1" si="243"/>
        <v>33.333333333333336</v>
      </c>
    </row>
    <row r="1148" spans="1:30" ht="15" x14ac:dyDescent="0.2">
      <c r="A1148" s="10">
        <f t="shared" si="238"/>
        <v>2092</v>
      </c>
      <c r="B1148" s="10">
        <f t="shared" si="241"/>
        <v>366</v>
      </c>
      <c r="C1148" s="77">
        <f t="shared" ref="C1148:L1156" ca="1" si="244">AVERAGE(OFFSET(C$600,($A1148-$A$1118)*12,0,12,1))</f>
        <v>154.75825</v>
      </c>
      <c r="D1148" s="77">
        <f t="shared" ca="1" si="244"/>
        <v>281.0162499999999</v>
      </c>
      <c r="E1148" s="77">
        <f t="shared" ca="1" si="244"/>
        <v>109.1005</v>
      </c>
      <c r="F1148" s="77">
        <f t="shared" ca="1" si="244"/>
        <v>57.041666666666664</v>
      </c>
      <c r="G1148" s="77">
        <f t="shared" ca="1" si="244"/>
        <v>40</v>
      </c>
      <c r="H1148" s="77">
        <f t="shared" ca="1" si="244"/>
        <v>174.58333333333334</v>
      </c>
      <c r="I1148" s="77">
        <f t="shared" ca="1" si="244"/>
        <v>0</v>
      </c>
      <c r="J1148" s="77">
        <f t="shared" ca="1" si="244"/>
        <v>100</v>
      </c>
      <c r="K1148" s="77">
        <f t="shared" ca="1" si="244"/>
        <v>300</v>
      </c>
      <c r="L1148" s="77">
        <f t="shared" ca="1" si="244"/>
        <v>1216.5</v>
      </c>
      <c r="M1148" s="77">
        <f t="shared" ref="M1148:T1156" ca="1" si="245">AVERAGE(OFFSET(M$600,($A1148-$A$1118)*12,0,12,1))</f>
        <v>600</v>
      </c>
      <c r="N1148" s="77">
        <f t="shared" ca="1" si="245"/>
        <v>72.5</v>
      </c>
      <c r="O1148" s="77">
        <f t="shared" ca="1" si="245"/>
        <v>240</v>
      </c>
      <c r="P1148" s="77">
        <f t="shared" ca="1" si="245"/>
        <v>40</v>
      </c>
      <c r="Q1148" s="77">
        <f t="shared" ca="1" si="245"/>
        <v>315</v>
      </c>
      <c r="R1148" s="77">
        <f t="shared" ca="1" si="245"/>
        <v>100</v>
      </c>
      <c r="S1148" s="77">
        <f t="shared" ca="1" si="245"/>
        <v>695</v>
      </c>
      <c r="T1148" s="77">
        <f t="shared" ca="1" si="245"/>
        <v>33.333333333333336</v>
      </c>
    </row>
    <row r="1149" spans="1:30" ht="15" x14ac:dyDescent="0.2">
      <c r="A1149" s="10">
        <f t="shared" si="238"/>
        <v>2093</v>
      </c>
      <c r="B1149" s="10">
        <f t="shared" si="241"/>
        <v>365</v>
      </c>
      <c r="C1149" s="77">
        <f t="shared" ca="1" si="244"/>
        <v>154.75825</v>
      </c>
      <c r="D1149" s="77">
        <f t="shared" ca="1" si="244"/>
        <v>281.0162499999999</v>
      </c>
      <c r="E1149" s="77">
        <f t="shared" ca="1" si="244"/>
        <v>109.1005</v>
      </c>
      <c r="F1149" s="77">
        <f t="shared" ca="1" si="244"/>
        <v>57.041666666666664</v>
      </c>
      <c r="G1149" s="77">
        <f t="shared" ca="1" si="244"/>
        <v>40</v>
      </c>
      <c r="H1149" s="77">
        <f t="shared" ca="1" si="244"/>
        <v>174.58333333333334</v>
      </c>
      <c r="I1149" s="77">
        <f t="shared" ca="1" si="244"/>
        <v>0</v>
      </c>
      <c r="J1149" s="77">
        <f t="shared" ca="1" si="244"/>
        <v>100</v>
      </c>
      <c r="K1149" s="77">
        <f t="shared" ca="1" si="244"/>
        <v>300</v>
      </c>
      <c r="L1149" s="77">
        <f t="shared" ca="1" si="244"/>
        <v>1216.5</v>
      </c>
      <c r="M1149" s="77">
        <f t="shared" ca="1" si="245"/>
        <v>600</v>
      </c>
      <c r="N1149" s="77">
        <f t="shared" ca="1" si="245"/>
        <v>72.5</v>
      </c>
      <c r="O1149" s="77">
        <f t="shared" ca="1" si="245"/>
        <v>240</v>
      </c>
      <c r="P1149" s="77">
        <f t="shared" ca="1" si="245"/>
        <v>40</v>
      </c>
      <c r="Q1149" s="77">
        <f t="shared" ca="1" si="245"/>
        <v>315</v>
      </c>
      <c r="R1149" s="77">
        <f t="shared" ca="1" si="245"/>
        <v>100</v>
      </c>
      <c r="S1149" s="77">
        <f t="shared" ca="1" si="245"/>
        <v>695</v>
      </c>
      <c r="T1149" s="77">
        <f t="shared" ca="1" si="245"/>
        <v>33.333333333333336</v>
      </c>
    </row>
    <row r="1150" spans="1:30" ht="15" x14ac:dyDescent="0.2">
      <c r="A1150" s="10">
        <f t="shared" si="238"/>
        <v>2094</v>
      </c>
      <c r="B1150" s="10">
        <f t="shared" si="241"/>
        <v>365</v>
      </c>
      <c r="C1150" s="77">
        <f t="shared" ca="1" si="244"/>
        <v>154.75825</v>
      </c>
      <c r="D1150" s="77">
        <f t="shared" ca="1" si="244"/>
        <v>281.0162499999999</v>
      </c>
      <c r="E1150" s="77">
        <f t="shared" ca="1" si="244"/>
        <v>109.1005</v>
      </c>
      <c r="F1150" s="77">
        <f t="shared" ca="1" si="244"/>
        <v>57.041666666666664</v>
      </c>
      <c r="G1150" s="77">
        <f t="shared" ca="1" si="244"/>
        <v>40</v>
      </c>
      <c r="H1150" s="77">
        <f t="shared" ca="1" si="244"/>
        <v>174.58333333333334</v>
      </c>
      <c r="I1150" s="77">
        <f t="shared" ca="1" si="244"/>
        <v>0</v>
      </c>
      <c r="J1150" s="77">
        <f t="shared" ca="1" si="244"/>
        <v>100</v>
      </c>
      <c r="K1150" s="77">
        <f t="shared" ca="1" si="244"/>
        <v>300</v>
      </c>
      <c r="L1150" s="77">
        <f t="shared" ca="1" si="244"/>
        <v>1216.5</v>
      </c>
      <c r="M1150" s="77">
        <f t="shared" ca="1" si="245"/>
        <v>600</v>
      </c>
      <c r="N1150" s="77">
        <f t="shared" ca="1" si="245"/>
        <v>72.5</v>
      </c>
      <c r="O1150" s="77">
        <f t="shared" ca="1" si="245"/>
        <v>240</v>
      </c>
      <c r="P1150" s="77">
        <f t="shared" ca="1" si="245"/>
        <v>40</v>
      </c>
      <c r="Q1150" s="77">
        <f t="shared" ca="1" si="245"/>
        <v>315</v>
      </c>
      <c r="R1150" s="77">
        <f t="shared" ca="1" si="245"/>
        <v>100</v>
      </c>
      <c r="S1150" s="77">
        <f t="shared" ca="1" si="245"/>
        <v>695</v>
      </c>
      <c r="T1150" s="77">
        <f t="shared" ca="1" si="245"/>
        <v>33.333333333333336</v>
      </c>
    </row>
    <row r="1151" spans="1:30" ht="15" x14ac:dyDescent="0.2">
      <c r="A1151" s="10">
        <f t="shared" si="238"/>
        <v>2095</v>
      </c>
      <c r="B1151" s="10">
        <f t="shared" si="241"/>
        <v>365</v>
      </c>
      <c r="C1151" s="77">
        <f t="shared" ca="1" si="244"/>
        <v>154.75825</v>
      </c>
      <c r="D1151" s="77">
        <f t="shared" ca="1" si="244"/>
        <v>281.0162499999999</v>
      </c>
      <c r="E1151" s="77">
        <f t="shared" ca="1" si="244"/>
        <v>109.1005</v>
      </c>
      <c r="F1151" s="77">
        <f t="shared" ca="1" si="244"/>
        <v>57.041666666666664</v>
      </c>
      <c r="G1151" s="77">
        <f t="shared" ca="1" si="244"/>
        <v>40</v>
      </c>
      <c r="H1151" s="77">
        <f t="shared" ca="1" si="244"/>
        <v>174.58333333333334</v>
      </c>
      <c r="I1151" s="77">
        <f t="shared" ca="1" si="244"/>
        <v>0</v>
      </c>
      <c r="J1151" s="77">
        <f t="shared" ca="1" si="244"/>
        <v>100</v>
      </c>
      <c r="K1151" s="77">
        <f t="shared" ca="1" si="244"/>
        <v>300</v>
      </c>
      <c r="L1151" s="77">
        <f t="shared" ca="1" si="244"/>
        <v>1216.5</v>
      </c>
      <c r="M1151" s="77">
        <f t="shared" ca="1" si="245"/>
        <v>600</v>
      </c>
      <c r="N1151" s="77">
        <f t="shared" ca="1" si="245"/>
        <v>72.5</v>
      </c>
      <c r="O1151" s="77">
        <f t="shared" ca="1" si="245"/>
        <v>240</v>
      </c>
      <c r="P1151" s="77">
        <f t="shared" ca="1" si="245"/>
        <v>40</v>
      </c>
      <c r="Q1151" s="77">
        <f t="shared" ca="1" si="245"/>
        <v>315</v>
      </c>
      <c r="R1151" s="77">
        <f t="shared" ca="1" si="245"/>
        <v>100</v>
      </c>
      <c r="S1151" s="77">
        <f t="shared" ca="1" si="245"/>
        <v>695</v>
      </c>
      <c r="T1151" s="77">
        <f t="shared" ca="1" si="245"/>
        <v>33.333333333333336</v>
      </c>
    </row>
    <row r="1152" spans="1:30" ht="15" x14ac:dyDescent="0.2">
      <c r="A1152" s="10">
        <f t="shared" si="238"/>
        <v>2096</v>
      </c>
      <c r="B1152" s="10">
        <f t="shared" si="241"/>
        <v>366</v>
      </c>
      <c r="C1152" s="77">
        <f t="shared" ca="1" si="244"/>
        <v>154.75825</v>
      </c>
      <c r="D1152" s="77">
        <f t="shared" ca="1" si="244"/>
        <v>281.0162499999999</v>
      </c>
      <c r="E1152" s="77">
        <f t="shared" ca="1" si="244"/>
        <v>109.1005</v>
      </c>
      <c r="F1152" s="77">
        <f t="shared" ca="1" si="244"/>
        <v>57.041666666666664</v>
      </c>
      <c r="G1152" s="77">
        <f t="shared" ca="1" si="244"/>
        <v>40</v>
      </c>
      <c r="H1152" s="77">
        <f t="shared" ca="1" si="244"/>
        <v>174.58333333333334</v>
      </c>
      <c r="I1152" s="77">
        <f t="shared" ca="1" si="244"/>
        <v>0</v>
      </c>
      <c r="J1152" s="77">
        <f t="shared" ca="1" si="244"/>
        <v>100</v>
      </c>
      <c r="K1152" s="77">
        <f t="shared" ca="1" si="244"/>
        <v>300</v>
      </c>
      <c r="L1152" s="77">
        <f t="shared" ca="1" si="244"/>
        <v>1216.5</v>
      </c>
      <c r="M1152" s="77">
        <f t="shared" ca="1" si="245"/>
        <v>600</v>
      </c>
      <c r="N1152" s="77">
        <f t="shared" ca="1" si="245"/>
        <v>72.5</v>
      </c>
      <c r="O1152" s="77">
        <f t="shared" ca="1" si="245"/>
        <v>240</v>
      </c>
      <c r="P1152" s="77">
        <f t="shared" ca="1" si="245"/>
        <v>40</v>
      </c>
      <c r="Q1152" s="77">
        <f t="shared" ca="1" si="245"/>
        <v>315</v>
      </c>
      <c r="R1152" s="77">
        <f t="shared" ca="1" si="245"/>
        <v>100</v>
      </c>
      <c r="S1152" s="77">
        <f t="shared" ca="1" si="245"/>
        <v>695</v>
      </c>
      <c r="T1152" s="77">
        <f t="shared" ca="1" si="245"/>
        <v>33.333333333333336</v>
      </c>
    </row>
    <row r="1153" spans="1:20" ht="15" x14ac:dyDescent="0.2">
      <c r="A1153" s="10">
        <f t="shared" si="238"/>
        <v>2097</v>
      </c>
      <c r="B1153" s="10">
        <f t="shared" si="241"/>
        <v>365</v>
      </c>
      <c r="C1153" s="77">
        <f t="shared" ca="1" si="244"/>
        <v>154.75825</v>
      </c>
      <c r="D1153" s="77">
        <f t="shared" ca="1" si="244"/>
        <v>281.0162499999999</v>
      </c>
      <c r="E1153" s="77">
        <f t="shared" ca="1" si="244"/>
        <v>109.1005</v>
      </c>
      <c r="F1153" s="77">
        <f t="shared" ca="1" si="244"/>
        <v>57.041666666666664</v>
      </c>
      <c r="G1153" s="77">
        <f t="shared" ca="1" si="244"/>
        <v>40</v>
      </c>
      <c r="H1153" s="77">
        <f t="shared" ca="1" si="244"/>
        <v>174.58333333333334</v>
      </c>
      <c r="I1153" s="77">
        <f t="shared" ca="1" si="244"/>
        <v>0</v>
      </c>
      <c r="J1153" s="77">
        <f t="shared" ca="1" si="244"/>
        <v>100</v>
      </c>
      <c r="K1153" s="77">
        <f t="shared" ca="1" si="244"/>
        <v>300</v>
      </c>
      <c r="L1153" s="77">
        <f t="shared" ca="1" si="244"/>
        <v>1216.5</v>
      </c>
      <c r="M1153" s="77">
        <f t="shared" ca="1" si="245"/>
        <v>600</v>
      </c>
      <c r="N1153" s="77">
        <f t="shared" ca="1" si="245"/>
        <v>72.5</v>
      </c>
      <c r="O1153" s="77">
        <f t="shared" ca="1" si="245"/>
        <v>240</v>
      </c>
      <c r="P1153" s="77">
        <f t="shared" ca="1" si="245"/>
        <v>40</v>
      </c>
      <c r="Q1153" s="77">
        <f t="shared" ca="1" si="245"/>
        <v>315</v>
      </c>
      <c r="R1153" s="77">
        <f t="shared" ca="1" si="245"/>
        <v>100</v>
      </c>
      <c r="S1153" s="77">
        <f t="shared" ca="1" si="245"/>
        <v>695</v>
      </c>
      <c r="T1153" s="77">
        <f t="shared" ca="1" si="245"/>
        <v>33.333333333333336</v>
      </c>
    </row>
    <row r="1154" spans="1:20" ht="15" x14ac:dyDescent="0.2">
      <c r="A1154" s="10">
        <f t="shared" si="238"/>
        <v>2098</v>
      </c>
      <c r="B1154" s="10">
        <f t="shared" si="241"/>
        <v>365</v>
      </c>
      <c r="C1154" s="77">
        <f t="shared" ca="1" si="244"/>
        <v>154.75825</v>
      </c>
      <c r="D1154" s="77">
        <f t="shared" ca="1" si="244"/>
        <v>281.0162499999999</v>
      </c>
      <c r="E1154" s="77">
        <f t="shared" ca="1" si="244"/>
        <v>109.1005</v>
      </c>
      <c r="F1154" s="77">
        <f t="shared" ca="1" si="244"/>
        <v>57.041666666666664</v>
      </c>
      <c r="G1154" s="77">
        <f t="shared" ca="1" si="244"/>
        <v>40</v>
      </c>
      <c r="H1154" s="77">
        <f t="shared" ca="1" si="244"/>
        <v>174.58333333333334</v>
      </c>
      <c r="I1154" s="77">
        <f t="shared" ca="1" si="244"/>
        <v>0</v>
      </c>
      <c r="J1154" s="77">
        <f t="shared" ca="1" si="244"/>
        <v>100</v>
      </c>
      <c r="K1154" s="77">
        <f t="shared" ca="1" si="244"/>
        <v>300</v>
      </c>
      <c r="L1154" s="77">
        <f t="shared" ca="1" si="244"/>
        <v>1216.5</v>
      </c>
      <c r="M1154" s="77">
        <f t="shared" ca="1" si="245"/>
        <v>600</v>
      </c>
      <c r="N1154" s="77">
        <f t="shared" ca="1" si="245"/>
        <v>72.5</v>
      </c>
      <c r="O1154" s="77">
        <f t="shared" ca="1" si="245"/>
        <v>240</v>
      </c>
      <c r="P1154" s="77">
        <f t="shared" ca="1" si="245"/>
        <v>40</v>
      </c>
      <c r="Q1154" s="77">
        <f t="shared" ca="1" si="245"/>
        <v>315</v>
      </c>
      <c r="R1154" s="77">
        <f t="shared" ca="1" si="245"/>
        <v>100</v>
      </c>
      <c r="S1154" s="77">
        <f t="shared" ca="1" si="245"/>
        <v>695</v>
      </c>
      <c r="T1154" s="77">
        <f t="shared" ca="1" si="245"/>
        <v>33.333333333333336</v>
      </c>
    </row>
    <row r="1155" spans="1:20" ht="15" x14ac:dyDescent="0.2">
      <c r="A1155" s="10">
        <f t="shared" si="238"/>
        <v>2099</v>
      </c>
      <c r="B1155" s="10">
        <f t="shared" si="241"/>
        <v>365</v>
      </c>
      <c r="C1155" s="77">
        <f t="shared" ca="1" si="244"/>
        <v>154.75825</v>
      </c>
      <c r="D1155" s="77">
        <f t="shared" ca="1" si="244"/>
        <v>281.0162499999999</v>
      </c>
      <c r="E1155" s="77">
        <f t="shared" ca="1" si="244"/>
        <v>109.1005</v>
      </c>
      <c r="F1155" s="77">
        <f t="shared" ca="1" si="244"/>
        <v>57.041666666666664</v>
      </c>
      <c r="G1155" s="77">
        <f t="shared" ca="1" si="244"/>
        <v>40</v>
      </c>
      <c r="H1155" s="77">
        <f t="shared" ca="1" si="244"/>
        <v>174.58333333333334</v>
      </c>
      <c r="I1155" s="77">
        <f t="shared" ca="1" si="244"/>
        <v>0</v>
      </c>
      <c r="J1155" s="77">
        <f t="shared" ca="1" si="244"/>
        <v>100</v>
      </c>
      <c r="K1155" s="77">
        <f t="shared" ca="1" si="244"/>
        <v>300</v>
      </c>
      <c r="L1155" s="77">
        <f t="shared" ca="1" si="244"/>
        <v>1216.5</v>
      </c>
      <c r="M1155" s="77">
        <f t="shared" ca="1" si="245"/>
        <v>600</v>
      </c>
      <c r="N1155" s="77">
        <f t="shared" ca="1" si="245"/>
        <v>72.5</v>
      </c>
      <c r="O1155" s="77">
        <f t="shared" ca="1" si="245"/>
        <v>240</v>
      </c>
      <c r="P1155" s="77">
        <f t="shared" ca="1" si="245"/>
        <v>40</v>
      </c>
      <c r="Q1155" s="77">
        <f t="shared" ca="1" si="245"/>
        <v>315</v>
      </c>
      <c r="R1155" s="77">
        <f t="shared" ca="1" si="245"/>
        <v>100</v>
      </c>
      <c r="S1155" s="77">
        <f t="shared" ca="1" si="245"/>
        <v>695</v>
      </c>
      <c r="T1155" s="77">
        <f t="shared" ca="1" si="245"/>
        <v>33.333333333333336</v>
      </c>
    </row>
    <row r="1156" spans="1:20" ht="15" x14ac:dyDescent="0.2">
      <c r="A1156" s="10">
        <f t="shared" si="238"/>
        <v>2100</v>
      </c>
      <c r="B1156" s="10">
        <f t="shared" si="241"/>
        <v>365</v>
      </c>
      <c r="C1156" s="77">
        <f t="shared" ca="1" si="244"/>
        <v>154.75825</v>
      </c>
      <c r="D1156" s="77">
        <f t="shared" ca="1" si="244"/>
        <v>281.0162499999999</v>
      </c>
      <c r="E1156" s="77">
        <f t="shared" ca="1" si="244"/>
        <v>109.1005</v>
      </c>
      <c r="F1156" s="77">
        <f t="shared" ca="1" si="244"/>
        <v>57.041666666666664</v>
      </c>
      <c r="G1156" s="77">
        <f t="shared" ca="1" si="244"/>
        <v>40</v>
      </c>
      <c r="H1156" s="77">
        <f t="shared" ca="1" si="244"/>
        <v>174.58333333333334</v>
      </c>
      <c r="I1156" s="77">
        <f t="shared" ca="1" si="244"/>
        <v>0</v>
      </c>
      <c r="J1156" s="77">
        <f t="shared" ca="1" si="244"/>
        <v>100</v>
      </c>
      <c r="K1156" s="77">
        <f t="shared" ca="1" si="244"/>
        <v>300</v>
      </c>
      <c r="L1156" s="77">
        <f t="shared" ca="1" si="244"/>
        <v>1216.5</v>
      </c>
      <c r="M1156" s="77">
        <f t="shared" ca="1" si="245"/>
        <v>600</v>
      </c>
      <c r="N1156" s="77">
        <f t="shared" ca="1" si="245"/>
        <v>72.5</v>
      </c>
      <c r="O1156" s="77">
        <f t="shared" ca="1" si="245"/>
        <v>240</v>
      </c>
      <c r="P1156" s="77">
        <f t="shared" ca="1" si="245"/>
        <v>40</v>
      </c>
      <c r="Q1156" s="77">
        <f t="shared" ca="1" si="245"/>
        <v>315</v>
      </c>
      <c r="R1156" s="77">
        <f t="shared" ca="1" si="245"/>
        <v>100</v>
      </c>
      <c r="S1156" s="77">
        <f t="shared" ca="1" si="245"/>
        <v>695</v>
      </c>
      <c r="T1156" s="77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scale="3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RAP-SOLID FUEL PRICES</vt:lpstr>
      <vt:lpstr>RAP-LIGHT OIL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2016-07-29T16:40:33Z</dcterms:created>
  <dcterms:modified xsi:type="dcterms:W3CDTF">2016-07-29T16:40:36Z</dcterms:modified>
</cp:coreProperties>
</file>